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6.xml" ContentType="application/vnd.openxmlformats-officedocument.drawing+xml"/>
  <Override PartName="/xl/comments6.xml" ContentType="application/vnd.openxmlformats-officedocument.spreadsheetml.comments+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drawings/drawing7.xml" ContentType="application/vnd.openxmlformats-officedocument.drawing+xml"/>
  <Override PartName="/xl/comments7.xml" ContentType="application/vnd.openxmlformats-officedocument.spreadsheetml.comments+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drawings/drawing8.xml" ContentType="application/vnd.openxmlformats-officedocument.drawing+xml"/>
  <Override PartName="/xl/comments8.xml" ContentType="application/vnd.openxmlformats-officedocument.spreadsheetml.comments+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drawings/drawing9.xml" ContentType="application/vnd.openxmlformats-officedocument.drawing+xml"/>
  <Override PartName="/xl/comments9.xml" ContentType="application/vnd.openxmlformats-officedocument.spreadsheetml.comments+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drawings/drawing10.xml" ContentType="application/vnd.openxmlformats-officedocument.drawing+xml"/>
  <Override PartName="/xl/comments10.xml" ContentType="application/vnd.openxmlformats-officedocument.spreadsheetml.comments+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drawings/drawing11.xml" ContentType="application/vnd.openxmlformats-officedocument.drawing+xml"/>
  <Override PartName="/xl/comments11.xml" ContentType="application/vnd.openxmlformats-officedocument.spreadsheetml.comments+xml"/>
  <Override PartName="/xl/charts/chart141.xml" ContentType="application/vnd.openxmlformats-officedocument.drawingml.chart+xml"/>
  <Override PartName="/xl/drawings/drawing12.xml" ContentType="application/vnd.openxmlformats-officedocument.drawing+xml"/>
  <Override PartName="/xl/comments12.xml" ContentType="application/vnd.openxmlformats-officedocument.spreadsheetml.comments+xml"/>
  <Override PartName="/xl/charts/chart142.xml" ContentType="application/vnd.openxmlformats-officedocument.drawingml.chart+xml"/>
  <Override PartName="/xl/charts/chart143.xml" ContentType="application/vnd.openxmlformats-officedocument.drawingml.chart+xml"/>
  <Override PartName="/xl/drawings/drawing13.xml" ContentType="application/vnd.openxmlformats-officedocument.drawing+xml"/>
  <Override PartName="/xl/comments13.xml" ContentType="application/vnd.openxmlformats-officedocument.spreadsheetml.comments+xml"/>
  <Override PartName="/xl/charts/chart144.xml" ContentType="application/vnd.openxmlformats-officedocument.drawingml.chart+xml"/>
  <Override PartName="/xl/drawings/drawing14.xml" ContentType="application/vnd.openxmlformats-officedocument.drawing+xml"/>
  <Override PartName="/xl/comments14.xml" ContentType="application/vnd.openxmlformats-officedocument.spreadsheetml.comments+xml"/>
  <Override PartName="/xl/charts/chart14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DieseArbeitsmappe"/>
  <mc:AlternateContent xmlns:mc="http://schemas.openxmlformats.org/markup-compatibility/2006">
    <mc:Choice Requires="x15">
      <x15ac:absPath xmlns:x15ac="http://schemas.microsoft.com/office/spreadsheetml/2010/11/ac" url="S:\20_Verlag\5000_projekte\5003_tools\06_2024_raumdatenblätter\web\"/>
    </mc:Choice>
  </mc:AlternateContent>
  <xr:revisionPtr revIDLastSave="0" documentId="13_ncr:1_{198327F3-45F8-431D-9A08-C009E581E469}" xr6:coauthVersionLast="47" xr6:coauthVersionMax="47" xr10:uidLastSave="{00000000-0000-0000-0000-000000000000}"/>
  <workbookProtection workbookAlgorithmName="SHA-512" workbookHashValue="2WES9fK4YI9rliCEeQrqXrRJsthNzFKwIZVQQLoN+XSpD+B58ZOrV8lFdV6gY+WVZPADg9a6HJzynG6bGTAp4g==" workbookSaltValue="1KAmDlO2Rmltdn1V98LowQ==" workbookSpinCount="100000" lockStructure="1"/>
  <bookViews>
    <workbookView xWindow="28690" yWindow="-110" windowWidth="38620" windowHeight="21360" tabRatio="894" firstSheet="1" activeTab="1" xr2:uid="{00000000-000D-0000-FFFF-FFFF00000000}"/>
  </bookViews>
  <sheets>
    <sheet name="Lizenzieren" sheetId="14834" state="veryHidden" r:id="rId1"/>
    <sheet name="Anleitung" sheetId="14831" r:id="rId2"/>
    <sheet name="Begriffe" sheetId="14829" state="veryHidden" r:id="rId3"/>
    <sheet name="Eingabedaten" sheetId="14809" r:id="rId4"/>
    <sheet name="Profile" sheetId="14814" state="veryHidden" r:id="rId5"/>
    <sheet name="Monatswerte" sheetId="14838" state="veryHidden" r:id="rId6"/>
    <sheet name="Winter_Auslegung" sheetId="14839" state="veryHidden" r:id="rId7"/>
    <sheet name="Aug_Auslegung" sheetId="14845" state="veryHidden" r:id="rId8"/>
    <sheet name="Datenblatt" sheetId="14786" r:id="rId9"/>
    <sheet name="Eigene Nutzung" sheetId="14852" r:id="rId10"/>
    <sheet name="Resultate Standard" sheetId="14815" r:id="rId11"/>
    <sheet name="Resultate Zielwert" sheetId="14824" r:id="rId12"/>
    <sheet name="Resultate Bestand" sheetId="14825" r:id="rId13"/>
    <sheet name="KZ_Raum_2024" sheetId="14826" state="veryHidden" r:id="rId14"/>
    <sheet name="Fläche-E" sheetId="14835" state="veryHidden" r:id="rId15"/>
    <sheet name="Fläche-L" sheetId="14841" state="veryHidden" r:id="rId16"/>
    <sheet name="Fläche-ZW" sheetId="14850" state="veryHidden" r:id="rId17"/>
    <sheet name="Fläche-Best" sheetId="14851" state="veryHidden" r:id="rId18"/>
    <sheet name="GEPAMOD" sheetId="14836" state="veryHidden" r:id="rId19"/>
    <sheet name="Volll_Lüft" sheetId="14843" state="veryHidden" r:id="rId20"/>
    <sheet name="SIA 380-1" sheetId="14822" state="veryHidden" r:id="rId21"/>
    <sheet name="Qhc_Klimastat" sheetId="14853" state="veryHidden" r:id="rId22"/>
    <sheet name="SIA 380-1_Qc" sheetId="14842" state="veryHidden" r:id="rId23"/>
    <sheet name="SIA 380-1_EN" sheetId="14847" state="veryHidden" r:id="rId24"/>
    <sheet name="SIA 380-1_Qc_EN" sheetId="14848" state="veryHidden" r:id="rId25"/>
  </sheets>
  <functionGroups builtInGroupCount="19"/>
  <externalReferences>
    <externalReference r:id="rId26"/>
  </externalReferences>
  <definedNames>
    <definedName name="_xlnm._FilterDatabase" localSheetId="8" hidden="1">Datenblatt!$A$4:$Q$196</definedName>
    <definedName name="_xlnm._FilterDatabase" localSheetId="9" hidden="1">'Eigene Nutzung'!$A$4:$Q$227</definedName>
    <definedName name="a0" localSheetId="20">'SIA 380-1'!$D$44</definedName>
    <definedName name="a0" localSheetId="23">'SIA 380-1_EN'!$D$44</definedName>
    <definedName name="a0" localSheetId="22">'SIA 380-1_Qc'!$D$44</definedName>
    <definedName name="a0" localSheetId="24">'SIA 380-1_Qc_EN'!$D$44</definedName>
    <definedName name="AE" localSheetId="20">'SIA 380-1'!$D$8</definedName>
    <definedName name="AE" localSheetId="23">'SIA 380-1_EN'!$D$8</definedName>
    <definedName name="AE" localSheetId="22">'SIA 380-1_Qc'!$D$8</definedName>
    <definedName name="AE" localSheetId="24">'SIA 380-1_Qc_EN'!$D$8</definedName>
    <definedName name="AP" localSheetId="20">'SIA 380-1'!$D$36</definedName>
    <definedName name="AP" localSheetId="23">'SIA 380-1_EN'!$D$36</definedName>
    <definedName name="AP" localSheetId="22">'SIA 380-1_Qc'!$D$36</definedName>
    <definedName name="AP" localSheetId="24">'SIA 380-1_Qc_EN'!$D$36</definedName>
    <definedName name="bGF" localSheetId="20">'SIA 380-1'!$D$55</definedName>
    <definedName name="bGF" localSheetId="23">'SIA 380-1_EN'!$D$55</definedName>
    <definedName name="bGF" localSheetId="22">'SIA 380-1_Qc'!$D$55</definedName>
    <definedName name="bGF" localSheetId="24">'SIA 380-1_Qc_EN'!$D$55</definedName>
    <definedName name="bGW" localSheetId="20">'SIA 380-1'!$D$57</definedName>
    <definedName name="bGW" localSheetId="23">'SIA 380-1_EN'!$D$57</definedName>
    <definedName name="bGW" localSheetId="22">'SIA 380-1_Qc'!$D$57</definedName>
    <definedName name="bGW" localSheetId="24">'SIA 380-1_Qc_EN'!$D$57</definedName>
    <definedName name="BodenErdeF" localSheetId="20">'SIA 380-1'!$D$23</definedName>
    <definedName name="BodenErdeF" localSheetId="23">'SIA 380-1_EN'!$D$23</definedName>
    <definedName name="BodenErdeF" localSheetId="22">'SIA 380-1_Qc'!$D$23</definedName>
    <definedName name="BodenErdeF" localSheetId="24">'SIA 380-1_Qc_EN'!$D$23</definedName>
    <definedName name="BodenUnb" localSheetId="20">'SIA 380-1'!$D$64</definedName>
    <definedName name="BodenUnb" localSheetId="23">'SIA 380-1_EN'!$D$64</definedName>
    <definedName name="BodenUnb" localSheetId="22">'SIA 380-1_Qc'!$D$64</definedName>
    <definedName name="BodenUnb" localSheetId="24">'SIA 380-1_Qc_EN'!$D$64</definedName>
    <definedName name="CEBF" localSheetId="20">'SIA 380-1'!$D$27</definedName>
    <definedName name="CEBF" localSheetId="23">'SIA 380-1_EN'!$D$27</definedName>
    <definedName name="CEBF" localSheetId="22">'SIA 380-1_Qc'!$D$27</definedName>
    <definedName name="CEBF" localSheetId="24">'SIA 380-1_Qc_EN'!$D$27</definedName>
    <definedName name="deltaThetahmax" localSheetId="20">'SIA 380-1'!$D$59</definedName>
    <definedName name="deltaThetahmax" localSheetId="23">'SIA 380-1_EN'!$D$59</definedName>
    <definedName name="deltaThetahmax" localSheetId="22">'SIA 380-1_Qc'!$D$59</definedName>
    <definedName name="deltaThetahmax" localSheetId="24">'SIA 380-1_Qc_EN'!$D$59</definedName>
    <definedName name="_xlnm.Print_Area" localSheetId="1">Anleitung!$A$1:$U$72</definedName>
    <definedName name="_xlnm.Print_Area" localSheetId="8">Datenblatt!$A$2:$O$242</definedName>
    <definedName name="_xlnm.Print_Area" localSheetId="9">'Eigene Nutzung'!$A$2:$O$242</definedName>
    <definedName name="_xlnm.Print_Area" localSheetId="3">Eingabedaten!$A$1:$FZ$53</definedName>
    <definedName name="_xlnm.Print_Area" localSheetId="0">Lizenzieren!$A$1:$U$58</definedName>
    <definedName name="_xlnm.Print_Area" localSheetId="10">'Resultate Standard'!$A$1:$BD$50</definedName>
    <definedName name="_xlnm.Print_Area" localSheetId="11">'Resultate Zielwert'!$A$1:$BD$50</definedName>
    <definedName name="_xlnm.Print_Area" localSheetId="20">'SIA 380-1'!$A$1:$S$46</definedName>
    <definedName name="_xlnm.Print_Area" localSheetId="23">'SIA 380-1_EN'!$A$1:$S$46</definedName>
    <definedName name="_xlnm.Print_Area" localSheetId="22">'SIA 380-1_Qc'!$A$1:$R$46</definedName>
    <definedName name="_xlnm.Print_Area" localSheetId="24">'SIA 380-1_Qc_EN'!$A$1:$S$46</definedName>
    <definedName name="_xlnm.Print_Area" localSheetId="6">Winter_Auslegung!$A$1:$X$43</definedName>
    <definedName name="_xlnm.Print_Titles" localSheetId="3">Eingabedaten!$A:$C</definedName>
    <definedName name="_xlnm.Print_Titles" localSheetId="12">'Resultate Bestand'!$A:$B</definedName>
    <definedName name="_xlnm.Print_Titles" localSheetId="10">'Resultate Standard'!$A:$B</definedName>
    <definedName name="_xlnm.Print_Titles" localSheetId="11">'Resultate Zielwert'!$A:$B</definedName>
    <definedName name="E4beheizt" localSheetId="20">'SIA 380-1'!$D$15</definedName>
    <definedName name="E4beheizt" localSheetId="23">'SIA 380-1_EN'!$D$15</definedName>
    <definedName name="E4beheizt" localSheetId="22">'SIA 380-1_Qc'!$D$15</definedName>
    <definedName name="E4beheizt" localSheetId="24">'SIA 380-1_Qc_EN'!$D$15</definedName>
    <definedName name="EBF" localSheetId="20">'SIA 380-1'!$D$8</definedName>
    <definedName name="EBF" localSheetId="23">'SIA 380-1_EN'!$D$8</definedName>
    <definedName name="EBF" localSheetId="22">'SIA 380-1_Qc'!$D$8</definedName>
    <definedName name="EBF" localSheetId="24">'SIA 380-1_Qc_EN'!$D$8</definedName>
    <definedName name="fE" localSheetId="20">'SIA 380-1'!$D$42</definedName>
    <definedName name="fE" localSheetId="23">'SIA 380-1_EN'!$D$42</definedName>
    <definedName name="fE" localSheetId="22">'SIA 380-1_Qc'!$D$42</definedName>
    <definedName name="fE" localSheetId="24">'SIA 380-1_Qc_EN'!$D$42</definedName>
    <definedName name="FF" localSheetId="20">'SIA 380-1'!$D$28</definedName>
    <definedName name="FF" localSheetId="23">'SIA 380-1_EN'!$D$28</definedName>
    <definedName name="FF" localSheetId="22">'SIA 380-1_Qc'!$D$28</definedName>
    <definedName name="FF" localSheetId="24">'SIA 380-1_Qc_EN'!$D$28</definedName>
    <definedName name="G_E5" localSheetId="20">'SIA 380-1'!$D$29</definedName>
    <definedName name="G_E5" localSheetId="23">'SIA 380-1_EN'!$D$29</definedName>
    <definedName name="G_E5" localSheetId="22">'SIA 380-1_Qc'!$D$29</definedName>
    <definedName name="G_E5" localSheetId="24">'SIA 380-1_Qc_EN'!$D$29</definedName>
    <definedName name="GebKat" localSheetId="20">'SIA 380-1'!$D$6</definedName>
    <definedName name="GebKat" localSheetId="23">'SIA 380-1_EN'!$D$6</definedName>
    <definedName name="GebKat" localSheetId="22">'SIA 380-1_Qc'!$D$6</definedName>
    <definedName name="GebKat" localSheetId="24">'SIA 380-1_Qc_EN'!$D$6</definedName>
    <definedName name="HueM" localSheetId="20">'SIA 380-1'!$D$60</definedName>
    <definedName name="HueM" localSheetId="23">'SIA 380-1_EN'!$D$60</definedName>
    <definedName name="HueM" localSheetId="22">'SIA 380-1_Qc'!$D$60</definedName>
    <definedName name="HueM" localSheetId="24">'SIA 380-1_Qc_EN'!$D$60</definedName>
    <definedName name="klimastat">Datenblatt!$G$1</definedName>
    <definedName name="MinergieKennzahl" localSheetId="20">'SIA 380-1'!$J$60</definedName>
    <definedName name="MinergieKennzahl" localSheetId="23">'SIA 380-1_EN'!$J$60</definedName>
    <definedName name="MinergieKennzahl" localSheetId="22">'SIA 380-1_Qc'!$J$60</definedName>
    <definedName name="MinergieKennzahl" localSheetId="24">'SIA 380-1_Qc_EN'!$J$60</definedName>
    <definedName name="nutzid" localSheetId="17">[1]Datenblatt!$C$1</definedName>
    <definedName name="nutzid" localSheetId="14">[1]Datenblatt!$C$1</definedName>
    <definedName name="nutzid" localSheetId="15">[1]Datenblatt!$C$1</definedName>
    <definedName name="nutzid" localSheetId="16">[1]Datenblatt!$C$1</definedName>
    <definedName name="nutzid" localSheetId="13">[1]Datenblatt!$C$1</definedName>
    <definedName name="nutzid" localSheetId="4">Datenblatt!$C$1</definedName>
    <definedName name="nutzid">Datenblatt!$C$1</definedName>
    <definedName name="Primaer" localSheetId="20">'SIA 380-1'!$R$28</definedName>
    <definedName name="Primaer" localSheetId="23">'SIA 380-1_EN'!$R$28</definedName>
    <definedName name="Primaer" localSheetId="22">'SIA 380-1_Qc'!$R$28</definedName>
    <definedName name="Primaer" localSheetId="24">'SIA 380-1_Qc_EN'!$R$28</definedName>
    <definedName name="QE" localSheetId="20">'SIA 380-1'!$D$41</definedName>
    <definedName name="QE" localSheetId="23">'SIA 380-1_EN'!$D$41</definedName>
    <definedName name="QE" localSheetId="22">'SIA 380-1_Qc'!$D$41</definedName>
    <definedName name="QE" localSheetId="24">'SIA 380-1_Qc_EN'!$D$41</definedName>
    <definedName name="Qh" localSheetId="20">'SIA 380-1'!$P$103</definedName>
    <definedName name="Qh" localSheetId="23">'SIA 380-1_EN'!$P$103</definedName>
    <definedName name="Qh" localSheetId="22">'SIA 380-1_Qc'!$P$103</definedName>
    <definedName name="Qh" localSheetId="24">'SIA 380-1_Qc_EN'!$P$103</definedName>
    <definedName name="QhmitWB" localSheetId="20">'SIA 380-1'!#REF!</definedName>
    <definedName name="QhmitWB" localSheetId="23">'SIA 380-1_EN'!#REF!</definedName>
    <definedName name="QhmitWB" localSheetId="22">'SIA 380-1_Qc'!#REF!</definedName>
    <definedName name="QhmitWB" localSheetId="24">'SIA 380-1_Qc_EN'!#REF!</definedName>
    <definedName name="QhzuHg" localSheetId="20">'SIA 380-1'!$J$57</definedName>
    <definedName name="QhzuHg" localSheetId="23">'SIA 380-1_EN'!$J$57</definedName>
    <definedName name="QhzuHg" localSheetId="22">'SIA 380-1_Qc'!$J$57</definedName>
    <definedName name="QhzuHg" localSheetId="24">'SIA 380-1_Qc_EN'!$J$57</definedName>
    <definedName name="QhzuHgAlt" localSheetId="20">'SIA 380-1'!$J$63</definedName>
    <definedName name="QhzuHgAlt" localSheetId="23">'SIA 380-1_EN'!$J$63</definedName>
    <definedName name="QhzuHgAlt" localSheetId="22">'SIA 380-1_Qc'!$J$63</definedName>
    <definedName name="QhzuHgAlt" localSheetId="24">'SIA 380-1_Qc_EN'!$J$63</definedName>
    <definedName name="QP" localSheetId="20">'SIA 380-1'!$D$37</definedName>
    <definedName name="QP" localSheetId="23">'SIA 380-1_EN'!$D$37</definedName>
    <definedName name="QP" localSheetId="22">'SIA 380-1_Qc'!$D$37</definedName>
    <definedName name="QP" localSheetId="24">'SIA 380-1_Qc_EN'!$D$37</definedName>
    <definedName name="QWW" localSheetId="20">'SIA 380-1'!$D$43</definedName>
    <definedName name="QWW" localSheetId="23">'SIA 380-1_EN'!$D$43</definedName>
    <definedName name="QWW" localSheetId="22">'SIA 380-1_Qc'!$D$43</definedName>
    <definedName name="QWW" localSheetId="24">'SIA 380-1_Qc_EN'!$D$43</definedName>
    <definedName name="Standard" localSheetId="20">'SIA 380-1'!$D$7</definedName>
    <definedName name="Standard" localSheetId="23">'SIA 380-1_EN'!$D$7</definedName>
    <definedName name="Standard" localSheetId="22">'SIA 380-1_Qc'!$D$7</definedName>
    <definedName name="Standard" localSheetId="24">'SIA 380-1_Qc_EN'!$D$7</definedName>
    <definedName name="tau0" localSheetId="20">'SIA 380-1'!$D$45</definedName>
    <definedName name="tau0" localSheetId="23">'SIA 380-1_EN'!$D$45</definedName>
    <definedName name="tau0" localSheetId="22">'SIA 380-1_Qc'!$D$45</definedName>
    <definedName name="tau0" localSheetId="24">'SIA 380-1_Qc_EN'!$D$45</definedName>
    <definedName name="Thetai" localSheetId="20">'SIA 380-1'!$D$58</definedName>
    <definedName name="Thetai" localSheetId="23">'SIA 380-1_EN'!$D$58</definedName>
    <definedName name="Thetai" localSheetId="22">'SIA 380-1_Qc'!$D$58</definedName>
    <definedName name="Thetai" localSheetId="24">'SIA 380-1_Qc_EN'!$D$58</definedName>
    <definedName name="Thetaig" localSheetId="20">'SIA 380-1'!$D$63</definedName>
    <definedName name="Thetaig" localSheetId="23">'SIA 380-1_EN'!$D$63</definedName>
    <definedName name="Thetaig" localSheetId="22">'SIA 380-1_Qc'!$D$63</definedName>
    <definedName name="Thetaig" localSheetId="24">'SIA 380-1_Qc_EN'!$D$63</definedName>
    <definedName name="tP" localSheetId="20">'SIA 380-1'!$D$38</definedName>
    <definedName name="tP" localSheetId="23">'SIA 380-1_EN'!$D$38</definedName>
    <definedName name="tP" localSheetId="22">'SIA 380-1_Qc'!$D$38</definedName>
    <definedName name="tP" localSheetId="24">'SIA 380-1_Qc_EN'!$D$38</definedName>
    <definedName name="U_Boden" localSheetId="20">'SIA 380-1'!$E$23</definedName>
    <definedName name="U_Boden" localSheetId="23">'SIA 380-1_EN'!$E$23</definedName>
    <definedName name="U_Boden" localSheetId="22">'SIA 380-1_Qc'!$E$23</definedName>
    <definedName name="U_Boden" localSheetId="24">'SIA 380-1_Qc_EN'!$E$23</definedName>
    <definedName name="U_DAFbeheizt" localSheetId="20">'SIA 380-1'!$E$22</definedName>
    <definedName name="U_DAFbeheizt" localSheetId="23">'SIA 380-1_EN'!$E$22</definedName>
    <definedName name="U_DAFbeheizt" localSheetId="22">'SIA 380-1_Qc'!$E$22</definedName>
    <definedName name="U_DAFbeheizt" localSheetId="24">'SIA 380-1_Qc_EN'!$E$22</definedName>
    <definedName name="U_E3" localSheetId="20">'SIA 380-1'!$E$14</definedName>
    <definedName name="U_E3" localSheetId="23">'SIA 380-1_EN'!$E$14</definedName>
    <definedName name="U_E3" localSheetId="22">'SIA 380-1_Qc'!$E$14</definedName>
    <definedName name="U_E3" localSheetId="24">'SIA 380-1_Qc_EN'!$E$14</definedName>
    <definedName name="U_E4" localSheetId="20">'SIA 380-1'!$E$15</definedName>
    <definedName name="U_E4" localSheetId="23">'SIA 380-1_EN'!$E$15</definedName>
    <definedName name="U_E4" localSheetId="22">'SIA 380-1_Qc'!$E$15</definedName>
    <definedName name="U_E4" localSheetId="24">'SIA 380-1_Qc_EN'!$E$15</definedName>
    <definedName name="U_E5" localSheetId="20">'SIA 380-1'!$E$16</definedName>
    <definedName name="U_E5" localSheetId="23">'SIA 380-1_EN'!$E$16</definedName>
    <definedName name="U_E5" localSheetId="22">'SIA 380-1_Qc'!$E$16</definedName>
    <definedName name="U_E5" localSheetId="24">'SIA 380-1_Qc_EN'!$E$16</definedName>
    <definedName name="U_gedaemmteDecken" localSheetId="20">'SIA 380-1'!$Q$32</definedName>
    <definedName name="U_gedaemmteDecken" localSheetId="23">'SIA 380-1_EN'!$Q$32</definedName>
    <definedName name="U_gedaemmteDecken" localSheetId="22">'SIA 380-1_Qc'!$Q$32</definedName>
    <definedName name="U_gedaemmteDecken" localSheetId="24">'SIA 380-1_Qc_EN'!$Q$32</definedName>
    <definedName name="VStandard" localSheetId="20">'SIA 380-1'!$D$34</definedName>
    <definedName name="VStandard" localSheetId="23">'SIA 380-1_EN'!$D$34</definedName>
    <definedName name="VStandard" localSheetId="22">'SIA 380-1_Qc'!$D$34</definedName>
    <definedName name="VStandard" localSheetId="24">'SIA 380-1_Qc_EN'!$D$34</definedName>
    <definedName name="Vth" localSheetId="20">'SIA 380-1'!$D$26</definedName>
    <definedName name="Vth" localSheetId="23">'SIA 380-1_EN'!$D$26</definedName>
    <definedName name="Vth" localSheetId="22">'SIA 380-1_Qc'!$D$26</definedName>
    <definedName name="Vth" localSheetId="24">'SIA 380-1_Qc_EN'!$D$26</definedName>
    <definedName name="WBZuschlag" localSheetId="20">'SIA 380-1'!$D$31</definedName>
    <definedName name="WBZuschlag" localSheetId="23">'SIA 380-1_EN'!$D$31</definedName>
    <definedName name="WBZuschlag" localSheetId="22">'SIA 380-1_Qc'!$D$31</definedName>
    <definedName name="WBZuschlag" localSheetId="24">'SIA 380-1_Qc_EN'!$D$31</definedName>
    <definedName name="WW" localSheetId="20">'SIA 380-1'!$D$46</definedName>
    <definedName name="WW" localSheetId="23">'SIA 380-1_EN'!$D$46</definedName>
    <definedName name="WW" localSheetId="22">'SIA 380-1_Qc'!$D$46</definedName>
    <definedName name="WW" localSheetId="24">'SIA 380-1_Qc_EN'!$D$46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4" i="14814" l="1"/>
  <c r="P75" i="14822"/>
  <c r="P74" i="14822"/>
  <c r="P73" i="14822"/>
  <c r="P72" i="14822"/>
  <c r="P71" i="14822"/>
  <c r="P70" i="14822"/>
  <c r="O75" i="14822"/>
  <c r="N75" i="14822"/>
  <c r="M75" i="14822"/>
  <c r="L75" i="14822"/>
  <c r="K75" i="14822"/>
  <c r="J75" i="14822"/>
  <c r="I75" i="14822"/>
  <c r="H75" i="14822"/>
  <c r="G75" i="14822"/>
  <c r="F75" i="14822"/>
  <c r="E75" i="14822"/>
  <c r="O74" i="14822"/>
  <c r="N74" i="14822"/>
  <c r="M74" i="14822"/>
  <c r="L74" i="14822"/>
  <c r="K74" i="14822"/>
  <c r="J74" i="14822"/>
  <c r="I74" i="14822"/>
  <c r="H74" i="14822"/>
  <c r="G74" i="14822"/>
  <c r="F74" i="14822"/>
  <c r="E74" i="14822"/>
  <c r="O73" i="14822"/>
  <c r="N73" i="14822"/>
  <c r="M73" i="14822"/>
  <c r="L73" i="14822"/>
  <c r="K73" i="14822"/>
  <c r="J73" i="14822"/>
  <c r="I73" i="14822"/>
  <c r="H73" i="14822"/>
  <c r="G73" i="14822"/>
  <c r="F73" i="14822"/>
  <c r="E73" i="14822"/>
  <c r="O72" i="14822"/>
  <c r="N72" i="14822"/>
  <c r="M72" i="14822"/>
  <c r="L72" i="14822"/>
  <c r="K72" i="14822"/>
  <c r="J72" i="14822"/>
  <c r="I72" i="14822"/>
  <c r="H72" i="14822"/>
  <c r="G72" i="14822"/>
  <c r="F72" i="14822"/>
  <c r="E72" i="14822"/>
  <c r="O71" i="14822"/>
  <c r="N71" i="14822"/>
  <c r="M71" i="14822"/>
  <c r="L71" i="14822"/>
  <c r="K71" i="14822"/>
  <c r="J71" i="14822"/>
  <c r="I71" i="14822"/>
  <c r="H71" i="14822"/>
  <c r="G71" i="14822"/>
  <c r="F71" i="14822"/>
  <c r="E71" i="14822"/>
  <c r="O70" i="14822"/>
  <c r="N70" i="14822"/>
  <c r="M70" i="14822"/>
  <c r="L70" i="14822"/>
  <c r="K70" i="14822"/>
  <c r="J70" i="14822"/>
  <c r="I70" i="14822"/>
  <c r="H70" i="14822"/>
  <c r="G70" i="14822"/>
  <c r="F70" i="14822"/>
  <c r="E70" i="14822"/>
  <c r="D71" i="14822"/>
  <c r="D72" i="14822"/>
  <c r="D73" i="14822"/>
  <c r="D74" i="14822"/>
  <c r="D75" i="14822"/>
  <c r="D70" i="14822"/>
  <c r="P75" i="14842"/>
  <c r="P74" i="14842"/>
  <c r="P73" i="14842"/>
  <c r="P72" i="14842"/>
  <c r="P71" i="14842"/>
  <c r="P70" i="14842"/>
  <c r="O75" i="14842"/>
  <c r="N75" i="14842"/>
  <c r="M75" i="14842"/>
  <c r="L75" i="14842"/>
  <c r="K75" i="14842"/>
  <c r="J75" i="14842"/>
  <c r="I75" i="14842"/>
  <c r="H75" i="14842"/>
  <c r="G75" i="14842"/>
  <c r="F75" i="14842"/>
  <c r="E75" i="14842"/>
  <c r="O74" i="14842"/>
  <c r="N74" i="14842"/>
  <c r="M74" i="14842"/>
  <c r="L74" i="14842"/>
  <c r="K74" i="14842"/>
  <c r="J74" i="14842"/>
  <c r="I74" i="14842"/>
  <c r="H74" i="14842"/>
  <c r="G74" i="14842"/>
  <c r="F74" i="14842"/>
  <c r="E74" i="14842"/>
  <c r="O73" i="14842"/>
  <c r="N73" i="14842"/>
  <c r="M73" i="14842"/>
  <c r="L73" i="14842"/>
  <c r="K73" i="14842"/>
  <c r="J73" i="14842"/>
  <c r="I73" i="14842"/>
  <c r="H73" i="14842"/>
  <c r="G73" i="14842"/>
  <c r="F73" i="14842"/>
  <c r="E73" i="14842"/>
  <c r="O72" i="14842"/>
  <c r="N72" i="14842"/>
  <c r="M72" i="14842"/>
  <c r="L72" i="14842"/>
  <c r="K72" i="14842"/>
  <c r="J72" i="14842"/>
  <c r="I72" i="14842"/>
  <c r="H72" i="14842"/>
  <c r="G72" i="14842"/>
  <c r="F72" i="14842"/>
  <c r="E72" i="14842"/>
  <c r="O71" i="14842"/>
  <c r="N71" i="14842"/>
  <c r="M71" i="14842"/>
  <c r="L71" i="14842"/>
  <c r="K71" i="14842"/>
  <c r="J71" i="14842"/>
  <c r="I71" i="14842"/>
  <c r="H71" i="14842"/>
  <c r="G71" i="14842"/>
  <c r="F71" i="14842"/>
  <c r="E71" i="14842"/>
  <c r="D75" i="14842"/>
  <c r="D74" i="14842"/>
  <c r="D73" i="14842"/>
  <c r="D72" i="14842"/>
  <c r="D71" i="14842"/>
  <c r="O70" i="14842"/>
  <c r="N70" i="14842"/>
  <c r="M70" i="14842"/>
  <c r="L70" i="14842"/>
  <c r="K70" i="14842"/>
  <c r="J70" i="14842"/>
  <c r="I70" i="14842"/>
  <c r="H70" i="14842"/>
  <c r="G70" i="14842"/>
  <c r="F70" i="14842"/>
  <c r="E70" i="14842"/>
  <c r="D70" i="14842"/>
  <c r="N64" i="14814"/>
  <c r="O64" i="14814"/>
  <c r="P64" i="14814"/>
  <c r="N65" i="14814"/>
  <c r="O65" i="14814"/>
  <c r="P65" i="14814"/>
  <c r="N66" i="14814"/>
  <c r="O66" i="14814"/>
  <c r="P66" i="14814"/>
  <c r="N67" i="14814"/>
  <c r="O67" i="14814"/>
  <c r="P67" i="14814"/>
  <c r="N68" i="14814"/>
  <c r="O68" i="14814"/>
  <c r="P68" i="14814"/>
  <c r="N69" i="14814"/>
  <c r="O69" i="14814"/>
  <c r="P69" i="14814"/>
  <c r="N70" i="14814"/>
  <c r="O70" i="14814"/>
  <c r="P70" i="14814"/>
  <c r="N71" i="14814"/>
  <c r="O71" i="14814"/>
  <c r="P71" i="14814"/>
  <c r="N72" i="14814"/>
  <c r="O72" i="14814"/>
  <c r="P72" i="14814"/>
  <c r="N73" i="14814"/>
  <c r="O73" i="14814"/>
  <c r="P73" i="14814"/>
  <c r="N74" i="14814"/>
  <c r="O74" i="14814"/>
  <c r="P74" i="14814"/>
  <c r="N75" i="14814"/>
  <c r="O75" i="14814"/>
  <c r="P75" i="14814"/>
  <c r="N76" i="14814"/>
  <c r="O76" i="14814"/>
  <c r="P76" i="14814"/>
  <c r="N77" i="14814"/>
  <c r="O77" i="14814"/>
  <c r="P77" i="14814"/>
  <c r="N78" i="14814"/>
  <c r="O78" i="14814"/>
  <c r="P78" i="14814"/>
  <c r="N79" i="14814"/>
  <c r="O79" i="14814"/>
  <c r="P79" i="14814"/>
  <c r="N80" i="14814"/>
  <c r="O80" i="14814"/>
  <c r="P80" i="14814"/>
  <c r="N81" i="14814"/>
  <c r="O81" i="14814"/>
  <c r="P81" i="14814"/>
  <c r="N82" i="14814"/>
  <c r="O82" i="14814"/>
  <c r="P82" i="14814"/>
  <c r="N83" i="14814"/>
  <c r="O83" i="14814"/>
  <c r="P83" i="14814"/>
  <c r="N84" i="14814"/>
  <c r="O84" i="14814"/>
  <c r="P84" i="14814"/>
  <c r="N85" i="14814"/>
  <c r="O85" i="14814"/>
  <c r="P85" i="14814"/>
  <c r="N86" i="14814"/>
  <c r="O86" i="14814"/>
  <c r="P86" i="14814"/>
  <c r="P63" i="14814"/>
  <c r="O63" i="14814"/>
  <c r="N63" i="14814"/>
  <c r="H98" i="14814" s="1"/>
  <c r="V98" i="14814"/>
  <c r="H1" i="14838"/>
  <c r="A3" i="14845"/>
  <c r="RD3" i="14853" l="1"/>
  <c r="QR3" i="14853"/>
  <c r="QF3" i="14853"/>
  <c r="PT3" i="14853"/>
  <c r="PH3" i="14853"/>
  <c r="OV3" i="14853"/>
  <c r="OJ3" i="14853"/>
  <c r="NX3" i="14853"/>
  <c r="NL3" i="14853"/>
  <c r="MZ3" i="14853"/>
  <c r="MN3" i="14853"/>
  <c r="MB3" i="14853"/>
  <c r="LP3" i="14853"/>
  <c r="LD3" i="14853"/>
  <c r="KR3" i="14853"/>
  <c r="KF3" i="14853"/>
  <c r="JT3" i="14853"/>
  <c r="JH3" i="14853"/>
  <c r="IV3" i="14853"/>
  <c r="IJ3" i="14853"/>
  <c r="HX3" i="14853"/>
  <c r="HL3" i="14853"/>
  <c r="GZ3" i="14853"/>
  <c r="GN3" i="14853"/>
  <c r="GB3" i="14853"/>
  <c r="FP3" i="14853"/>
  <c r="FD3" i="14853"/>
  <c r="ER3" i="14853"/>
  <c r="EF3" i="14853"/>
  <c r="DT3" i="14853"/>
  <c r="DH3" i="14853"/>
  <c r="CV3" i="14853"/>
  <c r="CJ3" i="14853"/>
  <c r="BX3" i="14853"/>
  <c r="BL3" i="14853"/>
  <c r="AZ3" i="14853"/>
  <c r="AN3" i="14853"/>
  <c r="AB3" i="14853"/>
  <c r="P3" i="14853"/>
  <c r="D3" i="14853"/>
  <c r="R275" i="14814" a="1"/>
  <c r="R275" i="14814" s="1"/>
  <c r="A51" i="14853" l="1"/>
  <c r="A50" i="14853"/>
  <c r="A49" i="14853"/>
  <c r="A48" i="14853"/>
  <c r="A47" i="14853"/>
  <c r="A46" i="14853"/>
  <c r="A45" i="14853"/>
  <c r="A44" i="14853"/>
  <c r="A43" i="14853"/>
  <c r="A42" i="14853"/>
  <c r="A41" i="14853"/>
  <c r="A40" i="14853"/>
  <c r="A39" i="14853"/>
  <c r="A38" i="14853"/>
  <c r="A37" i="14853"/>
  <c r="A36" i="14853"/>
  <c r="A35" i="14853"/>
  <c r="A34" i="14853"/>
  <c r="A33" i="14853"/>
  <c r="A32" i="14853"/>
  <c r="A31" i="14853"/>
  <c r="A30" i="14853"/>
  <c r="A29" i="14853"/>
  <c r="A28" i="14853"/>
  <c r="A27" i="14853"/>
  <c r="A26" i="14853"/>
  <c r="A25" i="14853"/>
  <c r="A24" i="14853"/>
  <c r="A23" i="14853"/>
  <c r="A22" i="14853"/>
  <c r="A21" i="14853"/>
  <c r="A20" i="14853"/>
  <c r="A19" i="14853"/>
  <c r="A18" i="14853"/>
  <c r="A17" i="14853"/>
  <c r="A16" i="14853"/>
  <c r="A15" i="14853"/>
  <c r="A14" i="14853"/>
  <c r="A13" i="14853"/>
  <c r="A12" i="14853"/>
  <c r="A11" i="14853"/>
  <c r="A10" i="14853"/>
  <c r="A9" i="14853"/>
  <c r="A8" i="14853"/>
  <c r="A7" i="14853"/>
  <c r="AJ110" i="14842"/>
  <c r="AI110" i="14842"/>
  <c r="AH110" i="14842"/>
  <c r="AG110" i="14842"/>
  <c r="AF110" i="14842"/>
  <c r="AE110" i="14842"/>
  <c r="AD110" i="14842"/>
  <c r="AC110" i="14842"/>
  <c r="AB110" i="14842"/>
  <c r="AA110" i="14842"/>
  <c r="Z110" i="14842"/>
  <c r="Y110" i="14842"/>
  <c r="X110" i="14842"/>
  <c r="AJ129" i="14842"/>
  <c r="AJ128" i="14842"/>
  <c r="AI69" i="14842"/>
  <c r="AH69" i="14842"/>
  <c r="AG69" i="14842"/>
  <c r="AF69" i="14842"/>
  <c r="AE69" i="14842"/>
  <c r="AD69" i="14842"/>
  <c r="AC69" i="14842"/>
  <c r="AB69" i="14842"/>
  <c r="AA69" i="14842"/>
  <c r="Z69" i="14842"/>
  <c r="Y69" i="14842"/>
  <c r="X69" i="14842"/>
  <c r="V136" i="14842"/>
  <c r="V135" i="14842"/>
  <c r="P142" i="14842"/>
  <c r="BV53" i="14809" l="1"/>
  <c r="BV52" i="14809"/>
  <c r="BV51" i="14809"/>
  <c r="BV50" i="14809"/>
  <c r="BV49" i="14809"/>
  <c r="BV48" i="14809"/>
  <c r="BV47" i="14809"/>
  <c r="BV46" i="14809"/>
  <c r="BV45" i="14809"/>
  <c r="BV44" i="14809"/>
  <c r="BV43" i="14809"/>
  <c r="BV42" i="14809"/>
  <c r="BV41" i="14809"/>
  <c r="BV40" i="14809"/>
  <c r="BV39" i="14809"/>
  <c r="BV38" i="14809"/>
  <c r="BV37" i="14809"/>
  <c r="BV36" i="14809"/>
  <c r="BV35" i="14809"/>
  <c r="BV34" i="14809"/>
  <c r="BV33" i="14809"/>
  <c r="BV32" i="14809"/>
  <c r="BV31" i="14809"/>
  <c r="BV30" i="14809"/>
  <c r="BV29" i="14809"/>
  <c r="BV28" i="14809"/>
  <c r="BV27" i="14809"/>
  <c r="BV26" i="14809"/>
  <c r="BV25" i="14809"/>
  <c r="BV24" i="14809"/>
  <c r="BV23" i="14809"/>
  <c r="BV22" i="14809"/>
  <c r="BV21" i="14809"/>
  <c r="BV20" i="14809"/>
  <c r="BV19" i="14809"/>
  <c r="BV18" i="14809"/>
  <c r="BV17" i="14809"/>
  <c r="BV16" i="14809"/>
  <c r="BV15" i="14809"/>
  <c r="BV14" i="14809"/>
  <c r="BV13" i="14809"/>
  <c r="BV12" i="14809"/>
  <c r="BV11" i="14809"/>
  <c r="BV10" i="14809"/>
  <c r="BV9" i="14809"/>
  <c r="BU10" i="14809"/>
  <c r="BU9" i="14809"/>
  <c r="BU11" i="14809"/>
  <c r="M5" i="14786" l="1"/>
  <c r="AA58" i="14814"/>
  <c r="AD60" i="14814"/>
  <c r="Z60" i="14814"/>
  <c r="M402" i="14786" l="1"/>
  <c r="J402" i="14786"/>
  <c r="I402" i="14786"/>
  <c r="G402" i="14786"/>
  <c r="F402" i="14786"/>
  <c r="D402" i="14786"/>
  <c r="BX13" i="14809" l="1"/>
  <c r="F382" i="14829"/>
  <c r="F383" i="14829"/>
  <c r="F384" i="14829"/>
  <c r="F385" i="14829"/>
  <c r="H212" i="14852" s="1"/>
  <c r="F386" i="14829"/>
  <c r="F387" i="14829"/>
  <c r="F388" i="14829"/>
  <c r="F389" i="14829"/>
  <c r="F390" i="14829"/>
  <c r="D31" i="14848"/>
  <c r="D31" i="14847"/>
  <c r="R336" i="14814" a="1"/>
  <c r="R336" i="14814" s="1"/>
  <c r="O171" i="14852"/>
  <c r="N171" i="14852"/>
  <c r="M171" i="14852"/>
  <c r="M117" i="14852"/>
  <c r="N110" i="14852"/>
  <c r="O106" i="14852"/>
  <c r="O105" i="14852"/>
  <c r="O110" i="14852" s="1"/>
  <c r="M104" i="14852"/>
  <c r="O91" i="14852"/>
  <c r="N91" i="14852"/>
  <c r="M7" i="14852"/>
  <c r="M6" i="14852"/>
  <c r="M5" i="14852"/>
  <c r="F18" i="14829"/>
  <c r="F17" i="14829"/>
  <c r="AZ344" i="14814"/>
  <c r="BA344" i="14814" s="1"/>
  <c r="BB344" i="14814" s="1"/>
  <c r="BC344" i="14814" s="1"/>
  <c r="BD344" i="14814" s="1"/>
  <c r="AS344" i="14814"/>
  <c r="AT344" i="14814" s="1"/>
  <c r="AU344" i="14814" s="1"/>
  <c r="AV344" i="14814" s="1"/>
  <c r="AW344" i="14814" s="1"/>
  <c r="AX344" i="14814" s="1"/>
  <c r="BA284" i="14814"/>
  <c r="BB284" i="14814" s="1"/>
  <c r="BC284" i="14814" s="1"/>
  <c r="BD284" i="14814" s="1"/>
  <c r="AZ284" i="14814"/>
  <c r="AT284" i="14814"/>
  <c r="AU284" i="14814" s="1"/>
  <c r="AS284" i="14814"/>
  <c r="AV284" i="14814" l="1"/>
  <c r="AW284" i="14814" s="1"/>
  <c r="AX284" i="14814" s="1"/>
  <c r="W275" i="14814"/>
  <c r="W278" i="14814" s="1"/>
  <c r="O117" i="14852"/>
  <c r="DD10" i="14835"/>
  <c r="F242" i="14829"/>
  <c r="BW6" i="14809" s="1"/>
  <c r="X278" i="14814" l="1"/>
  <c r="AH278" i="14814"/>
  <c r="F420" i="14829"/>
  <c r="F207" i="14829"/>
  <c r="F208" i="14829"/>
  <c r="F209" i="14829"/>
  <c r="F203" i="14829"/>
  <c r="AM6" i="14809" s="1"/>
  <c r="F202" i="14829"/>
  <c r="AL6" i="14809" s="1"/>
  <c r="F244" i="14829"/>
  <c r="BY7" i="14809" s="1"/>
  <c r="F243" i="14829"/>
  <c r="BX7" i="14809" s="1"/>
  <c r="F104" i="14829"/>
  <c r="F108" i="14829"/>
  <c r="C187" i="14852" s="1"/>
  <c r="F112" i="14829"/>
  <c r="C57" i="14852" s="1"/>
  <c r="F116" i="14829"/>
  <c r="F120" i="14829"/>
  <c r="C122" i="14852" s="1"/>
  <c r="F124" i="14829"/>
  <c r="C175" i="14852" s="1"/>
  <c r="F27" i="14829"/>
  <c r="C41" i="14852" s="1"/>
  <c r="F105" i="14829"/>
  <c r="C139" i="14852" s="1"/>
  <c r="F109" i="14829"/>
  <c r="C14" i="14852" s="1"/>
  <c r="F113" i="14829"/>
  <c r="C53" i="14852" s="1"/>
  <c r="F117" i="14829"/>
  <c r="C198" i="14852" s="1"/>
  <c r="F121" i="14829"/>
  <c r="C80" i="14852" s="1"/>
  <c r="F125" i="14829"/>
  <c r="C193" i="14852" s="1"/>
  <c r="F28" i="14829"/>
  <c r="C138" i="14852" s="1"/>
  <c r="F102" i="14829"/>
  <c r="C142" i="14852" s="1"/>
  <c r="F106" i="14829"/>
  <c r="C177" i="14852" s="1"/>
  <c r="F110" i="14829"/>
  <c r="C173" i="14852" s="1"/>
  <c r="F114" i="14829"/>
  <c r="C76" i="14852" s="1"/>
  <c r="F122" i="14829"/>
  <c r="H198" i="14852" s="1"/>
  <c r="F126" i="14829"/>
  <c r="C195" i="14852" s="1"/>
  <c r="F29" i="14829"/>
  <c r="C192" i="14852" s="1"/>
  <c r="F107" i="14829"/>
  <c r="C179" i="14852" s="1"/>
  <c r="F111" i="14829"/>
  <c r="C194" i="14852" s="1"/>
  <c r="F119" i="14829"/>
  <c r="F127" i="14829"/>
  <c r="C176" i="14852" s="1"/>
  <c r="F118" i="14829"/>
  <c r="C60" i="14852" s="1"/>
  <c r="F103" i="14829"/>
  <c r="F115" i="14829"/>
  <c r="C109" i="14852" s="1"/>
  <c r="F123" i="14829"/>
  <c r="C28" i="14852" s="1"/>
  <c r="F287" i="14829"/>
  <c r="F212" i="14829"/>
  <c r="BM6" i="14809" s="1"/>
  <c r="C137" i="14852" l="1"/>
  <c r="C136" i="14852"/>
  <c r="BO52" i="14809"/>
  <c r="BO48" i="14809"/>
  <c r="BO44" i="14809"/>
  <c r="BO51" i="14809"/>
  <c r="BO47" i="14809"/>
  <c r="BO43" i="14809"/>
  <c r="BO49" i="14809"/>
  <c r="BO50" i="14809"/>
  <c r="BO46" i="14809"/>
  <c r="BO42" i="14809"/>
  <c r="BO45" i="14809"/>
  <c r="BO40" i="14809"/>
  <c r="BO20" i="14809"/>
  <c r="BO15" i="14809"/>
  <c r="BO39" i="14809"/>
  <c r="BO26" i="14809"/>
  <c r="BO19" i="14809"/>
  <c r="BO14" i="14809"/>
  <c r="BO41" i="14809"/>
  <c r="BO21" i="14809"/>
  <c r="BO17" i="14809"/>
  <c r="BO38" i="14809"/>
  <c r="BO25" i="14809"/>
  <c r="BO18" i="14809"/>
  <c r="BO13" i="14809"/>
  <c r="BO37" i="14809"/>
  <c r="BO31" i="14809"/>
  <c r="BO27" i="14809"/>
  <c r="BO16" i="14809"/>
  <c r="BO34" i="14809"/>
  <c r="BO30" i="14809"/>
  <c r="BO24" i="14809"/>
  <c r="BO12" i="14809"/>
  <c r="BO33" i="14809"/>
  <c r="BO23" i="14809"/>
  <c r="BO11" i="14809"/>
  <c r="BO32" i="14809"/>
  <c r="BO22" i="14809"/>
  <c r="BO29" i="14809"/>
  <c r="BO53" i="14809"/>
  <c r="BO28" i="14809"/>
  <c r="GO48" i="14809"/>
  <c r="GO46" i="14809"/>
  <c r="GO47" i="14809"/>
  <c r="S110" i="14847"/>
  <c r="S110" i="14822"/>
  <c r="S110" i="14848"/>
  <c r="D31" i="14842"/>
  <c r="K9" i="14809"/>
  <c r="K53" i="14809"/>
  <c r="K52" i="14809"/>
  <c r="K51" i="14809"/>
  <c r="K50" i="14809"/>
  <c r="K49" i="14809"/>
  <c r="K48" i="14809"/>
  <c r="K47" i="14809"/>
  <c r="K46" i="14809"/>
  <c r="K45" i="14809"/>
  <c r="K44" i="14809"/>
  <c r="K43" i="14809"/>
  <c r="K42" i="14809"/>
  <c r="K41" i="14809"/>
  <c r="K40" i="14809"/>
  <c r="K39" i="14809"/>
  <c r="K38" i="14809"/>
  <c r="K37" i="14809"/>
  <c r="K36" i="14809"/>
  <c r="K35" i="14809"/>
  <c r="K34" i="14809"/>
  <c r="K33" i="14809"/>
  <c r="K32" i="14809"/>
  <c r="K31" i="14809"/>
  <c r="K30" i="14809"/>
  <c r="K29" i="14809"/>
  <c r="K28" i="14809"/>
  <c r="K27" i="14809"/>
  <c r="K26" i="14809"/>
  <c r="K25" i="14809"/>
  <c r="K24" i="14809"/>
  <c r="K23" i="14809"/>
  <c r="K22" i="14809"/>
  <c r="K21" i="14809"/>
  <c r="K20" i="14809"/>
  <c r="K19" i="14809"/>
  <c r="K18" i="14809"/>
  <c r="K17" i="14809"/>
  <c r="K16" i="14809"/>
  <c r="K15" i="14809"/>
  <c r="K14" i="14809"/>
  <c r="K13" i="14809"/>
  <c r="K12" i="14809"/>
  <c r="K11" i="14809"/>
  <c r="K10" i="14809"/>
  <c r="F8" i="14829"/>
  <c r="IE10" i="14809"/>
  <c r="IE11" i="14809"/>
  <c r="IE12" i="14809"/>
  <c r="IE13" i="14809"/>
  <c r="IE14" i="14809"/>
  <c r="IE15" i="14809"/>
  <c r="IE16" i="14809"/>
  <c r="IE17" i="14809"/>
  <c r="IE18" i="14809"/>
  <c r="IE19" i="14809"/>
  <c r="IE20" i="14809"/>
  <c r="IE21" i="14809"/>
  <c r="IE22" i="14809"/>
  <c r="IE23" i="14809"/>
  <c r="IE24" i="14809"/>
  <c r="IE25" i="14809"/>
  <c r="IE26" i="14809"/>
  <c r="IE27" i="14809"/>
  <c r="IE28" i="14809"/>
  <c r="IE29" i="14809"/>
  <c r="IE30" i="14809"/>
  <c r="IE31" i="14809"/>
  <c r="IE32" i="14809"/>
  <c r="IE33" i="14809"/>
  <c r="IE34" i="14809"/>
  <c r="IE35" i="14809"/>
  <c r="IE36" i="14809"/>
  <c r="IE37" i="14809"/>
  <c r="IE38" i="14809"/>
  <c r="IE39" i="14809"/>
  <c r="IE40" i="14809"/>
  <c r="IE41" i="14809"/>
  <c r="IE42" i="14809"/>
  <c r="IE43" i="14809"/>
  <c r="IE44" i="14809"/>
  <c r="IE45" i="14809"/>
  <c r="IE46" i="14809"/>
  <c r="IE47" i="14809"/>
  <c r="IE48" i="14809"/>
  <c r="IE49" i="14809"/>
  <c r="IE50" i="14809"/>
  <c r="IE51" i="14809"/>
  <c r="IE52" i="14809"/>
  <c r="IE53" i="14809"/>
  <c r="IE9" i="14809"/>
  <c r="P172" i="14842"/>
  <c r="B136" i="14842"/>
  <c r="B135" i="14842"/>
  <c r="P110" i="14842"/>
  <c r="S110" i="14842" s="1"/>
  <c r="B106" i="14842"/>
  <c r="Y275" i="14814"/>
  <c r="A375" i="14814"/>
  <c r="A374" i="14814"/>
  <c r="A373" i="14814"/>
  <c r="A340" i="14814"/>
  <c r="A341" i="14814" s="1"/>
  <c r="A342" i="14814" s="1"/>
  <c r="A343" i="14814" s="1"/>
  <c r="A344" i="14814" s="1"/>
  <c r="A345" i="14814" s="1"/>
  <c r="A346" i="14814" s="1"/>
  <c r="A347" i="14814" s="1"/>
  <c r="A348" i="14814" s="1"/>
  <c r="A349" i="14814" s="1"/>
  <c r="A350" i="14814" s="1"/>
  <c r="A351" i="14814" s="1"/>
  <c r="A352" i="14814" s="1"/>
  <c r="A353" i="14814" s="1"/>
  <c r="A354" i="14814" s="1"/>
  <c r="A355" i="14814" s="1"/>
  <c r="A356" i="14814" s="1"/>
  <c r="A357" i="14814" s="1"/>
  <c r="A358" i="14814" s="1"/>
  <c r="A359" i="14814" s="1"/>
  <c r="A360" i="14814" s="1"/>
  <c r="A361" i="14814" s="1"/>
  <c r="A362" i="14814" s="1"/>
  <c r="F406" i="14829"/>
  <c r="F403" i="14829"/>
  <c r="F413" i="14829"/>
  <c r="Y231" i="14814" s="1"/>
  <c r="F412" i="14829"/>
  <c r="U567" i="14814" s="1"/>
  <c r="F411" i="14829"/>
  <c r="P91" i="14814" s="1"/>
  <c r="P151" i="14814" s="1"/>
  <c r="F410" i="14829"/>
  <c r="Q567" i="14814" s="1"/>
  <c r="Q587" i="14814" s="1"/>
  <c r="F409" i="14829"/>
  <c r="H91" i="14814" s="1"/>
  <c r="F408" i="14829"/>
  <c r="K567" i="14814" s="1"/>
  <c r="F407" i="14829"/>
  <c r="F91" i="14814" s="1"/>
  <c r="F191" i="14814" s="1"/>
  <c r="F405" i="14829"/>
  <c r="F404" i="14829"/>
  <c r="C91" i="14814" s="1"/>
  <c r="C191" i="14814" s="1"/>
  <c r="F415" i="14829"/>
  <c r="A312" i="14814" s="1"/>
  <c r="F414" i="14829"/>
  <c r="F417" i="14829"/>
  <c r="A314" i="14814" s="1"/>
  <c r="F418" i="14829"/>
  <c r="A313" i="14814" s="1"/>
  <c r="F419" i="14829"/>
  <c r="F421" i="14829"/>
  <c r="F210" i="14829"/>
  <c r="C115" i="14852" s="1"/>
  <c r="J271" i="14814" l="1"/>
  <c r="J332" i="14814"/>
  <c r="K587" i="14814"/>
  <c r="E402" i="14786"/>
  <c r="U587" i="14814"/>
  <c r="O402" i="14786"/>
  <c r="D91" i="14814"/>
  <c r="D191" i="14814" s="1"/>
  <c r="E267" i="14852"/>
  <c r="E91" i="14814"/>
  <c r="E191" i="14814" s="1"/>
  <c r="F267" i="14852"/>
  <c r="AF91" i="14814"/>
  <c r="P231" i="14814"/>
  <c r="H231" i="14814"/>
  <c r="H191" i="14814"/>
  <c r="H151" i="14814"/>
  <c r="N567" i="14814"/>
  <c r="C151" i="14814"/>
  <c r="Z231" i="14814"/>
  <c r="K91" i="14814"/>
  <c r="U91" i="14814"/>
  <c r="C231" i="14814"/>
  <c r="E267" i="14786"/>
  <c r="T91" i="14814"/>
  <c r="T151" i="14814" s="1"/>
  <c r="P191" i="14814"/>
  <c r="V567" i="14814"/>
  <c r="V587" i="14814" s="1"/>
  <c r="F267" i="14786"/>
  <c r="F231" i="14814"/>
  <c r="F151" i="14814"/>
  <c r="T567" i="14814"/>
  <c r="I567" i="14814"/>
  <c r="E231" i="14814" l="1"/>
  <c r="N587" i="14814"/>
  <c r="H402" i="14786"/>
  <c r="I587" i="14814"/>
  <c r="C402" i="14786"/>
  <c r="T587" i="14814"/>
  <c r="N402" i="14786"/>
  <c r="E151" i="14814"/>
  <c r="D151" i="14814"/>
  <c r="D231" i="14814"/>
  <c r="U231" i="14814"/>
  <c r="U191" i="14814"/>
  <c r="T191" i="14814"/>
  <c r="T231" i="14814"/>
  <c r="K231" i="14814"/>
  <c r="K151" i="14814"/>
  <c r="K191" i="14814"/>
  <c r="F100" i="14829" l="1"/>
  <c r="AT6" i="14809" s="1"/>
  <c r="BX27" i="14809"/>
  <c r="AW43" i="14809"/>
  <c r="AT44" i="14809"/>
  <c r="AT43" i="14809"/>
  <c r="AV44" i="14809"/>
  <c r="AW53" i="14809" l="1"/>
  <c r="AV53" i="14809"/>
  <c r="AU53" i="14809"/>
  <c r="AT53" i="14809"/>
  <c r="AW52" i="14809"/>
  <c r="AV52" i="14809"/>
  <c r="AU52" i="14809"/>
  <c r="AT52" i="14809"/>
  <c r="AW51" i="14809"/>
  <c r="AV51" i="14809"/>
  <c r="AU51" i="14809"/>
  <c r="AT51" i="14809"/>
  <c r="AW50" i="14809"/>
  <c r="AV50" i="14809"/>
  <c r="AU50" i="14809"/>
  <c r="AT50" i="14809"/>
  <c r="AW49" i="14809"/>
  <c r="AV49" i="14809"/>
  <c r="AU49" i="14809"/>
  <c r="AT49" i="14809"/>
  <c r="AW48" i="14809"/>
  <c r="AV48" i="14809"/>
  <c r="AU48" i="14809"/>
  <c r="AT48" i="14809"/>
  <c r="AW47" i="14809"/>
  <c r="AV47" i="14809"/>
  <c r="AU47" i="14809"/>
  <c r="AT47" i="14809"/>
  <c r="AW46" i="14809"/>
  <c r="AV46" i="14809"/>
  <c r="AU46" i="14809"/>
  <c r="AT46" i="14809"/>
  <c r="AV45" i="14809"/>
  <c r="AT45" i="14809"/>
  <c r="AV43" i="14809"/>
  <c r="AU43" i="14809"/>
  <c r="AW42" i="14809"/>
  <c r="AV42" i="14809"/>
  <c r="AU42" i="14809"/>
  <c r="AT42" i="14809"/>
  <c r="AV41" i="14809"/>
  <c r="AT41" i="14809"/>
  <c r="AV38" i="14809"/>
  <c r="AT38" i="14809"/>
  <c r="AW37" i="14809"/>
  <c r="AV37" i="14809"/>
  <c r="AU37" i="14809"/>
  <c r="AT37" i="14809"/>
  <c r="AW36" i="14809"/>
  <c r="AV36" i="14809"/>
  <c r="AU36" i="14809"/>
  <c r="AT36" i="14809"/>
  <c r="AV34" i="14809"/>
  <c r="AT34" i="14809"/>
  <c r="AW33" i="14809"/>
  <c r="AV33" i="14809"/>
  <c r="AU33" i="14809"/>
  <c r="AT33" i="14809"/>
  <c r="AV32" i="14809"/>
  <c r="AT32" i="14809"/>
  <c r="AW31" i="14809"/>
  <c r="AV31" i="14809"/>
  <c r="AU31" i="14809"/>
  <c r="AT31" i="14809"/>
  <c r="AW30" i="14809"/>
  <c r="AV30" i="14809"/>
  <c r="AU30" i="14809"/>
  <c r="AT30" i="14809"/>
  <c r="AW29" i="14809"/>
  <c r="AV29" i="14809"/>
  <c r="AU29" i="14809"/>
  <c r="AT29" i="14809"/>
  <c r="AW26" i="14809"/>
  <c r="AV26" i="14809"/>
  <c r="AU26" i="14809"/>
  <c r="AT26" i="14809"/>
  <c r="AW25" i="14809"/>
  <c r="AV25" i="14809"/>
  <c r="AU25" i="14809"/>
  <c r="AT25" i="14809"/>
  <c r="AW24" i="14809"/>
  <c r="AV24" i="14809"/>
  <c r="AT24" i="14809"/>
  <c r="AW23" i="14809"/>
  <c r="AV23" i="14809"/>
  <c r="AT23" i="14809"/>
  <c r="AW22" i="14809"/>
  <c r="AV22" i="14809"/>
  <c r="AT22" i="14809"/>
  <c r="AW21" i="14809"/>
  <c r="AV21" i="14809"/>
  <c r="AU21" i="14809"/>
  <c r="AT21" i="14809"/>
  <c r="AW20" i="14809"/>
  <c r="AV20" i="14809"/>
  <c r="AU20" i="14809"/>
  <c r="AT20" i="14809"/>
  <c r="AW19" i="14809"/>
  <c r="AV19" i="14809"/>
  <c r="AU19" i="14809"/>
  <c r="AT19" i="14809"/>
  <c r="AW18" i="14809"/>
  <c r="AV18" i="14809"/>
  <c r="AU18" i="14809"/>
  <c r="AT18" i="14809"/>
  <c r="AW17" i="14809"/>
  <c r="AV17" i="14809"/>
  <c r="AU17" i="14809"/>
  <c r="AT17" i="14809"/>
  <c r="AW16" i="14809"/>
  <c r="AV16" i="14809"/>
  <c r="AT16" i="14809"/>
  <c r="AW15" i="14809"/>
  <c r="AV15" i="14809"/>
  <c r="AU15" i="14809"/>
  <c r="AT15" i="14809"/>
  <c r="AW14" i="14809"/>
  <c r="AV14" i="14809"/>
  <c r="AU14" i="14809"/>
  <c r="AT14" i="14809"/>
  <c r="AW13" i="14809"/>
  <c r="AV13" i="14809"/>
  <c r="AU13" i="14809"/>
  <c r="AT13" i="14809"/>
  <c r="AW12" i="14809"/>
  <c r="AV12" i="14809"/>
  <c r="AU12" i="14809"/>
  <c r="AT12" i="14809"/>
  <c r="AW11" i="14809"/>
  <c r="AV11" i="14809"/>
  <c r="AU11" i="14809"/>
  <c r="AT11" i="14809"/>
  <c r="AW10" i="14809"/>
  <c r="AV10" i="14809"/>
  <c r="AU10" i="14809"/>
  <c r="AT10" i="14809"/>
  <c r="AW9" i="14809"/>
  <c r="AV9" i="14809"/>
  <c r="AU9" i="14809"/>
  <c r="AT9" i="14809"/>
  <c r="BX32" i="14809"/>
  <c r="AA7" i="14843"/>
  <c r="AR8" i="14843"/>
  <c r="AR9" i="14843"/>
  <c r="AR10" i="14843"/>
  <c r="AR11" i="14843"/>
  <c r="AR12" i="14843"/>
  <c r="AR13" i="14843"/>
  <c r="AR14" i="14843"/>
  <c r="AR15" i="14843"/>
  <c r="AR16" i="14843"/>
  <c r="AR17" i="14843"/>
  <c r="AR18" i="14843"/>
  <c r="AR19" i="14843"/>
  <c r="AR20" i="14843"/>
  <c r="AR21" i="14843"/>
  <c r="AR22" i="14843"/>
  <c r="AR23" i="14843"/>
  <c r="AR24" i="14843"/>
  <c r="AR25" i="14843"/>
  <c r="AR26" i="14843"/>
  <c r="AR27" i="14843"/>
  <c r="AR28" i="14843"/>
  <c r="AR29" i="14843"/>
  <c r="AR30" i="14843"/>
  <c r="AR31" i="14843"/>
  <c r="AR32" i="14843"/>
  <c r="AR33" i="14843"/>
  <c r="AR34" i="14843"/>
  <c r="AR35" i="14843"/>
  <c r="AR36" i="14843"/>
  <c r="AR37" i="14843"/>
  <c r="AR38" i="14843"/>
  <c r="AR39" i="14843"/>
  <c r="AR40" i="14843"/>
  <c r="AR41" i="14843"/>
  <c r="AR43" i="14843"/>
  <c r="AR44" i="14843"/>
  <c r="AR45" i="14843"/>
  <c r="AR46" i="14843"/>
  <c r="AR47" i="14843"/>
  <c r="AR48" i="14843"/>
  <c r="AR49" i="14843"/>
  <c r="AR51" i="14843"/>
  <c r="AR7" i="14843"/>
  <c r="D60" i="14843" l="1"/>
  <c r="S7" i="14843"/>
  <c r="R7" i="14843"/>
  <c r="AC8" i="14843" l="1"/>
  <c r="AC9" i="14843"/>
  <c r="AC10" i="14843"/>
  <c r="AC11" i="14843"/>
  <c r="AC12" i="14843"/>
  <c r="AC13" i="14843"/>
  <c r="AC14" i="14843"/>
  <c r="AC15" i="14843"/>
  <c r="AC16" i="14843"/>
  <c r="AC17" i="14843"/>
  <c r="AC18" i="14843"/>
  <c r="AC19" i="14843"/>
  <c r="AC20" i="14843"/>
  <c r="AC21" i="14843"/>
  <c r="AC22" i="14843"/>
  <c r="AC23" i="14843"/>
  <c r="AC24" i="14843"/>
  <c r="AC25" i="14843"/>
  <c r="AC26" i="14843"/>
  <c r="AC27" i="14843"/>
  <c r="AC28" i="14843"/>
  <c r="AC29" i="14843"/>
  <c r="AC30" i="14843"/>
  <c r="AC31" i="14843"/>
  <c r="AC32" i="14843"/>
  <c r="AC33" i="14843"/>
  <c r="AC34" i="14843"/>
  <c r="AC35" i="14843"/>
  <c r="AC36" i="14843"/>
  <c r="AC37" i="14843"/>
  <c r="AC38" i="14843"/>
  <c r="AC39" i="14843"/>
  <c r="AC40" i="14843"/>
  <c r="AC41" i="14843"/>
  <c r="AC42" i="14843"/>
  <c r="AC43" i="14843"/>
  <c r="AC44" i="14843"/>
  <c r="AC45" i="14843"/>
  <c r="AC46" i="14843"/>
  <c r="AC47" i="14843"/>
  <c r="AC48" i="14843"/>
  <c r="AC49" i="14843"/>
  <c r="AC50" i="14843"/>
  <c r="AC51" i="14843"/>
  <c r="AC7" i="14843"/>
  <c r="AA42" i="14843"/>
  <c r="AA50" i="14843"/>
  <c r="AA51" i="14843" l="1"/>
  <c r="AA49" i="14843"/>
  <c r="AA48" i="14843"/>
  <c r="AA46" i="14843"/>
  <c r="AA45" i="14843"/>
  <c r="AA44" i="14843"/>
  <c r="AA41" i="14843"/>
  <c r="AA40" i="14843"/>
  <c r="AA39" i="14843"/>
  <c r="AA37" i="14843"/>
  <c r="AA36" i="14843"/>
  <c r="AA35" i="14843"/>
  <c r="AA33" i="14843"/>
  <c r="AA32" i="14843"/>
  <c r="AA31" i="14843"/>
  <c r="AA29" i="14843"/>
  <c r="AA28" i="14843"/>
  <c r="AA27" i="14843"/>
  <c r="AA25" i="14843"/>
  <c r="AA24" i="14843"/>
  <c r="AA23" i="14843"/>
  <c r="AA21" i="14843"/>
  <c r="AA20" i="14843"/>
  <c r="AA19" i="14843"/>
  <c r="AA17" i="14843"/>
  <c r="AA16" i="14843"/>
  <c r="AA15" i="14843"/>
  <c r="AA13" i="14843"/>
  <c r="AA12" i="14843"/>
  <c r="AA11" i="14843"/>
  <c r="AA9" i="14843"/>
  <c r="AA8" i="14843"/>
  <c r="BY32" i="14809"/>
  <c r="BX46" i="14809"/>
  <c r="BZ46" i="14809" s="1"/>
  <c r="BX41" i="14809"/>
  <c r="BX40" i="14809"/>
  <c r="BX39" i="14809"/>
  <c r="BX38" i="14809"/>
  <c r="BX37" i="14809"/>
  <c r="BX36" i="14809"/>
  <c r="BX35" i="14809"/>
  <c r="BX34" i="14809"/>
  <c r="BX33" i="14809"/>
  <c r="BY33" i="14809" s="1"/>
  <c r="BX31" i="14809"/>
  <c r="BX30" i="14809"/>
  <c r="BX29" i="14809"/>
  <c r="BX28" i="14809"/>
  <c r="BX26" i="14809"/>
  <c r="BX25" i="14809"/>
  <c r="BX24" i="14809"/>
  <c r="BX23" i="14809"/>
  <c r="BX22" i="14809"/>
  <c r="BX21" i="14809"/>
  <c r="BZ21" i="14809" s="1"/>
  <c r="BX20" i="14809"/>
  <c r="BX19" i="14809"/>
  <c r="BX18" i="14809"/>
  <c r="BX17" i="14809"/>
  <c r="BX16" i="14809"/>
  <c r="BX15" i="14809"/>
  <c r="BX14" i="14809"/>
  <c r="BX12" i="14809"/>
  <c r="BX11" i="14809"/>
  <c r="BX10" i="14809"/>
  <c r="BX9" i="14809"/>
  <c r="BZ9" i="14809" s="1"/>
  <c r="AH8" i="14843"/>
  <c r="AH9" i="14843"/>
  <c r="AH10" i="14843"/>
  <c r="AH11" i="14843"/>
  <c r="AH12" i="14843"/>
  <c r="AH13" i="14843"/>
  <c r="AH14" i="14843"/>
  <c r="AH15" i="14843"/>
  <c r="AH16" i="14843"/>
  <c r="AH17" i="14843"/>
  <c r="AH18" i="14843"/>
  <c r="AH19" i="14843"/>
  <c r="AH20" i="14843"/>
  <c r="AH21" i="14843"/>
  <c r="AH22" i="14843"/>
  <c r="AH23" i="14843"/>
  <c r="AH24" i="14843"/>
  <c r="AH25" i="14843"/>
  <c r="AH26" i="14843"/>
  <c r="AH27" i="14843"/>
  <c r="AH28" i="14843"/>
  <c r="AH29" i="14843"/>
  <c r="AH30" i="14843"/>
  <c r="AH31" i="14843"/>
  <c r="AH32" i="14843"/>
  <c r="AH33" i="14843"/>
  <c r="AH34" i="14843"/>
  <c r="AH35" i="14843"/>
  <c r="AH36" i="14843"/>
  <c r="AH37" i="14843"/>
  <c r="AH38" i="14843"/>
  <c r="AH39" i="14843"/>
  <c r="AH40" i="14843"/>
  <c r="AH41" i="14843"/>
  <c r="AH42" i="14843"/>
  <c r="AF42" i="14843" s="1"/>
  <c r="AH43" i="14843"/>
  <c r="AH44" i="14843"/>
  <c r="AH45" i="14843"/>
  <c r="AH46" i="14843"/>
  <c r="AH47" i="14843"/>
  <c r="AH48" i="14843"/>
  <c r="AH49" i="14843"/>
  <c r="AH50" i="14843"/>
  <c r="AF50" i="14843" s="1"/>
  <c r="AH51" i="14843"/>
  <c r="AH7" i="14843"/>
  <c r="AG8" i="14843"/>
  <c r="AG9" i="14843"/>
  <c r="AG10" i="14843"/>
  <c r="AG11" i="14843"/>
  <c r="AG12" i="14843"/>
  <c r="AG13" i="14843"/>
  <c r="AG14" i="14843"/>
  <c r="AG15" i="14843"/>
  <c r="AG16" i="14843"/>
  <c r="AG17" i="14843"/>
  <c r="AG18" i="14843"/>
  <c r="AG19" i="14843"/>
  <c r="AG20" i="14843"/>
  <c r="AG21" i="14843"/>
  <c r="AG22" i="14843"/>
  <c r="AG23" i="14843"/>
  <c r="AG24" i="14843"/>
  <c r="AG25" i="14843"/>
  <c r="AG26" i="14843"/>
  <c r="AG27" i="14843"/>
  <c r="AG28" i="14843"/>
  <c r="AG29" i="14843"/>
  <c r="AG30" i="14843"/>
  <c r="AG31" i="14843"/>
  <c r="AG32" i="14843"/>
  <c r="AG33" i="14843"/>
  <c r="AG34" i="14843"/>
  <c r="AG35" i="14843"/>
  <c r="AG36" i="14843"/>
  <c r="AG37" i="14843"/>
  <c r="AG38" i="14843"/>
  <c r="AG39" i="14843"/>
  <c r="AG40" i="14843"/>
  <c r="AG41" i="14843"/>
  <c r="AG42" i="14843"/>
  <c r="AG43" i="14843"/>
  <c r="AG44" i="14843"/>
  <c r="AG45" i="14843"/>
  <c r="AG46" i="14843"/>
  <c r="AG47" i="14843"/>
  <c r="AG48" i="14843"/>
  <c r="AG49" i="14843"/>
  <c r="AG50" i="14843"/>
  <c r="AG51" i="14843"/>
  <c r="AG7" i="14843"/>
  <c r="D58" i="14843"/>
  <c r="D44" i="14839"/>
  <c r="D43" i="14839"/>
  <c r="D42" i="14839"/>
  <c r="D41" i="14839"/>
  <c r="D40" i="14839"/>
  <c r="D39" i="14839"/>
  <c r="D38" i="14839"/>
  <c r="D37" i="14839"/>
  <c r="D36" i="14839"/>
  <c r="D35" i="14839"/>
  <c r="D34" i="14839"/>
  <c r="D33" i="14839"/>
  <c r="D32" i="14839"/>
  <c r="D31" i="14839"/>
  <c r="D30" i="14839"/>
  <c r="D29" i="14839"/>
  <c r="D28" i="14839"/>
  <c r="D27" i="14839"/>
  <c r="D26" i="14839"/>
  <c r="D25" i="14839"/>
  <c r="D24" i="14839"/>
  <c r="D23" i="14839"/>
  <c r="D22" i="14839"/>
  <c r="D21" i="14839"/>
  <c r="D20" i="14839"/>
  <c r="D19" i="14839"/>
  <c r="D18" i="14839"/>
  <c r="D17" i="14839"/>
  <c r="D16" i="14839"/>
  <c r="D15" i="14839"/>
  <c r="D14" i="14839"/>
  <c r="D13" i="14839"/>
  <c r="D12" i="14839"/>
  <c r="D11" i="14839"/>
  <c r="D10" i="14839"/>
  <c r="D9" i="14839"/>
  <c r="D8" i="14839"/>
  <c r="D7" i="14839"/>
  <c r="D6" i="14839"/>
  <c r="D5" i="14839"/>
  <c r="F274" i="14829"/>
  <c r="GM22" i="14809" s="1"/>
  <c r="F275" i="14829"/>
  <c r="GM23" i="14809" s="1"/>
  <c r="F276" i="14829"/>
  <c r="GM24" i="14809" s="1"/>
  <c r="F277" i="14829"/>
  <c r="GO36" i="14809" s="1"/>
  <c r="F279" i="14829"/>
  <c r="GN27" i="14809" s="1"/>
  <c r="F280" i="14829"/>
  <c r="GN34" i="14809" s="1"/>
  <c r="F281" i="14829"/>
  <c r="GN36" i="14809" s="1"/>
  <c r="F282" i="14829"/>
  <c r="GN37" i="14809" s="1"/>
  <c r="F283" i="14829"/>
  <c r="GN41" i="14809" s="1"/>
  <c r="F284" i="14829"/>
  <c r="GN53" i="14809" s="1"/>
  <c r="F285" i="14829"/>
  <c r="GP48" i="14809" s="1"/>
  <c r="F286" i="14829"/>
  <c r="GQ28" i="14809" s="1"/>
  <c r="AA18" i="14843" l="1"/>
  <c r="AA26" i="14843"/>
  <c r="AA34" i="14843"/>
  <c r="AA43" i="14843"/>
  <c r="AA10" i="14843"/>
  <c r="AA14" i="14843"/>
  <c r="AA22" i="14843"/>
  <c r="AA30" i="14843"/>
  <c r="AA38" i="14843"/>
  <c r="AA47" i="14843"/>
  <c r="AK50" i="14843"/>
  <c r="AO50" i="14843" s="1"/>
  <c r="AK42" i="14843"/>
  <c r="AO42" i="14843" s="1"/>
  <c r="GQ35" i="14809"/>
  <c r="GN28" i="14809"/>
  <c r="GO27" i="14809"/>
  <c r="GQ34" i="14809"/>
  <c r="GO28" i="14809"/>
  <c r="GQ22" i="14809"/>
  <c r="GO35" i="14809"/>
  <c r="GO37" i="14809"/>
  <c r="GO41" i="14809"/>
  <c r="GQ36" i="14809"/>
  <c r="GQ37" i="14809"/>
  <c r="GN35" i="14809"/>
  <c r="GQ41" i="14809"/>
  <c r="GQ52" i="14809"/>
  <c r="GQ27" i="14809"/>
  <c r="GQ53" i="14809"/>
  <c r="GP10" i="14809"/>
  <c r="GP18" i="14809"/>
  <c r="GP26" i="14809"/>
  <c r="GP34" i="14809"/>
  <c r="GP42" i="14809"/>
  <c r="GP50" i="14809"/>
  <c r="GP11" i="14809"/>
  <c r="GP19" i="14809"/>
  <c r="GP27" i="14809"/>
  <c r="GP35" i="14809"/>
  <c r="GP43" i="14809"/>
  <c r="GP51" i="14809"/>
  <c r="GP12" i="14809"/>
  <c r="GP20" i="14809"/>
  <c r="GP28" i="14809"/>
  <c r="GP36" i="14809"/>
  <c r="GP44" i="14809"/>
  <c r="GP52" i="14809"/>
  <c r="GP9" i="14809"/>
  <c r="GP17" i="14809"/>
  <c r="GP25" i="14809"/>
  <c r="GP33" i="14809"/>
  <c r="GP41" i="14809"/>
  <c r="GP49" i="14809"/>
  <c r="GP13" i="14809"/>
  <c r="GP21" i="14809"/>
  <c r="GP29" i="14809"/>
  <c r="GP37" i="14809"/>
  <c r="GP45" i="14809"/>
  <c r="GP53" i="14809"/>
  <c r="GP14" i="14809"/>
  <c r="GP22" i="14809"/>
  <c r="GP30" i="14809"/>
  <c r="GP38" i="14809"/>
  <c r="GP46" i="14809"/>
  <c r="GP15" i="14809"/>
  <c r="GP23" i="14809"/>
  <c r="GP31" i="14809"/>
  <c r="GP39" i="14809"/>
  <c r="GP47" i="14809"/>
  <c r="GP16" i="14809"/>
  <c r="GP24" i="14809"/>
  <c r="GP32" i="14809"/>
  <c r="GP40" i="14809"/>
  <c r="AH49" i="14835"/>
  <c r="F98" i="14829"/>
  <c r="H212" i="14786" s="1"/>
  <c r="F37" i="14829"/>
  <c r="H198" i="14786"/>
  <c r="C198" i="14786" l="1"/>
  <c r="C400" i="14786" s="1"/>
  <c r="BY216" i="14851"/>
  <c r="BX216" i="14851"/>
  <c r="BW216" i="14851"/>
  <c r="BV216" i="14851"/>
  <c r="BU216" i="14851"/>
  <c r="BT216" i="14851"/>
  <c r="BS216" i="14851"/>
  <c r="BS217" i="14851" s="1"/>
  <c r="BR216" i="14851"/>
  <c r="BQ216" i="14851"/>
  <c r="BP216" i="14851"/>
  <c r="BO216" i="14851"/>
  <c r="BN216" i="14851"/>
  <c r="BM216" i="14851"/>
  <c r="BL216" i="14851"/>
  <c r="BK216" i="14851"/>
  <c r="BJ216" i="14851"/>
  <c r="BI216" i="14851"/>
  <c r="BI217" i="14851" s="1"/>
  <c r="BH216" i="14851"/>
  <c r="BG216" i="14851"/>
  <c r="BE216" i="14851"/>
  <c r="BY215" i="14851"/>
  <c r="BY217" i="14851" s="1"/>
  <c r="BX215" i="14851"/>
  <c r="BW215" i="14851"/>
  <c r="BW217" i="14851" s="1"/>
  <c r="BV215" i="14851"/>
  <c r="BU215" i="14851"/>
  <c r="BT215" i="14851"/>
  <c r="BT217" i="14851" s="1"/>
  <c r="BS215" i="14851"/>
  <c r="BR215" i="14851"/>
  <c r="BQ215" i="14851"/>
  <c r="BQ217" i="14851" s="1"/>
  <c r="BP215" i="14851"/>
  <c r="BO215" i="14851"/>
  <c r="BO217" i="14851" s="1"/>
  <c r="BN215" i="14851"/>
  <c r="BM215" i="14851"/>
  <c r="BL215" i="14851"/>
  <c r="BK215" i="14851"/>
  <c r="BJ215" i="14851"/>
  <c r="BI215" i="14851"/>
  <c r="BH215" i="14851"/>
  <c r="BG215" i="14851"/>
  <c r="BG217" i="14851" s="1"/>
  <c r="BE215" i="14851"/>
  <c r="BY189" i="14851"/>
  <c r="BX189" i="14851"/>
  <c r="BW189" i="14851"/>
  <c r="BV189" i="14851"/>
  <c r="BU189" i="14851"/>
  <c r="BT189" i="14851"/>
  <c r="BS189" i="14851"/>
  <c r="BR189" i="14851"/>
  <c r="BQ189" i="14851"/>
  <c r="BP189" i="14851"/>
  <c r="BO189" i="14851"/>
  <c r="BN189" i="14851"/>
  <c r="BM189" i="14851"/>
  <c r="BJ189" i="14851"/>
  <c r="BI189" i="14851"/>
  <c r="BH189" i="14851"/>
  <c r="BG189" i="14851"/>
  <c r="BE189" i="14851"/>
  <c r="BY164" i="14851"/>
  <c r="BX164" i="14851"/>
  <c r="BW164" i="14851"/>
  <c r="BV164" i="14851"/>
  <c r="BU164" i="14851"/>
  <c r="BT164" i="14851"/>
  <c r="BS164" i="14851"/>
  <c r="BR164" i="14851"/>
  <c r="BQ164" i="14851"/>
  <c r="BP164" i="14851"/>
  <c r="BO164" i="14851"/>
  <c r="BN164" i="14851"/>
  <c r="BM164" i="14851"/>
  <c r="BJ164" i="14851"/>
  <c r="BI164" i="14851"/>
  <c r="BH164" i="14851"/>
  <c r="BG164" i="14851"/>
  <c r="BE164" i="14851"/>
  <c r="BX145" i="14851"/>
  <c r="BW145" i="14851"/>
  <c r="BF144" i="14851"/>
  <c r="BY143" i="14851"/>
  <c r="BX143" i="14851"/>
  <c r="BW143" i="14851"/>
  <c r="BV143" i="14851"/>
  <c r="BU143" i="14851"/>
  <c r="BT143" i="14851"/>
  <c r="BS143" i="14851"/>
  <c r="BR143" i="14851"/>
  <c r="BQ143" i="14851"/>
  <c r="BP143" i="14851"/>
  <c r="BO143" i="14851"/>
  <c r="BN143" i="14851"/>
  <c r="BM143" i="14851"/>
  <c r="BL143" i="14851"/>
  <c r="BK143" i="14851"/>
  <c r="BJ143" i="14851"/>
  <c r="BI143" i="14851"/>
  <c r="BH143" i="14851"/>
  <c r="BG143" i="14851"/>
  <c r="BF143" i="14851"/>
  <c r="BE143" i="14851"/>
  <c r="BG116" i="14851"/>
  <c r="BF116" i="14851"/>
  <c r="BY112" i="14851"/>
  <c r="BX112" i="14851"/>
  <c r="BW112" i="14851"/>
  <c r="BV112" i="14851"/>
  <c r="BU112" i="14851"/>
  <c r="BT112" i="14851"/>
  <c r="BS112" i="14851"/>
  <c r="BR112" i="14851"/>
  <c r="BQ112" i="14851"/>
  <c r="BP112" i="14851"/>
  <c r="BO112" i="14851"/>
  <c r="BN112" i="14851"/>
  <c r="BM112" i="14851"/>
  <c r="BJ112" i="14851"/>
  <c r="BI112" i="14851"/>
  <c r="BH112" i="14851"/>
  <c r="BG112" i="14851"/>
  <c r="BE112" i="14851"/>
  <c r="BY86" i="14851"/>
  <c r="BX86" i="14851"/>
  <c r="BW86" i="14851"/>
  <c r="BV86" i="14851"/>
  <c r="BU86" i="14851"/>
  <c r="BT86" i="14851"/>
  <c r="BS86" i="14851"/>
  <c r="BR86" i="14851"/>
  <c r="BQ86" i="14851"/>
  <c r="BP86" i="14851"/>
  <c r="BO86" i="14851"/>
  <c r="BN86" i="14851"/>
  <c r="BM86" i="14851"/>
  <c r="BJ86" i="14851"/>
  <c r="BI86" i="14851"/>
  <c r="BH86" i="14851"/>
  <c r="BE86" i="14851"/>
  <c r="AH63" i="14851"/>
  <c r="BY61" i="14851"/>
  <c r="BX61" i="14851"/>
  <c r="BW61" i="14851"/>
  <c r="BV61" i="14851"/>
  <c r="BU61" i="14851"/>
  <c r="BT61" i="14851"/>
  <c r="BS61" i="14851"/>
  <c r="BR61" i="14851"/>
  <c r="BQ61" i="14851"/>
  <c r="BP61" i="14851"/>
  <c r="BO61" i="14851"/>
  <c r="BN61" i="14851"/>
  <c r="BM61" i="14851"/>
  <c r="BJ61" i="14851"/>
  <c r="BI61" i="14851"/>
  <c r="BH61" i="14851"/>
  <c r="BE61" i="14851"/>
  <c r="Y48" i="14851"/>
  <c r="X48" i="14851"/>
  <c r="W48" i="14851"/>
  <c r="V48" i="14851"/>
  <c r="U48" i="14851"/>
  <c r="T48" i="14851"/>
  <c r="S48" i="14851"/>
  <c r="R48" i="14851"/>
  <c r="Q48" i="14851"/>
  <c r="P48" i="14851"/>
  <c r="O48" i="14851"/>
  <c r="N48" i="14851"/>
  <c r="M48" i="14851"/>
  <c r="L48" i="14851"/>
  <c r="K48" i="14851"/>
  <c r="J48" i="14851"/>
  <c r="I48" i="14851"/>
  <c r="H48" i="14851"/>
  <c r="G48" i="14851"/>
  <c r="F48" i="14851"/>
  <c r="E48" i="14851"/>
  <c r="D48" i="14851"/>
  <c r="A47" i="14851"/>
  <c r="A46" i="14851"/>
  <c r="A45" i="14851"/>
  <c r="BY44" i="14851"/>
  <c r="BX44" i="14851"/>
  <c r="BW44" i="14851"/>
  <c r="BV44" i="14851"/>
  <c r="BU44" i="14851"/>
  <c r="BT44" i="14851"/>
  <c r="BS44" i="14851"/>
  <c r="BR44" i="14851"/>
  <c r="BQ44" i="14851"/>
  <c r="BP44" i="14851"/>
  <c r="BO44" i="14851"/>
  <c r="BN44" i="14851"/>
  <c r="BM44" i="14851"/>
  <c r="BJ44" i="14851"/>
  <c r="BI44" i="14851"/>
  <c r="BH44" i="14851"/>
  <c r="BG44" i="14851"/>
  <c r="BE44" i="14851"/>
  <c r="A44" i="14851"/>
  <c r="A43" i="14851"/>
  <c r="A42" i="14851"/>
  <c r="A41" i="14851"/>
  <c r="AU40" i="14851"/>
  <c r="AT40" i="14851"/>
  <c r="AP40" i="14851"/>
  <c r="AO40" i="14851"/>
  <c r="AN40" i="14851"/>
  <c r="AL40" i="14851"/>
  <c r="AK40" i="14851"/>
  <c r="AG40" i="14851"/>
  <c r="AF40" i="14851"/>
  <c r="A40" i="14851"/>
  <c r="A39" i="14851"/>
  <c r="A38" i="14851"/>
  <c r="A37" i="14851"/>
  <c r="BY36" i="14851"/>
  <c r="BX36" i="14851"/>
  <c r="BW36" i="14851"/>
  <c r="BV36" i="14851"/>
  <c r="BU36" i="14851"/>
  <c r="BT36" i="14851"/>
  <c r="BS36" i="14851"/>
  <c r="BR36" i="14851"/>
  <c r="BQ36" i="14851"/>
  <c r="BP36" i="14851"/>
  <c r="BO36" i="14851"/>
  <c r="BN36" i="14851"/>
  <c r="BM36" i="14851"/>
  <c r="BJ36" i="14851"/>
  <c r="BI36" i="14851"/>
  <c r="BH36" i="14851"/>
  <c r="BG36" i="14851"/>
  <c r="BE36" i="14851"/>
  <c r="A36" i="14851"/>
  <c r="AH35" i="14851"/>
  <c r="AA35" i="14851"/>
  <c r="A35" i="14851"/>
  <c r="AA34" i="14851"/>
  <c r="A34" i="14851"/>
  <c r="AA33" i="14851"/>
  <c r="A33" i="14851"/>
  <c r="AA32" i="14851"/>
  <c r="A32" i="14851"/>
  <c r="AX31" i="14851"/>
  <c r="AW31" i="14851"/>
  <c r="AA31" i="14851"/>
  <c r="A31" i="14851"/>
  <c r="AA30" i="14851"/>
  <c r="A30" i="14851"/>
  <c r="AA29" i="14851"/>
  <c r="A29" i="14851"/>
  <c r="AA28" i="14851"/>
  <c r="A28" i="14851"/>
  <c r="AZ27" i="14851"/>
  <c r="AZ30" i="14851" s="1"/>
  <c r="AY27" i="14851"/>
  <c r="CX7" i="14851" s="1"/>
  <c r="AX27" i="14851"/>
  <c r="CW7" i="14851" s="1"/>
  <c r="AW27" i="14851"/>
  <c r="CV7" i="14851" s="1"/>
  <c r="AV27" i="14851"/>
  <c r="CU7" i="14851" s="1"/>
  <c r="AU27" i="14851"/>
  <c r="BU165" i="14851" s="1"/>
  <c r="BU166" i="14851" s="1"/>
  <c r="AT27" i="14851"/>
  <c r="BT165" i="14851" s="1"/>
  <c r="BT166" i="14851" s="1"/>
  <c r="AS27" i="14851"/>
  <c r="BS165" i="14851" s="1"/>
  <c r="BS166" i="14851" s="1"/>
  <c r="AR27" i="14851"/>
  <c r="CQ7" i="14851" s="1"/>
  <c r="AQ27" i="14851"/>
  <c r="CP7" i="14851" s="1"/>
  <c r="AP27" i="14851"/>
  <c r="CO7" i="14851" s="1"/>
  <c r="AO27" i="14851"/>
  <c r="CN7" i="14851" s="1"/>
  <c r="AN27" i="14851"/>
  <c r="CM7" i="14851" s="1"/>
  <c r="AM27" i="14851"/>
  <c r="BM165" i="14851" s="1"/>
  <c r="BM166" i="14851" s="1"/>
  <c r="AL27" i="14851"/>
  <c r="CK7" i="14851" s="1"/>
  <c r="AK27" i="14851"/>
  <c r="CJ7" i="14851" s="1"/>
  <c r="AJ27" i="14851"/>
  <c r="CI7" i="14851" s="1"/>
  <c r="AI27" i="14851"/>
  <c r="BI165" i="14851" s="1"/>
  <c r="BI166" i="14851" s="1"/>
  <c r="AH27" i="14851"/>
  <c r="BH165" i="14851" s="1"/>
  <c r="BH166" i="14851" s="1"/>
  <c r="AG27" i="14851"/>
  <c r="BG165" i="14851" s="1"/>
  <c r="BG166" i="14851" s="1"/>
  <c r="AF27" i="14851"/>
  <c r="AE27" i="14851"/>
  <c r="BE165" i="14851" s="1"/>
  <c r="BE166" i="14851" s="1"/>
  <c r="AA27" i="14851"/>
  <c r="A27" i="14851"/>
  <c r="AA26" i="14851"/>
  <c r="A26" i="14851"/>
  <c r="AA25" i="14851"/>
  <c r="A25" i="14851"/>
  <c r="AA24" i="14851"/>
  <c r="A24" i="14851"/>
  <c r="AA23" i="14851"/>
  <c r="A23" i="14851"/>
  <c r="AZ22" i="14851"/>
  <c r="AY22" i="14851"/>
  <c r="AX22" i="14851"/>
  <c r="AW22" i="14851"/>
  <c r="AV22" i="14851"/>
  <c r="AU22" i="14851"/>
  <c r="AT22" i="14851"/>
  <c r="AS22" i="14851"/>
  <c r="AR22" i="14851"/>
  <c r="AQ22" i="14851"/>
  <c r="AP22" i="14851"/>
  <c r="AO22" i="14851"/>
  <c r="AN22" i="14851"/>
  <c r="AM22" i="14851"/>
  <c r="AL22" i="14851"/>
  <c r="AK22" i="14851"/>
  <c r="AJ22" i="14851"/>
  <c r="AI22" i="14851"/>
  <c r="AH22" i="14851"/>
  <c r="AG22" i="14851"/>
  <c r="AF22" i="14851"/>
  <c r="AE22" i="14851"/>
  <c r="AA22" i="14851"/>
  <c r="A22" i="14851"/>
  <c r="AZ21" i="14851"/>
  <c r="AY21" i="14851"/>
  <c r="BY115" i="14851" s="1"/>
  <c r="AX21" i="14851"/>
  <c r="BX115" i="14851" s="1"/>
  <c r="AW21" i="14851"/>
  <c r="BW115" i="14851" s="1"/>
  <c r="AV21" i="14851"/>
  <c r="BV115" i="14851" s="1"/>
  <c r="AU21" i="14851"/>
  <c r="BU115" i="14851" s="1"/>
  <c r="AT21" i="14851"/>
  <c r="BT115" i="14851" s="1"/>
  <c r="AS21" i="14851"/>
  <c r="CR13" i="14851" s="1"/>
  <c r="AR21" i="14851"/>
  <c r="BR115" i="14851" s="1"/>
  <c r="AQ21" i="14851"/>
  <c r="BQ115" i="14851" s="1"/>
  <c r="AP21" i="14851"/>
  <c r="BP115" i="14851" s="1"/>
  <c r="AO21" i="14851"/>
  <c r="BO115" i="14851" s="1"/>
  <c r="AN21" i="14851"/>
  <c r="BN115" i="14851" s="1"/>
  <c r="AM21" i="14851"/>
  <c r="BM115" i="14851" s="1"/>
  <c r="AL21" i="14851"/>
  <c r="CK13" i="14851" s="1"/>
  <c r="AK21" i="14851"/>
  <c r="CJ13" i="14851" s="1"/>
  <c r="AJ21" i="14851"/>
  <c r="BJ115" i="14851" s="1"/>
  <c r="AI21" i="14851"/>
  <c r="BI115" i="14851" s="1"/>
  <c r="AH21" i="14851"/>
  <c r="BH115" i="14851" s="1"/>
  <c r="AG21" i="14851"/>
  <c r="BG115" i="14851" s="1"/>
  <c r="AF21" i="14851"/>
  <c r="AE21" i="14851"/>
  <c r="BE115" i="14851" s="1"/>
  <c r="AA21" i="14851"/>
  <c r="A21" i="14851"/>
  <c r="AY20" i="14851"/>
  <c r="BY116" i="14851" s="1"/>
  <c r="AX20" i="14851"/>
  <c r="BX116" i="14851" s="1"/>
  <c r="AW20" i="14851"/>
  <c r="BW116" i="14851" s="1"/>
  <c r="AV20" i="14851"/>
  <c r="BV116" i="14851" s="1"/>
  <c r="AU20" i="14851"/>
  <c r="BU116" i="14851" s="1"/>
  <c r="AT20" i="14851"/>
  <c r="BT116" i="14851" s="1"/>
  <c r="AS20" i="14851"/>
  <c r="BS116" i="14851" s="1"/>
  <c r="AR20" i="14851"/>
  <c r="BR116" i="14851" s="1"/>
  <c r="AQ20" i="14851"/>
  <c r="BQ116" i="14851" s="1"/>
  <c r="AP20" i="14851"/>
  <c r="BP116" i="14851" s="1"/>
  <c r="AO20" i="14851"/>
  <c r="BO116" i="14851" s="1"/>
  <c r="AN20" i="14851"/>
  <c r="BN116" i="14851" s="1"/>
  <c r="AM20" i="14851"/>
  <c r="BM116" i="14851" s="1"/>
  <c r="AL20" i="14851"/>
  <c r="BL116" i="14851" s="1"/>
  <c r="AK20" i="14851"/>
  <c r="BK116" i="14851" s="1"/>
  <c r="AJ20" i="14851"/>
  <c r="BJ116" i="14851" s="1"/>
  <c r="AI20" i="14851"/>
  <c r="BI116" i="14851" s="1"/>
  <c r="AH20" i="14851"/>
  <c r="BH116" i="14851" s="1"/>
  <c r="AE20" i="14851"/>
  <c r="BE116" i="14851" s="1"/>
  <c r="AA20" i="14851"/>
  <c r="A20" i="14851"/>
  <c r="AA19" i="14851"/>
  <c r="A19" i="14851"/>
  <c r="AA18" i="14851"/>
  <c r="A18" i="14851"/>
  <c r="BF17" i="14851"/>
  <c r="AA17" i="14851"/>
  <c r="A17" i="14851"/>
  <c r="BY16" i="14851"/>
  <c r="BX16" i="14851"/>
  <c r="BW16" i="14851"/>
  <c r="BV16" i="14851"/>
  <c r="BU16" i="14851"/>
  <c r="BT16" i="14851"/>
  <c r="BS16" i="14851"/>
  <c r="BR16" i="14851"/>
  <c r="BQ16" i="14851"/>
  <c r="BP16" i="14851"/>
  <c r="BO16" i="14851"/>
  <c r="BN16" i="14851"/>
  <c r="BM16" i="14851"/>
  <c r="BL16" i="14851"/>
  <c r="BK16" i="14851"/>
  <c r="BJ16" i="14851"/>
  <c r="BI16" i="14851"/>
  <c r="BH16" i="14851"/>
  <c r="BG16" i="14851"/>
  <c r="BF16" i="14851"/>
  <c r="BE16" i="14851"/>
  <c r="AA16" i="14851"/>
  <c r="A16" i="14851"/>
  <c r="AA15" i="14851"/>
  <c r="A15" i="14851"/>
  <c r="GX14" i="14851"/>
  <c r="AZ14" i="14851"/>
  <c r="AY14" i="14851"/>
  <c r="AX14" i="14851"/>
  <c r="AW14" i="14851"/>
  <c r="AV14" i="14851"/>
  <c r="AU14" i="14851"/>
  <c r="AT14" i="14851"/>
  <c r="AS14" i="14851"/>
  <c r="AR14" i="14851"/>
  <c r="AQ14" i="14851"/>
  <c r="AP14" i="14851"/>
  <c r="AO14" i="14851"/>
  <c r="AN14" i="14851"/>
  <c r="AM14" i="14851"/>
  <c r="AL14" i="14851"/>
  <c r="AK14" i="14851"/>
  <c r="AJ14" i="14851"/>
  <c r="AI14" i="14851"/>
  <c r="AH14" i="14851"/>
  <c r="AG14" i="14851"/>
  <c r="AF14" i="14851"/>
  <c r="AE14" i="14851"/>
  <c r="AA14" i="14851"/>
  <c r="A14" i="14851"/>
  <c r="A13" i="14851"/>
  <c r="HS12" i="14851"/>
  <c r="HR12" i="14851"/>
  <c r="HQ12" i="14851"/>
  <c r="HP12" i="14851"/>
  <c r="HO12" i="14851"/>
  <c r="HN12" i="14851"/>
  <c r="HM12" i="14851"/>
  <c r="HL12" i="14851"/>
  <c r="HK12" i="14851"/>
  <c r="HJ12" i="14851"/>
  <c r="HI12" i="14851"/>
  <c r="HH12" i="14851"/>
  <c r="HG12" i="14851"/>
  <c r="HF12" i="14851"/>
  <c r="HE12" i="14851"/>
  <c r="HD12" i="14851"/>
  <c r="HC12" i="14851"/>
  <c r="HB12" i="14851"/>
  <c r="HA12" i="14851"/>
  <c r="GZ12" i="14851"/>
  <c r="GY12" i="14851"/>
  <c r="GX12" i="14851"/>
  <c r="GV12" i="14851"/>
  <c r="CE12" i="14851"/>
  <c r="A12" i="14851"/>
  <c r="HL11" i="14851"/>
  <c r="HJ11" i="14851"/>
  <c r="HF11" i="14851"/>
  <c r="GZ11" i="14851"/>
  <c r="GX11" i="14851"/>
  <c r="EM11" i="14851"/>
  <c r="CK11" i="14851"/>
  <c r="CJ11" i="14851"/>
  <c r="AZ11" i="14851"/>
  <c r="FU18" i="14851" s="1"/>
  <c r="AY11" i="14851"/>
  <c r="AY35" i="14851" s="1"/>
  <c r="AX11" i="14851"/>
  <c r="AW11" i="14851"/>
  <c r="HP10" i="14851" s="1"/>
  <c r="HP11" i="14851" s="1"/>
  <c r="AV11" i="14851"/>
  <c r="AT11" i="14851"/>
  <c r="HM10" i="14851" s="1"/>
  <c r="HM11" i="14851" s="1"/>
  <c r="AS11" i="14851"/>
  <c r="AU11" i="14851" s="1"/>
  <c r="AR11" i="14851"/>
  <c r="GL10" i="14851" s="1"/>
  <c r="AQ11" i="14851"/>
  <c r="AQ63" i="14851" s="1"/>
  <c r="AP11" i="14851"/>
  <c r="AO11" i="14851"/>
  <c r="AN11" i="14851"/>
  <c r="AM11" i="14851"/>
  <c r="AM63" i="14851" s="1"/>
  <c r="AL11" i="14851"/>
  <c r="AL63" i="14851" s="1"/>
  <c r="AJ11" i="14851"/>
  <c r="GD10" i="14851" s="1"/>
  <c r="AI11" i="14851"/>
  <c r="AI35" i="14851" s="1"/>
  <c r="AG11" i="14851"/>
  <c r="AF11" i="14851"/>
  <c r="AE11" i="14851"/>
  <c r="AA11" i="14851"/>
  <c r="A11" i="14851"/>
  <c r="HS10" i="14851"/>
  <c r="HS11" i="14851" s="1"/>
  <c r="HQ10" i="14851"/>
  <c r="HQ11" i="14851" s="1"/>
  <c r="HO10" i="14851"/>
  <c r="HO11" i="14851" s="1"/>
  <c r="HL10" i="14851"/>
  <c r="HK10" i="14851"/>
  <c r="HK11" i="14851" s="1"/>
  <c r="HJ10" i="14851"/>
  <c r="HI10" i="14851"/>
  <c r="HI11" i="14851" s="1"/>
  <c r="HH10" i="14851"/>
  <c r="HH11" i="14851" s="1"/>
  <c r="HG10" i="14851"/>
  <c r="HG11" i="14851" s="1"/>
  <c r="HF10" i="14851"/>
  <c r="HC10" i="14851"/>
  <c r="HC11" i="14851" s="1"/>
  <c r="HA10" i="14851"/>
  <c r="HA11" i="14851" s="1"/>
  <c r="GZ10" i="14851"/>
  <c r="GS10" i="14851"/>
  <c r="GM10" i="14851"/>
  <c r="GK10" i="14851"/>
  <c r="GG10" i="14851"/>
  <c r="GC10" i="14851"/>
  <c r="GB10" i="14851"/>
  <c r="FY10" i="14851"/>
  <c r="EN10" i="14851"/>
  <c r="EN11" i="14851" s="1"/>
  <c r="EM10" i="14851"/>
  <c r="EL10" i="14851"/>
  <c r="EL11" i="14851" s="1"/>
  <c r="EK10" i="14851"/>
  <c r="EK11" i="14851" s="1"/>
  <c r="EI10" i="14851"/>
  <c r="EI11" i="14851" s="1"/>
  <c r="EH10" i="14851"/>
  <c r="EH11" i="14851" s="1"/>
  <c r="ED10" i="14851"/>
  <c r="ED11" i="14851" s="1"/>
  <c r="EC10" i="14851"/>
  <c r="EC11" i="14851" s="1"/>
  <c r="DP10" i="14851"/>
  <c r="DN10" i="14851"/>
  <c r="DM10" i="14851"/>
  <c r="DI10" i="14851"/>
  <c r="DH10" i="14851"/>
  <c r="DD10" i="14851"/>
  <c r="CF10" i="14851"/>
  <c r="BG62" i="14851" s="1"/>
  <c r="CE10" i="14851"/>
  <c r="BF62" i="14851" s="1"/>
  <c r="BY10" i="14851"/>
  <c r="BX10" i="14851"/>
  <c r="BW10" i="14851"/>
  <c r="BV10" i="14851"/>
  <c r="BU10" i="14851"/>
  <c r="BT10" i="14851"/>
  <c r="BS10" i="14851"/>
  <c r="BR10" i="14851"/>
  <c r="BQ10" i="14851"/>
  <c r="BP10" i="14851"/>
  <c r="BO10" i="14851"/>
  <c r="BN10" i="14851"/>
  <c r="BM10" i="14851"/>
  <c r="BL10" i="14851"/>
  <c r="BK10" i="14851"/>
  <c r="BJ10" i="14851"/>
  <c r="BI10" i="14851"/>
  <c r="BH10" i="14851"/>
  <c r="BG10" i="14851"/>
  <c r="BF10" i="14851"/>
  <c r="BE10" i="14851"/>
  <c r="AA10" i="14851"/>
  <c r="A10" i="14851"/>
  <c r="FU9" i="14851"/>
  <c r="FT9" i="14851"/>
  <c r="FS9" i="14851"/>
  <c r="FS27" i="14851" s="1"/>
  <c r="FR9" i="14851"/>
  <c r="FR27" i="14851" s="1"/>
  <c r="FQ9" i="14851"/>
  <c r="FQ27" i="14851" s="1"/>
  <c r="FP9" i="14851"/>
  <c r="FO9" i="14851"/>
  <c r="FN9" i="14851"/>
  <c r="FN27" i="14851" s="1"/>
  <c r="FM9" i="14851"/>
  <c r="FM27" i="14851" s="1"/>
  <c r="FL9" i="14851"/>
  <c r="FL27" i="14851" s="1"/>
  <c r="FK9" i="14851"/>
  <c r="FK27" i="14851" s="1"/>
  <c r="FJ9" i="14851"/>
  <c r="FJ27" i="14851" s="1"/>
  <c r="FI9" i="14851"/>
  <c r="FI27" i="14851" s="1"/>
  <c r="FH9" i="14851"/>
  <c r="FH27" i="14851" s="1"/>
  <c r="FG9" i="14851"/>
  <c r="FG27" i="14851" s="1"/>
  <c r="FF9" i="14851"/>
  <c r="FF27" i="14851" s="1"/>
  <c r="FE9" i="14851"/>
  <c r="FE27" i="14851" s="1"/>
  <c r="FD9" i="14851"/>
  <c r="FD27" i="14851" s="1"/>
  <c r="FC9" i="14851"/>
  <c r="FC27" i="14851" s="1"/>
  <c r="FB9" i="14851"/>
  <c r="FB27" i="14851" s="1"/>
  <c r="FA9" i="14851"/>
  <c r="FA27" i="14851" s="1"/>
  <c r="EZ9" i="14851"/>
  <c r="EZ27" i="14851" s="1"/>
  <c r="A9" i="14851"/>
  <c r="FU8" i="14851"/>
  <c r="FU10" i="14851" s="1"/>
  <c r="FU11" i="14851" s="1"/>
  <c r="FT8" i="14851"/>
  <c r="FP8" i="14851"/>
  <c r="FP26" i="14851" s="1"/>
  <c r="FO8" i="14851"/>
  <c r="FO26" i="14851" s="1"/>
  <c r="FN8" i="14851"/>
  <c r="FK8" i="14851"/>
  <c r="FK26" i="14851" s="1"/>
  <c r="FJ8" i="14851"/>
  <c r="FJ26" i="14851" s="1"/>
  <c r="FI8" i="14851"/>
  <c r="FG8" i="14851"/>
  <c r="FG26" i="14851" s="1"/>
  <c r="FF8" i="14851"/>
  <c r="FB8" i="14851"/>
  <c r="FB26" i="14851" s="1"/>
  <c r="FA8" i="14851"/>
  <c r="EU8" i="14851"/>
  <c r="EU10" i="14851" s="1"/>
  <c r="EU11" i="14851" s="1"/>
  <c r="ET8" i="14851"/>
  <c r="ET10" i="14851" s="1"/>
  <c r="ET11" i="14851" s="1"/>
  <c r="ES8" i="14851"/>
  <c r="ES10" i="14851" s="1"/>
  <c r="ES11" i="14851" s="1"/>
  <c r="EP8" i="14851"/>
  <c r="EP10" i="14851" s="1"/>
  <c r="EP11" i="14851" s="1"/>
  <c r="EO8" i="14851"/>
  <c r="FM8" i="14851" s="1"/>
  <c r="FM26" i="14851" s="1"/>
  <c r="EN8" i="14851"/>
  <c r="FL8" i="14851" s="1"/>
  <c r="EJ8" i="14851"/>
  <c r="EG8" i="14851"/>
  <c r="FE8" i="14851" s="1"/>
  <c r="FE26" i="14851" s="1"/>
  <c r="EF8" i="14851"/>
  <c r="EF10" i="14851" s="1"/>
  <c r="EF11" i="14851" s="1"/>
  <c r="EE8" i="14851"/>
  <c r="EB8" i="14851"/>
  <c r="EZ8" i="14851" s="1"/>
  <c r="EZ26" i="14851" s="1"/>
  <c r="AA8" i="14851"/>
  <c r="A8" i="14851"/>
  <c r="FU7" i="14851"/>
  <c r="FT7" i="14851"/>
  <c r="FS7" i="14851"/>
  <c r="FR7" i="14851"/>
  <c r="FQ7" i="14851"/>
  <c r="FP7" i="14851"/>
  <c r="FO7" i="14851"/>
  <c r="FN7" i="14851"/>
  <c r="FM7" i="14851"/>
  <c r="FL7" i="14851"/>
  <c r="FK7" i="14851"/>
  <c r="FJ7" i="14851"/>
  <c r="FI7" i="14851"/>
  <c r="FH7" i="14851"/>
  <c r="FG7" i="14851"/>
  <c r="FF7" i="14851"/>
  <c r="FE7" i="14851"/>
  <c r="FD7" i="14851"/>
  <c r="FB7" i="14851"/>
  <c r="FA7" i="14851"/>
  <c r="BY7" i="14851"/>
  <c r="BX7" i="14851"/>
  <c r="BW7" i="14851"/>
  <c r="BV7" i="14851"/>
  <c r="BS7" i="14851"/>
  <c r="BR7" i="14851"/>
  <c r="BQ7" i="14851"/>
  <c r="BP7" i="14851"/>
  <c r="BO7" i="14851"/>
  <c r="BN7" i="14851"/>
  <c r="BM7" i="14851"/>
  <c r="BJ7" i="14851"/>
  <c r="BI7" i="14851"/>
  <c r="BH7" i="14851"/>
  <c r="BE7" i="14851"/>
  <c r="AA7" i="14851"/>
  <c r="A7" i="14851"/>
  <c r="FU6" i="14851"/>
  <c r="FT6" i="14851"/>
  <c r="FS6" i="14851"/>
  <c r="FR6" i="14851"/>
  <c r="FQ6" i="14851"/>
  <c r="FP6" i="14851"/>
  <c r="FO6" i="14851"/>
  <c r="FN6" i="14851"/>
  <c r="FM6" i="14851"/>
  <c r="FL6" i="14851"/>
  <c r="FK6" i="14851"/>
  <c r="FJ6" i="14851"/>
  <c r="FI6" i="14851"/>
  <c r="FH6" i="14851"/>
  <c r="FG6" i="14851"/>
  <c r="FF6" i="14851"/>
  <c r="FE6" i="14851"/>
  <c r="FD6" i="14851"/>
  <c r="FB6" i="14851"/>
  <c r="FA6" i="14851"/>
  <c r="AA6" i="14851"/>
  <c r="A6" i="14851"/>
  <c r="FU5" i="14851"/>
  <c r="FT5" i="14851"/>
  <c r="FS5" i="14851"/>
  <c r="FR5" i="14851"/>
  <c r="FQ5" i="14851"/>
  <c r="FP5" i="14851"/>
  <c r="FO5" i="14851"/>
  <c r="FN5" i="14851"/>
  <c r="FM5" i="14851"/>
  <c r="FL5" i="14851"/>
  <c r="FK5" i="14851"/>
  <c r="FJ5" i="14851"/>
  <c r="FI5" i="14851"/>
  <c r="FH5" i="14851"/>
  <c r="FG5" i="14851"/>
  <c r="FF5" i="14851"/>
  <c r="FE5" i="14851"/>
  <c r="FD5" i="14851"/>
  <c r="FC5" i="14851"/>
  <c r="FB5" i="14851"/>
  <c r="FA5" i="14851"/>
  <c r="EZ5" i="14851"/>
  <c r="CX5" i="14851"/>
  <c r="CW5" i="14851"/>
  <c r="CV5" i="14851"/>
  <c r="CU5" i="14851"/>
  <c r="CT5" i="14851"/>
  <c r="CT11" i="14851" s="1"/>
  <c r="CS5" i="14851"/>
  <c r="CR5" i="14851"/>
  <c r="CR11" i="14851" s="1"/>
  <c r="CQ5" i="14851"/>
  <c r="CP5" i="14851"/>
  <c r="CO5" i="14851"/>
  <c r="CO11" i="14851" s="1"/>
  <c r="CN5" i="14851"/>
  <c r="CM5" i="14851"/>
  <c r="CL5" i="14851"/>
  <c r="CL11" i="14851" s="1"/>
  <c r="CI5" i="14851"/>
  <c r="CH5" i="14851"/>
  <c r="CG5" i="14851"/>
  <c r="CD5" i="14851"/>
  <c r="CD11" i="14851" s="1"/>
  <c r="AA5" i="14851"/>
  <c r="A5" i="14851"/>
  <c r="FU4" i="14851"/>
  <c r="FT4" i="14851"/>
  <c r="FS4" i="14851"/>
  <c r="FR4" i="14851"/>
  <c r="FQ4" i="14851"/>
  <c r="FP4" i="14851"/>
  <c r="FO4" i="14851"/>
  <c r="FN4" i="14851"/>
  <c r="FM4" i="14851"/>
  <c r="FL4" i="14851"/>
  <c r="FK4" i="14851"/>
  <c r="FJ4" i="14851"/>
  <c r="FI4" i="14851"/>
  <c r="FH4" i="14851"/>
  <c r="FG4" i="14851"/>
  <c r="FF4" i="14851"/>
  <c r="FE4" i="14851"/>
  <c r="FD4" i="14851"/>
  <c r="FC4" i="14851"/>
  <c r="FB4" i="14851"/>
  <c r="FA4" i="14851"/>
  <c r="EZ4" i="14851"/>
  <c r="AA4" i="14851"/>
  <c r="A4" i="14851"/>
  <c r="FU3" i="14851"/>
  <c r="FT3" i="14851"/>
  <c r="FS3" i="14851"/>
  <c r="FR3" i="14851"/>
  <c r="FQ3" i="14851"/>
  <c r="FP3" i="14851"/>
  <c r="FO3" i="14851"/>
  <c r="FN3" i="14851"/>
  <c r="FM3" i="14851"/>
  <c r="FL3" i="14851"/>
  <c r="FK3" i="14851"/>
  <c r="FJ3" i="14851"/>
  <c r="FI3" i="14851"/>
  <c r="FH3" i="14851"/>
  <c r="FG3" i="14851"/>
  <c r="FF3" i="14851"/>
  <c r="FE3" i="14851"/>
  <c r="FD3" i="14851"/>
  <c r="FC3" i="14851"/>
  <c r="FB3" i="14851"/>
  <c r="FA3" i="14851"/>
  <c r="EZ3" i="14851"/>
  <c r="AA3" i="14851"/>
  <c r="A3" i="14851"/>
  <c r="HS2" i="14851"/>
  <c r="HR2" i="14851"/>
  <c r="HQ2" i="14851"/>
  <c r="HP2" i="14851"/>
  <c r="HO2" i="14851"/>
  <c r="HN2" i="14851"/>
  <c r="HM2" i="14851"/>
  <c r="HL2" i="14851"/>
  <c r="HK2" i="14851"/>
  <c r="HJ2" i="14851"/>
  <c r="HI2" i="14851"/>
  <c r="HH2" i="14851"/>
  <c r="HG2" i="14851"/>
  <c r="HF2" i="14851"/>
  <c r="HE2" i="14851"/>
  <c r="HD2" i="14851"/>
  <c r="HC2" i="14851"/>
  <c r="HB2" i="14851"/>
  <c r="HA2" i="14851"/>
  <c r="GZ2" i="14851"/>
  <c r="GY2" i="14851"/>
  <c r="GX2" i="14851"/>
  <c r="GT2" i="14851"/>
  <c r="GS2" i="14851"/>
  <c r="GR2" i="14851"/>
  <c r="GQ2" i="14851"/>
  <c r="GP2" i="14851"/>
  <c r="GO2" i="14851"/>
  <c r="GN2" i="14851"/>
  <c r="GM2" i="14851"/>
  <c r="GL2" i="14851"/>
  <c r="GK2" i="14851"/>
  <c r="GJ2" i="14851"/>
  <c r="GI2" i="14851"/>
  <c r="GH2" i="14851"/>
  <c r="GG2" i="14851"/>
  <c r="GF2" i="14851"/>
  <c r="GE2" i="14851"/>
  <c r="GD2" i="14851"/>
  <c r="GC2" i="14851"/>
  <c r="GB2" i="14851"/>
  <c r="GA2" i="14851"/>
  <c r="FZ2" i="14851"/>
  <c r="FY2" i="14851"/>
  <c r="FU2" i="14851"/>
  <c r="FT2" i="14851"/>
  <c r="FS2" i="14851"/>
  <c r="FR2" i="14851"/>
  <c r="FQ2" i="14851"/>
  <c r="FP2" i="14851"/>
  <c r="FO2" i="14851"/>
  <c r="FN2" i="14851"/>
  <c r="FM2" i="14851"/>
  <c r="FL2" i="14851"/>
  <c r="FK2" i="14851"/>
  <c r="FJ2" i="14851"/>
  <c r="FI2" i="14851"/>
  <c r="FH2" i="14851"/>
  <c r="FG2" i="14851"/>
  <c r="FF2" i="14851"/>
  <c r="FE2" i="14851"/>
  <c r="FD2" i="14851"/>
  <c r="FC2" i="14851"/>
  <c r="FB2" i="14851"/>
  <c r="FA2" i="14851"/>
  <c r="EZ2" i="14851"/>
  <c r="EV2" i="14851"/>
  <c r="EU2" i="14851"/>
  <c r="ET2" i="14851"/>
  <c r="ES2" i="14851"/>
  <c r="ER2" i="14851"/>
  <c r="EQ2" i="14851"/>
  <c r="EP2" i="14851"/>
  <c r="EO2" i="14851"/>
  <c r="EN2" i="14851"/>
  <c r="EM2" i="14851"/>
  <c r="EL2" i="14851"/>
  <c r="EK2" i="14851"/>
  <c r="EJ2" i="14851"/>
  <c r="EI2" i="14851"/>
  <c r="EH2" i="14851"/>
  <c r="EG2" i="14851"/>
  <c r="EF2" i="14851"/>
  <c r="EE2" i="14851"/>
  <c r="ED2" i="14851"/>
  <c r="EC2" i="14851"/>
  <c r="EB2" i="14851"/>
  <c r="DW2" i="14851"/>
  <c r="DV2" i="14851"/>
  <c r="DU2" i="14851"/>
  <c r="DT2" i="14851"/>
  <c r="DS2" i="14851"/>
  <c r="DR2" i="14851"/>
  <c r="DQ2" i="14851"/>
  <c r="DP2" i="14851"/>
  <c r="DO2" i="14851"/>
  <c r="DN2" i="14851"/>
  <c r="DM2" i="14851"/>
  <c r="DL2" i="14851"/>
  <c r="DK2" i="14851"/>
  <c r="DJ2" i="14851"/>
  <c r="DI2" i="14851"/>
  <c r="DH2" i="14851"/>
  <c r="DG2" i="14851"/>
  <c r="DF2" i="14851"/>
  <c r="DE2" i="14851"/>
  <c r="CY2" i="14851"/>
  <c r="CX2" i="14851"/>
  <c r="CW2" i="14851"/>
  <c r="CV2" i="14851"/>
  <c r="CU2" i="14851"/>
  <c r="CT2" i="14851"/>
  <c r="CS2" i="14851"/>
  <c r="CR2" i="14851"/>
  <c r="CQ2" i="14851"/>
  <c r="CP2" i="14851"/>
  <c r="CO2" i="14851"/>
  <c r="CN2" i="14851"/>
  <c r="CM2" i="14851"/>
  <c r="CL2" i="14851"/>
  <c r="CK2" i="14851"/>
  <c r="CJ2" i="14851"/>
  <c r="CI2" i="14851"/>
  <c r="CH2" i="14851"/>
  <c r="CG2" i="14851"/>
  <c r="CF2" i="14851"/>
  <c r="CE2" i="14851"/>
  <c r="CD2" i="14851"/>
  <c r="BZ2" i="14851"/>
  <c r="BY2" i="14851"/>
  <c r="BX2" i="14851"/>
  <c r="BW2" i="14851"/>
  <c r="BV2" i="14851"/>
  <c r="BU2" i="14851"/>
  <c r="BT2" i="14851"/>
  <c r="BS2" i="14851"/>
  <c r="BR2" i="14851"/>
  <c r="BQ2" i="14851"/>
  <c r="BP2" i="14851"/>
  <c r="BO2" i="14851"/>
  <c r="BN2" i="14851"/>
  <c r="BM2" i="14851"/>
  <c r="BL2" i="14851"/>
  <c r="BK2" i="14851"/>
  <c r="BJ2" i="14851"/>
  <c r="BH2" i="14851"/>
  <c r="BG2" i="14851"/>
  <c r="BF2" i="14851"/>
  <c r="BE2" i="14851"/>
  <c r="AZ2" i="14851"/>
  <c r="AY2" i="14851"/>
  <c r="AX2" i="14851"/>
  <c r="AW2" i="14851"/>
  <c r="AV2" i="14851"/>
  <c r="AU2" i="14851"/>
  <c r="AT2" i="14851"/>
  <c r="AS2" i="14851"/>
  <c r="AR2" i="14851"/>
  <c r="AQ2" i="14851"/>
  <c r="AP2" i="14851"/>
  <c r="AO2" i="14851"/>
  <c r="AN2" i="14851"/>
  <c r="AM2" i="14851"/>
  <c r="AL2" i="14851"/>
  <c r="AK2" i="14851"/>
  <c r="AJ2" i="14851"/>
  <c r="AI2" i="14851"/>
  <c r="AH2" i="14851"/>
  <c r="AG2" i="14851"/>
  <c r="AF2" i="14851"/>
  <c r="AE2" i="14851"/>
  <c r="HS1" i="14851"/>
  <c r="HR1" i="14851"/>
  <c r="HQ1" i="14851"/>
  <c r="HP1" i="14851"/>
  <c r="HO1" i="14851"/>
  <c r="HN1" i="14851"/>
  <c r="HM1" i="14851"/>
  <c r="HL1" i="14851"/>
  <c r="HK1" i="14851"/>
  <c r="HJ1" i="14851"/>
  <c r="HI1" i="14851"/>
  <c r="HH1" i="14851"/>
  <c r="HG1" i="14851"/>
  <c r="HF1" i="14851"/>
  <c r="HE1" i="14851"/>
  <c r="HD1" i="14851"/>
  <c r="HC1" i="14851"/>
  <c r="HB1" i="14851"/>
  <c r="HA1" i="14851"/>
  <c r="GZ1" i="14851"/>
  <c r="GY1" i="14851"/>
  <c r="GX1" i="14851"/>
  <c r="GT1" i="14851"/>
  <c r="GS1" i="14851"/>
  <c r="GR1" i="14851"/>
  <c r="GQ1" i="14851"/>
  <c r="GP1" i="14851"/>
  <c r="GO1" i="14851"/>
  <c r="GN1" i="14851"/>
  <c r="GM1" i="14851"/>
  <c r="GL1" i="14851"/>
  <c r="GK1" i="14851"/>
  <c r="GJ1" i="14851"/>
  <c r="GI1" i="14851"/>
  <c r="GH1" i="14851"/>
  <c r="GG1" i="14851"/>
  <c r="GF1" i="14851"/>
  <c r="GE1" i="14851"/>
  <c r="GD1" i="14851"/>
  <c r="GC1" i="14851"/>
  <c r="GB1" i="14851"/>
  <c r="GA1" i="14851"/>
  <c r="FZ1" i="14851"/>
  <c r="FY1" i="14851"/>
  <c r="FU1" i="14851"/>
  <c r="FT1" i="14851"/>
  <c r="FS1" i="14851"/>
  <c r="FS25" i="14851" s="1"/>
  <c r="FR1" i="14851"/>
  <c r="FR25" i="14851" s="1"/>
  <c r="FQ1" i="14851"/>
  <c r="FQ25" i="14851" s="1"/>
  <c r="FP1" i="14851"/>
  <c r="FP25" i="14851" s="1"/>
  <c r="FO1" i="14851"/>
  <c r="FO25" i="14851" s="1"/>
  <c r="FN1" i="14851"/>
  <c r="FN25" i="14851" s="1"/>
  <c r="FM1" i="14851"/>
  <c r="FM25" i="14851" s="1"/>
  <c r="FL1" i="14851"/>
  <c r="FL25" i="14851" s="1"/>
  <c r="FK1" i="14851"/>
  <c r="FK25" i="14851" s="1"/>
  <c r="FJ1" i="14851"/>
  <c r="FJ25" i="14851" s="1"/>
  <c r="FI1" i="14851"/>
  <c r="FI25" i="14851" s="1"/>
  <c r="FH1" i="14851"/>
  <c r="FH25" i="14851" s="1"/>
  <c r="FG1" i="14851"/>
  <c r="FG25" i="14851" s="1"/>
  <c r="FF1" i="14851"/>
  <c r="FF25" i="14851" s="1"/>
  <c r="FE1" i="14851"/>
  <c r="FE25" i="14851" s="1"/>
  <c r="FD1" i="14851"/>
  <c r="FD25" i="14851" s="1"/>
  <c r="FC1" i="14851"/>
  <c r="FC25" i="14851" s="1"/>
  <c r="FB1" i="14851"/>
  <c r="FB25" i="14851" s="1"/>
  <c r="FA1" i="14851"/>
  <c r="FA25" i="14851" s="1"/>
  <c r="EZ1" i="14851"/>
  <c r="EZ25" i="14851" s="1"/>
  <c r="EV1" i="14851"/>
  <c r="EU1" i="14851"/>
  <c r="ET1" i="14851"/>
  <c r="ES1" i="14851"/>
  <c r="ER1" i="14851"/>
  <c r="EQ1" i="14851"/>
  <c r="EP1" i="14851"/>
  <c r="EO1" i="14851"/>
  <c r="EN1" i="14851"/>
  <c r="EM1" i="14851"/>
  <c r="EL1" i="14851"/>
  <c r="EK1" i="14851"/>
  <c r="EJ1" i="14851"/>
  <c r="EI1" i="14851"/>
  <c r="EH1" i="14851"/>
  <c r="EG1" i="14851"/>
  <c r="EF1" i="14851"/>
  <c r="EE1" i="14851"/>
  <c r="ED1" i="14851"/>
  <c r="EC1" i="14851"/>
  <c r="EB1" i="14851"/>
  <c r="DW1" i="14851"/>
  <c r="DV1" i="14851"/>
  <c r="DU1" i="14851"/>
  <c r="DT1" i="14851"/>
  <c r="DS1" i="14851"/>
  <c r="DR1" i="14851"/>
  <c r="DQ1" i="14851"/>
  <c r="DP1" i="14851"/>
  <c r="DO1" i="14851"/>
  <c r="DN1" i="14851"/>
  <c r="DM1" i="14851"/>
  <c r="DL1" i="14851"/>
  <c r="DK1" i="14851"/>
  <c r="DJ1" i="14851"/>
  <c r="DI1" i="14851"/>
  <c r="DH1" i="14851"/>
  <c r="DG1" i="14851"/>
  <c r="DF1" i="14851"/>
  <c r="DE1" i="14851"/>
  <c r="DD1" i="14851"/>
  <c r="CY1" i="14851"/>
  <c r="CX1" i="14851"/>
  <c r="CW1" i="14851"/>
  <c r="CV1" i="14851"/>
  <c r="CU1" i="14851"/>
  <c r="CT1" i="14851"/>
  <c r="CS1" i="14851"/>
  <c r="CR1" i="14851"/>
  <c r="CQ1" i="14851"/>
  <c r="CP1" i="14851"/>
  <c r="CO1" i="14851"/>
  <c r="CN1" i="14851"/>
  <c r="CM1" i="14851"/>
  <c r="CL1" i="14851"/>
  <c r="CK1" i="14851"/>
  <c r="CJ1" i="14851"/>
  <c r="CI1" i="14851"/>
  <c r="CH1" i="14851"/>
  <c r="CG1" i="14851"/>
  <c r="CF1" i="14851"/>
  <c r="CE1" i="14851"/>
  <c r="CD1" i="14851"/>
  <c r="BZ1" i="14851"/>
  <c r="BY1" i="14851"/>
  <c r="BX1" i="14851"/>
  <c r="BW1" i="14851"/>
  <c r="BV1" i="14851"/>
  <c r="BU1" i="14851"/>
  <c r="BT1" i="14851"/>
  <c r="BS1" i="14851"/>
  <c r="BR1" i="14851"/>
  <c r="BQ1" i="14851"/>
  <c r="BP1" i="14851"/>
  <c r="BO1" i="14851"/>
  <c r="BN1" i="14851"/>
  <c r="BM1" i="14851"/>
  <c r="BL1" i="14851"/>
  <c r="BK1" i="14851"/>
  <c r="BJ1" i="14851"/>
  <c r="BI1" i="14851"/>
  <c r="BH1" i="14851"/>
  <c r="BG1" i="14851"/>
  <c r="BF1" i="14851"/>
  <c r="BE1" i="14851"/>
  <c r="AZ1" i="14851"/>
  <c r="AY1" i="14851"/>
  <c r="AX1" i="14851"/>
  <c r="AW1" i="14851"/>
  <c r="AV1" i="14851"/>
  <c r="AU1" i="14851"/>
  <c r="AU54" i="14851" s="1"/>
  <c r="AT1" i="14851"/>
  <c r="AT54" i="14851" s="1"/>
  <c r="AS1" i="14851"/>
  <c r="AR1" i="14851"/>
  <c r="AQ1" i="14851"/>
  <c r="AP1" i="14851"/>
  <c r="AP54" i="14851" s="1"/>
  <c r="AO1" i="14851"/>
  <c r="AO54" i="14851" s="1"/>
  <c r="AN1" i="14851"/>
  <c r="AN54" i="14851" s="1"/>
  <c r="AM1" i="14851"/>
  <c r="AL1" i="14851"/>
  <c r="AL54" i="14851" s="1"/>
  <c r="AK1" i="14851"/>
  <c r="AK54" i="14851" s="1"/>
  <c r="AJ1" i="14851"/>
  <c r="AI1" i="14851"/>
  <c r="AH1" i="14851"/>
  <c r="AG1" i="14851"/>
  <c r="AG54" i="14851" s="1"/>
  <c r="AF1" i="14851"/>
  <c r="AF54" i="14851" s="1"/>
  <c r="AE1" i="14851"/>
  <c r="BV217" i="14850"/>
  <c r="BQ217" i="14850"/>
  <c r="BY216" i="14850"/>
  <c r="BY217" i="14850" s="1"/>
  <c r="BX216" i="14850"/>
  <c r="BW216" i="14850"/>
  <c r="BV216" i="14850"/>
  <c r="BU216" i="14850"/>
  <c r="BT216" i="14850"/>
  <c r="BS216" i="14850"/>
  <c r="BR216" i="14850"/>
  <c r="BQ216" i="14850"/>
  <c r="BP216" i="14850"/>
  <c r="BO216" i="14850"/>
  <c r="BN216" i="14850"/>
  <c r="BN217" i="14850" s="1"/>
  <c r="BM216" i="14850"/>
  <c r="BL216" i="14850"/>
  <c r="BK216" i="14850"/>
  <c r="BJ216" i="14850"/>
  <c r="BI216" i="14850"/>
  <c r="BH216" i="14850"/>
  <c r="BG216" i="14850"/>
  <c r="BE216" i="14850"/>
  <c r="BY215" i="14850"/>
  <c r="BX215" i="14850"/>
  <c r="BW215" i="14850"/>
  <c r="BW217" i="14850" s="1"/>
  <c r="BV215" i="14850"/>
  <c r="BU215" i="14850"/>
  <c r="BU217" i="14850" s="1"/>
  <c r="BT215" i="14850"/>
  <c r="BS215" i="14850"/>
  <c r="BR215" i="14850"/>
  <c r="BQ215" i="14850"/>
  <c r="BP215" i="14850"/>
  <c r="BO215" i="14850"/>
  <c r="BO217" i="14850" s="1"/>
  <c r="BN215" i="14850"/>
  <c r="BM215" i="14850"/>
  <c r="BM217" i="14850" s="1"/>
  <c r="BL215" i="14850"/>
  <c r="BK215" i="14850"/>
  <c r="BJ215" i="14850"/>
  <c r="BI215" i="14850"/>
  <c r="BH215" i="14850"/>
  <c r="BG215" i="14850"/>
  <c r="BG217" i="14850" s="1"/>
  <c r="BE215" i="14850"/>
  <c r="BE217" i="14850" s="1"/>
  <c r="BY189" i="14850"/>
  <c r="BX189" i="14850"/>
  <c r="BW189" i="14850"/>
  <c r="BV189" i="14850"/>
  <c r="BU189" i="14850"/>
  <c r="BT189" i="14850"/>
  <c r="BS189" i="14850"/>
  <c r="BR189" i="14850"/>
  <c r="BQ189" i="14850"/>
  <c r="BP189" i="14850"/>
  <c r="BO189" i="14850"/>
  <c r="BN189" i="14850"/>
  <c r="BM189" i="14850"/>
  <c r="BJ189" i="14850"/>
  <c r="BI189" i="14850"/>
  <c r="BH189" i="14850"/>
  <c r="BG189" i="14850"/>
  <c r="BE189" i="14850"/>
  <c r="BY164" i="14850"/>
  <c r="BX164" i="14850"/>
  <c r="BW164" i="14850"/>
  <c r="BV164" i="14850"/>
  <c r="BU164" i="14850"/>
  <c r="BT164" i="14850"/>
  <c r="BS164" i="14850"/>
  <c r="BR164" i="14850"/>
  <c r="BQ164" i="14850"/>
  <c r="BP164" i="14850"/>
  <c r="BO164" i="14850"/>
  <c r="BN164" i="14850"/>
  <c r="BM164" i="14850"/>
  <c r="BJ164" i="14850"/>
  <c r="BI164" i="14850"/>
  <c r="BH164" i="14850"/>
  <c r="BG164" i="14850"/>
  <c r="BE164" i="14850"/>
  <c r="BX145" i="14850"/>
  <c r="BW145" i="14850"/>
  <c r="BF144" i="14850"/>
  <c r="BY143" i="14850"/>
  <c r="BX143" i="14850"/>
  <c r="BW143" i="14850"/>
  <c r="BV143" i="14850"/>
  <c r="BU143" i="14850"/>
  <c r="BT143" i="14850"/>
  <c r="BS143" i="14850"/>
  <c r="BR143" i="14850"/>
  <c r="BQ143" i="14850"/>
  <c r="BP143" i="14850"/>
  <c r="BO143" i="14850"/>
  <c r="BN143" i="14850"/>
  <c r="BM143" i="14850"/>
  <c r="BL143" i="14850"/>
  <c r="BK143" i="14850"/>
  <c r="BJ143" i="14850"/>
  <c r="BI143" i="14850"/>
  <c r="BH143" i="14850"/>
  <c r="BG143" i="14850"/>
  <c r="BF143" i="14850"/>
  <c r="BE143" i="14850"/>
  <c r="BG116" i="14850"/>
  <c r="BF116" i="14850"/>
  <c r="BY112" i="14850"/>
  <c r="BX112" i="14850"/>
  <c r="BW112" i="14850"/>
  <c r="BV112" i="14850"/>
  <c r="BU112" i="14850"/>
  <c r="BT112" i="14850"/>
  <c r="BS112" i="14850"/>
  <c r="BR112" i="14850"/>
  <c r="BQ112" i="14850"/>
  <c r="BP112" i="14850"/>
  <c r="BO112" i="14850"/>
  <c r="BN112" i="14850"/>
  <c r="BM112" i="14850"/>
  <c r="BJ112" i="14850"/>
  <c r="BI112" i="14850"/>
  <c r="BH112" i="14850"/>
  <c r="BG112" i="14850"/>
  <c r="BE112" i="14850"/>
  <c r="BY86" i="14850"/>
  <c r="BX86" i="14850"/>
  <c r="BW86" i="14850"/>
  <c r="BV86" i="14850"/>
  <c r="BU86" i="14850"/>
  <c r="BT86" i="14850"/>
  <c r="BS86" i="14850"/>
  <c r="BR86" i="14850"/>
  <c r="BQ86" i="14850"/>
  <c r="BP86" i="14850"/>
  <c r="BO86" i="14850"/>
  <c r="BN86" i="14850"/>
  <c r="BM86" i="14850"/>
  <c r="BJ86" i="14850"/>
  <c r="BI86" i="14850"/>
  <c r="BH86" i="14850"/>
  <c r="BE86" i="14850"/>
  <c r="AH63" i="14850"/>
  <c r="BY61" i="14850"/>
  <c r="BX61" i="14850"/>
  <c r="BW61" i="14850"/>
  <c r="BV61" i="14850"/>
  <c r="BU61" i="14850"/>
  <c r="BT61" i="14850"/>
  <c r="BS61" i="14850"/>
  <c r="BR61" i="14850"/>
  <c r="BQ61" i="14850"/>
  <c r="BP61" i="14850"/>
  <c r="BO61" i="14850"/>
  <c r="BN61" i="14850"/>
  <c r="BM61" i="14850"/>
  <c r="BJ61" i="14850"/>
  <c r="BI61" i="14850"/>
  <c r="BH61" i="14850"/>
  <c r="BE61" i="14850"/>
  <c r="Y48" i="14850"/>
  <c r="X48" i="14850"/>
  <c r="W48" i="14850"/>
  <c r="V48" i="14850"/>
  <c r="U48" i="14850"/>
  <c r="T48" i="14850"/>
  <c r="S48" i="14850"/>
  <c r="R48" i="14850"/>
  <c r="Q48" i="14850"/>
  <c r="P48" i="14850"/>
  <c r="O48" i="14850"/>
  <c r="N48" i="14850"/>
  <c r="M48" i="14850"/>
  <c r="L48" i="14850"/>
  <c r="K48" i="14850"/>
  <c r="J48" i="14850"/>
  <c r="I48" i="14850"/>
  <c r="H48" i="14850"/>
  <c r="G48" i="14850"/>
  <c r="F48" i="14850"/>
  <c r="E48" i="14850"/>
  <c r="D48" i="14850"/>
  <c r="A47" i="14850"/>
  <c r="A46" i="14850"/>
  <c r="A45" i="14850"/>
  <c r="BY44" i="14850"/>
  <c r="BX44" i="14850"/>
  <c r="BW44" i="14850"/>
  <c r="BV44" i="14850"/>
  <c r="BU44" i="14850"/>
  <c r="BT44" i="14850"/>
  <c r="BS44" i="14850"/>
  <c r="BR44" i="14850"/>
  <c r="BQ44" i="14850"/>
  <c r="BP44" i="14850"/>
  <c r="BO44" i="14850"/>
  <c r="BN44" i="14850"/>
  <c r="BM44" i="14850"/>
  <c r="BJ44" i="14850"/>
  <c r="BI44" i="14850"/>
  <c r="BH44" i="14850"/>
  <c r="BG44" i="14850"/>
  <c r="BE44" i="14850"/>
  <c r="A44" i="14850"/>
  <c r="A43" i="14850"/>
  <c r="A42" i="14850"/>
  <c r="A41" i="14850"/>
  <c r="AU40" i="14850"/>
  <c r="AT40" i="14850"/>
  <c r="AP40" i="14850"/>
  <c r="AO40" i="14850"/>
  <c r="AN40" i="14850"/>
  <c r="AL40" i="14850"/>
  <c r="AK40" i="14850"/>
  <c r="AG40" i="14850"/>
  <c r="AF40" i="14850"/>
  <c r="A40" i="14850"/>
  <c r="A39" i="14850"/>
  <c r="A38" i="14850"/>
  <c r="A37" i="14850"/>
  <c r="BY36" i="14850"/>
  <c r="BX36" i="14850"/>
  <c r="BW36" i="14850"/>
  <c r="BV36" i="14850"/>
  <c r="BU36" i="14850"/>
  <c r="BT36" i="14850"/>
  <c r="BS36" i="14850"/>
  <c r="BR36" i="14850"/>
  <c r="BQ36" i="14850"/>
  <c r="BP36" i="14850"/>
  <c r="BO36" i="14850"/>
  <c r="BN36" i="14850"/>
  <c r="BM36" i="14850"/>
  <c r="BJ36" i="14850"/>
  <c r="BI36" i="14850"/>
  <c r="BH36" i="14850"/>
  <c r="BG36" i="14850"/>
  <c r="BE36" i="14850"/>
  <c r="A36" i="14850"/>
  <c r="AH35" i="14850"/>
  <c r="AA35" i="14850"/>
  <c r="A35" i="14850"/>
  <c r="AA34" i="14850"/>
  <c r="A34" i="14850"/>
  <c r="AA33" i="14850"/>
  <c r="A33" i="14850"/>
  <c r="AA32" i="14850"/>
  <c r="A32" i="14850"/>
  <c r="AX31" i="14850"/>
  <c r="CW5" i="14850" s="1"/>
  <c r="CW11" i="14850" s="1"/>
  <c r="AW31" i="14850"/>
  <c r="AA31" i="14850"/>
  <c r="A31" i="14850"/>
  <c r="AA30" i="14850"/>
  <c r="A30" i="14850"/>
  <c r="AA29" i="14850"/>
  <c r="A29" i="14850"/>
  <c r="AA28" i="14850"/>
  <c r="A28" i="14850"/>
  <c r="FK27" i="14850"/>
  <c r="AZ27" i="14850"/>
  <c r="AZ30" i="14850" s="1"/>
  <c r="AY27" i="14850"/>
  <c r="BY165" i="14850" s="1"/>
  <c r="BY166" i="14850" s="1"/>
  <c r="AX27" i="14850"/>
  <c r="BX165" i="14850" s="1"/>
  <c r="BX166" i="14850" s="1"/>
  <c r="AW27" i="14850"/>
  <c r="BW165" i="14850" s="1"/>
  <c r="BW166" i="14850" s="1"/>
  <c r="AV27" i="14850"/>
  <c r="CU7" i="14850" s="1"/>
  <c r="AU27" i="14850"/>
  <c r="CT7" i="14850" s="1"/>
  <c r="AT27" i="14850"/>
  <c r="CS7" i="14850" s="1"/>
  <c r="AS27" i="14850"/>
  <c r="BS165" i="14850" s="1"/>
  <c r="BS166" i="14850" s="1"/>
  <c r="AR27" i="14850"/>
  <c r="CQ7" i="14850" s="1"/>
  <c r="AQ27" i="14850"/>
  <c r="BQ165" i="14850" s="1"/>
  <c r="BQ166" i="14850" s="1"/>
  <c r="AP27" i="14850"/>
  <c r="BP165" i="14850" s="1"/>
  <c r="BP166" i="14850" s="1"/>
  <c r="AO27" i="14850"/>
  <c r="BO165" i="14850" s="1"/>
  <c r="BO166" i="14850" s="1"/>
  <c r="AN27" i="14850"/>
  <c r="CM7" i="14850" s="1"/>
  <c r="AM27" i="14850"/>
  <c r="CL7" i="14850" s="1"/>
  <c r="AL27" i="14850"/>
  <c r="CK7" i="14850" s="1"/>
  <c r="AK27" i="14850"/>
  <c r="CJ7" i="14850" s="1"/>
  <c r="AJ27" i="14850"/>
  <c r="CI7" i="14850" s="1"/>
  <c r="AI27" i="14850"/>
  <c r="BI165" i="14850" s="1"/>
  <c r="BI166" i="14850" s="1"/>
  <c r="AH27" i="14850"/>
  <c r="BH165" i="14850" s="1"/>
  <c r="AG27" i="14850"/>
  <c r="BG165" i="14850" s="1"/>
  <c r="BG166" i="14850" s="1"/>
  <c r="AF27" i="14850"/>
  <c r="AE27" i="14850"/>
  <c r="BE165" i="14850" s="1"/>
  <c r="AA27" i="14850"/>
  <c r="A27" i="14850"/>
  <c r="AA26" i="14850"/>
  <c r="A26" i="14850"/>
  <c r="AA25" i="14850"/>
  <c r="A25" i="14850"/>
  <c r="AA24" i="14850"/>
  <c r="A24" i="14850"/>
  <c r="AA23" i="14850"/>
  <c r="A23" i="14850"/>
  <c r="AZ22" i="14850"/>
  <c r="AY22" i="14850"/>
  <c r="AX22" i="14850"/>
  <c r="AW22" i="14850"/>
  <c r="AV22" i="14850"/>
  <c r="AU22" i="14850"/>
  <c r="AT22" i="14850"/>
  <c r="AS22" i="14850"/>
  <c r="AR22" i="14850"/>
  <c r="AQ22" i="14850"/>
  <c r="AP22" i="14850"/>
  <c r="AO22" i="14850"/>
  <c r="AN22" i="14850"/>
  <c r="AM22" i="14850"/>
  <c r="AL22" i="14850"/>
  <c r="AK22" i="14850"/>
  <c r="AJ22" i="14850"/>
  <c r="AI22" i="14850"/>
  <c r="AH22" i="14850"/>
  <c r="AG22" i="14850"/>
  <c r="AF22" i="14850"/>
  <c r="AE22" i="14850"/>
  <c r="AA22" i="14850"/>
  <c r="A22" i="14850"/>
  <c r="AZ21" i="14850"/>
  <c r="AY21" i="14850"/>
  <c r="BY115" i="14850" s="1"/>
  <c r="AX21" i="14850"/>
  <c r="BX115" i="14850" s="1"/>
  <c r="AW21" i="14850"/>
  <c r="BW115" i="14850" s="1"/>
  <c r="AV21" i="14850"/>
  <c r="BV115" i="14850" s="1"/>
  <c r="AU21" i="14850"/>
  <c r="BU115" i="14850" s="1"/>
  <c r="AT21" i="14850"/>
  <c r="BT115" i="14850" s="1"/>
  <c r="AS21" i="14850"/>
  <c r="BS115" i="14850" s="1"/>
  <c r="AR21" i="14850"/>
  <c r="BR115" i="14850" s="1"/>
  <c r="AQ21" i="14850"/>
  <c r="BQ115" i="14850" s="1"/>
  <c r="AP21" i="14850"/>
  <c r="BP115" i="14850" s="1"/>
  <c r="AO21" i="14850"/>
  <c r="BO115" i="14850" s="1"/>
  <c r="AN21" i="14850"/>
  <c r="BN115" i="14850" s="1"/>
  <c r="AM21" i="14850"/>
  <c r="BM115" i="14850" s="1"/>
  <c r="AL21" i="14850"/>
  <c r="CK13" i="14850" s="1"/>
  <c r="AK21" i="14850"/>
  <c r="CJ13" i="14850" s="1"/>
  <c r="AJ21" i="14850"/>
  <c r="BJ115" i="14850" s="1"/>
  <c r="AI21" i="14850"/>
  <c r="BI115" i="14850" s="1"/>
  <c r="AH21" i="14850"/>
  <c r="BH115" i="14850" s="1"/>
  <c r="AG21" i="14850"/>
  <c r="BG115" i="14850" s="1"/>
  <c r="AF21" i="14850"/>
  <c r="AE21" i="14850"/>
  <c r="BE115" i="14850" s="1"/>
  <c r="AA21" i="14850"/>
  <c r="A21" i="14850"/>
  <c r="AY20" i="14850"/>
  <c r="BY116" i="14850" s="1"/>
  <c r="AX20" i="14850"/>
  <c r="BX116" i="14850" s="1"/>
  <c r="AW20" i="14850"/>
  <c r="BW116" i="14850" s="1"/>
  <c r="AV20" i="14850"/>
  <c r="BV116" i="14850" s="1"/>
  <c r="AU20" i="14850"/>
  <c r="BU116" i="14850" s="1"/>
  <c r="AT20" i="14850"/>
  <c r="BT116" i="14850" s="1"/>
  <c r="AS20" i="14850"/>
  <c r="BS116" i="14850" s="1"/>
  <c r="AR20" i="14850"/>
  <c r="BR116" i="14850" s="1"/>
  <c r="AQ20" i="14850"/>
  <c r="BQ116" i="14850" s="1"/>
  <c r="AP20" i="14850"/>
  <c r="BP116" i="14850" s="1"/>
  <c r="AO20" i="14850"/>
  <c r="BO116" i="14850" s="1"/>
  <c r="AN20" i="14850"/>
  <c r="BN116" i="14850" s="1"/>
  <c r="AM20" i="14850"/>
  <c r="BM116" i="14850" s="1"/>
  <c r="AL20" i="14850"/>
  <c r="BL116" i="14850" s="1"/>
  <c r="AK20" i="14850"/>
  <c r="BK116" i="14850" s="1"/>
  <c r="AJ20" i="14850"/>
  <c r="BJ116" i="14850" s="1"/>
  <c r="AI20" i="14850"/>
  <c r="BI116" i="14850" s="1"/>
  <c r="AH20" i="14850"/>
  <c r="BH116" i="14850" s="1"/>
  <c r="AE20" i="14850"/>
  <c r="BE116" i="14850" s="1"/>
  <c r="AA20" i="14850"/>
  <c r="A20" i="14850"/>
  <c r="AA19" i="14850"/>
  <c r="A19" i="14850"/>
  <c r="AA18" i="14850"/>
  <c r="A18" i="14850"/>
  <c r="BF17" i="14850"/>
  <c r="AA17" i="14850"/>
  <c r="A17" i="14850"/>
  <c r="BY16" i="14850"/>
  <c r="BX16" i="14850"/>
  <c r="BW16" i="14850"/>
  <c r="BV16" i="14850"/>
  <c r="BU16" i="14850"/>
  <c r="BT16" i="14850"/>
  <c r="BS16" i="14850"/>
  <c r="BR16" i="14850"/>
  <c r="BQ16" i="14850"/>
  <c r="BP16" i="14850"/>
  <c r="BO16" i="14850"/>
  <c r="BN16" i="14850"/>
  <c r="BM16" i="14850"/>
  <c r="BL16" i="14850"/>
  <c r="BK16" i="14850"/>
  <c r="BJ16" i="14850"/>
  <c r="BI16" i="14850"/>
  <c r="BH16" i="14850"/>
  <c r="BG16" i="14850"/>
  <c r="BF16" i="14850"/>
  <c r="BE16" i="14850"/>
  <c r="AA16" i="14850"/>
  <c r="A16" i="14850"/>
  <c r="AA15" i="14850"/>
  <c r="A15" i="14850"/>
  <c r="GX14" i="14850"/>
  <c r="AZ14" i="14850"/>
  <c r="AY14" i="14850"/>
  <c r="AX14" i="14850"/>
  <c r="AW14" i="14850"/>
  <c r="AV14" i="14850"/>
  <c r="AU14" i="14850"/>
  <c r="AT14" i="14850"/>
  <c r="AS14" i="14850"/>
  <c r="AR14" i="14850"/>
  <c r="AQ14" i="14850"/>
  <c r="AP14" i="14850"/>
  <c r="AO14" i="14850"/>
  <c r="AN14" i="14850"/>
  <c r="AM14" i="14850"/>
  <c r="AL14" i="14850"/>
  <c r="AK14" i="14850"/>
  <c r="AJ14" i="14850"/>
  <c r="AI14" i="14850"/>
  <c r="AH14" i="14850"/>
  <c r="AG14" i="14850"/>
  <c r="AF14" i="14850"/>
  <c r="AE14" i="14850"/>
  <c r="AA14" i="14850"/>
  <c r="A14" i="14850"/>
  <c r="A13" i="14850"/>
  <c r="HS12" i="14850"/>
  <c r="HR12" i="14850"/>
  <c r="HQ12" i="14850"/>
  <c r="HP12" i="14850"/>
  <c r="HO12" i="14850"/>
  <c r="HN12" i="14850"/>
  <c r="HM12" i="14850"/>
  <c r="HL12" i="14850"/>
  <c r="HK12" i="14850"/>
  <c r="HJ12" i="14850"/>
  <c r="HI12" i="14850"/>
  <c r="HH12" i="14850"/>
  <c r="HG12" i="14850"/>
  <c r="HF12" i="14850"/>
  <c r="HE12" i="14850"/>
  <c r="HD12" i="14850"/>
  <c r="HC12" i="14850"/>
  <c r="HB12" i="14850"/>
  <c r="HA12" i="14850"/>
  <c r="GZ12" i="14850"/>
  <c r="GY12" i="14850"/>
  <c r="GV12" i="14850"/>
  <c r="CE12" i="14850"/>
  <c r="A12" i="14850"/>
  <c r="HA11" i="14850"/>
  <c r="GX11" i="14850"/>
  <c r="GX12" i="14850" s="1"/>
  <c r="EM11" i="14850"/>
  <c r="EC11" i="14850"/>
  <c r="CK11" i="14850"/>
  <c r="CJ11" i="14850"/>
  <c r="AZ11" i="14850"/>
  <c r="FU18" i="14850" s="1"/>
  <c r="AY11" i="14850"/>
  <c r="HR10" i="14850" s="1"/>
  <c r="HR11" i="14850" s="1"/>
  <c r="AX11" i="14850"/>
  <c r="AX35" i="14850" s="1"/>
  <c r="AW11" i="14850"/>
  <c r="HP10" i="14850" s="1"/>
  <c r="HP11" i="14850" s="1"/>
  <c r="AV11" i="14850"/>
  <c r="AS11" i="14850"/>
  <c r="AT11" i="14850" s="1"/>
  <c r="AR11" i="14850"/>
  <c r="AQ11" i="14850"/>
  <c r="HJ10" i="14850" s="1"/>
  <c r="HJ11" i="14850" s="1"/>
  <c r="AM11" i="14850"/>
  <c r="HF10" i="14850" s="1"/>
  <c r="HF11" i="14850" s="1"/>
  <c r="AL11" i="14850"/>
  <c r="AL63" i="14850" s="1"/>
  <c r="AJ11" i="14850"/>
  <c r="HC10" i="14850" s="1"/>
  <c r="HC11" i="14850" s="1"/>
  <c r="AI11" i="14850"/>
  <c r="AG11" i="14850"/>
  <c r="AG63" i="14850" s="1"/>
  <c r="AE11" i="14850"/>
  <c r="AF11" i="14850" s="1"/>
  <c r="FZ10" i="14850" s="1"/>
  <c r="AA11" i="14850"/>
  <c r="A11" i="14850"/>
  <c r="HQ10" i="14850"/>
  <c r="HQ11" i="14850" s="1"/>
  <c r="HO10" i="14850"/>
  <c r="HO11" i="14850" s="1"/>
  <c r="HE10" i="14850"/>
  <c r="HE11" i="14850" s="1"/>
  <c r="HB10" i="14850"/>
  <c r="HB11" i="14850" s="1"/>
  <c r="HA10" i="14850"/>
  <c r="GZ10" i="14850"/>
  <c r="GZ11" i="14850" s="1"/>
  <c r="GT10" i="14850"/>
  <c r="GS10" i="14850"/>
  <c r="GR10" i="14850"/>
  <c r="GP10" i="14850"/>
  <c r="GF10" i="14850"/>
  <c r="GC10" i="14850"/>
  <c r="GB10" i="14850"/>
  <c r="GA10" i="14850"/>
  <c r="FO10" i="14850"/>
  <c r="FO11" i="14850" s="1"/>
  <c r="EO10" i="14850"/>
  <c r="EO11" i="14850" s="1"/>
  <c r="EM10" i="14850"/>
  <c r="EL10" i="14850"/>
  <c r="EL11" i="14850" s="1"/>
  <c r="EK10" i="14850"/>
  <c r="EK11" i="14850" s="1"/>
  <c r="EI10" i="14850"/>
  <c r="EI11" i="14850" s="1"/>
  <c r="EH10" i="14850"/>
  <c r="EH11" i="14850" s="1"/>
  <c r="ED10" i="14850"/>
  <c r="ED11" i="14850" s="1"/>
  <c r="EC10" i="14850"/>
  <c r="DP10" i="14850"/>
  <c r="DN10" i="14850"/>
  <c r="DM10" i="14850"/>
  <c r="DI10" i="14850"/>
  <c r="DH10" i="14850"/>
  <c r="DD10" i="14850"/>
  <c r="CF10" i="14850"/>
  <c r="BG62" i="14850" s="1"/>
  <c r="CE10" i="14850"/>
  <c r="BF62" i="14850" s="1"/>
  <c r="BY10" i="14850"/>
  <c r="BX10" i="14850"/>
  <c r="BW10" i="14850"/>
  <c r="BV10" i="14850"/>
  <c r="BU10" i="14850"/>
  <c r="BT10" i="14850"/>
  <c r="BS10" i="14850"/>
  <c r="BR10" i="14850"/>
  <c r="BQ10" i="14850"/>
  <c r="BP10" i="14850"/>
  <c r="BO10" i="14850"/>
  <c r="BN10" i="14850"/>
  <c r="BM10" i="14850"/>
  <c r="BL10" i="14850"/>
  <c r="BK10" i="14850"/>
  <c r="BJ10" i="14850"/>
  <c r="BI10" i="14850"/>
  <c r="BH10" i="14850"/>
  <c r="BG10" i="14850"/>
  <c r="BF10" i="14850"/>
  <c r="BE10" i="14850"/>
  <c r="AA10" i="14850"/>
  <c r="A10" i="14850"/>
  <c r="FU9" i="14850"/>
  <c r="FT9" i="14850"/>
  <c r="FS9" i="14850"/>
  <c r="FS27" i="14850" s="1"/>
  <c r="FR9" i="14850"/>
  <c r="FR27" i="14850" s="1"/>
  <c r="FQ9" i="14850"/>
  <c r="FQ27" i="14850" s="1"/>
  <c r="FP9" i="14850"/>
  <c r="FP10" i="14850" s="1"/>
  <c r="FP11" i="14850" s="1"/>
  <c r="FO9" i="14850"/>
  <c r="FN9" i="14850"/>
  <c r="FN27" i="14850" s="1"/>
  <c r="FM9" i="14850"/>
  <c r="FM27" i="14850" s="1"/>
  <c r="FL9" i="14850"/>
  <c r="FL27" i="14850" s="1"/>
  <c r="FK9" i="14850"/>
  <c r="FJ9" i="14850"/>
  <c r="FJ27" i="14850" s="1"/>
  <c r="FI9" i="14850"/>
  <c r="FI27" i="14850" s="1"/>
  <c r="FH9" i="14850"/>
  <c r="FH27" i="14850" s="1"/>
  <c r="FG9" i="14850"/>
  <c r="FG27" i="14850" s="1"/>
  <c r="FF9" i="14850"/>
  <c r="FF27" i="14850" s="1"/>
  <c r="FE9" i="14850"/>
  <c r="FE27" i="14850" s="1"/>
  <c r="FD9" i="14850"/>
  <c r="FD27" i="14850" s="1"/>
  <c r="FC9" i="14850"/>
  <c r="FC27" i="14850" s="1"/>
  <c r="FB9" i="14850"/>
  <c r="FB27" i="14850" s="1"/>
  <c r="FA9" i="14850"/>
  <c r="FA27" i="14850" s="1"/>
  <c r="EZ9" i="14850"/>
  <c r="EZ27" i="14850" s="1"/>
  <c r="A9" i="14850"/>
  <c r="FU8" i="14850"/>
  <c r="FU10" i="14850" s="1"/>
  <c r="FU11" i="14850" s="1"/>
  <c r="FT8" i="14850"/>
  <c r="FP8" i="14850"/>
  <c r="FP26" i="14850" s="1"/>
  <c r="FO8" i="14850"/>
  <c r="FO26" i="14850" s="1"/>
  <c r="FK8" i="14850"/>
  <c r="FK26" i="14850" s="1"/>
  <c r="FJ8" i="14850"/>
  <c r="FJ26" i="14850" s="1"/>
  <c r="FI8" i="14850"/>
  <c r="FG8" i="14850"/>
  <c r="FG26" i="14850" s="1"/>
  <c r="FF8" i="14850"/>
  <c r="FC8" i="14850"/>
  <c r="FC26" i="14850" s="1"/>
  <c r="FB8" i="14850"/>
  <c r="FB26" i="14850" s="1"/>
  <c r="FA8" i="14850"/>
  <c r="EU8" i="14850"/>
  <c r="EU10" i="14850" s="1"/>
  <c r="EU11" i="14850" s="1"/>
  <c r="ET8" i="14850"/>
  <c r="ET10" i="14850" s="1"/>
  <c r="ET11" i="14850" s="1"/>
  <c r="ES8" i="14850"/>
  <c r="ES10" i="14850" s="1"/>
  <c r="ES11" i="14850" s="1"/>
  <c r="EP8" i="14850"/>
  <c r="EP10" i="14850" s="1"/>
  <c r="EP11" i="14850" s="1"/>
  <c r="EO8" i="14850"/>
  <c r="FM8" i="14850" s="1"/>
  <c r="EN8" i="14850"/>
  <c r="FL8" i="14850" s="1"/>
  <c r="EJ8" i="14850"/>
  <c r="EJ10" i="14850" s="1"/>
  <c r="EJ11" i="14850" s="1"/>
  <c r="EG8" i="14850"/>
  <c r="EG10" i="14850" s="1"/>
  <c r="EG11" i="14850" s="1"/>
  <c r="EF8" i="14850"/>
  <c r="EF10" i="14850" s="1"/>
  <c r="EF11" i="14850" s="1"/>
  <c r="EE8" i="14850"/>
  <c r="EE10" i="14850" s="1"/>
  <c r="EE11" i="14850" s="1"/>
  <c r="EB8" i="14850"/>
  <c r="EB10" i="14850" s="1"/>
  <c r="EB11" i="14850" s="1"/>
  <c r="AA8" i="14850"/>
  <c r="A8" i="14850"/>
  <c r="FU7" i="14850"/>
  <c r="FT7" i="14850"/>
  <c r="FS7" i="14850"/>
  <c r="FR7" i="14850"/>
  <c r="FQ7" i="14850"/>
  <c r="FP7" i="14850"/>
  <c r="FO7" i="14850"/>
  <c r="FN7" i="14850"/>
  <c r="FM7" i="14850"/>
  <c r="FL7" i="14850"/>
  <c r="FK7" i="14850"/>
  <c r="FJ7" i="14850"/>
  <c r="FI7" i="14850"/>
  <c r="FH7" i="14850"/>
  <c r="FG7" i="14850"/>
  <c r="FF7" i="14850"/>
  <c r="FE7" i="14850"/>
  <c r="FD7" i="14850"/>
  <c r="FB7" i="14850"/>
  <c r="FA7" i="14850"/>
  <c r="BY7" i="14850"/>
  <c r="BX7" i="14850"/>
  <c r="BW7" i="14850"/>
  <c r="BV7" i="14850"/>
  <c r="BS7" i="14850"/>
  <c r="BR7" i="14850"/>
  <c r="BQ7" i="14850"/>
  <c r="BP7" i="14850"/>
  <c r="BO7" i="14850"/>
  <c r="BN7" i="14850"/>
  <c r="BM7" i="14850"/>
  <c r="BJ7" i="14850"/>
  <c r="BI7" i="14850"/>
  <c r="BH7" i="14850"/>
  <c r="BE7" i="14850"/>
  <c r="AA7" i="14850"/>
  <c r="A7" i="14850"/>
  <c r="FU6" i="14850"/>
  <c r="FT6" i="14850"/>
  <c r="FS6" i="14850"/>
  <c r="FR6" i="14850"/>
  <c r="FQ6" i="14850"/>
  <c r="FP6" i="14850"/>
  <c r="FO6" i="14850"/>
  <c r="FN6" i="14850"/>
  <c r="FM6" i="14850"/>
  <c r="FL6" i="14850"/>
  <c r="FK6" i="14850"/>
  <c r="FJ6" i="14850"/>
  <c r="FI6" i="14850"/>
  <c r="FH6" i="14850"/>
  <c r="FG6" i="14850"/>
  <c r="FF6" i="14850"/>
  <c r="FE6" i="14850"/>
  <c r="FD6" i="14850"/>
  <c r="FB6" i="14850"/>
  <c r="FA6" i="14850"/>
  <c r="AA6" i="14850"/>
  <c r="A6" i="14850"/>
  <c r="FU5" i="14850"/>
  <c r="FT5" i="14850"/>
  <c r="FS5" i="14850"/>
  <c r="FR5" i="14850"/>
  <c r="FQ5" i="14850"/>
  <c r="FP5" i="14850"/>
  <c r="FO5" i="14850"/>
  <c r="FN5" i="14850"/>
  <c r="FM5" i="14850"/>
  <c r="FL5" i="14850"/>
  <c r="FK5" i="14850"/>
  <c r="FJ5" i="14850"/>
  <c r="FI5" i="14850"/>
  <c r="FH5" i="14850"/>
  <c r="FG5" i="14850"/>
  <c r="FF5" i="14850"/>
  <c r="FE5" i="14850"/>
  <c r="FD5" i="14850"/>
  <c r="FC5" i="14850"/>
  <c r="FB5" i="14850"/>
  <c r="FA5" i="14850"/>
  <c r="EZ5" i="14850"/>
  <c r="CX5" i="14850"/>
  <c r="CV5" i="14850"/>
  <c r="CU5" i="14850"/>
  <c r="CU11" i="14850" s="1"/>
  <c r="CT5" i="14850"/>
  <c r="CT11" i="14850" s="1"/>
  <c r="CS5" i="14850"/>
  <c r="CR5" i="14850"/>
  <c r="CQ5" i="14850"/>
  <c r="CP5" i="14850"/>
  <c r="CO5" i="14850"/>
  <c r="CN5" i="14850"/>
  <c r="CM5" i="14850"/>
  <c r="CM11" i="14850" s="1"/>
  <c r="CL5" i="14850"/>
  <c r="CL11" i="14850" s="1"/>
  <c r="CI5" i="14850"/>
  <c r="CH5" i="14850"/>
  <c r="CH11" i="14850" s="1"/>
  <c r="CG5" i="14850"/>
  <c r="CD5" i="14850"/>
  <c r="AA5" i="14850"/>
  <c r="A5" i="14850"/>
  <c r="FU4" i="14850"/>
  <c r="FT4" i="14850"/>
  <c r="FS4" i="14850"/>
  <c r="FR4" i="14850"/>
  <c r="FQ4" i="14850"/>
  <c r="FP4" i="14850"/>
  <c r="FO4" i="14850"/>
  <c r="FN4" i="14850"/>
  <c r="FM4" i="14850"/>
  <c r="FL4" i="14850"/>
  <c r="FK4" i="14850"/>
  <c r="FJ4" i="14850"/>
  <c r="FI4" i="14850"/>
  <c r="FH4" i="14850"/>
  <c r="FG4" i="14850"/>
  <c r="FF4" i="14850"/>
  <c r="FE4" i="14850"/>
  <c r="FD4" i="14850"/>
  <c r="FC4" i="14850"/>
  <c r="FB4" i="14850"/>
  <c r="FA4" i="14850"/>
  <c r="EZ4" i="14850"/>
  <c r="AA4" i="14850"/>
  <c r="A4" i="14850"/>
  <c r="FU3" i="14850"/>
  <c r="FT3" i="14850"/>
  <c r="FS3" i="14850"/>
  <c r="FR3" i="14850"/>
  <c r="FQ3" i="14850"/>
  <c r="FP3" i="14850"/>
  <c r="FO3" i="14850"/>
  <c r="FN3" i="14850"/>
  <c r="FM3" i="14850"/>
  <c r="FL3" i="14850"/>
  <c r="FK3" i="14850"/>
  <c r="FJ3" i="14850"/>
  <c r="FI3" i="14850"/>
  <c r="FH3" i="14850"/>
  <c r="FG3" i="14850"/>
  <c r="FF3" i="14850"/>
  <c r="FE3" i="14850"/>
  <c r="FD3" i="14850"/>
  <c r="FC3" i="14850"/>
  <c r="FB3" i="14850"/>
  <c r="FA3" i="14850"/>
  <c r="EZ3" i="14850"/>
  <c r="AA3" i="14850"/>
  <c r="A3" i="14850"/>
  <c r="HS2" i="14850"/>
  <c r="HR2" i="14850"/>
  <c r="HQ2" i="14850"/>
  <c r="HP2" i="14850"/>
  <c r="HO2" i="14850"/>
  <c r="HN2" i="14850"/>
  <c r="HM2" i="14850"/>
  <c r="HL2" i="14850"/>
  <c r="HK2" i="14850"/>
  <c r="HJ2" i="14850"/>
  <c r="HI2" i="14850"/>
  <c r="HH2" i="14850"/>
  <c r="HG2" i="14850"/>
  <c r="HF2" i="14850"/>
  <c r="HE2" i="14850"/>
  <c r="HD2" i="14850"/>
  <c r="HC2" i="14850"/>
  <c r="HB2" i="14850"/>
  <c r="HA2" i="14850"/>
  <c r="GZ2" i="14850"/>
  <c r="GY2" i="14850"/>
  <c r="GX2" i="14850"/>
  <c r="GT2" i="14850"/>
  <c r="GS2" i="14850"/>
  <c r="GR2" i="14850"/>
  <c r="GQ2" i="14850"/>
  <c r="GP2" i="14850"/>
  <c r="GO2" i="14850"/>
  <c r="GN2" i="14850"/>
  <c r="GM2" i="14850"/>
  <c r="GL2" i="14850"/>
  <c r="GK2" i="14850"/>
  <c r="GJ2" i="14850"/>
  <c r="GI2" i="14850"/>
  <c r="GH2" i="14850"/>
  <c r="GG2" i="14850"/>
  <c r="GF2" i="14850"/>
  <c r="GE2" i="14850"/>
  <c r="GD2" i="14850"/>
  <c r="GC2" i="14850"/>
  <c r="GB2" i="14850"/>
  <c r="GA2" i="14850"/>
  <c r="FZ2" i="14850"/>
  <c r="FY2" i="14850"/>
  <c r="FU2" i="14850"/>
  <c r="FT2" i="14850"/>
  <c r="FS2" i="14850"/>
  <c r="FR2" i="14850"/>
  <c r="FQ2" i="14850"/>
  <c r="FP2" i="14850"/>
  <c r="FO2" i="14850"/>
  <c r="FN2" i="14850"/>
  <c r="FM2" i="14850"/>
  <c r="FL2" i="14850"/>
  <c r="FK2" i="14850"/>
  <c r="FJ2" i="14850"/>
  <c r="FI2" i="14850"/>
  <c r="FH2" i="14850"/>
  <c r="FG2" i="14850"/>
  <c r="FF2" i="14850"/>
  <c r="FE2" i="14850"/>
  <c r="FD2" i="14850"/>
  <c r="FC2" i="14850"/>
  <c r="FB2" i="14850"/>
  <c r="FA2" i="14850"/>
  <c r="EZ2" i="14850"/>
  <c r="EV2" i="14850"/>
  <c r="EU2" i="14850"/>
  <c r="ET2" i="14850"/>
  <c r="ES2" i="14850"/>
  <c r="ER2" i="14850"/>
  <c r="EQ2" i="14850"/>
  <c r="EP2" i="14850"/>
  <c r="EO2" i="14850"/>
  <c r="EN2" i="14850"/>
  <c r="EM2" i="14850"/>
  <c r="EL2" i="14850"/>
  <c r="EK2" i="14850"/>
  <c r="EJ2" i="14850"/>
  <c r="EI2" i="14850"/>
  <c r="EH2" i="14850"/>
  <c r="EG2" i="14850"/>
  <c r="EF2" i="14850"/>
  <c r="EE2" i="14850"/>
  <c r="ED2" i="14850"/>
  <c r="EC2" i="14850"/>
  <c r="EB2" i="14850"/>
  <c r="DW2" i="14850"/>
  <c r="DV2" i="14850"/>
  <c r="DU2" i="14850"/>
  <c r="DT2" i="14850"/>
  <c r="DS2" i="14850"/>
  <c r="DR2" i="14850"/>
  <c r="DQ2" i="14850"/>
  <c r="DP2" i="14850"/>
  <c r="DO2" i="14850"/>
  <c r="DN2" i="14850"/>
  <c r="DM2" i="14850"/>
  <c r="DL2" i="14850"/>
  <c r="DK2" i="14850"/>
  <c r="DJ2" i="14850"/>
  <c r="DI2" i="14850"/>
  <c r="DH2" i="14850"/>
  <c r="DG2" i="14850"/>
  <c r="DF2" i="14850"/>
  <c r="DE2" i="14850"/>
  <c r="CY2" i="14850"/>
  <c r="CX2" i="14850"/>
  <c r="CW2" i="14850"/>
  <c r="CV2" i="14850"/>
  <c r="CU2" i="14850"/>
  <c r="CT2" i="14850"/>
  <c r="CS2" i="14850"/>
  <c r="CR2" i="14850"/>
  <c r="CQ2" i="14850"/>
  <c r="CP2" i="14850"/>
  <c r="CO2" i="14850"/>
  <c r="CN2" i="14850"/>
  <c r="CM2" i="14850"/>
  <c r="CL2" i="14850"/>
  <c r="CK2" i="14850"/>
  <c r="CJ2" i="14850"/>
  <c r="CI2" i="14850"/>
  <c r="CH2" i="14850"/>
  <c r="CG2" i="14850"/>
  <c r="CF2" i="14850"/>
  <c r="CE2" i="14850"/>
  <c r="CD2" i="14850"/>
  <c r="BZ2" i="14850"/>
  <c r="BY2" i="14850"/>
  <c r="BX2" i="14850"/>
  <c r="BW2" i="14850"/>
  <c r="BV2" i="14850"/>
  <c r="BU2" i="14850"/>
  <c r="BT2" i="14850"/>
  <c r="BS2" i="14850"/>
  <c r="BR2" i="14850"/>
  <c r="BQ2" i="14850"/>
  <c r="BP2" i="14850"/>
  <c r="BO2" i="14850"/>
  <c r="BN2" i="14850"/>
  <c r="BM2" i="14850"/>
  <c r="BL2" i="14850"/>
  <c r="BK2" i="14850"/>
  <c r="BJ2" i="14850"/>
  <c r="BH2" i="14850"/>
  <c r="BG2" i="14850"/>
  <c r="BF2" i="14850"/>
  <c r="BE2" i="14850"/>
  <c r="AZ2" i="14850"/>
  <c r="AY2" i="14850"/>
  <c r="AX2" i="14850"/>
  <c r="AW2" i="14850"/>
  <c r="AV2" i="14850"/>
  <c r="AU2" i="14850"/>
  <c r="AT2" i="14850"/>
  <c r="AS2" i="14850"/>
  <c r="AR2" i="14850"/>
  <c r="AQ2" i="14850"/>
  <c r="AP2" i="14850"/>
  <c r="AO2" i="14850"/>
  <c r="AN2" i="14850"/>
  <c r="AM2" i="14850"/>
  <c r="AL2" i="14850"/>
  <c r="AK2" i="14850"/>
  <c r="AJ2" i="14850"/>
  <c r="AI2" i="14850"/>
  <c r="AH2" i="14850"/>
  <c r="AG2" i="14850"/>
  <c r="AF2" i="14850"/>
  <c r="AE2" i="14850"/>
  <c r="HS1" i="14850"/>
  <c r="HR1" i="14850"/>
  <c r="HQ1" i="14850"/>
  <c r="HP1" i="14850"/>
  <c r="HO1" i="14850"/>
  <c r="HN1" i="14850"/>
  <c r="HM1" i="14850"/>
  <c r="HL1" i="14850"/>
  <c r="HK1" i="14850"/>
  <c r="HJ1" i="14850"/>
  <c r="HI1" i="14850"/>
  <c r="HH1" i="14850"/>
  <c r="HG1" i="14850"/>
  <c r="HF1" i="14850"/>
  <c r="HE1" i="14850"/>
  <c r="HD1" i="14850"/>
  <c r="HC1" i="14850"/>
  <c r="HB1" i="14850"/>
  <c r="HA1" i="14850"/>
  <c r="GZ1" i="14850"/>
  <c r="GY1" i="14850"/>
  <c r="GX1" i="14850"/>
  <c r="GT1" i="14850"/>
  <c r="GS1" i="14850"/>
  <c r="GR1" i="14850"/>
  <c r="GQ1" i="14850"/>
  <c r="GP1" i="14850"/>
  <c r="GO1" i="14850"/>
  <c r="GN1" i="14850"/>
  <c r="GM1" i="14850"/>
  <c r="GL1" i="14850"/>
  <c r="GK1" i="14850"/>
  <c r="GJ1" i="14850"/>
  <c r="GI1" i="14850"/>
  <c r="GH1" i="14850"/>
  <c r="GG1" i="14850"/>
  <c r="GF1" i="14850"/>
  <c r="GE1" i="14850"/>
  <c r="GD1" i="14850"/>
  <c r="GC1" i="14850"/>
  <c r="GB1" i="14850"/>
  <c r="GA1" i="14850"/>
  <c r="FZ1" i="14850"/>
  <c r="FY1" i="14850"/>
  <c r="FU1" i="14850"/>
  <c r="FT1" i="14850"/>
  <c r="FS1" i="14850"/>
  <c r="FS25" i="14850" s="1"/>
  <c r="FR1" i="14850"/>
  <c r="FR25" i="14850" s="1"/>
  <c r="FQ1" i="14850"/>
  <c r="FQ25" i="14850" s="1"/>
  <c r="FP1" i="14850"/>
  <c r="FP25" i="14850" s="1"/>
  <c r="FO1" i="14850"/>
  <c r="FO25" i="14850" s="1"/>
  <c r="FN1" i="14850"/>
  <c r="FN25" i="14850" s="1"/>
  <c r="FM1" i="14850"/>
  <c r="FM25" i="14850" s="1"/>
  <c r="FL1" i="14850"/>
  <c r="FL25" i="14850" s="1"/>
  <c r="FK1" i="14850"/>
  <c r="FK25" i="14850" s="1"/>
  <c r="FJ1" i="14850"/>
  <c r="FJ25" i="14850" s="1"/>
  <c r="FI1" i="14850"/>
  <c r="FI25" i="14850" s="1"/>
  <c r="FH1" i="14850"/>
  <c r="FH25" i="14850" s="1"/>
  <c r="FG1" i="14850"/>
  <c r="FG25" i="14850" s="1"/>
  <c r="FF1" i="14850"/>
  <c r="FF25" i="14850" s="1"/>
  <c r="FE1" i="14850"/>
  <c r="FE25" i="14850" s="1"/>
  <c r="FD1" i="14850"/>
  <c r="FD25" i="14850" s="1"/>
  <c r="FC1" i="14850"/>
  <c r="FC25" i="14850" s="1"/>
  <c r="FB1" i="14850"/>
  <c r="FB25" i="14850" s="1"/>
  <c r="FA1" i="14850"/>
  <c r="FA25" i="14850" s="1"/>
  <c r="EZ1" i="14850"/>
  <c r="EZ25" i="14850" s="1"/>
  <c r="EV1" i="14850"/>
  <c r="EU1" i="14850"/>
  <c r="ET1" i="14850"/>
  <c r="ES1" i="14850"/>
  <c r="ER1" i="14850"/>
  <c r="EQ1" i="14850"/>
  <c r="EP1" i="14850"/>
  <c r="EO1" i="14850"/>
  <c r="EN1" i="14850"/>
  <c r="EM1" i="14850"/>
  <c r="EL1" i="14850"/>
  <c r="EK1" i="14850"/>
  <c r="EJ1" i="14850"/>
  <c r="EI1" i="14850"/>
  <c r="EH1" i="14850"/>
  <c r="EG1" i="14850"/>
  <c r="EF1" i="14850"/>
  <c r="EE1" i="14850"/>
  <c r="ED1" i="14850"/>
  <c r="EC1" i="14850"/>
  <c r="EB1" i="14850"/>
  <c r="DW1" i="14850"/>
  <c r="DV1" i="14850"/>
  <c r="DU1" i="14850"/>
  <c r="DT1" i="14850"/>
  <c r="DS1" i="14850"/>
  <c r="DR1" i="14850"/>
  <c r="DQ1" i="14850"/>
  <c r="DP1" i="14850"/>
  <c r="DO1" i="14850"/>
  <c r="DN1" i="14850"/>
  <c r="DM1" i="14850"/>
  <c r="DL1" i="14850"/>
  <c r="DK1" i="14850"/>
  <c r="DJ1" i="14850"/>
  <c r="DI1" i="14850"/>
  <c r="DH1" i="14850"/>
  <c r="DG1" i="14850"/>
  <c r="DF1" i="14850"/>
  <c r="DE1" i="14850"/>
  <c r="DD1" i="14850"/>
  <c r="CY1" i="14850"/>
  <c r="CX1" i="14850"/>
  <c r="CW1" i="14850"/>
  <c r="CV1" i="14850"/>
  <c r="CU1" i="14850"/>
  <c r="CT1" i="14850"/>
  <c r="CS1" i="14850"/>
  <c r="CR1" i="14850"/>
  <c r="CQ1" i="14850"/>
  <c r="CP1" i="14850"/>
  <c r="CO1" i="14850"/>
  <c r="CN1" i="14850"/>
  <c r="CM1" i="14850"/>
  <c r="CL1" i="14850"/>
  <c r="CK1" i="14850"/>
  <c r="CJ1" i="14850"/>
  <c r="CI1" i="14850"/>
  <c r="CH1" i="14850"/>
  <c r="CG1" i="14850"/>
  <c r="CF1" i="14850"/>
  <c r="CE1" i="14850"/>
  <c r="CD1" i="14850"/>
  <c r="BZ1" i="14850"/>
  <c r="BY1" i="14850"/>
  <c r="BX1" i="14850"/>
  <c r="BW1" i="14850"/>
  <c r="BV1" i="14850"/>
  <c r="BU1" i="14850"/>
  <c r="BT1" i="14850"/>
  <c r="BS1" i="14850"/>
  <c r="BR1" i="14850"/>
  <c r="BQ1" i="14850"/>
  <c r="BP1" i="14850"/>
  <c r="BO1" i="14850"/>
  <c r="BN1" i="14850"/>
  <c r="BM1" i="14850"/>
  <c r="BL1" i="14850"/>
  <c r="BK1" i="14850"/>
  <c r="BJ1" i="14850"/>
  <c r="BI1" i="14850"/>
  <c r="BH1" i="14850"/>
  <c r="BG1" i="14850"/>
  <c r="BF1" i="14850"/>
  <c r="BE1" i="14850"/>
  <c r="AZ1" i="14850"/>
  <c r="AY1" i="14850"/>
  <c r="AX1" i="14850"/>
  <c r="AW1" i="14850"/>
  <c r="AV1" i="14850"/>
  <c r="AU1" i="14850"/>
  <c r="AU54" i="14850" s="1"/>
  <c r="AT1" i="14850"/>
  <c r="AT54" i="14850" s="1"/>
  <c r="AS1" i="14850"/>
  <c r="AR1" i="14850"/>
  <c r="AQ1" i="14850"/>
  <c r="AP1" i="14850"/>
  <c r="AP54" i="14850" s="1"/>
  <c r="AO1" i="14850"/>
  <c r="AO54" i="14850" s="1"/>
  <c r="AN1" i="14850"/>
  <c r="AN54" i="14850" s="1"/>
  <c r="AM1" i="14850"/>
  <c r="AL1" i="14850"/>
  <c r="AL54" i="14850" s="1"/>
  <c r="AK1" i="14850"/>
  <c r="AK54" i="14850" s="1"/>
  <c r="AJ1" i="14850"/>
  <c r="AI1" i="14850"/>
  <c r="AH1" i="14850"/>
  <c r="AG1" i="14850"/>
  <c r="AG54" i="14850" s="1"/>
  <c r="AF1" i="14850"/>
  <c r="AF54" i="14850" s="1"/>
  <c r="AE1" i="14850"/>
  <c r="CW7" i="14850" l="1"/>
  <c r="CX7" i="14850"/>
  <c r="CV7" i="14850"/>
  <c r="HM10" i="14850"/>
  <c r="HM11" i="14850" s="1"/>
  <c r="GN10" i="14850"/>
  <c r="BT217" i="14850"/>
  <c r="BH217" i="14851"/>
  <c r="BP217" i="14851"/>
  <c r="BX217" i="14851"/>
  <c r="FQ8" i="14850"/>
  <c r="BH217" i="14850"/>
  <c r="BP217" i="14850"/>
  <c r="BX217" i="14850"/>
  <c r="FD8" i="14851"/>
  <c r="FD26" i="14851" s="1"/>
  <c r="CO7" i="14850"/>
  <c r="FS8" i="14850"/>
  <c r="FS26" i="14850" s="1"/>
  <c r="FC10" i="14850"/>
  <c r="FC11" i="14850" s="1"/>
  <c r="GM10" i="14850"/>
  <c r="HL10" i="14850"/>
  <c r="HL11" i="14850" s="1"/>
  <c r="AU11" i="14850"/>
  <c r="HN10" i="14850" s="1"/>
  <c r="HN11" i="14850" s="1"/>
  <c r="BJ217" i="14850"/>
  <c r="BR217" i="14850"/>
  <c r="FN10" i="14851"/>
  <c r="FN11" i="14851" s="1"/>
  <c r="FS8" i="14851"/>
  <c r="FS26" i="14851" s="1"/>
  <c r="FB10" i="14851"/>
  <c r="FB11" i="14851" s="1"/>
  <c r="AY29" i="14850"/>
  <c r="BY190" i="14850" s="1"/>
  <c r="BY191" i="14850" s="1"/>
  <c r="EZ8" i="14850"/>
  <c r="EZ26" i="14850" s="1"/>
  <c r="FD8" i="14850"/>
  <c r="FT10" i="14850"/>
  <c r="FT11" i="14850" s="1"/>
  <c r="EN10" i="14850"/>
  <c r="EN11" i="14850" s="1"/>
  <c r="FJ10" i="14850"/>
  <c r="FJ11" i="14850" s="1"/>
  <c r="GD10" i="14850"/>
  <c r="BS217" i="14850"/>
  <c r="CR7" i="14851"/>
  <c r="FT10" i="14851"/>
  <c r="FT11" i="14851" s="1"/>
  <c r="EB10" i="14851"/>
  <c r="EB11" i="14851" s="1"/>
  <c r="GF10" i="14851"/>
  <c r="GN10" i="14851"/>
  <c r="HB10" i="14851"/>
  <c r="HB11" i="14851" s="1"/>
  <c r="HR10" i="14851"/>
  <c r="HR11" i="14851" s="1"/>
  <c r="BM217" i="14851"/>
  <c r="BU217" i="14851"/>
  <c r="BE217" i="14851"/>
  <c r="BJ217" i="14851"/>
  <c r="BN217" i="14851"/>
  <c r="BR217" i="14851"/>
  <c r="BV217" i="14851"/>
  <c r="FR8" i="14850"/>
  <c r="FR26" i="14850" s="1"/>
  <c r="FB10" i="14850"/>
  <c r="FB11" i="14850" s="1"/>
  <c r="GK10" i="14850"/>
  <c r="AO11" i="14850"/>
  <c r="HH10" i="14850" s="1"/>
  <c r="HH11" i="14850" s="1"/>
  <c r="BE166" i="14850"/>
  <c r="BI217" i="14850"/>
  <c r="FQ8" i="14851"/>
  <c r="FN26" i="14851"/>
  <c r="AU35" i="14851"/>
  <c r="CG7" i="14850"/>
  <c r="CS7" i="14851"/>
  <c r="CG7" i="14851"/>
  <c r="CN13" i="14851"/>
  <c r="CV13" i="14851"/>
  <c r="CU13" i="14851"/>
  <c r="CH7" i="14850"/>
  <c r="CP7" i="14850"/>
  <c r="CN13" i="14850"/>
  <c r="CH7" i="14851"/>
  <c r="CT7" i="14851"/>
  <c r="CL7" i="14851"/>
  <c r="CN7" i="14850"/>
  <c r="CH13" i="14850"/>
  <c r="CP13" i="14850"/>
  <c r="CT13" i="14850"/>
  <c r="CR7" i="14850"/>
  <c r="CX13" i="14850"/>
  <c r="CS13" i="14851"/>
  <c r="CR13" i="14850"/>
  <c r="CD7" i="14850"/>
  <c r="CV13" i="14850"/>
  <c r="AS23" i="14851"/>
  <c r="CL13" i="14851"/>
  <c r="CL13" i="14850"/>
  <c r="CT13" i="14851"/>
  <c r="CW13" i="14851"/>
  <c r="CM13" i="14850"/>
  <c r="AK23" i="14850"/>
  <c r="AS23" i="14850"/>
  <c r="CQ13" i="14850"/>
  <c r="CI13" i="14850"/>
  <c r="CU13" i="14850"/>
  <c r="AN23" i="14851"/>
  <c r="AV23" i="14851"/>
  <c r="AY23" i="14850"/>
  <c r="AX23" i="14850"/>
  <c r="CD13" i="14851"/>
  <c r="AI23" i="14850"/>
  <c r="AQ23" i="14850"/>
  <c r="CW13" i="14850"/>
  <c r="CG13" i="14850"/>
  <c r="CO13" i="14850"/>
  <c r="CD7" i="14851"/>
  <c r="CM13" i="14851"/>
  <c r="AP23" i="14850"/>
  <c r="AF23" i="14851"/>
  <c r="CG13" i="14851"/>
  <c r="CO13" i="14851"/>
  <c r="AE23" i="14850"/>
  <c r="AM23" i="14850"/>
  <c r="AU23" i="14850"/>
  <c r="CH13" i="14851"/>
  <c r="CP13" i="14851"/>
  <c r="CX13" i="14851"/>
  <c r="AK23" i="14851"/>
  <c r="AF23" i="14850"/>
  <c r="AN23" i="14850"/>
  <c r="AV23" i="14850"/>
  <c r="CI13" i="14851"/>
  <c r="CQ13" i="14851"/>
  <c r="AL23" i="14851"/>
  <c r="AT23" i="14851"/>
  <c r="AE23" i="14851"/>
  <c r="AM23" i="14851"/>
  <c r="AU23" i="14851"/>
  <c r="CD13" i="14850"/>
  <c r="AG23" i="14851"/>
  <c r="AO23" i="14851"/>
  <c r="AW23" i="14851"/>
  <c r="AJ23" i="14850"/>
  <c r="AR23" i="14850"/>
  <c r="AZ23" i="14850"/>
  <c r="AH23" i="14851"/>
  <c r="AP23" i="14851"/>
  <c r="AX23" i="14851"/>
  <c r="AI23" i="14851"/>
  <c r="AQ23" i="14851"/>
  <c r="AY23" i="14851"/>
  <c r="AJ54" i="14851"/>
  <c r="AJ40" i="14851"/>
  <c r="AS54" i="14851"/>
  <c r="AS40" i="14851"/>
  <c r="CP11" i="14851"/>
  <c r="CX11" i="14851"/>
  <c r="EJ10" i="14851"/>
  <c r="EJ11" i="14851" s="1"/>
  <c r="FH8" i="14851"/>
  <c r="FA26" i="14851"/>
  <c r="FA10" i="14851"/>
  <c r="FA11" i="14851" s="1"/>
  <c r="FM10" i="14851"/>
  <c r="FM11" i="14851" s="1"/>
  <c r="HE10" i="14851"/>
  <c r="HE11" i="14851" s="1"/>
  <c r="AW63" i="14851"/>
  <c r="AW35" i="14851"/>
  <c r="GQ10" i="14851"/>
  <c r="AI54" i="14851"/>
  <c r="AI40" i="14851"/>
  <c r="AR54" i="14851"/>
  <c r="AR40" i="14851"/>
  <c r="CQ11" i="14851"/>
  <c r="FL26" i="14851"/>
  <c r="FL10" i="14851"/>
  <c r="FL11" i="14851" s="1"/>
  <c r="AO63" i="14851"/>
  <c r="BO90" i="14851"/>
  <c r="GI10" i="14851"/>
  <c r="CW11" i="14851"/>
  <c r="AM54" i="14851"/>
  <c r="AM40" i="14851"/>
  <c r="CH11" i="14851"/>
  <c r="AF63" i="14851"/>
  <c r="AG35" i="14851"/>
  <c r="FZ10" i="14851"/>
  <c r="GY10" i="14851"/>
  <c r="GY11" i="14851" s="1"/>
  <c r="AE54" i="14851"/>
  <c r="AE40" i="14851"/>
  <c r="AV40" i="14851"/>
  <c r="AV54" i="14851"/>
  <c r="CI11" i="14851"/>
  <c r="CS11" i="14851"/>
  <c r="FF26" i="14851"/>
  <c r="FF10" i="14851"/>
  <c r="FF11" i="14851" s="1"/>
  <c r="FQ26" i="14851"/>
  <c r="FQ10" i="14851"/>
  <c r="FQ11" i="14851" s="1"/>
  <c r="AW40" i="14851"/>
  <c r="AW54" i="14851"/>
  <c r="AR29" i="14851"/>
  <c r="AJ29" i="14851"/>
  <c r="AY29" i="14851"/>
  <c r="AY30" i="14851" s="1"/>
  <c r="CX6" i="14851" s="1"/>
  <c r="AQ29" i="14851"/>
  <c r="AI29" i="14851"/>
  <c r="AX29" i="14851"/>
  <c r="AP29" i="14851"/>
  <c r="AP30" i="14851" s="1"/>
  <c r="CO6" i="14851" s="1"/>
  <c r="AH29" i="14851"/>
  <c r="AW29" i="14851"/>
  <c r="AO29" i="14851"/>
  <c r="AG29" i="14851"/>
  <c r="AV29" i="14851"/>
  <c r="AV30" i="14851" s="1"/>
  <c r="CU6" i="14851" s="1"/>
  <c r="AN29" i="14851"/>
  <c r="AF29" i="14851"/>
  <c r="AU29" i="14851"/>
  <c r="AU30" i="14851" s="1"/>
  <c r="CT6" i="14851" s="1"/>
  <c r="AM29" i="14851"/>
  <c r="AE29" i="14851"/>
  <c r="AS29" i="14851"/>
  <c r="AS30" i="14851" s="1"/>
  <c r="CR6" i="14851" s="1"/>
  <c r="AK29" i="14851"/>
  <c r="AK30" i="14851" s="1"/>
  <c r="AT29" i="14851"/>
  <c r="AL29" i="14851"/>
  <c r="AL30" i="14851" s="1"/>
  <c r="FR8" i="14851"/>
  <c r="CG11" i="14851"/>
  <c r="AH54" i="14851"/>
  <c r="AH40" i="14851"/>
  <c r="AX54" i="14851"/>
  <c r="AX40" i="14851"/>
  <c r="CM11" i="14851"/>
  <c r="CU11" i="14851"/>
  <c r="EE10" i="14851"/>
  <c r="EE11" i="14851" s="1"/>
  <c r="FC8" i="14851"/>
  <c r="FI26" i="14851"/>
  <c r="FI10" i="14851"/>
  <c r="FI11" i="14851" s="1"/>
  <c r="AU63" i="14851"/>
  <c r="GO10" i="14851"/>
  <c r="HN10" i="14851"/>
  <c r="HN11" i="14851" s="1"/>
  <c r="AQ54" i="14851"/>
  <c r="AQ40" i="14851"/>
  <c r="CN11" i="14851"/>
  <c r="CV11" i="14851"/>
  <c r="FE10" i="14851"/>
  <c r="FE11" i="14851" s="1"/>
  <c r="AT63" i="14851"/>
  <c r="AP35" i="14851"/>
  <c r="AY54" i="14851"/>
  <c r="AY40" i="14851"/>
  <c r="BG63" i="14851"/>
  <c r="FJ10" i="14851"/>
  <c r="FJ11" i="14851" s="1"/>
  <c r="EG10" i="14851"/>
  <c r="EG11" i="14851" s="1"/>
  <c r="EO10" i="14851"/>
  <c r="EO11" i="14851" s="1"/>
  <c r="FK10" i="14851"/>
  <c r="FK11" i="14851" s="1"/>
  <c r="FS10" i="14851"/>
  <c r="FS11" i="14851" s="1"/>
  <c r="GT10" i="14851"/>
  <c r="AR30" i="14851"/>
  <c r="CQ6" i="14851" s="1"/>
  <c r="FD10" i="14851"/>
  <c r="FD11" i="14851" s="1"/>
  <c r="AE49" i="14851"/>
  <c r="AE63" i="14851"/>
  <c r="AF35" i="14851"/>
  <c r="AN63" i="14851"/>
  <c r="AL35" i="14851"/>
  <c r="AV63" i="14851"/>
  <c r="AV35" i="14851"/>
  <c r="AI63" i="14851"/>
  <c r="BN90" i="14851"/>
  <c r="AG63" i="14851"/>
  <c r="BG90" i="14851"/>
  <c r="BP90" i="14851"/>
  <c r="AP63" i="14851"/>
  <c r="AX35" i="14851"/>
  <c r="AX63" i="14851"/>
  <c r="AT35" i="14851"/>
  <c r="AM30" i="14851"/>
  <c r="CL6" i="14851" s="1"/>
  <c r="FG10" i="14851"/>
  <c r="FG11" i="14851" s="1"/>
  <c r="FO10" i="14851"/>
  <c r="FO11" i="14851" s="1"/>
  <c r="GH10" i="14851"/>
  <c r="GP10" i="14851"/>
  <c r="AQ35" i="14851"/>
  <c r="AN35" i="14851"/>
  <c r="AJ23" i="14851"/>
  <c r="AR23" i="14851"/>
  <c r="AZ23" i="14851"/>
  <c r="AF30" i="14851"/>
  <c r="AN30" i="14851"/>
  <c r="CM6" i="14851" s="1"/>
  <c r="AE35" i="14851"/>
  <c r="AY63" i="14851"/>
  <c r="EZ10" i="14851"/>
  <c r="EZ11" i="14851" s="1"/>
  <c r="FP10" i="14851"/>
  <c r="FP11" i="14851" s="1"/>
  <c r="GA10" i="14851"/>
  <c r="AJ35" i="14851"/>
  <c r="AJ63" i="14851"/>
  <c r="AR35" i="14851"/>
  <c r="AO35" i="14851"/>
  <c r="AR63" i="14851"/>
  <c r="AW30" i="14851"/>
  <c r="CV6" i="14851" s="1"/>
  <c r="GJ10" i="14851"/>
  <c r="GR10" i="14851"/>
  <c r="AK11" i="14851"/>
  <c r="AS35" i="14851"/>
  <c r="AS63" i="14851"/>
  <c r="FT18" i="14851"/>
  <c r="AX30" i="14851"/>
  <c r="CW6" i="14851" s="1"/>
  <c r="AM35" i="14851"/>
  <c r="BJ165" i="14851"/>
  <c r="BJ166" i="14851" s="1"/>
  <c r="AE30" i="14851"/>
  <c r="CD6" i="14851" s="1"/>
  <c r="BN165" i="14851"/>
  <c r="BN166" i="14851" s="1"/>
  <c r="BV165" i="14851"/>
  <c r="BV166" i="14851" s="1"/>
  <c r="BO165" i="14851"/>
  <c r="BO166" i="14851" s="1"/>
  <c r="BW165" i="14851"/>
  <c r="BW166" i="14851" s="1"/>
  <c r="AG30" i="14851"/>
  <c r="CF6" i="14851" s="1"/>
  <c r="BS115" i="14851"/>
  <c r="BP165" i="14851"/>
  <c r="BP166" i="14851" s="1"/>
  <c r="BX165" i="14851"/>
  <c r="BX166" i="14851" s="1"/>
  <c r="AH30" i="14851"/>
  <c r="CG6" i="14851" s="1"/>
  <c r="BQ165" i="14851"/>
  <c r="BQ166" i="14851" s="1"/>
  <c r="BY165" i="14851"/>
  <c r="BY166" i="14851" s="1"/>
  <c r="AI30" i="14851"/>
  <c r="CH6" i="14851" s="1"/>
  <c r="BR165" i="14851"/>
  <c r="BR166" i="14851" s="1"/>
  <c r="CX4" i="14850"/>
  <c r="FM26" i="14850"/>
  <c r="FM10" i="14850"/>
  <c r="FM11" i="14850" s="1"/>
  <c r="FI26" i="14850"/>
  <c r="FI10" i="14850"/>
  <c r="FI11" i="14850" s="1"/>
  <c r="AS54" i="14850"/>
  <c r="AS40" i="14850"/>
  <c r="CD11" i="14850"/>
  <c r="FR10" i="14850"/>
  <c r="FR11" i="14850" s="1"/>
  <c r="GQ10" i="14850"/>
  <c r="AQ35" i="14850"/>
  <c r="AN35" i="14850"/>
  <c r="AQ63" i="14850"/>
  <c r="AY35" i="14850"/>
  <c r="FT18" i="14850"/>
  <c r="AY63" i="14850"/>
  <c r="AU35" i="14850"/>
  <c r="CO11" i="14850"/>
  <c r="CS13" i="14850"/>
  <c r="AL23" i="14850"/>
  <c r="AT23" i="14850"/>
  <c r="AQ54" i="14850"/>
  <c r="AQ40" i="14850"/>
  <c r="AJ54" i="14850"/>
  <c r="AJ40" i="14850"/>
  <c r="CQ11" i="14850"/>
  <c r="FG10" i="14850"/>
  <c r="FG11" i="14850" s="1"/>
  <c r="FS10" i="14850"/>
  <c r="FS11" i="14850" s="1"/>
  <c r="AF63" i="14850"/>
  <c r="GY10" i="14850"/>
  <c r="GY11" i="14850" s="1"/>
  <c r="AR63" i="14850"/>
  <c r="AR35" i="14850"/>
  <c r="AO35" i="14850"/>
  <c r="CP11" i="14850"/>
  <c r="AF29" i="14850"/>
  <c r="AF30" i="14850" s="1"/>
  <c r="AE54" i="14850"/>
  <c r="AE40" i="14850"/>
  <c r="FD26" i="14850"/>
  <c r="FD10" i="14850"/>
  <c r="FD11" i="14850" s="1"/>
  <c r="FL26" i="14850"/>
  <c r="FL10" i="14850"/>
  <c r="FL11" i="14850" s="1"/>
  <c r="GI10" i="14850"/>
  <c r="CG11" i="14850"/>
  <c r="CR11" i="14850"/>
  <c r="BN165" i="14850"/>
  <c r="BN166" i="14850" s="1"/>
  <c r="BV165" i="14850"/>
  <c r="BV166" i="14850" s="1"/>
  <c r="AV29" i="14850"/>
  <c r="AV30" i="14850" s="1"/>
  <c r="CU6" i="14850" s="1"/>
  <c r="AG35" i="14850"/>
  <c r="AY54" i="14850"/>
  <c r="AY40" i="14850"/>
  <c r="CI11" i="14850"/>
  <c r="CS11" i="14850"/>
  <c r="FE8" i="14850"/>
  <c r="AI35" i="14850"/>
  <c r="AI63" i="14850"/>
  <c r="AP35" i="14850"/>
  <c r="AT63" i="14850"/>
  <c r="AM54" i="14850"/>
  <c r="AM40" i="14850"/>
  <c r="AW54" i="14850"/>
  <c r="AW40" i="14850"/>
  <c r="AR29" i="14850"/>
  <c r="AR30" i="14850" s="1"/>
  <c r="CQ6" i="14850" s="1"/>
  <c r="AJ29" i="14850"/>
  <c r="AX29" i="14850"/>
  <c r="AP29" i="14850"/>
  <c r="AH29" i="14850"/>
  <c r="AU29" i="14850"/>
  <c r="AU30" i="14850" s="1"/>
  <c r="CT6" i="14850" s="1"/>
  <c r="AM29" i="14850"/>
  <c r="AE29" i="14850"/>
  <c r="AT29" i="14850"/>
  <c r="AT30" i="14850" s="1"/>
  <c r="CS6" i="14850" s="1"/>
  <c r="AL29" i="14850"/>
  <c r="AL30" i="14850" s="1"/>
  <c r="AS29" i="14850"/>
  <c r="AK29" i="14850"/>
  <c r="AO29" i="14850"/>
  <c r="AN29" i="14850"/>
  <c r="AI29" i="14850"/>
  <c r="AG29" i="14850"/>
  <c r="AW29" i="14850"/>
  <c r="AW30" i="14850" s="1"/>
  <c r="CV6" i="14850" s="1"/>
  <c r="AQ29" i="14850"/>
  <c r="AQ30" i="14850" s="1"/>
  <c r="CP6" i="14850" s="1"/>
  <c r="FF26" i="14850"/>
  <c r="FF10" i="14850"/>
  <c r="FF11" i="14850" s="1"/>
  <c r="FN8" i="14850"/>
  <c r="FK10" i="14850"/>
  <c r="FK11" i="14850" s="1"/>
  <c r="GL10" i="14850"/>
  <c r="HK10" i="14850"/>
  <c r="HK11" i="14850" s="1"/>
  <c r="HS10" i="14850"/>
  <c r="HS11" i="14850" s="1"/>
  <c r="AJ63" i="14850"/>
  <c r="AK11" i="14850"/>
  <c r="AU63" i="14850"/>
  <c r="GO10" i="14850"/>
  <c r="AJ35" i="14850"/>
  <c r="AR40" i="14850"/>
  <c r="AR54" i="14850"/>
  <c r="AV40" i="14850"/>
  <c r="AV54" i="14850"/>
  <c r="AH54" i="14850"/>
  <c r="AH40" i="14850"/>
  <c r="AX54" i="14850"/>
  <c r="AX40" i="14850"/>
  <c r="EZ10" i="14850"/>
  <c r="EZ11" i="14850" s="1"/>
  <c r="CN11" i="14850"/>
  <c r="CV11" i="14850"/>
  <c r="FH8" i="14850"/>
  <c r="BG63" i="14850"/>
  <c r="AM63" i="14850"/>
  <c r="AM35" i="14850"/>
  <c r="AP11" i="14850"/>
  <c r="GG10" i="14850"/>
  <c r="AN11" i="14850"/>
  <c r="AW63" i="14850"/>
  <c r="AW35" i="14850"/>
  <c r="CX11" i="14850"/>
  <c r="AI54" i="14850"/>
  <c r="AI40" i="14850"/>
  <c r="FA26" i="14850"/>
  <c r="FA10" i="14850"/>
  <c r="FA11" i="14850" s="1"/>
  <c r="FQ26" i="14850"/>
  <c r="FQ10" i="14850"/>
  <c r="FQ11" i="14850" s="1"/>
  <c r="AO63" i="14850"/>
  <c r="BO90" i="14850"/>
  <c r="AK30" i="14850"/>
  <c r="AS35" i="14850"/>
  <c r="AS63" i="14850"/>
  <c r="AM30" i="14850"/>
  <c r="CL6" i="14850" s="1"/>
  <c r="BG90" i="14850"/>
  <c r="AE63" i="14850"/>
  <c r="AF35" i="14850"/>
  <c r="AE35" i="14850"/>
  <c r="AV63" i="14850"/>
  <c r="AV35" i="14850"/>
  <c r="AH23" i="14850"/>
  <c r="BH166" i="14850"/>
  <c r="AP30" i="14850"/>
  <c r="CO6" i="14850" s="1"/>
  <c r="AX30" i="14850"/>
  <c r="CW6" i="14850" s="1"/>
  <c r="AG23" i="14850"/>
  <c r="AO23" i="14850"/>
  <c r="AW23" i="14850"/>
  <c r="AE49" i="14850"/>
  <c r="FY10" i="14850"/>
  <c r="AX63" i="14850"/>
  <c r="AT35" i="14850"/>
  <c r="AY30" i="14850"/>
  <c r="CX6" i="14850" s="1"/>
  <c r="CX16" i="14850" s="1"/>
  <c r="AS30" i="14850"/>
  <c r="CR6" i="14850" s="1"/>
  <c r="BJ165" i="14850"/>
  <c r="BJ166" i="14850" s="1"/>
  <c r="BT165" i="14850"/>
  <c r="BT166" i="14850" s="1"/>
  <c r="BM165" i="14850"/>
  <c r="BM166" i="14850" s="1"/>
  <c r="BU165" i="14850"/>
  <c r="BU166" i="14850" s="1"/>
  <c r="BR165" i="14850"/>
  <c r="BR166" i="14850" s="1"/>
  <c r="CX17" i="14850" l="1"/>
  <c r="BY144" i="14850"/>
  <c r="CX12" i="14850"/>
  <c r="BM190" i="14851"/>
  <c r="BM191" i="14851" s="1"/>
  <c r="BM113" i="14851"/>
  <c r="BM114" i="14851" s="1"/>
  <c r="CL4" i="14851"/>
  <c r="BH190" i="14851"/>
  <c r="BH191" i="14851" s="1"/>
  <c r="BH113" i="14851"/>
  <c r="BH114" i="14851" s="1"/>
  <c r="CG4" i="14851"/>
  <c r="BH144" i="14851" s="1"/>
  <c r="BO190" i="14851"/>
  <c r="BO191" i="14851" s="1"/>
  <c r="DN14" i="14851"/>
  <c r="CN4" i="14851"/>
  <c r="FR26" i="14851"/>
  <c r="FR10" i="14851"/>
  <c r="FR11" i="14851" s="1"/>
  <c r="BU190" i="14851"/>
  <c r="BU191" i="14851" s="1"/>
  <c r="BU113" i="14851"/>
  <c r="CT4" i="14851"/>
  <c r="CT12" i="14851" s="1"/>
  <c r="BP190" i="14851"/>
  <c r="BP191" i="14851" s="1"/>
  <c r="BP113" i="14851"/>
  <c r="CO4" i="14851"/>
  <c r="CO16" i="14851" s="1"/>
  <c r="CO17" i="14851" s="1"/>
  <c r="FH26" i="14851"/>
  <c r="FH10" i="14851"/>
  <c r="FH11" i="14851" s="1"/>
  <c r="BS190" i="14851"/>
  <c r="BS191" i="14851" s="1"/>
  <c r="BS113" i="14851"/>
  <c r="BS114" i="14851" s="1"/>
  <c r="BS146" i="14851" s="1"/>
  <c r="CR4" i="14851"/>
  <c r="AK35" i="14851"/>
  <c r="AK63" i="14851"/>
  <c r="HD10" i="14851"/>
  <c r="HD11" i="14851" s="1"/>
  <c r="GE10" i="14851"/>
  <c r="BF113" i="14851"/>
  <c r="BX190" i="14851"/>
  <c r="BX191" i="14851" s="1"/>
  <c r="BX113" i="14851"/>
  <c r="BX114" i="14851" s="1"/>
  <c r="BX146" i="14851" s="1"/>
  <c r="CW4" i="14851"/>
  <c r="BX144" i="14851" s="1"/>
  <c r="AJ30" i="14851"/>
  <c r="CI6" i="14851" s="1"/>
  <c r="BL113" i="14851"/>
  <c r="CK4" i="14851"/>
  <c r="BN190" i="14851"/>
  <c r="BN191" i="14851" s="1"/>
  <c r="BN113" i="14851"/>
  <c r="CM4" i="14851"/>
  <c r="BN144" i="14851" s="1"/>
  <c r="DM14" i="14851"/>
  <c r="BI190" i="14851"/>
  <c r="BI191" i="14851" s="1"/>
  <c r="BI113" i="14851"/>
  <c r="BI114" i="14851" s="1"/>
  <c r="CH4" i="14851"/>
  <c r="CH12" i="14851" s="1"/>
  <c r="BT190" i="14851"/>
  <c r="BT191" i="14851" s="1"/>
  <c r="CS4" i="14851"/>
  <c r="BQ190" i="14851"/>
  <c r="BQ191" i="14851" s="1"/>
  <c r="DP14" i="14851"/>
  <c r="CP4" i="14851"/>
  <c r="AQ30" i="14851"/>
  <c r="CP6" i="14851" s="1"/>
  <c r="BV190" i="14851"/>
  <c r="BV191" i="14851" s="1"/>
  <c r="BV113" i="14851"/>
  <c r="BV114" i="14851" s="1"/>
  <c r="CU4" i="14851"/>
  <c r="BG144" i="14851"/>
  <c r="CF12" i="14851"/>
  <c r="CF16" i="14851"/>
  <c r="BG17" i="14851"/>
  <c r="BK113" i="14851"/>
  <c r="CJ4" i="14851"/>
  <c r="BG190" i="14851"/>
  <c r="BG191" i="14851" s="1"/>
  <c r="BG113" i="14851"/>
  <c r="BY190" i="14851"/>
  <c r="BY191" i="14851" s="1"/>
  <c r="BY113" i="14851"/>
  <c r="BY114" i="14851" s="1"/>
  <c r="CX4" i="14851"/>
  <c r="BY144" i="14851" s="1"/>
  <c r="AT30" i="14851"/>
  <c r="CS6" i="14851" s="1"/>
  <c r="CS16" i="14851" s="1"/>
  <c r="CS17" i="14851" s="1"/>
  <c r="CG12" i="14851"/>
  <c r="BJ190" i="14851"/>
  <c r="BJ191" i="14851" s="1"/>
  <c r="CI4" i="14851"/>
  <c r="AO30" i="14851"/>
  <c r="CN6" i="14851" s="1"/>
  <c r="FC26" i="14851"/>
  <c r="FC10" i="14851"/>
  <c r="FC11" i="14851" s="1"/>
  <c r="BE113" i="14851"/>
  <c r="BE114" i="14851" s="1"/>
  <c r="BE190" i="14851"/>
  <c r="BE191" i="14851" s="1"/>
  <c r="DD14" i="14851"/>
  <c r="CD4" i="14851"/>
  <c r="BW190" i="14851"/>
  <c r="BW191" i="14851" s="1"/>
  <c r="BW113" i="14851"/>
  <c r="BW114" i="14851" s="1"/>
  <c r="CV4" i="14851"/>
  <c r="BR190" i="14851"/>
  <c r="BR191" i="14851" s="1"/>
  <c r="BR113" i="14851"/>
  <c r="BR114" i="14851" s="1"/>
  <c r="BR146" i="14851" s="1"/>
  <c r="CQ4" i="14851"/>
  <c r="BR144" i="14851" s="1"/>
  <c r="BE190" i="14850"/>
  <c r="BE191" i="14850" s="1"/>
  <c r="DD14" i="14850"/>
  <c r="CD4" i="14850"/>
  <c r="BM190" i="14850"/>
  <c r="BM191" i="14850" s="1"/>
  <c r="BM113" i="14850"/>
  <c r="BM114" i="14850" s="1"/>
  <c r="CL4" i="14850"/>
  <c r="CL16" i="14850" s="1"/>
  <c r="CL17" i="14850" s="1"/>
  <c r="FE26" i="14850"/>
  <c r="FE10" i="14850"/>
  <c r="FE11" i="14850" s="1"/>
  <c r="AE30" i="14850"/>
  <c r="CD6" i="14850" s="1"/>
  <c r="BN190" i="14850"/>
  <c r="BN191" i="14850" s="1"/>
  <c r="DM14" i="14850"/>
  <c r="CM4" i="14850"/>
  <c r="BU190" i="14850"/>
  <c r="BU191" i="14850" s="1"/>
  <c r="BU113" i="14850"/>
  <c r="CT4" i="14850"/>
  <c r="CT12" i="14850" s="1"/>
  <c r="AN30" i="14850"/>
  <c r="CM6" i="14850" s="1"/>
  <c r="CM16" i="14850" s="1"/>
  <c r="CM17" i="14850" s="1"/>
  <c r="BI190" i="14850"/>
  <c r="BI191" i="14850" s="1"/>
  <c r="AI30" i="14850"/>
  <c r="CH6" i="14850" s="1"/>
  <c r="CH4" i="14850"/>
  <c r="BH190" i="14850"/>
  <c r="BH191" i="14850" s="1"/>
  <c r="CG4" i="14850"/>
  <c r="BK113" i="14850"/>
  <c r="CJ4" i="14850"/>
  <c r="BP190" i="14850"/>
  <c r="BP191" i="14850" s="1"/>
  <c r="BP113" i="14850"/>
  <c r="CO4" i="14850"/>
  <c r="BP144" i="14850" s="1"/>
  <c r="BG190" i="14850"/>
  <c r="BG191" i="14850" s="1"/>
  <c r="AN63" i="14850"/>
  <c r="BN90" i="14850"/>
  <c r="AL35" i="14850"/>
  <c r="HG10" i="14850"/>
  <c r="HG11" i="14850" s="1"/>
  <c r="GH10" i="14850"/>
  <c r="BO190" i="14850"/>
  <c r="BO191" i="14850" s="1"/>
  <c r="DN14" i="14850"/>
  <c r="AO30" i="14850"/>
  <c r="CN6" i="14850" s="1"/>
  <c r="CN4" i="14850"/>
  <c r="BP90" i="14850"/>
  <c r="AP63" i="14850"/>
  <c r="HI10" i="14850"/>
  <c r="HI11" i="14850" s="1"/>
  <c r="GJ10" i="14850"/>
  <c r="FH26" i="14850"/>
  <c r="FH10" i="14850"/>
  <c r="FH11" i="14850" s="1"/>
  <c r="AK35" i="14850"/>
  <c r="AK63" i="14850"/>
  <c r="GE10" i="14850"/>
  <c r="HD10" i="14850"/>
  <c r="HD11" i="14850" s="1"/>
  <c r="BS190" i="14850"/>
  <c r="BS191" i="14850" s="1"/>
  <c r="BS113" i="14850"/>
  <c r="BS114" i="14850" s="1"/>
  <c r="CR4" i="14850"/>
  <c r="BS144" i="14850" s="1"/>
  <c r="BX190" i="14850"/>
  <c r="BX191" i="14850" s="1"/>
  <c r="BX113" i="14850"/>
  <c r="BX114" i="14850" s="1"/>
  <c r="BX146" i="14850" s="1"/>
  <c r="CW4" i="14850"/>
  <c r="CW16" i="14850" s="1"/>
  <c r="CW17" i="14850" s="1"/>
  <c r="BL113" i="14850"/>
  <c r="CK4" i="14850"/>
  <c r="BQ190" i="14850"/>
  <c r="BQ191" i="14850" s="1"/>
  <c r="BQ113" i="14850"/>
  <c r="BQ114" i="14850" s="1"/>
  <c r="DP14" i="14850"/>
  <c r="CP4" i="14850"/>
  <c r="BQ144" i="14850" s="1"/>
  <c r="BJ190" i="14850"/>
  <c r="BJ191" i="14850" s="1"/>
  <c r="CI4" i="14850"/>
  <c r="CS12" i="14850"/>
  <c r="AH30" i="14850"/>
  <c r="CG6" i="14850" s="1"/>
  <c r="CG12" i="14850" s="1"/>
  <c r="AJ30" i="14850"/>
  <c r="CI6" i="14850" s="1"/>
  <c r="CI16" i="14850" s="1"/>
  <c r="CI17" i="14850" s="1"/>
  <c r="AG30" i="14850"/>
  <c r="CF6" i="14850" s="1"/>
  <c r="FN26" i="14850"/>
  <c r="FN10" i="14850"/>
  <c r="FN11" i="14850" s="1"/>
  <c r="BW190" i="14850"/>
  <c r="BW191" i="14850" s="1"/>
  <c r="BW113" i="14850"/>
  <c r="BW114" i="14850" s="1"/>
  <c r="CV4" i="14850"/>
  <c r="CV12" i="14850" s="1"/>
  <c r="BT190" i="14850"/>
  <c r="BT191" i="14850" s="1"/>
  <c r="BT113" i="14850"/>
  <c r="CS4" i="14850"/>
  <c r="CS16" i="14850" s="1"/>
  <c r="CS17" i="14850" s="1"/>
  <c r="BR190" i="14850"/>
  <c r="BR191" i="14850" s="1"/>
  <c r="BR113" i="14850"/>
  <c r="BR114" i="14850" s="1"/>
  <c r="CQ4" i="14850"/>
  <c r="BR144" i="14850" s="1"/>
  <c r="BV190" i="14850"/>
  <c r="BV191" i="14850" s="1"/>
  <c r="BV113" i="14850"/>
  <c r="BV114" i="14850" s="1"/>
  <c r="CU4" i="14850"/>
  <c r="CU16" i="14850" s="1"/>
  <c r="CU17" i="14850" s="1"/>
  <c r="BF113" i="14850"/>
  <c r="BY113" i="14850"/>
  <c r="BY114" i="14850" s="1"/>
  <c r="BY146" i="14850" s="1"/>
  <c r="W279" i="14814"/>
  <c r="AH279" i="14814" s="1"/>
  <c r="W301" i="14814"/>
  <c r="X301" i="14814" s="1"/>
  <c r="W300" i="14814"/>
  <c r="X300" i="14814" s="1"/>
  <c r="W299" i="14814"/>
  <c r="W298" i="14814"/>
  <c r="W297" i="14814"/>
  <c r="W296" i="14814"/>
  <c r="W295" i="14814"/>
  <c r="X295" i="14814" s="1"/>
  <c r="W294" i="14814"/>
  <c r="X294" i="14814" s="1"/>
  <c r="W293" i="14814"/>
  <c r="X293" i="14814" s="1"/>
  <c r="W292" i="14814"/>
  <c r="X292" i="14814" s="1"/>
  <c r="W291" i="14814"/>
  <c r="X291" i="14814" s="1"/>
  <c r="W290" i="14814"/>
  <c r="X290" i="14814" s="1"/>
  <c r="W289" i="14814"/>
  <c r="W288" i="14814"/>
  <c r="W287" i="14814"/>
  <c r="X287" i="14814" s="1"/>
  <c r="W286" i="14814"/>
  <c r="W285" i="14814"/>
  <c r="X285" i="14814" s="1"/>
  <c r="W284" i="14814"/>
  <c r="X284" i="14814" s="1"/>
  <c r="W283" i="14814"/>
  <c r="W282" i="14814"/>
  <c r="X282" i="14814" s="1"/>
  <c r="W281" i="14814"/>
  <c r="W280" i="14814"/>
  <c r="CX12" i="14851" l="1"/>
  <c r="CN16" i="14851"/>
  <c r="CN17" i="14851" s="1"/>
  <c r="AH288" i="14814"/>
  <c r="X288" i="14814"/>
  <c r="AH296" i="14814"/>
  <c r="X296" i="14814"/>
  <c r="AH281" i="14814"/>
  <c r="X281" i="14814"/>
  <c r="AH289" i="14814"/>
  <c r="X289" i="14814"/>
  <c r="AH297" i="14814"/>
  <c r="X297" i="14814"/>
  <c r="AH298" i="14814"/>
  <c r="X298" i="14814"/>
  <c r="X279" i="14814"/>
  <c r="AH280" i="14814"/>
  <c r="X280" i="14814"/>
  <c r="AH286" i="14814"/>
  <c r="X286" i="14814"/>
  <c r="AH283" i="14814"/>
  <c r="X283" i="14814"/>
  <c r="AH299" i="14814"/>
  <c r="X299" i="14814"/>
  <c r="BV146" i="14851"/>
  <c r="CX16" i="14851"/>
  <c r="CX17" i="14851" s="1"/>
  <c r="CP16" i="14850"/>
  <c r="CP17" i="14850" s="1"/>
  <c r="BY146" i="14851"/>
  <c r="CP12" i="14850"/>
  <c r="BQ146" i="14850"/>
  <c r="BW146" i="14851"/>
  <c r="CP16" i="14851"/>
  <c r="CP17" i="14851" s="1"/>
  <c r="CQ16" i="14851"/>
  <c r="CQ17" i="14851" s="1"/>
  <c r="BV146" i="14850"/>
  <c r="CD12" i="14850"/>
  <c r="BE146" i="14851"/>
  <c r="CW12" i="14851"/>
  <c r="BM146" i="14851"/>
  <c r="CS12" i="14851"/>
  <c r="BH144" i="14850"/>
  <c r="CI12" i="14850"/>
  <c r="BO144" i="14850"/>
  <c r="CI12" i="14851"/>
  <c r="CN12" i="14851"/>
  <c r="BJ113" i="14851"/>
  <c r="BJ114" i="14851" s="1"/>
  <c r="BJ146" i="14851" s="1"/>
  <c r="BE144" i="14850"/>
  <c r="BT113" i="14851"/>
  <c r="BT145" i="14851" s="1"/>
  <c r="BE144" i="14851"/>
  <c r="CD12" i="14851"/>
  <c r="BK145" i="14851"/>
  <c r="BK114" i="14851"/>
  <c r="BK146" i="14851" s="1"/>
  <c r="CM12" i="14851"/>
  <c r="CL12" i="14851"/>
  <c r="BM144" i="14851"/>
  <c r="CH16" i="14851"/>
  <c r="CH17" i="14851" s="1"/>
  <c r="BF114" i="14851"/>
  <c r="BF146" i="14851" s="1"/>
  <c r="BF145" i="14851"/>
  <c r="CP12" i="14851"/>
  <c r="BS144" i="14851"/>
  <c r="CR12" i="14851"/>
  <c r="CG16" i="14851"/>
  <c r="CG17" i="14851" s="1"/>
  <c r="BO144" i="14851"/>
  <c r="DI14" i="14851"/>
  <c r="BJ144" i="14851"/>
  <c r="BT144" i="14851"/>
  <c r="BV144" i="14851"/>
  <c r="BQ144" i="14851"/>
  <c r="BN145" i="14851"/>
  <c r="BN114" i="14851"/>
  <c r="BN146" i="14851" s="1"/>
  <c r="BP114" i="14851"/>
  <c r="BP146" i="14851" s="1"/>
  <c r="BP145" i="14851"/>
  <c r="BO113" i="14851"/>
  <c r="CM16" i="14851"/>
  <c r="CM17" i="14851" s="1"/>
  <c r="BW144" i="14851"/>
  <c r="BU144" i="14851"/>
  <c r="CV16" i="14851"/>
  <c r="CV17" i="14851" s="1"/>
  <c r="BG114" i="14851"/>
  <c r="BG146" i="14851" s="1"/>
  <c r="BG145" i="14851"/>
  <c r="CU12" i="14851"/>
  <c r="CL16" i="14851"/>
  <c r="CL17" i="14851" s="1"/>
  <c r="CU16" i="14851"/>
  <c r="CU17" i="14851" s="1"/>
  <c r="BQ113" i="14851"/>
  <c r="BQ114" i="14851" s="1"/>
  <c r="BQ146" i="14851" s="1"/>
  <c r="DH14" i="14851"/>
  <c r="BI144" i="14851"/>
  <c r="CK12" i="14851"/>
  <c r="BL144" i="14851"/>
  <c r="CI16" i="14851"/>
  <c r="CI17" i="14851" s="1"/>
  <c r="BH146" i="14851"/>
  <c r="CT16" i="14851"/>
  <c r="CT17" i="14851" s="1"/>
  <c r="CR16" i="14851"/>
  <c r="CR17" i="14851" s="1"/>
  <c r="CO12" i="14851"/>
  <c r="BP144" i="14851"/>
  <c r="CQ12" i="14851"/>
  <c r="BK144" i="14851"/>
  <c r="CJ12" i="14851"/>
  <c r="CV12" i="14851"/>
  <c r="BI146" i="14851"/>
  <c r="BL145" i="14851"/>
  <c r="BL114" i="14851"/>
  <c r="BL146" i="14851" s="1"/>
  <c r="BU114" i="14851"/>
  <c r="BU146" i="14851" s="1"/>
  <c r="BU145" i="14851"/>
  <c r="CW16" i="14851"/>
  <c r="CW17" i="14851" s="1"/>
  <c r="CD16" i="14851"/>
  <c r="CD17" i="14851" s="1"/>
  <c r="DH14" i="14850"/>
  <c r="CH12" i="14850"/>
  <c r="BI144" i="14850"/>
  <c r="CV16" i="14850"/>
  <c r="CV17" i="14850" s="1"/>
  <c r="BP114" i="14850"/>
  <c r="BP146" i="14850" s="1"/>
  <c r="BP145" i="14850"/>
  <c r="CH16" i="14850"/>
  <c r="CH17" i="14850" s="1"/>
  <c r="BF114" i="14850"/>
  <c r="BF146" i="14850" s="1"/>
  <c r="BF145" i="14850"/>
  <c r="BI113" i="14850"/>
  <c r="BI114" i="14850" s="1"/>
  <c r="BI146" i="14850" s="1"/>
  <c r="CQ16" i="14850"/>
  <c r="CQ17" i="14850" s="1"/>
  <c r="CO16" i="14850"/>
  <c r="CO17" i="14850" s="1"/>
  <c r="BR146" i="14850"/>
  <c r="BS146" i="14850"/>
  <c r="BM146" i="14850"/>
  <c r="BT144" i="14850"/>
  <c r="BV144" i="14850"/>
  <c r="CU12" i="14850"/>
  <c r="BG113" i="14850"/>
  <c r="BK144" i="14850"/>
  <c r="CJ12" i="14850"/>
  <c r="BH113" i="14850"/>
  <c r="BH114" i="14850" s="1"/>
  <c r="BH146" i="14850" s="1"/>
  <c r="BU145" i="14850"/>
  <c r="BU114" i="14850"/>
  <c r="BU146" i="14850" s="1"/>
  <c r="BT114" i="14850"/>
  <c r="BT146" i="14850" s="1"/>
  <c r="BT145" i="14850"/>
  <c r="DI14" i="14850"/>
  <c r="BJ144" i="14850"/>
  <c r="CK12" i="14850"/>
  <c r="BL144" i="14850"/>
  <c r="BK114" i="14850"/>
  <c r="BK146" i="14850" s="1"/>
  <c r="BK145" i="14850"/>
  <c r="CQ12" i="14850"/>
  <c r="BG144" i="14850"/>
  <c r="CF16" i="14850"/>
  <c r="BG17" i="14850"/>
  <c r="CF12" i="14850"/>
  <c r="BJ113" i="14850"/>
  <c r="BJ114" i="14850" s="1"/>
  <c r="BJ146" i="14850" s="1"/>
  <c r="BL145" i="14850"/>
  <c r="BL114" i="14850"/>
  <c r="BL146" i="14850" s="1"/>
  <c r="BX144" i="14850"/>
  <c r="CW12" i="14850"/>
  <c r="CN16" i="14850"/>
  <c r="CN17" i="14850" s="1"/>
  <c r="CO12" i="14850"/>
  <c r="CM12" i="14850"/>
  <c r="BN144" i="14850"/>
  <c r="CD16" i="14850"/>
  <c r="CD17" i="14850" s="1"/>
  <c r="CR12" i="14850"/>
  <c r="CR16" i="14850"/>
  <c r="CR17" i="14850" s="1"/>
  <c r="BW144" i="14850"/>
  <c r="BU144" i="14850"/>
  <c r="BW146" i="14850"/>
  <c r="CG16" i="14850"/>
  <c r="CG17" i="14850" s="1"/>
  <c r="BO113" i="14850"/>
  <c r="CN12" i="14850"/>
  <c r="BN113" i="14850"/>
  <c r="BE113" i="14850"/>
  <c r="BE114" i="14850" s="1"/>
  <c r="BE146" i="14850" s="1"/>
  <c r="CT16" i="14850"/>
  <c r="CT17" i="14850" s="1"/>
  <c r="CL12" i="14850"/>
  <c r="BM144" i="14850"/>
  <c r="AH293" i="14814"/>
  <c r="AH301" i="14814"/>
  <c r="AH295" i="14814"/>
  <c r="AH287" i="14814"/>
  <c r="AH285" i="14814"/>
  <c r="AH294" i="14814"/>
  <c r="AH300" i="14814"/>
  <c r="AH292" i="14814"/>
  <c r="AH284" i="14814"/>
  <c r="AH290" i="14814"/>
  <c r="AH282" i="14814"/>
  <c r="AH291" i="14814"/>
  <c r="BT114" i="14851" l="1"/>
  <c r="BT146" i="14851" s="1"/>
  <c r="BO145" i="14851"/>
  <c r="BO114" i="14851"/>
  <c r="BO146" i="14851" s="1"/>
  <c r="BG114" i="14850"/>
  <c r="BG146" i="14850" s="1"/>
  <c r="BG145" i="14850"/>
  <c r="BO145" i="14850"/>
  <c r="BO114" i="14850"/>
  <c r="BO146" i="14850" s="1"/>
  <c r="BN145" i="14850"/>
  <c r="BN114" i="14850"/>
  <c r="BN146" i="14850" s="1"/>
  <c r="CK52" i="14809"/>
  <c r="CJ52" i="14809"/>
  <c r="CI52" i="14809"/>
  <c r="CK51" i="14809"/>
  <c r="CK45" i="14809"/>
  <c r="CK44" i="14809"/>
  <c r="CJ44" i="14809"/>
  <c r="CI44" i="14809"/>
  <c r="CK43" i="14809"/>
  <c r="CK42" i="14809"/>
  <c r="CK39" i="14809"/>
  <c r="CK38" i="14809"/>
  <c r="CK34" i="14809"/>
  <c r="CK33" i="14809"/>
  <c r="CK32" i="14809"/>
  <c r="CK19" i="14809"/>
  <c r="CK18" i="14809"/>
  <c r="CK17" i="14809"/>
  <c r="CK10" i="14809"/>
  <c r="CK9" i="14809"/>
  <c r="CK6" i="14809"/>
  <c r="CJ6" i="14809"/>
  <c r="AI50" i="14843" l="1"/>
  <c r="AD50" i="14843"/>
  <c r="AI42" i="14843"/>
  <c r="AD42" i="14843"/>
  <c r="F96" i="14829"/>
  <c r="F189" i="14829"/>
  <c r="F190" i="14829"/>
  <c r="C11" i="14852" s="1"/>
  <c r="F191" i="14829"/>
  <c r="F192" i="14829"/>
  <c r="C13" i="14786" s="1"/>
  <c r="H6" i="14809"/>
  <c r="F46" i="14829"/>
  <c r="F25" i="14829"/>
  <c r="F193" i="14829"/>
  <c r="K6" i="14809" s="1"/>
  <c r="F195" i="14829"/>
  <c r="F196" i="14829"/>
  <c r="F197" i="14829"/>
  <c r="F198" i="14829"/>
  <c r="F75" i="14829"/>
  <c r="F95" i="14829"/>
  <c r="Y6" i="14809" s="1"/>
  <c r="Z6" i="14809"/>
  <c r="AA6" i="14809"/>
  <c r="F93" i="14829"/>
  <c r="F79" i="14829"/>
  <c r="F200" i="14829"/>
  <c r="AF6" i="14809" s="1"/>
  <c r="F97" i="14829"/>
  <c r="C35" i="14852" s="1"/>
  <c r="F71" i="14829"/>
  <c r="F80" i="14829"/>
  <c r="F87" i="14829"/>
  <c r="F26" i="14829"/>
  <c r="F44" i="14829"/>
  <c r="F39" i="14829"/>
  <c r="O4" i="14825" s="1"/>
  <c r="F41" i="14829"/>
  <c r="F73" i="14829"/>
  <c r="F34" i="14829"/>
  <c r="F89" i="14829"/>
  <c r="BO6" i="14809" s="1"/>
  <c r="F69" i="14829"/>
  <c r="F70" i="14829"/>
  <c r="C118" i="14852" s="1"/>
  <c r="F35" i="14829"/>
  <c r="F83" i="14829"/>
  <c r="BU6" i="14809" s="1"/>
  <c r="C115" i="14786"/>
  <c r="F31" i="14829"/>
  <c r="F48" i="14829"/>
  <c r="F90" i="14829"/>
  <c r="C134" i="14852" s="1"/>
  <c r="F30" i="14829"/>
  <c r="F332" i="14814" s="1"/>
  <c r="F32" i="14829"/>
  <c r="C135" i="14852" s="1"/>
  <c r="CI6" i="14809"/>
  <c r="F53" i="14829"/>
  <c r="C138" i="14786"/>
  <c r="CT6" i="14809"/>
  <c r="F82" i="14829"/>
  <c r="F36" i="14829"/>
  <c r="F86" i="14829"/>
  <c r="DL6" i="14809"/>
  <c r="DM6" i="14809"/>
  <c r="DN6" i="14809"/>
  <c r="O91" i="14786"/>
  <c r="N91" i="14786"/>
  <c r="D101" i="14845"/>
  <c r="H199" i="14814" s="1"/>
  <c r="D60" i="14848" a="1"/>
  <c r="D60" i="14848" s="1"/>
  <c r="B63" i="14814"/>
  <c r="F99" i="14829"/>
  <c r="F391" i="14829"/>
  <c r="AS339" i="14814" s="1"/>
  <c r="F392" i="14829"/>
  <c r="AT339" i="14814" s="1"/>
  <c r="F393" i="14829"/>
  <c r="AU339" i="14814" s="1"/>
  <c r="F394" i="14829"/>
  <c r="AV339" i="14814" s="1"/>
  <c r="F395" i="14829"/>
  <c r="AW339" i="14814" s="1"/>
  <c r="F396" i="14829"/>
  <c r="AX339" i="14814" s="1"/>
  <c r="F397" i="14829"/>
  <c r="AY339" i="14814" s="1"/>
  <c r="F398" i="14829"/>
  <c r="AZ339" i="14814" s="1"/>
  <c r="F399" i="14829"/>
  <c r="BA339" i="14814" s="1"/>
  <c r="F400" i="14829"/>
  <c r="BB339" i="14814" s="1"/>
  <c r="F401" i="14829"/>
  <c r="BC339" i="14814" s="1"/>
  <c r="F402" i="14829"/>
  <c r="BD339" i="14814" s="1"/>
  <c r="F85" i="14829"/>
  <c r="F211" i="14829"/>
  <c r="GA6" i="14809" s="1"/>
  <c r="F213" i="14829"/>
  <c r="GB6" i="14809" s="1"/>
  <c r="F214" i="14829"/>
  <c r="GC6" i="14809" s="1"/>
  <c r="F215" i="14829"/>
  <c r="GD6" i="14809" s="1"/>
  <c r="F52" i="14829"/>
  <c r="GH6" i="14809"/>
  <c r="F216" i="14829"/>
  <c r="GI6" i="14809" s="1"/>
  <c r="F217" i="14829"/>
  <c r="GJ6" i="14809" s="1"/>
  <c r="F264" i="14829"/>
  <c r="GK6" i="14809" s="1"/>
  <c r="F265" i="14829"/>
  <c r="GL6" i="14809" s="1"/>
  <c r="H569" i="14814"/>
  <c r="E63" i="14814"/>
  <c r="E64" i="14814"/>
  <c r="E65" i="14814"/>
  <c r="E66" i="14814"/>
  <c r="E67" i="14814"/>
  <c r="E68" i="14814"/>
  <c r="E69" i="14814"/>
  <c r="E70" i="14814"/>
  <c r="E71" i="14814"/>
  <c r="E72" i="14814"/>
  <c r="E73" i="14814"/>
  <c r="E74" i="14814"/>
  <c r="E75" i="14814"/>
  <c r="E76" i="14814"/>
  <c r="E77" i="14814"/>
  <c r="E78" i="14814"/>
  <c r="E79" i="14814"/>
  <c r="E80" i="14814"/>
  <c r="E81" i="14814"/>
  <c r="E82" i="14814"/>
  <c r="E83" i="14814"/>
  <c r="E84" i="14814"/>
  <c r="E85" i="14814"/>
  <c r="E86" i="14814"/>
  <c r="D569" i="14814"/>
  <c r="D63" i="14814"/>
  <c r="O2" i="14786"/>
  <c r="D31" i="14822"/>
  <c r="C28" i="14786"/>
  <c r="A239" i="14814"/>
  <c r="A240" i="14814" s="1"/>
  <c r="A241" i="14814" s="1"/>
  <c r="A242" i="14814" s="1"/>
  <c r="A243" i="14814" s="1"/>
  <c r="A244" i="14814" s="1"/>
  <c r="A245" i="14814" s="1"/>
  <c r="A246" i="14814" s="1"/>
  <c r="A247" i="14814" s="1"/>
  <c r="A248" i="14814" s="1"/>
  <c r="A249" i="14814" s="1"/>
  <c r="A250" i="14814" s="1"/>
  <c r="A251" i="14814" s="1"/>
  <c r="A252" i="14814" s="1"/>
  <c r="A253" i="14814" s="1"/>
  <c r="A254" i="14814" s="1"/>
  <c r="A255" i="14814" s="1"/>
  <c r="A256" i="14814" s="1"/>
  <c r="A257" i="14814" s="1"/>
  <c r="A258" i="14814" s="1"/>
  <c r="A259" i="14814" s="1"/>
  <c r="A260" i="14814" s="1"/>
  <c r="A261" i="14814" s="1"/>
  <c r="F570" i="14814"/>
  <c r="B613" i="14814" s="1"/>
  <c r="B844" i="14814"/>
  <c r="B851" i="14814"/>
  <c r="B858" i="14814"/>
  <c r="B865" i="14814"/>
  <c r="B872" i="14814"/>
  <c r="B879" i="14814"/>
  <c r="B886" i="14814"/>
  <c r="B893" i="14814"/>
  <c r="B900" i="14814"/>
  <c r="B907" i="14814"/>
  <c r="B914" i="14814"/>
  <c r="B921" i="14814"/>
  <c r="B928" i="14814"/>
  <c r="B935" i="14814"/>
  <c r="B942" i="14814"/>
  <c r="B949" i="14814"/>
  <c r="B956" i="14814"/>
  <c r="B963" i="14814"/>
  <c r="B970" i="14814"/>
  <c r="M117" i="14786"/>
  <c r="O117" i="14786" s="1"/>
  <c r="M104" i="14786"/>
  <c r="P172" i="14848"/>
  <c r="P142" i="14848"/>
  <c r="B136" i="14848"/>
  <c r="B135" i="14848"/>
  <c r="P110" i="14848"/>
  <c r="B106" i="14848"/>
  <c r="F134" i="14829"/>
  <c r="C9" i="14809" s="1"/>
  <c r="B7" i="14853" s="1"/>
  <c r="P172" i="14847"/>
  <c r="P142" i="14847"/>
  <c r="P110" i="14847"/>
  <c r="B106" i="14847"/>
  <c r="F340" i="14829"/>
  <c r="M4" i="14852" s="1"/>
  <c r="F235" i="14829"/>
  <c r="BS7" i="14809" s="1"/>
  <c r="F236" i="14829"/>
  <c r="BT7" i="14809" s="1"/>
  <c r="F237" i="14829"/>
  <c r="F378" i="14829"/>
  <c r="F219" i="14829"/>
  <c r="F224" i="14829"/>
  <c r="F222" i="14829"/>
  <c r="F220" i="14829"/>
  <c r="F206" i="14829"/>
  <c r="F377" i="14829"/>
  <c r="F343" i="14829"/>
  <c r="F299" i="14829"/>
  <c r="GR9" i="14809" s="1"/>
  <c r="F297" i="14829"/>
  <c r="GO17" i="14809" s="1"/>
  <c r="F269" i="14829"/>
  <c r="F232" i="14829"/>
  <c r="F376" i="14829"/>
  <c r="F375" i="14829"/>
  <c r="F374" i="14829"/>
  <c r="F373" i="14829"/>
  <c r="F372" i="14829"/>
  <c r="F371" i="14829"/>
  <c r="F67" i="14829"/>
  <c r="F370" i="14829"/>
  <c r="F260" i="14829"/>
  <c r="DI9" i="14809" s="1"/>
  <c r="F223" i="14829"/>
  <c r="F380" i="14829"/>
  <c r="F65" i="14829"/>
  <c r="F59" i="14829"/>
  <c r="F76" i="14829"/>
  <c r="F369" i="14829"/>
  <c r="F66" i="14829"/>
  <c r="F60" i="14829"/>
  <c r="F68" i="14829"/>
  <c r="F368" i="14829"/>
  <c r="F367" i="14829"/>
  <c r="F366" i="14829"/>
  <c r="F49" i="14829"/>
  <c r="F50" i="14829"/>
  <c r="F365" i="14829"/>
  <c r="F42" i="14829"/>
  <c r="F63" i="14829"/>
  <c r="F364" i="14829"/>
  <c r="F144" i="14852" s="1"/>
  <c r="F57" i="14829"/>
  <c r="F40" i="14829"/>
  <c r="F363" i="14829"/>
  <c r="F381" i="14829"/>
  <c r="F58" i="14829"/>
  <c r="F379" i="14829"/>
  <c r="F253" i="14829"/>
  <c r="CR9" i="14809" s="1"/>
  <c r="F249" i="14829"/>
  <c r="F248" i="14829"/>
  <c r="F362" i="14829"/>
  <c r="F361" i="14829"/>
  <c r="F339" i="14829"/>
  <c r="F338" i="14829"/>
  <c r="F61" i="14829"/>
  <c r="F55" i="14829"/>
  <c r="F38" i="14829"/>
  <c r="F78" i="14829"/>
  <c r="F47" i="14829"/>
  <c r="F94" i="14829"/>
  <c r="F74" i="14829"/>
  <c r="BS6" i="14809" s="1"/>
  <c r="F92" i="14829"/>
  <c r="F360" i="14829"/>
  <c r="F359" i="14829"/>
  <c r="F87" i="14852" s="1"/>
  <c r="F64" i="14829"/>
  <c r="F62" i="14829"/>
  <c r="F51" i="14829"/>
  <c r="F56" i="14829"/>
  <c r="F358" i="14829"/>
  <c r="F72" i="14829"/>
  <c r="F205" i="14829"/>
  <c r="F357" i="14829"/>
  <c r="F356" i="14829"/>
  <c r="F43" i="14829"/>
  <c r="F101" i="14829"/>
  <c r="F241" i="14829"/>
  <c r="F240" i="14829"/>
  <c r="F355" i="14829"/>
  <c r="F54" i="14829"/>
  <c r="F88" i="14829"/>
  <c r="F204" i="14829"/>
  <c r="F354" i="14829"/>
  <c r="F42" i="14852" s="1"/>
  <c r="F353" i="14829"/>
  <c r="F41" i="14852" s="1"/>
  <c r="F246" i="14829"/>
  <c r="AJ11" i="14809" s="1"/>
  <c r="F352" i="14829"/>
  <c r="F40" i="14852" s="1"/>
  <c r="F201" i="14829"/>
  <c r="F347" i="14829"/>
  <c r="F346" i="14829"/>
  <c r="F77" i="14829"/>
  <c r="F349" i="14829"/>
  <c r="F348" i="14829"/>
  <c r="F351" i="14829"/>
  <c r="F34" i="14852" s="1"/>
  <c r="F350" i="14829"/>
  <c r="F33" i="14852" s="1"/>
  <c r="F199" i="14829"/>
  <c r="F345" i="14829"/>
  <c r="F194" i="14829"/>
  <c r="F188" i="14829"/>
  <c r="C9" i="14852" s="1"/>
  <c r="F187" i="14829"/>
  <c r="AU8" i="14826"/>
  <c r="AU9" i="14826"/>
  <c r="AU10" i="14826"/>
  <c r="AU11" i="14826"/>
  <c r="AU12" i="14826"/>
  <c r="AU13" i="14826"/>
  <c r="AU14" i="14826"/>
  <c r="AU15" i="14826"/>
  <c r="AU16" i="14826"/>
  <c r="AU17" i="14826"/>
  <c r="AU18" i="14826"/>
  <c r="AU19" i="14826"/>
  <c r="AU20" i="14826"/>
  <c r="AU21" i="14826"/>
  <c r="AU22" i="14826"/>
  <c r="AU23" i="14826"/>
  <c r="AU24" i="14826"/>
  <c r="AU25" i="14826"/>
  <c r="AU26" i="14826"/>
  <c r="AU27" i="14826"/>
  <c r="AU28" i="14826"/>
  <c r="AU29" i="14826"/>
  <c r="AU30" i="14826"/>
  <c r="AU31" i="14826"/>
  <c r="AU32" i="14826"/>
  <c r="AU33" i="14826"/>
  <c r="AU34" i="14826"/>
  <c r="AU35" i="14826"/>
  <c r="AU36" i="14826"/>
  <c r="AU37" i="14826"/>
  <c r="AU38" i="14826"/>
  <c r="AU39" i="14826"/>
  <c r="AU40" i="14826"/>
  <c r="AU41" i="14826"/>
  <c r="AU42" i="14826"/>
  <c r="AU43" i="14826"/>
  <c r="AU44" i="14826"/>
  <c r="AU45" i="14826"/>
  <c r="AU46" i="14826"/>
  <c r="AU47" i="14826"/>
  <c r="AU48" i="14826"/>
  <c r="AU49" i="14826"/>
  <c r="AU50" i="14826"/>
  <c r="AU51" i="14826"/>
  <c r="AU7" i="14826"/>
  <c r="AN8" i="14826"/>
  <c r="AN9" i="14826"/>
  <c r="AN10" i="14826"/>
  <c r="AN11" i="14826"/>
  <c r="AN12" i="14826"/>
  <c r="AN13" i="14826"/>
  <c r="AN14" i="14826"/>
  <c r="AN15" i="14826"/>
  <c r="AN16" i="14826"/>
  <c r="AN17" i="14826"/>
  <c r="AN18" i="14826"/>
  <c r="AN19" i="14826"/>
  <c r="AN20" i="14826"/>
  <c r="AN21" i="14826"/>
  <c r="AN22" i="14826"/>
  <c r="AN23" i="14826"/>
  <c r="AN24" i="14826"/>
  <c r="AN25" i="14826"/>
  <c r="AN26" i="14826"/>
  <c r="AN27" i="14826"/>
  <c r="AN28" i="14826"/>
  <c r="AN29" i="14826"/>
  <c r="AN30" i="14826"/>
  <c r="AN31" i="14826"/>
  <c r="AN32" i="14826"/>
  <c r="AN33" i="14826"/>
  <c r="AN34" i="14826"/>
  <c r="AN35" i="14826"/>
  <c r="AN36" i="14826"/>
  <c r="AN37" i="14826"/>
  <c r="AN38" i="14826"/>
  <c r="AN39" i="14826"/>
  <c r="AN40" i="14826"/>
  <c r="AN41" i="14826"/>
  <c r="AN42" i="14826"/>
  <c r="AN43" i="14826"/>
  <c r="AN44" i="14826"/>
  <c r="AN45" i="14826"/>
  <c r="AN46" i="14826"/>
  <c r="AN47" i="14826"/>
  <c r="AN48" i="14826"/>
  <c r="AN49" i="14826"/>
  <c r="AN50" i="14826"/>
  <c r="AN51" i="14826"/>
  <c r="A199" i="14814"/>
  <c r="A200" i="14814" s="1"/>
  <c r="A201" i="14814" s="1"/>
  <c r="A202" i="14814" s="1"/>
  <c r="A203" i="14814" s="1"/>
  <c r="A204" i="14814" s="1"/>
  <c r="A205" i="14814" s="1"/>
  <c r="A206" i="14814" s="1"/>
  <c r="A207" i="14814" s="1"/>
  <c r="A208" i="14814" s="1"/>
  <c r="A209" i="14814" s="1"/>
  <c r="A210" i="14814" s="1"/>
  <c r="A211" i="14814" s="1"/>
  <c r="A212" i="14814" s="1"/>
  <c r="A213" i="14814" s="1"/>
  <c r="A214" i="14814" s="1"/>
  <c r="A215" i="14814" s="1"/>
  <c r="A216" i="14814" s="1"/>
  <c r="A217" i="14814" s="1"/>
  <c r="A218" i="14814" s="1"/>
  <c r="A219" i="14814" s="1"/>
  <c r="A220" i="14814" s="1"/>
  <c r="A221" i="14814" s="1"/>
  <c r="A159" i="14814"/>
  <c r="A160" i="14814" s="1"/>
  <c r="A161" i="14814" s="1"/>
  <c r="A162" i="14814" s="1"/>
  <c r="A163" i="14814" s="1"/>
  <c r="A164" i="14814" s="1"/>
  <c r="A165" i="14814" s="1"/>
  <c r="A166" i="14814" s="1"/>
  <c r="A167" i="14814" s="1"/>
  <c r="A168" i="14814" s="1"/>
  <c r="A169" i="14814" s="1"/>
  <c r="A170" i="14814" s="1"/>
  <c r="A171" i="14814" s="1"/>
  <c r="A172" i="14814" s="1"/>
  <c r="A173" i="14814" s="1"/>
  <c r="A174" i="14814" s="1"/>
  <c r="A175" i="14814" s="1"/>
  <c r="A176" i="14814" s="1"/>
  <c r="A177" i="14814" s="1"/>
  <c r="A178" i="14814" s="1"/>
  <c r="A179" i="14814" s="1"/>
  <c r="A180" i="14814" s="1"/>
  <c r="A181" i="14814" s="1"/>
  <c r="AN7" i="14826"/>
  <c r="AG8" i="14826"/>
  <c r="AG9" i="14826"/>
  <c r="AG10" i="14826"/>
  <c r="AG11" i="14826"/>
  <c r="AG12" i="14826"/>
  <c r="AG13" i="14826"/>
  <c r="AG14" i="14826"/>
  <c r="AG15" i="14826"/>
  <c r="AG16" i="14826"/>
  <c r="AG17" i="14826"/>
  <c r="AG18" i="14826"/>
  <c r="AG19" i="14826"/>
  <c r="AG20" i="14826"/>
  <c r="AG21" i="14826"/>
  <c r="AG22" i="14826"/>
  <c r="AG23" i="14826"/>
  <c r="AG24" i="14826"/>
  <c r="AG25" i="14826"/>
  <c r="AG26" i="14826"/>
  <c r="AG27" i="14826"/>
  <c r="AG28" i="14826"/>
  <c r="AG29" i="14826"/>
  <c r="AG30" i="14826"/>
  <c r="AG31" i="14826"/>
  <c r="AG32" i="14826"/>
  <c r="AG33" i="14826"/>
  <c r="AG34" i="14826"/>
  <c r="AG35" i="14826"/>
  <c r="AG36" i="14826"/>
  <c r="AG37" i="14826"/>
  <c r="AG38" i="14826"/>
  <c r="AG39" i="14826"/>
  <c r="AG40" i="14826"/>
  <c r="AG41" i="14826"/>
  <c r="AG42" i="14826"/>
  <c r="AG43" i="14826"/>
  <c r="AG44" i="14826"/>
  <c r="AG45" i="14826"/>
  <c r="AG46" i="14826"/>
  <c r="AG47" i="14826"/>
  <c r="AG48" i="14826"/>
  <c r="AG49" i="14826"/>
  <c r="AG50" i="14826"/>
  <c r="AG51" i="14826"/>
  <c r="AG7" i="14826"/>
  <c r="C392" i="14814"/>
  <c r="A279" i="14814"/>
  <c r="A280" i="14814" s="1"/>
  <c r="A281" i="14814" s="1"/>
  <c r="A282" i="14814" s="1"/>
  <c r="A283" i="14814" s="1"/>
  <c r="A284" i="14814" s="1"/>
  <c r="A285" i="14814" s="1"/>
  <c r="A286" i="14814" s="1"/>
  <c r="A287" i="14814" s="1"/>
  <c r="A288" i="14814" s="1"/>
  <c r="A289" i="14814" s="1"/>
  <c r="A290" i="14814" s="1"/>
  <c r="A291" i="14814" s="1"/>
  <c r="A292" i="14814" s="1"/>
  <c r="A293" i="14814" s="1"/>
  <c r="A294" i="14814" s="1"/>
  <c r="A295" i="14814" s="1"/>
  <c r="A296" i="14814" s="1"/>
  <c r="A297" i="14814" s="1"/>
  <c r="A298" i="14814" s="1"/>
  <c r="A299" i="14814" s="1"/>
  <c r="A300" i="14814" s="1"/>
  <c r="A301" i="14814" s="1"/>
  <c r="B612" i="14814"/>
  <c r="A64" i="14814"/>
  <c r="B64" i="14814" s="1"/>
  <c r="C340" i="14814" s="1"/>
  <c r="A570" i="14814"/>
  <c r="A571" i="14814" s="1"/>
  <c r="A613" i="14814"/>
  <c r="A614" i="14814" s="1"/>
  <c r="A615" i="14814" s="1"/>
  <c r="A616" i="14814" s="1"/>
  <c r="A617" i="14814" s="1"/>
  <c r="A618" i="14814" s="1"/>
  <c r="A619" i="14814" s="1"/>
  <c r="A620" i="14814" s="1"/>
  <c r="A621" i="14814" s="1"/>
  <c r="A622" i="14814" s="1"/>
  <c r="A623" i="14814" s="1"/>
  <c r="A624" i="14814" s="1"/>
  <c r="A625" i="14814" s="1"/>
  <c r="A626" i="14814" s="1"/>
  <c r="A627" i="14814" s="1"/>
  <c r="A628" i="14814" s="1"/>
  <c r="A629" i="14814" s="1"/>
  <c r="A630" i="14814" s="1"/>
  <c r="A631" i="14814" s="1"/>
  <c r="A632" i="14814" s="1"/>
  <c r="A633" i="14814" s="1"/>
  <c r="A634" i="14814" s="1"/>
  <c r="A635" i="14814" s="1"/>
  <c r="A636" i="14814" s="1"/>
  <c r="A637" i="14814" s="1"/>
  <c r="A638" i="14814" s="1"/>
  <c r="A639" i="14814" s="1"/>
  <c r="A640" i="14814" s="1"/>
  <c r="A641" i="14814" s="1"/>
  <c r="A642" i="14814" s="1"/>
  <c r="B619" i="14814"/>
  <c r="B626" i="14814"/>
  <c r="B633" i="14814"/>
  <c r="B640" i="14814"/>
  <c r="A644" i="14814"/>
  <c r="A645" i="14814" s="1"/>
  <c r="A646" i="14814" s="1"/>
  <c r="A647" i="14814" s="1"/>
  <c r="A648" i="14814" s="1"/>
  <c r="A649" i="14814" s="1"/>
  <c r="A650" i="14814" s="1"/>
  <c r="A651" i="14814" s="1"/>
  <c r="A652" i="14814" s="1"/>
  <c r="A653" i="14814" s="1"/>
  <c r="A654" i="14814" s="1"/>
  <c r="A655" i="14814" s="1"/>
  <c r="A656" i="14814" s="1"/>
  <c r="A657" i="14814" s="1"/>
  <c r="A658" i="14814" s="1"/>
  <c r="A659" i="14814" s="1"/>
  <c r="A660" i="14814" s="1"/>
  <c r="A661" i="14814" s="1"/>
  <c r="A662" i="14814" s="1"/>
  <c r="A663" i="14814" s="1"/>
  <c r="A664" i="14814" s="1"/>
  <c r="A665" i="14814" s="1"/>
  <c r="A666" i="14814" s="1"/>
  <c r="A667" i="14814" s="1"/>
  <c r="A668" i="14814" s="1"/>
  <c r="A669" i="14814" s="1"/>
  <c r="A670" i="14814" s="1"/>
  <c r="B647" i="14814"/>
  <c r="B654" i="14814"/>
  <c r="B661" i="14814"/>
  <c r="B668" i="14814"/>
  <c r="A672" i="14814"/>
  <c r="A673" i="14814" s="1"/>
  <c r="A674" i="14814" s="1"/>
  <c r="A675" i="14814" s="1"/>
  <c r="A676" i="14814" s="1"/>
  <c r="A677" i="14814" s="1"/>
  <c r="A678" i="14814" s="1"/>
  <c r="A679" i="14814" s="1"/>
  <c r="A680" i="14814" s="1"/>
  <c r="A681" i="14814" s="1"/>
  <c r="A682" i="14814" s="1"/>
  <c r="A683" i="14814" s="1"/>
  <c r="A684" i="14814" s="1"/>
  <c r="A685" i="14814" s="1"/>
  <c r="A686" i="14814" s="1"/>
  <c r="A687" i="14814" s="1"/>
  <c r="A688" i="14814" s="1"/>
  <c r="A689" i="14814" s="1"/>
  <c r="A690" i="14814" s="1"/>
  <c r="A691" i="14814" s="1"/>
  <c r="A692" i="14814" s="1"/>
  <c r="A693" i="14814" s="1"/>
  <c r="A694" i="14814" s="1"/>
  <c r="A695" i="14814" s="1"/>
  <c r="A696" i="14814" s="1"/>
  <c r="A697" i="14814" s="1"/>
  <c r="A698" i="14814" s="1"/>
  <c r="A699" i="14814" s="1"/>
  <c r="A700" i="14814" s="1"/>
  <c r="A701" i="14814" s="1"/>
  <c r="B675" i="14814"/>
  <c r="B682" i="14814"/>
  <c r="B689" i="14814"/>
  <c r="B696" i="14814"/>
  <c r="B703" i="14814"/>
  <c r="A703" i="14814"/>
  <c r="A704" i="14814" s="1"/>
  <c r="A705" i="14814" s="1"/>
  <c r="A706" i="14814" s="1"/>
  <c r="A707" i="14814" s="1"/>
  <c r="A708" i="14814" s="1"/>
  <c r="A709" i="14814" s="1"/>
  <c r="A710" i="14814" s="1"/>
  <c r="A711" i="14814" s="1"/>
  <c r="A712" i="14814" s="1"/>
  <c r="A713" i="14814" s="1"/>
  <c r="A714" i="14814" s="1"/>
  <c r="A715" i="14814" s="1"/>
  <c r="A716" i="14814" s="1"/>
  <c r="A717" i="14814" s="1"/>
  <c r="A718" i="14814" s="1"/>
  <c r="A719" i="14814" s="1"/>
  <c r="A720" i="14814" s="1"/>
  <c r="A721" i="14814" s="1"/>
  <c r="A722" i="14814" s="1"/>
  <c r="A723" i="14814" s="1"/>
  <c r="A724" i="14814" s="1"/>
  <c r="A725" i="14814" s="1"/>
  <c r="A726" i="14814" s="1"/>
  <c r="A727" i="14814" s="1"/>
  <c r="A728" i="14814" s="1"/>
  <c r="A729" i="14814" s="1"/>
  <c r="A730" i="14814" s="1"/>
  <c r="A731" i="14814" s="1"/>
  <c r="B710" i="14814"/>
  <c r="B717" i="14814"/>
  <c r="B724" i="14814"/>
  <c r="B731" i="14814"/>
  <c r="A733" i="14814"/>
  <c r="A734" i="14814" s="1"/>
  <c r="A735" i="14814" s="1"/>
  <c r="A736" i="14814" s="1"/>
  <c r="A737" i="14814" s="1"/>
  <c r="A738" i="14814" s="1"/>
  <c r="A739" i="14814" s="1"/>
  <c r="A740" i="14814" s="1"/>
  <c r="A741" i="14814" s="1"/>
  <c r="A742" i="14814" s="1"/>
  <c r="A743" i="14814" s="1"/>
  <c r="A744" i="14814" s="1"/>
  <c r="A745" i="14814" s="1"/>
  <c r="A746" i="14814" s="1"/>
  <c r="A747" i="14814" s="1"/>
  <c r="A748" i="14814" s="1"/>
  <c r="A749" i="14814" s="1"/>
  <c r="A750" i="14814" s="1"/>
  <c r="A751" i="14814" s="1"/>
  <c r="A752" i="14814" s="1"/>
  <c r="A753" i="14814" s="1"/>
  <c r="A754" i="14814" s="1"/>
  <c r="A755" i="14814" s="1"/>
  <c r="A756" i="14814" s="1"/>
  <c r="A757" i="14814" s="1"/>
  <c r="A758" i="14814" s="1"/>
  <c r="A759" i="14814" s="1"/>
  <c r="A760" i="14814" s="1"/>
  <c r="A761" i="14814" s="1"/>
  <c r="A762" i="14814" s="1"/>
  <c r="B738" i="14814"/>
  <c r="B745" i="14814"/>
  <c r="B752" i="14814"/>
  <c r="B759" i="14814"/>
  <c r="A764" i="14814"/>
  <c r="A765" i="14814" s="1"/>
  <c r="A766" i="14814" s="1"/>
  <c r="A767" i="14814" s="1"/>
  <c r="A768" i="14814" s="1"/>
  <c r="A769" i="14814" s="1"/>
  <c r="A770" i="14814" s="1"/>
  <c r="A771" i="14814" s="1"/>
  <c r="A772" i="14814" s="1"/>
  <c r="A773" i="14814" s="1"/>
  <c r="A774" i="14814" s="1"/>
  <c r="A775" i="14814" s="1"/>
  <c r="A776" i="14814" s="1"/>
  <c r="A777" i="14814" s="1"/>
  <c r="A778" i="14814" s="1"/>
  <c r="A779" i="14814" s="1"/>
  <c r="A780" i="14814" s="1"/>
  <c r="A781" i="14814" s="1"/>
  <c r="A782" i="14814" s="1"/>
  <c r="A783" i="14814" s="1"/>
  <c r="A784" i="14814" s="1"/>
  <c r="A785" i="14814" s="1"/>
  <c r="A786" i="14814" s="1"/>
  <c r="A787" i="14814" s="1"/>
  <c r="A788" i="14814" s="1"/>
  <c r="A789" i="14814" s="1"/>
  <c r="A790" i="14814" s="1"/>
  <c r="A791" i="14814" s="1"/>
  <c r="A792" i="14814" s="1"/>
  <c r="B766" i="14814"/>
  <c r="B773" i="14814"/>
  <c r="B780" i="14814"/>
  <c r="B787" i="14814"/>
  <c r="B794" i="14814"/>
  <c r="A794" i="14814"/>
  <c r="A795" i="14814" s="1"/>
  <c r="A796" i="14814" s="1"/>
  <c r="A797" i="14814" s="1"/>
  <c r="A798" i="14814" s="1"/>
  <c r="A799" i="14814" s="1"/>
  <c r="A800" i="14814" s="1"/>
  <c r="A801" i="14814" s="1"/>
  <c r="A802" i="14814" s="1"/>
  <c r="A803" i="14814" s="1"/>
  <c r="A804" i="14814" s="1"/>
  <c r="A805" i="14814" s="1"/>
  <c r="A806" i="14814" s="1"/>
  <c r="A807" i="14814" s="1"/>
  <c r="A808" i="14814" s="1"/>
  <c r="A809" i="14814" s="1"/>
  <c r="A810" i="14814" s="1"/>
  <c r="A811" i="14814" s="1"/>
  <c r="A812" i="14814" s="1"/>
  <c r="A813" i="14814" s="1"/>
  <c r="A814" i="14814" s="1"/>
  <c r="A815" i="14814" s="1"/>
  <c r="A816" i="14814" s="1"/>
  <c r="A817" i="14814" s="1"/>
  <c r="A818" i="14814" s="1"/>
  <c r="A819" i="14814" s="1"/>
  <c r="A820" i="14814" s="1"/>
  <c r="A821" i="14814" s="1"/>
  <c r="A822" i="14814" s="1"/>
  <c r="A823" i="14814" s="1"/>
  <c r="B801" i="14814"/>
  <c r="B808" i="14814"/>
  <c r="B815" i="14814"/>
  <c r="B822" i="14814"/>
  <c r="A825" i="14814"/>
  <c r="A826" i="14814" s="1"/>
  <c r="A827" i="14814" s="1"/>
  <c r="A828" i="14814" s="1"/>
  <c r="A829" i="14814" s="1"/>
  <c r="A830" i="14814" s="1"/>
  <c r="A831" i="14814" s="1"/>
  <c r="A832" i="14814" s="1"/>
  <c r="A833" i="14814" s="1"/>
  <c r="A834" i="14814" s="1"/>
  <c r="A835" i="14814" s="1"/>
  <c r="A836" i="14814" s="1"/>
  <c r="A837" i="14814" s="1"/>
  <c r="A838" i="14814" s="1"/>
  <c r="A839" i="14814" s="1"/>
  <c r="A840" i="14814" s="1"/>
  <c r="A841" i="14814" s="1"/>
  <c r="A842" i="14814" s="1"/>
  <c r="A843" i="14814" s="1"/>
  <c r="A844" i="14814" s="1"/>
  <c r="A845" i="14814" s="1"/>
  <c r="A846" i="14814" s="1"/>
  <c r="A847" i="14814" s="1"/>
  <c r="A848" i="14814" s="1"/>
  <c r="A849" i="14814" s="1"/>
  <c r="A850" i="14814" s="1"/>
  <c r="A851" i="14814" s="1"/>
  <c r="A852" i="14814" s="1"/>
  <c r="A853" i="14814" s="1"/>
  <c r="A854" i="14814" s="1"/>
  <c r="B829" i="14814"/>
  <c r="B836" i="14814"/>
  <c r="B843" i="14814"/>
  <c r="B850" i="14814"/>
  <c r="A856" i="14814"/>
  <c r="A857" i="14814" s="1"/>
  <c r="A858" i="14814" s="1"/>
  <c r="A859" i="14814" s="1"/>
  <c r="A860" i="14814" s="1"/>
  <c r="A861" i="14814" s="1"/>
  <c r="A862" i="14814" s="1"/>
  <c r="A863" i="14814" s="1"/>
  <c r="A864" i="14814" s="1"/>
  <c r="A865" i="14814" s="1"/>
  <c r="A866" i="14814" s="1"/>
  <c r="A867" i="14814" s="1"/>
  <c r="A868" i="14814" s="1"/>
  <c r="A869" i="14814" s="1"/>
  <c r="A870" i="14814" s="1"/>
  <c r="A871" i="14814" s="1"/>
  <c r="A872" i="14814" s="1"/>
  <c r="A873" i="14814" s="1"/>
  <c r="A874" i="14814" s="1"/>
  <c r="A875" i="14814" s="1"/>
  <c r="A876" i="14814" s="1"/>
  <c r="A877" i="14814" s="1"/>
  <c r="A878" i="14814" s="1"/>
  <c r="A879" i="14814" s="1"/>
  <c r="A880" i="14814" s="1"/>
  <c r="A881" i="14814" s="1"/>
  <c r="A882" i="14814" s="1"/>
  <c r="A883" i="14814" s="1"/>
  <c r="A884" i="14814" s="1"/>
  <c r="B857" i="14814"/>
  <c r="B864" i="14814"/>
  <c r="B871" i="14814"/>
  <c r="B878" i="14814"/>
  <c r="B885" i="14814"/>
  <c r="A886" i="14814"/>
  <c r="A887" i="14814" s="1"/>
  <c r="A888" i="14814" s="1"/>
  <c r="A889" i="14814" s="1"/>
  <c r="A890" i="14814" s="1"/>
  <c r="A891" i="14814" s="1"/>
  <c r="A892" i="14814" s="1"/>
  <c r="A893" i="14814" s="1"/>
  <c r="A894" i="14814" s="1"/>
  <c r="A895" i="14814" s="1"/>
  <c r="A896" i="14814" s="1"/>
  <c r="A897" i="14814" s="1"/>
  <c r="A898" i="14814" s="1"/>
  <c r="A899" i="14814" s="1"/>
  <c r="A900" i="14814" s="1"/>
  <c r="A901" i="14814" s="1"/>
  <c r="A902" i="14814" s="1"/>
  <c r="A903" i="14814" s="1"/>
  <c r="A904" i="14814" s="1"/>
  <c r="A905" i="14814" s="1"/>
  <c r="A906" i="14814" s="1"/>
  <c r="A907" i="14814" s="1"/>
  <c r="A908" i="14814" s="1"/>
  <c r="A909" i="14814" s="1"/>
  <c r="A910" i="14814" s="1"/>
  <c r="A911" i="14814" s="1"/>
  <c r="A912" i="14814" s="1"/>
  <c r="A913" i="14814" s="1"/>
  <c r="A914" i="14814" s="1"/>
  <c r="A915" i="14814" s="1"/>
  <c r="B892" i="14814"/>
  <c r="B899" i="14814"/>
  <c r="B906" i="14814"/>
  <c r="B913" i="14814"/>
  <c r="A917" i="14814"/>
  <c r="A918" i="14814" s="1"/>
  <c r="A919" i="14814" s="1"/>
  <c r="A920" i="14814" s="1"/>
  <c r="A921" i="14814" s="1"/>
  <c r="A922" i="14814" s="1"/>
  <c r="A923" i="14814" s="1"/>
  <c r="A924" i="14814" s="1"/>
  <c r="A925" i="14814" s="1"/>
  <c r="A926" i="14814" s="1"/>
  <c r="A927" i="14814" s="1"/>
  <c r="A928" i="14814" s="1"/>
  <c r="A929" i="14814" s="1"/>
  <c r="A930" i="14814" s="1"/>
  <c r="A931" i="14814" s="1"/>
  <c r="A932" i="14814" s="1"/>
  <c r="A933" i="14814" s="1"/>
  <c r="A934" i="14814" s="1"/>
  <c r="A935" i="14814" s="1"/>
  <c r="A936" i="14814" s="1"/>
  <c r="A937" i="14814" s="1"/>
  <c r="A938" i="14814" s="1"/>
  <c r="A939" i="14814" s="1"/>
  <c r="A940" i="14814" s="1"/>
  <c r="A941" i="14814" s="1"/>
  <c r="A942" i="14814" s="1"/>
  <c r="A943" i="14814" s="1"/>
  <c r="A944" i="14814" s="1"/>
  <c r="A945" i="14814" s="1"/>
  <c r="B920" i="14814"/>
  <c r="B927" i="14814"/>
  <c r="B934" i="14814"/>
  <c r="B941" i="14814"/>
  <c r="A947" i="14814"/>
  <c r="A948" i="14814" s="1"/>
  <c r="A949" i="14814" s="1"/>
  <c r="A950" i="14814" s="1"/>
  <c r="A951" i="14814" s="1"/>
  <c r="A952" i="14814" s="1"/>
  <c r="A953" i="14814" s="1"/>
  <c r="A954" i="14814" s="1"/>
  <c r="A955" i="14814" s="1"/>
  <c r="A956" i="14814" s="1"/>
  <c r="A957" i="14814" s="1"/>
  <c r="A958" i="14814" s="1"/>
  <c r="A959" i="14814" s="1"/>
  <c r="A960" i="14814" s="1"/>
  <c r="A961" i="14814" s="1"/>
  <c r="A962" i="14814" s="1"/>
  <c r="A963" i="14814" s="1"/>
  <c r="A964" i="14814" s="1"/>
  <c r="A965" i="14814" s="1"/>
  <c r="A966" i="14814" s="1"/>
  <c r="A967" i="14814" s="1"/>
  <c r="A968" i="14814" s="1"/>
  <c r="A969" i="14814" s="1"/>
  <c r="A970" i="14814" s="1"/>
  <c r="A971" i="14814" s="1"/>
  <c r="A972" i="14814" s="1"/>
  <c r="A973" i="14814" s="1"/>
  <c r="A974" i="14814" s="1"/>
  <c r="A975" i="14814" s="1"/>
  <c r="A976" i="14814" s="1"/>
  <c r="B948" i="14814"/>
  <c r="B955" i="14814"/>
  <c r="B962" i="14814"/>
  <c r="B969" i="14814"/>
  <c r="B976" i="14814"/>
  <c r="AA3" i="14835"/>
  <c r="AA4" i="14835"/>
  <c r="AA5" i="14835"/>
  <c r="AA6" i="14835"/>
  <c r="AA7" i="14835"/>
  <c r="AA8" i="14835"/>
  <c r="AA10" i="14835"/>
  <c r="AA11" i="14835"/>
  <c r="AA14" i="14835"/>
  <c r="AA15" i="14835"/>
  <c r="AA16" i="14835"/>
  <c r="AA17" i="14835"/>
  <c r="AA18" i="14835"/>
  <c r="AA19" i="14835"/>
  <c r="AA20" i="14835"/>
  <c r="AA21" i="14835"/>
  <c r="AA22" i="14835"/>
  <c r="AA23" i="14835"/>
  <c r="AA24" i="14835"/>
  <c r="AA25" i="14835"/>
  <c r="AA26" i="14835"/>
  <c r="AA27" i="14835"/>
  <c r="AA28" i="14835"/>
  <c r="AA29" i="14835"/>
  <c r="AA30" i="14835"/>
  <c r="AA31" i="14835"/>
  <c r="AA32" i="14835"/>
  <c r="AA33" i="14835"/>
  <c r="AA34" i="14835"/>
  <c r="AA35" i="14835"/>
  <c r="AE27" i="14835"/>
  <c r="BE165" i="14835" s="1"/>
  <c r="BE166" i="14835" s="1"/>
  <c r="BE143" i="14835"/>
  <c r="BF143" i="14835"/>
  <c r="BG143" i="14835"/>
  <c r="BH143" i="14835"/>
  <c r="BI143" i="14835"/>
  <c r="BJ143" i="14835"/>
  <c r="BK143" i="14835"/>
  <c r="BL143" i="14835"/>
  <c r="BM143" i="14835"/>
  <c r="BN143" i="14835"/>
  <c r="BO143" i="14835"/>
  <c r="BP143" i="14835"/>
  <c r="BQ143" i="14835"/>
  <c r="BR143" i="14835"/>
  <c r="BS143" i="14835"/>
  <c r="BT143" i="14835"/>
  <c r="BU143" i="14835"/>
  <c r="BV143" i="14835"/>
  <c r="BW143" i="14835"/>
  <c r="BX143" i="14835"/>
  <c r="BY143" i="14835"/>
  <c r="AE21" i="14835"/>
  <c r="BE115" i="14835" s="1"/>
  <c r="BF144" i="14835"/>
  <c r="AG27" i="14835"/>
  <c r="BG165" i="14835" s="1"/>
  <c r="AH21" i="14835"/>
  <c r="AH27" i="14835"/>
  <c r="BH165" i="14835" s="1"/>
  <c r="BH166" i="14835" s="1"/>
  <c r="AI21" i="14835"/>
  <c r="CH13" i="14835" s="1"/>
  <c r="AI27" i="14835"/>
  <c r="BI165" i="14835" s="1"/>
  <c r="AJ21" i="14835"/>
  <c r="CI13" i="14835" s="1"/>
  <c r="AJ27" i="14835"/>
  <c r="AK21" i="14835"/>
  <c r="CJ13" i="14835" s="1"/>
  <c r="AL21" i="14835"/>
  <c r="CK13" i="14835" s="1"/>
  <c r="AM21" i="14835"/>
  <c r="CL13" i="14835" s="1"/>
  <c r="AM27" i="14835"/>
  <c r="BM165" i="14835" s="1"/>
  <c r="BM166" i="14835" s="1"/>
  <c r="AN21" i="14835"/>
  <c r="AN27" i="14835"/>
  <c r="BN165" i="14835" s="1"/>
  <c r="AO21" i="14835"/>
  <c r="CN13" i="14835" s="1"/>
  <c r="AO27" i="14835"/>
  <c r="BO165" i="14835" s="1"/>
  <c r="BO166" i="14835" s="1"/>
  <c r="AP21" i="14835"/>
  <c r="CO13" i="14835" s="1"/>
  <c r="AP27" i="14835"/>
  <c r="CO7" i="14835" s="1"/>
  <c r="AQ21" i="14835"/>
  <c r="CP13" i="14835" s="1"/>
  <c r="AQ27" i="14835"/>
  <c r="BQ165" i="14835" s="1"/>
  <c r="BQ166" i="14835" s="1"/>
  <c r="AR21" i="14835"/>
  <c r="CQ13" i="14835" s="1"/>
  <c r="AR27" i="14835"/>
  <c r="BR165" i="14835" s="1"/>
  <c r="AS21" i="14835"/>
  <c r="CR13" i="14835" s="1"/>
  <c r="AS27" i="14835"/>
  <c r="BS165" i="14835" s="1"/>
  <c r="BS166" i="14835" s="1"/>
  <c r="AV21" i="14835"/>
  <c r="CU13" i="14835" s="1"/>
  <c r="AV27" i="14835"/>
  <c r="AW21" i="14835"/>
  <c r="CV13" i="14835" s="1"/>
  <c r="AW27" i="14835"/>
  <c r="CV7" i="14835" s="1"/>
  <c r="AW31" i="14835"/>
  <c r="AX21" i="14835"/>
  <c r="CW13" i="14835" s="1"/>
  <c r="AX27" i="14835"/>
  <c r="CW7" i="14835" s="1"/>
  <c r="AX31" i="14835"/>
  <c r="AY21" i="14835"/>
  <c r="CX13" i="14835" s="1"/>
  <c r="AY27" i="14835"/>
  <c r="BY165" i="14835" s="1"/>
  <c r="AF27" i="14835"/>
  <c r="AK27" i="14835"/>
  <c r="CJ7" i="14835" s="1"/>
  <c r="AL27" i="14835"/>
  <c r="CK7" i="14835" s="1"/>
  <c r="AT27" i="14835"/>
  <c r="AU27" i="14835"/>
  <c r="CT7" i="14835" s="1"/>
  <c r="BW145" i="14835"/>
  <c r="BX145" i="14835"/>
  <c r="AE14" i="14835"/>
  <c r="AU21" i="14835"/>
  <c r="CT13" i="14835" s="1"/>
  <c r="AT21" i="14835"/>
  <c r="BT115" i="14835" s="1"/>
  <c r="AG21" i="14835"/>
  <c r="BG115" i="14835" s="1"/>
  <c r="AF21" i="14835"/>
  <c r="AE22" i="14835"/>
  <c r="AE20" i="14835"/>
  <c r="BE116" i="14835" s="1"/>
  <c r="J19" i="14836"/>
  <c r="G19" i="14836"/>
  <c r="D19" i="14836"/>
  <c r="GZ12" i="14835"/>
  <c r="HA12" i="14835"/>
  <c r="HB12" i="14835"/>
  <c r="HC12" i="14835"/>
  <c r="HD12" i="14835"/>
  <c r="HE12" i="14835"/>
  <c r="HF12" i="14835"/>
  <c r="HG12" i="14835"/>
  <c r="HH12" i="14835"/>
  <c r="HI12" i="14835"/>
  <c r="HJ12" i="14835"/>
  <c r="HK12" i="14835"/>
  <c r="HL12" i="14835"/>
  <c r="HM12" i="14835"/>
  <c r="HN12" i="14835"/>
  <c r="HO12" i="14835"/>
  <c r="HP12" i="14835"/>
  <c r="HQ12" i="14835"/>
  <c r="HR12" i="14835"/>
  <c r="HS12" i="14835"/>
  <c r="GY12" i="14835"/>
  <c r="M6" i="14809"/>
  <c r="N6" i="14809"/>
  <c r="P6" i="14809"/>
  <c r="Q6" i="14809"/>
  <c r="S6" i="14809"/>
  <c r="T6" i="14809"/>
  <c r="V6" i="14809"/>
  <c r="W6" i="14809"/>
  <c r="AC6" i="14809"/>
  <c r="AG6" i="14809"/>
  <c r="AI6" i="14809"/>
  <c r="AS6" i="14809"/>
  <c r="AZ6" i="14809"/>
  <c r="BA6" i="14809"/>
  <c r="BC6" i="14809"/>
  <c r="BD6" i="14809"/>
  <c r="BF6" i="14809"/>
  <c r="BG6" i="14809"/>
  <c r="BI6" i="14809"/>
  <c r="BJ6" i="14809"/>
  <c r="BY6" i="14809"/>
  <c r="CC6" i="14809"/>
  <c r="CE6" i="14809"/>
  <c r="CG6" i="14809"/>
  <c r="CH6" i="14809"/>
  <c r="CM6" i="14809"/>
  <c r="CN6" i="14809"/>
  <c r="CP6" i="14809"/>
  <c r="CQ6" i="14809"/>
  <c r="CU6" i="14809"/>
  <c r="CV6" i="14809"/>
  <c r="DD6" i="14809"/>
  <c r="DE6" i="14809"/>
  <c r="DF6" i="14809"/>
  <c r="DH6" i="14809"/>
  <c r="BZ10" i="14809"/>
  <c r="CB10" i="14809" s="1"/>
  <c r="AZ11" i="14835"/>
  <c r="HS10" i="14835"/>
  <c r="AY11" i="14835"/>
  <c r="AY49" i="14835" s="1"/>
  <c r="HR10" i="14835"/>
  <c r="AX11" i="14835"/>
  <c r="AX49" i="14835" s="1"/>
  <c r="HQ10" i="14835"/>
  <c r="AW11" i="14835"/>
  <c r="AW49" i="14835" s="1"/>
  <c r="HP10" i="14835"/>
  <c r="AV11" i="14835"/>
  <c r="AV49" i="14835" s="1"/>
  <c r="HO10" i="14835"/>
  <c r="AS11" i="14835"/>
  <c r="AS49" i="14835" s="1"/>
  <c r="AU11" i="14835"/>
  <c r="AT11" i="14835"/>
  <c r="HL10" i="14835"/>
  <c r="AR11" i="14835"/>
  <c r="AR49" i="14835" s="1"/>
  <c r="HK10" i="14835"/>
  <c r="AQ11" i="14835"/>
  <c r="AQ49" i="14835" s="1"/>
  <c r="HJ10" i="14835"/>
  <c r="AM11" i="14835"/>
  <c r="AM49" i="14835" s="1"/>
  <c r="AP11" i="14835"/>
  <c r="AO11" i="14835"/>
  <c r="AN11" i="14835"/>
  <c r="HF10" i="14835"/>
  <c r="AL11" i="14835"/>
  <c r="AL49" i="14835" s="1"/>
  <c r="HE10" i="14835"/>
  <c r="AJ11" i="14835"/>
  <c r="AJ49" i="14835" s="1"/>
  <c r="AK11" i="14835"/>
  <c r="HC10" i="14835"/>
  <c r="AI11" i="14835"/>
  <c r="AI49" i="14835" s="1"/>
  <c r="HB10" i="14835"/>
  <c r="HA10" i="14835"/>
  <c r="AG11" i="14835"/>
  <c r="AE11" i="14835"/>
  <c r="I7" i="14826"/>
  <c r="I8" i="14826"/>
  <c r="I9" i="14826"/>
  <c r="I10" i="14826"/>
  <c r="I11" i="14826"/>
  <c r="I12" i="14826"/>
  <c r="I13" i="14826"/>
  <c r="I14" i="14826"/>
  <c r="I15" i="14826"/>
  <c r="I16" i="14826"/>
  <c r="I17" i="14826"/>
  <c r="I18" i="14826"/>
  <c r="I19" i="14826"/>
  <c r="I20" i="14826"/>
  <c r="I21" i="14826"/>
  <c r="I22" i="14826"/>
  <c r="I23" i="14826"/>
  <c r="I24" i="14826"/>
  <c r="I25" i="14826"/>
  <c r="I26" i="14826"/>
  <c r="I27" i="14826"/>
  <c r="I28" i="14826"/>
  <c r="I29" i="14826"/>
  <c r="I30" i="14826"/>
  <c r="I31" i="14826"/>
  <c r="I32" i="14826"/>
  <c r="I33" i="14826"/>
  <c r="I34" i="14826"/>
  <c r="I35" i="14826"/>
  <c r="I36" i="14826"/>
  <c r="I37" i="14826"/>
  <c r="I38" i="14826"/>
  <c r="I39" i="14826"/>
  <c r="I40" i="14826"/>
  <c r="I41" i="14826"/>
  <c r="I42" i="14826"/>
  <c r="I43" i="14826"/>
  <c r="I44" i="14826"/>
  <c r="I45" i="14826"/>
  <c r="I46" i="14826"/>
  <c r="I47" i="14826"/>
  <c r="I48" i="14826"/>
  <c r="I49" i="14826"/>
  <c r="I50" i="14826"/>
  <c r="I51" i="14826"/>
  <c r="CD5" i="14835"/>
  <c r="CD11" i="14835" s="1"/>
  <c r="CX5" i="14835"/>
  <c r="CX11" i="14835" s="1"/>
  <c r="CW5" i="14835"/>
  <c r="CW11" i="14835" s="1"/>
  <c r="CV5" i="14835"/>
  <c r="CV11" i="14835" s="1"/>
  <c r="CU5" i="14835"/>
  <c r="CU11" i="14835" s="1"/>
  <c r="CT5" i="14835"/>
  <c r="CT11" i="14835" s="1"/>
  <c r="CS5" i="14835"/>
  <c r="CS11" i="14835" s="1"/>
  <c r="CR5" i="14835"/>
  <c r="CR11" i="14835" s="1"/>
  <c r="CQ5" i="14835"/>
  <c r="CQ11" i="14835" s="1"/>
  <c r="CP5" i="14835"/>
  <c r="CP11" i="14835" s="1"/>
  <c r="CO5" i="14835"/>
  <c r="CO11" i="14835" s="1"/>
  <c r="CN5" i="14835"/>
  <c r="CN11" i="14835" s="1"/>
  <c r="CM5" i="14835"/>
  <c r="CM11" i="14835" s="1"/>
  <c r="CL5" i="14835"/>
  <c r="CL11" i="14835" s="1"/>
  <c r="CK11" i="14835"/>
  <c r="CJ11" i="14835"/>
  <c r="CI5" i="14835"/>
  <c r="CI11" i="14835" s="1"/>
  <c r="CH5" i="14835"/>
  <c r="CH11" i="14835" s="1"/>
  <c r="CG5" i="14835"/>
  <c r="CG11" i="14835" s="1"/>
  <c r="BF116" i="14835"/>
  <c r="BG116" i="14835"/>
  <c r="AH20" i="14835"/>
  <c r="BH116" i="14835" s="1"/>
  <c r="AI20" i="14835"/>
  <c r="BI116" i="14835" s="1"/>
  <c r="AJ20" i="14835"/>
  <c r="BJ116" i="14835" s="1"/>
  <c r="AK20" i="14835"/>
  <c r="BK116" i="14835" s="1"/>
  <c r="AL20" i="14835"/>
  <c r="BL116" i="14835" s="1"/>
  <c r="AM20" i="14835"/>
  <c r="BM116" i="14835" s="1"/>
  <c r="AN20" i="14835"/>
  <c r="BN116" i="14835" s="1"/>
  <c r="AO20" i="14835"/>
  <c r="BO116" i="14835" s="1"/>
  <c r="AP20" i="14835"/>
  <c r="BP116" i="14835" s="1"/>
  <c r="AQ20" i="14835"/>
  <c r="BQ116" i="14835" s="1"/>
  <c r="AR20" i="14835"/>
  <c r="BR116" i="14835" s="1"/>
  <c r="AS20" i="14835"/>
  <c r="BS116" i="14835" s="1"/>
  <c r="AT20" i="14835"/>
  <c r="BT116" i="14835" s="1"/>
  <c r="AU20" i="14835"/>
  <c r="BU116" i="14835" s="1"/>
  <c r="AV20" i="14835"/>
  <c r="BV116" i="14835" s="1"/>
  <c r="AW20" i="14835"/>
  <c r="BW116" i="14835" s="1"/>
  <c r="AX20" i="14835"/>
  <c r="BX116" i="14835" s="1"/>
  <c r="AY20" i="14835"/>
  <c r="BY116" i="14835" s="1"/>
  <c r="H7" i="14826"/>
  <c r="H8" i="14826"/>
  <c r="H9" i="14826"/>
  <c r="H10" i="14826"/>
  <c r="H11" i="14826"/>
  <c r="H12" i="14826"/>
  <c r="H13" i="14826"/>
  <c r="H14" i="14826"/>
  <c r="H15" i="14826"/>
  <c r="H16" i="14826"/>
  <c r="H17" i="14826"/>
  <c r="H18" i="14826"/>
  <c r="H19" i="14826"/>
  <c r="H20" i="14826"/>
  <c r="H21" i="14826"/>
  <c r="H22" i="14826"/>
  <c r="H23" i="14826"/>
  <c r="H24" i="14826"/>
  <c r="H25" i="14826"/>
  <c r="H26" i="14826"/>
  <c r="H27" i="14826"/>
  <c r="H28" i="14826"/>
  <c r="H29" i="14826"/>
  <c r="H30" i="14826"/>
  <c r="H31" i="14826"/>
  <c r="H32" i="14826"/>
  <c r="H33" i="14826"/>
  <c r="H34" i="14826"/>
  <c r="H35" i="14826"/>
  <c r="H36" i="14826"/>
  <c r="H37" i="14826"/>
  <c r="H38" i="14826"/>
  <c r="H39" i="14826"/>
  <c r="H40" i="14826"/>
  <c r="H41" i="14826"/>
  <c r="H42" i="14826"/>
  <c r="H43" i="14826"/>
  <c r="H44" i="14826"/>
  <c r="H45" i="14826"/>
  <c r="H46" i="14826"/>
  <c r="H47" i="14826"/>
  <c r="H48" i="14826"/>
  <c r="H49" i="14826"/>
  <c r="H50" i="14826"/>
  <c r="H51" i="14826"/>
  <c r="AL49" i="14809"/>
  <c r="AL48" i="14809"/>
  <c r="AL47" i="14809"/>
  <c r="AL46" i="14809"/>
  <c r="AL43" i="14809"/>
  <c r="AL42" i="14809"/>
  <c r="AL41" i="14809"/>
  <c r="AL40" i="14809"/>
  <c r="AL39" i="14809"/>
  <c r="AL37" i="14809"/>
  <c r="AL36" i="14809"/>
  <c r="AL35" i="14809"/>
  <c r="AL34" i="14809"/>
  <c r="AL33" i="14809"/>
  <c r="AL32" i="14809"/>
  <c r="AL31" i="14809"/>
  <c r="AL30" i="14809"/>
  <c r="AL29" i="14809"/>
  <c r="AL28" i="14809"/>
  <c r="AL27" i="14809"/>
  <c r="AL26" i="14809"/>
  <c r="AL25" i="14809"/>
  <c r="AL24" i="14809"/>
  <c r="AL23" i="14809"/>
  <c r="AL22" i="14809"/>
  <c r="AL21" i="14809"/>
  <c r="AL20" i="14809"/>
  <c r="AL19" i="14809"/>
  <c r="AL18" i="14809"/>
  <c r="AL17" i="14809"/>
  <c r="AL16" i="14809"/>
  <c r="AL15" i="14809"/>
  <c r="AL14" i="14809"/>
  <c r="AL13" i="14809"/>
  <c r="AL12" i="14809"/>
  <c r="AL11" i="14809"/>
  <c r="AL10" i="14809"/>
  <c r="AL9" i="14809"/>
  <c r="DO6" i="14809"/>
  <c r="FL6" i="14809"/>
  <c r="GE10" i="14809"/>
  <c r="BE10" i="14809"/>
  <c r="G392" i="14814"/>
  <c r="F158" i="14829"/>
  <c r="F135" i="14829"/>
  <c r="C10" i="14809" s="1"/>
  <c r="C7" i="14826"/>
  <c r="C8" i="14826"/>
  <c r="C9" i="14826"/>
  <c r="C10" i="14826"/>
  <c r="C11" i="14826"/>
  <c r="C12" i="14826"/>
  <c r="C13" i="14826"/>
  <c r="C14" i="14826"/>
  <c r="C15" i="14826"/>
  <c r="C16" i="14826"/>
  <c r="C17" i="14826"/>
  <c r="C18" i="14826"/>
  <c r="C19" i="14826"/>
  <c r="C20" i="14826"/>
  <c r="C21" i="14826"/>
  <c r="C22" i="14826"/>
  <c r="C23" i="14826"/>
  <c r="C24" i="14826"/>
  <c r="C25" i="14826"/>
  <c r="C26" i="14826"/>
  <c r="C27" i="14826"/>
  <c r="C28" i="14826"/>
  <c r="C29" i="14826"/>
  <c r="C30" i="14826"/>
  <c r="C31" i="14826"/>
  <c r="C32" i="14826"/>
  <c r="C33" i="14826"/>
  <c r="C34" i="14826"/>
  <c r="C35" i="14826"/>
  <c r="C36" i="14826"/>
  <c r="C37" i="14826"/>
  <c r="C38" i="14826"/>
  <c r="C39" i="14826"/>
  <c r="C40" i="14826"/>
  <c r="C41" i="14826"/>
  <c r="C42" i="14826"/>
  <c r="C43" i="14826"/>
  <c r="C44" i="14826"/>
  <c r="C45" i="14826"/>
  <c r="C46" i="14826"/>
  <c r="C47" i="14826"/>
  <c r="C48" i="14826"/>
  <c r="C49" i="14826"/>
  <c r="C50" i="14826"/>
  <c r="C51" i="14826"/>
  <c r="E7" i="14826"/>
  <c r="E8" i="14826"/>
  <c r="E9" i="14826"/>
  <c r="E10" i="14826"/>
  <c r="E11" i="14826"/>
  <c r="E12" i="14826"/>
  <c r="E13" i="14826"/>
  <c r="E14" i="14826"/>
  <c r="E15" i="14826"/>
  <c r="E16" i="14826"/>
  <c r="E17" i="14826"/>
  <c r="E18" i="14826"/>
  <c r="E19" i="14826"/>
  <c r="E20" i="14826"/>
  <c r="E21" i="14826"/>
  <c r="E22" i="14826"/>
  <c r="E23" i="14826"/>
  <c r="E24" i="14826"/>
  <c r="E25" i="14826"/>
  <c r="E26" i="14826"/>
  <c r="E27" i="14826"/>
  <c r="E28" i="14826"/>
  <c r="E29" i="14826"/>
  <c r="E30" i="14826"/>
  <c r="E31" i="14826"/>
  <c r="E32" i="14826"/>
  <c r="E33" i="14826"/>
  <c r="E34" i="14826"/>
  <c r="E35" i="14826"/>
  <c r="E36" i="14826"/>
  <c r="E37" i="14826"/>
  <c r="E38" i="14826"/>
  <c r="E39" i="14826"/>
  <c r="E40" i="14826"/>
  <c r="E41" i="14826"/>
  <c r="E42" i="14826"/>
  <c r="E43" i="14826"/>
  <c r="E44" i="14826"/>
  <c r="E45" i="14826"/>
  <c r="E46" i="14826"/>
  <c r="E47" i="14826"/>
  <c r="E48" i="14826"/>
  <c r="E49" i="14826"/>
  <c r="E50" i="14826"/>
  <c r="E51" i="14826"/>
  <c r="F7" i="14826"/>
  <c r="F8" i="14826"/>
  <c r="F9" i="14826"/>
  <c r="F10" i="14826"/>
  <c r="F11" i="14826"/>
  <c r="F12" i="14826"/>
  <c r="F13" i="14826"/>
  <c r="F14" i="14826"/>
  <c r="F15" i="14826"/>
  <c r="F16" i="14826"/>
  <c r="F17" i="14826"/>
  <c r="F18" i="14826"/>
  <c r="F19" i="14826"/>
  <c r="F20" i="14826"/>
  <c r="F21" i="14826"/>
  <c r="F22" i="14826"/>
  <c r="F23" i="14826"/>
  <c r="F24" i="14826"/>
  <c r="F25" i="14826"/>
  <c r="F26" i="14826"/>
  <c r="F27" i="14826"/>
  <c r="F28" i="14826"/>
  <c r="F29" i="14826"/>
  <c r="F30" i="14826"/>
  <c r="F31" i="14826"/>
  <c r="F32" i="14826"/>
  <c r="F33" i="14826"/>
  <c r="F34" i="14826"/>
  <c r="F35" i="14826"/>
  <c r="F36" i="14826"/>
  <c r="F37" i="14826"/>
  <c r="F38" i="14826"/>
  <c r="F39" i="14826"/>
  <c r="F40" i="14826"/>
  <c r="F41" i="14826"/>
  <c r="F42" i="14826"/>
  <c r="F43" i="14826"/>
  <c r="F44" i="14826"/>
  <c r="F45" i="14826"/>
  <c r="F46" i="14826"/>
  <c r="F47" i="14826"/>
  <c r="F48" i="14826"/>
  <c r="F49" i="14826"/>
  <c r="F50" i="14826"/>
  <c r="F51" i="14826"/>
  <c r="DM10" i="14835"/>
  <c r="DI10" i="14835"/>
  <c r="AW35" i="14835"/>
  <c r="AY35" i="14835"/>
  <c r="AX35" i="14835"/>
  <c r="AV35" i="14835"/>
  <c r="AS35" i="14835"/>
  <c r="AR35" i="14835"/>
  <c r="AQ35" i="14835"/>
  <c r="AM35" i="14835"/>
  <c r="AJ35" i="14835"/>
  <c r="AI35" i="14835"/>
  <c r="AH35" i="14835"/>
  <c r="T7" i="14826"/>
  <c r="T8" i="14826"/>
  <c r="T9" i="14826"/>
  <c r="T10" i="14826"/>
  <c r="T11" i="14826"/>
  <c r="T12" i="14826"/>
  <c r="T13" i="14826"/>
  <c r="T14" i="14826"/>
  <c r="T15" i="14826"/>
  <c r="T16" i="14826"/>
  <c r="T17" i="14826"/>
  <c r="T18" i="14826"/>
  <c r="T19" i="14826"/>
  <c r="T20" i="14826"/>
  <c r="T21" i="14826"/>
  <c r="T22" i="14826"/>
  <c r="T23" i="14826"/>
  <c r="T24" i="14826"/>
  <c r="T25" i="14826"/>
  <c r="T26" i="14826"/>
  <c r="T27" i="14826"/>
  <c r="T28" i="14826"/>
  <c r="T29" i="14826"/>
  <c r="T30" i="14826"/>
  <c r="T31" i="14826"/>
  <c r="T32" i="14826"/>
  <c r="T33" i="14826"/>
  <c r="T34" i="14826"/>
  <c r="T35" i="14826"/>
  <c r="T36" i="14826"/>
  <c r="T37" i="14826"/>
  <c r="T38" i="14826"/>
  <c r="T39" i="14826"/>
  <c r="T40" i="14826"/>
  <c r="T41" i="14826"/>
  <c r="T42" i="14826"/>
  <c r="T43" i="14826"/>
  <c r="T44" i="14826"/>
  <c r="T45" i="14826"/>
  <c r="T46" i="14826"/>
  <c r="T47" i="14826"/>
  <c r="T48" i="14826"/>
  <c r="T49" i="14826"/>
  <c r="T50" i="14826"/>
  <c r="T51" i="14826"/>
  <c r="Y7" i="14826"/>
  <c r="Y8" i="14826"/>
  <c r="Y9" i="14826"/>
  <c r="Y10" i="14826"/>
  <c r="Y11" i="14826"/>
  <c r="Y12" i="14826"/>
  <c r="Y13" i="14826"/>
  <c r="Y14" i="14826"/>
  <c r="Y15" i="14826"/>
  <c r="Y16" i="14826"/>
  <c r="Y17" i="14826"/>
  <c r="Y18" i="14826"/>
  <c r="Y19" i="14826"/>
  <c r="Y20" i="14826"/>
  <c r="Y21" i="14826"/>
  <c r="Y22" i="14826"/>
  <c r="Y23" i="14826"/>
  <c r="Y24" i="14826"/>
  <c r="Y25" i="14826"/>
  <c r="Y26" i="14826"/>
  <c r="Y27" i="14826"/>
  <c r="Y28" i="14826"/>
  <c r="Y29" i="14826"/>
  <c r="Y30" i="14826"/>
  <c r="Y31" i="14826"/>
  <c r="Y32" i="14826"/>
  <c r="Y33" i="14826"/>
  <c r="Y34" i="14826"/>
  <c r="Y35" i="14826"/>
  <c r="Y36" i="14826"/>
  <c r="Y37" i="14826"/>
  <c r="Y38" i="14826"/>
  <c r="Y39" i="14826"/>
  <c r="Y40" i="14826"/>
  <c r="Y41" i="14826"/>
  <c r="Y42" i="14826"/>
  <c r="Y43" i="14826"/>
  <c r="Y44" i="14826"/>
  <c r="Y45" i="14826"/>
  <c r="Y46" i="14826"/>
  <c r="Y47" i="14826"/>
  <c r="Y48" i="14826"/>
  <c r="Y49" i="14826"/>
  <c r="Y50" i="14826"/>
  <c r="Y51" i="14826"/>
  <c r="X7" i="14826"/>
  <c r="X8" i="14826"/>
  <c r="X9" i="14826"/>
  <c r="X10" i="14826"/>
  <c r="X11" i="14826"/>
  <c r="X12" i="14826"/>
  <c r="X13" i="14826"/>
  <c r="X14" i="14826"/>
  <c r="X15" i="14826"/>
  <c r="X16" i="14826"/>
  <c r="X17" i="14826"/>
  <c r="X18" i="14826"/>
  <c r="X19" i="14826"/>
  <c r="X20" i="14826"/>
  <c r="X21" i="14826"/>
  <c r="X22" i="14826"/>
  <c r="X23" i="14826"/>
  <c r="X24" i="14826"/>
  <c r="X25" i="14826"/>
  <c r="X26" i="14826"/>
  <c r="X27" i="14826"/>
  <c r="X28" i="14826"/>
  <c r="X29" i="14826"/>
  <c r="X30" i="14826"/>
  <c r="X31" i="14826"/>
  <c r="X32" i="14826"/>
  <c r="X33" i="14826"/>
  <c r="X34" i="14826"/>
  <c r="X35" i="14826"/>
  <c r="X36" i="14826"/>
  <c r="X37" i="14826"/>
  <c r="X38" i="14826"/>
  <c r="X39" i="14826"/>
  <c r="X40" i="14826"/>
  <c r="X41" i="14826"/>
  <c r="X42" i="14826"/>
  <c r="X43" i="14826"/>
  <c r="X44" i="14826"/>
  <c r="X45" i="14826"/>
  <c r="X46" i="14826"/>
  <c r="X47" i="14826"/>
  <c r="X48" i="14826"/>
  <c r="X49" i="14826"/>
  <c r="X50" i="14826"/>
  <c r="X51" i="14826"/>
  <c r="W7" i="14826"/>
  <c r="W8" i="14826"/>
  <c r="W9" i="14826"/>
  <c r="W10" i="14826"/>
  <c r="W11" i="14826"/>
  <c r="W12" i="14826"/>
  <c r="W13" i="14826"/>
  <c r="W14" i="14826"/>
  <c r="W15" i="14826"/>
  <c r="W16" i="14826"/>
  <c r="W17" i="14826"/>
  <c r="W18" i="14826"/>
  <c r="W19" i="14826"/>
  <c r="W20" i="14826"/>
  <c r="W21" i="14826"/>
  <c r="W22" i="14826"/>
  <c r="W23" i="14826"/>
  <c r="W24" i="14826"/>
  <c r="W25" i="14826"/>
  <c r="W26" i="14826"/>
  <c r="W27" i="14826"/>
  <c r="W28" i="14826"/>
  <c r="W29" i="14826"/>
  <c r="W30" i="14826"/>
  <c r="W31" i="14826"/>
  <c r="W32" i="14826"/>
  <c r="W33" i="14826"/>
  <c r="W34" i="14826"/>
  <c r="W35" i="14826"/>
  <c r="W36" i="14826"/>
  <c r="W37" i="14826"/>
  <c r="W38" i="14826"/>
  <c r="W39" i="14826"/>
  <c r="W40" i="14826"/>
  <c r="W41" i="14826"/>
  <c r="W42" i="14826"/>
  <c r="W43" i="14826"/>
  <c r="W44" i="14826"/>
  <c r="W45" i="14826"/>
  <c r="W46" i="14826"/>
  <c r="W47" i="14826"/>
  <c r="W48" i="14826"/>
  <c r="W49" i="14826"/>
  <c r="W50" i="14826"/>
  <c r="W51" i="14826"/>
  <c r="V7" i="14826"/>
  <c r="V8" i="14826"/>
  <c r="V9" i="14826"/>
  <c r="V10" i="14826"/>
  <c r="V11" i="14826"/>
  <c r="V12" i="14826"/>
  <c r="V13" i="14826"/>
  <c r="V14" i="14826"/>
  <c r="V15" i="14826"/>
  <c r="V16" i="14826"/>
  <c r="V17" i="14826"/>
  <c r="V18" i="14826"/>
  <c r="V19" i="14826"/>
  <c r="V20" i="14826"/>
  <c r="V21" i="14826"/>
  <c r="V22" i="14826"/>
  <c r="V23" i="14826"/>
  <c r="V24" i="14826"/>
  <c r="V25" i="14826"/>
  <c r="V26" i="14826"/>
  <c r="V27" i="14826"/>
  <c r="V28" i="14826"/>
  <c r="V29" i="14826"/>
  <c r="V30" i="14826"/>
  <c r="V31" i="14826"/>
  <c r="V32" i="14826"/>
  <c r="V33" i="14826"/>
  <c r="V34" i="14826"/>
  <c r="V35" i="14826"/>
  <c r="V36" i="14826"/>
  <c r="V37" i="14826"/>
  <c r="V38" i="14826"/>
  <c r="V39" i="14826"/>
  <c r="V40" i="14826"/>
  <c r="V41" i="14826"/>
  <c r="V42" i="14826"/>
  <c r="V43" i="14826"/>
  <c r="V44" i="14826"/>
  <c r="V45" i="14826"/>
  <c r="V46" i="14826"/>
  <c r="V47" i="14826"/>
  <c r="V48" i="14826"/>
  <c r="V49" i="14826"/>
  <c r="V50" i="14826"/>
  <c r="V51" i="14826"/>
  <c r="U7" i="14826"/>
  <c r="U8" i="14826"/>
  <c r="U9" i="14826"/>
  <c r="U10" i="14826"/>
  <c r="U11" i="14826"/>
  <c r="U12" i="14826"/>
  <c r="U13" i="14826"/>
  <c r="U14" i="14826"/>
  <c r="U15" i="14826"/>
  <c r="U16" i="14826"/>
  <c r="U17" i="14826"/>
  <c r="U18" i="14826"/>
  <c r="U19" i="14826"/>
  <c r="U20" i="14826"/>
  <c r="U21" i="14826"/>
  <c r="U22" i="14826"/>
  <c r="U23" i="14826"/>
  <c r="U24" i="14826"/>
  <c r="U25" i="14826"/>
  <c r="U26" i="14826"/>
  <c r="U27" i="14826"/>
  <c r="U28" i="14826"/>
  <c r="U29" i="14826"/>
  <c r="U30" i="14826"/>
  <c r="U31" i="14826"/>
  <c r="U32" i="14826"/>
  <c r="U33" i="14826"/>
  <c r="U34" i="14826"/>
  <c r="U35" i="14826"/>
  <c r="U36" i="14826"/>
  <c r="U37" i="14826"/>
  <c r="U38" i="14826"/>
  <c r="U39" i="14826"/>
  <c r="U40" i="14826"/>
  <c r="U41" i="14826"/>
  <c r="U42" i="14826"/>
  <c r="U43" i="14826"/>
  <c r="U44" i="14826"/>
  <c r="U45" i="14826"/>
  <c r="U46" i="14826"/>
  <c r="U47" i="14826"/>
  <c r="U48" i="14826"/>
  <c r="U49" i="14826"/>
  <c r="U50" i="14826"/>
  <c r="U51" i="14826"/>
  <c r="S7" i="14826"/>
  <c r="S8" i="14826"/>
  <c r="S9" i="14826"/>
  <c r="S10" i="14826"/>
  <c r="S11" i="14826"/>
  <c r="S12" i="14826"/>
  <c r="S13" i="14826"/>
  <c r="S14" i="14826"/>
  <c r="S15" i="14826"/>
  <c r="S16" i="14826"/>
  <c r="S17" i="14826"/>
  <c r="S18" i="14826"/>
  <c r="S19" i="14826"/>
  <c r="S20" i="14826"/>
  <c r="S21" i="14826"/>
  <c r="S22" i="14826"/>
  <c r="S23" i="14826"/>
  <c r="S24" i="14826"/>
  <c r="S25" i="14826"/>
  <c r="S26" i="14826"/>
  <c r="S27" i="14826"/>
  <c r="S28" i="14826"/>
  <c r="S29" i="14826"/>
  <c r="S30" i="14826"/>
  <c r="S31" i="14826"/>
  <c r="S32" i="14826"/>
  <c r="S33" i="14826"/>
  <c r="S34" i="14826"/>
  <c r="S35" i="14826"/>
  <c r="S36" i="14826"/>
  <c r="S37" i="14826"/>
  <c r="S38" i="14826"/>
  <c r="S39" i="14826"/>
  <c r="S40" i="14826"/>
  <c r="S41" i="14826"/>
  <c r="S42" i="14826"/>
  <c r="S43" i="14826"/>
  <c r="S44" i="14826"/>
  <c r="S45" i="14826"/>
  <c r="S46" i="14826"/>
  <c r="S47" i="14826"/>
  <c r="S48" i="14826"/>
  <c r="S49" i="14826"/>
  <c r="S50" i="14826"/>
  <c r="S51" i="14826"/>
  <c r="AG63" i="14835"/>
  <c r="AH63" i="14835"/>
  <c r="AI63" i="14835"/>
  <c r="AJ63" i="14835"/>
  <c r="AK63" i="14835"/>
  <c r="AL63" i="14835"/>
  <c r="AM63" i="14835"/>
  <c r="AO63" i="14835"/>
  <c r="AQ63" i="14835"/>
  <c r="AR63" i="14835"/>
  <c r="AS63" i="14835"/>
  <c r="AU63" i="14835"/>
  <c r="AV63" i="14835"/>
  <c r="AW63" i="14835"/>
  <c r="AX63" i="14835"/>
  <c r="AY63" i="14835"/>
  <c r="AF1" i="14835"/>
  <c r="AF54" i="14835" s="1"/>
  <c r="AG1" i="14835"/>
  <c r="AG54" i="14835" s="1"/>
  <c r="AH1" i="14835"/>
  <c r="AI1" i="14835"/>
  <c r="AI54" i="14835" s="1"/>
  <c r="AJ1" i="14835"/>
  <c r="AK1" i="14835"/>
  <c r="AK54" i="14835" s="1"/>
  <c r="AL1" i="14835"/>
  <c r="AL54" i="14835" s="1"/>
  <c r="AM1" i="14835"/>
  <c r="AM54" i="14835" s="1"/>
  <c r="AN1" i="14835"/>
  <c r="AN54" i="14835" s="1"/>
  <c r="AO1" i="14835"/>
  <c r="AO54" i="14835" s="1"/>
  <c r="AP1" i="14835"/>
  <c r="AP54" i="14835" s="1"/>
  <c r="AQ1" i="14835"/>
  <c r="AR1" i="14835"/>
  <c r="AR54" i="14835" s="1"/>
  <c r="AS1" i="14835"/>
  <c r="AT1" i="14835"/>
  <c r="AT54" i="14835" s="1"/>
  <c r="AU1" i="14835"/>
  <c r="AU54" i="14835" s="1"/>
  <c r="AV1" i="14835"/>
  <c r="AV54" i="14835" s="1"/>
  <c r="AW1" i="14835"/>
  <c r="AX1" i="14835"/>
  <c r="AX54" i="14835" s="1"/>
  <c r="AY1" i="14835"/>
  <c r="AE1" i="14835"/>
  <c r="AE54" i="14835" s="1"/>
  <c r="D7" i="14826"/>
  <c r="D8" i="14826"/>
  <c r="D9" i="14826"/>
  <c r="D10" i="14826"/>
  <c r="D11" i="14826"/>
  <c r="D12" i="14826"/>
  <c r="D13" i="14826"/>
  <c r="D14" i="14826"/>
  <c r="D15" i="14826"/>
  <c r="D16" i="14826"/>
  <c r="D17" i="14826"/>
  <c r="D18" i="14826"/>
  <c r="D19" i="14826"/>
  <c r="D20" i="14826"/>
  <c r="D21" i="14826"/>
  <c r="D22" i="14826"/>
  <c r="D23" i="14826"/>
  <c r="D24" i="14826"/>
  <c r="D25" i="14826"/>
  <c r="D26" i="14826"/>
  <c r="D27" i="14826"/>
  <c r="D28" i="14826"/>
  <c r="D29" i="14826"/>
  <c r="D30" i="14826"/>
  <c r="D31" i="14826"/>
  <c r="D32" i="14826"/>
  <c r="D33" i="14826"/>
  <c r="D34" i="14826"/>
  <c r="D35" i="14826"/>
  <c r="D36" i="14826"/>
  <c r="D37" i="14826"/>
  <c r="D38" i="14826"/>
  <c r="D39" i="14826"/>
  <c r="D40" i="14826"/>
  <c r="D41" i="14826"/>
  <c r="D42" i="14826"/>
  <c r="D43" i="14826"/>
  <c r="D44" i="14826"/>
  <c r="D45" i="14826"/>
  <c r="D46" i="14826"/>
  <c r="D47" i="14826"/>
  <c r="D48" i="14826"/>
  <c r="D49" i="14826"/>
  <c r="D50" i="14826"/>
  <c r="D51" i="14826"/>
  <c r="G7" i="14826"/>
  <c r="G8" i="14826"/>
  <c r="G9" i="14826"/>
  <c r="G10" i="14826"/>
  <c r="G11" i="14826"/>
  <c r="G12" i="14826"/>
  <c r="G13" i="14826"/>
  <c r="G14" i="14826"/>
  <c r="G15" i="14826"/>
  <c r="G16" i="14826"/>
  <c r="G17" i="14826"/>
  <c r="G18" i="14826"/>
  <c r="G19" i="14826"/>
  <c r="G20" i="14826"/>
  <c r="G21" i="14826"/>
  <c r="G22" i="14826"/>
  <c r="G23" i="14826"/>
  <c r="G24" i="14826"/>
  <c r="G25" i="14826"/>
  <c r="G26" i="14826"/>
  <c r="G27" i="14826"/>
  <c r="G28" i="14826"/>
  <c r="G29" i="14826"/>
  <c r="G30" i="14826"/>
  <c r="G31" i="14826"/>
  <c r="G32" i="14826"/>
  <c r="G33" i="14826"/>
  <c r="G34" i="14826"/>
  <c r="G35" i="14826"/>
  <c r="G36" i="14826"/>
  <c r="G37" i="14826"/>
  <c r="G38" i="14826"/>
  <c r="G39" i="14826"/>
  <c r="G40" i="14826"/>
  <c r="G41" i="14826"/>
  <c r="G42" i="14826"/>
  <c r="G43" i="14826"/>
  <c r="G44" i="14826"/>
  <c r="G45" i="14826"/>
  <c r="G46" i="14826"/>
  <c r="G47" i="14826"/>
  <c r="G48" i="14826"/>
  <c r="G49" i="14826"/>
  <c r="G50" i="14826"/>
  <c r="G51" i="14826"/>
  <c r="L7" i="14826"/>
  <c r="L8" i="14826"/>
  <c r="L9" i="14826"/>
  <c r="L10" i="14826"/>
  <c r="L11" i="14826"/>
  <c r="L12" i="14826"/>
  <c r="L13" i="14826"/>
  <c r="L14" i="14826"/>
  <c r="L15" i="14826"/>
  <c r="L16" i="14826"/>
  <c r="L17" i="14826"/>
  <c r="L18" i="14826"/>
  <c r="L19" i="14826"/>
  <c r="L20" i="14826"/>
  <c r="L21" i="14826"/>
  <c r="L22" i="14826"/>
  <c r="L23" i="14826"/>
  <c r="L24" i="14826"/>
  <c r="L25" i="14826"/>
  <c r="L26" i="14826"/>
  <c r="L27" i="14826"/>
  <c r="L28" i="14826"/>
  <c r="L29" i="14826"/>
  <c r="L30" i="14826"/>
  <c r="L31" i="14826"/>
  <c r="L32" i="14826"/>
  <c r="L33" i="14826"/>
  <c r="L34" i="14826"/>
  <c r="L35" i="14826"/>
  <c r="L36" i="14826"/>
  <c r="L37" i="14826"/>
  <c r="L38" i="14826"/>
  <c r="L39" i="14826"/>
  <c r="L40" i="14826"/>
  <c r="L41" i="14826"/>
  <c r="L42" i="14826"/>
  <c r="L43" i="14826"/>
  <c r="L44" i="14826"/>
  <c r="L45" i="14826"/>
  <c r="L46" i="14826"/>
  <c r="L47" i="14826"/>
  <c r="L48" i="14826"/>
  <c r="L49" i="14826"/>
  <c r="L50" i="14826"/>
  <c r="L51" i="14826"/>
  <c r="Q7" i="14826"/>
  <c r="Q8" i="14826"/>
  <c r="Q9" i="14826"/>
  <c r="Q10" i="14826"/>
  <c r="Q11" i="14826"/>
  <c r="Q12" i="14826"/>
  <c r="Q13" i="14826"/>
  <c r="Q14" i="14826"/>
  <c r="Q15" i="14826"/>
  <c r="Q16" i="14826"/>
  <c r="Q17" i="14826"/>
  <c r="Q18" i="14826"/>
  <c r="Q19" i="14826"/>
  <c r="Q20" i="14826"/>
  <c r="Q21" i="14826"/>
  <c r="Q22" i="14826"/>
  <c r="Q23" i="14826"/>
  <c r="Q24" i="14826"/>
  <c r="Q25" i="14826"/>
  <c r="Q26" i="14826"/>
  <c r="Q27" i="14826"/>
  <c r="Q28" i="14826"/>
  <c r="Q29" i="14826"/>
  <c r="Q30" i="14826"/>
  <c r="Q31" i="14826"/>
  <c r="Q32" i="14826"/>
  <c r="Q33" i="14826"/>
  <c r="Q34" i="14826"/>
  <c r="Q35" i="14826"/>
  <c r="Q36" i="14826"/>
  <c r="Q37" i="14826"/>
  <c r="Q38" i="14826"/>
  <c r="Q39" i="14826"/>
  <c r="Q40" i="14826"/>
  <c r="Q41" i="14826"/>
  <c r="Q42" i="14826"/>
  <c r="Q43" i="14826"/>
  <c r="Q44" i="14826"/>
  <c r="Q45" i="14826"/>
  <c r="Q46" i="14826"/>
  <c r="Q47" i="14826"/>
  <c r="Q48" i="14826"/>
  <c r="Q49" i="14826"/>
  <c r="Q50" i="14826"/>
  <c r="Q51" i="14826"/>
  <c r="P7" i="14826"/>
  <c r="P8" i="14826"/>
  <c r="P9" i="14826"/>
  <c r="P10" i="14826"/>
  <c r="P11" i="14826"/>
  <c r="P12" i="14826"/>
  <c r="P13" i="14826"/>
  <c r="P14" i="14826"/>
  <c r="P15" i="14826"/>
  <c r="P16" i="14826"/>
  <c r="P17" i="14826"/>
  <c r="P18" i="14826"/>
  <c r="P19" i="14826"/>
  <c r="P20" i="14826"/>
  <c r="P21" i="14826"/>
  <c r="P22" i="14826"/>
  <c r="P23" i="14826"/>
  <c r="P24" i="14826"/>
  <c r="P25" i="14826"/>
  <c r="P26" i="14826"/>
  <c r="P27" i="14826"/>
  <c r="P28" i="14826"/>
  <c r="P29" i="14826"/>
  <c r="P30" i="14826"/>
  <c r="P31" i="14826"/>
  <c r="P32" i="14826"/>
  <c r="P33" i="14826"/>
  <c r="P34" i="14826"/>
  <c r="P35" i="14826"/>
  <c r="P36" i="14826"/>
  <c r="P37" i="14826"/>
  <c r="P38" i="14826"/>
  <c r="P39" i="14826"/>
  <c r="P40" i="14826"/>
  <c r="P41" i="14826"/>
  <c r="P42" i="14826"/>
  <c r="P43" i="14826"/>
  <c r="P44" i="14826"/>
  <c r="P45" i="14826"/>
  <c r="P46" i="14826"/>
  <c r="P47" i="14826"/>
  <c r="P48" i="14826"/>
  <c r="P49" i="14826"/>
  <c r="P50" i="14826"/>
  <c r="P51" i="14826"/>
  <c r="O7" i="14826"/>
  <c r="O8" i="14826"/>
  <c r="O9" i="14826"/>
  <c r="O10" i="14826"/>
  <c r="O11" i="14826"/>
  <c r="O12" i="14826"/>
  <c r="O13" i="14826"/>
  <c r="O14" i="14826"/>
  <c r="O15" i="14826"/>
  <c r="O16" i="14826"/>
  <c r="O17" i="14826"/>
  <c r="O18" i="14826"/>
  <c r="O19" i="14826"/>
  <c r="O20" i="14826"/>
  <c r="O21" i="14826"/>
  <c r="O22" i="14826"/>
  <c r="O23" i="14826"/>
  <c r="O24" i="14826"/>
  <c r="O25" i="14826"/>
  <c r="O26" i="14826"/>
  <c r="O27" i="14826"/>
  <c r="O28" i="14826"/>
  <c r="O29" i="14826"/>
  <c r="O30" i="14826"/>
  <c r="O31" i="14826"/>
  <c r="O32" i="14826"/>
  <c r="O33" i="14826"/>
  <c r="O34" i="14826"/>
  <c r="O35" i="14826"/>
  <c r="O36" i="14826"/>
  <c r="O37" i="14826"/>
  <c r="O38" i="14826"/>
  <c r="O39" i="14826"/>
  <c r="O40" i="14826"/>
  <c r="O41" i="14826"/>
  <c r="O42" i="14826"/>
  <c r="O43" i="14826"/>
  <c r="O44" i="14826"/>
  <c r="O45" i="14826"/>
  <c r="O46" i="14826"/>
  <c r="O47" i="14826"/>
  <c r="O48" i="14826"/>
  <c r="O49" i="14826"/>
  <c r="O50" i="14826"/>
  <c r="O51" i="14826"/>
  <c r="N7" i="14826"/>
  <c r="N8" i="14826"/>
  <c r="N9" i="14826"/>
  <c r="N10" i="14826"/>
  <c r="N11" i="14826"/>
  <c r="N12" i="14826"/>
  <c r="N13" i="14826"/>
  <c r="N14" i="14826"/>
  <c r="N15" i="14826"/>
  <c r="N16" i="14826"/>
  <c r="N17" i="14826"/>
  <c r="N18" i="14826"/>
  <c r="N19" i="14826"/>
  <c r="N20" i="14826"/>
  <c r="N21" i="14826"/>
  <c r="N22" i="14826"/>
  <c r="N23" i="14826"/>
  <c r="N24" i="14826"/>
  <c r="N25" i="14826"/>
  <c r="N26" i="14826"/>
  <c r="N27" i="14826"/>
  <c r="N28" i="14826"/>
  <c r="N29" i="14826"/>
  <c r="N30" i="14826"/>
  <c r="N31" i="14826"/>
  <c r="N32" i="14826"/>
  <c r="N33" i="14826"/>
  <c r="N34" i="14826"/>
  <c r="N35" i="14826"/>
  <c r="N36" i="14826"/>
  <c r="N37" i="14826"/>
  <c r="N38" i="14826"/>
  <c r="N39" i="14826"/>
  <c r="N40" i="14826"/>
  <c r="N41" i="14826"/>
  <c r="N42" i="14826"/>
  <c r="N43" i="14826"/>
  <c r="N44" i="14826"/>
  <c r="N45" i="14826"/>
  <c r="N46" i="14826"/>
  <c r="N47" i="14826"/>
  <c r="N48" i="14826"/>
  <c r="N49" i="14826"/>
  <c r="N50" i="14826"/>
  <c r="N51" i="14826"/>
  <c r="M7" i="14826"/>
  <c r="M8" i="14826"/>
  <c r="M9" i="14826"/>
  <c r="M10" i="14826"/>
  <c r="M11" i="14826"/>
  <c r="M12" i="14826"/>
  <c r="M13" i="14826"/>
  <c r="M14" i="14826"/>
  <c r="M15" i="14826"/>
  <c r="M16" i="14826"/>
  <c r="M17" i="14826"/>
  <c r="M18" i="14826"/>
  <c r="M19" i="14826"/>
  <c r="M20" i="14826"/>
  <c r="M21" i="14826"/>
  <c r="M22" i="14826"/>
  <c r="M23" i="14826"/>
  <c r="M24" i="14826"/>
  <c r="M25" i="14826"/>
  <c r="M26" i="14826"/>
  <c r="M27" i="14826"/>
  <c r="M28" i="14826"/>
  <c r="M29" i="14826"/>
  <c r="M30" i="14826"/>
  <c r="M31" i="14826"/>
  <c r="M32" i="14826"/>
  <c r="M33" i="14826"/>
  <c r="M34" i="14826"/>
  <c r="M35" i="14826"/>
  <c r="M36" i="14826"/>
  <c r="M37" i="14826"/>
  <c r="M38" i="14826"/>
  <c r="M39" i="14826"/>
  <c r="M40" i="14826"/>
  <c r="M41" i="14826"/>
  <c r="M42" i="14826"/>
  <c r="M43" i="14826"/>
  <c r="M44" i="14826"/>
  <c r="M45" i="14826"/>
  <c r="M46" i="14826"/>
  <c r="M47" i="14826"/>
  <c r="M48" i="14826"/>
  <c r="M49" i="14826"/>
  <c r="M50" i="14826"/>
  <c r="M51" i="14826"/>
  <c r="K7" i="14826"/>
  <c r="K8" i="14826"/>
  <c r="K9" i="14826"/>
  <c r="K10" i="14826"/>
  <c r="K11" i="14826"/>
  <c r="K12" i="14826"/>
  <c r="K13" i="14826"/>
  <c r="K14" i="14826"/>
  <c r="K15" i="14826"/>
  <c r="K16" i="14826"/>
  <c r="K17" i="14826"/>
  <c r="K18" i="14826"/>
  <c r="K19" i="14826"/>
  <c r="K20" i="14826"/>
  <c r="K21" i="14826"/>
  <c r="K22" i="14826"/>
  <c r="K23" i="14826"/>
  <c r="K24" i="14826"/>
  <c r="K25" i="14826"/>
  <c r="K26" i="14826"/>
  <c r="K27" i="14826"/>
  <c r="K28" i="14826"/>
  <c r="K29" i="14826"/>
  <c r="K30" i="14826"/>
  <c r="K31" i="14826"/>
  <c r="K32" i="14826"/>
  <c r="K33" i="14826"/>
  <c r="K34" i="14826"/>
  <c r="K35" i="14826"/>
  <c r="K36" i="14826"/>
  <c r="K37" i="14826"/>
  <c r="K38" i="14826"/>
  <c r="K39" i="14826"/>
  <c r="K40" i="14826"/>
  <c r="K41" i="14826"/>
  <c r="K42" i="14826"/>
  <c r="K43" i="14826"/>
  <c r="K44" i="14826"/>
  <c r="K45" i="14826"/>
  <c r="K46" i="14826"/>
  <c r="K47" i="14826"/>
  <c r="K48" i="14826"/>
  <c r="K49" i="14826"/>
  <c r="K50" i="14826"/>
  <c r="K51" i="14826"/>
  <c r="AX40" i="14835"/>
  <c r="AV40" i="14835"/>
  <c r="AR40" i="14835"/>
  <c r="AM40" i="14835"/>
  <c r="AE40" i="14835"/>
  <c r="AU40" i="14835"/>
  <c r="AT40" i="14835"/>
  <c r="AP40" i="14835"/>
  <c r="AO40" i="14835"/>
  <c r="AN40" i="14835"/>
  <c r="AL40" i="14835"/>
  <c r="AK40" i="14835"/>
  <c r="AG40" i="14835"/>
  <c r="AF40" i="14835"/>
  <c r="F250" i="14829"/>
  <c r="CB53" i="14809"/>
  <c r="CG53" i="14809" s="1"/>
  <c r="CB51" i="14809"/>
  <c r="CF51" i="14809" s="1"/>
  <c r="CB50" i="14809"/>
  <c r="CG50" i="14809" s="1"/>
  <c r="CB49" i="14809"/>
  <c r="CF49" i="14809" s="1"/>
  <c r="CB48" i="14809"/>
  <c r="CG48" i="14809" s="1"/>
  <c r="CB47" i="14809"/>
  <c r="CG47" i="14809" s="1"/>
  <c r="CB46" i="14809"/>
  <c r="CG46" i="14809" s="1"/>
  <c r="CB45" i="14809"/>
  <c r="CF45" i="14809" s="1"/>
  <c r="CB43" i="14809"/>
  <c r="CF43" i="14809" s="1"/>
  <c r="CB42" i="14809"/>
  <c r="CG42" i="14809"/>
  <c r="BZ41" i="14809"/>
  <c r="CB41" i="14809" s="1"/>
  <c r="BZ40" i="14809"/>
  <c r="CB40" i="14809" s="1"/>
  <c r="BZ39" i="14809"/>
  <c r="CB39" i="14809" s="1"/>
  <c r="CG39" i="14809" s="1"/>
  <c r="BZ38" i="14809"/>
  <c r="CB38" i="14809" s="1"/>
  <c r="CF38" i="14809" s="1"/>
  <c r="BZ37" i="14809"/>
  <c r="CB37" i="14809" s="1"/>
  <c r="CG37" i="14809" s="1"/>
  <c r="BZ36" i="14809"/>
  <c r="CB36" i="14809" s="1"/>
  <c r="BZ35" i="14809"/>
  <c r="CB35" i="14809" s="1"/>
  <c r="CG35" i="14809" s="1"/>
  <c r="BZ34" i="14809"/>
  <c r="CB34" i="14809" s="1"/>
  <c r="CF34" i="14809" s="1"/>
  <c r="BZ33" i="14809"/>
  <c r="CB33" i="14809" s="1"/>
  <c r="BZ32" i="14809"/>
  <c r="CB32" i="14809" s="1"/>
  <c r="CG32" i="14809" s="1"/>
  <c r="BZ31" i="14809"/>
  <c r="CB31" i="14809" s="1"/>
  <c r="BZ30" i="14809"/>
  <c r="CB30" i="14809" s="1"/>
  <c r="BZ29" i="14809"/>
  <c r="CB29" i="14809" s="1"/>
  <c r="BZ28" i="14809"/>
  <c r="CB28" i="14809" s="1"/>
  <c r="CG28" i="14809" s="1"/>
  <c r="BZ27" i="14809"/>
  <c r="CB27" i="14809" s="1"/>
  <c r="BZ26" i="14809"/>
  <c r="CB26" i="14809" s="1"/>
  <c r="BZ25" i="14809"/>
  <c r="CB25" i="14809" s="1"/>
  <c r="BZ24" i="14809"/>
  <c r="CB24" i="14809" s="1"/>
  <c r="CG24" i="14809" s="1"/>
  <c r="BZ23" i="14809"/>
  <c r="CB23" i="14809" s="1"/>
  <c r="BZ22" i="14809"/>
  <c r="CB22" i="14809" s="1"/>
  <c r="CG22" i="14809" s="1"/>
  <c r="CB21" i="14809"/>
  <c r="CG21" i="14809" s="1"/>
  <c r="BZ20" i="14809"/>
  <c r="CB20" i="14809" s="1"/>
  <c r="CG20" i="14809" s="1"/>
  <c r="BZ19" i="14809"/>
  <c r="CB19" i="14809" s="1"/>
  <c r="BZ18" i="14809"/>
  <c r="CB18" i="14809" s="1"/>
  <c r="CF18" i="14809" s="1"/>
  <c r="BZ17" i="14809"/>
  <c r="CB17" i="14809" s="1"/>
  <c r="CG17" i="14809" s="1"/>
  <c r="BZ16" i="14809"/>
  <c r="CB16" i="14809" s="1"/>
  <c r="CF16" i="14809" s="1"/>
  <c r="BZ15" i="14809"/>
  <c r="CB15" i="14809" s="1"/>
  <c r="BZ14" i="14809"/>
  <c r="CB14" i="14809" s="1"/>
  <c r="BZ13" i="14809"/>
  <c r="CB13" i="14809" s="1"/>
  <c r="BZ12" i="14809"/>
  <c r="CB12" i="14809" s="1"/>
  <c r="BZ11" i="14809"/>
  <c r="CB11" i="14809" s="1"/>
  <c r="CH49" i="14809"/>
  <c r="GO49" i="14809" s="1"/>
  <c r="CF53" i="14809"/>
  <c r="CF48" i="14809"/>
  <c r="CF42" i="14809"/>
  <c r="CF39" i="14809"/>
  <c r="CF37" i="14809"/>
  <c r="CF35" i="14809"/>
  <c r="BF6" i="14815"/>
  <c r="BF7" i="14815"/>
  <c r="BF8" i="14815"/>
  <c r="BF9" i="14815"/>
  <c r="BF10" i="14815"/>
  <c r="BF11" i="14815"/>
  <c r="BF12" i="14815"/>
  <c r="BF13" i="14815"/>
  <c r="BF14" i="14815"/>
  <c r="BF15" i="14815"/>
  <c r="BF16" i="14815"/>
  <c r="BF17" i="14815"/>
  <c r="BF18" i="14815"/>
  <c r="BF19" i="14815"/>
  <c r="BF20" i="14815"/>
  <c r="BF21" i="14815"/>
  <c r="BF22" i="14815"/>
  <c r="BF23" i="14815"/>
  <c r="BF24" i="14815"/>
  <c r="BF25" i="14815"/>
  <c r="BF26" i="14815"/>
  <c r="BF27" i="14815"/>
  <c r="BF28" i="14815"/>
  <c r="BF29" i="14815"/>
  <c r="BF30" i="14815"/>
  <c r="BF31" i="14815"/>
  <c r="BF32" i="14815"/>
  <c r="BF33" i="14815"/>
  <c r="BF34" i="14815"/>
  <c r="BF35" i="14815"/>
  <c r="BF36" i="14815"/>
  <c r="BF37" i="14815"/>
  <c r="BF38" i="14815"/>
  <c r="BF39" i="14815"/>
  <c r="BF40" i="14815"/>
  <c r="BF41" i="14815"/>
  <c r="BF42" i="14815"/>
  <c r="BF43" i="14815"/>
  <c r="BF44" i="14815"/>
  <c r="BF45" i="14815"/>
  <c r="BF46" i="14815"/>
  <c r="BF47" i="14815"/>
  <c r="BF48" i="14815"/>
  <c r="BF49" i="14815"/>
  <c r="BF50" i="14815"/>
  <c r="F81" i="14829"/>
  <c r="C182" i="14852" s="1"/>
  <c r="DH10" i="14809"/>
  <c r="DH53" i="14809"/>
  <c r="DH51" i="14809"/>
  <c r="DH49" i="14809"/>
  <c r="DH48" i="14809"/>
  <c r="DH47" i="14809"/>
  <c r="DH46" i="14809"/>
  <c r="DH45" i="14809"/>
  <c r="DH44" i="14809"/>
  <c r="DH43" i="14809"/>
  <c r="DH42" i="14809"/>
  <c r="DH41" i="14809"/>
  <c r="DH40" i="14809"/>
  <c r="DH39" i="14809"/>
  <c r="DH38" i="14809"/>
  <c r="DH37" i="14809"/>
  <c r="DH36" i="14809"/>
  <c r="DH35" i="14809"/>
  <c r="DH34" i="14809"/>
  <c r="DH33" i="14809"/>
  <c r="DH32" i="14809"/>
  <c r="DH31" i="14809"/>
  <c r="DH30" i="14809"/>
  <c r="DH29" i="14809"/>
  <c r="DH28" i="14809"/>
  <c r="DH27" i="14809"/>
  <c r="DH26" i="14809"/>
  <c r="DH25" i="14809"/>
  <c r="DH24" i="14809"/>
  <c r="DH23" i="14809"/>
  <c r="DH22" i="14809"/>
  <c r="DH21" i="14809"/>
  <c r="DH20" i="14809"/>
  <c r="DH19" i="14809"/>
  <c r="DH18" i="14809"/>
  <c r="DH17" i="14809"/>
  <c r="DH16" i="14809"/>
  <c r="DH15" i="14809"/>
  <c r="DH14" i="14809"/>
  <c r="DH13" i="14809"/>
  <c r="DH12" i="14809"/>
  <c r="DH11" i="14809"/>
  <c r="DH9" i="14809"/>
  <c r="F333" i="14829"/>
  <c r="CT10" i="14809"/>
  <c r="F151" i="14829"/>
  <c r="C26" i="14809" s="1"/>
  <c r="F162" i="14829"/>
  <c r="C37" i="14809" s="1"/>
  <c r="B35" i="14853" s="1"/>
  <c r="F142" i="14829"/>
  <c r="C17" i="14809" s="1"/>
  <c r="F171" i="14829"/>
  <c r="C46" i="14809" s="1"/>
  <c r="F159" i="14829"/>
  <c r="C34" i="14809" s="1"/>
  <c r="O105" i="14786"/>
  <c r="O110" i="14786" s="1"/>
  <c r="O106" i="14786"/>
  <c r="CH53" i="14809"/>
  <c r="CH48" i="14809"/>
  <c r="CH37" i="14809"/>
  <c r="CH35" i="14809"/>
  <c r="CH16" i="14809"/>
  <c r="Q68" i="14843"/>
  <c r="Q67" i="14843"/>
  <c r="Q66" i="14843"/>
  <c r="Q65" i="14843"/>
  <c r="Q64" i="14843"/>
  <c r="Q63" i="14843"/>
  <c r="Q62" i="14843"/>
  <c r="Q61" i="14843"/>
  <c r="Q60" i="14843"/>
  <c r="Q59" i="14843"/>
  <c r="Q58" i="14843"/>
  <c r="P68" i="14843"/>
  <c r="P67" i="14843"/>
  <c r="P66" i="14843"/>
  <c r="P65" i="14843"/>
  <c r="P64" i="14843"/>
  <c r="P63" i="14843"/>
  <c r="P62" i="14843"/>
  <c r="P61" i="14843"/>
  <c r="P60" i="14843"/>
  <c r="P59" i="14843"/>
  <c r="P58" i="14843"/>
  <c r="O68" i="14843"/>
  <c r="O67" i="14843"/>
  <c r="O66" i="14843"/>
  <c r="O65" i="14843"/>
  <c r="O64" i="14843"/>
  <c r="O63" i="14843"/>
  <c r="O62" i="14843"/>
  <c r="O61" i="14843"/>
  <c r="O60" i="14843"/>
  <c r="O59" i="14843"/>
  <c r="O58" i="14843"/>
  <c r="N68" i="14843"/>
  <c r="N67" i="14843"/>
  <c r="N66" i="14843"/>
  <c r="N65" i="14843"/>
  <c r="N64" i="14843"/>
  <c r="N63" i="14843"/>
  <c r="N62" i="14843"/>
  <c r="N61" i="14843"/>
  <c r="N60" i="14843"/>
  <c r="N59" i="14843"/>
  <c r="N58" i="14843"/>
  <c r="M68" i="14843"/>
  <c r="M67" i="14843"/>
  <c r="M66" i="14843"/>
  <c r="M65" i="14843"/>
  <c r="M64" i="14843"/>
  <c r="M63" i="14843"/>
  <c r="M62" i="14843"/>
  <c r="M61" i="14843"/>
  <c r="M60" i="14843"/>
  <c r="M59" i="14843"/>
  <c r="M58" i="14843"/>
  <c r="L68" i="14843"/>
  <c r="L67" i="14843"/>
  <c r="L66" i="14843"/>
  <c r="L65" i="14843"/>
  <c r="L64" i="14843"/>
  <c r="L63" i="14843"/>
  <c r="L62" i="14843"/>
  <c r="L61" i="14843"/>
  <c r="L60" i="14843"/>
  <c r="L59" i="14843"/>
  <c r="L58" i="14843"/>
  <c r="K68" i="14843"/>
  <c r="K67" i="14843"/>
  <c r="K66" i="14843"/>
  <c r="K65" i="14843"/>
  <c r="K64" i="14843"/>
  <c r="K63" i="14843"/>
  <c r="K62" i="14843"/>
  <c r="K61" i="14843"/>
  <c r="K60" i="14843"/>
  <c r="K59" i="14843"/>
  <c r="K58" i="14843"/>
  <c r="I68" i="14843"/>
  <c r="I67" i="14843"/>
  <c r="I66" i="14843"/>
  <c r="I65" i="14843"/>
  <c r="I64" i="14843"/>
  <c r="I63" i="14843"/>
  <c r="I62" i="14843"/>
  <c r="I61" i="14843"/>
  <c r="I60" i="14843"/>
  <c r="I59" i="14843"/>
  <c r="I58" i="14843"/>
  <c r="H68" i="14843"/>
  <c r="H67" i="14843"/>
  <c r="H66" i="14843"/>
  <c r="H65" i="14843"/>
  <c r="H64" i="14843"/>
  <c r="H63" i="14843"/>
  <c r="H62" i="14843"/>
  <c r="H61" i="14843"/>
  <c r="H60" i="14843"/>
  <c r="H59" i="14843"/>
  <c r="H58" i="14843"/>
  <c r="G68" i="14843"/>
  <c r="G67" i="14843"/>
  <c r="G66" i="14843"/>
  <c r="G65" i="14843"/>
  <c r="G64" i="14843"/>
  <c r="G63" i="14843"/>
  <c r="G62" i="14843"/>
  <c r="G61" i="14843"/>
  <c r="G60" i="14843"/>
  <c r="G59" i="14843"/>
  <c r="G58" i="14843"/>
  <c r="E68" i="14843"/>
  <c r="E67" i="14843"/>
  <c r="E66" i="14843"/>
  <c r="E65" i="14843"/>
  <c r="E64" i="14843"/>
  <c r="E63" i="14843"/>
  <c r="E62" i="14843"/>
  <c r="E61" i="14843"/>
  <c r="E60" i="14843"/>
  <c r="E59" i="14843"/>
  <c r="E58" i="14843"/>
  <c r="F58" i="14843"/>
  <c r="AN53" i="14809"/>
  <c r="AM53" i="14809"/>
  <c r="AL53" i="14809"/>
  <c r="AN52" i="14809"/>
  <c r="AM52" i="14809"/>
  <c r="AL52" i="14809"/>
  <c r="AN51" i="14809"/>
  <c r="AM51" i="14809"/>
  <c r="AL51" i="14809"/>
  <c r="AN50" i="14809"/>
  <c r="AM50" i="14809"/>
  <c r="AL50" i="14809"/>
  <c r="AN49" i="14809"/>
  <c r="AM49" i="14809"/>
  <c r="AN48" i="14809"/>
  <c r="AM48" i="14809"/>
  <c r="AN47" i="14809"/>
  <c r="AM47" i="14809"/>
  <c r="AN46" i="14809"/>
  <c r="AM46" i="14809"/>
  <c r="AN45" i="14809"/>
  <c r="AM45" i="14809"/>
  <c r="AL45" i="14809"/>
  <c r="AN44" i="14809"/>
  <c r="AM44" i="14809"/>
  <c r="AL44" i="14809"/>
  <c r="AN43" i="14809"/>
  <c r="AM43" i="14809"/>
  <c r="AN42" i="14809"/>
  <c r="AM42" i="14809"/>
  <c r="AN41" i="14809"/>
  <c r="AM41" i="14809"/>
  <c r="AN40" i="14809"/>
  <c r="AM40" i="14809"/>
  <c r="AN39" i="14809"/>
  <c r="AM39" i="14809"/>
  <c r="AN38" i="14809"/>
  <c r="AM38" i="14809"/>
  <c r="AL38" i="14809"/>
  <c r="AN37" i="14809"/>
  <c r="AM37" i="14809"/>
  <c r="AN36" i="14809"/>
  <c r="AM36" i="14809"/>
  <c r="AN35" i="14809"/>
  <c r="AM35" i="14809"/>
  <c r="AN34" i="14809"/>
  <c r="AM34" i="14809"/>
  <c r="AN33" i="14809"/>
  <c r="AM33" i="14809"/>
  <c r="AN32" i="14809"/>
  <c r="AM32" i="14809"/>
  <c r="AN31" i="14809"/>
  <c r="AM31" i="14809"/>
  <c r="AN30" i="14809"/>
  <c r="AM30" i="14809"/>
  <c r="AN29" i="14809"/>
  <c r="AM29" i="14809"/>
  <c r="AN28" i="14809"/>
  <c r="AM28" i="14809"/>
  <c r="AN27" i="14809"/>
  <c r="AM27" i="14809"/>
  <c r="AN26" i="14809"/>
  <c r="AM26" i="14809"/>
  <c r="AN25" i="14809"/>
  <c r="AM25" i="14809"/>
  <c r="AN24" i="14809"/>
  <c r="AM24" i="14809"/>
  <c r="AN23" i="14809"/>
  <c r="AM23" i="14809"/>
  <c r="AN22" i="14809"/>
  <c r="AM22" i="14809"/>
  <c r="AN21" i="14809"/>
  <c r="AM21" i="14809"/>
  <c r="AN20" i="14809"/>
  <c r="AM20" i="14809"/>
  <c r="AN19" i="14809"/>
  <c r="AM19" i="14809"/>
  <c r="AN18" i="14809"/>
  <c r="AM18" i="14809"/>
  <c r="AN17" i="14809"/>
  <c r="AM17" i="14809"/>
  <c r="AN16" i="14809"/>
  <c r="AM16" i="14809"/>
  <c r="AN15" i="14809"/>
  <c r="AM15" i="14809"/>
  <c r="AN14" i="14809"/>
  <c r="AM14" i="14809"/>
  <c r="AN13" i="14809"/>
  <c r="AM13" i="14809"/>
  <c r="AN12" i="14809"/>
  <c r="AM12" i="14809"/>
  <c r="AN11" i="14809"/>
  <c r="AM11" i="14809"/>
  <c r="AN10" i="14809"/>
  <c r="AM10" i="14809"/>
  <c r="AN9" i="14809"/>
  <c r="AM9" i="14809"/>
  <c r="F245" i="14829"/>
  <c r="F247" i="14829"/>
  <c r="AJ18" i="14809" s="1"/>
  <c r="J68" i="14843"/>
  <c r="J67" i="14843"/>
  <c r="J66" i="14843"/>
  <c r="J65" i="14843"/>
  <c r="J64" i="14843"/>
  <c r="J63" i="14843"/>
  <c r="J62" i="14843"/>
  <c r="J61" i="14843"/>
  <c r="J60" i="14843"/>
  <c r="J59" i="14843"/>
  <c r="J58" i="14843"/>
  <c r="F68" i="14843"/>
  <c r="F67" i="14843"/>
  <c r="F66" i="14843"/>
  <c r="F65" i="14843"/>
  <c r="F64" i="14843"/>
  <c r="F63" i="14843"/>
  <c r="F62" i="14843"/>
  <c r="F61" i="14843"/>
  <c r="F60" i="14843"/>
  <c r="F59" i="14843"/>
  <c r="D68" i="14843"/>
  <c r="D67" i="14843"/>
  <c r="D66" i="14843"/>
  <c r="D65" i="14843"/>
  <c r="D64" i="14843"/>
  <c r="D63" i="14843"/>
  <c r="D62" i="14843"/>
  <c r="D61" i="14843"/>
  <c r="D59" i="14843"/>
  <c r="S8" i="14843"/>
  <c r="S9" i="14843"/>
  <c r="S10" i="14843"/>
  <c r="S11" i="14843"/>
  <c r="S12" i="14843"/>
  <c r="S13" i="14843"/>
  <c r="S14" i="14843"/>
  <c r="S15" i="14843"/>
  <c r="S16" i="14843"/>
  <c r="S17" i="14843"/>
  <c r="S18" i="14843"/>
  <c r="S19" i="14843"/>
  <c r="S20" i="14843"/>
  <c r="S21" i="14843"/>
  <c r="S22" i="14843"/>
  <c r="S23" i="14843"/>
  <c r="S24" i="14843"/>
  <c r="S25" i="14843"/>
  <c r="S26" i="14843"/>
  <c r="S27" i="14843"/>
  <c r="S28" i="14843"/>
  <c r="S29" i="14843"/>
  <c r="S30" i="14843"/>
  <c r="S31" i="14843"/>
  <c r="S32" i="14843"/>
  <c r="S33" i="14843"/>
  <c r="S34" i="14843"/>
  <c r="S35" i="14843"/>
  <c r="S36" i="14843"/>
  <c r="S37" i="14843"/>
  <c r="S38" i="14843"/>
  <c r="S39" i="14843"/>
  <c r="S40" i="14843"/>
  <c r="S41" i="14843"/>
  <c r="S42" i="14843"/>
  <c r="S43" i="14843"/>
  <c r="S44" i="14843"/>
  <c r="S45" i="14843"/>
  <c r="S46" i="14843"/>
  <c r="S47" i="14843"/>
  <c r="S48" i="14843"/>
  <c r="S49" i="14843"/>
  <c r="S51" i="14843"/>
  <c r="R8" i="14843"/>
  <c r="R9" i="14843"/>
  <c r="R10" i="14843"/>
  <c r="R11" i="14843"/>
  <c r="R12" i="14843"/>
  <c r="R13" i="14843"/>
  <c r="R14" i="14843"/>
  <c r="R15" i="14843"/>
  <c r="R16" i="14843"/>
  <c r="R17" i="14843"/>
  <c r="R18" i="14843"/>
  <c r="R19" i="14843"/>
  <c r="R20" i="14843"/>
  <c r="R21" i="14843"/>
  <c r="R22" i="14843"/>
  <c r="R23" i="14843"/>
  <c r="R24" i="14843"/>
  <c r="R25" i="14843"/>
  <c r="R26" i="14843"/>
  <c r="R27" i="14843"/>
  <c r="R28" i="14843"/>
  <c r="R29" i="14843"/>
  <c r="R30" i="14843"/>
  <c r="R31" i="14843"/>
  <c r="R32" i="14843"/>
  <c r="R33" i="14843"/>
  <c r="R34" i="14843"/>
  <c r="R35" i="14843"/>
  <c r="R36" i="14843"/>
  <c r="R37" i="14843"/>
  <c r="R38" i="14843"/>
  <c r="R39" i="14843"/>
  <c r="R40" i="14843"/>
  <c r="R41" i="14843"/>
  <c r="R42" i="14843"/>
  <c r="R43" i="14843"/>
  <c r="R44" i="14843"/>
  <c r="R45" i="14843"/>
  <c r="R46" i="14843"/>
  <c r="R47" i="14843"/>
  <c r="R48" i="14843"/>
  <c r="R49" i="14843"/>
  <c r="R51" i="14843"/>
  <c r="A51" i="14843"/>
  <c r="U51" i="14843" s="1"/>
  <c r="A50" i="14843"/>
  <c r="U50" i="14843" s="1"/>
  <c r="A49" i="14843"/>
  <c r="U49" i="14843" s="1"/>
  <c r="A48" i="14843"/>
  <c r="U48" i="14843" s="1"/>
  <c r="A47" i="14843"/>
  <c r="U47" i="14843" s="1"/>
  <c r="A46" i="14843"/>
  <c r="U46" i="14843" s="1"/>
  <c r="A45" i="14843"/>
  <c r="U45" i="14843" s="1"/>
  <c r="A44" i="14843"/>
  <c r="U44" i="14843" s="1"/>
  <c r="A43" i="14843"/>
  <c r="U43" i="14843" s="1"/>
  <c r="A42" i="14843"/>
  <c r="U42" i="14843" s="1"/>
  <c r="A41" i="14843"/>
  <c r="U41" i="14843" s="1"/>
  <c r="A40" i="14843"/>
  <c r="U40" i="14843" s="1"/>
  <c r="A39" i="14843"/>
  <c r="A38" i="14843"/>
  <c r="U38" i="14843" s="1"/>
  <c r="A37" i="14843"/>
  <c r="A36" i="14843"/>
  <c r="A35" i="14843"/>
  <c r="U35" i="14843" s="1"/>
  <c r="A34" i="14843"/>
  <c r="A33" i="14843"/>
  <c r="U33" i="14843" s="1"/>
  <c r="A32" i="14843"/>
  <c r="A31" i="14843"/>
  <c r="A30" i="14843"/>
  <c r="A29" i="14843"/>
  <c r="U29" i="14843" s="1"/>
  <c r="A28" i="14843"/>
  <c r="A27" i="14843"/>
  <c r="U27" i="14843" s="1"/>
  <c r="A26" i="14843"/>
  <c r="U26" i="14843" s="1"/>
  <c r="A25" i="14843"/>
  <c r="A24" i="14843"/>
  <c r="U24" i="14843" s="1"/>
  <c r="A23" i="14843"/>
  <c r="A22" i="14843"/>
  <c r="U22" i="14843" s="1"/>
  <c r="A21" i="14843"/>
  <c r="U21" i="14843" s="1"/>
  <c r="A20" i="14843"/>
  <c r="A19" i="14843"/>
  <c r="U19" i="14843" s="1"/>
  <c r="A18" i="14843"/>
  <c r="U18" i="14843" s="1"/>
  <c r="A17" i="14843"/>
  <c r="U17" i="14843" s="1"/>
  <c r="A16" i="14843"/>
  <c r="U16" i="14843" s="1"/>
  <c r="A15" i="14843"/>
  <c r="A14" i="14843"/>
  <c r="U14" i="14843" s="1"/>
  <c r="A13" i="14843"/>
  <c r="A12" i="14843"/>
  <c r="U12" i="14843" s="1"/>
  <c r="A11" i="14843"/>
  <c r="A10" i="14843"/>
  <c r="U10" i="14843" s="1"/>
  <c r="A9" i="14843"/>
  <c r="U9" i="14843" s="1"/>
  <c r="A8" i="14843"/>
  <c r="U8" i="14843" s="1"/>
  <c r="A7" i="14843"/>
  <c r="U7" i="14843" s="1"/>
  <c r="F238" i="14829"/>
  <c r="DG7" i="14809" s="1"/>
  <c r="BU50" i="14809"/>
  <c r="A99" i="14814"/>
  <c r="A100" i="14814" s="1"/>
  <c r="A101" i="14814" s="1"/>
  <c r="A102" i="14814" s="1"/>
  <c r="A103" i="14814" s="1"/>
  <c r="A104" i="14814" s="1"/>
  <c r="A105" i="14814" s="1"/>
  <c r="A106" i="14814" s="1"/>
  <c r="A107" i="14814" s="1"/>
  <c r="A108" i="14814" s="1"/>
  <c r="A109" i="14814" s="1"/>
  <c r="A110" i="14814" s="1"/>
  <c r="A111" i="14814" s="1"/>
  <c r="A112" i="14814" s="1"/>
  <c r="A113" i="14814" s="1"/>
  <c r="A114" i="14814" s="1"/>
  <c r="A115" i="14814" s="1"/>
  <c r="A116" i="14814" s="1"/>
  <c r="A117" i="14814" s="1"/>
  <c r="A118" i="14814" s="1"/>
  <c r="A119" i="14814" s="1"/>
  <c r="A120" i="14814" s="1"/>
  <c r="A121" i="14814" s="1"/>
  <c r="BI9" i="14809"/>
  <c r="BK9" i="14809" s="1"/>
  <c r="CT9" i="14809"/>
  <c r="AT35" i="14835"/>
  <c r="AU35" i="14835"/>
  <c r="AP35" i="14835"/>
  <c r="AO35" i="14835"/>
  <c r="AN35" i="14835"/>
  <c r="AL35" i="14835"/>
  <c r="AK35" i="14835"/>
  <c r="CB52" i="14809"/>
  <c r="CB44" i="14809"/>
  <c r="BI52" i="14809"/>
  <c r="BK52" i="14809" s="1"/>
  <c r="BI45" i="14809"/>
  <c r="BK45" i="14809" s="1"/>
  <c r="BI25" i="14809"/>
  <c r="BK25" i="14809"/>
  <c r="BI16" i="14809"/>
  <c r="BK16" i="14809" s="1"/>
  <c r="BI53" i="14809"/>
  <c r="BK53" i="14809" s="1"/>
  <c r="BI51" i="14809"/>
  <c r="BK51" i="14809" s="1"/>
  <c r="BI50" i="14809"/>
  <c r="BK50" i="14809"/>
  <c r="BI49" i="14809"/>
  <c r="BK49" i="14809" s="1"/>
  <c r="BI48" i="14809"/>
  <c r="BK48" i="14809" s="1"/>
  <c r="BI47" i="14809"/>
  <c r="BK47" i="14809" s="1"/>
  <c r="BI46" i="14809"/>
  <c r="BK46" i="14809"/>
  <c r="BI44" i="14809"/>
  <c r="BK44" i="14809" s="1"/>
  <c r="BI43" i="14809"/>
  <c r="BK43" i="14809" s="1"/>
  <c r="BI42" i="14809"/>
  <c r="BK42" i="14809" s="1"/>
  <c r="BI41" i="14809"/>
  <c r="BK41" i="14809"/>
  <c r="BI40" i="14809"/>
  <c r="BK40" i="14809" s="1"/>
  <c r="BI39" i="14809"/>
  <c r="BK39" i="14809" s="1"/>
  <c r="BI38" i="14809"/>
  <c r="BK38" i="14809" s="1"/>
  <c r="BI37" i="14809"/>
  <c r="BK37" i="14809"/>
  <c r="BI36" i="14809"/>
  <c r="BK36" i="14809" s="1"/>
  <c r="BI35" i="14809"/>
  <c r="BK35" i="14809" s="1"/>
  <c r="BI34" i="14809"/>
  <c r="BK34" i="14809" s="1"/>
  <c r="BI33" i="14809"/>
  <c r="BK33" i="14809"/>
  <c r="BI32" i="14809"/>
  <c r="BK32" i="14809" s="1"/>
  <c r="BI31" i="14809"/>
  <c r="BK31" i="14809" s="1"/>
  <c r="BI30" i="14809"/>
  <c r="BK30" i="14809" s="1"/>
  <c r="BI29" i="14809"/>
  <c r="BK29" i="14809"/>
  <c r="BI28" i="14809"/>
  <c r="BK28" i="14809" s="1"/>
  <c r="BI27" i="14809"/>
  <c r="BK27" i="14809" s="1"/>
  <c r="BI26" i="14809"/>
  <c r="BK26" i="14809" s="1"/>
  <c r="BI24" i="14809"/>
  <c r="BK24" i="14809"/>
  <c r="BI23" i="14809"/>
  <c r="BK23" i="14809" s="1"/>
  <c r="BI22" i="14809"/>
  <c r="BK22" i="14809" s="1"/>
  <c r="BI21" i="14809"/>
  <c r="BK21" i="14809" s="1"/>
  <c r="BI20" i="14809"/>
  <c r="BK20" i="14809"/>
  <c r="BI19" i="14809"/>
  <c r="BK19" i="14809" s="1"/>
  <c r="BI18" i="14809"/>
  <c r="BK18" i="14809" s="1"/>
  <c r="BI17" i="14809"/>
  <c r="BK17" i="14809" s="1"/>
  <c r="BI15" i="14809"/>
  <c r="BK15" i="14809"/>
  <c r="BI14" i="14809"/>
  <c r="BK14" i="14809" s="1"/>
  <c r="BI13" i="14809"/>
  <c r="BK13" i="14809" s="1"/>
  <c r="BI12" i="14809"/>
  <c r="BK12" i="14809" s="1"/>
  <c r="BI11" i="14809"/>
  <c r="BK11" i="14809"/>
  <c r="BI10" i="14809"/>
  <c r="BK10" i="14809" s="1"/>
  <c r="BG22" i="14809"/>
  <c r="BF22" i="14809"/>
  <c r="BE22" i="14809"/>
  <c r="BG53" i="14809"/>
  <c r="BF53" i="14809"/>
  <c r="BE53" i="14809"/>
  <c r="BG52" i="14809"/>
  <c r="BF52" i="14809"/>
  <c r="BE52" i="14809"/>
  <c r="BG51" i="14809"/>
  <c r="BF51" i="14809"/>
  <c r="BE51" i="14809"/>
  <c r="BG50" i="14809"/>
  <c r="BF50" i="14809"/>
  <c r="BE50" i="14809"/>
  <c r="BG49" i="14809"/>
  <c r="BF49" i="14809"/>
  <c r="BE49" i="14809"/>
  <c r="BG48" i="14809"/>
  <c r="BF48" i="14809"/>
  <c r="BE48" i="14809"/>
  <c r="BG47" i="14809"/>
  <c r="BF47" i="14809"/>
  <c r="BE47" i="14809"/>
  <c r="BG46" i="14809"/>
  <c r="BF46" i="14809"/>
  <c r="BE46" i="14809"/>
  <c r="BG45" i="14809"/>
  <c r="BF45" i="14809"/>
  <c r="BE45" i="14809"/>
  <c r="BG44" i="14809"/>
  <c r="BF44" i="14809"/>
  <c r="BE44" i="14809"/>
  <c r="BG43" i="14809"/>
  <c r="BF43" i="14809"/>
  <c r="BE43" i="14809"/>
  <c r="BG42" i="14809"/>
  <c r="BF42" i="14809"/>
  <c r="BE42" i="14809"/>
  <c r="BG41" i="14809"/>
  <c r="BF41" i="14809"/>
  <c r="BE41" i="14809"/>
  <c r="BG40" i="14809"/>
  <c r="BF40" i="14809"/>
  <c r="BE40" i="14809"/>
  <c r="BG39" i="14809"/>
  <c r="BF39" i="14809"/>
  <c r="BE39" i="14809"/>
  <c r="BG38" i="14809"/>
  <c r="BF38" i="14809"/>
  <c r="BE38" i="14809"/>
  <c r="BG37" i="14809"/>
  <c r="BF37" i="14809"/>
  <c r="BE37" i="14809"/>
  <c r="BG36" i="14809"/>
  <c r="BF36" i="14809"/>
  <c r="BE36" i="14809"/>
  <c r="BG35" i="14809"/>
  <c r="BF35" i="14809"/>
  <c r="BE35" i="14809"/>
  <c r="BG34" i="14809"/>
  <c r="BF34" i="14809"/>
  <c r="BE34" i="14809"/>
  <c r="BG33" i="14809"/>
  <c r="BF33" i="14809"/>
  <c r="BE33" i="14809"/>
  <c r="BG32" i="14809"/>
  <c r="BF32" i="14809"/>
  <c r="BE32" i="14809"/>
  <c r="BG31" i="14809"/>
  <c r="BF31" i="14809"/>
  <c r="BE31" i="14809"/>
  <c r="BG30" i="14809"/>
  <c r="BF30" i="14809"/>
  <c r="BE30" i="14809"/>
  <c r="BG29" i="14809"/>
  <c r="BF29" i="14809"/>
  <c r="BE29" i="14809"/>
  <c r="BG26" i="14809"/>
  <c r="BF26" i="14809"/>
  <c r="BE26" i="14809"/>
  <c r="BG25" i="14809"/>
  <c r="BF25" i="14809"/>
  <c r="BE25" i="14809"/>
  <c r="BG24" i="14809"/>
  <c r="BF24" i="14809"/>
  <c r="BE24" i="14809"/>
  <c r="BG23" i="14809"/>
  <c r="BF23" i="14809"/>
  <c r="BE23" i="14809"/>
  <c r="BE27" i="14809"/>
  <c r="BF27" i="14809"/>
  <c r="BG27" i="14809"/>
  <c r="BE28" i="14809"/>
  <c r="BF28" i="14809"/>
  <c r="BG28" i="14809"/>
  <c r="BG21" i="14809"/>
  <c r="BF21" i="14809"/>
  <c r="BE21" i="14809"/>
  <c r="BG20" i="14809"/>
  <c r="BF20" i="14809"/>
  <c r="BE20" i="14809"/>
  <c r="BG19" i="14809"/>
  <c r="BF19" i="14809"/>
  <c r="BE19" i="14809"/>
  <c r="BG18" i="14809"/>
  <c r="BF18" i="14809"/>
  <c r="BE18" i="14809"/>
  <c r="BG17" i="14809"/>
  <c r="BF17" i="14809"/>
  <c r="BE17" i="14809"/>
  <c r="BG16" i="14809"/>
  <c r="BF16" i="14809"/>
  <c r="BE16" i="14809"/>
  <c r="BG15" i="14809"/>
  <c r="BF15" i="14809"/>
  <c r="BE15" i="14809"/>
  <c r="BG14" i="14809"/>
  <c r="BF14" i="14809"/>
  <c r="BE14" i="14809"/>
  <c r="BG13" i="14809"/>
  <c r="BF13" i="14809"/>
  <c r="BE13" i="14809"/>
  <c r="BG12" i="14809"/>
  <c r="BF12" i="14809"/>
  <c r="BE12" i="14809"/>
  <c r="BG11" i="14809"/>
  <c r="BF11" i="14809"/>
  <c r="BE11" i="14809"/>
  <c r="BG10" i="14809"/>
  <c r="BF10" i="14809"/>
  <c r="BG9" i="14809"/>
  <c r="BF9" i="14809"/>
  <c r="BE9" i="14809"/>
  <c r="AE27" i="14841"/>
  <c r="BE164" i="14841" s="1"/>
  <c r="BE165" i="14841" s="1"/>
  <c r="BX215" i="14841"/>
  <c r="BX214" i="14841"/>
  <c r="BX216" i="14841"/>
  <c r="BP215" i="14841"/>
  <c r="BP216" i="14841" s="1"/>
  <c r="BP214" i="14841"/>
  <c r="BY215" i="14841"/>
  <c r="BW215" i="14841"/>
  <c r="BW216" i="14841" s="1"/>
  <c r="BW214" i="14841"/>
  <c r="BV215" i="14841"/>
  <c r="BU215" i="14841"/>
  <c r="BU216" i="14841" s="1"/>
  <c r="BT215" i="14841"/>
  <c r="BT214" i="14841"/>
  <c r="BT216" i="14841"/>
  <c r="BS215" i="14841"/>
  <c r="BS216" i="14841" s="1"/>
  <c r="BS214" i="14841"/>
  <c r="BR215" i="14841"/>
  <c r="BQ215" i="14841"/>
  <c r="BO215" i="14841"/>
  <c r="BN215" i="14841"/>
  <c r="BM215" i="14841"/>
  <c r="BL215" i="14841"/>
  <c r="BK215" i="14841"/>
  <c r="BJ215" i="14841"/>
  <c r="BJ214" i="14841"/>
  <c r="BJ216" i="14841"/>
  <c r="BI215" i="14841"/>
  <c r="BH215" i="14841"/>
  <c r="BG215" i="14841"/>
  <c r="BG216" i="14841" s="1"/>
  <c r="BG214" i="14841"/>
  <c r="BE215" i="14841"/>
  <c r="BY214" i="14841"/>
  <c r="BV214" i="14841"/>
  <c r="BV216" i="14841" s="1"/>
  <c r="BU214" i="14841"/>
  <c r="BR214" i="14841"/>
  <c r="BQ214" i="14841"/>
  <c r="BO214" i="14841"/>
  <c r="BO216" i="14841" s="1"/>
  <c r="BN214" i="14841"/>
  <c r="BM214" i="14841"/>
  <c r="BL214" i="14841"/>
  <c r="BK214" i="14841"/>
  <c r="BI214" i="14841"/>
  <c r="BH214" i="14841"/>
  <c r="BE214" i="14841"/>
  <c r="BY188" i="14841"/>
  <c r="BX188" i="14841"/>
  <c r="BW188" i="14841"/>
  <c r="BV188" i="14841"/>
  <c r="BU188" i="14841"/>
  <c r="BT188" i="14841"/>
  <c r="BS188" i="14841"/>
  <c r="BR188" i="14841"/>
  <c r="BQ188" i="14841"/>
  <c r="BP188" i="14841"/>
  <c r="BO188" i="14841"/>
  <c r="BN188" i="14841"/>
  <c r="BM188" i="14841"/>
  <c r="BJ188" i="14841"/>
  <c r="BI188" i="14841"/>
  <c r="BH188" i="14841"/>
  <c r="BG188" i="14841"/>
  <c r="BE188" i="14841"/>
  <c r="BY163" i="14841"/>
  <c r="BX163" i="14841"/>
  <c r="BW163" i="14841"/>
  <c r="BV163" i="14841"/>
  <c r="BU163" i="14841"/>
  <c r="BT163" i="14841"/>
  <c r="BS163" i="14841"/>
  <c r="BR163" i="14841"/>
  <c r="BQ163" i="14841"/>
  <c r="BP163" i="14841"/>
  <c r="BO163" i="14841"/>
  <c r="BN163" i="14841"/>
  <c r="BM163" i="14841"/>
  <c r="BJ163" i="14841"/>
  <c r="BI163" i="14841"/>
  <c r="BH163" i="14841"/>
  <c r="BG163" i="14841"/>
  <c r="BE163" i="14841"/>
  <c r="BF119" i="14841"/>
  <c r="BY118" i="14841"/>
  <c r="BX118" i="14841"/>
  <c r="BW118" i="14841"/>
  <c r="BV118" i="14841"/>
  <c r="BU118" i="14841"/>
  <c r="BT118" i="14841"/>
  <c r="BS118" i="14841"/>
  <c r="BR118" i="14841"/>
  <c r="BQ118" i="14841"/>
  <c r="BP118" i="14841"/>
  <c r="BO118" i="14841"/>
  <c r="BN118" i="14841"/>
  <c r="BM118" i="14841"/>
  <c r="BL118" i="14841"/>
  <c r="BK118" i="14841"/>
  <c r="BJ118" i="14841"/>
  <c r="BI118" i="14841"/>
  <c r="BH118" i="14841"/>
  <c r="BG118" i="14841"/>
  <c r="BF118" i="14841"/>
  <c r="BE118" i="14841"/>
  <c r="BY112" i="14841"/>
  <c r="BX112" i="14841"/>
  <c r="BW112" i="14841"/>
  <c r="BV112" i="14841"/>
  <c r="BU112" i="14841"/>
  <c r="BT112" i="14841"/>
  <c r="BS112" i="14841"/>
  <c r="BR112" i="14841"/>
  <c r="BQ112" i="14841"/>
  <c r="BP112" i="14841"/>
  <c r="BO112" i="14841"/>
  <c r="BN112" i="14841"/>
  <c r="BM112" i="14841"/>
  <c r="BJ112" i="14841"/>
  <c r="BI112" i="14841"/>
  <c r="BH112" i="14841"/>
  <c r="BG112" i="14841"/>
  <c r="BE112" i="14841"/>
  <c r="BP90" i="14841"/>
  <c r="BO90" i="14841"/>
  <c r="BN90" i="14841"/>
  <c r="BG90" i="14841"/>
  <c r="BY86" i="14841"/>
  <c r="BX86" i="14841"/>
  <c r="BW86" i="14841"/>
  <c r="BV86" i="14841"/>
  <c r="BU86" i="14841"/>
  <c r="BT86" i="14841"/>
  <c r="BS86" i="14841"/>
  <c r="BR86" i="14841"/>
  <c r="BQ86" i="14841"/>
  <c r="BP86" i="14841"/>
  <c r="BO86" i="14841"/>
  <c r="BN86" i="14841"/>
  <c r="BM86" i="14841"/>
  <c r="BJ86" i="14841"/>
  <c r="BI86" i="14841"/>
  <c r="BH86" i="14841"/>
  <c r="BE86" i="14841"/>
  <c r="BY61" i="14841"/>
  <c r="BX61" i="14841"/>
  <c r="BW61" i="14841"/>
  <c r="BV61" i="14841"/>
  <c r="BU61" i="14841"/>
  <c r="BT61" i="14841"/>
  <c r="BS61" i="14841"/>
  <c r="BR61" i="14841"/>
  <c r="BQ61" i="14841"/>
  <c r="BP61" i="14841"/>
  <c r="BO61" i="14841"/>
  <c r="BN61" i="14841"/>
  <c r="BM61" i="14841"/>
  <c r="BJ61" i="14841"/>
  <c r="BI61" i="14841"/>
  <c r="BH61" i="14841"/>
  <c r="BE61" i="14841"/>
  <c r="Y48" i="14841"/>
  <c r="X48" i="14841"/>
  <c r="W48" i="14841"/>
  <c r="V48" i="14841"/>
  <c r="U48" i="14841"/>
  <c r="T48" i="14841"/>
  <c r="S48" i="14841"/>
  <c r="R48" i="14841"/>
  <c r="Q48" i="14841"/>
  <c r="P48" i="14841"/>
  <c r="O48" i="14841"/>
  <c r="N48" i="14841"/>
  <c r="M48" i="14841"/>
  <c r="L48" i="14841"/>
  <c r="K48" i="14841"/>
  <c r="J48" i="14841"/>
  <c r="I48" i="14841"/>
  <c r="H48" i="14841"/>
  <c r="G48" i="14841"/>
  <c r="F48" i="14841"/>
  <c r="E48" i="14841"/>
  <c r="D48" i="14841"/>
  <c r="A47" i="14841"/>
  <c r="A46" i="14841"/>
  <c r="A45" i="14841"/>
  <c r="BY44" i="14841"/>
  <c r="BX44" i="14841"/>
  <c r="BW44" i="14841"/>
  <c r="BV44" i="14841"/>
  <c r="BU44" i="14841"/>
  <c r="BT44" i="14841"/>
  <c r="BS44" i="14841"/>
  <c r="BR44" i="14841"/>
  <c r="BQ44" i="14841"/>
  <c r="BP44" i="14841"/>
  <c r="BO44" i="14841"/>
  <c r="BN44" i="14841"/>
  <c r="BM44" i="14841"/>
  <c r="BJ44" i="14841"/>
  <c r="BI44" i="14841"/>
  <c r="BH44" i="14841"/>
  <c r="BG44" i="14841"/>
  <c r="BE44" i="14841"/>
  <c r="A44" i="14841"/>
  <c r="A43" i="14841"/>
  <c r="A42" i="14841"/>
  <c r="A41" i="14841"/>
  <c r="A40" i="14841"/>
  <c r="A39" i="14841"/>
  <c r="A38" i="14841"/>
  <c r="A37" i="14841"/>
  <c r="BY36" i="14841"/>
  <c r="BX36" i="14841"/>
  <c r="BW36" i="14841"/>
  <c r="BV36" i="14841"/>
  <c r="BU36" i="14841"/>
  <c r="BT36" i="14841"/>
  <c r="BS36" i="14841"/>
  <c r="BR36" i="14841"/>
  <c r="BQ36" i="14841"/>
  <c r="BP36" i="14841"/>
  <c r="BO36" i="14841"/>
  <c r="BN36" i="14841"/>
  <c r="BM36" i="14841"/>
  <c r="BJ36" i="14841"/>
  <c r="BI36" i="14841"/>
  <c r="BH36" i="14841"/>
  <c r="BG36" i="14841"/>
  <c r="BE36" i="14841"/>
  <c r="A36" i="14841"/>
  <c r="AA35" i="14841"/>
  <c r="A35" i="14841"/>
  <c r="AA34" i="14841"/>
  <c r="A34" i="14841"/>
  <c r="AA33" i="14841"/>
  <c r="A33" i="14841"/>
  <c r="AA32" i="14841"/>
  <c r="A32" i="14841"/>
  <c r="AA31" i="14841"/>
  <c r="A31" i="14841"/>
  <c r="AA30" i="14841"/>
  <c r="A30" i="14841"/>
  <c r="AA29" i="14841"/>
  <c r="A29" i="14841"/>
  <c r="AA28" i="14841"/>
  <c r="A28" i="14841"/>
  <c r="FN9" i="14841"/>
  <c r="FN27" i="14841" s="1"/>
  <c r="AZ27" i="14841"/>
  <c r="AZ30" i="14841" s="1"/>
  <c r="AY27" i="14841"/>
  <c r="CX7" i="14841" s="1"/>
  <c r="AX27" i="14841"/>
  <c r="CW7" i="14841" s="1"/>
  <c r="AW27" i="14841"/>
  <c r="CV7" i="14841" s="1"/>
  <c r="AV27" i="14841"/>
  <c r="BV164" i="14841" s="1"/>
  <c r="BV165" i="14841" s="1"/>
  <c r="AU27" i="14841"/>
  <c r="BU164" i="14841" s="1"/>
  <c r="BU165" i="14841" s="1"/>
  <c r="AT27" i="14841"/>
  <c r="AS27" i="14841"/>
  <c r="CR7" i="14841" s="1"/>
  <c r="AR27" i="14841"/>
  <c r="CQ7" i="14841" s="1"/>
  <c r="AQ27" i="14841"/>
  <c r="CP7" i="14841" s="1"/>
  <c r="AP27" i="14841"/>
  <c r="AO27" i="14841"/>
  <c r="CN7" i="14841" s="1"/>
  <c r="AN27" i="14841"/>
  <c r="BN164" i="14841" s="1"/>
  <c r="BN165" i="14841" s="1"/>
  <c r="AM27" i="14841"/>
  <c r="CL7" i="14841" s="1"/>
  <c r="AL27" i="14841"/>
  <c r="CK7" i="14841" s="1"/>
  <c r="AK27" i="14841"/>
  <c r="CJ7" i="14841" s="1"/>
  <c r="AJ27" i="14841"/>
  <c r="BJ164" i="14841" s="1"/>
  <c r="BJ165" i="14841" s="1"/>
  <c r="AI27" i="14841"/>
  <c r="BI164" i="14841" s="1"/>
  <c r="AH27" i="14841"/>
  <c r="BH164" i="14841" s="1"/>
  <c r="BH165" i="14841" s="1"/>
  <c r="AG27" i="14841"/>
  <c r="BG164" i="14841" s="1"/>
  <c r="BG165" i="14841" s="1"/>
  <c r="AF27" i="14841"/>
  <c r="AA27" i="14841"/>
  <c r="A27" i="14841"/>
  <c r="AA26" i="14841"/>
  <c r="A26" i="14841"/>
  <c r="FO1" i="14841"/>
  <c r="FO25" i="14841"/>
  <c r="AA25" i="14841"/>
  <c r="A25" i="14841"/>
  <c r="AA24" i="14841"/>
  <c r="A24" i="14841"/>
  <c r="AA23" i="14841"/>
  <c r="A23" i="14841"/>
  <c r="AZ22" i="14841"/>
  <c r="AY22" i="14841"/>
  <c r="AX22" i="14841"/>
  <c r="AW22" i="14841"/>
  <c r="AV22" i="14841"/>
  <c r="AU22" i="14841"/>
  <c r="AT22" i="14841"/>
  <c r="AS22" i="14841"/>
  <c r="AR22" i="14841"/>
  <c r="AQ22" i="14841"/>
  <c r="AP22" i="14841"/>
  <c r="AO22" i="14841"/>
  <c r="AN22" i="14841"/>
  <c r="AM22" i="14841"/>
  <c r="AL22" i="14841"/>
  <c r="AK22" i="14841"/>
  <c r="AJ22" i="14841"/>
  <c r="AI22" i="14841"/>
  <c r="AH22" i="14841"/>
  <c r="AG22" i="14841"/>
  <c r="AF22" i="14841"/>
  <c r="AE22" i="14841"/>
  <c r="AA22" i="14841"/>
  <c r="A22" i="14841"/>
  <c r="AZ21" i="14841"/>
  <c r="AY21" i="14841"/>
  <c r="BY113" i="14841" s="1"/>
  <c r="BY114" i="14841" s="1"/>
  <c r="AX21" i="14841"/>
  <c r="BX113" i="14841" s="1"/>
  <c r="BX114" i="14841" s="1"/>
  <c r="AW21" i="14841"/>
  <c r="CV13" i="14841" s="1"/>
  <c r="AV21" i="14841"/>
  <c r="BV113" i="14841" s="1"/>
  <c r="BV114" i="14841" s="1"/>
  <c r="AU21" i="14841"/>
  <c r="CT13" i="14841" s="1"/>
  <c r="AT21" i="14841"/>
  <c r="BT113" i="14841" s="1"/>
  <c r="BT114" i="14841" s="1"/>
  <c r="AS21" i="14841"/>
  <c r="BS113" i="14841" s="1"/>
  <c r="AR21" i="14841"/>
  <c r="CQ13" i="14841" s="1"/>
  <c r="AQ21" i="14841"/>
  <c r="AP21" i="14841"/>
  <c r="BP113" i="14841" s="1"/>
  <c r="BP114" i="14841" s="1"/>
  <c r="AO21" i="14841"/>
  <c r="BO113" i="14841" s="1"/>
  <c r="AN21" i="14841"/>
  <c r="AM21" i="14841"/>
  <c r="CL13" i="14841" s="1"/>
  <c r="AL21" i="14841"/>
  <c r="CK13" i="14841" s="1"/>
  <c r="AK21" i="14841"/>
  <c r="CJ13" i="14841" s="1"/>
  <c r="AJ21" i="14841"/>
  <c r="AI21" i="14841"/>
  <c r="CH13" i="14841" s="1"/>
  <c r="AH21" i="14841"/>
  <c r="BH113" i="14841" s="1"/>
  <c r="BH114" i="14841" s="1"/>
  <c r="AG21" i="14841"/>
  <c r="BG113" i="14841" s="1"/>
  <c r="BG114" i="14841" s="1"/>
  <c r="AF21" i="14841"/>
  <c r="AE21" i="14841"/>
  <c r="BE113" i="14841" s="1"/>
  <c r="BE114" i="14841" s="1"/>
  <c r="AA21" i="14841"/>
  <c r="A21" i="14841"/>
  <c r="AA20" i="14841"/>
  <c r="A20" i="14841"/>
  <c r="AA19" i="14841"/>
  <c r="A19" i="14841"/>
  <c r="FU18" i="14841"/>
  <c r="FT18" i="14841"/>
  <c r="AA18" i="14841"/>
  <c r="A18" i="14841"/>
  <c r="BF17" i="14841"/>
  <c r="AA17" i="14841"/>
  <c r="A17" i="14841"/>
  <c r="BY16" i="14841"/>
  <c r="BX16" i="14841"/>
  <c r="BW16" i="14841"/>
  <c r="BV16" i="14841"/>
  <c r="BU16" i="14841"/>
  <c r="BT16" i="14841"/>
  <c r="BS16" i="14841"/>
  <c r="BR16" i="14841"/>
  <c r="BQ16" i="14841"/>
  <c r="BP16" i="14841"/>
  <c r="BO16" i="14841"/>
  <c r="BN16" i="14841"/>
  <c r="BM16" i="14841"/>
  <c r="BL16" i="14841"/>
  <c r="BK16" i="14841"/>
  <c r="BJ16" i="14841"/>
  <c r="BI16" i="14841"/>
  <c r="BH16" i="14841"/>
  <c r="BG16" i="14841"/>
  <c r="BF16" i="14841"/>
  <c r="BE16" i="14841"/>
  <c r="AA16" i="14841"/>
  <c r="A16" i="14841"/>
  <c r="AA15" i="14841"/>
  <c r="A15" i="14841"/>
  <c r="GX14" i="14841"/>
  <c r="AZ14" i="14841"/>
  <c r="AY14" i="14841"/>
  <c r="AX14" i="14841"/>
  <c r="AW14" i="14841"/>
  <c r="AV14" i="14841"/>
  <c r="AU14" i="14841"/>
  <c r="AT14" i="14841"/>
  <c r="AS14" i="14841"/>
  <c r="AR14" i="14841"/>
  <c r="AQ14" i="14841"/>
  <c r="AP14" i="14841"/>
  <c r="AO14" i="14841"/>
  <c r="AN14" i="14841"/>
  <c r="AM14" i="14841"/>
  <c r="AL14" i="14841"/>
  <c r="AK14" i="14841"/>
  <c r="AJ14" i="14841"/>
  <c r="AI14" i="14841"/>
  <c r="AH14" i="14841"/>
  <c r="AG14" i="14841"/>
  <c r="AF14" i="14841"/>
  <c r="AE14" i="14841"/>
  <c r="AA14" i="14841"/>
  <c r="A14" i="14841"/>
  <c r="A13" i="14841"/>
  <c r="HP11" i="14841"/>
  <c r="HP12" i="14841"/>
  <c r="HG11" i="14841"/>
  <c r="HG12" i="14841"/>
  <c r="GV12" i="14841"/>
  <c r="CE12" i="14841"/>
  <c r="A12" i="14841"/>
  <c r="HS11" i="14841"/>
  <c r="HS12" i="14841" s="1"/>
  <c r="HR11" i="14841"/>
  <c r="HR12" i="14841"/>
  <c r="HQ11" i="14841"/>
  <c r="HQ12" i="14841" s="1"/>
  <c r="HO11" i="14841"/>
  <c r="HO12" i="14841"/>
  <c r="HN11" i="14841"/>
  <c r="HN12" i="14841" s="1"/>
  <c r="HM11" i="14841"/>
  <c r="HM12" i="14841"/>
  <c r="HL11" i="14841"/>
  <c r="HL12" i="14841" s="1"/>
  <c r="HK11" i="14841"/>
  <c r="HK12" i="14841"/>
  <c r="HJ11" i="14841"/>
  <c r="HJ12" i="14841" s="1"/>
  <c r="HI11" i="14841"/>
  <c r="HI12" i="14841"/>
  <c r="HH11" i="14841"/>
  <c r="HH12" i="14841" s="1"/>
  <c r="HF11" i="14841"/>
  <c r="HF12" i="14841"/>
  <c r="HE11" i="14841"/>
  <c r="HE12" i="14841" s="1"/>
  <c r="HD11" i="14841"/>
  <c r="HD12" i="14841"/>
  <c r="HC11" i="14841"/>
  <c r="HC12" i="14841" s="1"/>
  <c r="HB11" i="14841"/>
  <c r="HB12" i="14841"/>
  <c r="HA11" i="14841"/>
  <c r="HA12" i="14841" s="1"/>
  <c r="GZ11" i="14841"/>
  <c r="GZ12" i="14841"/>
  <c r="GY11" i="14841"/>
  <c r="GY12" i="14841" s="1"/>
  <c r="GX11" i="14841"/>
  <c r="GX12" i="14841"/>
  <c r="EK10" i="14841"/>
  <c r="EK11" i="14841" s="1"/>
  <c r="EC10" i="14841"/>
  <c r="EC11" i="14841"/>
  <c r="AA11" i="14841"/>
  <c r="A11" i="14841"/>
  <c r="GT10" i="14841"/>
  <c r="GS10" i="14841"/>
  <c r="GR10" i="14841"/>
  <c r="GQ10" i="14841"/>
  <c r="GP10" i="14841"/>
  <c r="GO10" i="14841"/>
  <c r="GN10" i="14841"/>
  <c r="GM10" i="14841"/>
  <c r="GL10" i="14841"/>
  <c r="GK10" i="14841"/>
  <c r="GJ10" i="14841"/>
  <c r="GI10" i="14841"/>
  <c r="GH10" i="14841"/>
  <c r="GG10" i="14841"/>
  <c r="GF10" i="14841"/>
  <c r="GE10" i="14841"/>
  <c r="GD10" i="14841"/>
  <c r="GC10" i="14841"/>
  <c r="GB10" i="14841"/>
  <c r="GA10" i="14841"/>
  <c r="FZ10" i="14841"/>
  <c r="FY10" i="14841"/>
  <c r="FB8" i="14841"/>
  <c r="FB10" i="14841" s="1"/>
  <c r="FB11" i="14841" s="1"/>
  <c r="FB9" i="14841"/>
  <c r="EN8" i="14841"/>
  <c r="EM10" i="14841"/>
  <c r="EM11" i="14841" s="1"/>
  <c r="EL10" i="14841"/>
  <c r="EL11" i="14841"/>
  <c r="EJ8" i="14841"/>
  <c r="EJ10" i="14841" s="1"/>
  <c r="EJ11" i="14841" s="1"/>
  <c r="EI10" i="14841"/>
  <c r="EI11" i="14841"/>
  <c r="EH10" i="14841"/>
  <c r="EH11" i="14841" s="1"/>
  <c r="EE8" i="14841"/>
  <c r="EE10" i="14841"/>
  <c r="EE11" i="14841"/>
  <c r="ED10" i="14841"/>
  <c r="ED11" i="14841"/>
  <c r="DP10" i="14841"/>
  <c r="DN10" i="14841"/>
  <c r="DM10" i="14841"/>
  <c r="DI10" i="14841"/>
  <c r="DH10" i="14841"/>
  <c r="DD10" i="14841"/>
  <c r="CF10" i="14841"/>
  <c r="BG62" i="14841"/>
  <c r="CE10" i="14841"/>
  <c r="BF62" i="14841"/>
  <c r="BY10" i="14841"/>
  <c r="BX10" i="14841"/>
  <c r="BW10" i="14841"/>
  <c r="BV10" i="14841"/>
  <c r="BU10" i="14841"/>
  <c r="BT10" i="14841"/>
  <c r="BS10" i="14841"/>
  <c r="BR10" i="14841"/>
  <c r="BQ10" i="14841"/>
  <c r="BP10" i="14841"/>
  <c r="BO10" i="14841"/>
  <c r="BN10" i="14841"/>
  <c r="BM10" i="14841"/>
  <c r="BL10" i="14841"/>
  <c r="BK10" i="14841"/>
  <c r="BJ10" i="14841"/>
  <c r="BI10" i="14841"/>
  <c r="BH10" i="14841"/>
  <c r="BG10" i="14841"/>
  <c r="BF10" i="14841"/>
  <c r="BE10" i="14841"/>
  <c r="AA10" i="14841"/>
  <c r="A10" i="14841"/>
  <c r="FU9" i="14841"/>
  <c r="FU10" i="14841" s="1"/>
  <c r="FU11" i="14841" s="1"/>
  <c r="FU8" i="14841"/>
  <c r="FT9" i="14841"/>
  <c r="FS9" i="14841"/>
  <c r="FS27" i="14841"/>
  <c r="FR9" i="14841"/>
  <c r="FR10" i="14841" s="1"/>
  <c r="FR11" i="14841" s="1"/>
  <c r="FQ9" i="14841"/>
  <c r="FQ27" i="14841"/>
  <c r="FP9" i="14841"/>
  <c r="FO9" i="14841"/>
  <c r="FM9" i="14841"/>
  <c r="FL9" i="14841"/>
  <c r="FL27" i="14841"/>
  <c r="FK9" i="14841"/>
  <c r="FK27" i="14841" s="1"/>
  <c r="FJ9" i="14841"/>
  <c r="FJ27" i="14841"/>
  <c r="FI9" i="14841"/>
  <c r="FI27" i="14841" s="1"/>
  <c r="FH9" i="14841"/>
  <c r="FH27" i="14841"/>
  <c r="FG9" i="14841"/>
  <c r="FG27" i="14841" s="1"/>
  <c r="FF9" i="14841"/>
  <c r="FF27" i="14841"/>
  <c r="FE9" i="14841"/>
  <c r="FE27" i="14841" s="1"/>
  <c r="FD9" i="14841"/>
  <c r="FD27" i="14841"/>
  <c r="FC9" i="14841"/>
  <c r="FB27" i="14841"/>
  <c r="FA9" i="14841"/>
  <c r="FA27" i="14841" s="1"/>
  <c r="EZ9" i="14841"/>
  <c r="EZ27" i="14841"/>
  <c r="A9" i="14841"/>
  <c r="FT8" i="14841"/>
  <c r="ET8" i="14841"/>
  <c r="FR8" i="14841"/>
  <c r="FR26" i="14841"/>
  <c r="FP8" i="14841"/>
  <c r="FP26" i="14841" s="1"/>
  <c r="FO8" i="14841"/>
  <c r="FO26" i="14841"/>
  <c r="FK8" i="14841"/>
  <c r="FK10" i="14841" s="1"/>
  <c r="FK11" i="14841" s="1"/>
  <c r="FJ8" i="14841"/>
  <c r="FJ26" i="14841"/>
  <c r="FI8" i="14841"/>
  <c r="FI10" i="14841" s="1"/>
  <c r="FI11" i="14841" s="1"/>
  <c r="FG8" i="14841"/>
  <c r="FG26" i="14841"/>
  <c r="FF8" i="14841"/>
  <c r="FF26" i="14841" s="1"/>
  <c r="FA8" i="14841"/>
  <c r="EU8" i="14841"/>
  <c r="EU10" i="14841"/>
  <c r="EU11" i="14841" s="1"/>
  <c r="ET10" i="14841"/>
  <c r="ET11" i="14841"/>
  <c r="ES8" i="14841"/>
  <c r="FQ8" i="14841" s="1"/>
  <c r="FQ26" i="14841" s="1"/>
  <c r="EP8" i="14841"/>
  <c r="EO8" i="14841"/>
  <c r="EO10" i="14841"/>
  <c r="EO11" i="14841" s="1"/>
  <c r="FH8" i="14841"/>
  <c r="FH26" i="14841" s="1"/>
  <c r="EG8" i="14841"/>
  <c r="EG10" i="14841" s="1"/>
  <c r="EG11" i="14841" s="1"/>
  <c r="EF8" i="14841"/>
  <c r="FD8" i="14841"/>
  <c r="FC8" i="14841"/>
  <c r="EB8" i="14841"/>
  <c r="EB10" i="14841" s="1"/>
  <c r="EB11" i="14841" s="1"/>
  <c r="AA8" i="14841"/>
  <c r="A8" i="14841"/>
  <c r="FU7" i="14841"/>
  <c r="FT7" i="14841"/>
  <c r="FS7" i="14841"/>
  <c r="FR7" i="14841"/>
  <c r="FQ7" i="14841"/>
  <c r="FP7" i="14841"/>
  <c r="FO7" i="14841"/>
  <c r="FN7" i="14841"/>
  <c r="FM7" i="14841"/>
  <c r="FL7" i="14841"/>
  <c r="FK7" i="14841"/>
  <c r="FJ7" i="14841"/>
  <c r="FI7" i="14841"/>
  <c r="FH7" i="14841"/>
  <c r="FG7" i="14841"/>
  <c r="FF7" i="14841"/>
  <c r="FE7" i="14841"/>
  <c r="FD7" i="14841"/>
  <c r="FB7" i="14841"/>
  <c r="FA7" i="14841"/>
  <c r="BY7" i="14841"/>
  <c r="BX7" i="14841"/>
  <c r="BW7" i="14841"/>
  <c r="BV7" i="14841"/>
  <c r="BS7" i="14841"/>
  <c r="BR7" i="14841"/>
  <c r="BQ7" i="14841"/>
  <c r="BP7" i="14841"/>
  <c r="BO7" i="14841"/>
  <c r="BN7" i="14841"/>
  <c r="BM7" i="14841"/>
  <c r="BJ7" i="14841"/>
  <c r="BI7" i="14841"/>
  <c r="BH7" i="14841"/>
  <c r="BE7" i="14841"/>
  <c r="AA7" i="14841"/>
  <c r="A7" i="14841"/>
  <c r="FU6" i="14841"/>
  <c r="FT6" i="14841"/>
  <c r="FS6" i="14841"/>
  <c r="FR6" i="14841"/>
  <c r="FQ6" i="14841"/>
  <c r="FP6" i="14841"/>
  <c r="FO6" i="14841"/>
  <c r="FN6" i="14841"/>
  <c r="FM6" i="14841"/>
  <c r="FL6" i="14841"/>
  <c r="FK6" i="14841"/>
  <c r="FJ6" i="14841"/>
  <c r="FI6" i="14841"/>
  <c r="FH6" i="14841"/>
  <c r="FG6" i="14841"/>
  <c r="FF6" i="14841"/>
  <c r="FE6" i="14841"/>
  <c r="FD6" i="14841"/>
  <c r="FB6" i="14841"/>
  <c r="FA6" i="14841"/>
  <c r="AA6" i="14841"/>
  <c r="A6" i="14841"/>
  <c r="FU5" i="14841"/>
  <c r="FT5" i="14841"/>
  <c r="FS5" i="14841"/>
  <c r="FR5" i="14841"/>
  <c r="FQ5" i="14841"/>
  <c r="FP5" i="14841"/>
  <c r="FO5" i="14841"/>
  <c r="FN5" i="14841"/>
  <c r="FM5" i="14841"/>
  <c r="FL5" i="14841"/>
  <c r="FK5" i="14841"/>
  <c r="FJ5" i="14841"/>
  <c r="FI5" i="14841"/>
  <c r="FH5" i="14841"/>
  <c r="FG5" i="14841"/>
  <c r="FF5" i="14841"/>
  <c r="FE5" i="14841"/>
  <c r="FD5" i="14841"/>
  <c r="FC5" i="14841"/>
  <c r="FB5" i="14841"/>
  <c r="FA5" i="14841"/>
  <c r="EZ5" i="14841"/>
  <c r="CX5" i="14841"/>
  <c r="CW5" i="14841"/>
  <c r="CV5" i="14841"/>
  <c r="CU5" i="14841"/>
  <c r="CT5" i="14841"/>
  <c r="CS5" i="14841"/>
  <c r="CR5" i="14841"/>
  <c r="CQ5" i="14841"/>
  <c r="CP5" i="14841"/>
  <c r="CO5" i="14841"/>
  <c r="CN5" i="14841"/>
  <c r="CM5" i="14841"/>
  <c r="CL5" i="14841"/>
  <c r="CI5" i="14841"/>
  <c r="CH5" i="14841"/>
  <c r="CG5" i="14841"/>
  <c r="CD5" i="14841"/>
  <c r="AA5" i="14841"/>
  <c r="A5" i="14841"/>
  <c r="FU4" i="14841"/>
  <c r="FT4" i="14841"/>
  <c r="FS4" i="14841"/>
  <c r="FR4" i="14841"/>
  <c r="FQ4" i="14841"/>
  <c r="FP4" i="14841"/>
  <c r="FO4" i="14841"/>
  <c r="FN4" i="14841"/>
  <c r="FM4" i="14841"/>
  <c r="FL4" i="14841"/>
  <c r="FK4" i="14841"/>
  <c r="FJ4" i="14841"/>
  <c r="FI4" i="14841"/>
  <c r="FH4" i="14841"/>
  <c r="FG4" i="14841"/>
  <c r="FF4" i="14841"/>
  <c r="FE4" i="14841"/>
  <c r="FD4" i="14841"/>
  <c r="FC4" i="14841"/>
  <c r="FB4" i="14841"/>
  <c r="FA4" i="14841"/>
  <c r="EZ4" i="14841"/>
  <c r="AA4" i="14841"/>
  <c r="A4" i="14841"/>
  <c r="FU3" i="14841"/>
  <c r="FT3" i="14841"/>
  <c r="FS3" i="14841"/>
  <c r="FR3" i="14841"/>
  <c r="FQ3" i="14841"/>
  <c r="FP3" i="14841"/>
  <c r="FO3" i="14841"/>
  <c r="FN3" i="14841"/>
  <c r="FM3" i="14841"/>
  <c r="FL3" i="14841"/>
  <c r="FK3" i="14841"/>
  <c r="FJ3" i="14841"/>
  <c r="FI3" i="14841"/>
  <c r="FH3" i="14841"/>
  <c r="FG3" i="14841"/>
  <c r="FF3" i="14841"/>
  <c r="FE3" i="14841"/>
  <c r="FD3" i="14841"/>
  <c r="FC3" i="14841"/>
  <c r="FB3" i="14841"/>
  <c r="FA3" i="14841"/>
  <c r="EZ3" i="14841"/>
  <c r="AA3" i="14841"/>
  <c r="A3" i="14841"/>
  <c r="HS2" i="14841"/>
  <c r="HR2" i="14841"/>
  <c r="HQ2" i="14841"/>
  <c r="HP2" i="14841"/>
  <c r="HO2" i="14841"/>
  <c r="HN2" i="14841"/>
  <c r="HM2" i="14841"/>
  <c r="HL2" i="14841"/>
  <c r="HK2" i="14841"/>
  <c r="HJ2" i="14841"/>
  <c r="HI2" i="14841"/>
  <c r="HH2" i="14841"/>
  <c r="HG2" i="14841"/>
  <c r="HF2" i="14841"/>
  <c r="HE2" i="14841"/>
  <c r="HD2" i="14841"/>
  <c r="HC2" i="14841"/>
  <c r="HB2" i="14841"/>
  <c r="HA2" i="14841"/>
  <c r="GZ2" i="14841"/>
  <c r="GY2" i="14841"/>
  <c r="GX2" i="14841"/>
  <c r="GT2" i="14841"/>
  <c r="GS2" i="14841"/>
  <c r="GR2" i="14841"/>
  <c r="GQ2" i="14841"/>
  <c r="GP2" i="14841"/>
  <c r="GO2" i="14841"/>
  <c r="GN2" i="14841"/>
  <c r="GM2" i="14841"/>
  <c r="GL2" i="14841"/>
  <c r="GK2" i="14841"/>
  <c r="GJ2" i="14841"/>
  <c r="GI2" i="14841"/>
  <c r="GH2" i="14841"/>
  <c r="GG2" i="14841"/>
  <c r="GF2" i="14841"/>
  <c r="GE2" i="14841"/>
  <c r="GD2" i="14841"/>
  <c r="GC2" i="14841"/>
  <c r="GB2" i="14841"/>
  <c r="GA2" i="14841"/>
  <c r="FZ2" i="14841"/>
  <c r="FY2" i="14841"/>
  <c r="FU2" i="14841"/>
  <c r="FT2" i="14841"/>
  <c r="FS2" i="14841"/>
  <c r="FR2" i="14841"/>
  <c r="FQ2" i="14841"/>
  <c r="FP2" i="14841"/>
  <c r="FO2" i="14841"/>
  <c r="FN2" i="14841"/>
  <c r="FM2" i="14841"/>
  <c r="FL2" i="14841"/>
  <c r="FK2" i="14841"/>
  <c r="FJ2" i="14841"/>
  <c r="FI2" i="14841"/>
  <c r="FH2" i="14841"/>
  <c r="FG2" i="14841"/>
  <c r="FF2" i="14841"/>
  <c r="FE2" i="14841"/>
  <c r="FD2" i="14841"/>
  <c r="FC2" i="14841"/>
  <c r="FB2" i="14841"/>
  <c r="FA2" i="14841"/>
  <c r="EZ2" i="14841"/>
  <c r="EV2" i="14841"/>
  <c r="EU2" i="14841"/>
  <c r="ET2" i="14841"/>
  <c r="ES2" i="14841"/>
  <c r="ER2" i="14841"/>
  <c r="EQ2" i="14841"/>
  <c r="EP2" i="14841"/>
  <c r="EO2" i="14841"/>
  <c r="EN2" i="14841"/>
  <c r="EM2" i="14841"/>
  <c r="EL2" i="14841"/>
  <c r="EK2" i="14841"/>
  <c r="EJ2" i="14841"/>
  <c r="EI2" i="14841"/>
  <c r="EH2" i="14841"/>
  <c r="EG2" i="14841"/>
  <c r="EF2" i="14841"/>
  <c r="EE2" i="14841"/>
  <c r="ED2" i="14841"/>
  <c r="EC2" i="14841"/>
  <c r="EB2" i="14841"/>
  <c r="DW2" i="14841"/>
  <c r="DV2" i="14841"/>
  <c r="DU2" i="14841"/>
  <c r="DT2" i="14841"/>
  <c r="DS2" i="14841"/>
  <c r="DR2" i="14841"/>
  <c r="DQ2" i="14841"/>
  <c r="DP2" i="14841"/>
  <c r="DO2" i="14841"/>
  <c r="DN2" i="14841"/>
  <c r="DM2" i="14841"/>
  <c r="DL2" i="14841"/>
  <c r="DK2" i="14841"/>
  <c r="DJ2" i="14841"/>
  <c r="DI2" i="14841"/>
  <c r="DH2" i="14841"/>
  <c r="DG2" i="14841"/>
  <c r="DF2" i="14841"/>
  <c r="DE2" i="14841"/>
  <c r="CY2" i="14841"/>
  <c r="CX2" i="14841"/>
  <c r="CW2" i="14841"/>
  <c r="CV2" i="14841"/>
  <c r="CU2" i="14841"/>
  <c r="CT2" i="14841"/>
  <c r="CS2" i="14841"/>
  <c r="CR2" i="14841"/>
  <c r="CQ2" i="14841"/>
  <c r="CP2" i="14841"/>
  <c r="CO2" i="14841"/>
  <c r="CN2" i="14841"/>
  <c r="CM2" i="14841"/>
  <c r="CL2" i="14841"/>
  <c r="CK2" i="14841"/>
  <c r="CJ2" i="14841"/>
  <c r="CI2" i="14841"/>
  <c r="CH2" i="14841"/>
  <c r="CG2" i="14841"/>
  <c r="CF2" i="14841"/>
  <c r="CE2" i="14841"/>
  <c r="CD2" i="14841"/>
  <c r="BZ2" i="14841"/>
  <c r="BY2" i="14841"/>
  <c r="BX2" i="14841"/>
  <c r="BW2" i="14841"/>
  <c r="BV2" i="14841"/>
  <c r="BU2" i="14841"/>
  <c r="BT2" i="14841"/>
  <c r="BS2" i="14841"/>
  <c r="BR2" i="14841"/>
  <c r="BQ2" i="14841"/>
  <c r="BP2" i="14841"/>
  <c r="BO2" i="14841"/>
  <c r="BN2" i="14841"/>
  <c r="BM2" i="14841"/>
  <c r="BL2" i="14841"/>
  <c r="BK2" i="14841"/>
  <c r="BJ2" i="14841"/>
  <c r="BI2" i="14841"/>
  <c r="BH2" i="14841"/>
  <c r="BG2" i="14841"/>
  <c r="BF2" i="14841"/>
  <c r="BE2" i="14841"/>
  <c r="AZ2" i="14841"/>
  <c r="AY2" i="14841"/>
  <c r="AX2" i="14841"/>
  <c r="AW2" i="14841"/>
  <c r="AV2" i="14841"/>
  <c r="AU2" i="14841"/>
  <c r="AT2" i="14841"/>
  <c r="AS2" i="14841"/>
  <c r="AR2" i="14841"/>
  <c r="AQ2" i="14841"/>
  <c r="AP2" i="14841"/>
  <c r="AO2" i="14841"/>
  <c r="AN2" i="14841"/>
  <c r="AM2" i="14841"/>
  <c r="AL2" i="14841"/>
  <c r="AK2" i="14841"/>
  <c r="AJ2" i="14841"/>
  <c r="AI2" i="14841"/>
  <c r="AH2" i="14841"/>
  <c r="AG2" i="14841"/>
  <c r="AF2" i="14841"/>
  <c r="AE2" i="14841"/>
  <c r="HS1" i="14841"/>
  <c r="HR1" i="14841"/>
  <c r="HQ1" i="14841"/>
  <c r="HP1" i="14841"/>
  <c r="HO1" i="14841"/>
  <c r="HN1" i="14841"/>
  <c r="HM1" i="14841"/>
  <c r="HL1" i="14841"/>
  <c r="HK1" i="14841"/>
  <c r="HJ1" i="14841"/>
  <c r="HI1" i="14841"/>
  <c r="HH1" i="14841"/>
  <c r="HG1" i="14841"/>
  <c r="HF1" i="14841"/>
  <c r="HE1" i="14841"/>
  <c r="HD1" i="14841"/>
  <c r="HC1" i="14841"/>
  <c r="HB1" i="14841"/>
  <c r="HA1" i="14841"/>
  <c r="GZ1" i="14841"/>
  <c r="GY1" i="14841"/>
  <c r="GX1" i="14841"/>
  <c r="GT1" i="14841"/>
  <c r="GS1" i="14841"/>
  <c r="GR1" i="14841"/>
  <c r="GQ1" i="14841"/>
  <c r="GP1" i="14841"/>
  <c r="GO1" i="14841"/>
  <c r="GN1" i="14841"/>
  <c r="GM1" i="14841"/>
  <c r="GL1" i="14841"/>
  <c r="GK1" i="14841"/>
  <c r="GJ1" i="14841"/>
  <c r="GI1" i="14841"/>
  <c r="GH1" i="14841"/>
  <c r="GG1" i="14841"/>
  <c r="GF1" i="14841"/>
  <c r="GE1" i="14841"/>
  <c r="GD1" i="14841"/>
  <c r="GC1" i="14841"/>
  <c r="GB1" i="14841"/>
  <c r="GA1" i="14841"/>
  <c r="FZ1" i="14841"/>
  <c r="FY1" i="14841"/>
  <c r="FU1" i="14841"/>
  <c r="FT1" i="14841"/>
  <c r="FS1" i="14841"/>
  <c r="FS25" i="14841" s="1"/>
  <c r="FR1" i="14841"/>
  <c r="FR25" i="14841"/>
  <c r="FQ1" i="14841"/>
  <c r="FQ25" i="14841" s="1"/>
  <c r="FP1" i="14841"/>
  <c r="FP25" i="14841"/>
  <c r="FN1" i="14841"/>
  <c r="FN25" i="14841" s="1"/>
  <c r="FM1" i="14841"/>
  <c r="FM25" i="14841"/>
  <c r="FL1" i="14841"/>
  <c r="FL25" i="14841" s="1"/>
  <c r="FK1" i="14841"/>
  <c r="FK25" i="14841"/>
  <c r="FJ1" i="14841"/>
  <c r="FJ25" i="14841" s="1"/>
  <c r="FI1" i="14841"/>
  <c r="FI25" i="14841"/>
  <c r="FH1" i="14841"/>
  <c r="FH25" i="14841" s="1"/>
  <c r="FG1" i="14841"/>
  <c r="FG25" i="14841"/>
  <c r="FF1" i="14841"/>
  <c r="FF25" i="14841" s="1"/>
  <c r="FE1" i="14841"/>
  <c r="FE25" i="14841"/>
  <c r="FD1" i="14841"/>
  <c r="FD25" i="14841" s="1"/>
  <c r="FC1" i="14841"/>
  <c r="FC25" i="14841"/>
  <c r="FB1" i="14841"/>
  <c r="FB25" i="14841" s="1"/>
  <c r="FA1" i="14841"/>
  <c r="FA25" i="14841"/>
  <c r="EZ1" i="14841"/>
  <c r="EZ25" i="14841" s="1"/>
  <c r="EV1" i="14841"/>
  <c r="EU1" i="14841"/>
  <c r="ET1" i="14841"/>
  <c r="ES1" i="14841"/>
  <c r="ER1" i="14841"/>
  <c r="EQ1" i="14841"/>
  <c r="EP1" i="14841"/>
  <c r="EO1" i="14841"/>
  <c r="EN1" i="14841"/>
  <c r="EM1" i="14841"/>
  <c r="EL1" i="14841"/>
  <c r="EK1" i="14841"/>
  <c r="EJ1" i="14841"/>
  <c r="EI1" i="14841"/>
  <c r="EH1" i="14841"/>
  <c r="EG1" i="14841"/>
  <c r="EF1" i="14841"/>
  <c r="EE1" i="14841"/>
  <c r="ED1" i="14841"/>
  <c r="EC1" i="14841"/>
  <c r="EB1" i="14841"/>
  <c r="DW1" i="14841"/>
  <c r="DV1" i="14841"/>
  <c r="DU1" i="14841"/>
  <c r="DT1" i="14841"/>
  <c r="DS1" i="14841"/>
  <c r="DR1" i="14841"/>
  <c r="DQ1" i="14841"/>
  <c r="DP1" i="14841"/>
  <c r="DO1" i="14841"/>
  <c r="DN1" i="14841"/>
  <c r="DM1" i="14841"/>
  <c r="DL1" i="14841"/>
  <c r="DK1" i="14841"/>
  <c r="DJ1" i="14841"/>
  <c r="DI1" i="14841"/>
  <c r="DH1" i="14841"/>
  <c r="DG1" i="14841"/>
  <c r="DF1" i="14841"/>
  <c r="DE1" i="14841"/>
  <c r="DD1" i="14841"/>
  <c r="CY1" i="14841"/>
  <c r="CX1" i="14841"/>
  <c r="CW1" i="14841"/>
  <c r="CV1" i="14841"/>
  <c r="CU1" i="14841"/>
  <c r="CT1" i="14841"/>
  <c r="CS1" i="14841"/>
  <c r="CR1" i="14841"/>
  <c r="CQ1" i="14841"/>
  <c r="CP1" i="14841"/>
  <c r="CO1" i="14841"/>
  <c r="CN1" i="14841"/>
  <c r="CM1" i="14841"/>
  <c r="CL1" i="14841"/>
  <c r="CK1" i="14841"/>
  <c r="CJ1" i="14841"/>
  <c r="CI1" i="14841"/>
  <c r="CH1" i="14841"/>
  <c r="CG1" i="14841"/>
  <c r="CF1" i="14841"/>
  <c r="CE1" i="14841"/>
  <c r="CD1" i="14841"/>
  <c r="BZ1" i="14841"/>
  <c r="BY1" i="14841"/>
  <c r="BX1" i="14841"/>
  <c r="BW1" i="14841"/>
  <c r="BV1" i="14841"/>
  <c r="BU1" i="14841"/>
  <c r="BT1" i="14841"/>
  <c r="BS1" i="14841"/>
  <c r="BR1" i="14841"/>
  <c r="BQ1" i="14841"/>
  <c r="BP1" i="14841"/>
  <c r="BO1" i="14841"/>
  <c r="BN1" i="14841"/>
  <c r="BM1" i="14841"/>
  <c r="BL1" i="14841"/>
  <c r="BK1" i="14841"/>
  <c r="BJ1" i="14841"/>
  <c r="BI1" i="14841"/>
  <c r="BH1" i="14841"/>
  <c r="BG1" i="14841"/>
  <c r="BF1" i="14841"/>
  <c r="BE1" i="14841"/>
  <c r="AZ1" i="14841"/>
  <c r="AY1" i="14841"/>
  <c r="AX1" i="14841"/>
  <c r="AW1" i="14841"/>
  <c r="AV1" i="14841"/>
  <c r="AU1" i="14841"/>
  <c r="AT1" i="14841"/>
  <c r="AS1" i="14841"/>
  <c r="AR1" i="14841"/>
  <c r="AQ1" i="14841"/>
  <c r="AP1" i="14841"/>
  <c r="AO1" i="14841"/>
  <c r="AN1" i="14841"/>
  <c r="AM1" i="14841"/>
  <c r="AL1" i="14841"/>
  <c r="AK1" i="14841"/>
  <c r="AJ1" i="14841"/>
  <c r="AI1" i="14841"/>
  <c r="AH1" i="14841"/>
  <c r="AG1" i="14841"/>
  <c r="AF1" i="14841"/>
  <c r="AE1" i="14841"/>
  <c r="EF10" i="14841"/>
  <c r="EF11" i="14841" s="1"/>
  <c r="BI216" i="14841"/>
  <c r="BM216" i="14841"/>
  <c r="BQ216" i="14841"/>
  <c r="BY216" i="14841"/>
  <c r="FM8" i="14841"/>
  <c r="FM10" i="14841" s="1"/>
  <c r="FM11" i="14841" s="1"/>
  <c r="FM26" i="14841"/>
  <c r="BH216" i="14841"/>
  <c r="BE216" i="14841"/>
  <c r="EZ8" i="14841"/>
  <c r="EZ10" i="14841" s="1"/>
  <c r="ES10" i="14841"/>
  <c r="ES11" i="14841" s="1"/>
  <c r="BG63" i="14841"/>
  <c r="FA26" i="14841"/>
  <c r="FJ10" i="14841"/>
  <c r="FJ11" i="14841"/>
  <c r="FE8" i="14841"/>
  <c r="FM27" i="14841"/>
  <c r="FC26" i="14841"/>
  <c r="FT10" i="14841"/>
  <c r="FT11" i="14841" s="1"/>
  <c r="FS8" i="14841"/>
  <c r="FS10" i="14841" s="1"/>
  <c r="FS11" i="14841" s="1"/>
  <c r="FO10" i="14841"/>
  <c r="FO11" i="14841"/>
  <c r="BN216" i="14841"/>
  <c r="BR216" i="14841"/>
  <c r="H19" i="14836"/>
  <c r="I19" i="14836"/>
  <c r="K19" i="14836"/>
  <c r="L19" i="14836"/>
  <c r="M19" i="14836"/>
  <c r="N19" i="14836"/>
  <c r="O19" i="14836"/>
  <c r="P19" i="14836"/>
  <c r="Q19" i="14836"/>
  <c r="E19" i="14836"/>
  <c r="GV12" i="14835"/>
  <c r="FS26" i="14841"/>
  <c r="FQ10" i="14841"/>
  <c r="FQ11" i="14841" s="1"/>
  <c r="EZ11" i="14841"/>
  <c r="AR8" i="14826"/>
  <c r="AR9" i="14826"/>
  <c r="AR10" i="14826"/>
  <c r="AR11" i="14826"/>
  <c r="AR12" i="14826"/>
  <c r="AR13" i="14826"/>
  <c r="AR14" i="14826"/>
  <c r="AR15" i="14826"/>
  <c r="AR16" i="14826"/>
  <c r="AR17" i="14826"/>
  <c r="AR18" i="14826"/>
  <c r="AR19" i="14826"/>
  <c r="AR20" i="14826"/>
  <c r="AR21" i="14826"/>
  <c r="AR22" i="14826"/>
  <c r="AR23" i="14826"/>
  <c r="AR24" i="14826"/>
  <c r="AR25" i="14826"/>
  <c r="AR26" i="14826"/>
  <c r="AR27" i="14826"/>
  <c r="AR28" i="14826"/>
  <c r="AR29" i="14826"/>
  <c r="AR30" i="14826"/>
  <c r="AR31" i="14826"/>
  <c r="AR32" i="14826"/>
  <c r="AR33" i="14826"/>
  <c r="AR34" i="14826"/>
  <c r="AR35" i="14826"/>
  <c r="AR36" i="14826"/>
  <c r="AR37" i="14826"/>
  <c r="AR38" i="14826"/>
  <c r="AR39" i="14826"/>
  <c r="AR40" i="14826"/>
  <c r="AR41" i="14826"/>
  <c r="AR42" i="14826"/>
  <c r="AR43" i="14826"/>
  <c r="AR44" i="14826"/>
  <c r="AR45" i="14826"/>
  <c r="AR46" i="14826"/>
  <c r="AR47" i="14826"/>
  <c r="AR48" i="14826"/>
  <c r="AR49" i="14826"/>
  <c r="AR50" i="14826"/>
  <c r="AR51" i="14826"/>
  <c r="AR7" i="14826"/>
  <c r="AK8" i="14826"/>
  <c r="AK9" i="14826"/>
  <c r="AK10" i="14826"/>
  <c r="AK11" i="14826"/>
  <c r="AK12" i="14826"/>
  <c r="AK13" i="14826"/>
  <c r="AK14" i="14826"/>
  <c r="AK15" i="14826"/>
  <c r="AK16" i="14826"/>
  <c r="AK17" i="14826"/>
  <c r="AK18" i="14826"/>
  <c r="AK19" i="14826"/>
  <c r="AK20" i="14826"/>
  <c r="AK21" i="14826"/>
  <c r="AK22" i="14826"/>
  <c r="AK23" i="14826"/>
  <c r="AK24" i="14826"/>
  <c r="AK25" i="14826"/>
  <c r="AK26" i="14826"/>
  <c r="AK27" i="14826"/>
  <c r="AK28" i="14826"/>
  <c r="AK29" i="14826"/>
  <c r="AK30" i="14826"/>
  <c r="AK31" i="14826"/>
  <c r="AK32" i="14826"/>
  <c r="AK33" i="14826"/>
  <c r="AK34" i="14826"/>
  <c r="AK35" i="14826"/>
  <c r="AK36" i="14826"/>
  <c r="AK37" i="14826"/>
  <c r="AK38" i="14826"/>
  <c r="AK39" i="14826"/>
  <c r="AK40" i="14826"/>
  <c r="AK41" i="14826"/>
  <c r="AK42" i="14826"/>
  <c r="AK43" i="14826"/>
  <c r="AK44" i="14826"/>
  <c r="AK45" i="14826"/>
  <c r="AK46" i="14826"/>
  <c r="AK47" i="14826"/>
  <c r="AK48" i="14826"/>
  <c r="AK49" i="14826"/>
  <c r="AK50" i="14826"/>
  <c r="AK51" i="14826"/>
  <c r="AK7" i="14826"/>
  <c r="AD8" i="14826"/>
  <c r="AD9" i="14826"/>
  <c r="AD10" i="14826"/>
  <c r="AD11" i="14826"/>
  <c r="AD12" i="14826"/>
  <c r="AD13" i="14826"/>
  <c r="AD14" i="14826"/>
  <c r="AD15" i="14826"/>
  <c r="AD16" i="14826"/>
  <c r="AD17" i="14826"/>
  <c r="AD18" i="14826"/>
  <c r="AD19" i="14826"/>
  <c r="AD20" i="14826"/>
  <c r="AD21" i="14826"/>
  <c r="AD22" i="14826"/>
  <c r="AD23" i="14826"/>
  <c r="AD24" i="14826"/>
  <c r="AD25" i="14826"/>
  <c r="AD26" i="14826"/>
  <c r="AD27" i="14826"/>
  <c r="AD28" i="14826"/>
  <c r="AD29" i="14826"/>
  <c r="AD30" i="14826"/>
  <c r="AD31" i="14826"/>
  <c r="AD32" i="14826"/>
  <c r="AD33" i="14826"/>
  <c r="AD34" i="14826"/>
  <c r="AD35" i="14826"/>
  <c r="AD36" i="14826"/>
  <c r="AD37" i="14826"/>
  <c r="AD38" i="14826"/>
  <c r="AD39" i="14826"/>
  <c r="AD40" i="14826"/>
  <c r="AD41" i="14826"/>
  <c r="AD42" i="14826"/>
  <c r="AD43" i="14826"/>
  <c r="AD44" i="14826"/>
  <c r="AD45" i="14826"/>
  <c r="AD46" i="14826"/>
  <c r="AD47" i="14826"/>
  <c r="AD48" i="14826"/>
  <c r="AD49" i="14826"/>
  <c r="AD50" i="14826"/>
  <c r="AD51" i="14826"/>
  <c r="AD7" i="14826"/>
  <c r="F234" i="14829"/>
  <c r="F14" i="14829"/>
  <c r="F431" i="14829"/>
  <c r="B15" i="14831" s="1"/>
  <c r="F432" i="14829"/>
  <c r="B21" i="14831" s="1"/>
  <c r="F433" i="14829"/>
  <c r="B24" i="14831" s="1"/>
  <c r="F434" i="14829"/>
  <c r="F16" i="14829"/>
  <c r="F3" i="14829"/>
  <c r="GM1" i="14835"/>
  <c r="GM2" i="14835"/>
  <c r="GM10" i="14835"/>
  <c r="GX11" i="14835"/>
  <c r="GX12" i="14835"/>
  <c r="HA11" i="14835"/>
  <c r="HB11" i="14835"/>
  <c r="HC11" i="14835"/>
  <c r="HE11" i="14835"/>
  <c r="HF11" i="14835"/>
  <c r="HJ11" i="14835"/>
  <c r="HK11" i="14835"/>
  <c r="HL11" i="14835"/>
  <c r="HO11" i="14835"/>
  <c r="HP11" i="14835"/>
  <c r="HQ11" i="14835"/>
  <c r="HR11" i="14835"/>
  <c r="HS11" i="14835"/>
  <c r="GX2" i="14835"/>
  <c r="GY2" i="14835"/>
  <c r="GZ2" i="14835"/>
  <c r="HA2" i="14835"/>
  <c r="HB2" i="14835"/>
  <c r="HC2" i="14835"/>
  <c r="HD2" i="14835"/>
  <c r="HE2" i="14835"/>
  <c r="HF2" i="14835"/>
  <c r="HG2" i="14835"/>
  <c r="HH2" i="14835"/>
  <c r="HI2" i="14835"/>
  <c r="HJ2" i="14835"/>
  <c r="HK2" i="14835"/>
  <c r="HL2" i="14835"/>
  <c r="HM2" i="14835"/>
  <c r="HN2" i="14835"/>
  <c r="HO2" i="14835"/>
  <c r="HP2" i="14835"/>
  <c r="HQ2" i="14835"/>
  <c r="HR2" i="14835"/>
  <c r="HS2" i="14835"/>
  <c r="GX14" i="14835"/>
  <c r="HR1" i="14835"/>
  <c r="HS1" i="14835"/>
  <c r="GS1" i="14835"/>
  <c r="GT1" i="14835"/>
  <c r="GS2" i="14835"/>
  <c r="GT2" i="14835"/>
  <c r="GS10" i="14835"/>
  <c r="GT10" i="14835"/>
  <c r="GY1" i="14835"/>
  <c r="GZ1" i="14835"/>
  <c r="HA1" i="14835"/>
  <c r="HB1" i="14835"/>
  <c r="HC1" i="14835"/>
  <c r="HD1" i="14835"/>
  <c r="HE1" i="14835"/>
  <c r="HF1" i="14835"/>
  <c r="HG1" i="14835"/>
  <c r="HH1" i="14835"/>
  <c r="HI1" i="14835"/>
  <c r="HJ1" i="14835"/>
  <c r="HK1" i="14835"/>
  <c r="HL1" i="14835"/>
  <c r="HM1" i="14835"/>
  <c r="HN1" i="14835"/>
  <c r="HO1" i="14835"/>
  <c r="HP1" i="14835"/>
  <c r="HQ1" i="14835"/>
  <c r="GX1" i="14835"/>
  <c r="FY1" i="14835"/>
  <c r="M7" i="14786"/>
  <c r="M6" i="14786"/>
  <c r="BF10" i="14835"/>
  <c r="BG10" i="14835"/>
  <c r="BH10" i="14835"/>
  <c r="BI10" i="14835"/>
  <c r="BJ10" i="14835"/>
  <c r="BK10" i="14835"/>
  <c r="BL10" i="14835"/>
  <c r="BM10" i="14835"/>
  <c r="BN10" i="14835"/>
  <c r="BO10" i="14835"/>
  <c r="BP10" i="14835"/>
  <c r="BQ10" i="14835"/>
  <c r="BR10" i="14835"/>
  <c r="BS10" i="14835"/>
  <c r="BT10" i="14835"/>
  <c r="BU10" i="14835"/>
  <c r="BV10" i="14835"/>
  <c r="BW10" i="14835"/>
  <c r="BX10" i="14835"/>
  <c r="BY10" i="14835"/>
  <c r="BE10" i="14835"/>
  <c r="CE10" i="14835"/>
  <c r="BF62" i="14835" s="1"/>
  <c r="CF10" i="14835"/>
  <c r="BG62" i="14835"/>
  <c r="CE12" i="14835"/>
  <c r="E61" i="14836"/>
  <c r="F61" i="14836"/>
  <c r="G61" i="14836"/>
  <c r="H61" i="14836"/>
  <c r="I61" i="14836"/>
  <c r="J61" i="14836"/>
  <c r="K61" i="14836"/>
  <c r="L61" i="14836"/>
  <c r="M61" i="14836"/>
  <c r="N61" i="14836"/>
  <c r="O61" i="14836"/>
  <c r="P61" i="14836"/>
  <c r="Q61" i="14836"/>
  <c r="D61" i="14836"/>
  <c r="E40" i="14836"/>
  <c r="F40" i="14836"/>
  <c r="G40" i="14836"/>
  <c r="H40" i="14836"/>
  <c r="I40" i="14836"/>
  <c r="J40" i="14836"/>
  <c r="K40" i="14836"/>
  <c r="L40" i="14836"/>
  <c r="M40" i="14836"/>
  <c r="N40" i="14836"/>
  <c r="O40" i="14836"/>
  <c r="P40" i="14836"/>
  <c r="Q40" i="14836"/>
  <c r="D40" i="14836"/>
  <c r="F19" i="14836"/>
  <c r="S9" i="14836"/>
  <c r="T9" i="14836"/>
  <c r="S10" i="14836"/>
  <c r="T10" i="14836"/>
  <c r="S13" i="14836"/>
  <c r="T13" i="14836"/>
  <c r="S14" i="14836"/>
  <c r="T14" i="14836"/>
  <c r="T6" i="14836"/>
  <c r="S6" i="14836"/>
  <c r="T7" i="14836"/>
  <c r="S7" i="14836"/>
  <c r="EZ9" i="14835"/>
  <c r="EZ27" i="14835"/>
  <c r="FZ1" i="14835"/>
  <c r="GA1" i="14835"/>
  <c r="GB1" i="14835"/>
  <c r="GC1" i="14835"/>
  <c r="GD1" i="14835"/>
  <c r="GE1" i="14835"/>
  <c r="GF1" i="14835"/>
  <c r="GG1" i="14835"/>
  <c r="GH1" i="14835"/>
  <c r="GI1" i="14835"/>
  <c r="GJ1" i="14835"/>
  <c r="GK1" i="14835"/>
  <c r="GL1" i="14835"/>
  <c r="GN1" i="14835"/>
  <c r="GO1" i="14835"/>
  <c r="GP1" i="14835"/>
  <c r="GQ1" i="14835"/>
  <c r="GR1" i="14835"/>
  <c r="FZ2" i="14835"/>
  <c r="GA2" i="14835"/>
  <c r="GB2" i="14835"/>
  <c r="GC2" i="14835"/>
  <c r="GD2" i="14835"/>
  <c r="GE2" i="14835"/>
  <c r="GF2" i="14835"/>
  <c r="GG2" i="14835"/>
  <c r="GH2" i="14835"/>
  <c r="GI2" i="14835"/>
  <c r="GJ2" i="14835"/>
  <c r="GK2" i="14835"/>
  <c r="GL2" i="14835"/>
  <c r="GN2" i="14835"/>
  <c r="GO2" i="14835"/>
  <c r="GP2" i="14835"/>
  <c r="GQ2" i="14835"/>
  <c r="GR2" i="14835"/>
  <c r="FY2" i="14835"/>
  <c r="EZ2" i="14835"/>
  <c r="GO10" i="14835"/>
  <c r="FP9" i="14835"/>
  <c r="FP10" i="14835" s="1"/>
  <c r="FP11" i="14835" s="1"/>
  <c r="FP8" i="14835"/>
  <c r="FP26" i="14835" s="1"/>
  <c r="FP7" i="14835"/>
  <c r="FP6" i="14835"/>
  <c r="FP5" i="14835"/>
  <c r="FP4" i="14835"/>
  <c r="FP3" i="14835"/>
  <c r="GN10" i="14835"/>
  <c r="FO9" i="14835"/>
  <c r="FO10" i="14835" s="1"/>
  <c r="FO8" i="14835"/>
  <c r="FO26" i="14835"/>
  <c r="FO7" i="14835"/>
  <c r="FO6" i="14835"/>
  <c r="FO5" i="14835"/>
  <c r="FO4" i="14835"/>
  <c r="FO3" i="14835"/>
  <c r="FP2" i="14835"/>
  <c r="FP1" i="14835"/>
  <c r="FP25" i="14835"/>
  <c r="FO2" i="14835"/>
  <c r="FO1" i="14835"/>
  <c r="FO25" i="14835" s="1"/>
  <c r="ER2" i="14835"/>
  <c r="ER1" i="14835"/>
  <c r="EQ2" i="14835"/>
  <c r="EQ1" i="14835"/>
  <c r="CT2" i="14835"/>
  <c r="CT1" i="14835"/>
  <c r="CS2" i="14835"/>
  <c r="CS1" i="14835"/>
  <c r="BU216" i="14835"/>
  <c r="BU215" i="14835"/>
  <c r="BT216" i="14835"/>
  <c r="BT217" i="14835" s="1"/>
  <c r="BT215" i="14835"/>
  <c r="BU189" i="14835"/>
  <c r="BT189" i="14835"/>
  <c r="BU164" i="14835"/>
  <c r="BT164" i="14835"/>
  <c r="BU112" i="14835"/>
  <c r="BT112" i="14835"/>
  <c r="BV86" i="14835"/>
  <c r="BU86" i="14835"/>
  <c r="BT86" i="14835"/>
  <c r="BP86" i="14835"/>
  <c r="BO86" i="14835"/>
  <c r="BN86" i="14835"/>
  <c r="BP61" i="14835"/>
  <c r="BO61" i="14835"/>
  <c r="BN61" i="14835"/>
  <c r="BU61" i="14835"/>
  <c r="BT61" i="14835"/>
  <c r="BU44" i="14835"/>
  <c r="BT44" i="14835"/>
  <c r="BU36" i="14835"/>
  <c r="BT36" i="14835"/>
  <c r="BU16" i="14835"/>
  <c r="BT16" i="14835"/>
  <c r="BN7" i="14835"/>
  <c r="BU2" i="14835"/>
  <c r="BU1" i="14835"/>
  <c r="BT2" i="14835"/>
  <c r="BT1" i="14835"/>
  <c r="AK1" i="14836"/>
  <c r="AJ1" i="14836"/>
  <c r="AU22" i="14835"/>
  <c r="AU14" i="14835"/>
  <c r="AU2" i="14835"/>
  <c r="AK2" i="14836"/>
  <c r="AT22" i="14835"/>
  <c r="AT14" i="14835"/>
  <c r="AT2" i="14835"/>
  <c r="AJ2" i="14836" s="1"/>
  <c r="T48" i="14835"/>
  <c r="S48" i="14835"/>
  <c r="FO11" i="14835"/>
  <c r="BU217" i="14835"/>
  <c r="BE7" i="14835"/>
  <c r="AZ21" i="14835"/>
  <c r="FA1" i="14835"/>
  <c r="FA25" i="14835"/>
  <c r="FB1" i="14835"/>
  <c r="FB25" i="14835" s="1"/>
  <c r="FC1" i="14835"/>
  <c r="FC25" i="14835"/>
  <c r="FD1" i="14835"/>
  <c r="FD25" i="14835" s="1"/>
  <c r="FE1" i="14835"/>
  <c r="FE25" i="14835"/>
  <c r="FF1" i="14835"/>
  <c r="FF25" i="14835" s="1"/>
  <c r="FG1" i="14835"/>
  <c r="FG25" i="14835"/>
  <c r="FH1" i="14835"/>
  <c r="FH25" i="14835" s="1"/>
  <c r="FI1" i="14835"/>
  <c r="FI25" i="14835"/>
  <c r="FJ1" i="14835"/>
  <c r="FJ25" i="14835" s="1"/>
  <c r="FK1" i="14835"/>
  <c r="FK25" i="14835"/>
  <c r="FL1" i="14835"/>
  <c r="FL25" i="14835" s="1"/>
  <c r="FM1" i="14835"/>
  <c r="FM25" i="14835"/>
  <c r="FN1" i="14835"/>
  <c r="FN25" i="14835" s="1"/>
  <c r="FQ1" i="14835"/>
  <c r="FQ25" i="14835"/>
  <c r="FR1" i="14835"/>
  <c r="FR25" i="14835" s="1"/>
  <c r="FS1" i="14835"/>
  <c r="FS25" i="14835"/>
  <c r="FT1" i="14835"/>
  <c r="FU1" i="14835"/>
  <c r="FA2" i="14835"/>
  <c r="FB2" i="14835"/>
  <c r="FC2" i="14835"/>
  <c r="FD2" i="14835"/>
  <c r="FE2" i="14835"/>
  <c r="FF2" i="14835"/>
  <c r="FG2" i="14835"/>
  <c r="FH2" i="14835"/>
  <c r="FI2" i="14835"/>
  <c r="FJ2" i="14835"/>
  <c r="FK2" i="14835"/>
  <c r="FL2" i="14835"/>
  <c r="FM2" i="14835"/>
  <c r="FN2" i="14835"/>
  <c r="FQ2" i="14835"/>
  <c r="FR2" i="14835"/>
  <c r="FS2" i="14835"/>
  <c r="FT2" i="14835"/>
  <c r="FU2" i="14835"/>
  <c r="EZ1" i="14835"/>
  <c r="EZ25" i="14835"/>
  <c r="FT3" i="14835"/>
  <c r="FU3" i="14835"/>
  <c r="FT4" i="14835"/>
  <c r="FU4" i="14835"/>
  <c r="FT5" i="14835"/>
  <c r="FU5" i="14835"/>
  <c r="FT6" i="14835"/>
  <c r="FU6" i="14835"/>
  <c r="FT7" i="14835"/>
  <c r="FU7" i="14835"/>
  <c r="FT8" i="14835"/>
  <c r="FU8" i="14835"/>
  <c r="FT9" i="14835"/>
  <c r="FU9" i="14835"/>
  <c r="FT18" i="14835"/>
  <c r="FU18" i="14835"/>
  <c r="GA10" i="14835"/>
  <c r="GB10" i="14835"/>
  <c r="GC10" i="14835"/>
  <c r="GD10" i="14835"/>
  <c r="GE10" i="14835"/>
  <c r="GF10" i="14835"/>
  <c r="GG10" i="14835"/>
  <c r="GH10" i="14835"/>
  <c r="GI10" i="14835"/>
  <c r="GJ10" i="14835"/>
  <c r="GK10" i="14835"/>
  <c r="GL10" i="14835"/>
  <c r="GP10" i="14835"/>
  <c r="GQ10" i="14835"/>
  <c r="GR10" i="14835"/>
  <c r="FY10" i="14835"/>
  <c r="FS9" i="14835"/>
  <c r="FS27" i="14835" s="1"/>
  <c r="FR9" i="14835"/>
  <c r="FR27" i="14835"/>
  <c r="FQ9" i="14835"/>
  <c r="FQ27" i="14835" s="1"/>
  <c r="FN9" i="14835"/>
  <c r="FN27" i="14835" s="1"/>
  <c r="FM9" i="14835"/>
  <c r="FM27" i="14835" s="1"/>
  <c r="FL9" i="14835"/>
  <c r="FL27" i="14835"/>
  <c r="FK9" i="14835"/>
  <c r="FK27" i="14835" s="1"/>
  <c r="FJ9" i="14835"/>
  <c r="FJ27" i="14835" s="1"/>
  <c r="FI9" i="14835"/>
  <c r="FI27" i="14835" s="1"/>
  <c r="FH9" i="14835"/>
  <c r="FH27" i="14835" s="1"/>
  <c r="FG9" i="14835"/>
  <c r="FG27" i="14835"/>
  <c r="FF9" i="14835"/>
  <c r="FF10" i="14835" s="1"/>
  <c r="FF11" i="14835" s="1"/>
  <c r="FE9" i="14835"/>
  <c r="FE27" i="14835" s="1"/>
  <c r="FD9" i="14835"/>
  <c r="FD27" i="14835"/>
  <c r="FC9" i="14835"/>
  <c r="FC27" i="14835" s="1"/>
  <c r="FB9" i="14835"/>
  <c r="FA9" i="14835"/>
  <c r="FA27" i="14835" s="1"/>
  <c r="EZ4" i="14835"/>
  <c r="FA4" i="14835"/>
  <c r="FB4" i="14835"/>
  <c r="FC4" i="14835"/>
  <c r="FD4" i="14835"/>
  <c r="FE4" i="14835"/>
  <c r="FF4" i="14835"/>
  <c r="FG4" i="14835"/>
  <c r="FH4" i="14835"/>
  <c r="FI4" i="14835"/>
  <c r="FJ4" i="14835"/>
  <c r="FK4" i="14835"/>
  <c r="FL4" i="14835"/>
  <c r="FM4" i="14835"/>
  <c r="FN4" i="14835"/>
  <c r="FQ4" i="14835"/>
  <c r="FR4" i="14835"/>
  <c r="FS4" i="14835"/>
  <c r="EZ5" i="14835"/>
  <c r="FA5" i="14835"/>
  <c r="FB5" i="14835"/>
  <c r="FC5" i="14835"/>
  <c r="FD5" i="14835"/>
  <c r="FE5" i="14835"/>
  <c r="FF5" i="14835"/>
  <c r="FG5" i="14835"/>
  <c r="FH5" i="14835"/>
  <c r="FI5" i="14835"/>
  <c r="FJ5" i="14835"/>
  <c r="FK5" i="14835"/>
  <c r="FL5" i="14835"/>
  <c r="FM5" i="14835"/>
  <c r="FN5" i="14835"/>
  <c r="FQ5" i="14835"/>
  <c r="FR5" i="14835"/>
  <c r="FS5" i="14835"/>
  <c r="FA6" i="14835"/>
  <c r="FB6" i="14835"/>
  <c r="FD6" i="14835"/>
  <c r="FE6" i="14835"/>
  <c r="FF6" i="14835"/>
  <c r="FG6" i="14835"/>
  <c r="FH6" i="14835"/>
  <c r="FI6" i="14835"/>
  <c r="FJ6" i="14835"/>
  <c r="FK6" i="14835"/>
  <c r="FL6" i="14835"/>
  <c r="FM6" i="14835"/>
  <c r="FN6" i="14835"/>
  <c r="FQ6" i="14835"/>
  <c r="FR6" i="14835"/>
  <c r="FS6" i="14835"/>
  <c r="FA7" i="14835"/>
  <c r="FB7" i="14835"/>
  <c r="FD7" i="14835"/>
  <c r="FE7" i="14835"/>
  <c r="FF7" i="14835"/>
  <c r="FG7" i="14835"/>
  <c r="FH7" i="14835"/>
  <c r="FI7" i="14835"/>
  <c r="FJ7" i="14835"/>
  <c r="FK7" i="14835"/>
  <c r="FL7" i="14835"/>
  <c r="FM7" i="14835"/>
  <c r="FN7" i="14835"/>
  <c r="FQ7" i="14835"/>
  <c r="FR7" i="14835"/>
  <c r="FS7" i="14835"/>
  <c r="FA8" i="14835"/>
  <c r="FB8" i="14835"/>
  <c r="FB26" i="14835"/>
  <c r="FF8" i="14835"/>
  <c r="FG8" i="14835"/>
  <c r="FI8" i="14835"/>
  <c r="FI10" i="14835" s="1"/>
  <c r="FI11" i="14835" s="1"/>
  <c r="FJ8" i="14835"/>
  <c r="FJ10" i="14835" s="1"/>
  <c r="FJ11" i="14835" s="1"/>
  <c r="FK8" i="14835"/>
  <c r="FK26" i="14835" s="1"/>
  <c r="FA3" i="14835"/>
  <c r="FB3" i="14835"/>
  <c r="FC3" i="14835"/>
  <c r="FD3" i="14835"/>
  <c r="FE3" i="14835"/>
  <c r="FF3" i="14835"/>
  <c r="FG3" i="14835"/>
  <c r="FH3" i="14835"/>
  <c r="FI3" i="14835"/>
  <c r="FJ3" i="14835"/>
  <c r="FK3" i="14835"/>
  <c r="FL3" i="14835"/>
  <c r="FM3" i="14835"/>
  <c r="FN3" i="14835"/>
  <c r="FQ3" i="14835"/>
  <c r="FR3" i="14835"/>
  <c r="FS3" i="14835"/>
  <c r="EZ3" i="14835"/>
  <c r="EV2" i="14835"/>
  <c r="EV1" i="14835"/>
  <c r="EC1" i="14835"/>
  <c r="ED1" i="14835"/>
  <c r="EE1" i="14835"/>
  <c r="EF1" i="14835"/>
  <c r="EG1" i="14835"/>
  <c r="EH1" i="14835"/>
  <c r="EI1" i="14835"/>
  <c r="EJ1" i="14835"/>
  <c r="EK1" i="14835"/>
  <c r="EL1" i="14835"/>
  <c r="EM1" i="14835"/>
  <c r="EN1" i="14835"/>
  <c r="EO1" i="14835"/>
  <c r="EP1" i="14835"/>
  <c r="ES1" i="14835"/>
  <c r="ET1" i="14835"/>
  <c r="EU1" i="14835"/>
  <c r="EC2" i="14835"/>
  <c r="ED2" i="14835"/>
  <c r="EE2" i="14835"/>
  <c r="EF2" i="14835"/>
  <c r="EG2" i="14835"/>
  <c r="EH2" i="14835"/>
  <c r="EI2" i="14835"/>
  <c r="EJ2" i="14835"/>
  <c r="EK2" i="14835"/>
  <c r="EL2" i="14835"/>
  <c r="EM2" i="14835"/>
  <c r="EN2" i="14835"/>
  <c r="EO2" i="14835"/>
  <c r="EP2" i="14835"/>
  <c r="ES2" i="14835"/>
  <c r="ET2" i="14835"/>
  <c r="EU2" i="14835"/>
  <c r="EB2" i="14835"/>
  <c r="EB1" i="14835"/>
  <c r="EC10" i="14835"/>
  <c r="EC11" i="14835"/>
  <c r="ED10" i="14835"/>
  <c r="ED11" i="14835" s="1"/>
  <c r="EH10" i="14835"/>
  <c r="EH11" i="14835"/>
  <c r="EI10" i="14835"/>
  <c r="EI11" i="14835" s="1"/>
  <c r="EK10" i="14835"/>
  <c r="EK11" i="14835"/>
  <c r="EL10" i="14835"/>
  <c r="EL11" i="14835" s="1"/>
  <c r="EM10" i="14835"/>
  <c r="EM11" i="14835"/>
  <c r="EU8" i="14835"/>
  <c r="FS8" i="14835" s="1"/>
  <c r="ET8" i="14835"/>
  <c r="FR8" i="14835"/>
  <c r="FR26" i="14835" s="1"/>
  <c r="ES8" i="14835"/>
  <c r="FQ8" i="14835" s="1"/>
  <c r="EP8" i="14835"/>
  <c r="FN8" i="14835" s="1"/>
  <c r="EO8" i="14835"/>
  <c r="FM8" i="14835"/>
  <c r="FM26" i="14835" s="1"/>
  <c r="EN8" i="14835"/>
  <c r="FL8" i="14835"/>
  <c r="FL26" i="14835" s="1"/>
  <c r="EJ8" i="14835"/>
  <c r="FH8" i="14835" s="1"/>
  <c r="EG8" i="14835"/>
  <c r="FE8" i="14835"/>
  <c r="FE26" i="14835" s="1"/>
  <c r="EF8" i="14835"/>
  <c r="EF10" i="14835"/>
  <c r="EF11" i="14835"/>
  <c r="EE8" i="14835"/>
  <c r="FC8" i="14835" s="1"/>
  <c r="EB8" i="14835"/>
  <c r="EZ8" i="14835" s="1"/>
  <c r="FU10" i="14835"/>
  <c r="FU11" i="14835" s="1"/>
  <c r="EG10" i="14835"/>
  <c r="EG11" i="14835"/>
  <c r="FF26" i="14835"/>
  <c r="EE10" i="14835"/>
  <c r="EE11" i="14835"/>
  <c r="FD8" i="14835"/>
  <c r="FI26" i="14835"/>
  <c r="FA26" i="14835"/>
  <c r="FL10" i="14835"/>
  <c r="FL11" i="14835" s="1"/>
  <c r="FG26" i="14835"/>
  <c r="FT10" i="14835"/>
  <c r="FT11" i="14835" s="1"/>
  <c r="EO10" i="14835"/>
  <c r="EO11" i="14835"/>
  <c r="ET10" i="14835"/>
  <c r="ET11" i="14835" s="1"/>
  <c r="EN10" i="14835"/>
  <c r="EN11" i="14835"/>
  <c r="FB10" i="14835"/>
  <c r="FB11" i="14835" s="1"/>
  <c r="ES10" i="14835"/>
  <c r="ES11" i="14835" s="1"/>
  <c r="FB27" i="14835"/>
  <c r="FG10" i="14835"/>
  <c r="FG11" i="14835" s="1"/>
  <c r="FD26" i="14835"/>
  <c r="FD10" i="14835"/>
  <c r="FD11" i="14835" s="1"/>
  <c r="BF16" i="14835"/>
  <c r="BG16" i="14835"/>
  <c r="BH16" i="14835"/>
  <c r="BI16" i="14835"/>
  <c r="BJ16" i="14835"/>
  <c r="BK16" i="14835"/>
  <c r="BL16" i="14835"/>
  <c r="BM16" i="14835"/>
  <c r="BN16" i="14835"/>
  <c r="BO16" i="14835"/>
  <c r="BP16" i="14835"/>
  <c r="BQ16" i="14835"/>
  <c r="BR16" i="14835"/>
  <c r="BS16" i="14835"/>
  <c r="BV16" i="14835"/>
  <c r="BW16" i="14835"/>
  <c r="BX16" i="14835"/>
  <c r="BY16" i="14835"/>
  <c r="BF17" i="14835"/>
  <c r="BE16" i="14835"/>
  <c r="BY216" i="14835"/>
  <c r="BX216" i="14835"/>
  <c r="BW216" i="14835"/>
  <c r="BW217" i="14835" s="1"/>
  <c r="BV216" i="14835"/>
  <c r="BV217" i="14835" s="1"/>
  <c r="BS216" i="14835"/>
  <c r="BR216" i="14835"/>
  <c r="BQ216" i="14835"/>
  <c r="BQ217" i="14835" s="1"/>
  <c r="BP216" i="14835"/>
  <c r="BO216" i="14835"/>
  <c r="BN216" i="14835"/>
  <c r="BM216" i="14835"/>
  <c r="BM217" i="14835" s="1"/>
  <c r="BL216" i="14835"/>
  <c r="BK216" i="14835"/>
  <c r="BJ216" i="14835"/>
  <c r="BI216" i="14835"/>
  <c r="BI217" i="14835" s="1"/>
  <c r="BH216" i="14835"/>
  <c r="BY215" i="14835"/>
  <c r="BX215" i="14835"/>
  <c r="BX217" i="14835"/>
  <c r="BW215" i="14835"/>
  <c r="BV215" i="14835"/>
  <c r="BS215" i="14835"/>
  <c r="BR215" i="14835"/>
  <c r="BR217" i="14835" s="1"/>
  <c r="BQ215" i="14835"/>
  <c r="BP215" i="14835"/>
  <c r="BP217" i="14835" s="1"/>
  <c r="BO215" i="14835"/>
  <c r="BO217" i="14835" s="1"/>
  <c r="BN215" i="14835"/>
  <c r="BN217" i="14835"/>
  <c r="BM215" i="14835"/>
  <c r="BL215" i="14835"/>
  <c r="BK215" i="14835"/>
  <c r="BJ215" i="14835"/>
  <c r="BJ217" i="14835" s="1"/>
  <c r="BI215" i="14835"/>
  <c r="BH215" i="14835"/>
  <c r="BE216" i="14835"/>
  <c r="BE217" i="14835" s="1"/>
  <c r="BE215" i="14835"/>
  <c r="BG216" i="14835"/>
  <c r="BG217" i="14835" s="1"/>
  <c r="BG215" i="14835"/>
  <c r="BH217" i="14835"/>
  <c r="BS217" i="14835"/>
  <c r="BY217" i="14835"/>
  <c r="AL22" i="14835"/>
  <c r="AL14" i="14835"/>
  <c r="AK22" i="14835"/>
  <c r="AK14" i="14835"/>
  <c r="AF22" i="14835"/>
  <c r="AF14" i="14835"/>
  <c r="K48" i="14835"/>
  <c r="J48" i="14835"/>
  <c r="DW2" i="14835"/>
  <c r="DV2" i="14835"/>
  <c r="DU2" i="14835"/>
  <c r="DT2" i="14835"/>
  <c r="DS2" i="14835"/>
  <c r="DR2" i="14835"/>
  <c r="DQ2" i="14835"/>
  <c r="DP2" i="14835"/>
  <c r="DO2" i="14835"/>
  <c r="DN2" i="14835"/>
  <c r="DM2" i="14835"/>
  <c r="DL2" i="14835"/>
  <c r="DK2" i="14835"/>
  <c r="DJ2" i="14835"/>
  <c r="DI2" i="14835"/>
  <c r="DH2" i="14835"/>
  <c r="DG2" i="14835"/>
  <c r="DF2" i="14835"/>
  <c r="DE2" i="14835"/>
  <c r="DW1" i="14835"/>
  <c r="DV1" i="14835"/>
  <c r="DU1" i="14835"/>
  <c r="DT1" i="14835"/>
  <c r="DS1" i="14835"/>
  <c r="DR1" i="14835"/>
  <c r="DQ1" i="14835"/>
  <c r="DP1" i="14835"/>
  <c r="DO1" i="14835"/>
  <c r="DN1" i="14835"/>
  <c r="DM1" i="14835"/>
  <c r="DL1" i="14835"/>
  <c r="DK1" i="14835"/>
  <c r="DJ1" i="14835"/>
  <c r="DI1" i="14835"/>
  <c r="DH1" i="14835"/>
  <c r="DG1" i="14835"/>
  <c r="DF1" i="14835"/>
  <c r="DE1" i="14835"/>
  <c r="DD1" i="14835"/>
  <c r="CY2" i="14835"/>
  <c r="CX2" i="14835"/>
  <c r="CW2" i="14835"/>
  <c r="CV2" i="14835"/>
  <c r="CU2" i="14835"/>
  <c r="CR2" i="14835"/>
  <c r="CQ2" i="14835"/>
  <c r="CP2" i="14835"/>
  <c r="CO2" i="14835"/>
  <c r="CN2" i="14835"/>
  <c r="CM2" i="14835"/>
  <c r="CL2" i="14835"/>
  <c r="CK2" i="14835"/>
  <c r="CJ2" i="14835"/>
  <c r="CI2" i="14835"/>
  <c r="CH2" i="14835"/>
  <c r="CG2" i="14835"/>
  <c r="CF2" i="14835"/>
  <c r="CE2" i="14835"/>
  <c r="CY1" i="14835"/>
  <c r="CX1" i="14835"/>
  <c r="CW1" i="14835"/>
  <c r="CV1" i="14835"/>
  <c r="CU1" i="14835"/>
  <c r="CR1" i="14835"/>
  <c r="CQ1" i="14835"/>
  <c r="CP1" i="14835"/>
  <c r="CO1" i="14835"/>
  <c r="CN1" i="14835"/>
  <c r="CM1" i="14835"/>
  <c r="CL1" i="14835"/>
  <c r="CK1" i="14835"/>
  <c r="CJ1" i="14835"/>
  <c r="CI1" i="14835"/>
  <c r="CH1" i="14835"/>
  <c r="CG1" i="14835"/>
  <c r="CF1" i="14835"/>
  <c r="CE1" i="14835"/>
  <c r="CD2" i="14835"/>
  <c r="CD1" i="14835"/>
  <c r="BZ2" i="14835"/>
  <c r="BY2" i="14835"/>
  <c r="BX2" i="14835"/>
  <c r="BW2" i="14835"/>
  <c r="BV2" i="14835"/>
  <c r="BS2" i="14835"/>
  <c r="BR2" i="14835"/>
  <c r="BQ2" i="14835"/>
  <c r="BP2" i="14835"/>
  <c r="BO2" i="14835"/>
  <c r="BN2" i="14835"/>
  <c r="BM2" i="14835"/>
  <c r="BL2" i="14835"/>
  <c r="BK2" i="14835"/>
  <c r="BJ2" i="14835"/>
  <c r="BH2" i="14835"/>
  <c r="BG2" i="14835"/>
  <c r="BF2" i="14835"/>
  <c r="BZ1" i="14835"/>
  <c r="BY1" i="14835"/>
  <c r="BX1" i="14835"/>
  <c r="BW1" i="14835"/>
  <c r="BV1" i="14835"/>
  <c r="BS1" i="14835"/>
  <c r="BR1" i="14835"/>
  <c r="BQ1" i="14835"/>
  <c r="BP1" i="14835"/>
  <c r="BO1" i="14835"/>
  <c r="BN1" i="14835"/>
  <c r="BM1" i="14835"/>
  <c r="BL1" i="14835"/>
  <c r="BK1" i="14835"/>
  <c r="BJ1" i="14835"/>
  <c r="BI1" i="14835"/>
  <c r="BH1" i="14835"/>
  <c r="BG1" i="14835"/>
  <c r="BF1" i="14835"/>
  <c r="BE2" i="14835"/>
  <c r="BE1" i="14835"/>
  <c r="AZ2" i="14835"/>
  <c r="AY2" i="14835"/>
  <c r="AO2" i="14836" s="1"/>
  <c r="AX2" i="14835"/>
  <c r="AN2" i="14836"/>
  <c r="AW2" i="14835"/>
  <c r="AM2" i="14836" s="1"/>
  <c r="AV2" i="14835"/>
  <c r="AL2" i="14836"/>
  <c r="AS2" i="14835"/>
  <c r="AR2" i="14835"/>
  <c r="AQ2" i="14835"/>
  <c r="AP2" i="14835"/>
  <c r="AF2" i="14836" s="1"/>
  <c r="AO2" i="14835"/>
  <c r="AE2" i="14836" s="1"/>
  <c r="AN2" i="14835"/>
  <c r="AM2" i="14835"/>
  <c r="AC2" i="14836" s="1"/>
  <c r="AL2" i="14835"/>
  <c r="AB2" i="14836" s="1"/>
  <c r="AK2" i="14835"/>
  <c r="AJ2" i="14835"/>
  <c r="AI2" i="14835"/>
  <c r="AH2" i="14835"/>
  <c r="AG2" i="14835"/>
  <c r="AF2" i="14835"/>
  <c r="AZ1" i="14835"/>
  <c r="AO1" i="14836"/>
  <c r="AN1" i="14836"/>
  <c r="AM1" i="14836"/>
  <c r="AL1" i="14836"/>
  <c r="AI1" i="14836"/>
  <c r="AH1" i="14836"/>
  <c r="AG1" i="14836"/>
  <c r="AF1" i="14836"/>
  <c r="AE1" i="14836"/>
  <c r="AD1" i="14836"/>
  <c r="AC1" i="14836"/>
  <c r="AB1" i="14836"/>
  <c r="AA1" i="14836"/>
  <c r="Z1" i="14836"/>
  <c r="Y1" i="14836"/>
  <c r="X1" i="14836"/>
  <c r="W1" i="14836"/>
  <c r="V1" i="14836"/>
  <c r="AE2" i="14835"/>
  <c r="U1" i="14836"/>
  <c r="E48" i="14835"/>
  <c r="U2" i="14836"/>
  <c r="Z2" i="14836"/>
  <c r="AD2" i="14836"/>
  <c r="AH2" i="14836"/>
  <c r="W2" i="14836"/>
  <c r="AI2" i="14836"/>
  <c r="X2" i="14836"/>
  <c r="V2" i="14836"/>
  <c r="AA2" i="14836"/>
  <c r="Y2" i="14836"/>
  <c r="AG2" i="14836"/>
  <c r="BP90" i="14835"/>
  <c r="BO90" i="14835"/>
  <c r="BN90" i="14835"/>
  <c r="BG90" i="14835"/>
  <c r="AZ27" i="14835"/>
  <c r="AZ30" i="14835" s="1"/>
  <c r="BY7" i="14835"/>
  <c r="BX7" i="14835"/>
  <c r="BW7" i="14835"/>
  <c r="BV7" i="14835"/>
  <c r="BS7" i="14835"/>
  <c r="BR7" i="14835"/>
  <c r="BQ7" i="14835"/>
  <c r="BP7" i="14835"/>
  <c r="BO7" i="14835"/>
  <c r="BM7" i="14835"/>
  <c r="BJ7" i="14835"/>
  <c r="BI7" i="14835"/>
  <c r="BH7" i="14835"/>
  <c r="DH10" i="14835"/>
  <c r="DN10" i="14835"/>
  <c r="DP10" i="14835"/>
  <c r="BG189" i="14835"/>
  <c r="BH189" i="14835"/>
  <c r="BI189" i="14835"/>
  <c r="BJ189" i="14835"/>
  <c r="BM189" i="14835"/>
  <c r="BN189" i="14835"/>
  <c r="BO189" i="14835"/>
  <c r="BP189" i="14835"/>
  <c r="BQ189" i="14835"/>
  <c r="BR189" i="14835"/>
  <c r="BS189" i="14835"/>
  <c r="BV189" i="14835"/>
  <c r="BW189" i="14835"/>
  <c r="BX189" i="14835"/>
  <c r="BY189" i="14835"/>
  <c r="BE189" i="14835"/>
  <c r="BG164" i="14835"/>
  <c r="BH164" i="14835"/>
  <c r="BI164" i="14835"/>
  <c r="BJ164" i="14835"/>
  <c r="BM164" i="14835"/>
  <c r="BN164" i="14835"/>
  <c r="BO164" i="14835"/>
  <c r="BP164" i="14835"/>
  <c r="BQ164" i="14835"/>
  <c r="BR164" i="14835"/>
  <c r="BS164" i="14835"/>
  <c r="BV164" i="14835"/>
  <c r="BW164" i="14835"/>
  <c r="BX164" i="14835"/>
  <c r="BY164" i="14835"/>
  <c r="BE164" i="14835"/>
  <c r="AG22" i="14835"/>
  <c r="AH22" i="14835"/>
  <c r="AI22" i="14835"/>
  <c r="AJ22" i="14835"/>
  <c r="AM22" i="14835"/>
  <c r="AN22" i="14835"/>
  <c r="AO22" i="14835"/>
  <c r="AP22" i="14835"/>
  <c r="AQ22" i="14835"/>
  <c r="AR22" i="14835"/>
  <c r="AS22" i="14835"/>
  <c r="AV22" i="14835"/>
  <c r="AW22" i="14835"/>
  <c r="AX22" i="14835"/>
  <c r="AY22" i="14835"/>
  <c r="AZ22" i="14835"/>
  <c r="BG44" i="14835"/>
  <c r="BH44" i="14835"/>
  <c r="BI44" i="14835"/>
  <c r="BJ44" i="14835"/>
  <c r="BM44" i="14835"/>
  <c r="BN44" i="14835"/>
  <c r="BO44" i="14835"/>
  <c r="BP44" i="14835"/>
  <c r="BQ44" i="14835"/>
  <c r="BR44" i="14835"/>
  <c r="BS44" i="14835"/>
  <c r="BV44" i="14835"/>
  <c r="BW44" i="14835"/>
  <c r="BX44" i="14835"/>
  <c r="BY44" i="14835"/>
  <c r="BE44" i="14835"/>
  <c r="BG36" i="14835"/>
  <c r="BH36" i="14835"/>
  <c r="BI36" i="14835"/>
  <c r="BJ36" i="14835"/>
  <c r="BM36" i="14835"/>
  <c r="BN36" i="14835"/>
  <c r="BO36" i="14835"/>
  <c r="BP36" i="14835"/>
  <c r="BQ36" i="14835"/>
  <c r="BR36" i="14835"/>
  <c r="BS36" i="14835"/>
  <c r="BV36" i="14835"/>
  <c r="BW36" i="14835"/>
  <c r="BX36" i="14835"/>
  <c r="BY36" i="14835"/>
  <c r="BE36" i="14835"/>
  <c r="BG112" i="14835"/>
  <c r="BH112" i="14835"/>
  <c r="BI112" i="14835"/>
  <c r="BJ112" i="14835"/>
  <c r="BM112" i="14835"/>
  <c r="BN112" i="14835"/>
  <c r="BO112" i="14835"/>
  <c r="BP112" i="14835"/>
  <c r="BQ112" i="14835"/>
  <c r="BR112" i="14835"/>
  <c r="BS112" i="14835"/>
  <c r="BV112" i="14835"/>
  <c r="BW112" i="14835"/>
  <c r="BX112" i="14835"/>
  <c r="BY112" i="14835"/>
  <c r="BE112" i="14835"/>
  <c r="BH61" i="14835"/>
  <c r="BI61" i="14835"/>
  <c r="BJ61" i="14835"/>
  <c r="BM61" i="14835"/>
  <c r="BQ61" i="14835"/>
  <c r="BR61" i="14835"/>
  <c r="BS61" i="14835"/>
  <c r="BV61" i="14835"/>
  <c r="BW61" i="14835"/>
  <c r="BX61" i="14835"/>
  <c r="BY61" i="14835"/>
  <c r="BH86" i="14835"/>
  <c r="BI86" i="14835"/>
  <c r="BJ86" i="14835"/>
  <c r="BM86" i="14835"/>
  <c r="BQ86" i="14835"/>
  <c r="BR86" i="14835"/>
  <c r="BS86" i="14835"/>
  <c r="BW86" i="14835"/>
  <c r="BX86" i="14835"/>
  <c r="BY86" i="14835"/>
  <c r="BE86" i="14835"/>
  <c r="BE61" i="14835"/>
  <c r="BL52" i="14809"/>
  <c r="BL51" i="14809"/>
  <c r="BL49" i="14809"/>
  <c r="BL48" i="14809"/>
  <c r="BL47" i="14809"/>
  <c r="BL46" i="14809"/>
  <c r="BL45" i="14809"/>
  <c r="BL44" i="14809"/>
  <c r="BL43" i="14809"/>
  <c r="BL42" i="14809"/>
  <c r="BL41" i="14809"/>
  <c r="BL40" i="14809"/>
  <c r="BL39" i="14809"/>
  <c r="BL37" i="14809"/>
  <c r="BL36" i="14809"/>
  <c r="BL35" i="14809"/>
  <c r="BL34" i="14809"/>
  <c r="BL32" i="14809"/>
  <c r="BL30" i="14809"/>
  <c r="BL29" i="14809"/>
  <c r="BL28" i="14809"/>
  <c r="BL27" i="14809"/>
  <c r="BL26" i="14809"/>
  <c r="BL25" i="14809"/>
  <c r="BL24" i="14809"/>
  <c r="BL23" i="14809"/>
  <c r="BL22" i="14809"/>
  <c r="BL21" i="14809"/>
  <c r="BL20" i="14809"/>
  <c r="BL18" i="14809"/>
  <c r="BL17" i="14809"/>
  <c r="BL15" i="14809"/>
  <c r="BL14" i="14809"/>
  <c r="BL13" i="14809"/>
  <c r="BL11" i="14809"/>
  <c r="AG14" i="14835"/>
  <c r="AH14" i="14835"/>
  <c r="AI14" i="14835"/>
  <c r="AJ14" i="14835"/>
  <c r="AM14" i="14835"/>
  <c r="AN14" i="14835"/>
  <c r="AO14" i="14835"/>
  <c r="AP14" i="14835"/>
  <c r="AQ14" i="14835"/>
  <c r="AR14" i="14835"/>
  <c r="AS14" i="14835"/>
  <c r="AV14" i="14835"/>
  <c r="AW14" i="14835"/>
  <c r="AX14" i="14835"/>
  <c r="AY14" i="14835"/>
  <c r="AZ14" i="14835"/>
  <c r="A4" i="14835"/>
  <c r="A5" i="14835"/>
  <c r="A6" i="14835"/>
  <c r="A7" i="14835"/>
  <c r="A8" i="14835"/>
  <c r="A9" i="14835"/>
  <c r="A10" i="14835"/>
  <c r="A11" i="14835"/>
  <c r="A12" i="14835"/>
  <c r="A13" i="14835"/>
  <c r="A14" i="14835"/>
  <c r="A15" i="14835"/>
  <c r="A16" i="14835"/>
  <c r="A17" i="14835"/>
  <c r="A18" i="14835"/>
  <c r="A19" i="14835"/>
  <c r="A20" i="14835"/>
  <c r="A21" i="14835"/>
  <c r="A22" i="14835"/>
  <c r="A23" i="14835"/>
  <c r="A24" i="14835"/>
  <c r="A25" i="14835"/>
  <c r="A26" i="14835"/>
  <c r="A27" i="14835"/>
  <c r="A28" i="14835"/>
  <c r="A29" i="14835"/>
  <c r="A30" i="14835"/>
  <c r="A31" i="14835"/>
  <c r="A32" i="14835"/>
  <c r="A33" i="14835"/>
  <c r="A34" i="14835"/>
  <c r="A35" i="14835"/>
  <c r="A36" i="14835"/>
  <c r="A37" i="14835"/>
  <c r="A38" i="14835"/>
  <c r="A39" i="14835"/>
  <c r="A40" i="14835"/>
  <c r="A41" i="14835"/>
  <c r="A42" i="14835"/>
  <c r="A43" i="14835"/>
  <c r="A44" i="14835"/>
  <c r="A45" i="14835"/>
  <c r="A46" i="14835"/>
  <c r="A47" i="14835"/>
  <c r="A3" i="14835"/>
  <c r="Y48" i="14835"/>
  <c r="X48" i="14835"/>
  <c r="W48" i="14835"/>
  <c r="V48" i="14835"/>
  <c r="U48" i="14835"/>
  <c r="R48" i="14835"/>
  <c r="Q48" i="14835"/>
  <c r="P48" i="14835"/>
  <c r="O48" i="14835"/>
  <c r="N48" i="14835"/>
  <c r="M48" i="14835"/>
  <c r="L48" i="14835"/>
  <c r="I48" i="14835"/>
  <c r="H48" i="14835"/>
  <c r="F48" i="14835"/>
  <c r="G48" i="14835"/>
  <c r="D48" i="14835"/>
  <c r="F13" i="14829"/>
  <c r="F12" i="14829"/>
  <c r="P172" i="14822"/>
  <c r="P142" i="14822"/>
  <c r="P110" i="14822"/>
  <c r="B106" i="14822"/>
  <c r="C947" i="14814"/>
  <c r="C948" i="14814" s="1"/>
  <c r="C949" i="14814" s="1"/>
  <c r="C950" i="14814" s="1"/>
  <c r="C951" i="14814" s="1"/>
  <c r="C952" i="14814" s="1"/>
  <c r="C953" i="14814" s="1"/>
  <c r="C954" i="14814" s="1"/>
  <c r="C955" i="14814" s="1"/>
  <c r="C956" i="14814" s="1"/>
  <c r="C957" i="14814" s="1"/>
  <c r="C958" i="14814" s="1"/>
  <c r="C959" i="14814" s="1"/>
  <c r="C960" i="14814" s="1"/>
  <c r="C961" i="14814" s="1"/>
  <c r="C962" i="14814" s="1"/>
  <c r="C963" i="14814" s="1"/>
  <c r="C964" i="14814" s="1"/>
  <c r="C965" i="14814" s="1"/>
  <c r="C966" i="14814" s="1"/>
  <c r="C967" i="14814" s="1"/>
  <c r="C968" i="14814" s="1"/>
  <c r="C969" i="14814" s="1"/>
  <c r="C970" i="14814" s="1"/>
  <c r="C971" i="14814" s="1"/>
  <c r="C972" i="14814" s="1"/>
  <c r="C973" i="14814" s="1"/>
  <c r="C974" i="14814" s="1"/>
  <c r="C975" i="14814" s="1"/>
  <c r="C976" i="14814" s="1"/>
  <c r="C917" i="14814"/>
  <c r="C918" i="14814" s="1"/>
  <c r="C919" i="14814" s="1"/>
  <c r="C920" i="14814" s="1"/>
  <c r="C921" i="14814" s="1"/>
  <c r="C922" i="14814" s="1"/>
  <c r="C923" i="14814" s="1"/>
  <c r="C924" i="14814" s="1"/>
  <c r="C925" i="14814" s="1"/>
  <c r="C926" i="14814" s="1"/>
  <c r="C927" i="14814" s="1"/>
  <c r="C928" i="14814" s="1"/>
  <c r="C929" i="14814" s="1"/>
  <c r="C930" i="14814" s="1"/>
  <c r="C931" i="14814" s="1"/>
  <c r="C932" i="14814" s="1"/>
  <c r="C933" i="14814" s="1"/>
  <c r="C934" i="14814" s="1"/>
  <c r="C935" i="14814" s="1"/>
  <c r="C936" i="14814" s="1"/>
  <c r="C937" i="14814" s="1"/>
  <c r="C938" i="14814" s="1"/>
  <c r="C939" i="14814" s="1"/>
  <c r="C940" i="14814" s="1"/>
  <c r="C941" i="14814" s="1"/>
  <c r="C942" i="14814" s="1"/>
  <c r="C943" i="14814" s="1"/>
  <c r="C944" i="14814" s="1"/>
  <c r="C945" i="14814" s="1"/>
  <c r="C886" i="14814"/>
  <c r="C887" i="14814" s="1"/>
  <c r="C888" i="14814" s="1"/>
  <c r="C889" i="14814" s="1"/>
  <c r="C890" i="14814" s="1"/>
  <c r="C891" i="14814" s="1"/>
  <c r="C892" i="14814" s="1"/>
  <c r="C893" i="14814" s="1"/>
  <c r="C894" i="14814" s="1"/>
  <c r="C895" i="14814" s="1"/>
  <c r="C896" i="14814" s="1"/>
  <c r="C897" i="14814" s="1"/>
  <c r="C898" i="14814" s="1"/>
  <c r="C899" i="14814" s="1"/>
  <c r="C900" i="14814" s="1"/>
  <c r="C901" i="14814" s="1"/>
  <c r="C902" i="14814" s="1"/>
  <c r="C903" i="14814" s="1"/>
  <c r="C904" i="14814" s="1"/>
  <c r="C905" i="14814" s="1"/>
  <c r="C906" i="14814" s="1"/>
  <c r="C907" i="14814" s="1"/>
  <c r="C908" i="14814" s="1"/>
  <c r="C909" i="14814" s="1"/>
  <c r="C910" i="14814" s="1"/>
  <c r="C911" i="14814" s="1"/>
  <c r="C912" i="14814" s="1"/>
  <c r="C913" i="14814" s="1"/>
  <c r="C914" i="14814" s="1"/>
  <c r="C915" i="14814" s="1"/>
  <c r="C856" i="14814"/>
  <c r="C857" i="14814" s="1"/>
  <c r="C858" i="14814" s="1"/>
  <c r="C859" i="14814" s="1"/>
  <c r="C860" i="14814" s="1"/>
  <c r="C861" i="14814" s="1"/>
  <c r="C862" i="14814" s="1"/>
  <c r="C863" i="14814" s="1"/>
  <c r="C864" i="14814" s="1"/>
  <c r="C865" i="14814" s="1"/>
  <c r="C866" i="14814" s="1"/>
  <c r="C867" i="14814" s="1"/>
  <c r="C868" i="14814" s="1"/>
  <c r="C869" i="14814" s="1"/>
  <c r="C870" i="14814" s="1"/>
  <c r="C871" i="14814" s="1"/>
  <c r="C872" i="14814" s="1"/>
  <c r="C873" i="14814" s="1"/>
  <c r="C874" i="14814" s="1"/>
  <c r="C875" i="14814" s="1"/>
  <c r="C876" i="14814" s="1"/>
  <c r="C877" i="14814" s="1"/>
  <c r="C878" i="14814" s="1"/>
  <c r="C879" i="14814" s="1"/>
  <c r="C880" i="14814" s="1"/>
  <c r="C881" i="14814" s="1"/>
  <c r="C882" i="14814" s="1"/>
  <c r="C883" i="14814" s="1"/>
  <c r="C884" i="14814" s="1"/>
  <c r="C825" i="14814"/>
  <c r="C826" i="14814" s="1"/>
  <c r="C827" i="14814" s="1"/>
  <c r="C828" i="14814" s="1"/>
  <c r="C829" i="14814" s="1"/>
  <c r="C830" i="14814" s="1"/>
  <c r="C831" i="14814" s="1"/>
  <c r="C832" i="14814" s="1"/>
  <c r="C833" i="14814" s="1"/>
  <c r="C834" i="14814" s="1"/>
  <c r="C835" i="14814" s="1"/>
  <c r="C836" i="14814" s="1"/>
  <c r="C837" i="14814" s="1"/>
  <c r="C838" i="14814" s="1"/>
  <c r="C839" i="14814" s="1"/>
  <c r="C840" i="14814" s="1"/>
  <c r="C841" i="14814" s="1"/>
  <c r="C842" i="14814" s="1"/>
  <c r="C843" i="14814" s="1"/>
  <c r="C844" i="14814" s="1"/>
  <c r="C845" i="14814" s="1"/>
  <c r="C846" i="14814" s="1"/>
  <c r="C847" i="14814" s="1"/>
  <c r="C848" i="14814" s="1"/>
  <c r="C849" i="14814" s="1"/>
  <c r="C850" i="14814" s="1"/>
  <c r="C851" i="14814" s="1"/>
  <c r="C852" i="14814" s="1"/>
  <c r="C853" i="14814" s="1"/>
  <c r="C854" i="14814" s="1"/>
  <c r="C794" i="14814"/>
  <c r="C795" i="14814" s="1"/>
  <c r="C796" i="14814" s="1"/>
  <c r="C797" i="14814" s="1"/>
  <c r="C798" i="14814" s="1"/>
  <c r="C799" i="14814" s="1"/>
  <c r="C800" i="14814" s="1"/>
  <c r="C801" i="14814" s="1"/>
  <c r="C802" i="14814" s="1"/>
  <c r="C803" i="14814" s="1"/>
  <c r="C804" i="14814" s="1"/>
  <c r="C805" i="14814" s="1"/>
  <c r="C806" i="14814" s="1"/>
  <c r="C807" i="14814" s="1"/>
  <c r="C808" i="14814" s="1"/>
  <c r="C809" i="14814" s="1"/>
  <c r="C810" i="14814" s="1"/>
  <c r="C811" i="14814" s="1"/>
  <c r="C812" i="14814" s="1"/>
  <c r="C813" i="14814" s="1"/>
  <c r="C814" i="14814" s="1"/>
  <c r="C815" i="14814" s="1"/>
  <c r="C816" i="14814" s="1"/>
  <c r="C817" i="14814" s="1"/>
  <c r="C818" i="14814" s="1"/>
  <c r="C819" i="14814" s="1"/>
  <c r="C820" i="14814" s="1"/>
  <c r="C821" i="14814" s="1"/>
  <c r="C822" i="14814" s="1"/>
  <c r="C823" i="14814" s="1"/>
  <c r="C764" i="14814"/>
  <c r="C765" i="14814" s="1"/>
  <c r="C766" i="14814" s="1"/>
  <c r="C767" i="14814" s="1"/>
  <c r="C768" i="14814" s="1"/>
  <c r="C769" i="14814" s="1"/>
  <c r="C770" i="14814" s="1"/>
  <c r="C771" i="14814" s="1"/>
  <c r="C772" i="14814" s="1"/>
  <c r="C773" i="14814" s="1"/>
  <c r="C774" i="14814" s="1"/>
  <c r="C775" i="14814" s="1"/>
  <c r="C776" i="14814" s="1"/>
  <c r="C777" i="14814" s="1"/>
  <c r="C778" i="14814" s="1"/>
  <c r="C779" i="14814" s="1"/>
  <c r="C780" i="14814" s="1"/>
  <c r="C781" i="14814" s="1"/>
  <c r="C782" i="14814" s="1"/>
  <c r="C783" i="14814" s="1"/>
  <c r="C784" i="14814" s="1"/>
  <c r="C785" i="14814" s="1"/>
  <c r="C786" i="14814" s="1"/>
  <c r="C787" i="14814" s="1"/>
  <c r="C788" i="14814" s="1"/>
  <c r="C789" i="14814" s="1"/>
  <c r="C790" i="14814" s="1"/>
  <c r="C791" i="14814" s="1"/>
  <c r="C792" i="14814" s="1"/>
  <c r="C733" i="14814"/>
  <c r="C734" i="14814" s="1"/>
  <c r="C735" i="14814" s="1"/>
  <c r="C736" i="14814" s="1"/>
  <c r="C737" i="14814" s="1"/>
  <c r="C738" i="14814" s="1"/>
  <c r="C739" i="14814" s="1"/>
  <c r="C740" i="14814" s="1"/>
  <c r="C741" i="14814" s="1"/>
  <c r="C742" i="14814" s="1"/>
  <c r="C743" i="14814" s="1"/>
  <c r="C744" i="14814" s="1"/>
  <c r="C745" i="14814" s="1"/>
  <c r="C746" i="14814" s="1"/>
  <c r="C747" i="14814" s="1"/>
  <c r="C748" i="14814" s="1"/>
  <c r="C749" i="14814" s="1"/>
  <c r="C750" i="14814" s="1"/>
  <c r="C751" i="14814" s="1"/>
  <c r="C752" i="14814" s="1"/>
  <c r="C753" i="14814" s="1"/>
  <c r="C754" i="14814" s="1"/>
  <c r="C755" i="14814" s="1"/>
  <c r="C756" i="14814" s="1"/>
  <c r="C757" i="14814" s="1"/>
  <c r="C758" i="14814" s="1"/>
  <c r="C759" i="14814" s="1"/>
  <c r="C760" i="14814" s="1"/>
  <c r="C761" i="14814" s="1"/>
  <c r="C762" i="14814" s="1"/>
  <c r="C703" i="14814"/>
  <c r="C704" i="14814" s="1"/>
  <c r="C705" i="14814" s="1"/>
  <c r="C706" i="14814" s="1"/>
  <c r="C707" i="14814" s="1"/>
  <c r="C708" i="14814" s="1"/>
  <c r="C709" i="14814" s="1"/>
  <c r="C710" i="14814" s="1"/>
  <c r="C711" i="14814" s="1"/>
  <c r="C712" i="14814" s="1"/>
  <c r="C713" i="14814" s="1"/>
  <c r="C714" i="14814" s="1"/>
  <c r="C715" i="14814" s="1"/>
  <c r="C716" i="14814" s="1"/>
  <c r="C717" i="14814" s="1"/>
  <c r="C718" i="14814" s="1"/>
  <c r="C719" i="14814" s="1"/>
  <c r="C720" i="14814" s="1"/>
  <c r="C721" i="14814" s="1"/>
  <c r="C722" i="14814" s="1"/>
  <c r="C723" i="14814" s="1"/>
  <c r="C724" i="14814" s="1"/>
  <c r="C725" i="14814" s="1"/>
  <c r="C726" i="14814" s="1"/>
  <c r="C727" i="14814" s="1"/>
  <c r="C728" i="14814" s="1"/>
  <c r="C729" i="14814" s="1"/>
  <c r="C730" i="14814" s="1"/>
  <c r="C731" i="14814" s="1"/>
  <c r="C672" i="14814"/>
  <c r="C673" i="14814" s="1"/>
  <c r="C674" i="14814" s="1"/>
  <c r="C675" i="14814" s="1"/>
  <c r="C676" i="14814" s="1"/>
  <c r="C677" i="14814" s="1"/>
  <c r="C678" i="14814" s="1"/>
  <c r="C679" i="14814" s="1"/>
  <c r="C680" i="14814" s="1"/>
  <c r="C681" i="14814" s="1"/>
  <c r="C682" i="14814" s="1"/>
  <c r="C683" i="14814" s="1"/>
  <c r="C684" i="14814" s="1"/>
  <c r="C685" i="14814" s="1"/>
  <c r="C686" i="14814" s="1"/>
  <c r="C687" i="14814" s="1"/>
  <c r="C688" i="14814" s="1"/>
  <c r="C689" i="14814" s="1"/>
  <c r="C690" i="14814" s="1"/>
  <c r="C691" i="14814" s="1"/>
  <c r="C692" i="14814" s="1"/>
  <c r="C693" i="14814" s="1"/>
  <c r="C694" i="14814" s="1"/>
  <c r="C695" i="14814" s="1"/>
  <c r="C696" i="14814" s="1"/>
  <c r="C697" i="14814" s="1"/>
  <c r="C698" i="14814" s="1"/>
  <c r="C699" i="14814" s="1"/>
  <c r="C700" i="14814" s="1"/>
  <c r="C701" i="14814" s="1"/>
  <c r="C644" i="14814"/>
  <c r="C645" i="14814" s="1"/>
  <c r="C646" i="14814" s="1"/>
  <c r="C647" i="14814" s="1"/>
  <c r="C648" i="14814" s="1"/>
  <c r="C649" i="14814" s="1"/>
  <c r="C650" i="14814" s="1"/>
  <c r="C651" i="14814" s="1"/>
  <c r="C652" i="14814" s="1"/>
  <c r="C653" i="14814" s="1"/>
  <c r="C654" i="14814" s="1"/>
  <c r="C655" i="14814" s="1"/>
  <c r="C656" i="14814" s="1"/>
  <c r="C657" i="14814" s="1"/>
  <c r="C658" i="14814" s="1"/>
  <c r="C659" i="14814" s="1"/>
  <c r="C660" i="14814" s="1"/>
  <c r="C661" i="14814" s="1"/>
  <c r="C662" i="14814" s="1"/>
  <c r="C663" i="14814" s="1"/>
  <c r="C664" i="14814" s="1"/>
  <c r="C665" i="14814" s="1"/>
  <c r="C666" i="14814" s="1"/>
  <c r="C667" i="14814" s="1"/>
  <c r="C668" i="14814" s="1"/>
  <c r="C669" i="14814" s="1"/>
  <c r="C670" i="14814" s="1"/>
  <c r="D613" i="14814"/>
  <c r="D614" i="14814" s="1"/>
  <c r="D615" i="14814" s="1"/>
  <c r="D616" i="14814" s="1"/>
  <c r="D617" i="14814" s="1"/>
  <c r="D618" i="14814" s="1"/>
  <c r="D619" i="14814" s="1"/>
  <c r="D620" i="14814" s="1"/>
  <c r="D621" i="14814" s="1"/>
  <c r="D622" i="14814" s="1"/>
  <c r="D623" i="14814" s="1"/>
  <c r="D624" i="14814" s="1"/>
  <c r="D625" i="14814" s="1"/>
  <c r="D626" i="14814" s="1"/>
  <c r="D627" i="14814" s="1"/>
  <c r="D628" i="14814" s="1"/>
  <c r="D629" i="14814" s="1"/>
  <c r="D630" i="14814" s="1"/>
  <c r="D631" i="14814" s="1"/>
  <c r="D632" i="14814" s="1"/>
  <c r="D633" i="14814" s="1"/>
  <c r="D634" i="14814" s="1"/>
  <c r="D635" i="14814" s="1"/>
  <c r="D636" i="14814" s="1"/>
  <c r="D637" i="14814" s="1"/>
  <c r="D638" i="14814" s="1"/>
  <c r="D639" i="14814" s="1"/>
  <c r="D640" i="14814" s="1"/>
  <c r="D641" i="14814" s="1"/>
  <c r="D642" i="14814" s="1"/>
  <c r="D643" i="14814" s="1"/>
  <c r="D644" i="14814" s="1"/>
  <c r="D645" i="14814" s="1"/>
  <c r="D646" i="14814" s="1"/>
  <c r="D647" i="14814" s="1"/>
  <c r="D648" i="14814" s="1"/>
  <c r="D649" i="14814" s="1"/>
  <c r="D650" i="14814" s="1"/>
  <c r="D651" i="14814" s="1"/>
  <c r="D652" i="14814" s="1"/>
  <c r="D653" i="14814" s="1"/>
  <c r="D654" i="14814" s="1"/>
  <c r="D655" i="14814" s="1"/>
  <c r="D656" i="14814" s="1"/>
  <c r="D657" i="14814" s="1"/>
  <c r="D658" i="14814" s="1"/>
  <c r="D659" i="14814" s="1"/>
  <c r="D660" i="14814" s="1"/>
  <c r="D661" i="14814" s="1"/>
  <c r="D662" i="14814" s="1"/>
  <c r="D663" i="14814" s="1"/>
  <c r="D664" i="14814" s="1"/>
  <c r="D665" i="14814" s="1"/>
  <c r="D666" i="14814" s="1"/>
  <c r="D667" i="14814" s="1"/>
  <c r="D668" i="14814" s="1"/>
  <c r="D669" i="14814" s="1"/>
  <c r="D670" i="14814" s="1"/>
  <c r="D671" i="14814" s="1"/>
  <c r="D672" i="14814" s="1"/>
  <c r="D673" i="14814" s="1"/>
  <c r="D674" i="14814" s="1"/>
  <c r="D675" i="14814" s="1"/>
  <c r="D676" i="14814" s="1"/>
  <c r="D677" i="14814" s="1"/>
  <c r="D678" i="14814" s="1"/>
  <c r="D679" i="14814" s="1"/>
  <c r="D680" i="14814" s="1"/>
  <c r="D681" i="14814" s="1"/>
  <c r="D682" i="14814" s="1"/>
  <c r="D683" i="14814" s="1"/>
  <c r="D684" i="14814" s="1"/>
  <c r="D685" i="14814" s="1"/>
  <c r="D686" i="14814" s="1"/>
  <c r="D687" i="14814" s="1"/>
  <c r="D688" i="14814" s="1"/>
  <c r="D689" i="14814" s="1"/>
  <c r="D690" i="14814" s="1"/>
  <c r="D691" i="14814" s="1"/>
  <c r="D692" i="14814" s="1"/>
  <c r="D693" i="14814" s="1"/>
  <c r="D694" i="14814" s="1"/>
  <c r="D695" i="14814" s="1"/>
  <c r="D696" i="14814" s="1"/>
  <c r="D697" i="14814" s="1"/>
  <c r="D698" i="14814" s="1"/>
  <c r="D699" i="14814" s="1"/>
  <c r="D700" i="14814" s="1"/>
  <c r="D701" i="14814" s="1"/>
  <c r="D702" i="14814" s="1"/>
  <c r="D703" i="14814" s="1"/>
  <c r="D704" i="14814" s="1"/>
  <c r="D705" i="14814" s="1"/>
  <c r="D706" i="14814" s="1"/>
  <c r="D707" i="14814" s="1"/>
  <c r="D708" i="14814" s="1"/>
  <c r="D709" i="14814" s="1"/>
  <c r="D710" i="14814" s="1"/>
  <c r="D711" i="14814" s="1"/>
  <c r="D712" i="14814" s="1"/>
  <c r="D713" i="14814" s="1"/>
  <c r="D714" i="14814" s="1"/>
  <c r="D715" i="14814" s="1"/>
  <c r="D716" i="14814" s="1"/>
  <c r="D717" i="14814" s="1"/>
  <c r="D718" i="14814" s="1"/>
  <c r="D719" i="14814" s="1"/>
  <c r="D720" i="14814" s="1"/>
  <c r="D721" i="14814" s="1"/>
  <c r="D722" i="14814" s="1"/>
  <c r="D723" i="14814" s="1"/>
  <c r="D724" i="14814" s="1"/>
  <c r="D725" i="14814" s="1"/>
  <c r="D726" i="14814" s="1"/>
  <c r="D727" i="14814" s="1"/>
  <c r="D728" i="14814" s="1"/>
  <c r="D729" i="14814" s="1"/>
  <c r="D730" i="14814" s="1"/>
  <c r="D731" i="14814" s="1"/>
  <c r="D732" i="14814" s="1"/>
  <c r="D733" i="14814" s="1"/>
  <c r="D734" i="14814" s="1"/>
  <c r="D735" i="14814" s="1"/>
  <c r="D736" i="14814" s="1"/>
  <c r="D737" i="14814" s="1"/>
  <c r="D738" i="14814" s="1"/>
  <c r="D739" i="14814" s="1"/>
  <c r="D740" i="14814" s="1"/>
  <c r="D741" i="14814" s="1"/>
  <c r="D742" i="14814" s="1"/>
  <c r="D743" i="14814" s="1"/>
  <c r="D744" i="14814" s="1"/>
  <c r="D745" i="14814" s="1"/>
  <c r="D746" i="14814" s="1"/>
  <c r="D747" i="14814" s="1"/>
  <c r="D748" i="14814" s="1"/>
  <c r="D749" i="14814" s="1"/>
  <c r="D750" i="14814" s="1"/>
  <c r="D751" i="14814" s="1"/>
  <c r="D752" i="14814" s="1"/>
  <c r="D753" i="14814" s="1"/>
  <c r="D754" i="14814" s="1"/>
  <c r="D755" i="14814" s="1"/>
  <c r="D756" i="14814" s="1"/>
  <c r="D757" i="14814" s="1"/>
  <c r="D758" i="14814" s="1"/>
  <c r="D759" i="14814" s="1"/>
  <c r="D760" i="14814" s="1"/>
  <c r="D761" i="14814" s="1"/>
  <c r="D762" i="14814" s="1"/>
  <c r="D763" i="14814" s="1"/>
  <c r="D764" i="14814" s="1"/>
  <c r="D765" i="14814" s="1"/>
  <c r="D766" i="14814" s="1"/>
  <c r="D767" i="14814" s="1"/>
  <c r="D768" i="14814" s="1"/>
  <c r="D769" i="14814" s="1"/>
  <c r="D770" i="14814" s="1"/>
  <c r="D771" i="14814" s="1"/>
  <c r="D772" i="14814" s="1"/>
  <c r="D773" i="14814" s="1"/>
  <c r="D774" i="14814" s="1"/>
  <c r="D775" i="14814" s="1"/>
  <c r="D776" i="14814" s="1"/>
  <c r="D777" i="14814" s="1"/>
  <c r="D778" i="14814" s="1"/>
  <c r="D779" i="14814" s="1"/>
  <c r="D780" i="14814" s="1"/>
  <c r="D781" i="14814" s="1"/>
  <c r="D782" i="14814" s="1"/>
  <c r="D783" i="14814" s="1"/>
  <c r="D784" i="14814" s="1"/>
  <c r="D785" i="14814" s="1"/>
  <c r="D786" i="14814" s="1"/>
  <c r="D787" i="14814" s="1"/>
  <c r="D788" i="14814" s="1"/>
  <c r="D789" i="14814" s="1"/>
  <c r="D790" i="14814" s="1"/>
  <c r="D791" i="14814" s="1"/>
  <c r="D792" i="14814" s="1"/>
  <c r="D793" i="14814" s="1"/>
  <c r="D794" i="14814" s="1"/>
  <c r="D795" i="14814" s="1"/>
  <c r="D796" i="14814" s="1"/>
  <c r="D797" i="14814" s="1"/>
  <c r="D798" i="14814" s="1"/>
  <c r="D799" i="14814" s="1"/>
  <c r="D800" i="14814" s="1"/>
  <c r="D801" i="14814" s="1"/>
  <c r="D802" i="14814" s="1"/>
  <c r="D803" i="14814" s="1"/>
  <c r="D804" i="14814" s="1"/>
  <c r="D805" i="14814" s="1"/>
  <c r="D806" i="14814" s="1"/>
  <c r="D807" i="14814" s="1"/>
  <c r="D808" i="14814" s="1"/>
  <c r="D809" i="14814" s="1"/>
  <c r="D810" i="14814" s="1"/>
  <c r="D811" i="14814" s="1"/>
  <c r="D812" i="14814" s="1"/>
  <c r="D813" i="14814" s="1"/>
  <c r="D814" i="14814" s="1"/>
  <c r="D815" i="14814" s="1"/>
  <c r="D816" i="14814" s="1"/>
  <c r="D817" i="14814" s="1"/>
  <c r="D818" i="14814" s="1"/>
  <c r="D819" i="14814" s="1"/>
  <c r="D820" i="14814" s="1"/>
  <c r="D821" i="14814" s="1"/>
  <c r="D822" i="14814" s="1"/>
  <c r="D823" i="14814" s="1"/>
  <c r="D824" i="14814" s="1"/>
  <c r="D825" i="14814" s="1"/>
  <c r="D826" i="14814" s="1"/>
  <c r="D827" i="14814" s="1"/>
  <c r="D828" i="14814" s="1"/>
  <c r="D829" i="14814" s="1"/>
  <c r="D830" i="14814" s="1"/>
  <c r="D831" i="14814" s="1"/>
  <c r="D832" i="14814" s="1"/>
  <c r="D833" i="14814" s="1"/>
  <c r="D834" i="14814" s="1"/>
  <c r="D835" i="14814" s="1"/>
  <c r="D836" i="14814" s="1"/>
  <c r="D837" i="14814" s="1"/>
  <c r="D838" i="14814" s="1"/>
  <c r="D839" i="14814" s="1"/>
  <c r="D840" i="14814" s="1"/>
  <c r="D841" i="14814" s="1"/>
  <c r="D842" i="14814" s="1"/>
  <c r="D843" i="14814" s="1"/>
  <c r="D844" i="14814" s="1"/>
  <c r="D845" i="14814" s="1"/>
  <c r="D846" i="14814" s="1"/>
  <c r="D847" i="14814" s="1"/>
  <c r="D848" i="14814" s="1"/>
  <c r="D849" i="14814" s="1"/>
  <c r="D850" i="14814" s="1"/>
  <c r="D851" i="14814" s="1"/>
  <c r="D852" i="14814" s="1"/>
  <c r="D853" i="14814" s="1"/>
  <c r="D854" i="14814" s="1"/>
  <c r="D855" i="14814" s="1"/>
  <c r="D856" i="14814" s="1"/>
  <c r="D857" i="14814" s="1"/>
  <c r="D858" i="14814" s="1"/>
  <c r="D859" i="14814" s="1"/>
  <c r="D860" i="14814" s="1"/>
  <c r="D861" i="14814" s="1"/>
  <c r="D862" i="14814" s="1"/>
  <c r="D863" i="14814" s="1"/>
  <c r="D864" i="14814" s="1"/>
  <c r="D865" i="14814" s="1"/>
  <c r="D866" i="14814" s="1"/>
  <c r="D867" i="14814" s="1"/>
  <c r="D868" i="14814" s="1"/>
  <c r="D869" i="14814" s="1"/>
  <c r="D870" i="14814" s="1"/>
  <c r="D871" i="14814" s="1"/>
  <c r="D872" i="14814" s="1"/>
  <c r="D873" i="14814" s="1"/>
  <c r="D874" i="14814" s="1"/>
  <c r="D875" i="14814" s="1"/>
  <c r="D876" i="14814" s="1"/>
  <c r="D877" i="14814" s="1"/>
  <c r="D878" i="14814" s="1"/>
  <c r="D879" i="14814" s="1"/>
  <c r="D880" i="14814" s="1"/>
  <c r="D881" i="14814" s="1"/>
  <c r="D882" i="14814" s="1"/>
  <c r="D883" i="14814" s="1"/>
  <c r="D884" i="14814" s="1"/>
  <c r="D885" i="14814" s="1"/>
  <c r="D886" i="14814" s="1"/>
  <c r="D887" i="14814" s="1"/>
  <c r="D888" i="14814" s="1"/>
  <c r="D889" i="14814" s="1"/>
  <c r="D890" i="14814" s="1"/>
  <c r="D891" i="14814" s="1"/>
  <c r="D892" i="14814" s="1"/>
  <c r="D893" i="14814" s="1"/>
  <c r="D894" i="14814" s="1"/>
  <c r="D895" i="14814" s="1"/>
  <c r="D896" i="14814" s="1"/>
  <c r="D897" i="14814" s="1"/>
  <c r="D898" i="14814" s="1"/>
  <c r="D899" i="14814" s="1"/>
  <c r="D900" i="14814" s="1"/>
  <c r="D901" i="14814" s="1"/>
  <c r="D902" i="14814" s="1"/>
  <c r="D903" i="14814" s="1"/>
  <c r="D904" i="14814" s="1"/>
  <c r="D905" i="14814" s="1"/>
  <c r="D906" i="14814" s="1"/>
  <c r="D907" i="14814" s="1"/>
  <c r="D908" i="14814" s="1"/>
  <c r="D909" i="14814" s="1"/>
  <c r="D910" i="14814" s="1"/>
  <c r="D911" i="14814" s="1"/>
  <c r="D912" i="14814" s="1"/>
  <c r="D913" i="14814" s="1"/>
  <c r="D914" i="14814" s="1"/>
  <c r="D915" i="14814" s="1"/>
  <c r="D916" i="14814" s="1"/>
  <c r="D917" i="14814" s="1"/>
  <c r="D918" i="14814" s="1"/>
  <c r="D919" i="14814" s="1"/>
  <c r="D920" i="14814" s="1"/>
  <c r="D921" i="14814" s="1"/>
  <c r="D922" i="14814" s="1"/>
  <c r="D923" i="14814" s="1"/>
  <c r="D924" i="14814" s="1"/>
  <c r="D925" i="14814" s="1"/>
  <c r="D926" i="14814" s="1"/>
  <c r="D927" i="14814" s="1"/>
  <c r="D928" i="14814" s="1"/>
  <c r="D929" i="14814" s="1"/>
  <c r="D930" i="14814" s="1"/>
  <c r="D931" i="14814" s="1"/>
  <c r="D932" i="14814" s="1"/>
  <c r="D933" i="14814" s="1"/>
  <c r="D934" i="14814" s="1"/>
  <c r="D935" i="14814" s="1"/>
  <c r="D936" i="14814" s="1"/>
  <c r="D937" i="14814" s="1"/>
  <c r="D938" i="14814" s="1"/>
  <c r="D939" i="14814" s="1"/>
  <c r="D940" i="14814" s="1"/>
  <c r="D941" i="14814" s="1"/>
  <c r="D942" i="14814" s="1"/>
  <c r="D943" i="14814" s="1"/>
  <c r="D944" i="14814" s="1"/>
  <c r="D945" i="14814" s="1"/>
  <c r="D946" i="14814" s="1"/>
  <c r="D947" i="14814" s="1"/>
  <c r="D948" i="14814" s="1"/>
  <c r="D949" i="14814" s="1"/>
  <c r="D950" i="14814" s="1"/>
  <c r="D951" i="14814" s="1"/>
  <c r="D952" i="14814" s="1"/>
  <c r="D953" i="14814" s="1"/>
  <c r="D954" i="14814" s="1"/>
  <c r="D955" i="14814" s="1"/>
  <c r="D956" i="14814" s="1"/>
  <c r="D957" i="14814" s="1"/>
  <c r="D958" i="14814" s="1"/>
  <c r="D959" i="14814" s="1"/>
  <c r="D960" i="14814" s="1"/>
  <c r="D961" i="14814" s="1"/>
  <c r="D962" i="14814" s="1"/>
  <c r="D963" i="14814" s="1"/>
  <c r="D964" i="14814" s="1"/>
  <c r="D965" i="14814" s="1"/>
  <c r="D966" i="14814" s="1"/>
  <c r="D967" i="14814" s="1"/>
  <c r="D968" i="14814" s="1"/>
  <c r="D969" i="14814" s="1"/>
  <c r="D970" i="14814" s="1"/>
  <c r="D971" i="14814" s="1"/>
  <c r="D972" i="14814" s="1"/>
  <c r="D973" i="14814" s="1"/>
  <c r="D974" i="14814" s="1"/>
  <c r="D975" i="14814" s="1"/>
  <c r="D976" i="14814" s="1"/>
  <c r="C613" i="14814"/>
  <c r="C614" i="14814" s="1"/>
  <c r="C615" i="14814" s="1"/>
  <c r="C616" i="14814" s="1"/>
  <c r="C617" i="14814" s="1"/>
  <c r="C618" i="14814" s="1"/>
  <c r="C619" i="14814" s="1"/>
  <c r="C620" i="14814" s="1"/>
  <c r="C621" i="14814" s="1"/>
  <c r="C622" i="14814" s="1"/>
  <c r="C623" i="14814" s="1"/>
  <c r="C624" i="14814" s="1"/>
  <c r="C625" i="14814" s="1"/>
  <c r="C626" i="14814" s="1"/>
  <c r="C627" i="14814" s="1"/>
  <c r="C628" i="14814" s="1"/>
  <c r="C629" i="14814" s="1"/>
  <c r="C630" i="14814" s="1"/>
  <c r="C631" i="14814" s="1"/>
  <c r="C632" i="14814" s="1"/>
  <c r="C633" i="14814" s="1"/>
  <c r="C634" i="14814" s="1"/>
  <c r="C635" i="14814" s="1"/>
  <c r="C636" i="14814" s="1"/>
  <c r="C637" i="14814" s="1"/>
  <c r="C638" i="14814" s="1"/>
  <c r="C639" i="14814" s="1"/>
  <c r="C640" i="14814" s="1"/>
  <c r="C641" i="14814" s="1"/>
  <c r="C642" i="14814" s="1"/>
  <c r="C569" i="14814"/>
  <c r="A538" i="14814"/>
  <c r="A537" i="14814"/>
  <c r="A536" i="14814"/>
  <c r="A535" i="14814"/>
  <c r="A534" i="14814"/>
  <c r="A533" i="14814"/>
  <c r="A532" i="14814"/>
  <c r="A531" i="14814"/>
  <c r="A530" i="14814"/>
  <c r="A529" i="14814"/>
  <c r="A528" i="14814"/>
  <c r="A527" i="14814"/>
  <c r="A526" i="14814"/>
  <c r="A525" i="14814"/>
  <c r="A524" i="14814"/>
  <c r="A523" i="14814"/>
  <c r="A522" i="14814"/>
  <c r="A521" i="14814"/>
  <c r="A520" i="14814"/>
  <c r="A519" i="14814"/>
  <c r="A518" i="14814"/>
  <c r="A517" i="14814"/>
  <c r="A516" i="14814"/>
  <c r="A515" i="14814"/>
  <c r="A514" i="14814"/>
  <c r="A513" i="14814"/>
  <c r="A512" i="14814"/>
  <c r="A511" i="14814"/>
  <c r="A510" i="14814"/>
  <c r="A509" i="14814"/>
  <c r="A508" i="14814"/>
  <c r="A507" i="14814"/>
  <c r="A506" i="14814"/>
  <c r="A505" i="14814"/>
  <c r="A504" i="14814"/>
  <c r="A503" i="14814"/>
  <c r="A502" i="14814"/>
  <c r="A501" i="14814"/>
  <c r="A500" i="14814"/>
  <c r="A499" i="14814"/>
  <c r="A498" i="14814"/>
  <c r="A497" i="14814"/>
  <c r="A496" i="14814"/>
  <c r="A495" i="14814"/>
  <c r="A494" i="14814"/>
  <c r="A493" i="14814"/>
  <c r="A492" i="14814"/>
  <c r="A491" i="14814"/>
  <c r="A490" i="14814"/>
  <c r="A489" i="14814"/>
  <c r="A488" i="14814"/>
  <c r="A487" i="14814"/>
  <c r="A486" i="14814"/>
  <c r="A485" i="14814"/>
  <c r="A484" i="14814"/>
  <c r="A483" i="14814"/>
  <c r="A482" i="14814"/>
  <c r="A481" i="14814"/>
  <c r="A480" i="14814"/>
  <c r="A479" i="14814"/>
  <c r="A478" i="14814"/>
  <c r="A477" i="14814"/>
  <c r="A476" i="14814"/>
  <c r="A475" i="14814"/>
  <c r="A474" i="14814"/>
  <c r="A473" i="14814"/>
  <c r="A472" i="14814"/>
  <c r="A471" i="14814"/>
  <c r="A470" i="14814"/>
  <c r="A469" i="14814"/>
  <c r="A468" i="14814"/>
  <c r="A467" i="14814"/>
  <c r="A466" i="14814"/>
  <c r="A465" i="14814"/>
  <c r="A464" i="14814"/>
  <c r="A463" i="14814"/>
  <c r="A462" i="14814"/>
  <c r="A461" i="14814"/>
  <c r="A460" i="14814"/>
  <c r="A459" i="14814"/>
  <c r="A458" i="14814"/>
  <c r="A457" i="14814"/>
  <c r="A456" i="14814"/>
  <c r="A455" i="14814"/>
  <c r="A454" i="14814"/>
  <c r="A453" i="14814"/>
  <c r="A452" i="14814"/>
  <c r="A451" i="14814"/>
  <c r="A450" i="14814"/>
  <c r="A449" i="14814"/>
  <c r="A448" i="14814"/>
  <c r="A447" i="14814"/>
  <c r="A446" i="14814"/>
  <c r="A445" i="14814"/>
  <c r="A444" i="14814"/>
  <c r="A443" i="14814"/>
  <c r="A442" i="14814"/>
  <c r="A441" i="14814"/>
  <c r="A440" i="14814"/>
  <c r="A439" i="14814"/>
  <c r="A438" i="14814"/>
  <c r="A437" i="14814"/>
  <c r="A436" i="14814"/>
  <c r="A435" i="14814"/>
  <c r="A434" i="14814"/>
  <c r="A433" i="14814"/>
  <c r="A432" i="14814"/>
  <c r="A431" i="14814"/>
  <c r="A430" i="14814"/>
  <c r="A429" i="14814"/>
  <c r="A428" i="14814"/>
  <c r="A427" i="14814"/>
  <c r="A426" i="14814"/>
  <c r="A425" i="14814"/>
  <c r="A424" i="14814"/>
  <c r="A423" i="14814"/>
  <c r="A422" i="14814"/>
  <c r="A421" i="14814"/>
  <c r="A420" i="14814"/>
  <c r="A419" i="14814"/>
  <c r="A418" i="14814"/>
  <c r="A417" i="14814"/>
  <c r="A416" i="14814"/>
  <c r="A415" i="14814"/>
  <c r="A414" i="14814"/>
  <c r="A413" i="14814"/>
  <c r="A412" i="14814"/>
  <c r="A411" i="14814"/>
  <c r="A410" i="14814"/>
  <c r="A409" i="14814"/>
  <c r="A408" i="14814"/>
  <c r="A407" i="14814"/>
  <c r="A406" i="14814"/>
  <c r="A405" i="14814"/>
  <c r="A404" i="14814"/>
  <c r="A403" i="14814"/>
  <c r="A402" i="14814"/>
  <c r="A401" i="14814"/>
  <c r="A400" i="14814"/>
  <c r="A399" i="14814"/>
  <c r="A398" i="14814"/>
  <c r="A397" i="14814"/>
  <c r="C396" i="14814"/>
  <c r="C397" i="14814" s="1"/>
  <c r="C398" i="14814" s="1"/>
  <c r="C399" i="14814" s="1"/>
  <c r="C400" i="14814" s="1"/>
  <c r="C401" i="14814" s="1"/>
  <c r="C402" i="14814" s="1"/>
  <c r="C403" i="14814" s="1"/>
  <c r="C404" i="14814" s="1"/>
  <c r="C405" i="14814" s="1"/>
  <c r="C406" i="14814" s="1"/>
  <c r="C407" i="14814" s="1"/>
  <c r="C408" i="14814" s="1"/>
  <c r="C409" i="14814" s="1"/>
  <c r="C410" i="14814" s="1"/>
  <c r="C411" i="14814" s="1"/>
  <c r="C412" i="14814" s="1"/>
  <c r="C413" i="14814" s="1"/>
  <c r="C414" i="14814" s="1"/>
  <c r="C415" i="14814" s="1"/>
  <c r="C416" i="14814" s="1"/>
  <c r="C417" i="14814" s="1"/>
  <c r="C418" i="14814" s="1"/>
  <c r="C419" i="14814" s="1"/>
  <c r="C420" i="14814" s="1"/>
  <c r="C421" i="14814" s="1"/>
  <c r="C422" i="14814" s="1"/>
  <c r="C423" i="14814" s="1"/>
  <c r="C424" i="14814" s="1"/>
  <c r="C425" i="14814" s="1"/>
  <c r="C426" i="14814" s="1"/>
  <c r="C427" i="14814" s="1"/>
  <c r="C428" i="14814" s="1"/>
  <c r="C429" i="14814" s="1"/>
  <c r="C430" i="14814" s="1"/>
  <c r="C431" i="14814" s="1"/>
  <c r="C432" i="14814" s="1"/>
  <c r="C433" i="14814" s="1"/>
  <c r="C434" i="14814" s="1"/>
  <c r="C435" i="14814" s="1"/>
  <c r="C436" i="14814" s="1"/>
  <c r="C437" i="14814" s="1"/>
  <c r="C438" i="14814" s="1"/>
  <c r="C439" i="14814" s="1"/>
  <c r="C440" i="14814" s="1"/>
  <c r="C441" i="14814" s="1"/>
  <c r="C442" i="14814" s="1"/>
  <c r="C443" i="14814" s="1"/>
  <c r="C444" i="14814" s="1"/>
  <c r="C445" i="14814" s="1"/>
  <c r="C446" i="14814" s="1"/>
  <c r="C447" i="14814" s="1"/>
  <c r="C448" i="14814" s="1"/>
  <c r="C449" i="14814" s="1"/>
  <c r="C450" i="14814" s="1"/>
  <c r="C451" i="14814" s="1"/>
  <c r="C452" i="14814" s="1"/>
  <c r="C453" i="14814" s="1"/>
  <c r="C454" i="14814" s="1"/>
  <c r="C455" i="14814" s="1"/>
  <c r="C456" i="14814" s="1"/>
  <c r="C457" i="14814" s="1"/>
  <c r="C458" i="14814" s="1"/>
  <c r="C459" i="14814" s="1"/>
  <c r="C460" i="14814" s="1"/>
  <c r="C461" i="14814" s="1"/>
  <c r="C462" i="14814" s="1"/>
  <c r="C463" i="14814" s="1"/>
  <c r="C464" i="14814" s="1"/>
  <c r="C465" i="14814" s="1"/>
  <c r="C466" i="14814" s="1"/>
  <c r="C467" i="14814" s="1"/>
  <c r="C468" i="14814" s="1"/>
  <c r="C469" i="14814" s="1"/>
  <c r="C470" i="14814" s="1"/>
  <c r="C471" i="14814" s="1"/>
  <c r="C472" i="14814" s="1"/>
  <c r="C473" i="14814" s="1"/>
  <c r="C474" i="14814" s="1"/>
  <c r="C475" i="14814" s="1"/>
  <c r="C476" i="14814" s="1"/>
  <c r="C477" i="14814" s="1"/>
  <c r="C478" i="14814" s="1"/>
  <c r="C479" i="14814" s="1"/>
  <c r="C480" i="14814" s="1"/>
  <c r="C481" i="14814" s="1"/>
  <c r="C482" i="14814" s="1"/>
  <c r="C483" i="14814" s="1"/>
  <c r="C484" i="14814" s="1"/>
  <c r="C485" i="14814" s="1"/>
  <c r="C486" i="14814" s="1"/>
  <c r="C487" i="14814" s="1"/>
  <c r="C488" i="14814" s="1"/>
  <c r="C489" i="14814" s="1"/>
  <c r="C490" i="14814" s="1"/>
  <c r="C491" i="14814" s="1"/>
  <c r="C492" i="14814" s="1"/>
  <c r="C493" i="14814" s="1"/>
  <c r="C494" i="14814" s="1"/>
  <c r="C495" i="14814" s="1"/>
  <c r="C496" i="14814" s="1"/>
  <c r="C497" i="14814" s="1"/>
  <c r="C498" i="14814" s="1"/>
  <c r="C499" i="14814" s="1"/>
  <c r="C500" i="14814" s="1"/>
  <c r="C501" i="14814" s="1"/>
  <c r="C502" i="14814" s="1"/>
  <c r="C503" i="14814" s="1"/>
  <c r="C504" i="14814" s="1"/>
  <c r="C505" i="14814" s="1"/>
  <c r="C506" i="14814" s="1"/>
  <c r="C507" i="14814" s="1"/>
  <c r="C508" i="14814" s="1"/>
  <c r="C509" i="14814" s="1"/>
  <c r="C510" i="14814" s="1"/>
  <c r="C511" i="14814" s="1"/>
  <c r="C512" i="14814" s="1"/>
  <c r="C513" i="14814" s="1"/>
  <c r="C514" i="14814" s="1"/>
  <c r="C515" i="14814" s="1"/>
  <c r="C516" i="14814" s="1"/>
  <c r="C517" i="14814" s="1"/>
  <c r="C518" i="14814" s="1"/>
  <c r="C519" i="14814" s="1"/>
  <c r="C520" i="14814" s="1"/>
  <c r="C521" i="14814" s="1"/>
  <c r="C522" i="14814" s="1"/>
  <c r="C523" i="14814" s="1"/>
  <c r="C524" i="14814" s="1"/>
  <c r="C525" i="14814" s="1"/>
  <c r="C526" i="14814" s="1"/>
  <c r="C527" i="14814" s="1"/>
  <c r="C528" i="14814" s="1"/>
  <c r="C529" i="14814" s="1"/>
  <c r="C530" i="14814" s="1"/>
  <c r="C531" i="14814" s="1"/>
  <c r="C532" i="14814" s="1"/>
  <c r="C533" i="14814" s="1"/>
  <c r="C534" i="14814" s="1"/>
  <c r="C535" i="14814" s="1"/>
  <c r="C536" i="14814" s="1"/>
  <c r="C537" i="14814" s="1"/>
  <c r="C538" i="14814" s="1"/>
  <c r="C539" i="14814" s="1"/>
  <c r="C540" i="14814" s="1"/>
  <c r="C541" i="14814" s="1"/>
  <c r="C542" i="14814" s="1"/>
  <c r="C543" i="14814" s="1"/>
  <c r="C544" i="14814" s="1"/>
  <c r="C545" i="14814" s="1"/>
  <c r="C546" i="14814" s="1"/>
  <c r="C547" i="14814" s="1"/>
  <c r="C548" i="14814" s="1"/>
  <c r="C549" i="14814" s="1"/>
  <c r="C550" i="14814" s="1"/>
  <c r="C551" i="14814" s="1"/>
  <c r="C552" i="14814" s="1"/>
  <c r="C553" i="14814" s="1"/>
  <c r="C554" i="14814" s="1"/>
  <c r="C555" i="14814" s="1"/>
  <c r="C556" i="14814" s="1"/>
  <c r="C557" i="14814" s="1"/>
  <c r="C558" i="14814" s="1"/>
  <c r="C559" i="14814" s="1"/>
  <c r="C560" i="14814" s="1"/>
  <c r="C561" i="14814" s="1"/>
  <c r="C562" i="14814" s="1"/>
  <c r="A396" i="14814"/>
  <c r="A395" i="14814"/>
  <c r="AV51" i="14826"/>
  <c r="AT51" i="14826"/>
  <c r="AS51" i="14826"/>
  <c r="AQ51" i="14826"/>
  <c r="AO51" i="14826"/>
  <c r="AM51" i="14826"/>
  <c r="AL51" i="14826"/>
  <c r="AJ51" i="14826"/>
  <c r="AH51" i="14826"/>
  <c r="AF51" i="14826"/>
  <c r="AE51" i="14826"/>
  <c r="AC51" i="14826"/>
  <c r="A51" i="14826"/>
  <c r="AA51" i="14826"/>
  <c r="AV50" i="14826"/>
  <c r="AT50" i="14826"/>
  <c r="AS50" i="14826"/>
  <c r="AQ50" i="14826"/>
  <c r="AO50" i="14826"/>
  <c r="AM50" i="14826"/>
  <c r="AL50" i="14826"/>
  <c r="AJ50" i="14826"/>
  <c r="AH50" i="14826"/>
  <c r="AF50" i="14826"/>
  <c r="AE50" i="14826"/>
  <c r="AC50" i="14826"/>
  <c r="A50" i="14826"/>
  <c r="AA50" i="14826" s="1"/>
  <c r="AV49" i="14826"/>
  <c r="AT49" i="14826"/>
  <c r="AS49" i="14826"/>
  <c r="AQ49" i="14826"/>
  <c r="AO49" i="14826"/>
  <c r="AM49" i="14826"/>
  <c r="AL49" i="14826"/>
  <c r="AJ49" i="14826"/>
  <c r="AH49" i="14826"/>
  <c r="AF49" i="14826"/>
  <c r="AE49" i="14826"/>
  <c r="AC49" i="14826"/>
  <c r="A49" i="14826"/>
  <c r="AA49" i="14826" s="1"/>
  <c r="AV48" i="14826"/>
  <c r="AT48" i="14826"/>
  <c r="AS48" i="14826"/>
  <c r="AQ48" i="14826"/>
  <c r="AO48" i="14826"/>
  <c r="AM48" i="14826"/>
  <c r="AL48" i="14826"/>
  <c r="AJ48" i="14826"/>
  <c r="AH48" i="14826"/>
  <c r="AF48" i="14826"/>
  <c r="AE48" i="14826"/>
  <c r="AC48" i="14826"/>
  <c r="A48" i="14826"/>
  <c r="AA48" i="14826" s="1"/>
  <c r="AV47" i="14826"/>
  <c r="AT47" i="14826"/>
  <c r="AS47" i="14826"/>
  <c r="AQ47" i="14826"/>
  <c r="AO47" i="14826"/>
  <c r="AM47" i="14826"/>
  <c r="AL47" i="14826"/>
  <c r="AJ47" i="14826"/>
  <c r="AH47" i="14826"/>
  <c r="AF47" i="14826"/>
  <c r="AE47" i="14826"/>
  <c r="AC47" i="14826"/>
  <c r="A47" i="14826"/>
  <c r="AA47" i="14826" s="1"/>
  <c r="AV46" i="14826"/>
  <c r="AT46" i="14826"/>
  <c r="AS46" i="14826"/>
  <c r="AQ46" i="14826"/>
  <c r="AO46" i="14826"/>
  <c r="AM46" i="14826"/>
  <c r="AL46" i="14826"/>
  <c r="AJ46" i="14826"/>
  <c r="AH46" i="14826"/>
  <c r="AF46" i="14826"/>
  <c r="AE46" i="14826"/>
  <c r="AC46" i="14826"/>
  <c r="A46" i="14826"/>
  <c r="AA46" i="14826" s="1"/>
  <c r="AV45" i="14826"/>
  <c r="AT45" i="14826"/>
  <c r="AS45" i="14826"/>
  <c r="AQ45" i="14826"/>
  <c r="AO45" i="14826"/>
  <c r="AM45" i="14826"/>
  <c r="AL45" i="14826"/>
  <c r="AJ45" i="14826"/>
  <c r="AH45" i="14826"/>
  <c r="AF45" i="14826"/>
  <c r="AE45" i="14826"/>
  <c r="AC45" i="14826"/>
  <c r="A45" i="14826"/>
  <c r="AA45" i="14826" s="1"/>
  <c r="AV44" i="14826"/>
  <c r="AT44" i="14826"/>
  <c r="AS44" i="14826"/>
  <c r="AQ44" i="14826"/>
  <c r="AO44" i="14826"/>
  <c r="AM44" i="14826"/>
  <c r="AL44" i="14826"/>
  <c r="AJ44" i="14826"/>
  <c r="AH44" i="14826"/>
  <c r="AF44" i="14826"/>
  <c r="AE44" i="14826"/>
  <c r="AC44" i="14826"/>
  <c r="A44" i="14826"/>
  <c r="AA44" i="14826" s="1"/>
  <c r="AV43" i="14826"/>
  <c r="AT43" i="14826"/>
  <c r="AS43" i="14826"/>
  <c r="AQ43" i="14826"/>
  <c r="AO43" i="14826"/>
  <c r="AM43" i="14826"/>
  <c r="AL43" i="14826"/>
  <c r="AJ43" i="14826"/>
  <c r="AH43" i="14826"/>
  <c r="AF43" i="14826"/>
  <c r="AE43" i="14826"/>
  <c r="AC43" i="14826"/>
  <c r="A43" i="14826"/>
  <c r="AA43" i="14826" s="1"/>
  <c r="AV42" i="14826"/>
  <c r="AT42" i="14826"/>
  <c r="AS42" i="14826"/>
  <c r="AQ42" i="14826"/>
  <c r="AO42" i="14826"/>
  <c r="AM42" i="14826"/>
  <c r="AL42" i="14826"/>
  <c r="AJ42" i="14826"/>
  <c r="AH42" i="14826"/>
  <c r="AF42" i="14826"/>
  <c r="AE42" i="14826"/>
  <c r="AC42" i="14826"/>
  <c r="A42" i="14826"/>
  <c r="AA42" i="14826" s="1"/>
  <c r="AV41" i="14826"/>
  <c r="AT41" i="14826"/>
  <c r="AS41" i="14826"/>
  <c r="AQ41" i="14826"/>
  <c r="AO41" i="14826"/>
  <c r="AM41" i="14826"/>
  <c r="AL41" i="14826"/>
  <c r="AJ41" i="14826"/>
  <c r="AH41" i="14826"/>
  <c r="AF41" i="14826"/>
  <c r="AE41" i="14826"/>
  <c r="AC41" i="14826"/>
  <c r="A41" i="14826"/>
  <c r="AA41" i="14826" s="1"/>
  <c r="AV40" i="14826"/>
  <c r="AT40" i="14826"/>
  <c r="AS40" i="14826"/>
  <c r="AQ40" i="14826"/>
  <c r="AO40" i="14826"/>
  <c r="AM40" i="14826"/>
  <c r="AL40" i="14826"/>
  <c r="AJ40" i="14826"/>
  <c r="AH40" i="14826"/>
  <c r="AF40" i="14826"/>
  <c r="AE40" i="14826"/>
  <c r="AC40" i="14826"/>
  <c r="A40" i="14826"/>
  <c r="AA40" i="14826" s="1"/>
  <c r="AV39" i="14826"/>
  <c r="AT39" i="14826"/>
  <c r="AS39" i="14826"/>
  <c r="AQ39" i="14826"/>
  <c r="AO39" i="14826"/>
  <c r="AM39" i="14826"/>
  <c r="AL39" i="14826"/>
  <c r="AJ39" i="14826"/>
  <c r="AH39" i="14826"/>
  <c r="AF39" i="14826"/>
  <c r="AE39" i="14826"/>
  <c r="AC39" i="14826"/>
  <c r="A39" i="14826"/>
  <c r="AA39" i="14826" s="1"/>
  <c r="AV38" i="14826"/>
  <c r="AT38" i="14826"/>
  <c r="AS38" i="14826"/>
  <c r="AQ38" i="14826"/>
  <c r="AO38" i="14826"/>
  <c r="AM38" i="14826"/>
  <c r="AL38" i="14826"/>
  <c r="AJ38" i="14826"/>
  <c r="AH38" i="14826"/>
  <c r="AF38" i="14826"/>
  <c r="AE38" i="14826"/>
  <c r="AC38" i="14826"/>
  <c r="A38" i="14826"/>
  <c r="AA38" i="14826"/>
  <c r="AV37" i="14826"/>
  <c r="AT37" i="14826"/>
  <c r="AS37" i="14826"/>
  <c r="AQ37" i="14826"/>
  <c r="AO37" i="14826"/>
  <c r="AM37" i="14826"/>
  <c r="AL37" i="14826"/>
  <c r="AJ37" i="14826"/>
  <c r="AH37" i="14826"/>
  <c r="AF37" i="14826"/>
  <c r="AE37" i="14826"/>
  <c r="AC37" i="14826"/>
  <c r="A37" i="14826"/>
  <c r="AA37" i="14826" s="1"/>
  <c r="AV36" i="14826"/>
  <c r="AT36" i="14826"/>
  <c r="AS36" i="14826"/>
  <c r="AQ36" i="14826"/>
  <c r="AO36" i="14826"/>
  <c r="AM36" i="14826"/>
  <c r="AL36" i="14826"/>
  <c r="AJ36" i="14826"/>
  <c r="AH36" i="14826"/>
  <c r="AF36" i="14826"/>
  <c r="AE36" i="14826"/>
  <c r="AC36" i="14826"/>
  <c r="A36" i="14826"/>
  <c r="AA36" i="14826" s="1"/>
  <c r="AV35" i="14826"/>
  <c r="AT35" i="14826"/>
  <c r="AS35" i="14826"/>
  <c r="AQ35" i="14826"/>
  <c r="AO35" i="14826"/>
  <c r="AM35" i="14826"/>
  <c r="AL35" i="14826"/>
  <c r="AJ35" i="14826"/>
  <c r="AH35" i="14826"/>
  <c r="AF35" i="14826"/>
  <c r="AE35" i="14826"/>
  <c r="AC35" i="14826"/>
  <c r="A35" i="14826"/>
  <c r="AA35" i="14826" s="1"/>
  <c r="AV34" i="14826"/>
  <c r="AT34" i="14826"/>
  <c r="AS34" i="14826"/>
  <c r="AQ34" i="14826"/>
  <c r="AO34" i="14826"/>
  <c r="AM34" i="14826"/>
  <c r="AL34" i="14826"/>
  <c r="AJ34" i="14826"/>
  <c r="AH34" i="14826"/>
  <c r="AF34" i="14826"/>
  <c r="AE34" i="14826"/>
  <c r="AC34" i="14826"/>
  <c r="A34" i="14826"/>
  <c r="AA34" i="14826" s="1"/>
  <c r="AV33" i="14826"/>
  <c r="AT33" i="14826"/>
  <c r="AS33" i="14826"/>
  <c r="AQ33" i="14826"/>
  <c r="AO33" i="14826"/>
  <c r="AM33" i="14826"/>
  <c r="AL33" i="14826"/>
  <c r="AJ33" i="14826"/>
  <c r="AH33" i="14826"/>
  <c r="AF33" i="14826"/>
  <c r="AE33" i="14826"/>
  <c r="AC33" i="14826"/>
  <c r="A33" i="14826"/>
  <c r="AA33" i="14826" s="1"/>
  <c r="AV32" i="14826"/>
  <c r="AT32" i="14826"/>
  <c r="AS32" i="14826"/>
  <c r="AQ32" i="14826"/>
  <c r="AO32" i="14826"/>
  <c r="AM32" i="14826"/>
  <c r="AL32" i="14826"/>
  <c r="AJ32" i="14826"/>
  <c r="AH32" i="14826"/>
  <c r="AF32" i="14826"/>
  <c r="AE32" i="14826"/>
  <c r="AC32" i="14826"/>
  <c r="A32" i="14826"/>
  <c r="AA32" i="14826" s="1"/>
  <c r="AV31" i="14826"/>
  <c r="AT31" i="14826"/>
  <c r="AS31" i="14826"/>
  <c r="AQ31" i="14826"/>
  <c r="AO31" i="14826"/>
  <c r="AM31" i="14826"/>
  <c r="AL31" i="14826"/>
  <c r="AJ31" i="14826"/>
  <c r="AH31" i="14826"/>
  <c r="AF31" i="14826"/>
  <c r="AE31" i="14826"/>
  <c r="AC31" i="14826"/>
  <c r="A31" i="14826"/>
  <c r="AA31" i="14826" s="1"/>
  <c r="AV30" i="14826"/>
  <c r="AT30" i="14826"/>
  <c r="AS30" i="14826"/>
  <c r="AQ30" i="14826"/>
  <c r="AO30" i="14826"/>
  <c r="AM30" i="14826"/>
  <c r="AL30" i="14826"/>
  <c r="AJ30" i="14826"/>
  <c r="AH30" i="14826"/>
  <c r="AF30" i="14826"/>
  <c r="AE30" i="14826"/>
  <c r="AC30" i="14826"/>
  <c r="A30" i="14826"/>
  <c r="AA30" i="14826" s="1"/>
  <c r="AV29" i="14826"/>
  <c r="AT29" i="14826"/>
  <c r="AS29" i="14826"/>
  <c r="AQ29" i="14826"/>
  <c r="AO29" i="14826"/>
  <c r="AM29" i="14826"/>
  <c r="AL29" i="14826"/>
  <c r="AJ29" i="14826"/>
  <c r="AH29" i="14826"/>
  <c r="AF29" i="14826"/>
  <c r="AE29" i="14826"/>
  <c r="AC29" i="14826"/>
  <c r="A29" i="14826"/>
  <c r="AA29" i="14826" s="1"/>
  <c r="AV28" i="14826"/>
  <c r="AT28" i="14826"/>
  <c r="AS28" i="14826"/>
  <c r="AQ28" i="14826"/>
  <c r="AO28" i="14826"/>
  <c r="AM28" i="14826"/>
  <c r="AL28" i="14826"/>
  <c r="AJ28" i="14826"/>
  <c r="AH28" i="14826"/>
  <c r="AF28" i="14826"/>
  <c r="AE28" i="14826"/>
  <c r="AC28" i="14826"/>
  <c r="A28" i="14826"/>
  <c r="AA28" i="14826" s="1"/>
  <c r="AV27" i="14826"/>
  <c r="AT27" i="14826"/>
  <c r="AS27" i="14826"/>
  <c r="AQ27" i="14826"/>
  <c r="AO27" i="14826"/>
  <c r="AM27" i="14826"/>
  <c r="AL27" i="14826"/>
  <c r="AJ27" i="14826"/>
  <c r="AH27" i="14826"/>
  <c r="AF27" i="14826"/>
  <c r="AE27" i="14826"/>
  <c r="AC27" i="14826"/>
  <c r="A27" i="14826"/>
  <c r="AA27" i="14826" s="1"/>
  <c r="AV26" i="14826"/>
  <c r="AT26" i="14826"/>
  <c r="AS26" i="14826"/>
  <c r="AQ26" i="14826"/>
  <c r="AO26" i="14826"/>
  <c r="AM26" i="14826"/>
  <c r="AL26" i="14826"/>
  <c r="AJ26" i="14826"/>
  <c r="AH26" i="14826"/>
  <c r="AF26" i="14826"/>
  <c r="AE26" i="14826"/>
  <c r="AC26" i="14826"/>
  <c r="A26" i="14826"/>
  <c r="AA26" i="14826" s="1"/>
  <c r="AV25" i="14826"/>
  <c r="AT25" i="14826"/>
  <c r="AS25" i="14826"/>
  <c r="AQ25" i="14826"/>
  <c r="AO25" i="14826"/>
  <c r="AM25" i="14826"/>
  <c r="AL25" i="14826"/>
  <c r="AJ25" i="14826"/>
  <c r="AH25" i="14826"/>
  <c r="AF25" i="14826"/>
  <c r="AE25" i="14826"/>
  <c r="AC25" i="14826"/>
  <c r="A25" i="14826"/>
  <c r="AA25" i="14826" s="1"/>
  <c r="AV24" i="14826"/>
  <c r="AT24" i="14826"/>
  <c r="AS24" i="14826"/>
  <c r="AQ24" i="14826"/>
  <c r="AO24" i="14826"/>
  <c r="AM24" i="14826"/>
  <c r="AL24" i="14826"/>
  <c r="AJ24" i="14826"/>
  <c r="AH24" i="14826"/>
  <c r="AF24" i="14826"/>
  <c r="AE24" i="14826"/>
  <c r="AC24" i="14826"/>
  <c r="A24" i="14826"/>
  <c r="AA24" i="14826" s="1"/>
  <c r="AV23" i="14826"/>
  <c r="AT23" i="14826"/>
  <c r="AS23" i="14826"/>
  <c r="AQ23" i="14826"/>
  <c r="AO23" i="14826"/>
  <c r="AM23" i="14826"/>
  <c r="AL23" i="14826"/>
  <c r="AJ23" i="14826"/>
  <c r="AH23" i="14826"/>
  <c r="AF23" i="14826"/>
  <c r="AE23" i="14826"/>
  <c r="AC23" i="14826"/>
  <c r="A23" i="14826"/>
  <c r="AA23" i="14826" s="1"/>
  <c r="AV22" i="14826"/>
  <c r="AT22" i="14826"/>
  <c r="AS22" i="14826"/>
  <c r="AQ22" i="14826"/>
  <c r="AO22" i="14826"/>
  <c r="AM22" i="14826"/>
  <c r="AL22" i="14826"/>
  <c r="AJ22" i="14826"/>
  <c r="AH22" i="14826"/>
  <c r="AF22" i="14826"/>
  <c r="AE22" i="14826"/>
  <c r="AC22" i="14826"/>
  <c r="A22" i="14826"/>
  <c r="AA22" i="14826" s="1"/>
  <c r="AV21" i="14826"/>
  <c r="AT21" i="14826"/>
  <c r="AS21" i="14826"/>
  <c r="AQ21" i="14826"/>
  <c r="AO21" i="14826"/>
  <c r="AM21" i="14826"/>
  <c r="AL21" i="14826"/>
  <c r="AJ21" i="14826"/>
  <c r="AH21" i="14826"/>
  <c r="AF21" i="14826"/>
  <c r="AE21" i="14826"/>
  <c r="AC21" i="14826"/>
  <c r="A21" i="14826"/>
  <c r="AA21" i="14826" s="1"/>
  <c r="AV20" i="14826"/>
  <c r="AT20" i="14826"/>
  <c r="AS20" i="14826"/>
  <c r="AQ20" i="14826"/>
  <c r="AO20" i="14826"/>
  <c r="AM20" i="14826"/>
  <c r="AL20" i="14826"/>
  <c r="AJ20" i="14826"/>
  <c r="AH20" i="14826"/>
  <c r="AF20" i="14826"/>
  <c r="AE20" i="14826"/>
  <c r="AC20" i="14826"/>
  <c r="A20" i="14826"/>
  <c r="AA20" i="14826" s="1"/>
  <c r="AV19" i="14826"/>
  <c r="AT19" i="14826"/>
  <c r="AS19" i="14826"/>
  <c r="AQ19" i="14826"/>
  <c r="AO19" i="14826"/>
  <c r="AM19" i="14826"/>
  <c r="AL19" i="14826"/>
  <c r="AJ19" i="14826"/>
  <c r="AH19" i="14826"/>
  <c r="AF19" i="14826"/>
  <c r="AE19" i="14826"/>
  <c r="AC19" i="14826"/>
  <c r="A19" i="14826"/>
  <c r="AA19" i="14826" s="1"/>
  <c r="AV18" i="14826"/>
  <c r="AT18" i="14826"/>
  <c r="AS18" i="14826"/>
  <c r="AQ18" i="14826"/>
  <c r="AO18" i="14826"/>
  <c r="AM18" i="14826"/>
  <c r="AL18" i="14826"/>
  <c r="AJ18" i="14826"/>
  <c r="AH18" i="14826"/>
  <c r="AF18" i="14826"/>
  <c r="AE18" i="14826"/>
  <c r="AC18" i="14826"/>
  <c r="A18" i="14826"/>
  <c r="AA18" i="14826" s="1"/>
  <c r="AV17" i="14826"/>
  <c r="AT17" i="14826"/>
  <c r="AS17" i="14826"/>
  <c r="AQ17" i="14826"/>
  <c r="AO17" i="14826"/>
  <c r="AM17" i="14826"/>
  <c r="AL17" i="14826"/>
  <c r="AJ17" i="14826"/>
  <c r="AH17" i="14826"/>
  <c r="AF17" i="14826"/>
  <c r="AE17" i="14826"/>
  <c r="AC17" i="14826"/>
  <c r="A17" i="14826"/>
  <c r="AA17" i="14826" s="1"/>
  <c r="AV16" i="14826"/>
  <c r="AT16" i="14826"/>
  <c r="AS16" i="14826"/>
  <c r="AQ16" i="14826"/>
  <c r="AO16" i="14826"/>
  <c r="AM16" i="14826"/>
  <c r="AL16" i="14826"/>
  <c r="AJ16" i="14826"/>
  <c r="AH16" i="14826"/>
  <c r="AF16" i="14826"/>
  <c r="AE16" i="14826"/>
  <c r="AC16" i="14826"/>
  <c r="A16" i="14826"/>
  <c r="AA16" i="14826" s="1"/>
  <c r="AV15" i="14826"/>
  <c r="AT15" i="14826"/>
  <c r="AS15" i="14826"/>
  <c r="AQ15" i="14826"/>
  <c r="AO15" i="14826"/>
  <c r="AM15" i="14826"/>
  <c r="AL15" i="14826"/>
  <c r="AJ15" i="14826"/>
  <c r="AH15" i="14826"/>
  <c r="AF15" i="14826"/>
  <c r="AE15" i="14826"/>
  <c r="AC15" i="14826"/>
  <c r="A15" i="14826"/>
  <c r="AA15" i="14826" s="1"/>
  <c r="AV14" i="14826"/>
  <c r="AT14" i="14826"/>
  <c r="AS14" i="14826"/>
  <c r="AQ14" i="14826"/>
  <c r="AO14" i="14826"/>
  <c r="AM14" i="14826"/>
  <c r="AL14" i="14826"/>
  <c r="AJ14" i="14826"/>
  <c r="AH14" i="14826"/>
  <c r="AF14" i="14826"/>
  <c r="AE14" i="14826"/>
  <c r="AC14" i="14826"/>
  <c r="A14" i="14826"/>
  <c r="AA14" i="14826" s="1"/>
  <c r="AV13" i="14826"/>
  <c r="AT13" i="14826"/>
  <c r="AS13" i="14826"/>
  <c r="AQ13" i="14826"/>
  <c r="AO13" i="14826"/>
  <c r="AM13" i="14826"/>
  <c r="AL13" i="14826"/>
  <c r="AJ13" i="14826"/>
  <c r="AH13" i="14826"/>
  <c r="AF13" i="14826"/>
  <c r="AE13" i="14826"/>
  <c r="AC13" i="14826"/>
  <c r="A13" i="14826"/>
  <c r="AA13" i="14826" s="1"/>
  <c r="AV12" i="14826"/>
  <c r="AT12" i="14826"/>
  <c r="AS12" i="14826"/>
  <c r="AQ12" i="14826"/>
  <c r="AO12" i="14826"/>
  <c r="AM12" i="14826"/>
  <c r="AL12" i="14826"/>
  <c r="AJ12" i="14826"/>
  <c r="AH12" i="14826"/>
  <c r="AF12" i="14826"/>
  <c r="AE12" i="14826"/>
  <c r="AC12" i="14826"/>
  <c r="A12" i="14826"/>
  <c r="AA12" i="14826" s="1"/>
  <c r="AV11" i="14826"/>
  <c r="AT11" i="14826"/>
  <c r="AS11" i="14826"/>
  <c r="AQ11" i="14826"/>
  <c r="AO11" i="14826"/>
  <c r="AM11" i="14826"/>
  <c r="AL11" i="14826"/>
  <c r="AJ11" i="14826"/>
  <c r="AH11" i="14826"/>
  <c r="AF11" i="14826"/>
  <c r="AE11" i="14826"/>
  <c r="AC11" i="14826"/>
  <c r="A11" i="14826"/>
  <c r="AA11" i="14826" s="1"/>
  <c r="AV10" i="14826"/>
  <c r="AT10" i="14826"/>
  <c r="AS10" i="14826"/>
  <c r="AQ10" i="14826"/>
  <c r="AO10" i="14826"/>
  <c r="AM10" i="14826"/>
  <c r="AL10" i="14826"/>
  <c r="AJ10" i="14826"/>
  <c r="AH10" i="14826"/>
  <c r="AF10" i="14826"/>
  <c r="AE10" i="14826"/>
  <c r="AC10" i="14826"/>
  <c r="A10" i="14826"/>
  <c r="AA10" i="14826" s="1"/>
  <c r="AV9" i="14826"/>
  <c r="AT9" i="14826"/>
  <c r="AS9" i="14826"/>
  <c r="AQ9" i="14826"/>
  <c r="AO9" i="14826"/>
  <c r="AM9" i="14826"/>
  <c r="AL9" i="14826"/>
  <c r="AJ9" i="14826"/>
  <c r="AH9" i="14826"/>
  <c r="AF9" i="14826"/>
  <c r="AE9" i="14826"/>
  <c r="AC9" i="14826"/>
  <c r="A9" i="14826"/>
  <c r="AA9" i="14826" s="1"/>
  <c r="AV8" i="14826"/>
  <c r="AT8" i="14826"/>
  <c r="AS8" i="14826"/>
  <c r="AQ8" i="14826"/>
  <c r="AO8" i="14826"/>
  <c r="AM8" i="14826"/>
  <c r="AL8" i="14826"/>
  <c r="AJ8" i="14826"/>
  <c r="AH8" i="14826"/>
  <c r="AF8" i="14826"/>
  <c r="AE8" i="14826"/>
  <c r="AC8" i="14826"/>
  <c r="A8" i="14826"/>
  <c r="AA8" i="14826" s="1"/>
  <c r="AV7" i="14826"/>
  <c r="AT7" i="14826"/>
  <c r="AS7" i="14826"/>
  <c r="AQ7" i="14826"/>
  <c r="AO7" i="14826"/>
  <c r="AM7" i="14826"/>
  <c r="AL7" i="14826"/>
  <c r="AJ7" i="14826"/>
  <c r="AH7" i="14826"/>
  <c r="AF7" i="14826"/>
  <c r="AE7" i="14826"/>
  <c r="AC7" i="14826"/>
  <c r="A7" i="14826"/>
  <c r="AA7" i="14826" s="1"/>
  <c r="ES50" i="14825"/>
  <c r="ER50" i="14825"/>
  <c r="EQ50" i="14825"/>
  <c r="EP50" i="14825"/>
  <c r="EO50" i="14825"/>
  <c r="EN50" i="14825"/>
  <c r="EM50" i="14825"/>
  <c r="EL50" i="14825"/>
  <c r="EK50" i="14825"/>
  <c r="EJ50" i="14825"/>
  <c r="EI50" i="14825"/>
  <c r="EH50" i="14825"/>
  <c r="EG50" i="14825"/>
  <c r="EF50" i="14825"/>
  <c r="EE50" i="14825"/>
  <c r="ED50" i="14825"/>
  <c r="EC50" i="14825"/>
  <c r="EB50" i="14825"/>
  <c r="EA50" i="14825"/>
  <c r="DZ50" i="14825"/>
  <c r="DY50" i="14825"/>
  <c r="DX50" i="14825"/>
  <c r="DW50" i="14825"/>
  <c r="DV50" i="14825"/>
  <c r="DU50" i="14825"/>
  <c r="DT50" i="14825"/>
  <c r="DS50" i="14825"/>
  <c r="DR50" i="14825"/>
  <c r="DQ50" i="14825"/>
  <c r="DP50" i="14825"/>
  <c r="DO50" i="14825"/>
  <c r="DN50" i="14825"/>
  <c r="DM50" i="14825"/>
  <c r="DL50" i="14825"/>
  <c r="DK50" i="14825"/>
  <c r="DJ50" i="14825"/>
  <c r="DI50" i="14825"/>
  <c r="DH50" i="14825"/>
  <c r="DG50" i="14825"/>
  <c r="DF50" i="14825"/>
  <c r="DE50" i="14825"/>
  <c r="DD50" i="14825"/>
  <c r="DC50" i="14825"/>
  <c r="DB50" i="14825"/>
  <c r="DA50" i="14825"/>
  <c r="A50" i="14825"/>
  <c r="ES49" i="14825"/>
  <c r="ER49" i="14825"/>
  <c r="EQ49" i="14825"/>
  <c r="EP49" i="14825"/>
  <c r="EO49" i="14825"/>
  <c r="EN49" i="14825"/>
  <c r="EM49" i="14825"/>
  <c r="EL49" i="14825"/>
  <c r="EK49" i="14825"/>
  <c r="EJ49" i="14825"/>
  <c r="EI49" i="14825"/>
  <c r="EH49" i="14825"/>
  <c r="EG49" i="14825"/>
  <c r="EF49" i="14825"/>
  <c r="EE49" i="14825"/>
  <c r="ED49" i="14825"/>
  <c r="EC49" i="14825"/>
  <c r="EB49" i="14825"/>
  <c r="EA49" i="14825"/>
  <c r="DZ49" i="14825"/>
  <c r="DY49" i="14825"/>
  <c r="DX49" i="14825"/>
  <c r="DW49" i="14825"/>
  <c r="DV49" i="14825"/>
  <c r="DU49" i="14825"/>
  <c r="DT49" i="14825"/>
  <c r="DS49" i="14825"/>
  <c r="DR49" i="14825"/>
  <c r="DQ49" i="14825"/>
  <c r="DP49" i="14825"/>
  <c r="DO49" i="14825"/>
  <c r="DN49" i="14825"/>
  <c r="DM49" i="14825"/>
  <c r="DL49" i="14825"/>
  <c r="DK49" i="14825"/>
  <c r="DJ49" i="14825"/>
  <c r="DI49" i="14825"/>
  <c r="DH49" i="14825"/>
  <c r="DG49" i="14825"/>
  <c r="DF49" i="14825"/>
  <c r="DE49" i="14825"/>
  <c r="DD49" i="14825"/>
  <c r="DC49" i="14825"/>
  <c r="DB49" i="14825"/>
  <c r="DA49" i="14825"/>
  <c r="A49" i="14825"/>
  <c r="ES48" i="14825"/>
  <c r="ER48" i="14825"/>
  <c r="EQ48" i="14825"/>
  <c r="EP48" i="14825"/>
  <c r="EO48" i="14825"/>
  <c r="EN48" i="14825"/>
  <c r="EM48" i="14825"/>
  <c r="EL48" i="14825"/>
  <c r="EK48" i="14825"/>
  <c r="EJ48" i="14825"/>
  <c r="EI48" i="14825"/>
  <c r="EH48" i="14825"/>
  <c r="EG48" i="14825"/>
  <c r="EF48" i="14825"/>
  <c r="EE48" i="14825"/>
  <c r="ED48" i="14825"/>
  <c r="EC48" i="14825"/>
  <c r="EB48" i="14825"/>
  <c r="EA48" i="14825"/>
  <c r="DZ48" i="14825"/>
  <c r="DY48" i="14825"/>
  <c r="DX48" i="14825"/>
  <c r="DW48" i="14825"/>
  <c r="DV48" i="14825"/>
  <c r="DU48" i="14825"/>
  <c r="DT48" i="14825"/>
  <c r="DS48" i="14825"/>
  <c r="DR48" i="14825"/>
  <c r="DQ48" i="14825"/>
  <c r="DP48" i="14825"/>
  <c r="DO48" i="14825"/>
  <c r="DN48" i="14825"/>
  <c r="DM48" i="14825"/>
  <c r="DL48" i="14825"/>
  <c r="DK48" i="14825"/>
  <c r="DJ48" i="14825"/>
  <c r="DI48" i="14825"/>
  <c r="DH48" i="14825"/>
  <c r="DG48" i="14825"/>
  <c r="DF48" i="14825"/>
  <c r="DE48" i="14825"/>
  <c r="DD48" i="14825"/>
  <c r="DC48" i="14825"/>
  <c r="DB48" i="14825"/>
  <c r="DA48" i="14825"/>
  <c r="A48" i="14825"/>
  <c r="ES47" i="14825"/>
  <c r="ER47" i="14825"/>
  <c r="EQ47" i="14825"/>
  <c r="EP47" i="14825"/>
  <c r="EO47" i="14825"/>
  <c r="EN47" i="14825"/>
  <c r="EM47" i="14825"/>
  <c r="EL47" i="14825"/>
  <c r="EK47" i="14825"/>
  <c r="EJ47" i="14825"/>
  <c r="EI47" i="14825"/>
  <c r="EH47" i="14825"/>
  <c r="EG47" i="14825"/>
  <c r="EF47" i="14825"/>
  <c r="EE47" i="14825"/>
  <c r="ED47" i="14825"/>
  <c r="EC47" i="14825"/>
  <c r="EB47" i="14825"/>
  <c r="EA47" i="14825"/>
  <c r="DZ47" i="14825"/>
  <c r="DY47" i="14825"/>
  <c r="DX47" i="14825"/>
  <c r="DW47" i="14825"/>
  <c r="DV47" i="14825"/>
  <c r="DU47" i="14825"/>
  <c r="DT47" i="14825"/>
  <c r="DS47" i="14825"/>
  <c r="DR47" i="14825"/>
  <c r="DQ47" i="14825"/>
  <c r="DP47" i="14825"/>
  <c r="DO47" i="14825"/>
  <c r="DN47" i="14825"/>
  <c r="DM47" i="14825"/>
  <c r="DL47" i="14825"/>
  <c r="DK47" i="14825"/>
  <c r="DJ47" i="14825"/>
  <c r="DI47" i="14825"/>
  <c r="DH47" i="14825"/>
  <c r="DG47" i="14825"/>
  <c r="DF47" i="14825"/>
  <c r="DE47" i="14825"/>
  <c r="DD47" i="14825"/>
  <c r="DC47" i="14825"/>
  <c r="DB47" i="14825"/>
  <c r="DA47" i="14825"/>
  <c r="A47" i="14825"/>
  <c r="ES46" i="14825"/>
  <c r="ER46" i="14825"/>
  <c r="EQ46" i="14825"/>
  <c r="EP46" i="14825"/>
  <c r="EO46" i="14825"/>
  <c r="EN46" i="14825"/>
  <c r="EM46" i="14825"/>
  <c r="EL46" i="14825"/>
  <c r="EK46" i="14825"/>
  <c r="EJ46" i="14825"/>
  <c r="EI46" i="14825"/>
  <c r="EH46" i="14825"/>
  <c r="EG46" i="14825"/>
  <c r="EF46" i="14825"/>
  <c r="EE46" i="14825"/>
  <c r="ED46" i="14825"/>
  <c r="EC46" i="14825"/>
  <c r="EB46" i="14825"/>
  <c r="EA46" i="14825"/>
  <c r="DZ46" i="14825"/>
  <c r="DY46" i="14825"/>
  <c r="DX46" i="14825"/>
  <c r="DW46" i="14825"/>
  <c r="DV46" i="14825"/>
  <c r="DU46" i="14825"/>
  <c r="DT46" i="14825"/>
  <c r="DS46" i="14825"/>
  <c r="DR46" i="14825"/>
  <c r="DQ46" i="14825"/>
  <c r="DP46" i="14825"/>
  <c r="DO46" i="14825"/>
  <c r="DN46" i="14825"/>
  <c r="DM46" i="14825"/>
  <c r="DL46" i="14825"/>
  <c r="DK46" i="14825"/>
  <c r="DJ46" i="14825"/>
  <c r="DI46" i="14825"/>
  <c r="DH46" i="14825"/>
  <c r="DG46" i="14825"/>
  <c r="DF46" i="14825"/>
  <c r="DE46" i="14825"/>
  <c r="DD46" i="14825"/>
  <c r="DC46" i="14825"/>
  <c r="DB46" i="14825"/>
  <c r="DA46" i="14825"/>
  <c r="A46" i="14825"/>
  <c r="ES45" i="14825"/>
  <c r="ER45" i="14825"/>
  <c r="EQ45" i="14825"/>
  <c r="EP45" i="14825"/>
  <c r="EO45" i="14825"/>
  <c r="EN45" i="14825"/>
  <c r="EM45" i="14825"/>
  <c r="EL45" i="14825"/>
  <c r="EK45" i="14825"/>
  <c r="EJ45" i="14825"/>
  <c r="EI45" i="14825"/>
  <c r="EH45" i="14825"/>
  <c r="EG45" i="14825"/>
  <c r="EF45" i="14825"/>
  <c r="EE45" i="14825"/>
  <c r="ED45" i="14825"/>
  <c r="EC45" i="14825"/>
  <c r="EB45" i="14825"/>
  <c r="EA45" i="14825"/>
  <c r="DZ45" i="14825"/>
  <c r="DY45" i="14825"/>
  <c r="DX45" i="14825"/>
  <c r="DW45" i="14825"/>
  <c r="DV45" i="14825"/>
  <c r="DU45" i="14825"/>
  <c r="DT45" i="14825"/>
  <c r="DS45" i="14825"/>
  <c r="DR45" i="14825"/>
  <c r="DQ45" i="14825"/>
  <c r="DP45" i="14825"/>
  <c r="DO45" i="14825"/>
  <c r="DN45" i="14825"/>
  <c r="DM45" i="14825"/>
  <c r="DL45" i="14825"/>
  <c r="DK45" i="14825"/>
  <c r="DJ45" i="14825"/>
  <c r="DI45" i="14825"/>
  <c r="DH45" i="14825"/>
  <c r="DG45" i="14825"/>
  <c r="DF45" i="14825"/>
  <c r="DE45" i="14825"/>
  <c r="DD45" i="14825"/>
  <c r="DC45" i="14825"/>
  <c r="DB45" i="14825"/>
  <c r="DA45" i="14825"/>
  <c r="A45" i="14825"/>
  <c r="ES44" i="14825"/>
  <c r="ER44" i="14825"/>
  <c r="EQ44" i="14825"/>
  <c r="EP44" i="14825"/>
  <c r="EO44" i="14825"/>
  <c r="EN44" i="14825"/>
  <c r="EM44" i="14825"/>
  <c r="EL44" i="14825"/>
  <c r="EK44" i="14825"/>
  <c r="EJ44" i="14825"/>
  <c r="EI44" i="14825"/>
  <c r="EH44" i="14825"/>
  <c r="EG44" i="14825"/>
  <c r="EF44" i="14825"/>
  <c r="EE44" i="14825"/>
  <c r="ED44" i="14825"/>
  <c r="EC44" i="14825"/>
  <c r="EB44" i="14825"/>
  <c r="EA44" i="14825"/>
  <c r="DZ44" i="14825"/>
  <c r="DY44" i="14825"/>
  <c r="DX44" i="14825"/>
  <c r="DW44" i="14825"/>
  <c r="DV44" i="14825"/>
  <c r="DU44" i="14825"/>
  <c r="DT44" i="14825"/>
  <c r="DS44" i="14825"/>
  <c r="DR44" i="14825"/>
  <c r="DQ44" i="14825"/>
  <c r="DP44" i="14825"/>
  <c r="DO44" i="14825"/>
  <c r="DN44" i="14825"/>
  <c r="DM44" i="14825"/>
  <c r="DL44" i="14825"/>
  <c r="DK44" i="14825"/>
  <c r="DJ44" i="14825"/>
  <c r="DI44" i="14825"/>
  <c r="DH44" i="14825"/>
  <c r="DG44" i="14825"/>
  <c r="DF44" i="14825"/>
  <c r="DE44" i="14825"/>
  <c r="DD44" i="14825"/>
  <c r="DC44" i="14825"/>
  <c r="DB44" i="14825"/>
  <c r="DA44" i="14825"/>
  <c r="A44" i="14825"/>
  <c r="ES43" i="14825"/>
  <c r="ER43" i="14825"/>
  <c r="EQ43" i="14825"/>
  <c r="EP43" i="14825"/>
  <c r="EO43" i="14825"/>
  <c r="EN43" i="14825"/>
  <c r="EM43" i="14825"/>
  <c r="EL43" i="14825"/>
  <c r="EK43" i="14825"/>
  <c r="EJ43" i="14825"/>
  <c r="EI43" i="14825"/>
  <c r="EH43" i="14825"/>
  <c r="EG43" i="14825"/>
  <c r="EF43" i="14825"/>
  <c r="EE43" i="14825"/>
  <c r="ED43" i="14825"/>
  <c r="EC43" i="14825"/>
  <c r="EB43" i="14825"/>
  <c r="EA43" i="14825"/>
  <c r="DZ43" i="14825"/>
  <c r="DY43" i="14825"/>
  <c r="DX43" i="14825"/>
  <c r="DW43" i="14825"/>
  <c r="DV43" i="14825"/>
  <c r="DU43" i="14825"/>
  <c r="DT43" i="14825"/>
  <c r="DS43" i="14825"/>
  <c r="DR43" i="14825"/>
  <c r="DQ43" i="14825"/>
  <c r="DP43" i="14825"/>
  <c r="DO43" i="14825"/>
  <c r="DN43" i="14825"/>
  <c r="DM43" i="14825"/>
  <c r="DL43" i="14825"/>
  <c r="DK43" i="14825"/>
  <c r="DJ43" i="14825"/>
  <c r="DI43" i="14825"/>
  <c r="DH43" i="14825"/>
  <c r="DG43" i="14825"/>
  <c r="DF43" i="14825"/>
  <c r="DE43" i="14825"/>
  <c r="DD43" i="14825"/>
  <c r="DC43" i="14825"/>
  <c r="DB43" i="14825"/>
  <c r="DA43" i="14825"/>
  <c r="A43" i="14825"/>
  <c r="ES42" i="14825"/>
  <c r="ER42" i="14825"/>
  <c r="EQ42" i="14825"/>
  <c r="EP42" i="14825"/>
  <c r="EO42" i="14825"/>
  <c r="EN42" i="14825"/>
  <c r="EM42" i="14825"/>
  <c r="EL42" i="14825"/>
  <c r="EK42" i="14825"/>
  <c r="EJ42" i="14825"/>
  <c r="EI42" i="14825"/>
  <c r="EH42" i="14825"/>
  <c r="EG42" i="14825"/>
  <c r="EF42" i="14825"/>
  <c r="EE42" i="14825"/>
  <c r="ED42" i="14825"/>
  <c r="EC42" i="14825"/>
  <c r="EB42" i="14825"/>
  <c r="EA42" i="14825"/>
  <c r="DZ42" i="14825"/>
  <c r="DY42" i="14825"/>
  <c r="DX42" i="14825"/>
  <c r="DW42" i="14825"/>
  <c r="DV42" i="14825"/>
  <c r="DU42" i="14825"/>
  <c r="DT42" i="14825"/>
  <c r="DS42" i="14825"/>
  <c r="DR42" i="14825"/>
  <c r="DQ42" i="14825"/>
  <c r="DP42" i="14825"/>
  <c r="DO42" i="14825"/>
  <c r="DN42" i="14825"/>
  <c r="DM42" i="14825"/>
  <c r="DL42" i="14825"/>
  <c r="DK42" i="14825"/>
  <c r="DJ42" i="14825"/>
  <c r="DI42" i="14825"/>
  <c r="DH42" i="14825"/>
  <c r="DG42" i="14825"/>
  <c r="DF42" i="14825"/>
  <c r="DE42" i="14825"/>
  <c r="DD42" i="14825"/>
  <c r="DC42" i="14825"/>
  <c r="DB42" i="14825"/>
  <c r="DA42" i="14825"/>
  <c r="A42" i="14825"/>
  <c r="ES41" i="14825"/>
  <c r="ER41" i="14825"/>
  <c r="EQ41" i="14825"/>
  <c r="EP41" i="14825"/>
  <c r="EO41" i="14825"/>
  <c r="EN41" i="14825"/>
  <c r="EM41" i="14825"/>
  <c r="EL41" i="14825"/>
  <c r="EK41" i="14825"/>
  <c r="EJ41" i="14825"/>
  <c r="EI41" i="14825"/>
  <c r="EH41" i="14825"/>
  <c r="EG41" i="14825"/>
  <c r="EF41" i="14825"/>
  <c r="EE41" i="14825"/>
  <c r="ED41" i="14825"/>
  <c r="EC41" i="14825"/>
  <c r="EB41" i="14825"/>
  <c r="EA41" i="14825"/>
  <c r="DZ41" i="14825"/>
  <c r="DY41" i="14825"/>
  <c r="DX41" i="14825"/>
  <c r="DW41" i="14825"/>
  <c r="DV41" i="14825"/>
  <c r="DU41" i="14825"/>
  <c r="DT41" i="14825"/>
  <c r="DS41" i="14825"/>
  <c r="DR41" i="14825"/>
  <c r="DQ41" i="14825"/>
  <c r="DP41" i="14825"/>
  <c r="DO41" i="14825"/>
  <c r="DN41" i="14825"/>
  <c r="DM41" i="14825"/>
  <c r="DL41" i="14825"/>
  <c r="DK41" i="14825"/>
  <c r="DJ41" i="14825"/>
  <c r="DI41" i="14825"/>
  <c r="DH41" i="14825"/>
  <c r="DG41" i="14825"/>
  <c r="DF41" i="14825"/>
  <c r="DE41" i="14825"/>
  <c r="DD41" i="14825"/>
  <c r="DC41" i="14825"/>
  <c r="DB41" i="14825"/>
  <c r="DA41" i="14825"/>
  <c r="A41" i="14825"/>
  <c r="ES40" i="14825"/>
  <c r="ER40" i="14825"/>
  <c r="EQ40" i="14825"/>
  <c r="EP40" i="14825"/>
  <c r="EO40" i="14825"/>
  <c r="EN40" i="14825"/>
  <c r="EM40" i="14825"/>
  <c r="EL40" i="14825"/>
  <c r="EK40" i="14825"/>
  <c r="EJ40" i="14825"/>
  <c r="EI40" i="14825"/>
  <c r="EH40" i="14825"/>
  <c r="EG40" i="14825"/>
  <c r="EF40" i="14825"/>
  <c r="EE40" i="14825"/>
  <c r="ED40" i="14825"/>
  <c r="EC40" i="14825"/>
  <c r="EB40" i="14825"/>
  <c r="EA40" i="14825"/>
  <c r="DZ40" i="14825"/>
  <c r="DY40" i="14825"/>
  <c r="DX40" i="14825"/>
  <c r="DW40" i="14825"/>
  <c r="DV40" i="14825"/>
  <c r="DU40" i="14825"/>
  <c r="DT40" i="14825"/>
  <c r="DS40" i="14825"/>
  <c r="DR40" i="14825"/>
  <c r="DQ40" i="14825"/>
  <c r="DP40" i="14825"/>
  <c r="DO40" i="14825"/>
  <c r="DN40" i="14825"/>
  <c r="DM40" i="14825"/>
  <c r="DL40" i="14825"/>
  <c r="DK40" i="14825"/>
  <c r="DJ40" i="14825"/>
  <c r="DI40" i="14825"/>
  <c r="DH40" i="14825"/>
  <c r="DG40" i="14825"/>
  <c r="DF40" i="14825"/>
  <c r="DE40" i="14825"/>
  <c r="DD40" i="14825"/>
  <c r="DC40" i="14825"/>
  <c r="DB40" i="14825"/>
  <c r="DA40" i="14825"/>
  <c r="A40" i="14825"/>
  <c r="ES39" i="14825"/>
  <c r="ER39" i="14825"/>
  <c r="EQ39" i="14825"/>
  <c r="EP39" i="14825"/>
  <c r="EO39" i="14825"/>
  <c r="EN39" i="14825"/>
  <c r="EM39" i="14825"/>
  <c r="EL39" i="14825"/>
  <c r="EK39" i="14825"/>
  <c r="EJ39" i="14825"/>
  <c r="EI39" i="14825"/>
  <c r="EH39" i="14825"/>
  <c r="EG39" i="14825"/>
  <c r="EF39" i="14825"/>
  <c r="EE39" i="14825"/>
  <c r="ED39" i="14825"/>
  <c r="EC39" i="14825"/>
  <c r="EB39" i="14825"/>
  <c r="EA39" i="14825"/>
  <c r="DZ39" i="14825"/>
  <c r="DY39" i="14825"/>
  <c r="DX39" i="14825"/>
  <c r="DW39" i="14825"/>
  <c r="DV39" i="14825"/>
  <c r="DU39" i="14825"/>
  <c r="DT39" i="14825"/>
  <c r="DS39" i="14825"/>
  <c r="DR39" i="14825"/>
  <c r="DQ39" i="14825"/>
  <c r="DP39" i="14825"/>
  <c r="DO39" i="14825"/>
  <c r="DN39" i="14825"/>
  <c r="DM39" i="14825"/>
  <c r="DL39" i="14825"/>
  <c r="DK39" i="14825"/>
  <c r="DJ39" i="14825"/>
  <c r="DI39" i="14825"/>
  <c r="DH39" i="14825"/>
  <c r="DG39" i="14825"/>
  <c r="DF39" i="14825"/>
  <c r="DE39" i="14825"/>
  <c r="DD39" i="14825"/>
  <c r="DC39" i="14825"/>
  <c r="DB39" i="14825"/>
  <c r="DA39" i="14825"/>
  <c r="A39" i="14825"/>
  <c r="ES38" i="14825"/>
  <c r="ER38" i="14825"/>
  <c r="EQ38" i="14825"/>
  <c r="EP38" i="14825"/>
  <c r="EO38" i="14825"/>
  <c r="EN38" i="14825"/>
  <c r="EM38" i="14825"/>
  <c r="EL38" i="14825"/>
  <c r="EK38" i="14825"/>
  <c r="EJ38" i="14825"/>
  <c r="EI38" i="14825"/>
  <c r="EH38" i="14825"/>
  <c r="EG38" i="14825"/>
  <c r="EF38" i="14825"/>
  <c r="EE38" i="14825"/>
  <c r="ED38" i="14825"/>
  <c r="EC38" i="14825"/>
  <c r="EB38" i="14825"/>
  <c r="EA38" i="14825"/>
  <c r="DZ38" i="14825"/>
  <c r="DY38" i="14825"/>
  <c r="DX38" i="14825"/>
  <c r="DW38" i="14825"/>
  <c r="DV38" i="14825"/>
  <c r="DU38" i="14825"/>
  <c r="DT38" i="14825"/>
  <c r="DS38" i="14825"/>
  <c r="DR38" i="14825"/>
  <c r="DQ38" i="14825"/>
  <c r="DP38" i="14825"/>
  <c r="DO38" i="14825"/>
  <c r="DN38" i="14825"/>
  <c r="DM38" i="14825"/>
  <c r="DL38" i="14825"/>
  <c r="DK38" i="14825"/>
  <c r="DJ38" i="14825"/>
  <c r="DI38" i="14825"/>
  <c r="DH38" i="14825"/>
  <c r="DG38" i="14825"/>
  <c r="DF38" i="14825"/>
  <c r="DE38" i="14825"/>
  <c r="DD38" i="14825"/>
  <c r="DC38" i="14825"/>
  <c r="DB38" i="14825"/>
  <c r="DA38" i="14825"/>
  <c r="A38" i="14825"/>
  <c r="ES37" i="14825"/>
  <c r="ER37" i="14825"/>
  <c r="EQ37" i="14825"/>
  <c r="EP37" i="14825"/>
  <c r="EO37" i="14825"/>
  <c r="EN37" i="14825"/>
  <c r="EM37" i="14825"/>
  <c r="EL37" i="14825"/>
  <c r="EK37" i="14825"/>
  <c r="EJ37" i="14825"/>
  <c r="EI37" i="14825"/>
  <c r="EH37" i="14825"/>
  <c r="EG37" i="14825"/>
  <c r="EF37" i="14825"/>
  <c r="EE37" i="14825"/>
  <c r="ED37" i="14825"/>
  <c r="EC37" i="14825"/>
  <c r="EB37" i="14825"/>
  <c r="EA37" i="14825"/>
  <c r="DZ37" i="14825"/>
  <c r="DY37" i="14825"/>
  <c r="DX37" i="14825"/>
  <c r="DW37" i="14825"/>
  <c r="DV37" i="14825"/>
  <c r="DU37" i="14825"/>
  <c r="DT37" i="14825"/>
  <c r="DS37" i="14825"/>
  <c r="DR37" i="14825"/>
  <c r="DQ37" i="14825"/>
  <c r="DP37" i="14825"/>
  <c r="DO37" i="14825"/>
  <c r="DN37" i="14825"/>
  <c r="DM37" i="14825"/>
  <c r="DL37" i="14825"/>
  <c r="DK37" i="14825"/>
  <c r="DJ37" i="14825"/>
  <c r="DI37" i="14825"/>
  <c r="DH37" i="14825"/>
  <c r="DG37" i="14825"/>
  <c r="DF37" i="14825"/>
  <c r="DE37" i="14825"/>
  <c r="DD37" i="14825"/>
  <c r="DC37" i="14825"/>
  <c r="DB37" i="14825"/>
  <c r="DA37" i="14825"/>
  <c r="A37" i="14825"/>
  <c r="ES36" i="14825"/>
  <c r="ER36" i="14825"/>
  <c r="EQ36" i="14825"/>
  <c r="EP36" i="14825"/>
  <c r="EO36" i="14825"/>
  <c r="EN36" i="14825"/>
  <c r="EM36" i="14825"/>
  <c r="EL36" i="14825"/>
  <c r="EK36" i="14825"/>
  <c r="EJ36" i="14825"/>
  <c r="EI36" i="14825"/>
  <c r="EH36" i="14825"/>
  <c r="EG36" i="14825"/>
  <c r="EF36" i="14825"/>
  <c r="EE36" i="14825"/>
  <c r="ED36" i="14825"/>
  <c r="EC36" i="14825"/>
  <c r="EB36" i="14825"/>
  <c r="EA36" i="14825"/>
  <c r="DZ36" i="14825"/>
  <c r="DY36" i="14825"/>
  <c r="DX36" i="14825"/>
  <c r="DW36" i="14825"/>
  <c r="DV36" i="14825"/>
  <c r="DU36" i="14825"/>
  <c r="DT36" i="14825"/>
  <c r="DS36" i="14825"/>
  <c r="DR36" i="14825"/>
  <c r="DQ36" i="14825"/>
  <c r="DP36" i="14825"/>
  <c r="DO36" i="14825"/>
  <c r="DN36" i="14825"/>
  <c r="DM36" i="14825"/>
  <c r="DL36" i="14825"/>
  <c r="DK36" i="14825"/>
  <c r="DJ36" i="14825"/>
  <c r="DI36" i="14825"/>
  <c r="DH36" i="14825"/>
  <c r="DG36" i="14825"/>
  <c r="DF36" i="14825"/>
  <c r="DE36" i="14825"/>
  <c r="DD36" i="14825"/>
  <c r="DC36" i="14825"/>
  <c r="DB36" i="14825"/>
  <c r="DA36" i="14825"/>
  <c r="A36" i="14825"/>
  <c r="ES35" i="14825"/>
  <c r="ER35" i="14825"/>
  <c r="EQ35" i="14825"/>
  <c r="EP35" i="14825"/>
  <c r="EO35" i="14825"/>
  <c r="EN35" i="14825"/>
  <c r="EM35" i="14825"/>
  <c r="EL35" i="14825"/>
  <c r="EK35" i="14825"/>
  <c r="EJ35" i="14825"/>
  <c r="EI35" i="14825"/>
  <c r="EH35" i="14825"/>
  <c r="EG35" i="14825"/>
  <c r="EF35" i="14825"/>
  <c r="EE35" i="14825"/>
  <c r="ED35" i="14825"/>
  <c r="EC35" i="14825"/>
  <c r="EB35" i="14825"/>
  <c r="EA35" i="14825"/>
  <c r="DZ35" i="14825"/>
  <c r="DY35" i="14825"/>
  <c r="DX35" i="14825"/>
  <c r="DW35" i="14825"/>
  <c r="DV35" i="14825"/>
  <c r="DU35" i="14825"/>
  <c r="DT35" i="14825"/>
  <c r="DS35" i="14825"/>
  <c r="DR35" i="14825"/>
  <c r="DQ35" i="14825"/>
  <c r="DP35" i="14825"/>
  <c r="DO35" i="14825"/>
  <c r="DN35" i="14825"/>
  <c r="DM35" i="14825"/>
  <c r="DL35" i="14825"/>
  <c r="DK35" i="14825"/>
  <c r="DJ35" i="14825"/>
  <c r="DI35" i="14825"/>
  <c r="DH35" i="14825"/>
  <c r="DG35" i="14825"/>
  <c r="DF35" i="14825"/>
  <c r="DE35" i="14825"/>
  <c r="DD35" i="14825"/>
  <c r="DC35" i="14825"/>
  <c r="DB35" i="14825"/>
  <c r="DA35" i="14825"/>
  <c r="A35" i="14825"/>
  <c r="ES34" i="14825"/>
  <c r="ER34" i="14825"/>
  <c r="EQ34" i="14825"/>
  <c r="EP34" i="14825"/>
  <c r="EO34" i="14825"/>
  <c r="EN34" i="14825"/>
  <c r="EM34" i="14825"/>
  <c r="EL34" i="14825"/>
  <c r="EK34" i="14825"/>
  <c r="EJ34" i="14825"/>
  <c r="EI34" i="14825"/>
  <c r="EH34" i="14825"/>
  <c r="EG34" i="14825"/>
  <c r="EF34" i="14825"/>
  <c r="EE34" i="14825"/>
  <c r="ED34" i="14825"/>
  <c r="EC34" i="14825"/>
  <c r="EB34" i="14825"/>
  <c r="EA34" i="14825"/>
  <c r="DZ34" i="14825"/>
  <c r="DY34" i="14825"/>
  <c r="DX34" i="14825"/>
  <c r="DW34" i="14825"/>
  <c r="DV34" i="14825"/>
  <c r="DU34" i="14825"/>
  <c r="DT34" i="14825"/>
  <c r="DS34" i="14825"/>
  <c r="DR34" i="14825"/>
  <c r="DQ34" i="14825"/>
  <c r="DP34" i="14825"/>
  <c r="DO34" i="14825"/>
  <c r="DN34" i="14825"/>
  <c r="DM34" i="14825"/>
  <c r="DL34" i="14825"/>
  <c r="DK34" i="14825"/>
  <c r="DJ34" i="14825"/>
  <c r="DI34" i="14825"/>
  <c r="DH34" i="14825"/>
  <c r="DG34" i="14825"/>
  <c r="DF34" i="14825"/>
  <c r="DE34" i="14825"/>
  <c r="DD34" i="14825"/>
  <c r="DC34" i="14825"/>
  <c r="DB34" i="14825"/>
  <c r="DA34" i="14825"/>
  <c r="A34" i="14825"/>
  <c r="ES33" i="14825"/>
  <c r="ER33" i="14825"/>
  <c r="EQ33" i="14825"/>
  <c r="EP33" i="14825"/>
  <c r="EO33" i="14825"/>
  <c r="EN33" i="14825"/>
  <c r="EM33" i="14825"/>
  <c r="EL33" i="14825"/>
  <c r="EK33" i="14825"/>
  <c r="EJ33" i="14825"/>
  <c r="EI33" i="14825"/>
  <c r="EH33" i="14825"/>
  <c r="EG33" i="14825"/>
  <c r="EF33" i="14825"/>
  <c r="EE33" i="14825"/>
  <c r="ED33" i="14825"/>
  <c r="EC33" i="14825"/>
  <c r="EB33" i="14825"/>
  <c r="EA33" i="14825"/>
  <c r="DZ33" i="14825"/>
  <c r="DY33" i="14825"/>
  <c r="DX33" i="14825"/>
  <c r="DW33" i="14825"/>
  <c r="DV33" i="14825"/>
  <c r="DU33" i="14825"/>
  <c r="DT33" i="14825"/>
  <c r="DS33" i="14825"/>
  <c r="DR33" i="14825"/>
  <c r="DQ33" i="14825"/>
  <c r="DP33" i="14825"/>
  <c r="DO33" i="14825"/>
  <c r="DN33" i="14825"/>
  <c r="DM33" i="14825"/>
  <c r="DL33" i="14825"/>
  <c r="DK33" i="14825"/>
  <c r="DJ33" i="14825"/>
  <c r="DI33" i="14825"/>
  <c r="DH33" i="14825"/>
  <c r="DG33" i="14825"/>
  <c r="DF33" i="14825"/>
  <c r="DE33" i="14825"/>
  <c r="DD33" i="14825"/>
  <c r="DC33" i="14825"/>
  <c r="DB33" i="14825"/>
  <c r="DA33" i="14825"/>
  <c r="A33" i="14825"/>
  <c r="ES32" i="14825"/>
  <c r="ER32" i="14825"/>
  <c r="EQ32" i="14825"/>
  <c r="EP32" i="14825"/>
  <c r="EO32" i="14825"/>
  <c r="EN32" i="14825"/>
  <c r="EM32" i="14825"/>
  <c r="EL32" i="14825"/>
  <c r="EK32" i="14825"/>
  <c r="EJ32" i="14825"/>
  <c r="EI32" i="14825"/>
  <c r="EH32" i="14825"/>
  <c r="EG32" i="14825"/>
  <c r="EF32" i="14825"/>
  <c r="EE32" i="14825"/>
  <c r="ED32" i="14825"/>
  <c r="EC32" i="14825"/>
  <c r="EB32" i="14825"/>
  <c r="EA32" i="14825"/>
  <c r="DZ32" i="14825"/>
  <c r="DY32" i="14825"/>
  <c r="DX32" i="14825"/>
  <c r="DW32" i="14825"/>
  <c r="DV32" i="14825"/>
  <c r="DU32" i="14825"/>
  <c r="DT32" i="14825"/>
  <c r="DS32" i="14825"/>
  <c r="DR32" i="14825"/>
  <c r="DQ32" i="14825"/>
  <c r="DP32" i="14825"/>
  <c r="DO32" i="14825"/>
  <c r="DN32" i="14825"/>
  <c r="DM32" i="14825"/>
  <c r="DL32" i="14825"/>
  <c r="DK32" i="14825"/>
  <c r="DJ32" i="14825"/>
  <c r="DI32" i="14825"/>
  <c r="DH32" i="14825"/>
  <c r="DG32" i="14825"/>
  <c r="DF32" i="14825"/>
  <c r="DE32" i="14825"/>
  <c r="DD32" i="14825"/>
  <c r="DC32" i="14825"/>
  <c r="DB32" i="14825"/>
  <c r="DA32" i="14825"/>
  <c r="A32" i="14825"/>
  <c r="ES31" i="14825"/>
  <c r="ER31" i="14825"/>
  <c r="EQ31" i="14825"/>
  <c r="EP31" i="14825"/>
  <c r="EO31" i="14825"/>
  <c r="EN31" i="14825"/>
  <c r="EM31" i="14825"/>
  <c r="EL31" i="14825"/>
  <c r="EK31" i="14825"/>
  <c r="EJ31" i="14825"/>
  <c r="EI31" i="14825"/>
  <c r="EH31" i="14825"/>
  <c r="EG31" i="14825"/>
  <c r="EF31" i="14825"/>
  <c r="EE31" i="14825"/>
  <c r="ED31" i="14825"/>
  <c r="EC31" i="14825"/>
  <c r="EB31" i="14825"/>
  <c r="EA31" i="14825"/>
  <c r="DZ31" i="14825"/>
  <c r="DY31" i="14825"/>
  <c r="DX31" i="14825"/>
  <c r="DW31" i="14825"/>
  <c r="DV31" i="14825"/>
  <c r="DU31" i="14825"/>
  <c r="DT31" i="14825"/>
  <c r="DS31" i="14825"/>
  <c r="DR31" i="14825"/>
  <c r="DQ31" i="14825"/>
  <c r="DP31" i="14825"/>
  <c r="DO31" i="14825"/>
  <c r="DN31" i="14825"/>
  <c r="DM31" i="14825"/>
  <c r="DL31" i="14825"/>
  <c r="DK31" i="14825"/>
  <c r="DJ31" i="14825"/>
  <c r="DI31" i="14825"/>
  <c r="DH31" i="14825"/>
  <c r="DG31" i="14825"/>
  <c r="DF31" i="14825"/>
  <c r="DE31" i="14825"/>
  <c r="DD31" i="14825"/>
  <c r="DC31" i="14825"/>
  <c r="DB31" i="14825"/>
  <c r="DA31" i="14825"/>
  <c r="A31" i="14825"/>
  <c r="ES30" i="14825"/>
  <c r="ER30" i="14825"/>
  <c r="EQ30" i="14825"/>
  <c r="EP30" i="14825"/>
  <c r="EO30" i="14825"/>
  <c r="EN30" i="14825"/>
  <c r="EM30" i="14825"/>
  <c r="EL30" i="14825"/>
  <c r="EK30" i="14825"/>
  <c r="EJ30" i="14825"/>
  <c r="EI30" i="14825"/>
  <c r="EH30" i="14825"/>
  <c r="EG30" i="14825"/>
  <c r="EF30" i="14825"/>
  <c r="EE30" i="14825"/>
  <c r="ED30" i="14825"/>
  <c r="EC30" i="14825"/>
  <c r="EB30" i="14825"/>
  <c r="EA30" i="14825"/>
  <c r="DZ30" i="14825"/>
  <c r="DY30" i="14825"/>
  <c r="DX30" i="14825"/>
  <c r="DW30" i="14825"/>
  <c r="DV30" i="14825"/>
  <c r="DU30" i="14825"/>
  <c r="DT30" i="14825"/>
  <c r="DS30" i="14825"/>
  <c r="DR30" i="14825"/>
  <c r="DQ30" i="14825"/>
  <c r="DP30" i="14825"/>
  <c r="DO30" i="14825"/>
  <c r="DN30" i="14825"/>
  <c r="DM30" i="14825"/>
  <c r="DL30" i="14825"/>
  <c r="DK30" i="14825"/>
  <c r="DJ30" i="14825"/>
  <c r="DI30" i="14825"/>
  <c r="DH30" i="14825"/>
  <c r="DG30" i="14825"/>
  <c r="DF30" i="14825"/>
  <c r="DE30" i="14825"/>
  <c r="DD30" i="14825"/>
  <c r="DC30" i="14825"/>
  <c r="DB30" i="14825"/>
  <c r="DA30" i="14825"/>
  <c r="A30" i="14825"/>
  <c r="ES29" i="14825"/>
  <c r="ER29" i="14825"/>
  <c r="EQ29" i="14825"/>
  <c r="EP29" i="14825"/>
  <c r="EO29" i="14825"/>
  <c r="EN29" i="14825"/>
  <c r="EM29" i="14825"/>
  <c r="EL29" i="14825"/>
  <c r="EK29" i="14825"/>
  <c r="EJ29" i="14825"/>
  <c r="EI29" i="14825"/>
  <c r="EH29" i="14825"/>
  <c r="EG29" i="14825"/>
  <c r="EF29" i="14825"/>
  <c r="EE29" i="14825"/>
  <c r="ED29" i="14825"/>
  <c r="EC29" i="14825"/>
  <c r="EB29" i="14825"/>
  <c r="EA29" i="14825"/>
  <c r="DZ29" i="14825"/>
  <c r="DY29" i="14825"/>
  <c r="DX29" i="14825"/>
  <c r="DW29" i="14825"/>
  <c r="DV29" i="14825"/>
  <c r="DU29" i="14825"/>
  <c r="DT29" i="14825"/>
  <c r="DS29" i="14825"/>
  <c r="DR29" i="14825"/>
  <c r="DQ29" i="14825"/>
  <c r="DP29" i="14825"/>
  <c r="DO29" i="14825"/>
  <c r="DN29" i="14825"/>
  <c r="DM29" i="14825"/>
  <c r="DL29" i="14825"/>
  <c r="DK29" i="14825"/>
  <c r="DJ29" i="14825"/>
  <c r="DI29" i="14825"/>
  <c r="DH29" i="14825"/>
  <c r="DG29" i="14825"/>
  <c r="DF29" i="14825"/>
  <c r="DE29" i="14825"/>
  <c r="DD29" i="14825"/>
  <c r="DC29" i="14825"/>
  <c r="DB29" i="14825"/>
  <c r="DA29" i="14825"/>
  <c r="A29" i="14825"/>
  <c r="ES28" i="14825"/>
  <c r="ER28" i="14825"/>
  <c r="EQ28" i="14825"/>
  <c r="EP28" i="14825"/>
  <c r="EO28" i="14825"/>
  <c r="EN28" i="14825"/>
  <c r="EM28" i="14825"/>
  <c r="EL28" i="14825"/>
  <c r="EK28" i="14825"/>
  <c r="EJ28" i="14825"/>
  <c r="EI28" i="14825"/>
  <c r="EH28" i="14825"/>
  <c r="EG28" i="14825"/>
  <c r="EF28" i="14825"/>
  <c r="EE28" i="14825"/>
  <c r="ED28" i="14825"/>
  <c r="EC28" i="14825"/>
  <c r="EB28" i="14825"/>
  <c r="EA28" i="14825"/>
  <c r="DZ28" i="14825"/>
  <c r="DY28" i="14825"/>
  <c r="DX28" i="14825"/>
  <c r="DW28" i="14825"/>
  <c r="DV28" i="14825"/>
  <c r="DU28" i="14825"/>
  <c r="DT28" i="14825"/>
  <c r="DS28" i="14825"/>
  <c r="DR28" i="14825"/>
  <c r="DQ28" i="14825"/>
  <c r="DP28" i="14825"/>
  <c r="DO28" i="14825"/>
  <c r="DN28" i="14825"/>
  <c r="DM28" i="14825"/>
  <c r="DL28" i="14825"/>
  <c r="DK28" i="14825"/>
  <c r="DJ28" i="14825"/>
  <c r="DI28" i="14825"/>
  <c r="DH28" i="14825"/>
  <c r="DG28" i="14825"/>
  <c r="DF28" i="14825"/>
  <c r="DE28" i="14825"/>
  <c r="DD28" i="14825"/>
  <c r="DC28" i="14825"/>
  <c r="DB28" i="14825"/>
  <c r="DA28" i="14825"/>
  <c r="A28" i="14825"/>
  <c r="ES27" i="14825"/>
  <c r="ER27" i="14825"/>
  <c r="EQ27" i="14825"/>
  <c r="EP27" i="14825"/>
  <c r="EO27" i="14825"/>
  <c r="EN27" i="14825"/>
  <c r="EM27" i="14825"/>
  <c r="EL27" i="14825"/>
  <c r="EK27" i="14825"/>
  <c r="EJ27" i="14825"/>
  <c r="EI27" i="14825"/>
  <c r="EH27" i="14825"/>
  <c r="EG27" i="14825"/>
  <c r="EF27" i="14825"/>
  <c r="EE27" i="14825"/>
  <c r="ED27" i="14825"/>
  <c r="EC27" i="14825"/>
  <c r="EB27" i="14825"/>
  <c r="EA27" i="14825"/>
  <c r="DZ27" i="14825"/>
  <c r="DY27" i="14825"/>
  <c r="DX27" i="14825"/>
  <c r="DW27" i="14825"/>
  <c r="DV27" i="14825"/>
  <c r="DU27" i="14825"/>
  <c r="DT27" i="14825"/>
  <c r="DS27" i="14825"/>
  <c r="DR27" i="14825"/>
  <c r="DQ27" i="14825"/>
  <c r="DP27" i="14825"/>
  <c r="DO27" i="14825"/>
  <c r="DN27" i="14825"/>
  <c r="DM27" i="14825"/>
  <c r="DL27" i="14825"/>
  <c r="DK27" i="14825"/>
  <c r="DJ27" i="14825"/>
  <c r="DI27" i="14825"/>
  <c r="DH27" i="14825"/>
  <c r="DG27" i="14825"/>
  <c r="DF27" i="14825"/>
  <c r="DE27" i="14825"/>
  <c r="DD27" i="14825"/>
  <c r="DC27" i="14825"/>
  <c r="DB27" i="14825"/>
  <c r="DA27" i="14825"/>
  <c r="A27" i="14825"/>
  <c r="ES26" i="14825"/>
  <c r="ER26" i="14825"/>
  <c r="EQ26" i="14825"/>
  <c r="EP26" i="14825"/>
  <c r="EO26" i="14825"/>
  <c r="EN26" i="14825"/>
  <c r="EM26" i="14825"/>
  <c r="EL26" i="14825"/>
  <c r="EK26" i="14825"/>
  <c r="EJ26" i="14825"/>
  <c r="EI26" i="14825"/>
  <c r="EH26" i="14825"/>
  <c r="EG26" i="14825"/>
  <c r="EF26" i="14825"/>
  <c r="EE26" i="14825"/>
  <c r="ED26" i="14825"/>
  <c r="EC26" i="14825"/>
  <c r="EB26" i="14825"/>
  <c r="EA26" i="14825"/>
  <c r="DZ26" i="14825"/>
  <c r="DY26" i="14825"/>
  <c r="DX26" i="14825"/>
  <c r="DW26" i="14825"/>
  <c r="DV26" i="14825"/>
  <c r="DU26" i="14825"/>
  <c r="DT26" i="14825"/>
  <c r="DS26" i="14825"/>
  <c r="DR26" i="14825"/>
  <c r="DQ26" i="14825"/>
  <c r="DP26" i="14825"/>
  <c r="DO26" i="14825"/>
  <c r="DN26" i="14825"/>
  <c r="DM26" i="14825"/>
  <c r="DL26" i="14825"/>
  <c r="DK26" i="14825"/>
  <c r="DJ26" i="14825"/>
  <c r="DI26" i="14825"/>
  <c r="DH26" i="14825"/>
  <c r="DG26" i="14825"/>
  <c r="DF26" i="14825"/>
  <c r="DE26" i="14825"/>
  <c r="DD26" i="14825"/>
  <c r="DC26" i="14825"/>
  <c r="DB26" i="14825"/>
  <c r="DA26" i="14825"/>
  <c r="A26" i="14825"/>
  <c r="ES25" i="14825"/>
  <c r="ER25" i="14825"/>
  <c r="EQ25" i="14825"/>
  <c r="EP25" i="14825"/>
  <c r="EO25" i="14825"/>
  <c r="EN25" i="14825"/>
  <c r="EM25" i="14825"/>
  <c r="EL25" i="14825"/>
  <c r="EK25" i="14825"/>
  <c r="EJ25" i="14825"/>
  <c r="EI25" i="14825"/>
  <c r="EH25" i="14825"/>
  <c r="EG25" i="14825"/>
  <c r="EF25" i="14825"/>
  <c r="EE25" i="14825"/>
  <c r="ED25" i="14825"/>
  <c r="EC25" i="14825"/>
  <c r="EB25" i="14825"/>
  <c r="EA25" i="14825"/>
  <c r="DZ25" i="14825"/>
  <c r="DY25" i="14825"/>
  <c r="DX25" i="14825"/>
  <c r="DW25" i="14825"/>
  <c r="DV25" i="14825"/>
  <c r="DU25" i="14825"/>
  <c r="DT25" i="14825"/>
  <c r="DS25" i="14825"/>
  <c r="DR25" i="14825"/>
  <c r="DQ25" i="14825"/>
  <c r="DP25" i="14825"/>
  <c r="DO25" i="14825"/>
  <c r="DN25" i="14825"/>
  <c r="DM25" i="14825"/>
  <c r="DL25" i="14825"/>
  <c r="DK25" i="14825"/>
  <c r="DJ25" i="14825"/>
  <c r="DI25" i="14825"/>
  <c r="DH25" i="14825"/>
  <c r="DG25" i="14825"/>
  <c r="DF25" i="14825"/>
  <c r="DE25" i="14825"/>
  <c r="DD25" i="14825"/>
  <c r="DC25" i="14825"/>
  <c r="DB25" i="14825"/>
  <c r="DA25" i="14825"/>
  <c r="A25" i="14825"/>
  <c r="ES24" i="14825"/>
  <c r="ER24" i="14825"/>
  <c r="EQ24" i="14825"/>
  <c r="EP24" i="14825"/>
  <c r="EO24" i="14825"/>
  <c r="EN24" i="14825"/>
  <c r="EM24" i="14825"/>
  <c r="EL24" i="14825"/>
  <c r="EK24" i="14825"/>
  <c r="EJ24" i="14825"/>
  <c r="EI24" i="14825"/>
  <c r="EH24" i="14825"/>
  <c r="EG24" i="14825"/>
  <c r="EF24" i="14825"/>
  <c r="EE24" i="14825"/>
  <c r="ED24" i="14825"/>
  <c r="EC24" i="14825"/>
  <c r="EB24" i="14825"/>
  <c r="EA24" i="14825"/>
  <c r="DZ24" i="14825"/>
  <c r="DY24" i="14825"/>
  <c r="DX24" i="14825"/>
  <c r="DW24" i="14825"/>
  <c r="DV24" i="14825"/>
  <c r="DU24" i="14825"/>
  <c r="DT24" i="14825"/>
  <c r="DS24" i="14825"/>
  <c r="DR24" i="14825"/>
  <c r="DQ24" i="14825"/>
  <c r="DP24" i="14825"/>
  <c r="DO24" i="14825"/>
  <c r="DN24" i="14825"/>
  <c r="DM24" i="14825"/>
  <c r="DL24" i="14825"/>
  <c r="DK24" i="14825"/>
  <c r="DJ24" i="14825"/>
  <c r="DI24" i="14825"/>
  <c r="DH24" i="14825"/>
  <c r="DG24" i="14825"/>
  <c r="DF24" i="14825"/>
  <c r="DE24" i="14825"/>
  <c r="DD24" i="14825"/>
  <c r="DC24" i="14825"/>
  <c r="DB24" i="14825"/>
  <c r="DA24" i="14825"/>
  <c r="A24" i="14825"/>
  <c r="ES23" i="14825"/>
  <c r="ER23" i="14825"/>
  <c r="EQ23" i="14825"/>
  <c r="EP23" i="14825"/>
  <c r="EO23" i="14825"/>
  <c r="EN23" i="14825"/>
  <c r="EM23" i="14825"/>
  <c r="EL23" i="14825"/>
  <c r="EK23" i="14825"/>
  <c r="EJ23" i="14825"/>
  <c r="EI23" i="14825"/>
  <c r="EH23" i="14825"/>
  <c r="EG23" i="14825"/>
  <c r="EF23" i="14825"/>
  <c r="EE23" i="14825"/>
  <c r="ED23" i="14825"/>
  <c r="EC23" i="14825"/>
  <c r="EB23" i="14825"/>
  <c r="EA23" i="14825"/>
  <c r="DZ23" i="14825"/>
  <c r="DY23" i="14825"/>
  <c r="DX23" i="14825"/>
  <c r="DW23" i="14825"/>
  <c r="DV23" i="14825"/>
  <c r="DU23" i="14825"/>
  <c r="DT23" i="14825"/>
  <c r="DS23" i="14825"/>
  <c r="DR23" i="14825"/>
  <c r="DQ23" i="14825"/>
  <c r="DP23" i="14825"/>
  <c r="DO23" i="14825"/>
  <c r="DN23" i="14825"/>
  <c r="DM23" i="14825"/>
  <c r="DL23" i="14825"/>
  <c r="DK23" i="14825"/>
  <c r="DJ23" i="14825"/>
  <c r="DI23" i="14825"/>
  <c r="DH23" i="14825"/>
  <c r="DG23" i="14825"/>
  <c r="DF23" i="14825"/>
  <c r="DE23" i="14825"/>
  <c r="DD23" i="14825"/>
  <c r="DC23" i="14825"/>
  <c r="DB23" i="14825"/>
  <c r="DA23" i="14825"/>
  <c r="A23" i="14825"/>
  <c r="ES22" i="14825"/>
  <c r="ER22" i="14825"/>
  <c r="EQ22" i="14825"/>
  <c r="EP22" i="14825"/>
  <c r="EO22" i="14825"/>
  <c r="EN22" i="14825"/>
  <c r="EM22" i="14825"/>
  <c r="EL22" i="14825"/>
  <c r="EK22" i="14825"/>
  <c r="EJ22" i="14825"/>
  <c r="EI22" i="14825"/>
  <c r="EH22" i="14825"/>
  <c r="EG22" i="14825"/>
  <c r="EF22" i="14825"/>
  <c r="EE22" i="14825"/>
  <c r="ED22" i="14825"/>
  <c r="EC22" i="14825"/>
  <c r="EB22" i="14825"/>
  <c r="EA22" i="14825"/>
  <c r="DZ22" i="14825"/>
  <c r="DY22" i="14825"/>
  <c r="DX22" i="14825"/>
  <c r="DW22" i="14825"/>
  <c r="DV22" i="14825"/>
  <c r="DU22" i="14825"/>
  <c r="DT22" i="14825"/>
  <c r="DS22" i="14825"/>
  <c r="DR22" i="14825"/>
  <c r="DQ22" i="14825"/>
  <c r="DP22" i="14825"/>
  <c r="DO22" i="14825"/>
  <c r="DN22" i="14825"/>
  <c r="DM22" i="14825"/>
  <c r="DL22" i="14825"/>
  <c r="DK22" i="14825"/>
  <c r="DJ22" i="14825"/>
  <c r="DI22" i="14825"/>
  <c r="DH22" i="14825"/>
  <c r="DG22" i="14825"/>
  <c r="DF22" i="14825"/>
  <c r="DE22" i="14825"/>
  <c r="DD22" i="14825"/>
  <c r="DC22" i="14825"/>
  <c r="DB22" i="14825"/>
  <c r="DA22" i="14825"/>
  <c r="A22" i="14825"/>
  <c r="ES21" i="14825"/>
  <c r="ER21" i="14825"/>
  <c r="EQ21" i="14825"/>
  <c r="EP21" i="14825"/>
  <c r="EO21" i="14825"/>
  <c r="EN21" i="14825"/>
  <c r="EM21" i="14825"/>
  <c r="EL21" i="14825"/>
  <c r="EK21" i="14825"/>
  <c r="EJ21" i="14825"/>
  <c r="EI21" i="14825"/>
  <c r="EH21" i="14825"/>
  <c r="EG21" i="14825"/>
  <c r="EF21" i="14825"/>
  <c r="EE21" i="14825"/>
  <c r="ED21" i="14825"/>
  <c r="EC21" i="14825"/>
  <c r="EB21" i="14825"/>
  <c r="EA21" i="14825"/>
  <c r="DZ21" i="14825"/>
  <c r="DY21" i="14825"/>
  <c r="DX21" i="14825"/>
  <c r="DW21" i="14825"/>
  <c r="DV21" i="14825"/>
  <c r="DU21" i="14825"/>
  <c r="DT21" i="14825"/>
  <c r="DS21" i="14825"/>
  <c r="DR21" i="14825"/>
  <c r="DQ21" i="14825"/>
  <c r="DP21" i="14825"/>
  <c r="DO21" i="14825"/>
  <c r="DN21" i="14825"/>
  <c r="DM21" i="14825"/>
  <c r="DL21" i="14825"/>
  <c r="DK21" i="14825"/>
  <c r="DJ21" i="14825"/>
  <c r="DI21" i="14825"/>
  <c r="DH21" i="14825"/>
  <c r="DG21" i="14825"/>
  <c r="DF21" i="14825"/>
  <c r="DE21" i="14825"/>
  <c r="DD21" i="14825"/>
  <c r="DC21" i="14825"/>
  <c r="DB21" i="14825"/>
  <c r="DA21" i="14825"/>
  <c r="A21" i="14825"/>
  <c r="ES20" i="14825"/>
  <c r="ER20" i="14825"/>
  <c r="EQ20" i="14825"/>
  <c r="EP20" i="14825"/>
  <c r="EO20" i="14825"/>
  <c r="EN20" i="14825"/>
  <c r="EM20" i="14825"/>
  <c r="EL20" i="14825"/>
  <c r="EK20" i="14825"/>
  <c r="EJ20" i="14825"/>
  <c r="EI20" i="14825"/>
  <c r="EH20" i="14825"/>
  <c r="EG20" i="14825"/>
  <c r="EF20" i="14825"/>
  <c r="EE20" i="14825"/>
  <c r="ED20" i="14825"/>
  <c r="EC20" i="14825"/>
  <c r="EB20" i="14825"/>
  <c r="EA20" i="14825"/>
  <c r="DZ20" i="14825"/>
  <c r="DY20" i="14825"/>
  <c r="DX20" i="14825"/>
  <c r="DW20" i="14825"/>
  <c r="DV20" i="14825"/>
  <c r="DU20" i="14825"/>
  <c r="DT20" i="14825"/>
  <c r="DS20" i="14825"/>
  <c r="DR20" i="14825"/>
  <c r="DQ20" i="14825"/>
  <c r="DP20" i="14825"/>
  <c r="DO20" i="14825"/>
  <c r="DN20" i="14825"/>
  <c r="DM20" i="14825"/>
  <c r="DL20" i="14825"/>
  <c r="DK20" i="14825"/>
  <c r="DJ20" i="14825"/>
  <c r="DI20" i="14825"/>
  <c r="DH20" i="14825"/>
  <c r="DG20" i="14825"/>
  <c r="DF20" i="14825"/>
  <c r="DE20" i="14825"/>
  <c r="DD20" i="14825"/>
  <c r="DC20" i="14825"/>
  <c r="DB20" i="14825"/>
  <c r="DA20" i="14825"/>
  <c r="A20" i="14825"/>
  <c r="ES19" i="14825"/>
  <c r="ER19" i="14825"/>
  <c r="EQ19" i="14825"/>
  <c r="EP19" i="14825"/>
  <c r="EO19" i="14825"/>
  <c r="EN19" i="14825"/>
  <c r="EM19" i="14825"/>
  <c r="EL19" i="14825"/>
  <c r="EK19" i="14825"/>
  <c r="EJ19" i="14825"/>
  <c r="EI19" i="14825"/>
  <c r="EH19" i="14825"/>
  <c r="EG19" i="14825"/>
  <c r="EF19" i="14825"/>
  <c r="EE19" i="14825"/>
  <c r="ED19" i="14825"/>
  <c r="EC19" i="14825"/>
  <c r="EB19" i="14825"/>
  <c r="EA19" i="14825"/>
  <c r="DZ19" i="14825"/>
  <c r="DY19" i="14825"/>
  <c r="DX19" i="14825"/>
  <c r="DW19" i="14825"/>
  <c r="DV19" i="14825"/>
  <c r="DU19" i="14825"/>
  <c r="DT19" i="14825"/>
  <c r="DS19" i="14825"/>
  <c r="DR19" i="14825"/>
  <c r="DQ19" i="14825"/>
  <c r="DP19" i="14825"/>
  <c r="DO19" i="14825"/>
  <c r="DN19" i="14825"/>
  <c r="DM19" i="14825"/>
  <c r="DL19" i="14825"/>
  <c r="DK19" i="14825"/>
  <c r="DJ19" i="14825"/>
  <c r="DI19" i="14825"/>
  <c r="DH19" i="14825"/>
  <c r="DG19" i="14825"/>
  <c r="DF19" i="14825"/>
  <c r="DE19" i="14825"/>
  <c r="DD19" i="14825"/>
  <c r="DC19" i="14825"/>
  <c r="DB19" i="14825"/>
  <c r="DA19" i="14825"/>
  <c r="A19" i="14825"/>
  <c r="ES18" i="14825"/>
  <c r="ER18" i="14825"/>
  <c r="EQ18" i="14825"/>
  <c r="EP18" i="14825"/>
  <c r="EO18" i="14825"/>
  <c r="EN18" i="14825"/>
  <c r="EM18" i="14825"/>
  <c r="EL18" i="14825"/>
  <c r="EK18" i="14825"/>
  <c r="EJ18" i="14825"/>
  <c r="EI18" i="14825"/>
  <c r="EH18" i="14825"/>
  <c r="EG18" i="14825"/>
  <c r="EF18" i="14825"/>
  <c r="EE18" i="14825"/>
  <c r="ED18" i="14825"/>
  <c r="EC18" i="14825"/>
  <c r="EB18" i="14825"/>
  <c r="EA18" i="14825"/>
  <c r="DZ18" i="14825"/>
  <c r="DY18" i="14825"/>
  <c r="DX18" i="14825"/>
  <c r="DW18" i="14825"/>
  <c r="DV18" i="14825"/>
  <c r="DU18" i="14825"/>
  <c r="DT18" i="14825"/>
  <c r="DS18" i="14825"/>
  <c r="DR18" i="14825"/>
  <c r="DQ18" i="14825"/>
  <c r="DP18" i="14825"/>
  <c r="DO18" i="14825"/>
  <c r="DN18" i="14825"/>
  <c r="DM18" i="14825"/>
  <c r="DL18" i="14825"/>
  <c r="DK18" i="14825"/>
  <c r="DJ18" i="14825"/>
  <c r="DI18" i="14825"/>
  <c r="DH18" i="14825"/>
  <c r="DG18" i="14825"/>
  <c r="DF18" i="14825"/>
  <c r="DE18" i="14825"/>
  <c r="DD18" i="14825"/>
  <c r="DC18" i="14825"/>
  <c r="DB18" i="14825"/>
  <c r="DA18" i="14825"/>
  <c r="A18" i="14825"/>
  <c r="ES17" i="14825"/>
  <c r="ER17" i="14825"/>
  <c r="EQ17" i="14825"/>
  <c r="EP17" i="14825"/>
  <c r="EO17" i="14825"/>
  <c r="EN17" i="14825"/>
  <c r="EM17" i="14825"/>
  <c r="EL17" i="14825"/>
  <c r="EK17" i="14825"/>
  <c r="EJ17" i="14825"/>
  <c r="EI17" i="14825"/>
  <c r="EH17" i="14825"/>
  <c r="EG17" i="14825"/>
  <c r="EF17" i="14825"/>
  <c r="EE17" i="14825"/>
  <c r="ED17" i="14825"/>
  <c r="EC17" i="14825"/>
  <c r="EB17" i="14825"/>
  <c r="EA17" i="14825"/>
  <c r="DZ17" i="14825"/>
  <c r="DY17" i="14825"/>
  <c r="DX17" i="14825"/>
  <c r="DW17" i="14825"/>
  <c r="DV17" i="14825"/>
  <c r="DU17" i="14825"/>
  <c r="DT17" i="14825"/>
  <c r="DS17" i="14825"/>
  <c r="DR17" i="14825"/>
  <c r="DQ17" i="14825"/>
  <c r="DP17" i="14825"/>
  <c r="DO17" i="14825"/>
  <c r="DN17" i="14825"/>
  <c r="DM17" i="14825"/>
  <c r="DL17" i="14825"/>
  <c r="DK17" i="14825"/>
  <c r="DJ17" i="14825"/>
  <c r="DI17" i="14825"/>
  <c r="DH17" i="14825"/>
  <c r="DG17" i="14825"/>
  <c r="DF17" i="14825"/>
  <c r="DE17" i="14825"/>
  <c r="DD17" i="14825"/>
  <c r="DC17" i="14825"/>
  <c r="DB17" i="14825"/>
  <c r="DA17" i="14825"/>
  <c r="A17" i="14825"/>
  <c r="ES16" i="14825"/>
  <c r="ER16" i="14825"/>
  <c r="EQ16" i="14825"/>
  <c r="EP16" i="14825"/>
  <c r="EO16" i="14825"/>
  <c r="EN16" i="14825"/>
  <c r="EM16" i="14825"/>
  <c r="EL16" i="14825"/>
  <c r="EK16" i="14825"/>
  <c r="EJ16" i="14825"/>
  <c r="EI16" i="14825"/>
  <c r="EH16" i="14825"/>
  <c r="EG16" i="14825"/>
  <c r="EF16" i="14825"/>
  <c r="EE16" i="14825"/>
  <c r="ED16" i="14825"/>
  <c r="EC16" i="14825"/>
  <c r="EB16" i="14825"/>
  <c r="EA16" i="14825"/>
  <c r="DZ16" i="14825"/>
  <c r="DY16" i="14825"/>
  <c r="DX16" i="14825"/>
  <c r="DW16" i="14825"/>
  <c r="DV16" i="14825"/>
  <c r="DU16" i="14825"/>
  <c r="DT16" i="14825"/>
  <c r="DS16" i="14825"/>
  <c r="DR16" i="14825"/>
  <c r="DQ16" i="14825"/>
  <c r="DP16" i="14825"/>
  <c r="DO16" i="14825"/>
  <c r="DN16" i="14825"/>
  <c r="DM16" i="14825"/>
  <c r="DL16" i="14825"/>
  <c r="DK16" i="14825"/>
  <c r="DJ16" i="14825"/>
  <c r="DI16" i="14825"/>
  <c r="DH16" i="14825"/>
  <c r="DG16" i="14825"/>
  <c r="DF16" i="14825"/>
  <c r="DE16" i="14825"/>
  <c r="DD16" i="14825"/>
  <c r="DC16" i="14825"/>
  <c r="DB16" i="14825"/>
  <c r="DA16" i="14825"/>
  <c r="A16" i="14825"/>
  <c r="ES15" i="14825"/>
  <c r="ER15" i="14825"/>
  <c r="EQ15" i="14825"/>
  <c r="EP15" i="14825"/>
  <c r="EO15" i="14825"/>
  <c r="EN15" i="14825"/>
  <c r="EM15" i="14825"/>
  <c r="EL15" i="14825"/>
  <c r="EK15" i="14825"/>
  <c r="EJ15" i="14825"/>
  <c r="EI15" i="14825"/>
  <c r="EH15" i="14825"/>
  <c r="EG15" i="14825"/>
  <c r="EF15" i="14825"/>
  <c r="EE15" i="14825"/>
  <c r="ED15" i="14825"/>
  <c r="EC15" i="14825"/>
  <c r="EB15" i="14825"/>
  <c r="EA15" i="14825"/>
  <c r="DZ15" i="14825"/>
  <c r="DY15" i="14825"/>
  <c r="DX15" i="14825"/>
  <c r="DW15" i="14825"/>
  <c r="DV15" i="14825"/>
  <c r="DU15" i="14825"/>
  <c r="DT15" i="14825"/>
  <c r="DS15" i="14825"/>
  <c r="DR15" i="14825"/>
  <c r="DQ15" i="14825"/>
  <c r="DP15" i="14825"/>
  <c r="DO15" i="14825"/>
  <c r="DN15" i="14825"/>
  <c r="DM15" i="14825"/>
  <c r="DL15" i="14825"/>
  <c r="DK15" i="14825"/>
  <c r="DJ15" i="14825"/>
  <c r="DI15" i="14825"/>
  <c r="DH15" i="14825"/>
  <c r="DG15" i="14825"/>
  <c r="DF15" i="14825"/>
  <c r="DE15" i="14825"/>
  <c r="DD15" i="14825"/>
  <c r="DC15" i="14825"/>
  <c r="DB15" i="14825"/>
  <c r="DA15" i="14825"/>
  <c r="A15" i="14825"/>
  <c r="ES14" i="14825"/>
  <c r="ER14" i="14825"/>
  <c r="EQ14" i="14825"/>
  <c r="EP14" i="14825"/>
  <c r="EO14" i="14825"/>
  <c r="EN14" i="14825"/>
  <c r="EM14" i="14825"/>
  <c r="EL14" i="14825"/>
  <c r="EK14" i="14825"/>
  <c r="EJ14" i="14825"/>
  <c r="EI14" i="14825"/>
  <c r="EH14" i="14825"/>
  <c r="EG14" i="14825"/>
  <c r="EF14" i="14825"/>
  <c r="EE14" i="14825"/>
  <c r="ED14" i="14825"/>
  <c r="EC14" i="14825"/>
  <c r="EB14" i="14825"/>
  <c r="EA14" i="14825"/>
  <c r="DZ14" i="14825"/>
  <c r="DY14" i="14825"/>
  <c r="DX14" i="14825"/>
  <c r="DW14" i="14825"/>
  <c r="DV14" i="14825"/>
  <c r="DU14" i="14825"/>
  <c r="DT14" i="14825"/>
  <c r="DS14" i="14825"/>
  <c r="DR14" i="14825"/>
  <c r="DQ14" i="14825"/>
  <c r="DP14" i="14825"/>
  <c r="DO14" i="14825"/>
  <c r="DN14" i="14825"/>
  <c r="DM14" i="14825"/>
  <c r="DL14" i="14825"/>
  <c r="DK14" i="14825"/>
  <c r="DJ14" i="14825"/>
  <c r="DI14" i="14825"/>
  <c r="DH14" i="14825"/>
  <c r="DG14" i="14825"/>
  <c r="DF14" i="14825"/>
  <c r="DE14" i="14825"/>
  <c r="DD14" i="14825"/>
  <c r="DC14" i="14825"/>
  <c r="DB14" i="14825"/>
  <c r="DA14" i="14825"/>
  <c r="A14" i="14825"/>
  <c r="ES13" i="14825"/>
  <c r="ER13" i="14825"/>
  <c r="EQ13" i="14825"/>
  <c r="EP13" i="14825"/>
  <c r="EO13" i="14825"/>
  <c r="EN13" i="14825"/>
  <c r="EM13" i="14825"/>
  <c r="EL13" i="14825"/>
  <c r="EK13" i="14825"/>
  <c r="EJ13" i="14825"/>
  <c r="EI13" i="14825"/>
  <c r="EH13" i="14825"/>
  <c r="EG13" i="14825"/>
  <c r="EF13" i="14825"/>
  <c r="EE13" i="14825"/>
  <c r="ED13" i="14825"/>
  <c r="EC13" i="14825"/>
  <c r="EB13" i="14825"/>
  <c r="EA13" i="14825"/>
  <c r="DZ13" i="14825"/>
  <c r="DY13" i="14825"/>
  <c r="DX13" i="14825"/>
  <c r="DW13" i="14825"/>
  <c r="DV13" i="14825"/>
  <c r="DU13" i="14825"/>
  <c r="DT13" i="14825"/>
  <c r="DS13" i="14825"/>
  <c r="DR13" i="14825"/>
  <c r="DQ13" i="14825"/>
  <c r="DP13" i="14825"/>
  <c r="DO13" i="14825"/>
  <c r="DN13" i="14825"/>
  <c r="DM13" i="14825"/>
  <c r="DL13" i="14825"/>
  <c r="DK13" i="14825"/>
  <c r="DJ13" i="14825"/>
  <c r="DI13" i="14825"/>
  <c r="DH13" i="14825"/>
  <c r="DG13" i="14825"/>
  <c r="DF13" i="14825"/>
  <c r="DE13" i="14825"/>
  <c r="DD13" i="14825"/>
  <c r="DC13" i="14825"/>
  <c r="DB13" i="14825"/>
  <c r="DA13" i="14825"/>
  <c r="A13" i="14825"/>
  <c r="ES12" i="14825"/>
  <c r="ER12" i="14825"/>
  <c r="EQ12" i="14825"/>
  <c r="EP12" i="14825"/>
  <c r="EO12" i="14825"/>
  <c r="EN12" i="14825"/>
  <c r="EM12" i="14825"/>
  <c r="EL12" i="14825"/>
  <c r="EK12" i="14825"/>
  <c r="EJ12" i="14825"/>
  <c r="EI12" i="14825"/>
  <c r="EH12" i="14825"/>
  <c r="EG12" i="14825"/>
  <c r="EF12" i="14825"/>
  <c r="EE12" i="14825"/>
  <c r="ED12" i="14825"/>
  <c r="EC12" i="14825"/>
  <c r="EB12" i="14825"/>
  <c r="EA12" i="14825"/>
  <c r="DZ12" i="14825"/>
  <c r="DY12" i="14825"/>
  <c r="DX12" i="14825"/>
  <c r="DW12" i="14825"/>
  <c r="DV12" i="14825"/>
  <c r="DU12" i="14825"/>
  <c r="DT12" i="14825"/>
  <c r="DS12" i="14825"/>
  <c r="DR12" i="14825"/>
  <c r="DQ12" i="14825"/>
  <c r="DP12" i="14825"/>
  <c r="DO12" i="14825"/>
  <c r="DN12" i="14825"/>
  <c r="DM12" i="14825"/>
  <c r="DL12" i="14825"/>
  <c r="DK12" i="14825"/>
  <c r="DJ12" i="14825"/>
  <c r="DI12" i="14825"/>
  <c r="DH12" i="14825"/>
  <c r="DG12" i="14825"/>
  <c r="DF12" i="14825"/>
  <c r="DE12" i="14825"/>
  <c r="DD12" i="14825"/>
  <c r="DC12" i="14825"/>
  <c r="DB12" i="14825"/>
  <c r="DA12" i="14825"/>
  <c r="A12" i="14825"/>
  <c r="ES11" i="14825"/>
  <c r="ER11" i="14825"/>
  <c r="EQ11" i="14825"/>
  <c r="EP11" i="14825"/>
  <c r="EO11" i="14825"/>
  <c r="EN11" i="14825"/>
  <c r="EM11" i="14825"/>
  <c r="EL11" i="14825"/>
  <c r="EK11" i="14825"/>
  <c r="EJ11" i="14825"/>
  <c r="EI11" i="14825"/>
  <c r="EH11" i="14825"/>
  <c r="EG11" i="14825"/>
  <c r="EF11" i="14825"/>
  <c r="EE11" i="14825"/>
  <c r="ED11" i="14825"/>
  <c r="EC11" i="14825"/>
  <c r="EB11" i="14825"/>
  <c r="EA11" i="14825"/>
  <c r="DZ11" i="14825"/>
  <c r="DY11" i="14825"/>
  <c r="DX11" i="14825"/>
  <c r="DW11" i="14825"/>
  <c r="DV11" i="14825"/>
  <c r="DU11" i="14825"/>
  <c r="DT11" i="14825"/>
  <c r="DS11" i="14825"/>
  <c r="DR11" i="14825"/>
  <c r="DQ11" i="14825"/>
  <c r="DP11" i="14825"/>
  <c r="DO11" i="14825"/>
  <c r="DN11" i="14825"/>
  <c r="DM11" i="14825"/>
  <c r="DL11" i="14825"/>
  <c r="DK11" i="14825"/>
  <c r="DJ11" i="14825"/>
  <c r="DI11" i="14825"/>
  <c r="DH11" i="14825"/>
  <c r="DG11" i="14825"/>
  <c r="DF11" i="14825"/>
  <c r="DE11" i="14825"/>
  <c r="DD11" i="14825"/>
  <c r="DC11" i="14825"/>
  <c r="DB11" i="14825"/>
  <c r="DA11" i="14825"/>
  <c r="A11" i="14825"/>
  <c r="ES10" i="14825"/>
  <c r="ER10" i="14825"/>
  <c r="EQ10" i="14825"/>
  <c r="EP10" i="14825"/>
  <c r="EO10" i="14825"/>
  <c r="EN10" i="14825"/>
  <c r="EM10" i="14825"/>
  <c r="EL10" i="14825"/>
  <c r="EK10" i="14825"/>
  <c r="EJ10" i="14825"/>
  <c r="EI10" i="14825"/>
  <c r="EH10" i="14825"/>
  <c r="EG10" i="14825"/>
  <c r="EF10" i="14825"/>
  <c r="EE10" i="14825"/>
  <c r="ED10" i="14825"/>
  <c r="EC10" i="14825"/>
  <c r="EB10" i="14825"/>
  <c r="EA10" i="14825"/>
  <c r="DZ10" i="14825"/>
  <c r="DY10" i="14825"/>
  <c r="DX10" i="14825"/>
  <c r="DW10" i="14825"/>
  <c r="DV10" i="14825"/>
  <c r="DU10" i="14825"/>
  <c r="DT10" i="14825"/>
  <c r="DS10" i="14825"/>
  <c r="DR10" i="14825"/>
  <c r="DQ10" i="14825"/>
  <c r="DP10" i="14825"/>
  <c r="DO10" i="14825"/>
  <c r="DN10" i="14825"/>
  <c r="DM10" i="14825"/>
  <c r="DL10" i="14825"/>
  <c r="DK10" i="14825"/>
  <c r="DJ10" i="14825"/>
  <c r="DI10" i="14825"/>
  <c r="DH10" i="14825"/>
  <c r="DG10" i="14825"/>
  <c r="DF10" i="14825"/>
  <c r="DE10" i="14825"/>
  <c r="DD10" i="14825"/>
  <c r="DC10" i="14825"/>
  <c r="DB10" i="14825"/>
  <c r="DA10" i="14825"/>
  <c r="A10" i="14825"/>
  <c r="ES9" i="14825"/>
  <c r="ER9" i="14825"/>
  <c r="EQ9" i="14825"/>
  <c r="EP9" i="14825"/>
  <c r="EO9" i="14825"/>
  <c r="EN9" i="14825"/>
  <c r="EM9" i="14825"/>
  <c r="EL9" i="14825"/>
  <c r="EK9" i="14825"/>
  <c r="EJ9" i="14825"/>
  <c r="EI9" i="14825"/>
  <c r="EH9" i="14825"/>
  <c r="EG9" i="14825"/>
  <c r="EF9" i="14825"/>
  <c r="EE9" i="14825"/>
  <c r="ED9" i="14825"/>
  <c r="EC9" i="14825"/>
  <c r="EB9" i="14825"/>
  <c r="EA9" i="14825"/>
  <c r="DZ9" i="14825"/>
  <c r="DY9" i="14825"/>
  <c r="DX9" i="14825"/>
  <c r="DW9" i="14825"/>
  <c r="DV9" i="14825"/>
  <c r="DU9" i="14825"/>
  <c r="DT9" i="14825"/>
  <c r="DS9" i="14825"/>
  <c r="DR9" i="14825"/>
  <c r="DQ9" i="14825"/>
  <c r="DP9" i="14825"/>
  <c r="DO9" i="14825"/>
  <c r="DN9" i="14825"/>
  <c r="DM9" i="14825"/>
  <c r="DL9" i="14825"/>
  <c r="DK9" i="14825"/>
  <c r="DJ9" i="14825"/>
  <c r="DI9" i="14825"/>
  <c r="DH9" i="14825"/>
  <c r="DG9" i="14825"/>
  <c r="DF9" i="14825"/>
  <c r="DE9" i="14825"/>
  <c r="DD9" i="14825"/>
  <c r="DC9" i="14825"/>
  <c r="DB9" i="14825"/>
  <c r="DA9" i="14825"/>
  <c r="A9" i="14825"/>
  <c r="ES8" i="14825"/>
  <c r="ER8" i="14825"/>
  <c r="EQ8" i="14825"/>
  <c r="EP8" i="14825"/>
  <c r="EO8" i="14825"/>
  <c r="EN8" i="14825"/>
  <c r="EM8" i="14825"/>
  <c r="EL8" i="14825"/>
  <c r="EK8" i="14825"/>
  <c r="EJ8" i="14825"/>
  <c r="EI8" i="14825"/>
  <c r="EH8" i="14825"/>
  <c r="EG8" i="14825"/>
  <c r="EF8" i="14825"/>
  <c r="EE8" i="14825"/>
  <c r="ED8" i="14825"/>
  <c r="EC8" i="14825"/>
  <c r="EB8" i="14825"/>
  <c r="EA8" i="14825"/>
  <c r="DZ8" i="14825"/>
  <c r="DY8" i="14825"/>
  <c r="DX8" i="14825"/>
  <c r="DW8" i="14825"/>
  <c r="DV8" i="14825"/>
  <c r="DU8" i="14825"/>
  <c r="DT8" i="14825"/>
  <c r="DS8" i="14825"/>
  <c r="DR8" i="14825"/>
  <c r="DQ8" i="14825"/>
  <c r="DP8" i="14825"/>
  <c r="DO8" i="14825"/>
  <c r="DN8" i="14825"/>
  <c r="DM8" i="14825"/>
  <c r="DL8" i="14825"/>
  <c r="DK8" i="14825"/>
  <c r="DJ8" i="14825"/>
  <c r="DI8" i="14825"/>
  <c r="DH8" i="14825"/>
  <c r="DG8" i="14825"/>
  <c r="DF8" i="14825"/>
  <c r="DE8" i="14825"/>
  <c r="DD8" i="14825"/>
  <c r="DC8" i="14825"/>
  <c r="DB8" i="14825"/>
  <c r="DA8" i="14825"/>
  <c r="A8" i="14825"/>
  <c r="ES7" i="14825"/>
  <c r="ER7" i="14825"/>
  <c r="EQ7" i="14825"/>
  <c r="EP7" i="14825"/>
  <c r="EO7" i="14825"/>
  <c r="EN7" i="14825"/>
  <c r="EM7" i="14825"/>
  <c r="EL7" i="14825"/>
  <c r="EK7" i="14825"/>
  <c r="EJ7" i="14825"/>
  <c r="EI7" i="14825"/>
  <c r="EH7" i="14825"/>
  <c r="EG7" i="14825"/>
  <c r="EF7" i="14825"/>
  <c r="EE7" i="14825"/>
  <c r="ED7" i="14825"/>
  <c r="EC7" i="14825"/>
  <c r="EB7" i="14825"/>
  <c r="EA7" i="14825"/>
  <c r="DZ7" i="14825"/>
  <c r="DY7" i="14825"/>
  <c r="DX7" i="14825"/>
  <c r="DW7" i="14825"/>
  <c r="DV7" i="14825"/>
  <c r="DU7" i="14825"/>
  <c r="DT7" i="14825"/>
  <c r="DS7" i="14825"/>
  <c r="DR7" i="14825"/>
  <c r="DQ7" i="14825"/>
  <c r="DP7" i="14825"/>
  <c r="DO7" i="14825"/>
  <c r="DN7" i="14825"/>
  <c r="DM7" i="14825"/>
  <c r="DL7" i="14825"/>
  <c r="DK7" i="14825"/>
  <c r="DJ7" i="14825"/>
  <c r="DI7" i="14825"/>
  <c r="DH7" i="14825"/>
  <c r="DG7" i="14825"/>
  <c r="DF7" i="14825"/>
  <c r="DE7" i="14825"/>
  <c r="DD7" i="14825"/>
  <c r="DC7" i="14825"/>
  <c r="DB7" i="14825"/>
  <c r="DA7" i="14825"/>
  <c r="A7" i="14825"/>
  <c r="ES6" i="14825"/>
  <c r="ER6" i="14825"/>
  <c r="EQ6" i="14825"/>
  <c r="EP6" i="14825"/>
  <c r="EO6" i="14825"/>
  <c r="EN6" i="14825"/>
  <c r="EM6" i="14825"/>
  <c r="EL6" i="14825"/>
  <c r="EK6" i="14825"/>
  <c r="EJ6" i="14825"/>
  <c r="EI6" i="14825"/>
  <c r="EH6" i="14825"/>
  <c r="EG6" i="14825"/>
  <c r="EF6" i="14825"/>
  <c r="EE6" i="14825"/>
  <c r="ED6" i="14825"/>
  <c r="EC6" i="14825"/>
  <c r="EB6" i="14825"/>
  <c r="EA6" i="14825"/>
  <c r="DZ6" i="14825"/>
  <c r="DY6" i="14825"/>
  <c r="DX6" i="14825"/>
  <c r="DW6" i="14825"/>
  <c r="DV6" i="14825"/>
  <c r="DU6" i="14825"/>
  <c r="DT6" i="14825"/>
  <c r="DS6" i="14825"/>
  <c r="DR6" i="14825"/>
  <c r="DQ6" i="14825"/>
  <c r="DP6" i="14825"/>
  <c r="DO6" i="14825"/>
  <c r="DN6" i="14825"/>
  <c r="DM6" i="14825"/>
  <c r="DL6" i="14825"/>
  <c r="DK6" i="14825"/>
  <c r="DJ6" i="14825"/>
  <c r="DI6" i="14825"/>
  <c r="DH6" i="14825"/>
  <c r="DG6" i="14825"/>
  <c r="DF6" i="14825"/>
  <c r="DE6" i="14825"/>
  <c r="DD6" i="14825"/>
  <c r="DC6" i="14825"/>
  <c r="DB6" i="14825"/>
  <c r="DA6" i="14825"/>
  <c r="A6" i="14825"/>
  <c r="ES50" i="14824"/>
  <c r="ER50" i="14824"/>
  <c r="EQ50" i="14824"/>
  <c r="EP50" i="14824"/>
  <c r="EO50" i="14824"/>
  <c r="EN50" i="14824"/>
  <c r="EM50" i="14824"/>
  <c r="EL50" i="14824"/>
  <c r="EK50" i="14824"/>
  <c r="EJ50" i="14824"/>
  <c r="EI50" i="14824"/>
  <c r="EH50" i="14824"/>
  <c r="EG50" i="14824"/>
  <c r="EF50" i="14824"/>
  <c r="EE50" i="14824"/>
  <c r="ED50" i="14824"/>
  <c r="EC50" i="14824"/>
  <c r="EB50" i="14824"/>
  <c r="EA50" i="14824"/>
  <c r="DZ50" i="14824"/>
  <c r="DY50" i="14824"/>
  <c r="DX50" i="14824"/>
  <c r="DW50" i="14824"/>
  <c r="DV50" i="14824"/>
  <c r="DU50" i="14824"/>
  <c r="DT50" i="14824"/>
  <c r="DS50" i="14824"/>
  <c r="DR50" i="14824"/>
  <c r="DQ50" i="14824"/>
  <c r="DP50" i="14824"/>
  <c r="DO50" i="14824"/>
  <c r="DN50" i="14824"/>
  <c r="DM50" i="14824"/>
  <c r="DL50" i="14824"/>
  <c r="DK50" i="14824"/>
  <c r="DJ50" i="14824"/>
  <c r="DI50" i="14824"/>
  <c r="DH50" i="14824"/>
  <c r="DG50" i="14824"/>
  <c r="DF50" i="14824"/>
  <c r="DE50" i="14824"/>
  <c r="DD50" i="14824"/>
  <c r="DC50" i="14824"/>
  <c r="DB50" i="14824"/>
  <c r="DA50" i="14824"/>
  <c r="A50" i="14824"/>
  <c r="ES49" i="14824"/>
  <c r="ER49" i="14824"/>
  <c r="EQ49" i="14824"/>
  <c r="EP49" i="14824"/>
  <c r="EO49" i="14824"/>
  <c r="EN49" i="14824"/>
  <c r="EM49" i="14824"/>
  <c r="EL49" i="14824"/>
  <c r="EK49" i="14824"/>
  <c r="EJ49" i="14824"/>
  <c r="EI49" i="14824"/>
  <c r="EH49" i="14824"/>
  <c r="EG49" i="14824"/>
  <c r="EF49" i="14824"/>
  <c r="EE49" i="14824"/>
  <c r="ED49" i="14824"/>
  <c r="EC49" i="14824"/>
  <c r="EB49" i="14824"/>
  <c r="EA49" i="14824"/>
  <c r="DZ49" i="14824"/>
  <c r="DY49" i="14824"/>
  <c r="DX49" i="14824"/>
  <c r="DW49" i="14824"/>
  <c r="DV49" i="14824"/>
  <c r="DU49" i="14824"/>
  <c r="DT49" i="14824"/>
  <c r="DS49" i="14824"/>
  <c r="DR49" i="14824"/>
  <c r="DQ49" i="14824"/>
  <c r="DP49" i="14824"/>
  <c r="DO49" i="14824"/>
  <c r="DN49" i="14824"/>
  <c r="DM49" i="14824"/>
  <c r="DL49" i="14824"/>
  <c r="DK49" i="14824"/>
  <c r="DJ49" i="14824"/>
  <c r="DI49" i="14824"/>
  <c r="DH49" i="14824"/>
  <c r="DG49" i="14824"/>
  <c r="DF49" i="14824"/>
  <c r="DE49" i="14824"/>
  <c r="DD49" i="14824"/>
  <c r="DC49" i="14824"/>
  <c r="DB49" i="14824"/>
  <c r="DA49" i="14824"/>
  <c r="A49" i="14824"/>
  <c r="ES48" i="14824"/>
  <c r="ER48" i="14824"/>
  <c r="EQ48" i="14824"/>
  <c r="EP48" i="14824"/>
  <c r="EO48" i="14824"/>
  <c r="EN48" i="14824"/>
  <c r="EM48" i="14824"/>
  <c r="EL48" i="14824"/>
  <c r="EK48" i="14824"/>
  <c r="EJ48" i="14824"/>
  <c r="EI48" i="14824"/>
  <c r="EH48" i="14824"/>
  <c r="EG48" i="14824"/>
  <c r="EF48" i="14824"/>
  <c r="EE48" i="14824"/>
  <c r="ED48" i="14824"/>
  <c r="EC48" i="14824"/>
  <c r="EB48" i="14824"/>
  <c r="EA48" i="14824"/>
  <c r="DZ48" i="14824"/>
  <c r="DY48" i="14824"/>
  <c r="DX48" i="14824"/>
  <c r="DW48" i="14824"/>
  <c r="DV48" i="14824"/>
  <c r="DU48" i="14824"/>
  <c r="DT48" i="14824"/>
  <c r="DS48" i="14824"/>
  <c r="DR48" i="14824"/>
  <c r="DQ48" i="14824"/>
  <c r="DP48" i="14824"/>
  <c r="DO48" i="14824"/>
  <c r="DN48" i="14824"/>
  <c r="DM48" i="14824"/>
  <c r="DL48" i="14824"/>
  <c r="DK48" i="14824"/>
  <c r="DJ48" i="14824"/>
  <c r="DI48" i="14824"/>
  <c r="DH48" i="14824"/>
  <c r="DG48" i="14824"/>
  <c r="DF48" i="14824"/>
  <c r="DE48" i="14824"/>
  <c r="DD48" i="14824"/>
  <c r="DC48" i="14824"/>
  <c r="DB48" i="14824"/>
  <c r="DA48" i="14824"/>
  <c r="A48" i="14824"/>
  <c r="ES47" i="14824"/>
  <c r="ER47" i="14824"/>
  <c r="EQ47" i="14824"/>
  <c r="EP47" i="14824"/>
  <c r="EO47" i="14824"/>
  <c r="EN47" i="14824"/>
  <c r="EM47" i="14824"/>
  <c r="EL47" i="14824"/>
  <c r="EK47" i="14824"/>
  <c r="EJ47" i="14824"/>
  <c r="EI47" i="14824"/>
  <c r="EH47" i="14824"/>
  <c r="EG47" i="14824"/>
  <c r="EF47" i="14824"/>
  <c r="EE47" i="14824"/>
  <c r="ED47" i="14824"/>
  <c r="EC47" i="14824"/>
  <c r="EB47" i="14824"/>
  <c r="EA47" i="14824"/>
  <c r="DZ47" i="14824"/>
  <c r="DY47" i="14824"/>
  <c r="DX47" i="14824"/>
  <c r="DW47" i="14824"/>
  <c r="DV47" i="14824"/>
  <c r="DU47" i="14824"/>
  <c r="DT47" i="14824"/>
  <c r="DS47" i="14824"/>
  <c r="DR47" i="14824"/>
  <c r="DQ47" i="14824"/>
  <c r="DP47" i="14824"/>
  <c r="DO47" i="14824"/>
  <c r="DN47" i="14824"/>
  <c r="DM47" i="14824"/>
  <c r="DL47" i="14824"/>
  <c r="DK47" i="14824"/>
  <c r="DJ47" i="14824"/>
  <c r="DI47" i="14824"/>
  <c r="DH47" i="14824"/>
  <c r="DG47" i="14824"/>
  <c r="DF47" i="14824"/>
  <c r="DE47" i="14824"/>
  <c r="DD47" i="14824"/>
  <c r="DC47" i="14824"/>
  <c r="DB47" i="14824"/>
  <c r="DA47" i="14824"/>
  <c r="A47" i="14824"/>
  <c r="ES46" i="14824"/>
  <c r="ER46" i="14824"/>
  <c r="EQ46" i="14824"/>
  <c r="EP46" i="14824"/>
  <c r="EO46" i="14824"/>
  <c r="EN46" i="14824"/>
  <c r="EM46" i="14824"/>
  <c r="EL46" i="14824"/>
  <c r="EK46" i="14824"/>
  <c r="EJ46" i="14824"/>
  <c r="EI46" i="14824"/>
  <c r="EH46" i="14824"/>
  <c r="EG46" i="14824"/>
  <c r="EF46" i="14824"/>
  <c r="EE46" i="14824"/>
  <c r="ED46" i="14824"/>
  <c r="EC46" i="14824"/>
  <c r="EB46" i="14824"/>
  <c r="EA46" i="14824"/>
  <c r="DZ46" i="14824"/>
  <c r="DY46" i="14824"/>
  <c r="DX46" i="14824"/>
  <c r="DW46" i="14824"/>
  <c r="DV46" i="14824"/>
  <c r="DU46" i="14824"/>
  <c r="DT46" i="14824"/>
  <c r="DS46" i="14824"/>
  <c r="DR46" i="14824"/>
  <c r="DQ46" i="14824"/>
  <c r="DP46" i="14824"/>
  <c r="DO46" i="14824"/>
  <c r="DN46" i="14824"/>
  <c r="DM46" i="14824"/>
  <c r="DL46" i="14824"/>
  <c r="DK46" i="14824"/>
  <c r="DJ46" i="14824"/>
  <c r="DI46" i="14824"/>
  <c r="DH46" i="14824"/>
  <c r="DG46" i="14824"/>
  <c r="DF46" i="14824"/>
  <c r="DE46" i="14824"/>
  <c r="DD46" i="14824"/>
  <c r="DC46" i="14824"/>
  <c r="DB46" i="14824"/>
  <c r="DA46" i="14824"/>
  <c r="A46" i="14824"/>
  <c r="ES45" i="14824"/>
  <c r="ER45" i="14824"/>
  <c r="EQ45" i="14824"/>
  <c r="EP45" i="14824"/>
  <c r="EO45" i="14824"/>
  <c r="EN45" i="14824"/>
  <c r="EM45" i="14824"/>
  <c r="EL45" i="14824"/>
  <c r="EK45" i="14824"/>
  <c r="EJ45" i="14824"/>
  <c r="EI45" i="14824"/>
  <c r="EH45" i="14824"/>
  <c r="EG45" i="14824"/>
  <c r="EF45" i="14824"/>
  <c r="EE45" i="14824"/>
  <c r="ED45" i="14824"/>
  <c r="EC45" i="14824"/>
  <c r="EB45" i="14824"/>
  <c r="EA45" i="14824"/>
  <c r="DZ45" i="14824"/>
  <c r="DY45" i="14824"/>
  <c r="DX45" i="14824"/>
  <c r="DW45" i="14824"/>
  <c r="DV45" i="14824"/>
  <c r="DU45" i="14824"/>
  <c r="DT45" i="14824"/>
  <c r="DS45" i="14824"/>
  <c r="DR45" i="14824"/>
  <c r="DQ45" i="14824"/>
  <c r="DP45" i="14824"/>
  <c r="DO45" i="14824"/>
  <c r="DN45" i="14824"/>
  <c r="DM45" i="14824"/>
  <c r="DL45" i="14824"/>
  <c r="DK45" i="14824"/>
  <c r="DJ45" i="14824"/>
  <c r="DI45" i="14824"/>
  <c r="DH45" i="14824"/>
  <c r="DG45" i="14824"/>
  <c r="DF45" i="14824"/>
  <c r="DE45" i="14824"/>
  <c r="DD45" i="14824"/>
  <c r="DC45" i="14824"/>
  <c r="DB45" i="14824"/>
  <c r="DA45" i="14824"/>
  <c r="A45" i="14824"/>
  <c r="ES44" i="14824"/>
  <c r="ER44" i="14824"/>
  <c r="EQ44" i="14824"/>
  <c r="EP44" i="14824"/>
  <c r="EO44" i="14824"/>
  <c r="EN44" i="14824"/>
  <c r="EM44" i="14824"/>
  <c r="EL44" i="14824"/>
  <c r="EK44" i="14824"/>
  <c r="EJ44" i="14824"/>
  <c r="EI44" i="14824"/>
  <c r="EH44" i="14824"/>
  <c r="EG44" i="14824"/>
  <c r="EF44" i="14824"/>
  <c r="EE44" i="14824"/>
  <c r="ED44" i="14824"/>
  <c r="EC44" i="14824"/>
  <c r="EB44" i="14824"/>
  <c r="EA44" i="14824"/>
  <c r="DZ44" i="14824"/>
  <c r="DY44" i="14824"/>
  <c r="DX44" i="14824"/>
  <c r="DW44" i="14824"/>
  <c r="DV44" i="14824"/>
  <c r="DU44" i="14824"/>
  <c r="DT44" i="14824"/>
  <c r="DS44" i="14824"/>
  <c r="DR44" i="14824"/>
  <c r="DQ44" i="14824"/>
  <c r="DP44" i="14824"/>
  <c r="DO44" i="14824"/>
  <c r="DN44" i="14824"/>
  <c r="DM44" i="14824"/>
  <c r="DL44" i="14824"/>
  <c r="DK44" i="14824"/>
  <c r="DJ44" i="14824"/>
  <c r="DI44" i="14824"/>
  <c r="DH44" i="14824"/>
  <c r="DG44" i="14824"/>
  <c r="DF44" i="14824"/>
  <c r="DE44" i="14824"/>
  <c r="DD44" i="14824"/>
  <c r="DC44" i="14824"/>
  <c r="DB44" i="14824"/>
  <c r="DA44" i="14824"/>
  <c r="A44" i="14824"/>
  <c r="ES43" i="14824"/>
  <c r="ER43" i="14824"/>
  <c r="EQ43" i="14824"/>
  <c r="EP43" i="14824"/>
  <c r="EO43" i="14824"/>
  <c r="EN43" i="14824"/>
  <c r="EM43" i="14824"/>
  <c r="EL43" i="14824"/>
  <c r="EK43" i="14824"/>
  <c r="EJ43" i="14824"/>
  <c r="EI43" i="14824"/>
  <c r="EH43" i="14824"/>
  <c r="EG43" i="14824"/>
  <c r="EF43" i="14824"/>
  <c r="EE43" i="14824"/>
  <c r="ED43" i="14824"/>
  <c r="EC43" i="14824"/>
  <c r="EB43" i="14824"/>
  <c r="EA43" i="14824"/>
  <c r="DZ43" i="14824"/>
  <c r="DY43" i="14824"/>
  <c r="DX43" i="14824"/>
  <c r="DW43" i="14824"/>
  <c r="DV43" i="14824"/>
  <c r="DU43" i="14824"/>
  <c r="DT43" i="14824"/>
  <c r="DS43" i="14824"/>
  <c r="DR43" i="14824"/>
  <c r="DQ43" i="14824"/>
  <c r="DP43" i="14824"/>
  <c r="DO43" i="14824"/>
  <c r="DN43" i="14824"/>
  <c r="DM43" i="14824"/>
  <c r="DL43" i="14824"/>
  <c r="DK43" i="14824"/>
  <c r="DJ43" i="14824"/>
  <c r="DI43" i="14824"/>
  <c r="DH43" i="14824"/>
  <c r="DG43" i="14824"/>
  <c r="DF43" i="14824"/>
  <c r="DE43" i="14824"/>
  <c r="DD43" i="14824"/>
  <c r="DC43" i="14824"/>
  <c r="DB43" i="14824"/>
  <c r="DA43" i="14824"/>
  <c r="A43" i="14824"/>
  <c r="ES42" i="14824"/>
  <c r="ER42" i="14824"/>
  <c r="EQ42" i="14824"/>
  <c r="EP42" i="14824"/>
  <c r="EO42" i="14824"/>
  <c r="EN42" i="14824"/>
  <c r="EM42" i="14824"/>
  <c r="EL42" i="14824"/>
  <c r="EK42" i="14824"/>
  <c r="EJ42" i="14824"/>
  <c r="EI42" i="14824"/>
  <c r="EH42" i="14824"/>
  <c r="EG42" i="14824"/>
  <c r="EF42" i="14824"/>
  <c r="EE42" i="14824"/>
  <c r="ED42" i="14824"/>
  <c r="EC42" i="14824"/>
  <c r="EB42" i="14824"/>
  <c r="EA42" i="14824"/>
  <c r="DZ42" i="14824"/>
  <c r="DY42" i="14824"/>
  <c r="DX42" i="14824"/>
  <c r="DW42" i="14824"/>
  <c r="DV42" i="14824"/>
  <c r="DU42" i="14824"/>
  <c r="DT42" i="14824"/>
  <c r="DS42" i="14824"/>
  <c r="DR42" i="14824"/>
  <c r="DQ42" i="14824"/>
  <c r="DP42" i="14824"/>
  <c r="DO42" i="14824"/>
  <c r="DN42" i="14824"/>
  <c r="DM42" i="14824"/>
  <c r="DL42" i="14824"/>
  <c r="DK42" i="14824"/>
  <c r="DJ42" i="14824"/>
  <c r="DI42" i="14824"/>
  <c r="DH42" i="14824"/>
  <c r="DG42" i="14824"/>
  <c r="DF42" i="14824"/>
  <c r="DE42" i="14824"/>
  <c r="DD42" i="14824"/>
  <c r="DC42" i="14824"/>
  <c r="DB42" i="14824"/>
  <c r="DA42" i="14824"/>
  <c r="A42" i="14824"/>
  <c r="ES41" i="14824"/>
  <c r="ER41" i="14824"/>
  <c r="EQ41" i="14824"/>
  <c r="EP41" i="14824"/>
  <c r="EO41" i="14824"/>
  <c r="EN41" i="14824"/>
  <c r="EM41" i="14824"/>
  <c r="EL41" i="14824"/>
  <c r="EK41" i="14824"/>
  <c r="EJ41" i="14824"/>
  <c r="EI41" i="14824"/>
  <c r="EH41" i="14824"/>
  <c r="EG41" i="14824"/>
  <c r="EF41" i="14824"/>
  <c r="EE41" i="14824"/>
  <c r="ED41" i="14824"/>
  <c r="EC41" i="14824"/>
  <c r="EB41" i="14824"/>
  <c r="EA41" i="14824"/>
  <c r="DZ41" i="14824"/>
  <c r="DY41" i="14824"/>
  <c r="DX41" i="14824"/>
  <c r="DW41" i="14824"/>
  <c r="DV41" i="14824"/>
  <c r="DU41" i="14824"/>
  <c r="DT41" i="14824"/>
  <c r="DS41" i="14824"/>
  <c r="DR41" i="14824"/>
  <c r="DQ41" i="14824"/>
  <c r="DP41" i="14824"/>
  <c r="DO41" i="14824"/>
  <c r="DN41" i="14824"/>
  <c r="DM41" i="14824"/>
  <c r="DL41" i="14824"/>
  <c r="DK41" i="14824"/>
  <c r="DJ41" i="14824"/>
  <c r="DI41" i="14824"/>
  <c r="DH41" i="14824"/>
  <c r="DG41" i="14824"/>
  <c r="DF41" i="14824"/>
  <c r="DE41" i="14824"/>
  <c r="DD41" i="14824"/>
  <c r="DC41" i="14824"/>
  <c r="DB41" i="14824"/>
  <c r="DA41" i="14824"/>
  <c r="A41" i="14824"/>
  <c r="ES40" i="14824"/>
  <c r="ER40" i="14824"/>
  <c r="EQ40" i="14824"/>
  <c r="EP40" i="14824"/>
  <c r="EO40" i="14824"/>
  <c r="EN40" i="14824"/>
  <c r="EM40" i="14824"/>
  <c r="EL40" i="14824"/>
  <c r="EK40" i="14824"/>
  <c r="EJ40" i="14824"/>
  <c r="EI40" i="14824"/>
  <c r="EH40" i="14824"/>
  <c r="EG40" i="14824"/>
  <c r="EF40" i="14824"/>
  <c r="EE40" i="14824"/>
  <c r="ED40" i="14824"/>
  <c r="EC40" i="14824"/>
  <c r="EB40" i="14824"/>
  <c r="EA40" i="14824"/>
  <c r="DZ40" i="14824"/>
  <c r="DY40" i="14824"/>
  <c r="DX40" i="14824"/>
  <c r="DW40" i="14824"/>
  <c r="DV40" i="14824"/>
  <c r="DU40" i="14824"/>
  <c r="DT40" i="14824"/>
  <c r="DS40" i="14824"/>
  <c r="DR40" i="14824"/>
  <c r="DQ40" i="14824"/>
  <c r="DP40" i="14824"/>
  <c r="DO40" i="14824"/>
  <c r="DN40" i="14824"/>
  <c r="DM40" i="14824"/>
  <c r="DL40" i="14824"/>
  <c r="DK40" i="14824"/>
  <c r="DJ40" i="14824"/>
  <c r="DI40" i="14824"/>
  <c r="DH40" i="14824"/>
  <c r="DG40" i="14824"/>
  <c r="DF40" i="14824"/>
  <c r="DE40" i="14824"/>
  <c r="DD40" i="14824"/>
  <c r="DC40" i="14824"/>
  <c r="DB40" i="14824"/>
  <c r="DA40" i="14824"/>
  <c r="A40" i="14824"/>
  <c r="ES39" i="14824"/>
  <c r="ER39" i="14824"/>
  <c r="EQ39" i="14824"/>
  <c r="EP39" i="14824"/>
  <c r="EO39" i="14824"/>
  <c r="EN39" i="14824"/>
  <c r="EM39" i="14824"/>
  <c r="EL39" i="14824"/>
  <c r="EK39" i="14824"/>
  <c r="EJ39" i="14824"/>
  <c r="EI39" i="14824"/>
  <c r="EH39" i="14824"/>
  <c r="EG39" i="14824"/>
  <c r="EF39" i="14824"/>
  <c r="EE39" i="14824"/>
  <c r="ED39" i="14824"/>
  <c r="EC39" i="14824"/>
  <c r="EB39" i="14824"/>
  <c r="EA39" i="14824"/>
  <c r="DZ39" i="14824"/>
  <c r="DY39" i="14824"/>
  <c r="DX39" i="14824"/>
  <c r="DW39" i="14824"/>
  <c r="DV39" i="14824"/>
  <c r="DU39" i="14824"/>
  <c r="DT39" i="14824"/>
  <c r="DS39" i="14824"/>
  <c r="DR39" i="14824"/>
  <c r="DQ39" i="14824"/>
  <c r="DP39" i="14824"/>
  <c r="DO39" i="14824"/>
  <c r="DN39" i="14824"/>
  <c r="DM39" i="14824"/>
  <c r="DL39" i="14824"/>
  <c r="DK39" i="14824"/>
  <c r="DJ39" i="14824"/>
  <c r="DI39" i="14824"/>
  <c r="DH39" i="14824"/>
  <c r="DG39" i="14824"/>
  <c r="DF39" i="14824"/>
  <c r="DE39" i="14824"/>
  <c r="DD39" i="14824"/>
  <c r="DC39" i="14824"/>
  <c r="DB39" i="14824"/>
  <c r="DA39" i="14824"/>
  <c r="A39" i="14824"/>
  <c r="ES38" i="14824"/>
  <c r="ER38" i="14824"/>
  <c r="EQ38" i="14824"/>
  <c r="EP38" i="14824"/>
  <c r="EO38" i="14824"/>
  <c r="EN38" i="14824"/>
  <c r="EM38" i="14824"/>
  <c r="EL38" i="14824"/>
  <c r="EK38" i="14824"/>
  <c r="EJ38" i="14824"/>
  <c r="EI38" i="14824"/>
  <c r="EH38" i="14824"/>
  <c r="EG38" i="14824"/>
  <c r="EF38" i="14824"/>
  <c r="EE38" i="14824"/>
  <c r="ED38" i="14824"/>
  <c r="EC38" i="14824"/>
  <c r="EB38" i="14824"/>
  <c r="EA38" i="14824"/>
  <c r="DZ38" i="14824"/>
  <c r="DY38" i="14824"/>
  <c r="DX38" i="14824"/>
  <c r="DW38" i="14824"/>
  <c r="DV38" i="14824"/>
  <c r="DU38" i="14824"/>
  <c r="DT38" i="14824"/>
  <c r="DS38" i="14824"/>
  <c r="DR38" i="14824"/>
  <c r="DQ38" i="14824"/>
  <c r="DP38" i="14824"/>
  <c r="DO38" i="14824"/>
  <c r="DN38" i="14824"/>
  <c r="DM38" i="14824"/>
  <c r="DL38" i="14824"/>
  <c r="DK38" i="14824"/>
  <c r="DJ38" i="14824"/>
  <c r="DI38" i="14824"/>
  <c r="DH38" i="14824"/>
  <c r="DG38" i="14824"/>
  <c r="DF38" i="14824"/>
  <c r="DE38" i="14824"/>
  <c r="DD38" i="14824"/>
  <c r="DC38" i="14824"/>
  <c r="DB38" i="14824"/>
  <c r="DA38" i="14824"/>
  <c r="A38" i="14824"/>
  <c r="ES37" i="14824"/>
  <c r="ER37" i="14824"/>
  <c r="EQ37" i="14824"/>
  <c r="EP37" i="14824"/>
  <c r="EO37" i="14824"/>
  <c r="EN37" i="14824"/>
  <c r="EM37" i="14824"/>
  <c r="EL37" i="14824"/>
  <c r="EK37" i="14824"/>
  <c r="EJ37" i="14824"/>
  <c r="EI37" i="14824"/>
  <c r="EH37" i="14824"/>
  <c r="EG37" i="14824"/>
  <c r="EF37" i="14824"/>
  <c r="EE37" i="14824"/>
  <c r="ED37" i="14824"/>
  <c r="EC37" i="14824"/>
  <c r="EB37" i="14824"/>
  <c r="EA37" i="14824"/>
  <c r="DZ37" i="14824"/>
  <c r="DY37" i="14824"/>
  <c r="DX37" i="14824"/>
  <c r="DW37" i="14824"/>
  <c r="DV37" i="14824"/>
  <c r="DU37" i="14824"/>
  <c r="DT37" i="14824"/>
  <c r="DS37" i="14824"/>
  <c r="DR37" i="14824"/>
  <c r="DQ37" i="14824"/>
  <c r="DP37" i="14824"/>
  <c r="DO37" i="14824"/>
  <c r="DN37" i="14824"/>
  <c r="DM37" i="14824"/>
  <c r="DL37" i="14824"/>
  <c r="DK37" i="14824"/>
  <c r="DJ37" i="14824"/>
  <c r="DI37" i="14824"/>
  <c r="DH37" i="14824"/>
  <c r="DG37" i="14824"/>
  <c r="DF37" i="14824"/>
  <c r="DE37" i="14824"/>
  <c r="DD37" i="14824"/>
  <c r="DC37" i="14824"/>
  <c r="DB37" i="14824"/>
  <c r="DA37" i="14824"/>
  <c r="A37" i="14824"/>
  <c r="ES36" i="14824"/>
  <c r="ER36" i="14824"/>
  <c r="EQ36" i="14824"/>
  <c r="EP36" i="14824"/>
  <c r="EO36" i="14824"/>
  <c r="EN36" i="14824"/>
  <c r="EM36" i="14824"/>
  <c r="EL36" i="14824"/>
  <c r="EK36" i="14824"/>
  <c r="EJ36" i="14824"/>
  <c r="EI36" i="14824"/>
  <c r="EH36" i="14824"/>
  <c r="EG36" i="14824"/>
  <c r="EF36" i="14824"/>
  <c r="EE36" i="14824"/>
  <c r="ED36" i="14824"/>
  <c r="EC36" i="14824"/>
  <c r="EB36" i="14824"/>
  <c r="EA36" i="14824"/>
  <c r="DZ36" i="14824"/>
  <c r="DY36" i="14824"/>
  <c r="DX36" i="14824"/>
  <c r="DW36" i="14824"/>
  <c r="DV36" i="14824"/>
  <c r="DU36" i="14824"/>
  <c r="DT36" i="14824"/>
  <c r="DS36" i="14824"/>
  <c r="DR36" i="14824"/>
  <c r="DQ36" i="14824"/>
  <c r="DP36" i="14824"/>
  <c r="DO36" i="14824"/>
  <c r="DN36" i="14824"/>
  <c r="DM36" i="14824"/>
  <c r="DL36" i="14824"/>
  <c r="DK36" i="14824"/>
  <c r="DJ36" i="14824"/>
  <c r="DI36" i="14824"/>
  <c r="DH36" i="14824"/>
  <c r="DG36" i="14824"/>
  <c r="DF36" i="14824"/>
  <c r="DE36" i="14824"/>
  <c r="DD36" i="14824"/>
  <c r="DC36" i="14824"/>
  <c r="DB36" i="14824"/>
  <c r="DA36" i="14824"/>
  <c r="A36" i="14824"/>
  <c r="ES35" i="14824"/>
  <c r="ER35" i="14824"/>
  <c r="EQ35" i="14824"/>
  <c r="EP35" i="14824"/>
  <c r="EO35" i="14824"/>
  <c r="EN35" i="14824"/>
  <c r="EM35" i="14824"/>
  <c r="EL35" i="14824"/>
  <c r="EK35" i="14824"/>
  <c r="EJ35" i="14824"/>
  <c r="EI35" i="14824"/>
  <c r="EH35" i="14824"/>
  <c r="EG35" i="14824"/>
  <c r="EF35" i="14824"/>
  <c r="EE35" i="14824"/>
  <c r="ED35" i="14824"/>
  <c r="EC35" i="14824"/>
  <c r="EB35" i="14824"/>
  <c r="EA35" i="14824"/>
  <c r="DZ35" i="14824"/>
  <c r="DY35" i="14824"/>
  <c r="DX35" i="14824"/>
  <c r="DW35" i="14824"/>
  <c r="DV35" i="14824"/>
  <c r="DU35" i="14824"/>
  <c r="DT35" i="14824"/>
  <c r="DS35" i="14824"/>
  <c r="DR35" i="14824"/>
  <c r="DQ35" i="14824"/>
  <c r="DP35" i="14824"/>
  <c r="DO35" i="14824"/>
  <c r="DN35" i="14824"/>
  <c r="DM35" i="14824"/>
  <c r="DL35" i="14824"/>
  <c r="DK35" i="14824"/>
  <c r="DJ35" i="14824"/>
  <c r="DI35" i="14824"/>
  <c r="DH35" i="14824"/>
  <c r="DG35" i="14824"/>
  <c r="DF35" i="14824"/>
  <c r="DE35" i="14824"/>
  <c r="DD35" i="14824"/>
  <c r="DC35" i="14824"/>
  <c r="DB35" i="14824"/>
  <c r="DA35" i="14824"/>
  <c r="A35" i="14824"/>
  <c r="ES34" i="14824"/>
  <c r="ER34" i="14824"/>
  <c r="EQ34" i="14824"/>
  <c r="EP34" i="14824"/>
  <c r="EO34" i="14824"/>
  <c r="EN34" i="14824"/>
  <c r="EM34" i="14824"/>
  <c r="EL34" i="14824"/>
  <c r="EK34" i="14824"/>
  <c r="EJ34" i="14824"/>
  <c r="EI34" i="14824"/>
  <c r="EH34" i="14824"/>
  <c r="EG34" i="14824"/>
  <c r="EF34" i="14824"/>
  <c r="EE34" i="14824"/>
  <c r="ED34" i="14824"/>
  <c r="EC34" i="14824"/>
  <c r="EB34" i="14824"/>
  <c r="EA34" i="14824"/>
  <c r="DZ34" i="14824"/>
  <c r="DY34" i="14824"/>
  <c r="DX34" i="14824"/>
  <c r="DW34" i="14824"/>
  <c r="DV34" i="14824"/>
  <c r="DU34" i="14824"/>
  <c r="DT34" i="14824"/>
  <c r="DS34" i="14824"/>
  <c r="DR34" i="14824"/>
  <c r="DQ34" i="14824"/>
  <c r="DP34" i="14824"/>
  <c r="DO34" i="14824"/>
  <c r="DN34" i="14824"/>
  <c r="DM34" i="14824"/>
  <c r="DL34" i="14824"/>
  <c r="DK34" i="14824"/>
  <c r="DJ34" i="14824"/>
  <c r="DI34" i="14824"/>
  <c r="DH34" i="14824"/>
  <c r="DG34" i="14824"/>
  <c r="DF34" i="14824"/>
  <c r="DE34" i="14824"/>
  <c r="DD34" i="14824"/>
  <c r="DC34" i="14824"/>
  <c r="DB34" i="14824"/>
  <c r="DA34" i="14824"/>
  <c r="A34" i="14824"/>
  <c r="ES33" i="14824"/>
  <c r="ER33" i="14824"/>
  <c r="EQ33" i="14824"/>
  <c r="EP33" i="14824"/>
  <c r="EO33" i="14824"/>
  <c r="EN33" i="14824"/>
  <c r="EM33" i="14824"/>
  <c r="EL33" i="14824"/>
  <c r="EK33" i="14824"/>
  <c r="EJ33" i="14824"/>
  <c r="EI33" i="14824"/>
  <c r="EH33" i="14824"/>
  <c r="EG33" i="14824"/>
  <c r="EF33" i="14824"/>
  <c r="EE33" i="14824"/>
  <c r="ED33" i="14824"/>
  <c r="EC33" i="14824"/>
  <c r="EB33" i="14824"/>
  <c r="EA33" i="14824"/>
  <c r="DZ33" i="14824"/>
  <c r="DY33" i="14824"/>
  <c r="DX33" i="14824"/>
  <c r="DW33" i="14824"/>
  <c r="DV33" i="14824"/>
  <c r="DU33" i="14824"/>
  <c r="DT33" i="14824"/>
  <c r="DS33" i="14824"/>
  <c r="DR33" i="14824"/>
  <c r="DQ33" i="14824"/>
  <c r="DP33" i="14824"/>
  <c r="DO33" i="14824"/>
  <c r="DN33" i="14824"/>
  <c r="DM33" i="14824"/>
  <c r="DL33" i="14824"/>
  <c r="DK33" i="14824"/>
  <c r="DJ33" i="14824"/>
  <c r="DI33" i="14824"/>
  <c r="DH33" i="14824"/>
  <c r="DG33" i="14824"/>
  <c r="DF33" i="14824"/>
  <c r="DE33" i="14824"/>
  <c r="DD33" i="14824"/>
  <c r="DC33" i="14824"/>
  <c r="DB33" i="14824"/>
  <c r="DA33" i="14824"/>
  <c r="A33" i="14824"/>
  <c r="ES32" i="14824"/>
  <c r="ER32" i="14824"/>
  <c r="EQ32" i="14824"/>
  <c r="EP32" i="14824"/>
  <c r="EO32" i="14824"/>
  <c r="EN32" i="14824"/>
  <c r="EM32" i="14824"/>
  <c r="EL32" i="14824"/>
  <c r="EK32" i="14824"/>
  <c r="EJ32" i="14824"/>
  <c r="EI32" i="14824"/>
  <c r="EH32" i="14824"/>
  <c r="EG32" i="14824"/>
  <c r="EF32" i="14824"/>
  <c r="EE32" i="14824"/>
  <c r="ED32" i="14824"/>
  <c r="EC32" i="14824"/>
  <c r="EB32" i="14824"/>
  <c r="EA32" i="14824"/>
  <c r="DZ32" i="14824"/>
  <c r="DY32" i="14824"/>
  <c r="DX32" i="14824"/>
  <c r="DW32" i="14824"/>
  <c r="DV32" i="14824"/>
  <c r="DU32" i="14824"/>
  <c r="DT32" i="14824"/>
  <c r="DS32" i="14824"/>
  <c r="DR32" i="14824"/>
  <c r="DQ32" i="14824"/>
  <c r="DP32" i="14824"/>
  <c r="DO32" i="14824"/>
  <c r="DN32" i="14824"/>
  <c r="DM32" i="14824"/>
  <c r="DL32" i="14824"/>
  <c r="DK32" i="14824"/>
  <c r="DJ32" i="14824"/>
  <c r="DI32" i="14824"/>
  <c r="DH32" i="14824"/>
  <c r="DG32" i="14824"/>
  <c r="DF32" i="14824"/>
  <c r="DE32" i="14824"/>
  <c r="DD32" i="14824"/>
  <c r="DC32" i="14824"/>
  <c r="DB32" i="14824"/>
  <c r="DA32" i="14824"/>
  <c r="A32" i="14824"/>
  <c r="ES31" i="14824"/>
  <c r="ER31" i="14824"/>
  <c r="EQ31" i="14824"/>
  <c r="EP31" i="14824"/>
  <c r="EO31" i="14824"/>
  <c r="EN31" i="14824"/>
  <c r="EM31" i="14824"/>
  <c r="EL31" i="14824"/>
  <c r="EK31" i="14824"/>
  <c r="EJ31" i="14824"/>
  <c r="EI31" i="14824"/>
  <c r="EH31" i="14824"/>
  <c r="EG31" i="14824"/>
  <c r="EF31" i="14824"/>
  <c r="EE31" i="14824"/>
  <c r="ED31" i="14824"/>
  <c r="EC31" i="14824"/>
  <c r="EB31" i="14824"/>
  <c r="EA31" i="14824"/>
  <c r="DZ31" i="14824"/>
  <c r="DY31" i="14824"/>
  <c r="DX31" i="14824"/>
  <c r="DW31" i="14824"/>
  <c r="DV31" i="14824"/>
  <c r="DU31" i="14824"/>
  <c r="DT31" i="14824"/>
  <c r="DS31" i="14824"/>
  <c r="DR31" i="14824"/>
  <c r="DQ31" i="14824"/>
  <c r="DP31" i="14824"/>
  <c r="DO31" i="14824"/>
  <c r="DN31" i="14824"/>
  <c r="DM31" i="14824"/>
  <c r="DL31" i="14824"/>
  <c r="DK31" i="14824"/>
  <c r="DJ31" i="14824"/>
  <c r="DI31" i="14824"/>
  <c r="DH31" i="14824"/>
  <c r="DG31" i="14824"/>
  <c r="DF31" i="14824"/>
  <c r="DE31" i="14824"/>
  <c r="DD31" i="14824"/>
  <c r="DC31" i="14824"/>
  <c r="DB31" i="14824"/>
  <c r="DA31" i="14824"/>
  <c r="A31" i="14824"/>
  <c r="ES30" i="14824"/>
  <c r="ER30" i="14824"/>
  <c r="EQ30" i="14824"/>
  <c r="EP30" i="14824"/>
  <c r="EO30" i="14824"/>
  <c r="EN30" i="14824"/>
  <c r="EM30" i="14824"/>
  <c r="EL30" i="14824"/>
  <c r="EK30" i="14824"/>
  <c r="EJ30" i="14824"/>
  <c r="EI30" i="14824"/>
  <c r="EH30" i="14824"/>
  <c r="EG30" i="14824"/>
  <c r="EF30" i="14824"/>
  <c r="EE30" i="14824"/>
  <c r="ED30" i="14824"/>
  <c r="EC30" i="14824"/>
  <c r="EB30" i="14824"/>
  <c r="EA30" i="14824"/>
  <c r="DZ30" i="14824"/>
  <c r="DY30" i="14824"/>
  <c r="DX30" i="14824"/>
  <c r="DW30" i="14824"/>
  <c r="DV30" i="14824"/>
  <c r="DU30" i="14824"/>
  <c r="DT30" i="14824"/>
  <c r="DS30" i="14824"/>
  <c r="DR30" i="14824"/>
  <c r="DQ30" i="14824"/>
  <c r="DP30" i="14824"/>
  <c r="DO30" i="14824"/>
  <c r="DN30" i="14824"/>
  <c r="DM30" i="14824"/>
  <c r="DL30" i="14824"/>
  <c r="DK30" i="14824"/>
  <c r="DJ30" i="14824"/>
  <c r="DI30" i="14824"/>
  <c r="DH30" i="14824"/>
  <c r="DG30" i="14824"/>
  <c r="DF30" i="14824"/>
  <c r="DE30" i="14824"/>
  <c r="DD30" i="14824"/>
  <c r="DC30" i="14824"/>
  <c r="DB30" i="14824"/>
  <c r="DA30" i="14824"/>
  <c r="A30" i="14824"/>
  <c r="ES29" i="14824"/>
  <c r="ER29" i="14824"/>
  <c r="EQ29" i="14824"/>
  <c r="EP29" i="14824"/>
  <c r="EO29" i="14824"/>
  <c r="EN29" i="14824"/>
  <c r="EM29" i="14824"/>
  <c r="EL29" i="14824"/>
  <c r="EK29" i="14824"/>
  <c r="EJ29" i="14824"/>
  <c r="EI29" i="14824"/>
  <c r="EH29" i="14824"/>
  <c r="EG29" i="14824"/>
  <c r="EF29" i="14824"/>
  <c r="EE29" i="14824"/>
  <c r="ED29" i="14824"/>
  <c r="EC29" i="14824"/>
  <c r="EB29" i="14824"/>
  <c r="EA29" i="14824"/>
  <c r="DZ29" i="14824"/>
  <c r="DY29" i="14824"/>
  <c r="DX29" i="14824"/>
  <c r="DW29" i="14824"/>
  <c r="DV29" i="14824"/>
  <c r="DU29" i="14824"/>
  <c r="DT29" i="14824"/>
  <c r="DS29" i="14824"/>
  <c r="DR29" i="14824"/>
  <c r="DQ29" i="14824"/>
  <c r="DP29" i="14824"/>
  <c r="DO29" i="14824"/>
  <c r="DN29" i="14824"/>
  <c r="DM29" i="14824"/>
  <c r="DL29" i="14824"/>
  <c r="DK29" i="14824"/>
  <c r="DJ29" i="14824"/>
  <c r="DI29" i="14824"/>
  <c r="DH29" i="14824"/>
  <c r="DG29" i="14824"/>
  <c r="DF29" i="14824"/>
  <c r="DE29" i="14824"/>
  <c r="DD29" i="14824"/>
  <c r="DC29" i="14824"/>
  <c r="DB29" i="14824"/>
  <c r="DA29" i="14824"/>
  <c r="A29" i="14824"/>
  <c r="ES28" i="14824"/>
  <c r="ER28" i="14824"/>
  <c r="EQ28" i="14824"/>
  <c r="EP28" i="14824"/>
  <c r="EO28" i="14824"/>
  <c r="EN28" i="14824"/>
  <c r="EM28" i="14824"/>
  <c r="EL28" i="14824"/>
  <c r="EK28" i="14824"/>
  <c r="EJ28" i="14824"/>
  <c r="EI28" i="14824"/>
  <c r="EH28" i="14824"/>
  <c r="EG28" i="14824"/>
  <c r="EF28" i="14824"/>
  <c r="EE28" i="14824"/>
  <c r="ED28" i="14824"/>
  <c r="EC28" i="14824"/>
  <c r="EB28" i="14824"/>
  <c r="EA28" i="14824"/>
  <c r="DZ28" i="14824"/>
  <c r="DY28" i="14824"/>
  <c r="DX28" i="14824"/>
  <c r="DW28" i="14824"/>
  <c r="DV28" i="14824"/>
  <c r="DU28" i="14824"/>
  <c r="DT28" i="14824"/>
  <c r="DS28" i="14824"/>
  <c r="DR28" i="14824"/>
  <c r="DQ28" i="14824"/>
  <c r="DP28" i="14824"/>
  <c r="DO28" i="14824"/>
  <c r="DN28" i="14824"/>
  <c r="DM28" i="14824"/>
  <c r="DL28" i="14824"/>
  <c r="DK28" i="14824"/>
  <c r="DJ28" i="14824"/>
  <c r="DI28" i="14824"/>
  <c r="DH28" i="14824"/>
  <c r="DG28" i="14824"/>
  <c r="DF28" i="14824"/>
  <c r="DE28" i="14824"/>
  <c r="DD28" i="14824"/>
  <c r="DC28" i="14824"/>
  <c r="DB28" i="14824"/>
  <c r="DA28" i="14824"/>
  <c r="A28" i="14824"/>
  <c r="ES27" i="14824"/>
  <c r="ER27" i="14824"/>
  <c r="EQ27" i="14824"/>
  <c r="EP27" i="14824"/>
  <c r="EO27" i="14824"/>
  <c r="EN27" i="14824"/>
  <c r="EM27" i="14824"/>
  <c r="EL27" i="14824"/>
  <c r="EK27" i="14824"/>
  <c r="EJ27" i="14824"/>
  <c r="EI27" i="14824"/>
  <c r="EH27" i="14824"/>
  <c r="EG27" i="14824"/>
  <c r="EF27" i="14824"/>
  <c r="EE27" i="14824"/>
  <c r="ED27" i="14824"/>
  <c r="EC27" i="14824"/>
  <c r="EB27" i="14824"/>
  <c r="EA27" i="14824"/>
  <c r="DZ27" i="14824"/>
  <c r="DY27" i="14824"/>
  <c r="DX27" i="14824"/>
  <c r="DW27" i="14824"/>
  <c r="DV27" i="14824"/>
  <c r="DU27" i="14824"/>
  <c r="DT27" i="14824"/>
  <c r="DS27" i="14824"/>
  <c r="DR27" i="14824"/>
  <c r="DQ27" i="14824"/>
  <c r="DP27" i="14824"/>
  <c r="DO27" i="14824"/>
  <c r="DN27" i="14824"/>
  <c r="DM27" i="14824"/>
  <c r="DL27" i="14824"/>
  <c r="DK27" i="14824"/>
  <c r="DJ27" i="14824"/>
  <c r="DI27" i="14824"/>
  <c r="DH27" i="14824"/>
  <c r="DG27" i="14824"/>
  <c r="DF27" i="14824"/>
  <c r="DE27" i="14824"/>
  <c r="DD27" i="14824"/>
  <c r="DC27" i="14824"/>
  <c r="DB27" i="14824"/>
  <c r="DA27" i="14824"/>
  <c r="A27" i="14824"/>
  <c r="ES26" i="14824"/>
  <c r="ER26" i="14824"/>
  <c r="EQ26" i="14824"/>
  <c r="EP26" i="14824"/>
  <c r="EO26" i="14824"/>
  <c r="EN26" i="14824"/>
  <c r="EM26" i="14824"/>
  <c r="EL26" i="14824"/>
  <c r="EK26" i="14824"/>
  <c r="EJ26" i="14824"/>
  <c r="EI26" i="14824"/>
  <c r="EH26" i="14824"/>
  <c r="EG26" i="14824"/>
  <c r="EF26" i="14824"/>
  <c r="EE26" i="14824"/>
  <c r="ED26" i="14824"/>
  <c r="EC26" i="14824"/>
  <c r="EB26" i="14824"/>
  <c r="EA26" i="14824"/>
  <c r="DZ26" i="14824"/>
  <c r="DY26" i="14824"/>
  <c r="DX26" i="14824"/>
  <c r="DW26" i="14824"/>
  <c r="DV26" i="14824"/>
  <c r="DU26" i="14824"/>
  <c r="DT26" i="14824"/>
  <c r="DS26" i="14824"/>
  <c r="DR26" i="14824"/>
  <c r="DQ26" i="14824"/>
  <c r="DP26" i="14824"/>
  <c r="DO26" i="14824"/>
  <c r="DN26" i="14824"/>
  <c r="DM26" i="14824"/>
  <c r="DL26" i="14824"/>
  <c r="DK26" i="14824"/>
  <c r="DJ26" i="14824"/>
  <c r="DI26" i="14824"/>
  <c r="DH26" i="14824"/>
  <c r="DG26" i="14824"/>
  <c r="DF26" i="14824"/>
  <c r="DE26" i="14824"/>
  <c r="DD26" i="14824"/>
  <c r="DC26" i="14824"/>
  <c r="DB26" i="14824"/>
  <c r="DA26" i="14824"/>
  <c r="A26" i="14824"/>
  <c r="ES25" i="14824"/>
  <c r="ER25" i="14824"/>
  <c r="EQ25" i="14824"/>
  <c r="EP25" i="14824"/>
  <c r="EO25" i="14824"/>
  <c r="EN25" i="14824"/>
  <c r="EM25" i="14824"/>
  <c r="EL25" i="14824"/>
  <c r="EK25" i="14824"/>
  <c r="EJ25" i="14824"/>
  <c r="EI25" i="14824"/>
  <c r="EH25" i="14824"/>
  <c r="EG25" i="14824"/>
  <c r="EF25" i="14824"/>
  <c r="EE25" i="14824"/>
  <c r="ED25" i="14824"/>
  <c r="EC25" i="14824"/>
  <c r="EB25" i="14824"/>
  <c r="EA25" i="14824"/>
  <c r="DZ25" i="14824"/>
  <c r="DY25" i="14824"/>
  <c r="DX25" i="14824"/>
  <c r="DW25" i="14824"/>
  <c r="DV25" i="14824"/>
  <c r="DU25" i="14824"/>
  <c r="DT25" i="14824"/>
  <c r="DS25" i="14824"/>
  <c r="DR25" i="14824"/>
  <c r="DQ25" i="14824"/>
  <c r="DP25" i="14824"/>
  <c r="DO25" i="14824"/>
  <c r="DN25" i="14824"/>
  <c r="DM25" i="14824"/>
  <c r="DL25" i="14824"/>
  <c r="DK25" i="14824"/>
  <c r="DJ25" i="14824"/>
  <c r="DI25" i="14824"/>
  <c r="DH25" i="14824"/>
  <c r="DG25" i="14824"/>
  <c r="DF25" i="14824"/>
  <c r="DE25" i="14824"/>
  <c r="DD25" i="14824"/>
  <c r="DC25" i="14824"/>
  <c r="DB25" i="14824"/>
  <c r="DA25" i="14824"/>
  <c r="A25" i="14824"/>
  <c r="ES24" i="14824"/>
  <c r="ER24" i="14824"/>
  <c r="EQ24" i="14824"/>
  <c r="EP24" i="14824"/>
  <c r="EO24" i="14824"/>
  <c r="EN24" i="14824"/>
  <c r="EM24" i="14824"/>
  <c r="EL24" i="14824"/>
  <c r="EK24" i="14824"/>
  <c r="EJ24" i="14824"/>
  <c r="EI24" i="14824"/>
  <c r="EH24" i="14824"/>
  <c r="EG24" i="14824"/>
  <c r="EF24" i="14824"/>
  <c r="EE24" i="14824"/>
  <c r="ED24" i="14824"/>
  <c r="EC24" i="14824"/>
  <c r="EB24" i="14824"/>
  <c r="EA24" i="14824"/>
  <c r="DZ24" i="14824"/>
  <c r="DY24" i="14824"/>
  <c r="DX24" i="14824"/>
  <c r="DW24" i="14824"/>
  <c r="DV24" i="14824"/>
  <c r="DU24" i="14824"/>
  <c r="DT24" i="14824"/>
  <c r="DS24" i="14824"/>
  <c r="DR24" i="14824"/>
  <c r="DQ24" i="14824"/>
  <c r="DP24" i="14824"/>
  <c r="DO24" i="14824"/>
  <c r="DN24" i="14824"/>
  <c r="DM24" i="14824"/>
  <c r="DL24" i="14824"/>
  <c r="DK24" i="14824"/>
  <c r="DJ24" i="14824"/>
  <c r="DI24" i="14824"/>
  <c r="DH24" i="14824"/>
  <c r="DG24" i="14824"/>
  <c r="DF24" i="14824"/>
  <c r="DE24" i="14824"/>
  <c r="DD24" i="14824"/>
  <c r="DC24" i="14824"/>
  <c r="DB24" i="14824"/>
  <c r="DA24" i="14824"/>
  <c r="A24" i="14824"/>
  <c r="ES23" i="14824"/>
  <c r="ER23" i="14824"/>
  <c r="EQ23" i="14824"/>
  <c r="EP23" i="14824"/>
  <c r="EO23" i="14824"/>
  <c r="EN23" i="14824"/>
  <c r="EM23" i="14824"/>
  <c r="EL23" i="14824"/>
  <c r="EK23" i="14824"/>
  <c r="EJ23" i="14824"/>
  <c r="EI23" i="14824"/>
  <c r="EH23" i="14824"/>
  <c r="EG23" i="14824"/>
  <c r="EF23" i="14824"/>
  <c r="EE23" i="14824"/>
  <c r="ED23" i="14824"/>
  <c r="EC23" i="14824"/>
  <c r="EB23" i="14824"/>
  <c r="EA23" i="14824"/>
  <c r="DZ23" i="14824"/>
  <c r="DY23" i="14824"/>
  <c r="DX23" i="14824"/>
  <c r="DW23" i="14824"/>
  <c r="DV23" i="14824"/>
  <c r="DU23" i="14824"/>
  <c r="DT23" i="14824"/>
  <c r="DS23" i="14824"/>
  <c r="DR23" i="14824"/>
  <c r="DQ23" i="14824"/>
  <c r="DP23" i="14824"/>
  <c r="DO23" i="14824"/>
  <c r="DN23" i="14824"/>
  <c r="DM23" i="14824"/>
  <c r="DL23" i="14824"/>
  <c r="DK23" i="14824"/>
  <c r="DJ23" i="14824"/>
  <c r="DI23" i="14824"/>
  <c r="DH23" i="14824"/>
  <c r="DG23" i="14824"/>
  <c r="DF23" i="14824"/>
  <c r="DE23" i="14824"/>
  <c r="DD23" i="14824"/>
  <c r="DC23" i="14824"/>
  <c r="DB23" i="14824"/>
  <c r="DA23" i="14824"/>
  <c r="A23" i="14824"/>
  <c r="ES22" i="14824"/>
  <c r="ER22" i="14824"/>
  <c r="EQ22" i="14824"/>
  <c r="EP22" i="14824"/>
  <c r="EO22" i="14824"/>
  <c r="EN22" i="14824"/>
  <c r="EM22" i="14824"/>
  <c r="EL22" i="14824"/>
  <c r="EK22" i="14824"/>
  <c r="EJ22" i="14824"/>
  <c r="EI22" i="14824"/>
  <c r="EH22" i="14824"/>
  <c r="EG22" i="14824"/>
  <c r="EF22" i="14824"/>
  <c r="EE22" i="14824"/>
  <c r="ED22" i="14824"/>
  <c r="EC22" i="14824"/>
  <c r="EB22" i="14824"/>
  <c r="EA22" i="14824"/>
  <c r="DZ22" i="14824"/>
  <c r="DY22" i="14824"/>
  <c r="DX22" i="14824"/>
  <c r="DW22" i="14824"/>
  <c r="DV22" i="14824"/>
  <c r="DU22" i="14824"/>
  <c r="DT22" i="14824"/>
  <c r="DS22" i="14824"/>
  <c r="DR22" i="14824"/>
  <c r="DQ22" i="14824"/>
  <c r="DP22" i="14824"/>
  <c r="DO22" i="14824"/>
  <c r="DN22" i="14824"/>
  <c r="DM22" i="14824"/>
  <c r="DL22" i="14824"/>
  <c r="DK22" i="14824"/>
  <c r="DJ22" i="14824"/>
  <c r="DI22" i="14824"/>
  <c r="DH22" i="14824"/>
  <c r="DG22" i="14824"/>
  <c r="DF22" i="14824"/>
  <c r="DE22" i="14824"/>
  <c r="DD22" i="14824"/>
  <c r="DC22" i="14824"/>
  <c r="DB22" i="14824"/>
  <c r="DA22" i="14824"/>
  <c r="A22" i="14824"/>
  <c r="ES21" i="14824"/>
  <c r="ER21" i="14824"/>
  <c r="EQ21" i="14824"/>
  <c r="EP21" i="14824"/>
  <c r="EO21" i="14824"/>
  <c r="EN21" i="14824"/>
  <c r="EM21" i="14824"/>
  <c r="EL21" i="14824"/>
  <c r="EK21" i="14824"/>
  <c r="EJ21" i="14824"/>
  <c r="EI21" i="14824"/>
  <c r="EH21" i="14824"/>
  <c r="EG21" i="14824"/>
  <c r="EF21" i="14824"/>
  <c r="EE21" i="14824"/>
  <c r="ED21" i="14824"/>
  <c r="EC21" i="14824"/>
  <c r="EB21" i="14824"/>
  <c r="EA21" i="14824"/>
  <c r="DZ21" i="14824"/>
  <c r="DY21" i="14824"/>
  <c r="DX21" i="14824"/>
  <c r="DW21" i="14824"/>
  <c r="DV21" i="14824"/>
  <c r="DU21" i="14824"/>
  <c r="DT21" i="14824"/>
  <c r="DS21" i="14824"/>
  <c r="DR21" i="14824"/>
  <c r="DQ21" i="14824"/>
  <c r="DP21" i="14824"/>
  <c r="DO21" i="14824"/>
  <c r="DN21" i="14824"/>
  <c r="DM21" i="14824"/>
  <c r="DL21" i="14824"/>
  <c r="DK21" i="14824"/>
  <c r="DJ21" i="14824"/>
  <c r="DI21" i="14824"/>
  <c r="DH21" i="14824"/>
  <c r="DG21" i="14824"/>
  <c r="DF21" i="14824"/>
  <c r="DE21" i="14824"/>
  <c r="DD21" i="14824"/>
  <c r="DC21" i="14824"/>
  <c r="DB21" i="14824"/>
  <c r="DA21" i="14824"/>
  <c r="A21" i="14824"/>
  <c r="ES20" i="14824"/>
  <c r="ER20" i="14824"/>
  <c r="EQ20" i="14824"/>
  <c r="EP20" i="14824"/>
  <c r="EO20" i="14824"/>
  <c r="EN20" i="14824"/>
  <c r="EM20" i="14824"/>
  <c r="EL20" i="14824"/>
  <c r="EK20" i="14824"/>
  <c r="EJ20" i="14824"/>
  <c r="EI20" i="14824"/>
  <c r="EH20" i="14824"/>
  <c r="EG20" i="14824"/>
  <c r="EF20" i="14824"/>
  <c r="EE20" i="14824"/>
  <c r="ED20" i="14824"/>
  <c r="EC20" i="14824"/>
  <c r="EB20" i="14824"/>
  <c r="EA20" i="14824"/>
  <c r="DZ20" i="14824"/>
  <c r="DY20" i="14824"/>
  <c r="DX20" i="14824"/>
  <c r="DW20" i="14824"/>
  <c r="DV20" i="14824"/>
  <c r="DU20" i="14824"/>
  <c r="DT20" i="14824"/>
  <c r="DS20" i="14824"/>
  <c r="DR20" i="14824"/>
  <c r="DQ20" i="14824"/>
  <c r="DP20" i="14824"/>
  <c r="DO20" i="14824"/>
  <c r="DN20" i="14824"/>
  <c r="DM20" i="14824"/>
  <c r="DL20" i="14824"/>
  <c r="DK20" i="14824"/>
  <c r="DJ20" i="14824"/>
  <c r="DI20" i="14824"/>
  <c r="DH20" i="14824"/>
  <c r="DG20" i="14824"/>
  <c r="DF20" i="14824"/>
  <c r="DE20" i="14824"/>
  <c r="DD20" i="14824"/>
  <c r="DC20" i="14824"/>
  <c r="DB20" i="14824"/>
  <c r="DA20" i="14824"/>
  <c r="A20" i="14824"/>
  <c r="ES19" i="14824"/>
  <c r="ER19" i="14824"/>
  <c r="EQ19" i="14824"/>
  <c r="EP19" i="14824"/>
  <c r="EO19" i="14824"/>
  <c r="EN19" i="14824"/>
  <c r="EM19" i="14824"/>
  <c r="EL19" i="14824"/>
  <c r="EK19" i="14824"/>
  <c r="EJ19" i="14824"/>
  <c r="EI19" i="14824"/>
  <c r="EH19" i="14824"/>
  <c r="EG19" i="14824"/>
  <c r="EF19" i="14824"/>
  <c r="EE19" i="14824"/>
  <c r="ED19" i="14824"/>
  <c r="EC19" i="14824"/>
  <c r="EB19" i="14824"/>
  <c r="EA19" i="14824"/>
  <c r="DZ19" i="14824"/>
  <c r="DY19" i="14824"/>
  <c r="DX19" i="14824"/>
  <c r="DW19" i="14824"/>
  <c r="DV19" i="14824"/>
  <c r="DU19" i="14824"/>
  <c r="DT19" i="14824"/>
  <c r="DS19" i="14824"/>
  <c r="DR19" i="14824"/>
  <c r="DQ19" i="14824"/>
  <c r="DP19" i="14824"/>
  <c r="DO19" i="14824"/>
  <c r="DN19" i="14824"/>
  <c r="DM19" i="14824"/>
  <c r="DL19" i="14824"/>
  <c r="DK19" i="14824"/>
  <c r="DJ19" i="14824"/>
  <c r="DI19" i="14824"/>
  <c r="DH19" i="14824"/>
  <c r="DG19" i="14824"/>
  <c r="DF19" i="14824"/>
  <c r="DE19" i="14824"/>
  <c r="DD19" i="14824"/>
  <c r="DC19" i="14824"/>
  <c r="DB19" i="14824"/>
  <c r="DA19" i="14824"/>
  <c r="A19" i="14824"/>
  <c r="ES18" i="14824"/>
  <c r="ER18" i="14824"/>
  <c r="EQ18" i="14824"/>
  <c r="EP18" i="14824"/>
  <c r="EO18" i="14824"/>
  <c r="EN18" i="14824"/>
  <c r="EM18" i="14824"/>
  <c r="EL18" i="14824"/>
  <c r="EK18" i="14824"/>
  <c r="EJ18" i="14824"/>
  <c r="EI18" i="14824"/>
  <c r="EH18" i="14824"/>
  <c r="EG18" i="14824"/>
  <c r="EF18" i="14824"/>
  <c r="EE18" i="14824"/>
  <c r="ED18" i="14824"/>
  <c r="EC18" i="14824"/>
  <c r="EB18" i="14824"/>
  <c r="EA18" i="14824"/>
  <c r="DZ18" i="14824"/>
  <c r="DY18" i="14824"/>
  <c r="DX18" i="14824"/>
  <c r="DW18" i="14824"/>
  <c r="DV18" i="14824"/>
  <c r="DU18" i="14824"/>
  <c r="DT18" i="14824"/>
  <c r="DS18" i="14824"/>
  <c r="DR18" i="14824"/>
  <c r="DQ18" i="14824"/>
  <c r="DP18" i="14824"/>
  <c r="DO18" i="14824"/>
  <c r="DN18" i="14824"/>
  <c r="DM18" i="14824"/>
  <c r="DL18" i="14824"/>
  <c r="DK18" i="14824"/>
  <c r="DJ18" i="14824"/>
  <c r="DI18" i="14824"/>
  <c r="DH18" i="14824"/>
  <c r="DG18" i="14824"/>
  <c r="DF18" i="14824"/>
  <c r="DE18" i="14824"/>
  <c r="DD18" i="14824"/>
  <c r="DC18" i="14824"/>
  <c r="DB18" i="14824"/>
  <c r="DA18" i="14824"/>
  <c r="A18" i="14824"/>
  <c r="ES17" i="14824"/>
  <c r="ER17" i="14824"/>
  <c r="EQ17" i="14824"/>
  <c r="EP17" i="14824"/>
  <c r="EO17" i="14824"/>
  <c r="EN17" i="14824"/>
  <c r="EM17" i="14824"/>
  <c r="EL17" i="14824"/>
  <c r="EK17" i="14824"/>
  <c r="EJ17" i="14824"/>
  <c r="EI17" i="14824"/>
  <c r="EH17" i="14824"/>
  <c r="EG17" i="14824"/>
  <c r="EF17" i="14824"/>
  <c r="EE17" i="14824"/>
  <c r="ED17" i="14824"/>
  <c r="EC17" i="14824"/>
  <c r="EB17" i="14824"/>
  <c r="EA17" i="14824"/>
  <c r="DZ17" i="14824"/>
  <c r="DY17" i="14824"/>
  <c r="DX17" i="14824"/>
  <c r="DW17" i="14824"/>
  <c r="DV17" i="14824"/>
  <c r="DU17" i="14824"/>
  <c r="DT17" i="14824"/>
  <c r="DS17" i="14824"/>
  <c r="DR17" i="14824"/>
  <c r="DQ17" i="14824"/>
  <c r="DP17" i="14824"/>
  <c r="DO17" i="14824"/>
  <c r="DN17" i="14824"/>
  <c r="DM17" i="14824"/>
  <c r="DL17" i="14824"/>
  <c r="DK17" i="14824"/>
  <c r="DJ17" i="14824"/>
  <c r="DI17" i="14824"/>
  <c r="DH17" i="14824"/>
  <c r="DG17" i="14824"/>
  <c r="DF17" i="14824"/>
  <c r="DE17" i="14824"/>
  <c r="DD17" i="14824"/>
  <c r="DC17" i="14824"/>
  <c r="DB17" i="14824"/>
  <c r="DA17" i="14824"/>
  <c r="A17" i="14824"/>
  <c r="ES16" i="14824"/>
  <c r="ER16" i="14824"/>
  <c r="EQ16" i="14824"/>
  <c r="EP16" i="14824"/>
  <c r="EO16" i="14824"/>
  <c r="EN16" i="14824"/>
  <c r="EM16" i="14824"/>
  <c r="EL16" i="14824"/>
  <c r="EK16" i="14824"/>
  <c r="EJ16" i="14824"/>
  <c r="EI16" i="14824"/>
  <c r="EH16" i="14824"/>
  <c r="EG16" i="14824"/>
  <c r="EF16" i="14824"/>
  <c r="EE16" i="14824"/>
  <c r="ED16" i="14824"/>
  <c r="EC16" i="14824"/>
  <c r="EB16" i="14824"/>
  <c r="EA16" i="14824"/>
  <c r="DZ16" i="14824"/>
  <c r="DY16" i="14824"/>
  <c r="DX16" i="14824"/>
  <c r="DW16" i="14824"/>
  <c r="DV16" i="14824"/>
  <c r="DU16" i="14824"/>
  <c r="DT16" i="14824"/>
  <c r="DS16" i="14824"/>
  <c r="DR16" i="14824"/>
  <c r="DQ16" i="14824"/>
  <c r="DP16" i="14824"/>
  <c r="DO16" i="14824"/>
  <c r="DN16" i="14824"/>
  <c r="DM16" i="14824"/>
  <c r="DL16" i="14824"/>
  <c r="DK16" i="14824"/>
  <c r="DJ16" i="14824"/>
  <c r="DI16" i="14824"/>
  <c r="DH16" i="14824"/>
  <c r="DG16" i="14824"/>
  <c r="DF16" i="14824"/>
  <c r="DE16" i="14824"/>
  <c r="DD16" i="14824"/>
  <c r="DC16" i="14824"/>
  <c r="DB16" i="14824"/>
  <c r="DA16" i="14824"/>
  <c r="A16" i="14824"/>
  <c r="ES15" i="14824"/>
  <c r="ER15" i="14824"/>
  <c r="EQ15" i="14824"/>
  <c r="EP15" i="14824"/>
  <c r="EO15" i="14824"/>
  <c r="EN15" i="14824"/>
  <c r="EM15" i="14824"/>
  <c r="EL15" i="14824"/>
  <c r="EK15" i="14824"/>
  <c r="EJ15" i="14824"/>
  <c r="EI15" i="14824"/>
  <c r="EH15" i="14824"/>
  <c r="EG15" i="14824"/>
  <c r="EF15" i="14824"/>
  <c r="EE15" i="14824"/>
  <c r="ED15" i="14824"/>
  <c r="EC15" i="14824"/>
  <c r="EB15" i="14824"/>
  <c r="EA15" i="14824"/>
  <c r="DZ15" i="14824"/>
  <c r="DY15" i="14824"/>
  <c r="DX15" i="14824"/>
  <c r="DW15" i="14824"/>
  <c r="DV15" i="14824"/>
  <c r="DU15" i="14824"/>
  <c r="DT15" i="14824"/>
  <c r="DS15" i="14824"/>
  <c r="DR15" i="14824"/>
  <c r="DQ15" i="14824"/>
  <c r="DP15" i="14824"/>
  <c r="DO15" i="14824"/>
  <c r="DN15" i="14824"/>
  <c r="DM15" i="14824"/>
  <c r="DL15" i="14824"/>
  <c r="DK15" i="14824"/>
  <c r="DJ15" i="14824"/>
  <c r="DI15" i="14824"/>
  <c r="DH15" i="14824"/>
  <c r="DG15" i="14824"/>
  <c r="DF15" i="14824"/>
  <c r="DE15" i="14824"/>
  <c r="DD15" i="14824"/>
  <c r="DC15" i="14824"/>
  <c r="DB15" i="14824"/>
  <c r="DA15" i="14824"/>
  <c r="A15" i="14824"/>
  <c r="ES14" i="14824"/>
  <c r="ER14" i="14824"/>
  <c r="EQ14" i="14824"/>
  <c r="EP14" i="14824"/>
  <c r="EO14" i="14824"/>
  <c r="EN14" i="14824"/>
  <c r="EM14" i="14824"/>
  <c r="EL14" i="14824"/>
  <c r="EK14" i="14824"/>
  <c r="EJ14" i="14824"/>
  <c r="EI14" i="14824"/>
  <c r="EH14" i="14824"/>
  <c r="EG14" i="14824"/>
  <c r="EF14" i="14824"/>
  <c r="EE14" i="14824"/>
  <c r="ED14" i="14824"/>
  <c r="EC14" i="14824"/>
  <c r="EB14" i="14824"/>
  <c r="EA14" i="14824"/>
  <c r="DZ14" i="14824"/>
  <c r="DY14" i="14824"/>
  <c r="DX14" i="14824"/>
  <c r="DW14" i="14824"/>
  <c r="DV14" i="14824"/>
  <c r="DU14" i="14824"/>
  <c r="DT14" i="14824"/>
  <c r="DS14" i="14824"/>
  <c r="DR14" i="14824"/>
  <c r="DQ14" i="14824"/>
  <c r="DP14" i="14824"/>
  <c r="DO14" i="14824"/>
  <c r="DN14" i="14824"/>
  <c r="DM14" i="14824"/>
  <c r="DL14" i="14824"/>
  <c r="DK14" i="14824"/>
  <c r="DJ14" i="14824"/>
  <c r="DI14" i="14824"/>
  <c r="DH14" i="14824"/>
  <c r="DG14" i="14824"/>
  <c r="DF14" i="14824"/>
  <c r="DE14" i="14824"/>
  <c r="DD14" i="14824"/>
  <c r="DC14" i="14824"/>
  <c r="DB14" i="14824"/>
  <c r="DA14" i="14824"/>
  <c r="A14" i="14824"/>
  <c r="ES13" i="14824"/>
  <c r="ER13" i="14824"/>
  <c r="EQ13" i="14824"/>
  <c r="EP13" i="14824"/>
  <c r="EO13" i="14824"/>
  <c r="EN13" i="14824"/>
  <c r="EM13" i="14824"/>
  <c r="EL13" i="14824"/>
  <c r="EK13" i="14824"/>
  <c r="EJ13" i="14824"/>
  <c r="EI13" i="14824"/>
  <c r="EH13" i="14824"/>
  <c r="EG13" i="14824"/>
  <c r="EF13" i="14824"/>
  <c r="EE13" i="14824"/>
  <c r="ED13" i="14824"/>
  <c r="EC13" i="14824"/>
  <c r="EB13" i="14824"/>
  <c r="EA13" i="14824"/>
  <c r="DZ13" i="14824"/>
  <c r="DY13" i="14824"/>
  <c r="DX13" i="14824"/>
  <c r="DW13" i="14824"/>
  <c r="DV13" i="14824"/>
  <c r="DU13" i="14824"/>
  <c r="DT13" i="14824"/>
  <c r="DS13" i="14824"/>
  <c r="DR13" i="14824"/>
  <c r="DQ13" i="14824"/>
  <c r="DP13" i="14824"/>
  <c r="DO13" i="14824"/>
  <c r="DN13" i="14824"/>
  <c r="DM13" i="14824"/>
  <c r="DL13" i="14824"/>
  <c r="DK13" i="14824"/>
  <c r="DJ13" i="14824"/>
  <c r="DI13" i="14824"/>
  <c r="DH13" i="14824"/>
  <c r="DG13" i="14824"/>
  <c r="DF13" i="14824"/>
  <c r="DE13" i="14824"/>
  <c r="DD13" i="14824"/>
  <c r="DC13" i="14824"/>
  <c r="DB13" i="14824"/>
  <c r="DA13" i="14824"/>
  <c r="A13" i="14824"/>
  <c r="ES12" i="14824"/>
  <c r="ER12" i="14824"/>
  <c r="EQ12" i="14824"/>
  <c r="EP12" i="14824"/>
  <c r="EO12" i="14824"/>
  <c r="EN12" i="14824"/>
  <c r="EM12" i="14824"/>
  <c r="EL12" i="14824"/>
  <c r="EK12" i="14824"/>
  <c r="EJ12" i="14824"/>
  <c r="EI12" i="14824"/>
  <c r="EH12" i="14824"/>
  <c r="EG12" i="14824"/>
  <c r="EF12" i="14824"/>
  <c r="EE12" i="14824"/>
  <c r="ED12" i="14824"/>
  <c r="EC12" i="14824"/>
  <c r="EB12" i="14824"/>
  <c r="EA12" i="14824"/>
  <c r="DZ12" i="14824"/>
  <c r="DY12" i="14824"/>
  <c r="DX12" i="14824"/>
  <c r="DW12" i="14824"/>
  <c r="DV12" i="14824"/>
  <c r="DU12" i="14824"/>
  <c r="DT12" i="14824"/>
  <c r="DS12" i="14824"/>
  <c r="DR12" i="14824"/>
  <c r="DQ12" i="14824"/>
  <c r="DP12" i="14824"/>
  <c r="DO12" i="14824"/>
  <c r="DN12" i="14824"/>
  <c r="DM12" i="14824"/>
  <c r="DL12" i="14824"/>
  <c r="DK12" i="14824"/>
  <c r="DJ12" i="14824"/>
  <c r="DI12" i="14824"/>
  <c r="DH12" i="14824"/>
  <c r="DG12" i="14824"/>
  <c r="DF12" i="14824"/>
  <c r="DE12" i="14824"/>
  <c r="DD12" i="14824"/>
  <c r="DC12" i="14824"/>
  <c r="DB12" i="14824"/>
  <c r="DA12" i="14824"/>
  <c r="A12" i="14824"/>
  <c r="ES11" i="14824"/>
  <c r="ER11" i="14824"/>
  <c r="EQ11" i="14824"/>
  <c r="EP11" i="14824"/>
  <c r="EO11" i="14824"/>
  <c r="EN11" i="14824"/>
  <c r="EM11" i="14824"/>
  <c r="EL11" i="14824"/>
  <c r="EK11" i="14824"/>
  <c r="EJ11" i="14824"/>
  <c r="EI11" i="14824"/>
  <c r="EH11" i="14824"/>
  <c r="EG11" i="14824"/>
  <c r="EF11" i="14824"/>
  <c r="EE11" i="14824"/>
  <c r="ED11" i="14824"/>
  <c r="EC11" i="14824"/>
  <c r="EB11" i="14824"/>
  <c r="EA11" i="14824"/>
  <c r="DZ11" i="14824"/>
  <c r="DY11" i="14824"/>
  <c r="DX11" i="14824"/>
  <c r="DW11" i="14824"/>
  <c r="DV11" i="14824"/>
  <c r="DU11" i="14824"/>
  <c r="DT11" i="14824"/>
  <c r="DS11" i="14824"/>
  <c r="DR11" i="14824"/>
  <c r="DQ11" i="14824"/>
  <c r="DP11" i="14824"/>
  <c r="DO11" i="14824"/>
  <c r="DN11" i="14824"/>
  <c r="DM11" i="14824"/>
  <c r="DL11" i="14824"/>
  <c r="DK11" i="14824"/>
  <c r="DJ11" i="14824"/>
  <c r="DI11" i="14824"/>
  <c r="DH11" i="14824"/>
  <c r="DG11" i="14824"/>
  <c r="DF11" i="14824"/>
  <c r="DE11" i="14824"/>
  <c r="DD11" i="14824"/>
  <c r="DC11" i="14824"/>
  <c r="DB11" i="14824"/>
  <c r="DA11" i="14824"/>
  <c r="A11" i="14824"/>
  <c r="ES10" i="14824"/>
  <c r="ER10" i="14824"/>
  <c r="EQ10" i="14824"/>
  <c r="EP10" i="14824"/>
  <c r="EO10" i="14824"/>
  <c r="EN10" i="14824"/>
  <c r="EM10" i="14824"/>
  <c r="EL10" i="14824"/>
  <c r="EK10" i="14824"/>
  <c r="EJ10" i="14824"/>
  <c r="EI10" i="14824"/>
  <c r="EH10" i="14824"/>
  <c r="EG10" i="14824"/>
  <c r="EF10" i="14824"/>
  <c r="EE10" i="14824"/>
  <c r="ED10" i="14824"/>
  <c r="EC10" i="14824"/>
  <c r="EB10" i="14824"/>
  <c r="EA10" i="14824"/>
  <c r="DZ10" i="14824"/>
  <c r="DY10" i="14824"/>
  <c r="DX10" i="14824"/>
  <c r="DW10" i="14824"/>
  <c r="DV10" i="14824"/>
  <c r="DU10" i="14824"/>
  <c r="DT10" i="14824"/>
  <c r="DS10" i="14824"/>
  <c r="DR10" i="14824"/>
  <c r="DQ10" i="14824"/>
  <c r="DP10" i="14824"/>
  <c r="DO10" i="14824"/>
  <c r="DN10" i="14824"/>
  <c r="DM10" i="14824"/>
  <c r="DL10" i="14824"/>
  <c r="DK10" i="14824"/>
  <c r="DJ10" i="14824"/>
  <c r="DI10" i="14824"/>
  <c r="DH10" i="14824"/>
  <c r="DG10" i="14824"/>
  <c r="DF10" i="14824"/>
  <c r="DE10" i="14824"/>
  <c r="DD10" i="14824"/>
  <c r="DC10" i="14824"/>
  <c r="DB10" i="14824"/>
  <c r="DA10" i="14824"/>
  <c r="A10" i="14824"/>
  <c r="ES9" i="14824"/>
  <c r="ER9" i="14824"/>
  <c r="EQ9" i="14824"/>
  <c r="EP9" i="14824"/>
  <c r="EO9" i="14824"/>
  <c r="EN9" i="14824"/>
  <c r="EM9" i="14824"/>
  <c r="EL9" i="14824"/>
  <c r="EK9" i="14824"/>
  <c r="EJ9" i="14824"/>
  <c r="EI9" i="14824"/>
  <c r="EH9" i="14824"/>
  <c r="EG9" i="14824"/>
  <c r="EF9" i="14824"/>
  <c r="EE9" i="14824"/>
  <c r="ED9" i="14824"/>
  <c r="EC9" i="14824"/>
  <c r="EB9" i="14824"/>
  <c r="EA9" i="14824"/>
  <c r="DZ9" i="14824"/>
  <c r="DY9" i="14824"/>
  <c r="DX9" i="14824"/>
  <c r="DW9" i="14824"/>
  <c r="DV9" i="14824"/>
  <c r="DU9" i="14824"/>
  <c r="DT9" i="14824"/>
  <c r="DS9" i="14824"/>
  <c r="DR9" i="14824"/>
  <c r="DQ9" i="14824"/>
  <c r="DP9" i="14824"/>
  <c r="DO9" i="14824"/>
  <c r="DN9" i="14824"/>
  <c r="DM9" i="14824"/>
  <c r="DL9" i="14824"/>
  <c r="DK9" i="14824"/>
  <c r="DJ9" i="14824"/>
  <c r="DI9" i="14824"/>
  <c r="DH9" i="14824"/>
  <c r="DG9" i="14824"/>
  <c r="DF9" i="14824"/>
  <c r="DE9" i="14824"/>
  <c r="DD9" i="14824"/>
  <c r="DC9" i="14824"/>
  <c r="DB9" i="14824"/>
  <c r="DA9" i="14824"/>
  <c r="A9" i="14824"/>
  <c r="ES8" i="14824"/>
  <c r="ER8" i="14824"/>
  <c r="EQ8" i="14824"/>
  <c r="EP8" i="14824"/>
  <c r="EO8" i="14824"/>
  <c r="EN8" i="14824"/>
  <c r="EM8" i="14824"/>
  <c r="EL8" i="14824"/>
  <c r="EK8" i="14824"/>
  <c r="EJ8" i="14824"/>
  <c r="EI8" i="14824"/>
  <c r="EH8" i="14824"/>
  <c r="EG8" i="14824"/>
  <c r="EF8" i="14824"/>
  <c r="EE8" i="14824"/>
  <c r="ED8" i="14824"/>
  <c r="EC8" i="14824"/>
  <c r="EB8" i="14824"/>
  <c r="EA8" i="14824"/>
  <c r="DZ8" i="14824"/>
  <c r="DY8" i="14824"/>
  <c r="DX8" i="14824"/>
  <c r="DW8" i="14824"/>
  <c r="DV8" i="14824"/>
  <c r="DU8" i="14824"/>
  <c r="DT8" i="14824"/>
  <c r="DS8" i="14824"/>
  <c r="DR8" i="14824"/>
  <c r="DQ8" i="14824"/>
  <c r="DP8" i="14824"/>
  <c r="DO8" i="14824"/>
  <c r="DN8" i="14824"/>
  <c r="DM8" i="14824"/>
  <c r="DL8" i="14824"/>
  <c r="DK8" i="14824"/>
  <c r="DJ8" i="14824"/>
  <c r="DI8" i="14824"/>
  <c r="DH8" i="14824"/>
  <c r="DG8" i="14824"/>
  <c r="DF8" i="14824"/>
  <c r="DE8" i="14824"/>
  <c r="DD8" i="14824"/>
  <c r="DC8" i="14824"/>
  <c r="DB8" i="14824"/>
  <c r="DA8" i="14824"/>
  <c r="A8" i="14824"/>
  <c r="ES7" i="14824"/>
  <c r="ER7" i="14824"/>
  <c r="EQ7" i="14824"/>
  <c r="EP7" i="14824"/>
  <c r="EO7" i="14824"/>
  <c r="EN7" i="14824"/>
  <c r="EM7" i="14824"/>
  <c r="EL7" i="14824"/>
  <c r="EK7" i="14824"/>
  <c r="EJ7" i="14824"/>
  <c r="EI7" i="14824"/>
  <c r="EH7" i="14824"/>
  <c r="EG7" i="14824"/>
  <c r="EF7" i="14824"/>
  <c r="EE7" i="14824"/>
  <c r="ED7" i="14824"/>
  <c r="EC7" i="14824"/>
  <c r="EB7" i="14824"/>
  <c r="EA7" i="14824"/>
  <c r="DZ7" i="14824"/>
  <c r="DY7" i="14824"/>
  <c r="DX7" i="14824"/>
  <c r="DW7" i="14824"/>
  <c r="DV7" i="14824"/>
  <c r="DU7" i="14824"/>
  <c r="DT7" i="14824"/>
  <c r="DS7" i="14824"/>
  <c r="DR7" i="14824"/>
  <c r="DQ7" i="14824"/>
  <c r="DP7" i="14824"/>
  <c r="DO7" i="14824"/>
  <c r="DN7" i="14824"/>
  <c r="DM7" i="14824"/>
  <c r="DL7" i="14824"/>
  <c r="DK7" i="14824"/>
  <c r="DJ7" i="14824"/>
  <c r="DI7" i="14824"/>
  <c r="DH7" i="14824"/>
  <c r="DG7" i="14824"/>
  <c r="DF7" i="14824"/>
  <c r="DE7" i="14824"/>
  <c r="DD7" i="14824"/>
  <c r="DC7" i="14824"/>
  <c r="DB7" i="14824"/>
  <c r="DA7" i="14824"/>
  <c r="A7" i="14824"/>
  <c r="ES6" i="14824"/>
  <c r="ER6" i="14824"/>
  <c r="EQ6" i="14824"/>
  <c r="EP6" i="14824"/>
  <c r="EO6" i="14824"/>
  <c r="EN6" i="14824"/>
  <c r="EM6" i="14824"/>
  <c r="EL6" i="14824"/>
  <c r="EK6" i="14824"/>
  <c r="EJ6" i="14824"/>
  <c r="EI6" i="14824"/>
  <c r="EH6" i="14824"/>
  <c r="EG6" i="14824"/>
  <c r="EF6" i="14824"/>
  <c r="EE6" i="14824"/>
  <c r="ED6" i="14824"/>
  <c r="EC6" i="14824"/>
  <c r="EB6" i="14824"/>
  <c r="EA6" i="14824"/>
  <c r="DZ6" i="14824"/>
  <c r="DY6" i="14824"/>
  <c r="DX6" i="14824"/>
  <c r="DW6" i="14824"/>
  <c r="DV6" i="14824"/>
  <c r="DU6" i="14824"/>
  <c r="DT6" i="14824"/>
  <c r="DS6" i="14824"/>
  <c r="DR6" i="14824"/>
  <c r="DQ6" i="14824"/>
  <c r="DP6" i="14824"/>
  <c r="DO6" i="14824"/>
  <c r="DN6" i="14824"/>
  <c r="DM6" i="14824"/>
  <c r="DL6" i="14824"/>
  <c r="DK6" i="14824"/>
  <c r="DJ6" i="14824"/>
  <c r="DI6" i="14824"/>
  <c r="DH6" i="14824"/>
  <c r="DG6" i="14824"/>
  <c r="DF6" i="14824"/>
  <c r="DE6" i="14824"/>
  <c r="DD6" i="14824"/>
  <c r="DC6" i="14824"/>
  <c r="DB6" i="14824"/>
  <c r="DA6" i="14824"/>
  <c r="A6" i="14824"/>
  <c r="EV50" i="14815"/>
  <c r="EU50" i="14815"/>
  <c r="ET50" i="14815"/>
  <c r="ES50" i="14815"/>
  <c r="ER50" i="14815"/>
  <c r="EQ50" i="14815"/>
  <c r="EP50" i="14815"/>
  <c r="EO50" i="14815"/>
  <c r="EN50" i="14815"/>
  <c r="EM50" i="14815"/>
  <c r="EL50" i="14815"/>
  <c r="EK50" i="14815"/>
  <c r="EJ50" i="14815"/>
  <c r="EI50" i="14815"/>
  <c r="EH50" i="14815"/>
  <c r="EG50" i="14815"/>
  <c r="EF50" i="14815"/>
  <c r="EE50" i="14815"/>
  <c r="ED50" i="14815"/>
  <c r="EC50" i="14815"/>
  <c r="EB50" i="14815"/>
  <c r="EA50" i="14815"/>
  <c r="DZ50" i="14815"/>
  <c r="DY50" i="14815"/>
  <c r="DX50" i="14815"/>
  <c r="DW50" i="14815"/>
  <c r="DV50" i="14815"/>
  <c r="DU50" i="14815"/>
  <c r="DT50" i="14815"/>
  <c r="DS50" i="14815"/>
  <c r="DR50" i="14815"/>
  <c r="DQ50" i="14815"/>
  <c r="DP50" i="14815"/>
  <c r="DO50" i="14815"/>
  <c r="DN50" i="14815"/>
  <c r="DM50" i="14815"/>
  <c r="DL50" i="14815"/>
  <c r="DK50" i="14815"/>
  <c r="DJ50" i="14815"/>
  <c r="DI50" i="14815"/>
  <c r="DH50" i="14815"/>
  <c r="DG50" i="14815"/>
  <c r="DF50" i="14815"/>
  <c r="DE50" i="14815"/>
  <c r="DD50" i="14815"/>
  <c r="A50" i="14815"/>
  <c r="EV49" i="14815"/>
  <c r="EU49" i="14815"/>
  <c r="ET49" i="14815"/>
  <c r="ES49" i="14815"/>
  <c r="ER49" i="14815"/>
  <c r="EQ49" i="14815"/>
  <c r="EP49" i="14815"/>
  <c r="EO49" i="14815"/>
  <c r="EN49" i="14815"/>
  <c r="EM49" i="14815"/>
  <c r="EL49" i="14815"/>
  <c r="EK49" i="14815"/>
  <c r="EJ49" i="14815"/>
  <c r="EI49" i="14815"/>
  <c r="EH49" i="14815"/>
  <c r="EG49" i="14815"/>
  <c r="EF49" i="14815"/>
  <c r="EE49" i="14815"/>
  <c r="ED49" i="14815"/>
  <c r="EC49" i="14815"/>
  <c r="EB49" i="14815"/>
  <c r="EA49" i="14815"/>
  <c r="DZ49" i="14815"/>
  <c r="DY49" i="14815"/>
  <c r="DX49" i="14815"/>
  <c r="DW49" i="14815"/>
  <c r="DV49" i="14815"/>
  <c r="DU49" i="14815"/>
  <c r="DT49" i="14815"/>
  <c r="DS49" i="14815"/>
  <c r="DR49" i="14815"/>
  <c r="DQ49" i="14815"/>
  <c r="DP49" i="14815"/>
  <c r="DO49" i="14815"/>
  <c r="DN49" i="14815"/>
  <c r="DM49" i="14815"/>
  <c r="DL49" i="14815"/>
  <c r="DK49" i="14815"/>
  <c r="DJ49" i="14815"/>
  <c r="DI49" i="14815"/>
  <c r="DH49" i="14815"/>
  <c r="DG49" i="14815"/>
  <c r="DF49" i="14815"/>
  <c r="DE49" i="14815"/>
  <c r="DD49" i="14815"/>
  <c r="A49" i="14815"/>
  <c r="EV48" i="14815"/>
  <c r="EU48" i="14815"/>
  <c r="ET48" i="14815"/>
  <c r="ES48" i="14815"/>
  <c r="ER48" i="14815"/>
  <c r="EQ48" i="14815"/>
  <c r="EP48" i="14815"/>
  <c r="EO48" i="14815"/>
  <c r="EN48" i="14815"/>
  <c r="EM48" i="14815"/>
  <c r="EL48" i="14815"/>
  <c r="EK48" i="14815"/>
  <c r="EJ48" i="14815"/>
  <c r="EI48" i="14815"/>
  <c r="EH48" i="14815"/>
  <c r="EG48" i="14815"/>
  <c r="EF48" i="14815"/>
  <c r="EE48" i="14815"/>
  <c r="ED48" i="14815"/>
  <c r="EC48" i="14815"/>
  <c r="EB48" i="14815"/>
  <c r="EA48" i="14815"/>
  <c r="DZ48" i="14815"/>
  <c r="DY48" i="14815"/>
  <c r="DX48" i="14815"/>
  <c r="DW48" i="14815"/>
  <c r="DV48" i="14815"/>
  <c r="DU48" i="14815"/>
  <c r="DT48" i="14815"/>
  <c r="DS48" i="14815"/>
  <c r="DR48" i="14815"/>
  <c r="DQ48" i="14815"/>
  <c r="DP48" i="14815"/>
  <c r="DO48" i="14815"/>
  <c r="DN48" i="14815"/>
  <c r="DM48" i="14815"/>
  <c r="DL48" i="14815"/>
  <c r="DK48" i="14815"/>
  <c r="DJ48" i="14815"/>
  <c r="DI48" i="14815"/>
  <c r="DH48" i="14815"/>
  <c r="DG48" i="14815"/>
  <c r="DF48" i="14815"/>
  <c r="DE48" i="14815"/>
  <c r="DD48" i="14815"/>
  <c r="A48" i="14815"/>
  <c r="EV47" i="14815"/>
  <c r="EU47" i="14815"/>
  <c r="ET47" i="14815"/>
  <c r="ES47" i="14815"/>
  <c r="ER47" i="14815"/>
  <c r="EQ47" i="14815"/>
  <c r="EP47" i="14815"/>
  <c r="EO47" i="14815"/>
  <c r="EN47" i="14815"/>
  <c r="EM47" i="14815"/>
  <c r="EL47" i="14815"/>
  <c r="EK47" i="14815"/>
  <c r="EJ47" i="14815"/>
  <c r="EI47" i="14815"/>
  <c r="EH47" i="14815"/>
  <c r="EG47" i="14815"/>
  <c r="EF47" i="14815"/>
  <c r="EE47" i="14815"/>
  <c r="ED47" i="14815"/>
  <c r="EC47" i="14815"/>
  <c r="EB47" i="14815"/>
  <c r="EA47" i="14815"/>
  <c r="DZ47" i="14815"/>
  <c r="DY47" i="14815"/>
  <c r="DX47" i="14815"/>
  <c r="DW47" i="14815"/>
  <c r="DV47" i="14815"/>
  <c r="DU47" i="14815"/>
  <c r="DT47" i="14815"/>
  <c r="DS47" i="14815"/>
  <c r="DR47" i="14815"/>
  <c r="DQ47" i="14815"/>
  <c r="DP47" i="14815"/>
  <c r="DO47" i="14815"/>
  <c r="DN47" i="14815"/>
  <c r="DM47" i="14815"/>
  <c r="DL47" i="14815"/>
  <c r="DK47" i="14815"/>
  <c r="DJ47" i="14815"/>
  <c r="DI47" i="14815"/>
  <c r="DH47" i="14815"/>
  <c r="DG47" i="14815"/>
  <c r="DF47" i="14815"/>
  <c r="DE47" i="14815"/>
  <c r="DD47" i="14815"/>
  <c r="A47" i="14815"/>
  <c r="EV46" i="14815"/>
  <c r="EU46" i="14815"/>
  <c r="ET46" i="14815"/>
  <c r="ES46" i="14815"/>
  <c r="ER46" i="14815"/>
  <c r="EQ46" i="14815"/>
  <c r="EP46" i="14815"/>
  <c r="EO46" i="14815"/>
  <c r="EN46" i="14815"/>
  <c r="EM46" i="14815"/>
  <c r="EL46" i="14815"/>
  <c r="EK46" i="14815"/>
  <c r="EJ46" i="14815"/>
  <c r="EI46" i="14815"/>
  <c r="EH46" i="14815"/>
  <c r="EG46" i="14815"/>
  <c r="EF46" i="14815"/>
  <c r="EE46" i="14815"/>
  <c r="ED46" i="14815"/>
  <c r="EC46" i="14815"/>
  <c r="EB46" i="14815"/>
  <c r="EA46" i="14815"/>
  <c r="DZ46" i="14815"/>
  <c r="DY46" i="14815"/>
  <c r="DX46" i="14815"/>
  <c r="DW46" i="14815"/>
  <c r="DV46" i="14815"/>
  <c r="DU46" i="14815"/>
  <c r="DT46" i="14815"/>
  <c r="DS46" i="14815"/>
  <c r="DR46" i="14815"/>
  <c r="DQ46" i="14815"/>
  <c r="DP46" i="14815"/>
  <c r="DO46" i="14815"/>
  <c r="DN46" i="14815"/>
  <c r="DM46" i="14815"/>
  <c r="DL46" i="14815"/>
  <c r="DK46" i="14815"/>
  <c r="DJ46" i="14815"/>
  <c r="DI46" i="14815"/>
  <c r="DH46" i="14815"/>
  <c r="DG46" i="14815"/>
  <c r="DF46" i="14815"/>
  <c r="DE46" i="14815"/>
  <c r="DD46" i="14815"/>
  <c r="A46" i="14815"/>
  <c r="EV45" i="14815"/>
  <c r="EU45" i="14815"/>
  <c r="ET45" i="14815"/>
  <c r="ES45" i="14815"/>
  <c r="ER45" i="14815"/>
  <c r="EQ45" i="14815"/>
  <c r="EP45" i="14815"/>
  <c r="EO45" i="14815"/>
  <c r="EN45" i="14815"/>
  <c r="EM45" i="14815"/>
  <c r="EL45" i="14815"/>
  <c r="EK45" i="14815"/>
  <c r="EJ45" i="14815"/>
  <c r="EI45" i="14815"/>
  <c r="EH45" i="14815"/>
  <c r="EG45" i="14815"/>
  <c r="EF45" i="14815"/>
  <c r="EE45" i="14815"/>
  <c r="ED45" i="14815"/>
  <c r="EC45" i="14815"/>
  <c r="EB45" i="14815"/>
  <c r="EA45" i="14815"/>
  <c r="DZ45" i="14815"/>
  <c r="DY45" i="14815"/>
  <c r="DX45" i="14815"/>
  <c r="DW45" i="14815"/>
  <c r="DV45" i="14815"/>
  <c r="DU45" i="14815"/>
  <c r="DT45" i="14815"/>
  <c r="DS45" i="14815"/>
  <c r="DR45" i="14815"/>
  <c r="DQ45" i="14815"/>
  <c r="DP45" i="14815"/>
  <c r="DO45" i="14815"/>
  <c r="DN45" i="14815"/>
  <c r="DM45" i="14815"/>
  <c r="DL45" i="14815"/>
  <c r="DK45" i="14815"/>
  <c r="DJ45" i="14815"/>
  <c r="DI45" i="14815"/>
  <c r="DH45" i="14815"/>
  <c r="DG45" i="14815"/>
  <c r="DF45" i="14815"/>
  <c r="DE45" i="14815"/>
  <c r="DD45" i="14815"/>
  <c r="A45" i="14815"/>
  <c r="EV44" i="14815"/>
  <c r="EU44" i="14815"/>
  <c r="ET44" i="14815"/>
  <c r="ES44" i="14815"/>
  <c r="ER44" i="14815"/>
  <c r="EQ44" i="14815"/>
  <c r="EP44" i="14815"/>
  <c r="EO44" i="14815"/>
  <c r="EN44" i="14815"/>
  <c r="EM44" i="14815"/>
  <c r="EL44" i="14815"/>
  <c r="EK44" i="14815"/>
  <c r="EJ44" i="14815"/>
  <c r="EI44" i="14815"/>
  <c r="EH44" i="14815"/>
  <c r="EG44" i="14815"/>
  <c r="EF44" i="14815"/>
  <c r="EE44" i="14815"/>
  <c r="ED44" i="14815"/>
  <c r="EC44" i="14815"/>
  <c r="EB44" i="14815"/>
  <c r="EA44" i="14815"/>
  <c r="DZ44" i="14815"/>
  <c r="DY44" i="14815"/>
  <c r="DX44" i="14815"/>
  <c r="DW44" i="14815"/>
  <c r="DV44" i="14815"/>
  <c r="DU44" i="14815"/>
  <c r="DT44" i="14815"/>
  <c r="DS44" i="14815"/>
  <c r="DR44" i="14815"/>
  <c r="DQ44" i="14815"/>
  <c r="DP44" i="14815"/>
  <c r="DO44" i="14815"/>
  <c r="DN44" i="14815"/>
  <c r="DM44" i="14815"/>
  <c r="DL44" i="14815"/>
  <c r="DK44" i="14815"/>
  <c r="DJ44" i="14815"/>
  <c r="DI44" i="14815"/>
  <c r="DH44" i="14815"/>
  <c r="DG44" i="14815"/>
  <c r="DF44" i="14815"/>
  <c r="DE44" i="14815"/>
  <c r="DD44" i="14815"/>
  <c r="A44" i="14815"/>
  <c r="EV43" i="14815"/>
  <c r="EU43" i="14815"/>
  <c r="ET43" i="14815"/>
  <c r="ES43" i="14815"/>
  <c r="ER43" i="14815"/>
  <c r="EQ43" i="14815"/>
  <c r="EP43" i="14815"/>
  <c r="EO43" i="14815"/>
  <c r="EN43" i="14815"/>
  <c r="EM43" i="14815"/>
  <c r="EL43" i="14815"/>
  <c r="EK43" i="14815"/>
  <c r="EJ43" i="14815"/>
  <c r="EI43" i="14815"/>
  <c r="EH43" i="14815"/>
  <c r="EG43" i="14815"/>
  <c r="EF43" i="14815"/>
  <c r="EE43" i="14815"/>
  <c r="ED43" i="14815"/>
  <c r="EC43" i="14815"/>
  <c r="EB43" i="14815"/>
  <c r="EA43" i="14815"/>
  <c r="DZ43" i="14815"/>
  <c r="DY43" i="14815"/>
  <c r="DX43" i="14815"/>
  <c r="DW43" i="14815"/>
  <c r="DV43" i="14815"/>
  <c r="DU43" i="14815"/>
  <c r="DT43" i="14815"/>
  <c r="DS43" i="14815"/>
  <c r="DR43" i="14815"/>
  <c r="DQ43" i="14815"/>
  <c r="DP43" i="14815"/>
  <c r="DO43" i="14815"/>
  <c r="DN43" i="14815"/>
  <c r="DM43" i="14815"/>
  <c r="DL43" i="14815"/>
  <c r="DK43" i="14815"/>
  <c r="DJ43" i="14815"/>
  <c r="DI43" i="14815"/>
  <c r="DH43" i="14815"/>
  <c r="DG43" i="14815"/>
  <c r="DF43" i="14815"/>
  <c r="DE43" i="14815"/>
  <c r="DD43" i="14815"/>
  <c r="A43" i="14815"/>
  <c r="EV42" i="14815"/>
  <c r="EU42" i="14815"/>
  <c r="ET42" i="14815"/>
  <c r="ES42" i="14815"/>
  <c r="ER42" i="14815"/>
  <c r="EQ42" i="14815"/>
  <c r="EP42" i="14815"/>
  <c r="EO42" i="14815"/>
  <c r="EN42" i="14815"/>
  <c r="EM42" i="14815"/>
  <c r="EL42" i="14815"/>
  <c r="EK42" i="14815"/>
  <c r="EJ42" i="14815"/>
  <c r="EI42" i="14815"/>
  <c r="EH42" i="14815"/>
  <c r="EG42" i="14815"/>
  <c r="EF42" i="14815"/>
  <c r="EE42" i="14815"/>
  <c r="ED42" i="14815"/>
  <c r="EC42" i="14815"/>
  <c r="EB42" i="14815"/>
  <c r="EA42" i="14815"/>
  <c r="DZ42" i="14815"/>
  <c r="DY42" i="14815"/>
  <c r="DX42" i="14815"/>
  <c r="DW42" i="14815"/>
  <c r="DV42" i="14815"/>
  <c r="DU42" i="14815"/>
  <c r="DT42" i="14815"/>
  <c r="DS42" i="14815"/>
  <c r="DR42" i="14815"/>
  <c r="DQ42" i="14815"/>
  <c r="DP42" i="14815"/>
  <c r="DO42" i="14815"/>
  <c r="DN42" i="14815"/>
  <c r="DM42" i="14815"/>
  <c r="DL42" i="14815"/>
  <c r="DK42" i="14815"/>
  <c r="DJ42" i="14815"/>
  <c r="DI42" i="14815"/>
  <c r="DH42" i="14815"/>
  <c r="DG42" i="14815"/>
  <c r="DF42" i="14815"/>
  <c r="DE42" i="14815"/>
  <c r="DD42" i="14815"/>
  <c r="A42" i="14815"/>
  <c r="EV41" i="14815"/>
  <c r="EU41" i="14815"/>
  <c r="ET41" i="14815"/>
  <c r="ES41" i="14815"/>
  <c r="ER41" i="14815"/>
  <c r="EQ41" i="14815"/>
  <c r="EP41" i="14815"/>
  <c r="EO41" i="14815"/>
  <c r="EN41" i="14815"/>
  <c r="EM41" i="14815"/>
  <c r="EL41" i="14815"/>
  <c r="EK41" i="14815"/>
  <c r="EJ41" i="14815"/>
  <c r="EI41" i="14815"/>
  <c r="EH41" i="14815"/>
  <c r="EG41" i="14815"/>
  <c r="EF41" i="14815"/>
  <c r="EE41" i="14815"/>
  <c r="ED41" i="14815"/>
  <c r="EC41" i="14815"/>
  <c r="EB41" i="14815"/>
  <c r="EA41" i="14815"/>
  <c r="DZ41" i="14815"/>
  <c r="DY41" i="14815"/>
  <c r="DX41" i="14815"/>
  <c r="DW41" i="14815"/>
  <c r="DV41" i="14815"/>
  <c r="DU41" i="14815"/>
  <c r="DT41" i="14815"/>
  <c r="DS41" i="14815"/>
  <c r="DR41" i="14815"/>
  <c r="DQ41" i="14815"/>
  <c r="DP41" i="14815"/>
  <c r="DO41" i="14815"/>
  <c r="DN41" i="14815"/>
  <c r="DM41" i="14815"/>
  <c r="DL41" i="14815"/>
  <c r="DK41" i="14815"/>
  <c r="DJ41" i="14815"/>
  <c r="DI41" i="14815"/>
  <c r="DH41" i="14815"/>
  <c r="DG41" i="14815"/>
  <c r="DF41" i="14815"/>
  <c r="DE41" i="14815"/>
  <c r="DD41" i="14815"/>
  <c r="A41" i="14815"/>
  <c r="EV40" i="14815"/>
  <c r="EU40" i="14815"/>
  <c r="ET40" i="14815"/>
  <c r="ES40" i="14815"/>
  <c r="ER40" i="14815"/>
  <c r="EQ40" i="14815"/>
  <c r="EP40" i="14815"/>
  <c r="EO40" i="14815"/>
  <c r="EN40" i="14815"/>
  <c r="EM40" i="14815"/>
  <c r="EL40" i="14815"/>
  <c r="EK40" i="14815"/>
  <c r="EJ40" i="14815"/>
  <c r="EI40" i="14815"/>
  <c r="EH40" i="14815"/>
  <c r="EG40" i="14815"/>
  <c r="EF40" i="14815"/>
  <c r="EE40" i="14815"/>
  <c r="ED40" i="14815"/>
  <c r="EC40" i="14815"/>
  <c r="EB40" i="14815"/>
  <c r="EA40" i="14815"/>
  <c r="DZ40" i="14815"/>
  <c r="DY40" i="14815"/>
  <c r="DX40" i="14815"/>
  <c r="DW40" i="14815"/>
  <c r="DV40" i="14815"/>
  <c r="DU40" i="14815"/>
  <c r="DT40" i="14815"/>
  <c r="DS40" i="14815"/>
  <c r="DR40" i="14815"/>
  <c r="DQ40" i="14815"/>
  <c r="DP40" i="14815"/>
  <c r="DO40" i="14815"/>
  <c r="DN40" i="14815"/>
  <c r="DM40" i="14815"/>
  <c r="DL40" i="14815"/>
  <c r="DK40" i="14815"/>
  <c r="DJ40" i="14815"/>
  <c r="DI40" i="14815"/>
  <c r="DH40" i="14815"/>
  <c r="DG40" i="14815"/>
  <c r="DF40" i="14815"/>
  <c r="DE40" i="14815"/>
  <c r="DD40" i="14815"/>
  <c r="A40" i="14815"/>
  <c r="EV39" i="14815"/>
  <c r="EU39" i="14815"/>
  <c r="ET39" i="14815"/>
  <c r="ES39" i="14815"/>
  <c r="ER39" i="14815"/>
  <c r="EQ39" i="14815"/>
  <c r="EP39" i="14815"/>
  <c r="EO39" i="14815"/>
  <c r="EN39" i="14815"/>
  <c r="EM39" i="14815"/>
  <c r="EL39" i="14815"/>
  <c r="EK39" i="14815"/>
  <c r="EJ39" i="14815"/>
  <c r="EI39" i="14815"/>
  <c r="EH39" i="14815"/>
  <c r="EG39" i="14815"/>
  <c r="EF39" i="14815"/>
  <c r="EE39" i="14815"/>
  <c r="ED39" i="14815"/>
  <c r="EC39" i="14815"/>
  <c r="EB39" i="14815"/>
  <c r="EA39" i="14815"/>
  <c r="DZ39" i="14815"/>
  <c r="DY39" i="14815"/>
  <c r="DX39" i="14815"/>
  <c r="DW39" i="14815"/>
  <c r="DV39" i="14815"/>
  <c r="DU39" i="14815"/>
  <c r="DT39" i="14815"/>
  <c r="DS39" i="14815"/>
  <c r="DR39" i="14815"/>
  <c r="DQ39" i="14815"/>
  <c r="DP39" i="14815"/>
  <c r="DO39" i="14815"/>
  <c r="DN39" i="14815"/>
  <c r="DM39" i="14815"/>
  <c r="DL39" i="14815"/>
  <c r="DK39" i="14815"/>
  <c r="DJ39" i="14815"/>
  <c r="DI39" i="14815"/>
  <c r="DH39" i="14815"/>
  <c r="DG39" i="14815"/>
  <c r="DF39" i="14815"/>
  <c r="DE39" i="14815"/>
  <c r="DD39" i="14815"/>
  <c r="A39" i="14815"/>
  <c r="EV38" i="14815"/>
  <c r="EU38" i="14815"/>
  <c r="ET38" i="14815"/>
  <c r="ES38" i="14815"/>
  <c r="ER38" i="14815"/>
  <c r="EQ38" i="14815"/>
  <c r="EP38" i="14815"/>
  <c r="EO38" i="14815"/>
  <c r="EN38" i="14815"/>
  <c r="EM38" i="14815"/>
  <c r="EL38" i="14815"/>
  <c r="EK38" i="14815"/>
  <c r="EJ38" i="14815"/>
  <c r="EI38" i="14815"/>
  <c r="EH38" i="14815"/>
  <c r="EG38" i="14815"/>
  <c r="EF38" i="14815"/>
  <c r="EE38" i="14815"/>
  <c r="ED38" i="14815"/>
  <c r="EC38" i="14815"/>
  <c r="EB38" i="14815"/>
  <c r="EA38" i="14815"/>
  <c r="DZ38" i="14815"/>
  <c r="DY38" i="14815"/>
  <c r="DX38" i="14815"/>
  <c r="DW38" i="14815"/>
  <c r="DV38" i="14815"/>
  <c r="DU38" i="14815"/>
  <c r="DT38" i="14815"/>
  <c r="DS38" i="14815"/>
  <c r="DR38" i="14815"/>
  <c r="DQ38" i="14815"/>
  <c r="DP38" i="14815"/>
  <c r="DO38" i="14815"/>
  <c r="DN38" i="14815"/>
  <c r="DM38" i="14815"/>
  <c r="DL38" i="14815"/>
  <c r="DK38" i="14815"/>
  <c r="DJ38" i="14815"/>
  <c r="DI38" i="14815"/>
  <c r="DH38" i="14815"/>
  <c r="DG38" i="14815"/>
  <c r="DF38" i="14815"/>
  <c r="DE38" i="14815"/>
  <c r="DD38" i="14815"/>
  <c r="A38" i="14815"/>
  <c r="EV37" i="14815"/>
  <c r="EU37" i="14815"/>
  <c r="ET37" i="14815"/>
  <c r="ES37" i="14815"/>
  <c r="ER37" i="14815"/>
  <c r="EQ37" i="14815"/>
  <c r="EP37" i="14815"/>
  <c r="EO37" i="14815"/>
  <c r="EN37" i="14815"/>
  <c r="EM37" i="14815"/>
  <c r="EL37" i="14815"/>
  <c r="EK37" i="14815"/>
  <c r="EJ37" i="14815"/>
  <c r="EI37" i="14815"/>
  <c r="EH37" i="14815"/>
  <c r="EG37" i="14815"/>
  <c r="EF37" i="14815"/>
  <c r="EE37" i="14815"/>
  <c r="ED37" i="14815"/>
  <c r="EC37" i="14815"/>
  <c r="EB37" i="14815"/>
  <c r="EA37" i="14815"/>
  <c r="DZ37" i="14815"/>
  <c r="DY37" i="14815"/>
  <c r="DX37" i="14815"/>
  <c r="DW37" i="14815"/>
  <c r="DV37" i="14815"/>
  <c r="DU37" i="14815"/>
  <c r="DT37" i="14815"/>
  <c r="DS37" i="14815"/>
  <c r="DR37" i="14815"/>
  <c r="DQ37" i="14815"/>
  <c r="DP37" i="14815"/>
  <c r="DO37" i="14815"/>
  <c r="DN37" i="14815"/>
  <c r="DM37" i="14815"/>
  <c r="DL37" i="14815"/>
  <c r="DK37" i="14815"/>
  <c r="DJ37" i="14815"/>
  <c r="DI37" i="14815"/>
  <c r="DH37" i="14815"/>
  <c r="DG37" i="14815"/>
  <c r="DF37" i="14815"/>
  <c r="DE37" i="14815"/>
  <c r="DD37" i="14815"/>
  <c r="A37" i="14815"/>
  <c r="EV36" i="14815"/>
  <c r="EU36" i="14815"/>
  <c r="ET36" i="14815"/>
  <c r="ES36" i="14815"/>
  <c r="ER36" i="14815"/>
  <c r="EQ36" i="14815"/>
  <c r="EP36" i="14815"/>
  <c r="EO36" i="14815"/>
  <c r="EN36" i="14815"/>
  <c r="EM36" i="14815"/>
  <c r="EL36" i="14815"/>
  <c r="EK36" i="14815"/>
  <c r="EJ36" i="14815"/>
  <c r="EI36" i="14815"/>
  <c r="EH36" i="14815"/>
  <c r="EG36" i="14815"/>
  <c r="EF36" i="14815"/>
  <c r="EE36" i="14815"/>
  <c r="ED36" i="14815"/>
  <c r="EC36" i="14815"/>
  <c r="EB36" i="14815"/>
  <c r="EA36" i="14815"/>
  <c r="DZ36" i="14815"/>
  <c r="DY36" i="14815"/>
  <c r="DX36" i="14815"/>
  <c r="DW36" i="14815"/>
  <c r="DV36" i="14815"/>
  <c r="DU36" i="14815"/>
  <c r="DT36" i="14815"/>
  <c r="DS36" i="14815"/>
  <c r="DR36" i="14815"/>
  <c r="DQ36" i="14815"/>
  <c r="DP36" i="14815"/>
  <c r="DO36" i="14815"/>
  <c r="DN36" i="14815"/>
  <c r="DM36" i="14815"/>
  <c r="DL36" i="14815"/>
  <c r="DK36" i="14815"/>
  <c r="DJ36" i="14815"/>
  <c r="DI36" i="14815"/>
  <c r="DH36" i="14815"/>
  <c r="DG36" i="14815"/>
  <c r="DF36" i="14815"/>
  <c r="DE36" i="14815"/>
  <c r="DD36" i="14815"/>
  <c r="A36" i="14815"/>
  <c r="EV35" i="14815"/>
  <c r="EU35" i="14815"/>
  <c r="ET35" i="14815"/>
  <c r="ES35" i="14815"/>
  <c r="ER35" i="14815"/>
  <c r="EQ35" i="14815"/>
  <c r="EP35" i="14815"/>
  <c r="EO35" i="14815"/>
  <c r="EN35" i="14815"/>
  <c r="EM35" i="14815"/>
  <c r="EL35" i="14815"/>
  <c r="EK35" i="14815"/>
  <c r="EJ35" i="14815"/>
  <c r="EI35" i="14815"/>
  <c r="EH35" i="14815"/>
  <c r="EG35" i="14815"/>
  <c r="EF35" i="14815"/>
  <c r="EE35" i="14815"/>
  <c r="ED35" i="14815"/>
  <c r="EC35" i="14815"/>
  <c r="EB35" i="14815"/>
  <c r="EA35" i="14815"/>
  <c r="DZ35" i="14815"/>
  <c r="DY35" i="14815"/>
  <c r="DX35" i="14815"/>
  <c r="DW35" i="14815"/>
  <c r="DV35" i="14815"/>
  <c r="DU35" i="14815"/>
  <c r="DT35" i="14815"/>
  <c r="DS35" i="14815"/>
  <c r="DR35" i="14815"/>
  <c r="DQ35" i="14815"/>
  <c r="DP35" i="14815"/>
  <c r="DO35" i="14815"/>
  <c r="DN35" i="14815"/>
  <c r="DM35" i="14815"/>
  <c r="DL35" i="14815"/>
  <c r="DK35" i="14815"/>
  <c r="DJ35" i="14815"/>
  <c r="DI35" i="14815"/>
  <c r="DH35" i="14815"/>
  <c r="DG35" i="14815"/>
  <c r="DF35" i="14815"/>
  <c r="DE35" i="14815"/>
  <c r="DD35" i="14815"/>
  <c r="A35" i="14815"/>
  <c r="EV34" i="14815"/>
  <c r="EU34" i="14815"/>
  <c r="ET34" i="14815"/>
  <c r="ES34" i="14815"/>
  <c r="ER34" i="14815"/>
  <c r="EQ34" i="14815"/>
  <c r="EP34" i="14815"/>
  <c r="EO34" i="14815"/>
  <c r="EN34" i="14815"/>
  <c r="EM34" i="14815"/>
  <c r="EL34" i="14815"/>
  <c r="EK34" i="14815"/>
  <c r="EJ34" i="14815"/>
  <c r="EI34" i="14815"/>
  <c r="EH34" i="14815"/>
  <c r="EG34" i="14815"/>
  <c r="EF34" i="14815"/>
  <c r="EE34" i="14815"/>
  <c r="ED34" i="14815"/>
  <c r="EC34" i="14815"/>
  <c r="EB34" i="14815"/>
  <c r="EA34" i="14815"/>
  <c r="DZ34" i="14815"/>
  <c r="DY34" i="14815"/>
  <c r="DX34" i="14815"/>
  <c r="DW34" i="14815"/>
  <c r="DV34" i="14815"/>
  <c r="DU34" i="14815"/>
  <c r="DT34" i="14815"/>
  <c r="DS34" i="14815"/>
  <c r="DR34" i="14815"/>
  <c r="DQ34" i="14815"/>
  <c r="DP34" i="14815"/>
  <c r="DO34" i="14815"/>
  <c r="DN34" i="14815"/>
  <c r="DM34" i="14815"/>
  <c r="DL34" i="14815"/>
  <c r="DK34" i="14815"/>
  <c r="DJ34" i="14815"/>
  <c r="DI34" i="14815"/>
  <c r="DH34" i="14815"/>
  <c r="DG34" i="14815"/>
  <c r="DF34" i="14815"/>
  <c r="DE34" i="14815"/>
  <c r="DD34" i="14815"/>
  <c r="A34" i="14815"/>
  <c r="EV33" i="14815"/>
  <c r="EU33" i="14815"/>
  <c r="ET33" i="14815"/>
  <c r="ES33" i="14815"/>
  <c r="ER33" i="14815"/>
  <c r="EQ33" i="14815"/>
  <c r="EP33" i="14815"/>
  <c r="EO33" i="14815"/>
  <c r="EN33" i="14815"/>
  <c r="EM33" i="14815"/>
  <c r="EL33" i="14815"/>
  <c r="EK33" i="14815"/>
  <c r="EJ33" i="14815"/>
  <c r="EI33" i="14815"/>
  <c r="EH33" i="14815"/>
  <c r="EG33" i="14815"/>
  <c r="EF33" i="14815"/>
  <c r="EE33" i="14815"/>
  <c r="ED33" i="14815"/>
  <c r="EC33" i="14815"/>
  <c r="EB33" i="14815"/>
  <c r="EA33" i="14815"/>
  <c r="DZ33" i="14815"/>
  <c r="DY33" i="14815"/>
  <c r="DX33" i="14815"/>
  <c r="DW33" i="14815"/>
  <c r="DV33" i="14815"/>
  <c r="DU33" i="14815"/>
  <c r="DT33" i="14815"/>
  <c r="DS33" i="14815"/>
  <c r="DR33" i="14815"/>
  <c r="DQ33" i="14815"/>
  <c r="DP33" i="14815"/>
  <c r="DO33" i="14815"/>
  <c r="DN33" i="14815"/>
  <c r="DM33" i="14815"/>
  <c r="DL33" i="14815"/>
  <c r="DK33" i="14815"/>
  <c r="DJ33" i="14815"/>
  <c r="DI33" i="14815"/>
  <c r="DH33" i="14815"/>
  <c r="DG33" i="14815"/>
  <c r="DF33" i="14815"/>
  <c r="DE33" i="14815"/>
  <c r="DD33" i="14815"/>
  <c r="A33" i="14815"/>
  <c r="EV32" i="14815"/>
  <c r="EU32" i="14815"/>
  <c r="ET32" i="14815"/>
  <c r="ES32" i="14815"/>
  <c r="ER32" i="14815"/>
  <c r="EQ32" i="14815"/>
  <c r="EP32" i="14815"/>
  <c r="EO32" i="14815"/>
  <c r="EN32" i="14815"/>
  <c r="EM32" i="14815"/>
  <c r="EL32" i="14815"/>
  <c r="EK32" i="14815"/>
  <c r="EJ32" i="14815"/>
  <c r="EI32" i="14815"/>
  <c r="EH32" i="14815"/>
  <c r="EG32" i="14815"/>
  <c r="EF32" i="14815"/>
  <c r="EE32" i="14815"/>
  <c r="ED32" i="14815"/>
  <c r="EC32" i="14815"/>
  <c r="EB32" i="14815"/>
  <c r="EA32" i="14815"/>
  <c r="DZ32" i="14815"/>
  <c r="DY32" i="14815"/>
  <c r="DX32" i="14815"/>
  <c r="DW32" i="14815"/>
  <c r="DV32" i="14815"/>
  <c r="DU32" i="14815"/>
  <c r="DT32" i="14815"/>
  <c r="DS32" i="14815"/>
  <c r="DR32" i="14815"/>
  <c r="DQ32" i="14815"/>
  <c r="DP32" i="14815"/>
  <c r="DO32" i="14815"/>
  <c r="DN32" i="14815"/>
  <c r="DM32" i="14815"/>
  <c r="DL32" i="14815"/>
  <c r="DK32" i="14815"/>
  <c r="DJ32" i="14815"/>
  <c r="DI32" i="14815"/>
  <c r="DH32" i="14815"/>
  <c r="DG32" i="14815"/>
  <c r="DF32" i="14815"/>
  <c r="DE32" i="14815"/>
  <c r="DD32" i="14815"/>
  <c r="A32" i="14815"/>
  <c r="EV31" i="14815"/>
  <c r="EU31" i="14815"/>
  <c r="ET31" i="14815"/>
  <c r="ES31" i="14815"/>
  <c r="ER31" i="14815"/>
  <c r="EQ31" i="14815"/>
  <c r="EP31" i="14815"/>
  <c r="EO31" i="14815"/>
  <c r="EN31" i="14815"/>
  <c r="EM31" i="14815"/>
  <c r="EL31" i="14815"/>
  <c r="EK31" i="14815"/>
  <c r="EJ31" i="14815"/>
  <c r="EI31" i="14815"/>
  <c r="EH31" i="14815"/>
  <c r="EG31" i="14815"/>
  <c r="EF31" i="14815"/>
  <c r="EE31" i="14815"/>
  <c r="ED31" i="14815"/>
  <c r="EC31" i="14815"/>
  <c r="EB31" i="14815"/>
  <c r="EA31" i="14815"/>
  <c r="DZ31" i="14815"/>
  <c r="DY31" i="14815"/>
  <c r="DX31" i="14815"/>
  <c r="DW31" i="14815"/>
  <c r="DV31" i="14815"/>
  <c r="DU31" i="14815"/>
  <c r="DT31" i="14815"/>
  <c r="DS31" i="14815"/>
  <c r="DR31" i="14815"/>
  <c r="DQ31" i="14815"/>
  <c r="DP31" i="14815"/>
  <c r="DO31" i="14815"/>
  <c r="DN31" i="14815"/>
  <c r="DM31" i="14815"/>
  <c r="DL31" i="14815"/>
  <c r="DK31" i="14815"/>
  <c r="DJ31" i="14815"/>
  <c r="DI31" i="14815"/>
  <c r="DH31" i="14815"/>
  <c r="DG31" i="14815"/>
  <c r="DF31" i="14815"/>
  <c r="DE31" i="14815"/>
  <c r="DD31" i="14815"/>
  <c r="A31" i="14815"/>
  <c r="EV30" i="14815"/>
  <c r="EU30" i="14815"/>
  <c r="ET30" i="14815"/>
  <c r="ES30" i="14815"/>
  <c r="ER30" i="14815"/>
  <c r="EQ30" i="14815"/>
  <c r="EP30" i="14815"/>
  <c r="EO30" i="14815"/>
  <c r="EN30" i="14815"/>
  <c r="EM30" i="14815"/>
  <c r="EL30" i="14815"/>
  <c r="EK30" i="14815"/>
  <c r="EJ30" i="14815"/>
  <c r="EI30" i="14815"/>
  <c r="EH30" i="14815"/>
  <c r="EG30" i="14815"/>
  <c r="EF30" i="14815"/>
  <c r="EE30" i="14815"/>
  <c r="ED30" i="14815"/>
  <c r="EC30" i="14815"/>
  <c r="EB30" i="14815"/>
  <c r="EA30" i="14815"/>
  <c r="DZ30" i="14815"/>
  <c r="DY30" i="14815"/>
  <c r="DX30" i="14815"/>
  <c r="DW30" i="14815"/>
  <c r="DV30" i="14815"/>
  <c r="DU30" i="14815"/>
  <c r="DT30" i="14815"/>
  <c r="DS30" i="14815"/>
  <c r="DR30" i="14815"/>
  <c r="DQ30" i="14815"/>
  <c r="DP30" i="14815"/>
  <c r="DO30" i="14815"/>
  <c r="DN30" i="14815"/>
  <c r="DM30" i="14815"/>
  <c r="DL30" i="14815"/>
  <c r="DK30" i="14815"/>
  <c r="DJ30" i="14815"/>
  <c r="DI30" i="14815"/>
  <c r="DH30" i="14815"/>
  <c r="DG30" i="14815"/>
  <c r="DF30" i="14815"/>
  <c r="DE30" i="14815"/>
  <c r="DD30" i="14815"/>
  <c r="A30" i="14815"/>
  <c r="EV29" i="14815"/>
  <c r="EU29" i="14815"/>
  <c r="ET29" i="14815"/>
  <c r="ES29" i="14815"/>
  <c r="ER29" i="14815"/>
  <c r="EQ29" i="14815"/>
  <c r="EP29" i="14815"/>
  <c r="EO29" i="14815"/>
  <c r="EN29" i="14815"/>
  <c r="EM29" i="14815"/>
  <c r="EL29" i="14815"/>
  <c r="EK29" i="14815"/>
  <c r="EJ29" i="14815"/>
  <c r="EI29" i="14815"/>
  <c r="EH29" i="14815"/>
  <c r="EG29" i="14815"/>
  <c r="EF29" i="14815"/>
  <c r="EE29" i="14815"/>
  <c r="ED29" i="14815"/>
  <c r="EC29" i="14815"/>
  <c r="EB29" i="14815"/>
  <c r="EA29" i="14815"/>
  <c r="DZ29" i="14815"/>
  <c r="DY29" i="14815"/>
  <c r="DX29" i="14815"/>
  <c r="DW29" i="14815"/>
  <c r="DV29" i="14815"/>
  <c r="DU29" i="14815"/>
  <c r="DT29" i="14815"/>
  <c r="DS29" i="14815"/>
  <c r="DR29" i="14815"/>
  <c r="DQ29" i="14815"/>
  <c r="DP29" i="14815"/>
  <c r="DO29" i="14815"/>
  <c r="DN29" i="14815"/>
  <c r="DM29" i="14815"/>
  <c r="DL29" i="14815"/>
  <c r="DK29" i="14815"/>
  <c r="DJ29" i="14815"/>
  <c r="DI29" i="14815"/>
  <c r="DH29" i="14815"/>
  <c r="DG29" i="14815"/>
  <c r="DF29" i="14815"/>
  <c r="DE29" i="14815"/>
  <c r="DD29" i="14815"/>
  <c r="A29" i="14815"/>
  <c r="EV28" i="14815"/>
  <c r="EU28" i="14815"/>
  <c r="ET28" i="14815"/>
  <c r="ES28" i="14815"/>
  <c r="ER28" i="14815"/>
  <c r="EQ28" i="14815"/>
  <c r="EP28" i="14815"/>
  <c r="EO28" i="14815"/>
  <c r="EN28" i="14815"/>
  <c r="EM28" i="14815"/>
  <c r="EL28" i="14815"/>
  <c r="EK28" i="14815"/>
  <c r="EJ28" i="14815"/>
  <c r="EI28" i="14815"/>
  <c r="EH28" i="14815"/>
  <c r="EG28" i="14815"/>
  <c r="EF28" i="14815"/>
  <c r="EE28" i="14815"/>
  <c r="ED28" i="14815"/>
  <c r="EC28" i="14815"/>
  <c r="EB28" i="14815"/>
  <c r="EA28" i="14815"/>
  <c r="DZ28" i="14815"/>
  <c r="DY28" i="14815"/>
  <c r="DX28" i="14815"/>
  <c r="DW28" i="14815"/>
  <c r="DV28" i="14815"/>
  <c r="DU28" i="14815"/>
  <c r="DT28" i="14815"/>
  <c r="DS28" i="14815"/>
  <c r="DR28" i="14815"/>
  <c r="DQ28" i="14815"/>
  <c r="DP28" i="14815"/>
  <c r="DO28" i="14815"/>
  <c r="DN28" i="14815"/>
  <c r="DM28" i="14815"/>
  <c r="DL28" i="14815"/>
  <c r="DK28" i="14815"/>
  <c r="DJ28" i="14815"/>
  <c r="DI28" i="14815"/>
  <c r="DH28" i="14815"/>
  <c r="DG28" i="14815"/>
  <c r="DF28" i="14815"/>
  <c r="DE28" i="14815"/>
  <c r="DD28" i="14815"/>
  <c r="A28" i="14815"/>
  <c r="EV27" i="14815"/>
  <c r="EU27" i="14815"/>
  <c r="ET27" i="14815"/>
  <c r="ES27" i="14815"/>
  <c r="ER27" i="14815"/>
  <c r="EQ27" i="14815"/>
  <c r="EP27" i="14815"/>
  <c r="EO27" i="14815"/>
  <c r="EN27" i="14815"/>
  <c r="EM27" i="14815"/>
  <c r="EL27" i="14815"/>
  <c r="EK27" i="14815"/>
  <c r="EJ27" i="14815"/>
  <c r="EI27" i="14815"/>
  <c r="EH27" i="14815"/>
  <c r="EG27" i="14815"/>
  <c r="EF27" i="14815"/>
  <c r="EE27" i="14815"/>
  <c r="ED27" i="14815"/>
  <c r="EC27" i="14815"/>
  <c r="EB27" i="14815"/>
  <c r="EA27" i="14815"/>
  <c r="DZ27" i="14815"/>
  <c r="DY27" i="14815"/>
  <c r="DX27" i="14815"/>
  <c r="DW27" i="14815"/>
  <c r="DV27" i="14815"/>
  <c r="DU27" i="14815"/>
  <c r="DT27" i="14815"/>
  <c r="DS27" i="14815"/>
  <c r="DR27" i="14815"/>
  <c r="DQ27" i="14815"/>
  <c r="DP27" i="14815"/>
  <c r="DO27" i="14815"/>
  <c r="DN27" i="14815"/>
  <c r="DM27" i="14815"/>
  <c r="DL27" i="14815"/>
  <c r="DK27" i="14815"/>
  <c r="DJ27" i="14815"/>
  <c r="DI27" i="14815"/>
  <c r="DH27" i="14815"/>
  <c r="DG27" i="14815"/>
  <c r="DF27" i="14815"/>
  <c r="DE27" i="14815"/>
  <c r="DD27" i="14815"/>
  <c r="A27" i="14815"/>
  <c r="EV26" i="14815"/>
  <c r="EU26" i="14815"/>
  <c r="ET26" i="14815"/>
  <c r="ES26" i="14815"/>
  <c r="ER26" i="14815"/>
  <c r="EQ26" i="14815"/>
  <c r="EP26" i="14815"/>
  <c r="EO26" i="14815"/>
  <c r="EN26" i="14815"/>
  <c r="EM26" i="14815"/>
  <c r="EL26" i="14815"/>
  <c r="EK26" i="14815"/>
  <c r="EJ26" i="14815"/>
  <c r="EI26" i="14815"/>
  <c r="EH26" i="14815"/>
  <c r="EG26" i="14815"/>
  <c r="EF26" i="14815"/>
  <c r="EE26" i="14815"/>
  <c r="ED26" i="14815"/>
  <c r="EC26" i="14815"/>
  <c r="EB26" i="14815"/>
  <c r="EA26" i="14815"/>
  <c r="DZ26" i="14815"/>
  <c r="DY26" i="14815"/>
  <c r="DX26" i="14815"/>
  <c r="DW26" i="14815"/>
  <c r="DV26" i="14815"/>
  <c r="DU26" i="14815"/>
  <c r="DT26" i="14815"/>
  <c r="DS26" i="14815"/>
  <c r="DR26" i="14815"/>
  <c r="DQ26" i="14815"/>
  <c r="DP26" i="14815"/>
  <c r="DO26" i="14815"/>
  <c r="DN26" i="14815"/>
  <c r="DM26" i="14815"/>
  <c r="DL26" i="14815"/>
  <c r="DK26" i="14815"/>
  <c r="DJ26" i="14815"/>
  <c r="DI26" i="14815"/>
  <c r="DH26" i="14815"/>
  <c r="DG26" i="14815"/>
  <c r="DF26" i="14815"/>
  <c r="DE26" i="14815"/>
  <c r="DD26" i="14815"/>
  <c r="A26" i="14815"/>
  <c r="EV25" i="14815"/>
  <c r="EU25" i="14815"/>
  <c r="ET25" i="14815"/>
  <c r="ES25" i="14815"/>
  <c r="ER25" i="14815"/>
  <c r="EQ25" i="14815"/>
  <c r="EP25" i="14815"/>
  <c r="EO25" i="14815"/>
  <c r="EN25" i="14815"/>
  <c r="EM25" i="14815"/>
  <c r="EL25" i="14815"/>
  <c r="EK25" i="14815"/>
  <c r="EJ25" i="14815"/>
  <c r="EI25" i="14815"/>
  <c r="EH25" i="14815"/>
  <c r="EG25" i="14815"/>
  <c r="EF25" i="14815"/>
  <c r="EE25" i="14815"/>
  <c r="ED25" i="14815"/>
  <c r="EC25" i="14815"/>
  <c r="EB25" i="14815"/>
  <c r="EA25" i="14815"/>
  <c r="DZ25" i="14815"/>
  <c r="DY25" i="14815"/>
  <c r="DX25" i="14815"/>
  <c r="DW25" i="14815"/>
  <c r="DV25" i="14815"/>
  <c r="DU25" i="14815"/>
  <c r="DT25" i="14815"/>
  <c r="DS25" i="14815"/>
  <c r="DR25" i="14815"/>
  <c r="DQ25" i="14815"/>
  <c r="DP25" i="14815"/>
  <c r="DO25" i="14815"/>
  <c r="DN25" i="14815"/>
  <c r="DM25" i="14815"/>
  <c r="DL25" i="14815"/>
  <c r="DK25" i="14815"/>
  <c r="DJ25" i="14815"/>
  <c r="DI25" i="14815"/>
  <c r="DH25" i="14815"/>
  <c r="DG25" i="14815"/>
  <c r="DF25" i="14815"/>
  <c r="DE25" i="14815"/>
  <c r="DD25" i="14815"/>
  <c r="A25" i="14815"/>
  <c r="EV24" i="14815"/>
  <c r="EU24" i="14815"/>
  <c r="ET24" i="14815"/>
  <c r="ES24" i="14815"/>
  <c r="ER24" i="14815"/>
  <c r="EQ24" i="14815"/>
  <c r="EP24" i="14815"/>
  <c r="EO24" i="14815"/>
  <c r="EN24" i="14815"/>
  <c r="EM24" i="14815"/>
  <c r="EL24" i="14815"/>
  <c r="EK24" i="14815"/>
  <c r="EJ24" i="14815"/>
  <c r="EI24" i="14815"/>
  <c r="EH24" i="14815"/>
  <c r="EG24" i="14815"/>
  <c r="EF24" i="14815"/>
  <c r="EE24" i="14815"/>
  <c r="ED24" i="14815"/>
  <c r="EC24" i="14815"/>
  <c r="EB24" i="14815"/>
  <c r="EA24" i="14815"/>
  <c r="DZ24" i="14815"/>
  <c r="DY24" i="14815"/>
  <c r="DX24" i="14815"/>
  <c r="DW24" i="14815"/>
  <c r="DV24" i="14815"/>
  <c r="DU24" i="14815"/>
  <c r="DT24" i="14815"/>
  <c r="DS24" i="14815"/>
  <c r="DR24" i="14815"/>
  <c r="DQ24" i="14815"/>
  <c r="DP24" i="14815"/>
  <c r="DO24" i="14815"/>
  <c r="DN24" i="14815"/>
  <c r="DM24" i="14815"/>
  <c r="DL24" i="14815"/>
  <c r="DK24" i="14815"/>
  <c r="DJ24" i="14815"/>
  <c r="DI24" i="14815"/>
  <c r="DH24" i="14815"/>
  <c r="DG24" i="14815"/>
  <c r="DF24" i="14815"/>
  <c r="DE24" i="14815"/>
  <c r="DD24" i="14815"/>
  <c r="A24" i="14815"/>
  <c r="EV23" i="14815"/>
  <c r="EU23" i="14815"/>
  <c r="ET23" i="14815"/>
  <c r="ES23" i="14815"/>
  <c r="ER23" i="14815"/>
  <c r="EQ23" i="14815"/>
  <c r="EP23" i="14815"/>
  <c r="EO23" i="14815"/>
  <c r="EN23" i="14815"/>
  <c r="EM23" i="14815"/>
  <c r="EL23" i="14815"/>
  <c r="EK23" i="14815"/>
  <c r="EJ23" i="14815"/>
  <c r="EI23" i="14815"/>
  <c r="EH23" i="14815"/>
  <c r="EG23" i="14815"/>
  <c r="EF23" i="14815"/>
  <c r="EE23" i="14815"/>
  <c r="ED23" i="14815"/>
  <c r="EC23" i="14815"/>
  <c r="EB23" i="14815"/>
  <c r="EA23" i="14815"/>
  <c r="DZ23" i="14815"/>
  <c r="DY23" i="14815"/>
  <c r="DX23" i="14815"/>
  <c r="DW23" i="14815"/>
  <c r="DV23" i="14815"/>
  <c r="DU23" i="14815"/>
  <c r="DT23" i="14815"/>
  <c r="DS23" i="14815"/>
  <c r="DR23" i="14815"/>
  <c r="DQ23" i="14815"/>
  <c r="DP23" i="14815"/>
  <c r="DO23" i="14815"/>
  <c r="DN23" i="14815"/>
  <c r="DM23" i="14815"/>
  <c r="DL23" i="14815"/>
  <c r="DK23" i="14815"/>
  <c r="DJ23" i="14815"/>
  <c r="DI23" i="14815"/>
  <c r="DH23" i="14815"/>
  <c r="DG23" i="14815"/>
  <c r="DF23" i="14815"/>
  <c r="DE23" i="14815"/>
  <c r="DD23" i="14815"/>
  <c r="A23" i="14815"/>
  <c r="EV22" i="14815"/>
  <c r="EU22" i="14815"/>
  <c r="ET22" i="14815"/>
  <c r="ES22" i="14815"/>
  <c r="ER22" i="14815"/>
  <c r="EQ22" i="14815"/>
  <c r="EP22" i="14815"/>
  <c r="EO22" i="14815"/>
  <c r="EN22" i="14815"/>
  <c r="EM22" i="14815"/>
  <c r="EL22" i="14815"/>
  <c r="EK22" i="14815"/>
  <c r="EJ22" i="14815"/>
  <c r="EI22" i="14815"/>
  <c r="EH22" i="14815"/>
  <c r="EG22" i="14815"/>
  <c r="EF22" i="14815"/>
  <c r="EE22" i="14815"/>
  <c r="ED22" i="14815"/>
  <c r="EC22" i="14815"/>
  <c r="EB22" i="14815"/>
  <c r="EA22" i="14815"/>
  <c r="DZ22" i="14815"/>
  <c r="DY22" i="14815"/>
  <c r="DX22" i="14815"/>
  <c r="DW22" i="14815"/>
  <c r="DV22" i="14815"/>
  <c r="DU22" i="14815"/>
  <c r="DT22" i="14815"/>
  <c r="DS22" i="14815"/>
  <c r="DR22" i="14815"/>
  <c r="DQ22" i="14815"/>
  <c r="DP22" i="14815"/>
  <c r="DO22" i="14815"/>
  <c r="DN22" i="14815"/>
  <c r="DM22" i="14815"/>
  <c r="DL22" i="14815"/>
  <c r="DK22" i="14815"/>
  <c r="DJ22" i="14815"/>
  <c r="DI22" i="14815"/>
  <c r="DH22" i="14815"/>
  <c r="DG22" i="14815"/>
  <c r="DF22" i="14815"/>
  <c r="DE22" i="14815"/>
  <c r="DD22" i="14815"/>
  <c r="A22" i="14815"/>
  <c r="EV21" i="14815"/>
  <c r="EU21" i="14815"/>
  <c r="ET21" i="14815"/>
  <c r="ES21" i="14815"/>
  <c r="ER21" i="14815"/>
  <c r="EQ21" i="14815"/>
  <c r="EP21" i="14815"/>
  <c r="EO21" i="14815"/>
  <c r="EN21" i="14815"/>
  <c r="EM21" i="14815"/>
  <c r="EL21" i="14815"/>
  <c r="EK21" i="14815"/>
  <c r="EJ21" i="14815"/>
  <c r="EI21" i="14815"/>
  <c r="EH21" i="14815"/>
  <c r="EG21" i="14815"/>
  <c r="EF21" i="14815"/>
  <c r="EE21" i="14815"/>
  <c r="ED21" i="14815"/>
  <c r="EC21" i="14815"/>
  <c r="EB21" i="14815"/>
  <c r="EA21" i="14815"/>
  <c r="DZ21" i="14815"/>
  <c r="DY21" i="14815"/>
  <c r="DX21" i="14815"/>
  <c r="DW21" i="14815"/>
  <c r="DV21" i="14815"/>
  <c r="DU21" i="14815"/>
  <c r="DT21" i="14815"/>
  <c r="DS21" i="14815"/>
  <c r="DR21" i="14815"/>
  <c r="DQ21" i="14815"/>
  <c r="DP21" i="14815"/>
  <c r="DO21" i="14815"/>
  <c r="DN21" i="14815"/>
  <c r="DM21" i="14815"/>
  <c r="DL21" i="14815"/>
  <c r="DK21" i="14815"/>
  <c r="DJ21" i="14815"/>
  <c r="DI21" i="14815"/>
  <c r="DH21" i="14815"/>
  <c r="DG21" i="14815"/>
  <c r="DF21" i="14815"/>
  <c r="DE21" i="14815"/>
  <c r="DD21" i="14815"/>
  <c r="A21" i="14815"/>
  <c r="EV20" i="14815"/>
  <c r="EU20" i="14815"/>
  <c r="ET20" i="14815"/>
  <c r="ES20" i="14815"/>
  <c r="ER20" i="14815"/>
  <c r="EQ20" i="14815"/>
  <c r="EP20" i="14815"/>
  <c r="EO20" i="14815"/>
  <c r="EN20" i="14815"/>
  <c r="EM20" i="14815"/>
  <c r="EL20" i="14815"/>
  <c r="EK20" i="14815"/>
  <c r="EJ20" i="14815"/>
  <c r="EI20" i="14815"/>
  <c r="EH20" i="14815"/>
  <c r="EG20" i="14815"/>
  <c r="EF20" i="14815"/>
  <c r="EE20" i="14815"/>
  <c r="ED20" i="14815"/>
  <c r="EC20" i="14815"/>
  <c r="EB20" i="14815"/>
  <c r="EA20" i="14815"/>
  <c r="DZ20" i="14815"/>
  <c r="DY20" i="14815"/>
  <c r="DX20" i="14815"/>
  <c r="DW20" i="14815"/>
  <c r="DV20" i="14815"/>
  <c r="DU20" i="14815"/>
  <c r="DT20" i="14815"/>
  <c r="DS20" i="14815"/>
  <c r="DR20" i="14815"/>
  <c r="DQ20" i="14815"/>
  <c r="DP20" i="14815"/>
  <c r="DO20" i="14815"/>
  <c r="DN20" i="14815"/>
  <c r="DM20" i="14815"/>
  <c r="DL20" i="14815"/>
  <c r="DK20" i="14815"/>
  <c r="DJ20" i="14815"/>
  <c r="DI20" i="14815"/>
  <c r="DH20" i="14815"/>
  <c r="DG20" i="14815"/>
  <c r="DF20" i="14815"/>
  <c r="DE20" i="14815"/>
  <c r="DD20" i="14815"/>
  <c r="A20" i="14815"/>
  <c r="EV19" i="14815"/>
  <c r="EU19" i="14815"/>
  <c r="ET19" i="14815"/>
  <c r="ES19" i="14815"/>
  <c r="ER19" i="14815"/>
  <c r="EQ19" i="14815"/>
  <c r="EP19" i="14815"/>
  <c r="EO19" i="14815"/>
  <c r="EN19" i="14815"/>
  <c r="EM19" i="14815"/>
  <c r="EL19" i="14815"/>
  <c r="EK19" i="14815"/>
  <c r="EJ19" i="14815"/>
  <c r="EI19" i="14815"/>
  <c r="EH19" i="14815"/>
  <c r="EG19" i="14815"/>
  <c r="EF19" i="14815"/>
  <c r="EE19" i="14815"/>
  <c r="ED19" i="14815"/>
  <c r="EC19" i="14815"/>
  <c r="EB19" i="14815"/>
  <c r="EA19" i="14815"/>
  <c r="DZ19" i="14815"/>
  <c r="DY19" i="14815"/>
  <c r="DX19" i="14815"/>
  <c r="DW19" i="14815"/>
  <c r="DV19" i="14815"/>
  <c r="DU19" i="14815"/>
  <c r="DT19" i="14815"/>
  <c r="DS19" i="14815"/>
  <c r="DR19" i="14815"/>
  <c r="DQ19" i="14815"/>
  <c r="DP19" i="14815"/>
  <c r="DO19" i="14815"/>
  <c r="DN19" i="14815"/>
  <c r="DM19" i="14815"/>
  <c r="DL19" i="14815"/>
  <c r="DK19" i="14815"/>
  <c r="DJ19" i="14815"/>
  <c r="DI19" i="14815"/>
  <c r="DH19" i="14815"/>
  <c r="DG19" i="14815"/>
  <c r="DF19" i="14815"/>
  <c r="DE19" i="14815"/>
  <c r="DD19" i="14815"/>
  <c r="A19" i="14815"/>
  <c r="EV18" i="14815"/>
  <c r="EU18" i="14815"/>
  <c r="ET18" i="14815"/>
  <c r="ES18" i="14815"/>
  <c r="ER18" i="14815"/>
  <c r="EQ18" i="14815"/>
  <c r="EP18" i="14815"/>
  <c r="EO18" i="14815"/>
  <c r="EN18" i="14815"/>
  <c r="EM18" i="14815"/>
  <c r="EL18" i="14815"/>
  <c r="EK18" i="14815"/>
  <c r="EJ18" i="14815"/>
  <c r="EI18" i="14815"/>
  <c r="EH18" i="14815"/>
  <c r="EG18" i="14815"/>
  <c r="EF18" i="14815"/>
  <c r="EE18" i="14815"/>
  <c r="ED18" i="14815"/>
  <c r="EC18" i="14815"/>
  <c r="EB18" i="14815"/>
  <c r="EA18" i="14815"/>
  <c r="DZ18" i="14815"/>
  <c r="DY18" i="14815"/>
  <c r="DX18" i="14815"/>
  <c r="DW18" i="14815"/>
  <c r="DV18" i="14815"/>
  <c r="DU18" i="14815"/>
  <c r="DT18" i="14815"/>
  <c r="DS18" i="14815"/>
  <c r="DR18" i="14815"/>
  <c r="DQ18" i="14815"/>
  <c r="DP18" i="14815"/>
  <c r="DO18" i="14815"/>
  <c r="DN18" i="14815"/>
  <c r="DM18" i="14815"/>
  <c r="DL18" i="14815"/>
  <c r="DK18" i="14815"/>
  <c r="DJ18" i="14815"/>
  <c r="DI18" i="14815"/>
  <c r="DH18" i="14815"/>
  <c r="DG18" i="14815"/>
  <c r="DF18" i="14815"/>
  <c r="DE18" i="14815"/>
  <c r="DD18" i="14815"/>
  <c r="A18" i="14815"/>
  <c r="EV17" i="14815"/>
  <c r="EU17" i="14815"/>
  <c r="ET17" i="14815"/>
  <c r="ES17" i="14815"/>
  <c r="ER17" i="14815"/>
  <c r="EQ17" i="14815"/>
  <c r="EP17" i="14815"/>
  <c r="EO17" i="14815"/>
  <c r="EN17" i="14815"/>
  <c r="EM17" i="14815"/>
  <c r="EL17" i="14815"/>
  <c r="EK17" i="14815"/>
  <c r="EJ17" i="14815"/>
  <c r="EI17" i="14815"/>
  <c r="EH17" i="14815"/>
  <c r="EG17" i="14815"/>
  <c r="EF17" i="14815"/>
  <c r="EE17" i="14815"/>
  <c r="ED17" i="14815"/>
  <c r="EC17" i="14815"/>
  <c r="EB17" i="14815"/>
  <c r="EA17" i="14815"/>
  <c r="DZ17" i="14815"/>
  <c r="DY17" i="14815"/>
  <c r="DX17" i="14815"/>
  <c r="DW17" i="14815"/>
  <c r="DV17" i="14815"/>
  <c r="DU17" i="14815"/>
  <c r="DT17" i="14815"/>
  <c r="DS17" i="14815"/>
  <c r="DR17" i="14815"/>
  <c r="DQ17" i="14815"/>
  <c r="DP17" i="14815"/>
  <c r="DO17" i="14815"/>
  <c r="DN17" i="14815"/>
  <c r="DM17" i="14815"/>
  <c r="DL17" i="14815"/>
  <c r="DK17" i="14815"/>
  <c r="DJ17" i="14815"/>
  <c r="DI17" i="14815"/>
  <c r="DH17" i="14815"/>
  <c r="DG17" i="14815"/>
  <c r="DF17" i="14815"/>
  <c r="DE17" i="14815"/>
  <c r="DD17" i="14815"/>
  <c r="A17" i="14815"/>
  <c r="EV16" i="14815"/>
  <c r="EU16" i="14815"/>
  <c r="ET16" i="14815"/>
  <c r="ES16" i="14815"/>
  <c r="ER16" i="14815"/>
  <c r="EQ16" i="14815"/>
  <c r="EP16" i="14815"/>
  <c r="EO16" i="14815"/>
  <c r="EN16" i="14815"/>
  <c r="EM16" i="14815"/>
  <c r="EL16" i="14815"/>
  <c r="EK16" i="14815"/>
  <c r="EJ16" i="14815"/>
  <c r="EI16" i="14815"/>
  <c r="EH16" i="14815"/>
  <c r="EG16" i="14815"/>
  <c r="EF16" i="14815"/>
  <c r="EE16" i="14815"/>
  <c r="ED16" i="14815"/>
  <c r="EC16" i="14815"/>
  <c r="EB16" i="14815"/>
  <c r="EA16" i="14815"/>
  <c r="DZ16" i="14815"/>
  <c r="DY16" i="14815"/>
  <c r="DX16" i="14815"/>
  <c r="DW16" i="14815"/>
  <c r="DV16" i="14815"/>
  <c r="DU16" i="14815"/>
  <c r="DT16" i="14815"/>
  <c r="DS16" i="14815"/>
  <c r="DR16" i="14815"/>
  <c r="DQ16" i="14815"/>
  <c r="DP16" i="14815"/>
  <c r="DO16" i="14815"/>
  <c r="DN16" i="14815"/>
  <c r="DM16" i="14815"/>
  <c r="DL16" i="14815"/>
  <c r="DK16" i="14815"/>
  <c r="DJ16" i="14815"/>
  <c r="DI16" i="14815"/>
  <c r="DH16" i="14815"/>
  <c r="DG16" i="14815"/>
  <c r="DF16" i="14815"/>
  <c r="DE16" i="14815"/>
  <c r="DD16" i="14815"/>
  <c r="A16" i="14815"/>
  <c r="EV15" i="14815"/>
  <c r="EU15" i="14815"/>
  <c r="ET15" i="14815"/>
  <c r="ES15" i="14815"/>
  <c r="ER15" i="14815"/>
  <c r="EQ15" i="14815"/>
  <c r="EP15" i="14815"/>
  <c r="EO15" i="14815"/>
  <c r="EN15" i="14815"/>
  <c r="EM15" i="14815"/>
  <c r="EL15" i="14815"/>
  <c r="EK15" i="14815"/>
  <c r="EJ15" i="14815"/>
  <c r="EI15" i="14815"/>
  <c r="EH15" i="14815"/>
  <c r="EG15" i="14815"/>
  <c r="EF15" i="14815"/>
  <c r="EE15" i="14815"/>
  <c r="ED15" i="14815"/>
  <c r="EC15" i="14815"/>
  <c r="EB15" i="14815"/>
  <c r="EA15" i="14815"/>
  <c r="DZ15" i="14815"/>
  <c r="DY15" i="14815"/>
  <c r="DX15" i="14815"/>
  <c r="DW15" i="14815"/>
  <c r="DV15" i="14815"/>
  <c r="DU15" i="14815"/>
  <c r="DT15" i="14815"/>
  <c r="DS15" i="14815"/>
  <c r="DR15" i="14815"/>
  <c r="DQ15" i="14815"/>
  <c r="DP15" i="14815"/>
  <c r="DO15" i="14815"/>
  <c r="DN15" i="14815"/>
  <c r="DM15" i="14815"/>
  <c r="DL15" i="14815"/>
  <c r="DK15" i="14815"/>
  <c r="DJ15" i="14815"/>
  <c r="DI15" i="14815"/>
  <c r="DH15" i="14815"/>
  <c r="DG15" i="14815"/>
  <c r="DF15" i="14815"/>
  <c r="DE15" i="14815"/>
  <c r="DD15" i="14815"/>
  <c r="A15" i="14815"/>
  <c r="EV14" i="14815"/>
  <c r="EU14" i="14815"/>
  <c r="ET14" i="14815"/>
  <c r="ES14" i="14815"/>
  <c r="ER14" i="14815"/>
  <c r="EQ14" i="14815"/>
  <c r="EP14" i="14815"/>
  <c r="EO14" i="14815"/>
  <c r="EN14" i="14815"/>
  <c r="EM14" i="14815"/>
  <c r="EL14" i="14815"/>
  <c r="EK14" i="14815"/>
  <c r="EJ14" i="14815"/>
  <c r="EI14" i="14815"/>
  <c r="EH14" i="14815"/>
  <c r="EG14" i="14815"/>
  <c r="EF14" i="14815"/>
  <c r="EE14" i="14815"/>
  <c r="ED14" i="14815"/>
  <c r="EC14" i="14815"/>
  <c r="EB14" i="14815"/>
  <c r="EA14" i="14815"/>
  <c r="DZ14" i="14815"/>
  <c r="DY14" i="14815"/>
  <c r="DX14" i="14815"/>
  <c r="DW14" i="14815"/>
  <c r="DV14" i="14815"/>
  <c r="DU14" i="14815"/>
  <c r="DT14" i="14815"/>
  <c r="DS14" i="14815"/>
  <c r="DR14" i="14815"/>
  <c r="DQ14" i="14815"/>
  <c r="DP14" i="14815"/>
  <c r="DO14" i="14815"/>
  <c r="DN14" i="14815"/>
  <c r="DM14" i="14815"/>
  <c r="DL14" i="14815"/>
  <c r="DK14" i="14815"/>
  <c r="DJ14" i="14815"/>
  <c r="DI14" i="14815"/>
  <c r="DH14" i="14815"/>
  <c r="DG14" i="14815"/>
  <c r="DF14" i="14815"/>
  <c r="DE14" i="14815"/>
  <c r="DD14" i="14815"/>
  <c r="A14" i="14815"/>
  <c r="EV13" i="14815"/>
  <c r="EU13" i="14815"/>
  <c r="ET13" i="14815"/>
  <c r="ES13" i="14815"/>
  <c r="ER13" i="14815"/>
  <c r="EQ13" i="14815"/>
  <c r="EP13" i="14815"/>
  <c r="EO13" i="14815"/>
  <c r="EN13" i="14815"/>
  <c r="EM13" i="14815"/>
  <c r="EL13" i="14815"/>
  <c r="EK13" i="14815"/>
  <c r="EJ13" i="14815"/>
  <c r="EI13" i="14815"/>
  <c r="EH13" i="14815"/>
  <c r="EG13" i="14815"/>
  <c r="EF13" i="14815"/>
  <c r="EE13" i="14815"/>
  <c r="ED13" i="14815"/>
  <c r="EC13" i="14815"/>
  <c r="EB13" i="14815"/>
  <c r="EA13" i="14815"/>
  <c r="DZ13" i="14815"/>
  <c r="DY13" i="14815"/>
  <c r="DX13" i="14815"/>
  <c r="DW13" i="14815"/>
  <c r="DV13" i="14815"/>
  <c r="DU13" i="14815"/>
  <c r="DT13" i="14815"/>
  <c r="DS13" i="14815"/>
  <c r="DR13" i="14815"/>
  <c r="DQ13" i="14815"/>
  <c r="DP13" i="14815"/>
  <c r="DO13" i="14815"/>
  <c r="DN13" i="14815"/>
  <c r="DM13" i="14815"/>
  <c r="DL13" i="14815"/>
  <c r="DK13" i="14815"/>
  <c r="DJ13" i="14815"/>
  <c r="DI13" i="14815"/>
  <c r="DH13" i="14815"/>
  <c r="DG13" i="14815"/>
  <c r="DF13" i="14815"/>
  <c r="DE13" i="14815"/>
  <c r="DD13" i="14815"/>
  <c r="A13" i="14815"/>
  <c r="EV12" i="14815"/>
  <c r="EU12" i="14815"/>
  <c r="ET12" i="14815"/>
  <c r="ES12" i="14815"/>
  <c r="ER12" i="14815"/>
  <c r="EQ12" i="14815"/>
  <c r="EP12" i="14815"/>
  <c r="EO12" i="14815"/>
  <c r="EN12" i="14815"/>
  <c r="EM12" i="14815"/>
  <c r="EL12" i="14815"/>
  <c r="EK12" i="14815"/>
  <c r="EJ12" i="14815"/>
  <c r="EI12" i="14815"/>
  <c r="EH12" i="14815"/>
  <c r="EG12" i="14815"/>
  <c r="EF12" i="14815"/>
  <c r="EE12" i="14815"/>
  <c r="ED12" i="14815"/>
  <c r="EC12" i="14815"/>
  <c r="EB12" i="14815"/>
  <c r="EA12" i="14815"/>
  <c r="DZ12" i="14815"/>
  <c r="DY12" i="14815"/>
  <c r="DX12" i="14815"/>
  <c r="DW12" i="14815"/>
  <c r="DV12" i="14815"/>
  <c r="DU12" i="14815"/>
  <c r="DT12" i="14815"/>
  <c r="DS12" i="14815"/>
  <c r="DR12" i="14815"/>
  <c r="DQ12" i="14815"/>
  <c r="DP12" i="14815"/>
  <c r="DO12" i="14815"/>
  <c r="DN12" i="14815"/>
  <c r="DM12" i="14815"/>
  <c r="DL12" i="14815"/>
  <c r="DK12" i="14815"/>
  <c r="DJ12" i="14815"/>
  <c r="DI12" i="14815"/>
  <c r="DH12" i="14815"/>
  <c r="DG12" i="14815"/>
  <c r="DF12" i="14815"/>
  <c r="DE12" i="14815"/>
  <c r="DD12" i="14815"/>
  <c r="A12" i="14815"/>
  <c r="EV11" i="14815"/>
  <c r="EU11" i="14815"/>
  <c r="ET11" i="14815"/>
  <c r="ES11" i="14815"/>
  <c r="ER11" i="14815"/>
  <c r="EQ11" i="14815"/>
  <c r="EP11" i="14815"/>
  <c r="EO11" i="14815"/>
  <c r="EN11" i="14815"/>
  <c r="EM11" i="14815"/>
  <c r="EL11" i="14815"/>
  <c r="EK11" i="14815"/>
  <c r="EJ11" i="14815"/>
  <c r="EI11" i="14815"/>
  <c r="EH11" i="14815"/>
  <c r="EG11" i="14815"/>
  <c r="EF11" i="14815"/>
  <c r="EE11" i="14815"/>
  <c r="ED11" i="14815"/>
  <c r="EC11" i="14815"/>
  <c r="EB11" i="14815"/>
  <c r="EA11" i="14815"/>
  <c r="DZ11" i="14815"/>
  <c r="DY11" i="14815"/>
  <c r="DX11" i="14815"/>
  <c r="DW11" i="14815"/>
  <c r="DV11" i="14815"/>
  <c r="DU11" i="14815"/>
  <c r="DT11" i="14815"/>
  <c r="DS11" i="14815"/>
  <c r="DR11" i="14815"/>
  <c r="DQ11" i="14815"/>
  <c r="DP11" i="14815"/>
  <c r="DO11" i="14815"/>
  <c r="DN11" i="14815"/>
  <c r="DM11" i="14815"/>
  <c r="DL11" i="14815"/>
  <c r="DK11" i="14815"/>
  <c r="DJ11" i="14815"/>
  <c r="DI11" i="14815"/>
  <c r="DH11" i="14815"/>
  <c r="DG11" i="14815"/>
  <c r="DF11" i="14815"/>
  <c r="DE11" i="14815"/>
  <c r="DD11" i="14815"/>
  <c r="A11" i="14815"/>
  <c r="EV10" i="14815"/>
  <c r="EU10" i="14815"/>
  <c r="ET10" i="14815"/>
  <c r="ES10" i="14815"/>
  <c r="ER10" i="14815"/>
  <c r="EQ10" i="14815"/>
  <c r="EP10" i="14815"/>
  <c r="EO10" i="14815"/>
  <c r="EN10" i="14815"/>
  <c r="EM10" i="14815"/>
  <c r="EL10" i="14815"/>
  <c r="EK10" i="14815"/>
  <c r="EJ10" i="14815"/>
  <c r="EI10" i="14815"/>
  <c r="EH10" i="14815"/>
  <c r="EG10" i="14815"/>
  <c r="EF10" i="14815"/>
  <c r="EE10" i="14815"/>
  <c r="ED10" i="14815"/>
  <c r="EC10" i="14815"/>
  <c r="EB10" i="14815"/>
  <c r="EA10" i="14815"/>
  <c r="DZ10" i="14815"/>
  <c r="DY10" i="14815"/>
  <c r="DX10" i="14815"/>
  <c r="DW10" i="14815"/>
  <c r="DV10" i="14815"/>
  <c r="DU10" i="14815"/>
  <c r="DT10" i="14815"/>
  <c r="DS10" i="14815"/>
  <c r="DR10" i="14815"/>
  <c r="DQ10" i="14815"/>
  <c r="DP10" i="14815"/>
  <c r="DO10" i="14815"/>
  <c r="DN10" i="14815"/>
  <c r="DM10" i="14815"/>
  <c r="DL10" i="14815"/>
  <c r="DK10" i="14815"/>
  <c r="DJ10" i="14815"/>
  <c r="DI10" i="14815"/>
  <c r="DH10" i="14815"/>
  <c r="DG10" i="14815"/>
  <c r="DF10" i="14815"/>
  <c r="DE10" i="14815"/>
  <c r="DD10" i="14815"/>
  <c r="A10" i="14815"/>
  <c r="EV9" i="14815"/>
  <c r="EU9" i="14815"/>
  <c r="ET9" i="14815"/>
  <c r="ES9" i="14815"/>
  <c r="ER9" i="14815"/>
  <c r="EQ9" i="14815"/>
  <c r="EP9" i="14815"/>
  <c r="EO9" i="14815"/>
  <c r="EN9" i="14815"/>
  <c r="EM9" i="14815"/>
  <c r="EL9" i="14815"/>
  <c r="EK9" i="14815"/>
  <c r="EJ9" i="14815"/>
  <c r="EI9" i="14815"/>
  <c r="EH9" i="14815"/>
  <c r="EG9" i="14815"/>
  <c r="EF9" i="14815"/>
  <c r="EE9" i="14815"/>
  <c r="ED9" i="14815"/>
  <c r="EC9" i="14815"/>
  <c r="EB9" i="14815"/>
  <c r="EA9" i="14815"/>
  <c r="DZ9" i="14815"/>
  <c r="DY9" i="14815"/>
  <c r="DX9" i="14815"/>
  <c r="DW9" i="14815"/>
  <c r="DV9" i="14815"/>
  <c r="DU9" i="14815"/>
  <c r="DT9" i="14815"/>
  <c r="DS9" i="14815"/>
  <c r="DR9" i="14815"/>
  <c r="DQ9" i="14815"/>
  <c r="DP9" i="14815"/>
  <c r="DO9" i="14815"/>
  <c r="DN9" i="14815"/>
  <c r="DM9" i="14815"/>
  <c r="DL9" i="14815"/>
  <c r="DK9" i="14815"/>
  <c r="DJ9" i="14815"/>
  <c r="DI9" i="14815"/>
  <c r="DH9" i="14815"/>
  <c r="DG9" i="14815"/>
  <c r="DF9" i="14815"/>
  <c r="DE9" i="14815"/>
  <c r="DD9" i="14815"/>
  <c r="A9" i="14815"/>
  <c r="EV8" i="14815"/>
  <c r="EU8" i="14815"/>
  <c r="ET8" i="14815"/>
  <c r="ES8" i="14815"/>
  <c r="ER8" i="14815"/>
  <c r="EQ8" i="14815"/>
  <c r="EP8" i="14815"/>
  <c r="EO8" i="14815"/>
  <c r="EN8" i="14815"/>
  <c r="EM8" i="14815"/>
  <c r="EL8" i="14815"/>
  <c r="EK8" i="14815"/>
  <c r="EJ8" i="14815"/>
  <c r="EI8" i="14815"/>
  <c r="EH8" i="14815"/>
  <c r="EG8" i="14815"/>
  <c r="EF8" i="14815"/>
  <c r="EE8" i="14815"/>
  <c r="ED8" i="14815"/>
  <c r="EC8" i="14815"/>
  <c r="EB8" i="14815"/>
  <c r="EA8" i="14815"/>
  <c r="DZ8" i="14815"/>
  <c r="DY8" i="14815"/>
  <c r="DX8" i="14815"/>
  <c r="DW8" i="14815"/>
  <c r="DV8" i="14815"/>
  <c r="DU8" i="14815"/>
  <c r="DT8" i="14815"/>
  <c r="DS8" i="14815"/>
  <c r="DR8" i="14815"/>
  <c r="DQ8" i="14815"/>
  <c r="DP8" i="14815"/>
  <c r="DO8" i="14815"/>
  <c r="DN8" i="14815"/>
  <c r="DM8" i="14815"/>
  <c r="DL8" i="14815"/>
  <c r="DK8" i="14815"/>
  <c r="DJ8" i="14815"/>
  <c r="DI8" i="14815"/>
  <c r="DH8" i="14815"/>
  <c r="DG8" i="14815"/>
  <c r="DF8" i="14815"/>
  <c r="DE8" i="14815"/>
  <c r="DD8" i="14815"/>
  <c r="A8" i="14815"/>
  <c r="EV7" i="14815"/>
  <c r="EU7" i="14815"/>
  <c r="ET7" i="14815"/>
  <c r="ES7" i="14815"/>
  <c r="ER7" i="14815"/>
  <c r="EQ7" i="14815"/>
  <c r="EP7" i="14815"/>
  <c r="EO7" i="14815"/>
  <c r="EN7" i="14815"/>
  <c r="EM7" i="14815"/>
  <c r="EL7" i="14815"/>
  <c r="EK7" i="14815"/>
  <c r="EJ7" i="14815"/>
  <c r="EI7" i="14815"/>
  <c r="EH7" i="14815"/>
  <c r="EG7" i="14815"/>
  <c r="EF7" i="14815"/>
  <c r="EE7" i="14815"/>
  <c r="ED7" i="14815"/>
  <c r="EC7" i="14815"/>
  <c r="EB7" i="14815"/>
  <c r="EA7" i="14815"/>
  <c r="DZ7" i="14815"/>
  <c r="DY7" i="14815"/>
  <c r="DX7" i="14815"/>
  <c r="DW7" i="14815"/>
  <c r="DV7" i="14815"/>
  <c r="DU7" i="14815"/>
  <c r="DT7" i="14815"/>
  <c r="DS7" i="14815"/>
  <c r="DR7" i="14815"/>
  <c r="DQ7" i="14815"/>
  <c r="DP7" i="14815"/>
  <c r="DO7" i="14815"/>
  <c r="DN7" i="14815"/>
  <c r="DM7" i="14815"/>
  <c r="DL7" i="14815"/>
  <c r="DK7" i="14815"/>
  <c r="DJ7" i="14815"/>
  <c r="DI7" i="14815"/>
  <c r="DH7" i="14815"/>
  <c r="DG7" i="14815"/>
  <c r="DF7" i="14815"/>
  <c r="DE7" i="14815"/>
  <c r="DD7" i="14815"/>
  <c r="A7" i="14815"/>
  <c r="EV6" i="14815"/>
  <c r="EU6" i="14815"/>
  <c r="ET6" i="14815"/>
  <c r="ES6" i="14815"/>
  <c r="ER6" i="14815"/>
  <c r="EQ6" i="14815"/>
  <c r="EP6" i="14815"/>
  <c r="EO6" i="14815"/>
  <c r="EN6" i="14815"/>
  <c r="EM6" i="14815"/>
  <c r="EL6" i="14815"/>
  <c r="EK6" i="14815"/>
  <c r="EJ6" i="14815"/>
  <c r="EI6" i="14815"/>
  <c r="EH6" i="14815"/>
  <c r="EG6" i="14815"/>
  <c r="EF6" i="14815"/>
  <c r="EE6" i="14815"/>
  <c r="ED6" i="14815"/>
  <c r="EC6" i="14815"/>
  <c r="EB6" i="14815"/>
  <c r="EA6" i="14815"/>
  <c r="DZ6" i="14815"/>
  <c r="DY6" i="14815"/>
  <c r="DX6" i="14815"/>
  <c r="DW6" i="14815"/>
  <c r="DV6" i="14815"/>
  <c r="DU6" i="14815"/>
  <c r="DT6" i="14815"/>
  <c r="DS6" i="14815"/>
  <c r="DR6" i="14815"/>
  <c r="DQ6" i="14815"/>
  <c r="DP6" i="14815"/>
  <c r="DO6" i="14815"/>
  <c r="DN6" i="14815"/>
  <c r="DM6" i="14815"/>
  <c r="DL6" i="14815"/>
  <c r="DK6" i="14815"/>
  <c r="DJ6" i="14815"/>
  <c r="DI6" i="14815"/>
  <c r="DH6" i="14815"/>
  <c r="DG6" i="14815"/>
  <c r="DF6" i="14815"/>
  <c r="DE6" i="14815"/>
  <c r="DD6" i="14815"/>
  <c r="A6" i="14815"/>
  <c r="C238" i="14786"/>
  <c r="O171" i="14786"/>
  <c r="N171" i="14786"/>
  <c r="M171" i="14786"/>
  <c r="HN53" i="14809"/>
  <c r="HM53" i="14809"/>
  <c r="HL53" i="14809"/>
  <c r="HK53" i="14809"/>
  <c r="HJ53" i="14809"/>
  <c r="HI53" i="14809"/>
  <c r="HH53" i="14809"/>
  <c r="HG53" i="14809"/>
  <c r="HF53" i="14809"/>
  <c r="HE53" i="14809"/>
  <c r="HD53" i="14809"/>
  <c r="HC53" i="14809"/>
  <c r="GK53" i="14809"/>
  <c r="GJ53" i="14809"/>
  <c r="GL53" i="14809" s="1"/>
  <c r="GI53" i="14809"/>
  <c r="GE53" i="14809"/>
  <c r="GH53" i="14809" s="1"/>
  <c r="GD53" i="14809"/>
  <c r="GC53" i="14809"/>
  <c r="GB53" i="14809"/>
  <c r="GA53" i="14809"/>
  <c r="GF53" i="14809" s="1"/>
  <c r="FZ53" i="14809"/>
  <c r="G53" i="14809"/>
  <c r="HN52" i="14809"/>
  <c r="HM52" i="14809"/>
  <c r="HL52" i="14809"/>
  <c r="HK52" i="14809"/>
  <c r="HJ52" i="14809"/>
  <c r="HI52" i="14809"/>
  <c r="HH52" i="14809"/>
  <c r="HG52" i="14809"/>
  <c r="HF52" i="14809"/>
  <c r="HE52" i="14809"/>
  <c r="HD52" i="14809"/>
  <c r="HC52" i="14809"/>
  <c r="HO52" i="14809" s="1"/>
  <c r="GK52" i="14809"/>
  <c r="GJ52" i="14809"/>
  <c r="GI52" i="14809"/>
  <c r="GE52" i="14809"/>
  <c r="GD52" i="14809"/>
  <c r="GC52" i="14809"/>
  <c r="GB52" i="14809"/>
  <c r="GA52" i="14809"/>
  <c r="FZ52" i="14809"/>
  <c r="G52" i="14809"/>
  <c r="HN51" i="14809"/>
  <c r="HM51" i="14809"/>
  <c r="HL51" i="14809"/>
  <c r="HK51" i="14809"/>
  <c r="HJ51" i="14809"/>
  <c r="HI51" i="14809"/>
  <c r="HH51" i="14809"/>
  <c r="HG51" i="14809"/>
  <c r="HF51" i="14809"/>
  <c r="HE51" i="14809"/>
  <c r="HO51" i="14809" s="1"/>
  <c r="HD51" i="14809"/>
  <c r="HC51" i="14809"/>
  <c r="GK51" i="14809"/>
  <c r="GJ51" i="14809"/>
  <c r="GI51" i="14809"/>
  <c r="GE51" i="14809"/>
  <c r="GD51" i="14809"/>
  <c r="GC51" i="14809"/>
  <c r="GB51" i="14809"/>
  <c r="GA51" i="14809"/>
  <c r="GF51" i="14809" s="1"/>
  <c r="FZ51" i="14809"/>
  <c r="BU51" i="14809"/>
  <c r="G51" i="14809"/>
  <c r="HN50" i="14809"/>
  <c r="HM50" i="14809"/>
  <c r="HL50" i="14809"/>
  <c r="HK50" i="14809"/>
  <c r="HJ50" i="14809"/>
  <c r="HI50" i="14809"/>
  <c r="HH50" i="14809"/>
  <c r="HG50" i="14809"/>
  <c r="HF50" i="14809"/>
  <c r="HE50" i="14809"/>
  <c r="HD50" i="14809"/>
  <c r="HC50" i="14809"/>
  <c r="GK50" i="14809"/>
  <c r="GJ50" i="14809"/>
  <c r="GI50" i="14809"/>
  <c r="GE50" i="14809"/>
  <c r="GD50" i="14809"/>
  <c r="GC50" i="14809"/>
  <c r="GB50" i="14809"/>
  <c r="GA50" i="14809"/>
  <c r="FZ50" i="14809"/>
  <c r="GF50" i="14809" s="1"/>
  <c r="G50" i="14809"/>
  <c r="HN49" i="14809"/>
  <c r="HM49" i="14809"/>
  <c r="HL49" i="14809"/>
  <c r="HK49" i="14809"/>
  <c r="HJ49" i="14809"/>
  <c r="HI49" i="14809"/>
  <c r="HH49" i="14809"/>
  <c r="HG49" i="14809"/>
  <c r="HF49" i="14809"/>
  <c r="HE49" i="14809"/>
  <c r="HD49" i="14809"/>
  <c r="HC49" i="14809"/>
  <c r="GK49" i="14809"/>
  <c r="GJ49" i="14809"/>
  <c r="GI49" i="14809"/>
  <c r="GE49" i="14809"/>
  <c r="GD49" i="14809"/>
  <c r="GC49" i="14809"/>
  <c r="GB49" i="14809"/>
  <c r="GH49" i="14809" s="1"/>
  <c r="GA49" i="14809"/>
  <c r="FZ49" i="14809"/>
  <c r="BU49" i="14809"/>
  <c r="G49" i="14809"/>
  <c r="HN48" i="14809"/>
  <c r="HM48" i="14809"/>
  <c r="HL48" i="14809"/>
  <c r="HK48" i="14809"/>
  <c r="HJ48" i="14809"/>
  <c r="HI48" i="14809"/>
  <c r="HH48" i="14809"/>
  <c r="HG48" i="14809"/>
  <c r="HF48" i="14809"/>
  <c r="HE48" i="14809"/>
  <c r="HD48" i="14809"/>
  <c r="HC48" i="14809"/>
  <c r="GK48" i="14809"/>
  <c r="GJ48" i="14809"/>
  <c r="GI48" i="14809"/>
  <c r="GE48" i="14809"/>
  <c r="GH48" i="14809" s="1"/>
  <c r="GD48" i="14809"/>
  <c r="GC48" i="14809"/>
  <c r="GB48" i="14809"/>
  <c r="GA48" i="14809"/>
  <c r="FZ48" i="14809"/>
  <c r="BU48" i="14809"/>
  <c r="G48" i="14809"/>
  <c r="HN47" i="14809"/>
  <c r="HM47" i="14809"/>
  <c r="HL47" i="14809"/>
  <c r="HK47" i="14809"/>
  <c r="HJ47" i="14809"/>
  <c r="HI47" i="14809"/>
  <c r="HH47" i="14809"/>
  <c r="HG47" i="14809"/>
  <c r="HF47" i="14809"/>
  <c r="HE47" i="14809"/>
  <c r="HD47" i="14809"/>
  <c r="HC47" i="14809"/>
  <c r="GK47" i="14809"/>
  <c r="GJ47" i="14809"/>
  <c r="GI47" i="14809"/>
  <c r="GE47" i="14809"/>
  <c r="GD47" i="14809"/>
  <c r="GC47" i="14809"/>
  <c r="GB47" i="14809"/>
  <c r="GH47" i="14809" s="1"/>
  <c r="GA47" i="14809"/>
  <c r="FZ47" i="14809"/>
  <c r="BU47" i="14809"/>
  <c r="G47" i="14809"/>
  <c r="HN46" i="14809"/>
  <c r="HM46" i="14809"/>
  <c r="HL46" i="14809"/>
  <c r="HK46" i="14809"/>
  <c r="HJ46" i="14809"/>
  <c r="HI46" i="14809"/>
  <c r="HH46" i="14809"/>
  <c r="HG46" i="14809"/>
  <c r="HF46" i="14809"/>
  <c r="HE46" i="14809"/>
  <c r="HD46" i="14809"/>
  <c r="HC46" i="14809"/>
  <c r="GK46" i="14809"/>
  <c r="GJ46" i="14809"/>
  <c r="GI46" i="14809"/>
  <c r="GE46" i="14809"/>
  <c r="GD46" i="14809"/>
  <c r="GC46" i="14809"/>
  <c r="GB46" i="14809"/>
  <c r="GA46" i="14809"/>
  <c r="FZ46" i="14809"/>
  <c r="BU46" i="14809"/>
  <c r="G46" i="14809"/>
  <c r="HN45" i="14809"/>
  <c r="HM45" i="14809"/>
  <c r="HL45" i="14809"/>
  <c r="HK45" i="14809"/>
  <c r="HJ45" i="14809"/>
  <c r="HI45" i="14809"/>
  <c r="HH45" i="14809"/>
  <c r="HG45" i="14809"/>
  <c r="HF45" i="14809"/>
  <c r="HE45" i="14809"/>
  <c r="HD45" i="14809"/>
  <c r="HC45" i="14809"/>
  <c r="GK45" i="14809"/>
  <c r="GJ45" i="14809"/>
  <c r="GI45" i="14809"/>
  <c r="GE45" i="14809"/>
  <c r="GD45" i="14809"/>
  <c r="GC45" i="14809"/>
  <c r="GB45" i="14809"/>
  <c r="GH45" i="14809" s="1"/>
  <c r="GA45" i="14809"/>
  <c r="FZ45" i="14809"/>
  <c r="GF45" i="14809" s="1"/>
  <c r="BU45" i="14809"/>
  <c r="G45" i="14809"/>
  <c r="HN44" i="14809"/>
  <c r="HM44" i="14809"/>
  <c r="HL44" i="14809"/>
  <c r="HK44" i="14809"/>
  <c r="HJ44" i="14809"/>
  <c r="HI44" i="14809"/>
  <c r="HH44" i="14809"/>
  <c r="HG44" i="14809"/>
  <c r="HF44" i="14809"/>
  <c r="HE44" i="14809"/>
  <c r="HD44" i="14809"/>
  <c r="HC44" i="14809"/>
  <c r="GK44" i="14809"/>
  <c r="GJ44" i="14809"/>
  <c r="GL44" i="14809" s="1"/>
  <c r="GI44" i="14809"/>
  <c r="GE44" i="14809"/>
  <c r="GH44" i="14809" s="1"/>
  <c r="GD44" i="14809"/>
  <c r="GC44" i="14809"/>
  <c r="GB44" i="14809"/>
  <c r="GA44" i="14809"/>
  <c r="FZ44" i="14809"/>
  <c r="BU44" i="14809"/>
  <c r="G44" i="14809"/>
  <c r="HN43" i="14809"/>
  <c r="HM43" i="14809"/>
  <c r="HL43" i="14809"/>
  <c r="HK43" i="14809"/>
  <c r="HJ43" i="14809"/>
  <c r="HI43" i="14809"/>
  <c r="HH43" i="14809"/>
  <c r="HG43" i="14809"/>
  <c r="HF43" i="14809"/>
  <c r="HE43" i="14809"/>
  <c r="HD43" i="14809"/>
  <c r="HC43" i="14809"/>
  <c r="GK43" i="14809"/>
  <c r="GJ43" i="14809"/>
  <c r="GI43" i="14809"/>
  <c r="GE43" i="14809"/>
  <c r="GD43" i="14809"/>
  <c r="GC43" i="14809"/>
  <c r="GB43" i="14809"/>
  <c r="GH43" i="14809" s="1"/>
  <c r="GA43" i="14809"/>
  <c r="FZ43" i="14809"/>
  <c r="GL43" i="14809" s="1"/>
  <c r="BU43" i="14809"/>
  <c r="G43" i="14809"/>
  <c r="HO42" i="14809"/>
  <c r="GK42" i="14809"/>
  <c r="GJ42" i="14809"/>
  <c r="GI42" i="14809"/>
  <c r="GE42" i="14809"/>
  <c r="GD42" i="14809"/>
  <c r="GC42" i="14809"/>
  <c r="GB42" i="14809"/>
  <c r="GA42" i="14809"/>
  <c r="FZ42" i="14809"/>
  <c r="BU42" i="14809"/>
  <c r="G42" i="14809"/>
  <c r="HO41" i="14809"/>
  <c r="GK41" i="14809"/>
  <c r="GJ41" i="14809"/>
  <c r="GI41" i="14809"/>
  <c r="GE41" i="14809"/>
  <c r="GD41" i="14809"/>
  <c r="GC41" i="14809"/>
  <c r="GB41" i="14809"/>
  <c r="GA41" i="14809"/>
  <c r="FZ41" i="14809"/>
  <c r="DL41" i="14809"/>
  <c r="DN41" i="14809" s="1"/>
  <c r="BU41" i="14809"/>
  <c r="G41" i="14809"/>
  <c r="HO40" i="14809"/>
  <c r="GK40" i="14809"/>
  <c r="GJ40" i="14809"/>
  <c r="GI40" i="14809"/>
  <c r="GE40" i="14809"/>
  <c r="GD40" i="14809"/>
  <c r="GC40" i="14809"/>
  <c r="GB40" i="14809"/>
  <c r="GA40" i="14809"/>
  <c r="FZ40" i="14809"/>
  <c r="DL40" i="14809"/>
  <c r="DN40" i="14809" s="1"/>
  <c r="BU40" i="14809"/>
  <c r="G40" i="14809"/>
  <c r="HO39" i="14809"/>
  <c r="GK39" i="14809"/>
  <c r="GJ39" i="14809"/>
  <c r="GI39" i="14809"/>
  <c r="GE39" i="14809"/>
  <c r="GH39" i="14809" s="1"/>
  <c r="GD39" i="14809"/>
  <c r="GC39" i="14809"/>
  <c r="GB39" i="14809"/>
  <c r="GA39" i="14809"/>
  <c r="FZ39" i="14809"/>
  <c r="DL39" i="14809"/>
  <c r="DN39" i="14809" s="1"/>
  <c r="BU39" i="14809"/>
  <c r="G39" i="14809"/>
  <c r="HO38" i="14809"/>
  <c r="GK38" i="14809"/>
  <c r="GJ38" i="14809"/>
  <c r="GI38" i="14809"/>
  <c r="GE38" i="14809"/>
  <c r="GD38" i="14809"/>
  <c r="GC38" i="14809"/>
  <c r="GB38" i="14809"/>
  <c r="GH38" i="14809" s="1"/>
  <c r="GA38" i="14809"/>
  <c r="FZ38" i="14809"/>
  <c r="DL38" i="14809"/>
  <c r="DN38" i="14809" s="1"/>
  <c r="BU38" i="14809"/>
  <c r="G38" i="14809"/>
  <c r="HO37" i="14809"/>
  <c r="GK37" i="14809"/>
  <c r="GJ37" i="14809"/>
  <c r="GL37" i="14809" s="1"/>
  <c r="GI37" i="14809"/>
  <c r="GE37" i="14809"/>
  <c r="GH37" i="14809" s="1"/>
  <c r="GD37" i="14809"/>
  <c r="GC37" i="14809"/>
  <c r="GB37" i="14809"/>
  <c r="GA37" i="14809"/>
  <c r="FZ37" i="14809"/>
  <c r="DL37" i="14809"/>
  <c r="DN37" i="14809" s="1"/>
  <c r="BU37" i="14809"/>
  <c r="G37" i="14809"/>
  <c r="HO36" i="14809"/>
  <c r="GK36" i="14809"/>
  <c r="GJ36" i="14809"/>
  <c r="GI36" i="14809"/>
  <c r="GE36" i="14809"/>
  <c r="GD36" i="14809"/>
  <c r="GC36" i="14809"/>
  <c r="GB36" i="14809"/>
  <c r="GA36" i="14809"/>
  <c r="GF36" i="14809" s="1"/>
  <c r="FZ36" i="14809"/>
  <c r="DL36" i="14809"/>
  <c r="DN36" i="14809" s="1"/>
  <c r="BU36" i="14809"/>
  <c r="G36" i="14809"/>
  <c r="HO35" i="14809"/>
  <c r="GK35" i="14809"/>
  <c r="GJ35" i="14809"/>
  <c r="GI35" i="14809"/>
  <c r="GE35" i="14809"/>
  <c r="GD35" i="14809"/>
  <c r="GC35" i="14809"/>
  <c r="GB35" i="14809"/>
  <c r="GA35" i="14809"/>
  <c r="FZ35" i="14809"/>
  <c r="DL35" i="14809"/>
  <c r="DN35" i="14809" s="1"/>
  <c r="BU35" i="14809"/>
  <c r="G35" i="14809"/>
  <c r="HO34" i="14809"/>
  <c r="GK34" i="14809"/>
  <c r="GJ34" i="14809"/>
  <c r="GI34" i="14809"/>
  <c r="GE34" i="14809"/>
  <c r="GH34" i="14809" s="1"/>
  <c r="GD34" i="14809"/>
  <c r="GC34" i="14809"/>
  <c r="GB34" i="14809"/>
  <c r="GA34" i="14809"/>
  <c r="FZ34" i="14809"/>
  <c r="BU34" i="14809"/>
  <c r="G34" i="14809"/>
  <c r="HO33" i="14809"/>
  <c r="GK33" i="14809"/>
  <c r="GJ33" i="14809"/>
  <c r="GI33" i="14809"/>
  <c r="GE33" i="14809"/>
  <c r="GH33" i="14809" s="1"/>
  <c r="GD33" i="14809"/>
  <c r="GC33" i="14809"/>
  <c r="GB33" i="14809"/>
  <c r="GA33" i="14809"/>
  <c r="GF33" i="14809" s="1"/>
  <c r="FZ33" i="14809"/>
  <c r="BU33" i="14809"/>
  <c r="G33" i="14809"/>
  <c r="HO32" i="14809"/>
  <c r="GK32" i="14809"/>
  <c r="GJ32" i="14809"/>
  <c r="GI32" i="14809"/>
  <c r="GE32" i="14809"/>
  <c r="GD32" i="14809"/>
  <c r="GC32" i="14809"/>
  <c r="GB32" i="14809"/>
  <c r="GA32" i="14809"/>
  <c r="FZ32" i="14809"/>
  <c r="DL32" i="14809"/>
  <c r="DN32" i="14809" s="1"/>
  <c r="BU32" i="14809"/>
  <c r="G32" i="14809"/>
  <c r="HO31" i="14809"/>
  <c r="GK31" i="14809"/>
  <c r="GJ31" i="14809"/>
  <c r="GI31" i="14809"/>
  <c r="GE31" i="14809"/>
  <c r="GD31" i="14809"/>
  <c r="GC31" i="14809"/>
  <c r="GB31" i="14809"/>
  <c r="GA31" i="14809"/>
  <c r="FZ31" i="14809"/>
  <c r="GF31" i="14809" s="1"/>
  <c r="DL31" i="14809"/>
  <c r="DN31" i="14809" s="1"/>
  <c r="BU31" i="14809"/>
  <c r="G31" i="14809"/>
  <c r="HO30" i="14809"/>
  <c r="GK30" i="14809"/>
  <c r="GJ30" i="14809"/>
  <c r="GL30" i="14809" s="1"/>
  <c r="GI30" i="14809"/>
  <c r="GE30" i="14809"/>
  <c r="GD30" i="14809"/>
  <c r="GC30" i="14809"/>
  <c r="GB30" i="14809"/>
  <c r="GA30" i="14809"/>
  <c r="GF30" i="14809" s="1"/>
  <c r="FZ30" i="14809"/>
  <c r="DL30" i="14809"/>
  <c r="DN30" i="14809" s="1"/>
  <c r="BU30" i="14809"/>
  <c r="G30" i="14809"/>
  <c r="HO29" i="14809"/>
  <c r="GK29" i="14809"/>
  <c r="GJ29" i="14809"/>
  <c r="GI29" i="14809"/>
  <c r="GE29" i="14809"/>
  <c r="GD29" i="14809"/>
  <c r="GC29" i="14809"/>
  <c r="GB29" i="14809"/>
  <c r="GA29" i="14809"/>
  <c r="FZ29" i="14809"/>
  <c r="GF29" i="14809" s="1"/>
  <c r="DL29" i="14809"/>
  <c r="DN29" i="14809" s="1"/>
  <c r="BU29" i="14809"/>
  <c r="G29" i="14809"/>
  <c r="HO28" i="14809"/>
  <c r="GK28" i="14809"/>
  <c r="GJ28" i="14809"/>
  <c r="GI28" i="14809"/>
  <c r="GE28" i="14809"/>
  <c r="GD28" i="14809"/>
  <c r="GC28" i="14809"/>
  <c r="GB28" i="14809"/>
  <c r="GA28" i="14809"/>
  <c r="FZ28" i="14809"/>
  <c r="BU28" i="14809"/>
  <c r="G28" i="14809"/>
  <c r="HO27" i="14809"/>
  <c r="GK27" i="14809"/>
  <c r="GJ27" i="14809"/>
  <c r="GI27" i="14809"/>
  <c r="GE27" i="14809"/>
  <c r="GH27" i="14809" s="1"/>
  <c r="GD27" i="14809"/>
  <c r="GC27" i="14809"/>
  <c r="GB27" i="14809"/>
  <c r="GA27" i="14809"/>
  <c r="GF27" i="14809" s="1"/>
  <c r="FZ27" i="14809"/>
  <c r="BU27" i="14809"/>
  <c r="G27" i="14809"/>
  <c r="HO26" i="14809"/>
  <c r="GK26" i="14809"/>
  <c r="GJ26" i="14809"/>
  <c r="GL26" i="14809" s="1"/>
  <c r="GI26" i="14809"/>
  <c r="GE26" i="14809"/>
  <c r="GH26" i="14809" s="1"/>
  <c r="GD26" i="14809"/>
  <c r="GC26" i="14809"/>
  <c r="GB26" i="14809"/>
  <c r="GA26" i="14809"/>
  <c r="FZ26" i="14809"/>
  <c r="GF26" i="14809" s="1"/>
  <c r="DL26" i="14809"/>
  <c r="DN26" i="14809" s="1"/>
  <c r="BU26" i="14809"/>
  <c r="G26" i="14809"/>
  <c r="HO25" i="14809"/>
  <c r="GK25" i="14809"/>
  <c r="GJ25" i="14809"/>
  <c r="GI25" i="14809"/>
  <c r="GE25" i="14809"/>
  <c r="GD25" i="14809"/>
  <c r="GC25" i="14809"/>
  <c r="GB25" i="14809"/>
  <c r="GA25" i="14809"/>
  <c r="GF25" i="14809" s="1"/>
  <c r="FZ25" i="14809"/>
  <c r="DL25" i="14809"/>
  <c r="DN25" i="14809" s="1"/>
  <c r="BU25" i="14809"/>
  <c r="G25" i="14809"/>
  <c r="HO24" i="14809"/>
  <c r="GK24" i="14809"/>
  <c r="GJ24" i="14809"/>
  <c r="GI24" i="14809"/>
  <c r="GE24" i="14809"/>
  <c r="GD24" i="14809"/>
  <c r="GC24" i="14809"/>
  <c r="GB24" i="14809"/>
  <c r="GA24" i="14809"/>
  <c r="FZ24" i="14809"/>
  <c r="DL24" i="14809"/>
  <c r="DN24" i="14809"/>
  <c r="BU24" i="14809"/>
  <c r="G24" i="14809"/>
  <c r="HO23" i="14809"/>
  <c r="GK23" i="14809"/>
  <c r="GJ23" i="14809"/>
  <c r="GI23" i="14809"/>
  <c r="GE23" i="14809"/>
  <c r="GD23" i="14809"/>
  <c r="GC23" i="14809"/>
  <c r="GB23" i="14809"/>
  <c r="GA23" i="14809"/>
  <c r="FZ23" i="14809"/>
  <c r="BU23" i="14809"/>
  <c r="DL23" i="14809"/>
  <c r="DN23" i="14809" s="1"/>
  <c r="G23" i="14809"/>
  <c r="HO22" i="14809"/>
  <c r="GK22" i="14809"/>
  <c r="GJ22" i="14809"/>
  <c r="GI22" i="14809"/>
  <c r="GE22" i="14809"/>
  <c r="GD22" i="14809"/>
  <c r="GC22" i="14809"/>
  <c r="GB22" i="14809"/>
  <c r="GA22" i="14809"/>
  <c r="FZ22" i="14809"/>
  <c r="BU22" i="14809"/>
  <c r="DL22" i="14809"/>
  <c r="DN22" i="14809" s="1"/>
  <c r="G22" i="14809"/>
  <c r="HO21" i="14809"/>
  <c r="GK21" i="14809"/>
  <c r="GJ21" i="14809"/>
  <c r="GI21" i="14809"/>
  <c r="GE21" i="14809"/>
  <c r="GD21" i="14809"/>
  <c r="GC21" i="14809"/>
  <c r="GB21" i="14809"/>
  <c r="GA21" i="14809"/>
  <c r="FZ21" i="14809"/>
  <c r="DL21" i="14809"/>
  <c r="DN21" i="14809" s="1"/>
  <c r="BU21" i="14809"/>
  <c r="G21" i="14809"/>
  <c r="HO20" i="14809"/>
  <c r="GK20" i="14809"/>
  <c r="GJ20" i="14809"/>
  <c r="GI20" i="14809"/>
  <c r="GE20" i="14809"/>
  <c r="GD20" i="14809"/>
  <c r="GC20" i="14809"/>
  <c r="GB20" i="14809"/>
  <c r="GA20" i="14809"/>
  <c r="FZ20" i="14809"/>
  <c r="DL20" i="14809"/>
  <c r="DN20" i="14809" s="1"/>
  <c r="BU20" i="14809"/>
  <c r="G20" i="14809"/>
  <c r="HO19" i="14809"/>
  <c r="GK19" i="14809"/>
  <c r="GJ19" i="14809"/>
  <c r="GI19" i="14809"/>
  <c r="GE19" i="14809"/>
  <c r="GD19" i="14809"/>
  <c r="GC19" i="14809"/>
  <c r="GB19" i="14809"/>
  <c r="GH19" i="14809" s="1"/>
  <c r="GA19" i="14809"/>
  <c r="GF19" i="14809" s="1"/>
  <c r="FZ19" i="14809"/>
  <c r="BU19" i="14809"/>
  <c r="G19" i="14809"/>
  <c r="HO18" i="14809"/>
  <c r="GK18" i="14809"/>
  <c r="GJ18" i="14809"/>
  <c r="GI18" i="14809"/>
  <c r="GE18" i="14809"/>
  <c r="GD18" i="14809"/>
  <c r="GC18" i="14809"/>
  <c r="GB18" i="14809"/>
  <c r="GA18" i="14809"/>
  <c r="FZ18" i="14809"/>
  <c r="BU18" i="14809"/>
  <c r="G18" i="14809"/>
  <c r="HO17" i="14809"/>
  <c r="GK17" i="14809"/>
  <c r="GJ17" i="14809"/>
  <c r="GI17" i="14809"/>
  <c r="GE17" i="14809"/>
  <c r="GD17" i="14809"/>
  <c r="GC17" i="14809"/>
  <c r="GB17" i="14809"/>
  <c r="GA17" i="14809"/>
  <c r="FZ17" i="14809"/>
  <c r="DL17" i="14809"/>
  <c r="DN17" i="14809" s="1"/>
  <c r="BU17" i="14809"/>
  <c r="G17" i="14809"/>
  <c r="HO16" i="14809"/>
  <c r="GK16" i="14809"/>
  <c r="GJ16" i="14809"/>
  <c r="GI16" i="14809"/>
  <c r="GE16" i="14809"/>
  <c r="GD16" i="14809"/>
  <c r="GC16" i="14809"/>
  <c r="GB16" i="14809"/>
  <c r="GA16" i="14809"/>
  <c r="FZ16" i="14809"/>
  <c r="GF16" i="14809" s="1"/>
  <c r="BU16" i="14809"/>
  <c r="G16" i="14809"/>
  <c r="HO15" i="14809"/>
  <c r="GK15" i="14809"/>
  <c r="GJ15" i="14809"/>
  <c r="GI15" i="14809"/>
  <c r="GE15" i="14809"/>
  <c r="GD15" i="14809"/>
  <c r="GC15" i="14809"/>
  <c r="GB15" i="14809"/>
  <c r="GA15" i="14809"/>
  <c r="FZ15" i="14809"/>
  <c r="BU15" i="14809"/>
  <c r="G15" i="14809"/>
  <c r="HO14" i="14809"/>
  <c r="GK14" i="14809"/>
  <c r="GJ14" i="14809"/>
  <c r="GI14" i="14809"/>
  <c r="GE14" i="14809"/>
  <c r="GD14" i="14809"/>
  <c r="GC14" i="14809"/>
  <c r="GB14" i="14809"/>
  <c r="GA14" i="14809"/>
  <c r="FZ14" i="14809"/>
  <c r="DL14" i="14809"/>
  <c r="DN14" i="14809" s="1"/>
  <c r="BU14" i="14809"/>
  <c r="G14" i="14809"/>
  <c r="HO13" i="14809"/>
  <c r="GK13" i="14809"/>
  <c r="GJ13" i="14809"/>
  <c r="GL13" i="14809" s="1"/>
  <c r="GI13" i="14809"/>
  <c r="GE13" i="14809"/>
  <c r="GD13" i="14809"/>
  <c r="GC13" i="14809"/>
  <c r="GB13" i="14809"/>
  <c r="GA13" i="14809"/>
  <c r="FZ13" i="14809"/>
  <c r="GG13" i="14809" s="1"/>
  <c r="DL13" i="14809"/>
  <c r="DN13" i="14809" s="1"/>
  <c r="BU13" i="14809"/>
  <c r="G13" i="14809"/>
  <c r="HO12" i="14809"/>
  <c r="GK12" i="14809"/>
  <c r="GJ12" i="14809"/>
  <c r="GI12" i="14809"/>
  <c r="GE12" i="14809"/>
  <c r="GD12" i="14809"/>
  <c r="GC12" i="14809"/>
  <c r="GB12" i="14809"/>
  <c r="GA12" i="14809"/>
  <c r="FZ12" i="14809"/>
  <c r="GG12" i="14809" s="1"/>
  <c r="BU12" i="14809"/>
  <c r="G12" i="14809"/>
  <c r="HO11" i="14809"/>
  <c r="GK11" i="14809"/>
  <c r="GJ11" i="14809"/>
  <c r="GI11" i="14809"/>
  <c r="GE11" i="14809"/>
  <c r="GD11" i="14809"/>
  <c r="GC11" i="14809"/>
  <c r="GB11" i="14809"/>
  <c r="GA11" i="14809"/>
  <c r="FZ11" i="14809"/>
  <c r="DL11" i="14809"/>
  <c r="DN11" i="14809" s="1"/>
  <c r="G11" i="14809"/>
  <c r="HO10" i="14809"/>
  <c r="GK10" i="14809"/>
  <c r="GJ10" i="14809"/>
  <c r="GI10" i="14809"/>
  <c r="GD10" i="14809"/>
  <c r="GC10" i="14809"/>
  <c r="GB10" i="14809"/>
  <c r="GA10" i="14809"/>
  <c r="FZ10" i="14809"/>
  <c r="GG10" i="14809" s="1"/>
  <c r="DL10" i="14809"/>
  <c r="DN10" i="14809" s="1"/>
  <c r="G10" i="14809"/>
  <c r="HO9" i="14809"/>
  <c r="GK9" i="14809"/>
  <c r="GJ9" i="14809"/>
  <c r="GI9" i="14809"/>
  <c r="GE9" i="14809"/>
  <c r="GD9" i="14809"/>
  <c r="GC9" i="14809"/>
  <c r="GB9" i="14809"/>
  <c r="GA9" i="14809"/>
  <c r="FZ9" i="14809"/>
  <c r="DL9" i="14809"/>
  <c r="DN9" i="14809" s="1"/>
  <c r="G9" i="14809"/>
  <c r="F11" i="14829"/>
  <c r="F10" i="14829"/>
  <c r="F9" i="14829"/>
  <c r="F7" i="14829"/>
  <c r="F6" i="14829"/>
  <c r="F5" i="14829"/>
  <c r="F4" i="14829"/>
  <c r="F430" i="14829"/>
  <c r="B11" i="14831" s="1"/>
  <c r="F429" i="14829"/>
  <c r="F428" i="14829"/>
  <c r="A1" i="14829" s="1"/>
  <c r="F427" i="14829"/>
  <c r="F426" i="14829"/>
  <c r="F425" i="14829"/>
  <c r="A1" i="14825" s="1"/>
  <c r="F424" i="14829"/>
  <c r="A1" i="14824" s="1"/>
  <c r="F423" i="14829"/>
  <c r="A1" i="14815" s="1"/>
  <c r="F422" i="14829"/>
  <c r="F416" i="14829"/>
  <c r="F19" i="14829"/>
  <c r="F344" i="14829"/>
  <c r="F342" i="14829"/>
  <c r="F341" i="14829"/>
  <c r="F337" i="14829"/>
  <c r="F336" i="14829"/>
  <c r="F335" i="14829"/>
  <c r="F334" i="14829"/>
  <c r="F332" i="14829"/>
  <c r="F331" i="14829"/>
  <c r="GR41" i="14809" s="1"/>
  <c r="F330" i="14829"/>
  <c r="GR40" i="14809" s="1"/>
  <c r="F329" i="14829"/>
  <c r="GR39" i="14809" s="1"/>
  <c r="F328" i="14829"/>
  <c r="GR38" i="14809" s="1"/>
  <c r="F327" i="14829"/>
  <c r="GR37" i="14809" s="1"/>
  <c r="F326" i="14829"/>
  <c r="GR36" i="14809" s="1"/>
  <c r="F325" i="14829"/>
  <c r="GR35" i="14809" s="1"/>
  <c r="F324" i="14829"/>
  <c r="GR34" i="14809" s="1"/>
  <c r="F323" i="14829"/>
  <c r="GR33" i="14809" s="1"/>
  <c r="F322" i="14829"/>
  <c r="GR32" i="14809" s="1"/>
  <c r="F321" i="14829"/>
  <c r="GR31" i="14809" s="1"/>
  <c r="F320" i="14829"/>
  <c r="GR30" i="14809" s="1"/>
  <c r="F319" i="14829"/>
  <c r="GR29" i="14809" s="1"/>
  <c r="F318" i="14829"/>
  <c r="GR28" i="14809" s="1"/>
  <c r="F317" i="14829"/>
  <c r="GR27" i="14809" s="1"/>
  <c r="F316" i="14829"/>
  <c r="GR26" i="14809" s="1"/>
  <c r="F315" i="14829"/>
  <c r="GR25" i="14809" s="1"/>
  <c r="F314" i="14829"/>
  <c r="GR24" i="14809" s="1"/>
  <c r="F313" i="14829"/>
  <c r="GR23" i="14809" s="1"/>
  <c r="F312" i="14829"/>
  <c r="GR22" i="14809" s="1"/>
  <c r="F311" i="14829"/>
  <c r="GR21" i="14809" s="1"/>
  <c r="F310" i="14829"/>
  <c r="GR20" i="14809" s="1"/>
  <c r="F309" i="14829"/>
  <c r="GR19" i="14809" s="1"/>
  <c r="F308" i="14829"/>
  <c r="GR18" i="14809" s="1"/>
  <c r="F307" i="14829"/>
  <c r="GR17" i="14809" s="1"/>
  <c r="F306" i="14829"/>
  <c r="GR16" i="14809" s="1"/>
  <c r="F305" i="14829"/>
  <c r="GR15" i="14809" s="1"/>
  <c r="F304" i="14829"/>
  <c r="GR14" i="14809" s="1"/>
  <c r="F303" i="14829"/>
  <c r="GR13" i="14809" s="1"/>
  <c r="F302" i="14829"/>
  <c r="GR12" i="14809" s="1"/>
  <c r="F301" i="14829"/>
  <c r="GR11" i="14809" s="1"/>
  <c r="F300" i="14829"/>
  <c r="GR10" i="14809" s="1"/>
  <c r="F298" i="14829"/>
  <c r="GO50" i="14809" s="1"/>
  <c r="F296" i="14829"/>
  <c r="GM48" i="14809" s="1"/>
  <c r="F295" i="14829"/>
  <c r="F294" i="14829"/>
  <c r="GM52" i="14809" s="1"/>
  <c r="F293" i="14829"/>
  <c r="GN50" i="14809" s="1"/>
  <c r="F292" i="14829"/>
  <c r="GN47" i="14809" s="1"/>
  <c r="F291" i="14829"/>
  <c r="GM39" i="14809" s="1"/>
  <c r="F290" i="14829"/>
  <c r="GM38" i="14809" s="1"/>
  <c r="F289" i="14829"/>
  <c r="GM34" i="14809" s="1"/>
  <c r="F288" i="14829"/>
  <c r="GM29" i="14809" s="1"/>
  <c r="F278" i="14829"/>
  <c r="F273" i="14829"/>
  <c r="GM21" i="14809" s="1"/>
  <c r="F272" i="14829"/>
  <c r="GM19" i="14809" s="1"/>
  <c r="F271" i="14829"/>
  <c r="GM17" i="14809" s="1"/>
  <c r="F270" i="14829"/>
  <c r="GM13" i="14809" s="1"/>
  <c r="F263" i="14829"/>
  <c r="F262" i="14829"/>
  <c r="DI25" i="14809" s="1"/>
  <c r="F261" i="14829"/>
  <c r="DI32" i="14809" s="1"/>
  <c r="F259" i="14829"/>
  <c r="DB27" i="14809" s="1"/>
  <c r="F258" i="14829"/>
  <c r="DA26" i="14809" s="1"/>
  <c r="F257" i="14829"/>
  <c r="DA22" i="14809" s="1"/>
  <c r="F256" i="14829"/>
  <c r="CR44" i="14809" s="1"/>
  <c r="F255" i="14829"/>
  <c r="CR50" i="14809" s="1"/>
  <c r="F254" i="14829"/>
  <c r="CR41" i="14809" s="1"/>
  <c r="F252" i="14829"/>
  <c r="CR33" i="14809" s="1"/>
  <c r="F251" i="14829"/>
  <c r="F239" i="14829"/>
  <c r="F233" i="14829"/>
  <c r="F231" i="14829"/>
  <c r="GI4" i="14809" s="1"/>
  <c r="F230" i="14829"/>
  <c r="GA4" i="14809" s="1"/>
  <c r="F229" i="14829"/>
  <c r="FY4" i="14809" s="1"/>
  <c r="F228" i="14829"/>
  <c r="EN4" i="14809" s="1"/>
  <c r="F227" i="14829"/>
  <c r="DP4" i="14809" s="1"/>
  <c r="F226" i="14829"/>
  <c r="DO4" i="14809" s="1"/>
  <c r="F225" i="14829"/>
  <c r="DI4" i="14809" s="1"/>
  <c r="F221" i="14829"/>
  <c r="DC4" i="14809" s="1"/>
  <c r="F218" i="14829"/>
  <c r="BI4" i="14809" s="1"/>
  <c r="F186" i="14829"/>
  <c r="A3" i="14815" s="1"/>
  <c r="F185" i="14829"/>
  <c r="F184" i="14829"/>
  <c r="A1" i="14809" s="1"/>
  <c r="F183" i="14829"/>
  <c r="F182" i="14829"/>
  <c r="F181" i="14829"/>
  <c r="F180" i="14829"/>
  <c r="F179" i="14829"/>
  <c r="F178" i="14829"/>
  <c r="C53" i="14809" s="1"/>
  <c r="F177" i="14829"/>
  <c r="C52" i="14809" s="1"/>
  <c r="F176" i="14829"/>
  <c r="C51" i="14809" s="1"/>
  <c r="B49" i="14853" s="1"/>
  <c r="F175" i="14829"/>
  <c r="C50" i="14809" s="1"/>
  <c r="B48" i="14853" s="1"/>
  <c r="F174" i="14829"/>
  <c r="C49" i="14809" s="1"/>
  <c r="B47" i="14853" s="1"/>
  <c r="F173" i="14829"/>
  <c r="C48" i="14809" s="1"/>
  <c r="F172" i="14829"/>
  <c r="C47" i="14809" s="1"/>
  <c r="B45" i="14853" s="1"/>
  <c r="F170" i="14829"/>
  <c r="C45" i="14809" s="1"/>
  <c r="B43" i="14853" s="1"/>
  <c r="F169" i="14829"/>
  <c r="C44" i="14809" s="1"/>
  <c r="B42" i="14853" s="1"/>
  <c r="F168" i="14829"/>
  <c r="C43" i="14809" s="1"/>
  <c r="F167" i="14829"/>
  <c r="C42" i="14809" s="1"/>
  <c r="F166" i="14829"/>
  <c r="C41" i="14809" s="1"/>
  <c r="B39" i="14853" s="1"/>
  <c r="F165" i="14829"/>
  <c r="C40" i="14809" s="1"/>
  <c r="B38" i="14853" s="1"/>
  <c r="F164" i="14829"/>
  <c r="C39" i="14809" s="1"/>
  <c r="B37" i="14853" s="1"/>
  <c r="F163" i="14829"/>
  <c r="C38" i="14809" s="1"/>
  <c r="B36" i="14853" s="1"/>
  <c r="F161" i="14829"/>
  <c r="C36" i="14809" s="1"/>
  <c r="B34" i="14853" s="1"/>
  <c r="F160" i="14829"/>
  <c r="C35" i="14809" s="1"/>
  <c r="F157" i="14829"/>
  <c r="C32" i="14809" s="1"/>
  <c r="B30" i="14853" s="1"/>
  <c r="F156" i="14829"/>
  <c r="C31" i="14809" s="1"/>
  <c r="B29" i="14853" s="1"/>
  <c r="F155" i="14829"/>
  <c r="C30" i="14809" s="1"/>
  <c r="F154" i="14829"/>
  <c r="C29" i="14809" s="1"/>
  <c r="B27" i="14853" s="1"/>
  <c r="F153" i="14829"/>
  <c r="C28" i="14809" s="1"/>
  <c r="B26" i="14853" s="1"/>
  <c r="F152" i="14829"/>
  <c r="C27" i="14809" s="1"/>
  <c r="F150" i="14829"/>
  <c r="C25" i="14809" s="1"/>
  <c r="B23" i="14853" s="1"/>
  <c r="F149" i="14829"/>
  <c r="F148" i="14829"/>
  <c r="C23" i="14809" s="1"/>
  <c r="B21" i="14853" s="1"/>
  <c r="F147" i="14829"/>
  <c r="C22" i="14809" s="1"/>
  <c r="B20" i="14853" s="1"/>
  <c r="F146" i="14829"/>
  <c r="C21" i="14809" s="1"/>
  <c r="B19" i="14853" s="1"/>
  <c r="F145" i="14829"/>
  <c r="C20" i="14809" s="1"/>
  <c r="F144" i="14829"/>
  <c r="C19" i="14809" s="1"/>
  <c r="F143" i="14829"/>
  <c r="C18" i="14809" s="1"/>
  <c r="B16" i="14853" s="1"/>
  <c r="F141" i="14829"/>
  <c r="C16" i="14809" s="1"/>
  <c r="B14" i="14853" s="1"/>
  <c r="F140" i="14829"/>
  <c r="C15" i="14809" s="1"/>
  <c r="F139" i="14829"/>
  <c r="C14" i="14809" s="1"/>
  <c r="F138" i="14829"/>
  <c r="C13" i="14809" s="1"/>
  <c r="B11" i="14853" s="1"/>
  <c r="F137" i="14829"/>
  <c r="C12" i="14809" s="1"/>
  <c r="B10" i="14853" s="1"/>
  <c r="F136" i="14829"/>
  <c r="C11" i="14809" s="1"/>
  <c r="F133" i="14829"/>
  <c r="F132" i="14829"/>
  <c r="F131" i="14829"/>
  <c r="F130" i="14829"/>
  <c r="F129" i="14829"/>
  <c r="F91" i="14829"/>
  <c r="F84" i="14829"/>
  <c r="F45" i="14829"/>
  <c r="F33" i="14829"/>
  <c r="N110" i="14786"/>
  <c r="GG17" i="14809"/>
  <c r="GG31" i="14809"/>
  <c r="GF48" i="14809"/>
  <c r="GG27" i="14809"/>
  <c r="GF13" i="14809"/>
  <c r="GG21" i="14809"/>
  <c r="GF34" i="14809"/>
  <c r="GF46" i="14809"/>
  <c r="GF44" i="14809"/>
  <c r="GF49" i="14809"/>
  <c r="GF10" i="14809"/>
  <c r="GG25" i="14809"/>
  <c r="GG26" i="14809"/>
  <c r="GG33" i="14809"/>
  <c r="GG41" i="14809"/>
  <c r="GF47" i="14809"/>
  <c r="GG53" i="14809"/>
  <c r="C195" i="14786"/>
  <c r="GL31" i="14809"/>
  <c r="GL27" i="14809"/>
  <c r="GH41" i="14809"/>
  <c r="GL11" i="14809"/>
  <c r="GL52" i="14809"/>
  <c r="GH51" i="14809"/>
  <c r="GH30" i="14809"/>
  <c r="GL35" i="14809"/>
  <c r="GL45" i="14809"/>
  <c r="GL10" i="14809"/>
  <c r="GH46" i="14809"/>
  <c r="GH16" i="14809"/>
  <c r="GH32" i="14809"/>
  <c r="GL49" i="14809"/>
  <c r="BC4" i="14815"/>
  <c r="GH50" i="14809"/>
  <c r="GL42" i="14809"/>
  <c r="GL47" i="14809"/>
  <c r="GL14" i="14809"/>
  <c r="GL34" i="14809"/>
  <c r="GL48" i="14809"/>
  <c r="BC4" i="14825"/>
  <c r="BC4" i="14824"/>
  <c r="BB4" i="14815"/>
  <c r="C41" i="14786"/>
  <c r="GO16" i="14809"/>
  <c r="C571" i="14814"/>
  <c r="F700" i="14814" s="1"/>
  <c r="BG63" i="14835"/>
  <c r="C4" i="14824" l="1"/>
  <c r="B39" i="14825"/>
  <c r="B40" i="14853"/>
  <c r="B49" i="14815"/>
  <c r="B50" i="14853"/>
  <c r="C4" i="14815"/>
  <c r="B40" i="14825"/>
  <c r="B41" i="14853"/>
  <c r="B16" i="14825"/>
  <c r="B17" i="14853"/>
  <c r="C4" i="14825"/>
  <c r="B8" i="14815"/>
  <c r="B9" i="14853"/>
  <c r="B21" i="14835"/>
  <c r="B25" i="14853"/>
  <c r="B12" i="14825"/>
  <c r="B13" i="14853"/>
  <c r="B20" i="14841"/>
  <c r="B24" i="14853"/>
  <c r="B43" i="14825"/>
  <c r="B44" i="14853"/>
  <c r="B11" i="14841"/>
  <c r="B15" i="14853"/>
  <c r="B28" i="14843"/>
  <c r="B28" i="14853"/>
  <c r="B51" i="14843"/>
  <c r="V51" i="14843" s="1"/>
  <c r="B51" i="14853"/>
  <c r="B32" i="14843"/>
  <c r="V32" i="14843" s="1"/>
  <c r="B32" i="14853"/>
  <c r="B4" i="14835"/>
  <c r="B8" i="14853"/>
  <c r="B42" i="14835"/>
  <c r="B46" i="14853"/>
  <c r="B29" i="14835"/>
  <c r="B33" i="14853"/>
  <c r="B11" i="14815"/>
  <c r="B12" i="14853"/>
  <c r="B18" i="14826"/>
  <c r="AB18" i="14826" s="1"/>
  <c r="B18" i="14853"/>
  <c r="H99" i="14814"/>
  <c r="H159" i="14814"/>
  <c r="CG49" i="14809"/>
  <c r="CJ49" i="14809" s="1"/>
  <c r="GH9" i="14809"/>
  <c r="GH10" i="14809"/>
  <c r="GG14" i="14809"/>
  <c r="HO53" i="14809"/>
  <c r="GL50" i="14809"/>
  <c r="GF43" i="14809"/>
  <c r="GG34" i="14809"/>
  <c r="GH13" i="14809"/>
  <c r="CG45" i="14809"/>
  <c r="CG51" i="14809"/>
  <c r="CH50" i="14809"/>
  <c r="CF50" i="14809"/>
  <c r="GL29" i="14809"/>
  <c r="GF11" i="14809"/>
  <c r="GF23" i="14809"/>
  <c r="GH23" i="14809"/>
  <c r="HO50" i="14809"/>
  <c r="B9" i="14831"/>
  <c r="A2" i="14831"/>
  <c r="W336" i="14814"/>
  <c r="W339" i="14814" s="1"/>
  <c r="C339" i="14814"/>
  <c r="C278" i="14814"/>
  <c r="C46" i="14852"/>
  <c r="C271" i="14814"/>
  <c r="C332" i="14814"/>
  <c r="C148" i="14852"/>
  <c r="F158" i="14852"/>
  <c r="F161" i="14852"/>
  <c r="F155" i="14852"/>
  <c r="F152" i="14852"/>
  <c r="G267" i="14852"/>
  <c r="A87" i="14852"/>
  <c r="BP6" i="14809"/>
  <c r="C117" i="14852"/>
  <c r="R6" i="14809"/>
  <c r="C26" i="14852"/>
  <c r="F22" i="14852"/>
  <c r="F77" i="14852"/>
  <c r="F78" i="14852"/>
  <c r="C92" i="14852"/>
  <c r="F141" i="14852"/>
  <c r="F151" i="14852"/>
  <c r="F154" i="14852"/>
  <c r="C174" i="14852"/>
  <c r="I280" i="14852"/>
  <c r="N283" i="14852"/>
  <c r="N267" i="14852"/>
  <c r="A130" i="14852"/>
  <c r="FY6" i="14809"/>
  <c r="C54" i="14852"/>
  <c r="BB6" i="14809"/>
  <c r="C78" i="14852"/>
  <c r="F6" i="14809"/>
  <c r="C12" i="14852"/>
  <c r="C30" i="14852"/>
  <c r="F67" i="14852"/>
  <c r="F36" i="14852"/>
  <c r="C39" i="14852"/>
  <c r="L4" i="14824"/>
  <c r="C62" i="14852"/>
  <c r="A70" i="14852"/>
  <c r="C82" i="14852"/>
  <c r="W4" i="14824"/>
  <c r="C93" i="14852"/>
  <c r="AC4" i="14824"/>
  <c r="C125" i="14852"/>
  <c r="F130" i="14852"/>
  <c r="F142" i="14852"/>
  <c r="C145" i="14852"/>
  <c r="AK4" i="14825"/>
  <c r="C149" i="14852"/>
  <c r="C157" i="14852"/>
  <c r="C158" i="14852"/>
  <c r="C156" i="14852"/>
  <c r="C188" i="14852"/>
  <c r="F195" i="14852"/>
  <c r="D283" i="14852"/>
  <c r="A229" i="14786"/>
  <c r="A229" i="14852"/>
  <c r="H267" i="14852"/>
  <c r="A147" i="14852"/>
  <c r="CW6" i="14809"/>
  <c r="C153" i="14852"/>
  <c r="C150" i="14852"/>
  <c r="C52" i="14852"/>
  <c r="C114" i="14852"/>
  <c r="AY6" i="14809"/>
  <c r="C77" i="14852"/>
  <c r="AO6" i="14809"/>
  <c r="C42" i="14852"/>
  <c r="C33" i="14786"/>
  <c r="C33" i="14852"/>
  <c r="O6" i="14809"/>
  <c r="C18" i="14852"/>
  <c r="C22" i="14852"/>
  <c r="J6" i="14809"/>
  <c r="C20" i="14852"/>
  <c r="M4" i="14786"/>
  <c r="M129" i="14786" s="1"/>
  <c r="M129" i="14852"/>
  <c r="C37" i="14852"/>
  <c r="A45" i="14852"/>
  <c r="F58" i="14852"/>
  <c r="N4" i="14824"/>
  <c r="C66" i="14852"/>
  <c r="C70" i="14852"/>
  <c r="C83" i="14786"/>
  <c r="C83" i="14852"/>
  <c r="F89" i="14852"/>
  <c r="C95" i="14852"/>
  <c r="C121" i="14852"/>
  <c r="I4" i="14852"/>
  <c r="I129" i="14852" s="1"/>
  <c r="F133" i="14852"/>
  <c r="F134" i="14852"/>
  <c r="C143" i="14852"/>
  <c r="C147" i="14852"/>
  <c r="F148" i="14852"/>
  <c r="F149" i="14852"/>
  <c r="C159" i="14852"/>
  <c r="F160" i="14852"/>
  <c r="F156" i="14852"/>
  <c r="F188" i="14852"/>
  <c r="F145" i="14852"/>
  <c r="F143" i="14852"/>
  <c r="F159" i="14852"/>
  <c r="F157" i="14852"/>
  <c r="C196" i="14852"/>
  <c r="F283" i="14852"/>
  <c r="A198" i="14852"/>
  <c r="C266" i="14852"/>
  <c r="I267" i="14786"/>
  <c r="I267" i="14852"/>
  <c r="A173" i="14852"/>
  <c r="C272" i="14852"/>
  <c r="C283" i="14852" s="1"/>
  <c r="CJ7" i="14809"/>
  <c r="C274" i="14852"/>
  <c r="C269" i="14852"/>
  <c r="N4" i="14852"/>
  <c r="N129" i="14852" s="1"/>
  <c r="C56" i="14786"/>
  <c r="C56" i="14852"/>
  <c r="C191" i="14786"/>
  <c r="C191" i="14852"/>
  <c r="BZ6" i="14809"/>
  <c r="C133" i="14852"/>
  <c r="BR6" i="14809"/>
  <c r="C89" i="14852"/>
  <c r="BL6" i="14809"/>
  <c r="C87" i="14852"/>
  <c r="AX6" i="14809"/>
  <c r="C68" i="14852"/>
  <c r="AJ6" i="14809"/>
  <c r="C40" i="14852"/>
  <c r="AB6" i="14809"/>
  <c r="C31" i="14852"/>
  <c r="X6" i="14809"/>
  <c r="C99" i="14852"/>
  <c r="L6" i="14809"/>
  <c r="C19" i="14852"/>
  <c r="D6" i="14809"/>
  <c r="C10" i="14852"/>
  <c r="F66" i="14852"/>
  <c r="F35" i="14852"/>
  <c r="F63" i="14852"/>
  <c r="F61" i="14852"/>
  <c r="F38" i="14852"/>
  <c r="F32" i="14852"/>
  <c r="I46" i="14852"/>
  <c r="F68" i="14852"/>
  <c r="T4" i="14815"/>
  <c r="C85" i="14852"/>
  <c r="C124" i="14852"/>
  <c r="L4" i="14852"/>
  <c r="L129" i="14852" s="1"/>
  <c r="CO6" i="14809"/>
  <c r="C140" i="14852"/>
  <c r="AP6" i="14809"/>
  <c r="C58" i="14852"/>
  <c r="A5" i="14852"/>
  <c r="C17" i="14852"/>
  <c r="F31" i="14852"/>
  <c r="F62" i="14852"/>
  <c r="F60" i="14852"/>
  <c r="F37" i="14852"/>
  <c r="C84" i="14852"/>
  <c r="C90" i="14852"/>
  <c r="C108" i="14852"/>
  <c r="J4" i="14852"/>
  <c r="J129" i="14852" s="1"/>
  <c r="AE4" i="14815"/>
  <c r="C141" i="14852"/>
  <c r="C144" i="14852"/>
  <c r="F147" i="14852"/>
  <c r="F150" i="14786"/>
  <c r="F153" i="14852"/>
  <c r="F150" i="14852"/>
  <c r="C160" i="14852"/>
  <c r="C161" i="14852"/>
  <c r="C183" i="14852"/>
  <c r="A190" i="14852"/>
  <c r="C280" i="14852"/>
  <c r="J283" i="14852"/>
  <c r="C267" i="14852"/>
  <c r="I283" i="14852" s="1"/>
  <c r="K267" i="14852"/>
  <c r="J267" i="14852"/>
  <c r="C268" i="14852"/>
  <c r="O4" i="14852"/>
  <c r="O129" i="14852" s="1"/>
  <c r="C273" i="14852"/>
  <c r="CI7" i="14809"/>
  <c r="C275" i="14852"/>
  <c r="C270" i="14852"/>
  <c r="FZ6" i="14809"/>
  <c r="C55" i="14852"/>
  <c r="DI6" i="14809"/>
  <c r="C190" i="14852"/>
  <c r="C130" i="14852"/>
  <c r="BH6" i="14809"/>
  <c r="C79" i="14852"/>
  <c r="AQ6" i="14809"/>
  <c r="C59" i="14852"/>
  <c r="U6" i="14809"/>
  <c r="C27" i="14852"/>
  <c r="G6" i="14809"/>
  <c r="C13" i="14852"/>
  <c r="C88" i="14786"/>
  <c r="C88" i="14852"/>
  <c r="AJ23" i="14841"/>
  <c r="AJ271" i="14814"/>
  <c r="AJ332" i="14814"/>
  <c r="Y271" i="14814"/>
  <c r="Y332" i="14814"/>
  <c r="C570" i="14814"/>
  <c r="F647" i="14814" s="1"/>
  <c r="CK7" i="14809"/>
  <c r="CN7" i="14809"/>
  <c r="AH7" i="14809"/>
  <c r="AD7" i="14809"/>
  <c r="AS7" i="14809"/>
  <c r="AE7" i="14809"/>
  <c r="AX4" i="14825"/>
  <c r="C182" i="14786"/>
  <c r="FX6" i="14809"/>
  <c r="B580" i="14814"/>
  <c r="A415" i="14786" s="1"/>
  <c r="FS6" i="14809"/>
  <c r="B575" i="14814"/>
  <c r="A410" i="14786" s="1"/>
  <c r="FV6" i="14809"/>
  <c r="B578" i="14814"/>
  <c r="A413" i="14786" s="1"/>
  <c r="FR6" i="14809"/>
  <c r="B574" i="14814"/>
  <c r="A409" i="14786" s="1"/>
  <c r="FN6" i="14809"/>
  <c r="B570" i="14814"/>
  <c r="A405" i="14786" s="1"/>
  <c r="FT6" i="14809"/>
  <c r="B576" i="14814"/>
  <c r="A411" i="14786" s="1"/>
  <c r="FP6" i="14809"/>
  <c r="B572" i="14814"/>
  <c r="A407" i="14786" s="1"/>
  <c r="FW6" i="14809"/>
  <c r="B579" i="14814"/>
  <c r="A414" i="14786" s="1"/>
  <c r="FO6" i="14809"/>
  <c r="B571" i="14814"/>
  <c r="A406" i="14786" s="1"/>
  <c r="FU6" i="14809"/>
  <c r="B577" i="14814"/>
  <c r="A412" i="14786" s="1"/>
  <c r="FQ6" i="14809"/>
  <c r="B573" i="14814"/>
  <c r="A408" i="14786" s="1"/>
  <c r="FM6" i="14809"/>
  <c r="B569" i="14814"/>
  <c r="A404" i="14786" s="1"/>
  <c r="AU23" i="14835"/>
  <c r="CG7" i="14835"/>
  <c r="CR7" i="14835"/>
  <c r="CP7" i="14835"/>
  <c r="P4" i="14825"/>
  <c r="C35" i="14786"/>
  <c r="C153" i="14786"/>
  <c r="C150" i="14786"/>
  <c r="O4" i="14815"/>
  <c r="F4" i="14824"/>
  <c r="F4" i="14815"/>
  <c r="C52" i="14786"/>
  <c r="F4" i="14825"/>
  <c r="AM23" i="14835"/>
  <c r="CD13" i="14835"/>
  <c r="CL7" i="14835"/>
  <c r="CN7" i="14835"/>
  <c r="BW165" i="14835"/>
  <c r="BW166" i="14835" s="1"/>
  <c r="AE23" i="14835"/>
  <c r="C40" i="14786"/>
  <c r="CM7" i="14841"/>
  <c r="BW113" i="14841"/>
  <c r="BW114" i="14841" s="1"/>
  <c r="BM115" i="14835"/>
  <c r="BU115" i="14835"/>
  <c r="K4" i="14825"/>
  <c r="I4" i="14824"/>
  <c r="I4" i="14825"/>
  <c r="I4" i="14815"/>
  <c r="K4" i="14815"/>
  <c r="K4" i="14824"/>
  <c r="O4" i="14824"/>
  <c r="C142" i="14786"/>
  <c r="C267" i="14786"/>
  <c r="I283" i="14786" s="1"/>
  <c r="CH47" i="14809"/>
  <c r="CF47" i="14809"/>
  <c r="BP115" i="14835"/>
  <c r="BV115" i="14835"/>
  <c r="AT59" i="14835"/>
  <c r="AW6" i="14835"/>
  <c r="GQ6" i="14835" s="1"/>
  <c r="AK45" i="14835"/>
  <c r="AG62" i="14835"/>
  <c r="AP4" i="14835"/>
  <c r="AE8" i="14835"/>
  <c r="DD28" i="14835" s="1"/>
  <c r="BR115" i="14835"/>
  <c r="AO61" i="14835"/>
  <c r="BI115" i="14835"/>
  <c r="AU57" i="14835"/>
  <c r="AV23" i="14835"/>
  <c r="AP23" i="14835"/>
  <c r="BY115" i="14835"/>
  <c r="AY23" i="14835"/>
  <c r="AI23" i="14835"/>
  <c r="AI6" i="14835"/>
  <c r="AX6" i="14835"/>
  <c r="GR6" i="14835" s="1"/>
  <c r="AO59" i="14835"/>
  <c r="AG45" i="14835"/>
  <c r="AQ6" i="14835"/>
  <c r="AH6" i="14835"/>
  <c r="AS6" i="14835"/>
  <c r="GM6" i="14835" s="1"/>
  <c r="AU45" i="14835"/>
  <c r="AL45" i="14835"/>
  <c r="DE7" i="14809"/>
  <c r="BJ7" i="14809"/>
  <c r="AK62" i="14835"/>
  <c r="AP43" i="14835"/>
  <c r="AK23" i="14841"/>
  <c r="AW23" i="14841"/>
  <c r="AL62" i="14835"/>
  <c r="BR164" i="14841"/>
  <c r="BR165" i="14841" s="1"/>
  <c r="AO9" i="14835"/>
  <c r="CI7" i="14841"/>
  <c r="AT62" i="14835"/>
  <c r="CU7" i="14841"/>
  <c r="AM4" i="14835"/>
  <c r="CR13" i="14841"/>
  <c r="AX3" i="14835"/>
  <c r="GR7" i="14835" s="1"/>
  <c r="AL23" i="14835"/>
  <c r="AS6" i="14841"/>
  <c r="GM6" i="14841" s="1"/>
  <c r="AQ60" i="14835"/>
  <c r="AE3" i="14850"/>
  <c r="AH9" i="14835"/>
  <c r="AS4" i="14835"/>
  <c r="AI6" i="14836" s="1"/>
  <c r="C24" i="14809"/>
  <c r="C270" i="14786"/>
  <c r="C273" i="14786"/>
  <c r="BB4" i="14824"/>
  <c r="C33" i="14809"/>
  <c r="F630" i="14814"/>
  <c r="B837" i="14814"/>
  <c r="AH6" i="14809"/>
  <c r="CB6" i="14809"/>
  <c r="F271" i="14814"/>
  <c r="BB4" i="14825"/>
  <c r="BB7" i="14809"/>
  <c r="CF7" i="14809"/>
  <c r="CS7" i="14809"/>
  <c r="CQ7" i="14809"/>
  <c r="C193" i="14786"/>
  <c r="P7" i="14809"/>
  <c r="DG4" i="14809"/>
  <c r="CM7" i="14809"/>
  <c r="C269" i="14786"/>
  <c r="AL4" i="14815"/>
  <c r="F153" i="14786"/>
  <c r="AL4" i="14825"/>
  <c r="C176" i="14786"/>
  <c r="BP7" i="14809"/>
  <c r="BF7" i="14809"/>
  <c r="AZ7" i="14809"/>
  <c r="I280" i="14786"/>
  <c r="DI10" i="14809"/>
  <c r="AG4" i="14825"/>
  <c r="S7" i="14809"/>
  <c r="DD7" i="14809"/>
  <c r="CG7" i="14809"/>
  <c r="CZ7" i="14809"/>
  <c r="CP7" i="14809"/>
  <c r="AL4" i="14824"/>
  <c r="BC7" i="14809"/>
  <c r="AU3" i="14815"/>
  <c r="C190" i="14786"/>
  <c r="DB7" i="14809"/>
  <c r="V7" i="14809"/>
  <c r="C274" i="14786"/>
  <c r="AU3" i="14825"/>
  <c r="AU4" i="14824"/>
  <c r="CU7" i="14809"/>
  <c r="N4" i="14786"/>
  <c r="N129" i="14786" s="1"/>
  <c r="M7" i="14809"/>
  <c r="DA7" i="14809"/>
  <c r="AO4" i="14815"/>
  <c r="GG38" i="14809"/>
  <c r="C99" i="14786"/>
  <c r="F3" i="14815"/>
  <c r="A5" i="14786"/>
  <c r="CX7" i="14809"/>
  <c r="BG7" i="14809"/>
  <c r="CV7" i="14809"/>
  <c r="AY7" i="14809"/>
  <c r="BE7" i="14809"/>
  <c r="U7" i="14809"/>
  <c r="O4" i="14786"/>
  <c r="O129" i="14786" s="1"/>
  <c r="Q4" i="14815"/>
  <c r="Q3" i="14825"/>
  <c r="F161" i="14786"/>
  <c r="AV4" i="14824"/>
  <c r="BA4" i="14824"/>
  <c r="W4" i="14815"/>
  <c r="AV4" i="14815"/>
  <c r="F152" i="14786"/>
  <c r="BA4" i="14815"/>
  <c r="AR4" i="14825"/>
  <c r="O3" i="14825"/>
  <c r="F151" i="14786"/>
  <c r="C188" i="14786"/>
  <c r="AV4" i="14825"/>
  <c r="Q3" i="14815"/>
  <c r="BA4" i="14825"/>
  <c r="AB4" i="14825"/>
  <c r="A70" i="14786"/>
  <c r="AB4" i="14824"/>
  <c r="C82" i="14786"/>
  <c r="AB4" i="14815"/>
  <c r="AN4" i="14824"/>
  <c r="Q3" i="14824"/>
  <c r="C159" i="14786"/>
  <c r="C93" i="14786"/>
  <c r="AR4" i="14824"/>
  <c r="Q4" i="14824"/>
  <c r="AR4" i="14815"/>
  <c r="O3" i="14824"/>
  <c r="F155" i="14786"/>
  <c r="C124" i="14786"/>
  <c r="AN4" i="14825"/>
  <c r="O3" i="14815"/>
  <c r="AN4" i="14815"/>
  <c r="AY4" i="14809"/>
  <c r="F158" i="14786"/>
  <c r="Q4" i="14825"/>
  <c r="C37" i="14786"/>
  <c r="C3" i="14824"/>
  <c r="AP4" i="14809"/>
  <c r="CR38" i="14809"/>
  <c r="CR17" i="14809"/>
  <c r="F58" i="14786"/>
  <c r="DC6" i="14809"/>
  <c r="C3" i="14815"/>
  <c r="F3" i="14825"/>
  <c r="F3" i="14824"/>
  <c r="A45" i="14786"/>
  <c r="A173" i="14786"/>
  <c r="C272" i="14786"/>
  <c r="C283" i="14786" s="1"/>
  <c r="DH7" i="14809"/>
  <c r="F142" i="14786"/>
  <c r="AH4" i="14824"/>
  <c r="C145" i="14786"/>
  <c r="D283" i="14786"/>
  <c r="T7" i="14809"/>
  <c r="CY7" i="14809"/>
  <c r="C275" i="14786"/>
  <c r="DC7" i="14809"/>
  <c r="BI7" i="14809"/>
  <c r="W7" i="14809"/>
  <c r="BA7" i="14809"/>
  <c r="Q7" i="14809"/>
  <c r="CO7" i="14809"/>
  <c r="CT7" i="14809"/>
  <c r="BD7" i="14809"/>
  <c r="BN6" i="14809"/>
  <c r="CE7" i="14809"/>
  <c r="L7" i="14809"/>
  <c r="R7" i="14809"/>
  <c r="O7" i="14809"/>
  <c r="CL7" i="14809"/>
  <c r="CB7" i="14809"/>
  <c r="CW7" i="14809"/>
  <c r="C268" i="14786"/>
  <c r="N7" i="14809"/>
  <c r="CH7" i="14809"/>
  <c r="CR21" i="14809"/>
  <c r="CR19" i="14809"/>
  <c r="CR18" i="14809"/>
  <c r="C17" i="14786"/>
  <c r="F160" i="14786"/>
  <c r="CR39" i="14809"/>
  <c r="AH4" i="14815"/>
  <c r="AK4" i="14824"/>
  <c r="AK4" i="14815"/>
  <c r="F195" i="14786"/>
  <c r="AH4" i="14825"/>
  <c r="BL4" i="14809"/>
  <c r="C55" i="14786"/>
  <c r="H4" i="14825"/>
  <c r="H4" i="14815"/>
  <c r="H4" i="14824"/>
  <c r="F22" i="14786"/>
  <c r="C125" i="14786"/>
  <c r="C10" i="14786"/>
  <c r="AC4" i="14815"/>
  <c r="X4" i="14825"/>
  <c r="X4" i="14815"/>
  <c r="C95" i="14786"/>
  <c r="X4" i="14824"/>
  <c r="CD7" i="14809"/>
  <c r="L4" i="14809"/>
  <c r="F89" i="14786"/>
  <c r="C46" i="14786"/>
  <c r="C59" i="14786"/>
  <c r="CF21" i="14809"/>
  <c r="CI21" i="14809" s="1"/>
  <c r="B43" i="14815"/>
  <c r="CY15" i="14809"/>
  <c r="B14" i="14835"/>
  <c r="CW18" i="14809"/>
  <c r="C174" i="14786"/>
  <c r="DA21" i="14809"/>
  <c r="G267" i="14786"/>
  <c r="AY4" i="14815"/>
  <c r="BB3" i="14815"/>
  <c r="F78" i="14786"/>
  <c r="F77" i="14786"/>
  <c r="F148" i="14786"/>
  <c r="CZ37" i="14809"/>
  <c r="DA13" i="14809"/>
  <c r="CZ15" i="14809"/>
  <c r="F133" i="14786"/>
  <c r="G4" i="14815"/>
  <c r="V4" i="14824"/>
  <c r="B11" i="14824"/>
  <c r="B17" i="14815"/>
  <c r="B13" i="14826"/>
  <c r="AB13" i="14826" s="1"/>
  <c r="B40" i="14835"/>
  <c r="CH21" i="14809"/>
  <c r="GO21" i="14809" s="1"/>
  <c r="B43" i="14824"/>
  <c r="B40" i="14841"/>
  <c r="CR36" i="14809"/>
  <c r="CR14" i="14809"/>
  <c r="B17" i="14825"/>
  <c r="B7" i="14825"/>
  <c r="B31" i="14825"/>
  <c r="C143" i="14786"/>
  <c r="CW15" i="14809"/>
  <c r="CZ16" i="14809"/>
  <c r="AY4" i="14824"/>
  <c r="B9" i="14835"/>
  <c r="C266" i="14786"/>
  <c r="AI4" i="14815"/>
  <c r="AF4" i="14825"/>
  <c r="BD3" i="14824"/>
  <c r="A190" i="14786"/>
  <c r="BB3" i="14825"/>
  <c r="C147" i="14786"/>
  <c r="A130" i="14786"/>
  <c r="AF4" i="14824"/>
  <c r="C196" i="14786"/>
  <c r="F283" i="14786"/>
  <c r="C92" i="14786"/>
  <c r="C183" i="14786"/>
  <c r="A87" i="14786"/>
  <c r="BD4" i="14824"/>
  <c r="AI4" i="14825"/>
  <c r="G4" i="14824"/>
  <c r="C122" i="14786"/>
  <c r="A198" i="14786"/>
  <c r="F149" i="14786"/>
  <c r="AD3" i="14824"/>
  <c r="J4" i="14786"/>
  <c r="J129" i="14786" s="1"/>
  <c r="BD4" i="14825"/>
  <c r="BD4" i="14815"/>
  <c r="AD3" i="14825"/>
  <c r="B20" i="14835"/>
  <c r="B17" i="14824"/>
  <c r="V4" i="14815"/>
  <c r="AY4" i="14825"/>
  <c r="AF4" i="14815"/>
  <c r="CZ36" i="14809"/>
  <c r="DB22" i="14809"/>
  <c r="U3" i="14815"/>
  <c r="BB3" i="14824"/>
  <c r="C53" i="14786"/>
  <c r="G4" i="14825"/>
  <c r="AI4" i="14824"/>
  <c r="V4" i="14825"/>
  <c r="F134" i="14786"/>
  <c r="BD3" i="14825"/>
  <c r="AD3" i="14815"/>
  <c r="B8" i="14835"/>
  <c r="B12" i="14826"/>
  <c r="AB12" i="14826" s="1"/>
  <c r="CR25" i="14809"/>
  <c r="GN48" i="14809"/>
  <c r="A3" i="14824"/>
  <c r="DA53" i="14809"/>
  <c r="CY27" i="14809"/>
  <c r="CR13" i="14809"/>
  <c r="CR29" i="14809"/>
  <c r="N267" i="14786"/>
  <c r="AR23" i="14835"/>
  <c r="AH23" i="14841"/>
  <c r="AV3" i="14835"/>
  <c r="AL7" i="14836" s="1"/>
  <c r="AM7" i="14841"/>
  <c r="GG3" i="14841" s="1"/>
  <c r="AG48" i="14835"/>
  <c r="AT48" i="14835"/>
  <c r="AN43" i="14835"/>
  <c r="AO48" i="14835"/>
  <c r="AW4" i="14835"/>
  <c r="GQ9" i="14835" s="1"/>
  <c r="AL4" i="14835"/>
  <c r="AF62" i="14835"/>
  <c r="AK48" i="14835"/>
  <c r="AP48" i="14835"/>
  <c r="AU62" i="14835"/>
  <c r="AW9" i="14835"/>
  <c r="GQ8" i="14835" s="1"/>
  <c r="AE9" i="14835"/>
  <c r="AL48" i="14835"/>
  <c r="AP62" i="14835"/>
  <c r="AN62" i="14835"/>
  <c r="AP23" i="14841"/>
  <c r="AT23" i="14841"/>
  <c r="AS23" i="14841"/>
  <c r="AN3" i="14835"/>
  <c r="CG13" i="14841"/>
  <c r="AN56" i="14835"/>
  <c r="AF42" i="14835"/>
  <c r="CW13" i="14841"/>
  <c r="AT56" i="14835"/>
  <c r="AU23" i="14841"/>
  <c r="BW164" i="14841"/>
  <c r="BW165" i="14841" s="1"/>
  <c r="CD7" i="14835"/>
  <c r="AY9" i="14841"/>
  <c r="GS8" i="14841" s="1"/>
  <c r="AL23" i="14841"/>
  <c r="AX23" i="14841"/>
  <c r="AR3" i="14835"/>
  <c r="GL7" i="14835" s="1"/>
  <c r="HK70" i="14835" s="1"/>
  <c r="HK71" i="14835" s="1"/>
  <c r="AW9" i="14841"/>
  <c r="GQ8" i="14841" s="1"/>
  <c r="AN42" i="14835"/>
  <c r="AM3" i="14835"/>
  <c r="AO42" i="14835"/>
  <c r="AL3" i="14835"/>
  <c r="AE3" i="14835"/>
  <c r="AT42" i="14835"/>
  <c r="BP165" i="14835"/>
  <c r="BP166" i="14835" s="1"/>
  <c r="AF3" i="14835"/>
  <c r="AQ3" i="14835"/>
  <c r="AI3" i="14835"/>
  <c r="AY3" i="14835"/>
  <c r="FT16" i="14835" s="1"/>
  <c r="AG3" i="14835"/>
  <c r="AG56" i="14835"/>
  <c r="CO13" i="14841"/>
  <c r="BS164" i="14841"/>
  <c r="BS165" i="14841" s="1"/>
  <c r="CS13" i="14841"/>
  <c r="AP3" i="14835"/>
  <c r="AG42" i="14835"/>
  <c r="AJ3" i="14835"/>
  <c r="AS3" i="14835"/>
  <c r="GM7" i="14835" s="1"/>
  <c r="HL70" i="14835" s="1"/>
  <c r="HL71" i="14835" s="1"/>
  <c r="BO164" i="14841"/>
  <c r="BO165" i="14841" s="1"/>
  <c r="CX7" i="14835"/>
  <c r="AQ61" i="14835"/>
  <c r="L4" i="14825"/>
  <c r="B32" i="14826"/>
  <c r="AB32" i="14826" s="1"/>
  <c r="C84" i="14786"/>
  <c r="GO18" i="14809"/>
  <c r="DB19" i="14809"/>
  <c r="C158" i="14786"/>
  <c r="CY13" i="14809"/>
  <c r="AT4" i="14825"/>
  <c r="B31" i="14815"/>
  <c r="B23" i="14824"/>
  <c r="B15" i="14824"/>
  <c r="AM4" i="14825"/>
  <c r="CX19" i="14809"/>
  <c r="U4" i="14824"/>
  <c r="AS4" i="14824"/>
  <c r="DI35" i="14809"/>
  <c r="B23" i="14825"/>
  <c r="B28" i="14835"/>
  <c r="CZ14" i="14809"/>
  <c r="AM4" i="14824"/>
  <c r="CX13" i="14809"/>
  <c r="DI13" i="14809"/>
  <c r="CY11" i="14809"/>
  <c r="AJ4" i="14815"/>
  <c r="AU4" i="14815"/>
  <c r="DI36" i="14809"/>
  <c r="S4" i="14825"/>
  <c r="I46" i="14786"/>
  <c r="C42" i="14786"/>
  <c r="B24" i="14826"/>
  <c r="AB24" i="14826" s="1"/>
  <c r="U4" i="14815"/>
  <c r="C79" i="14786"/>
  <c r="GO38" i="14809"/>
  <c r="AI3" i="14824"/>
  <c r="CZ34" i="14809"/>
  <c r="DI31" i="14809"/>
  <c r="D4" i="14824"/>
  <c r="B23" i="14815"/>
  <c r="B31" i="14824"/>
  <c r="DI21" i="14809"/>
  <c r="CZ32" i="14809"/>
  <c r="CW21" i="14809"/>
  <c r="CW22" i="14809"/>
  <c r="CZ24" i="14809"/>
  <c r="DA43" i="14809"/>
  <c r="DI20" i="14809"/>
  <c r="CR12" i="14809"/>
  <c r="DI14" i="14809"/>
  <c r="F154" i="14786"/>
  <c r="AJ4" i="14824"/>
  <c r="F141" i="14786"/>
  <c r="D4" i="14815"/>
  <c r="B27" i="14824"/>
  <c r="CR31" i="14809"/>
  <c r="GO19" i="14809"/>
  <c r="CR43" i="14809"/>
  <c r="DI38" i="14809"/>
  <c r="AJ4" i="14825"/>
  <c r="AT4" i="14824"/>
  <c r="A147" i="14786"/>
  <c r="C57" i="14786"/>
  <c r="DA11" i="14809"/>
  <c r="CR52" i="14809"/>
  <c r="CR27" i="14809"/>
  <c r="CZ43" i="14809"/>
  <c r="DI17" i="14809"/>
  <c r="GO42" i="14809"/>
  <c r="DB16" i="14809"/>
  <c r="DI24" i="14809"/>
  <c r="GO34" i="14809"/>
  <c r="CR11" i="14809"/>
  <c r="CR37" i="14809"/>
  <c r="DI30" i="14809"/>
  <c r="CR42" i="14809"/>
  <c r="B15" i="14826"/>
  <c r="AB15" i="14826" s="1"/>
  <c r="I4" i="14786"/>
  <c r="I129" i="14786" s="1"/>
  <c r="CR46" i="14809"/>
  <c r="DI22" i="14809"/>
  <c r="L4" i="14786"/>
  <c r="L129" i="14786" s="1"/>
  <c r="AI3" i="14815"/>
  <c r="AA4" i="14825"/>
  <c r="AS4" i="14825"/>
  <c r="AQ4" i="14825"/>
  <c r="C148" i="14786"/>
  <c r="GO39" i="14809"/>
  <c r="Y4" i="14825"/>
  <c r="B8" i="14826"/>
  <c r="AB8" i="14826" s="1"/>
  <c r="AZ4" i="14825"/>
  <c r="C187" i="14786"/>
  <c r="AB4" i="14809"/>
  <c r="FM4" i="14809"/>
  <c r="CR53" i="14809"/>
  <c r="GO32" i="14809"/>
  <c r="AD4" i="14824"/>
  <c r="AI3" i="14825"/>
  <c r="C175" i="14786"/>
  <c r="GO51" i="14809"/>
  <c r="AA4" i="14824"/>
  <c r="U4" i="14825"/>
  <c r="C280" i="14786"/>
  <c r="J4" i="14825"/>
  <c r="DI11" i="14809"/>
  <c r="AZ4" i="14824"/>
  <c r="AR7" i="14809"/>
  <c r="F130" i="14786"/>
  <c r="CZ11" i="14809"/>
  <c r="B7" i="14824"/>
  <c r="AA4" i="14815"/>
  <c r="AZ4" i="14815"/>
  <c r="DI37" i="14809"/>
  <c r="AB7" i="14809"/>
  <c r="J4" i="14815"/>
  <c r="DI23" i="14809"/>
  <c r="J4" i="14824"/>
  <c r="B27" i="14815"/>
  <c r="C68" i="14786"/>
  <c r="CZ21" i="14809"/>
  <c r="CW19" i="14809"/>
  <c r="CW11" i="14809"/>
  <c r="S4" i="14815"/>
  <c r="CR16" i="14809"/>
  <c r="CR23" i="14809"/>
  <c r="B14" i="14815"/>
  <c r="DI29" i="14809"/>
  <c r="GO33" i="14809"/>
  <c r="GO10" i="14809"/>
  <c r="AM4" i="14815"/>
  <c r="AD4" i="14825"/>
  <c r="CR28" i="14809"/>
  <c r="AJ4" i="14809"/>
  <c r="GO45" i="14809"/>
  <c r="CR34" i="14809"/>
  <c r="CR20" i="14809"/>
  <c r="AU4" i="14825"/>
  <c r="C90" i="14786"/>
  <c r="S4" i="14824"/>
  <c r="C121" i="14786"/>
  <c r="C161" i="14786"/>
  <c r="AO4" i="14824"/>
  <c r="AD4" i="14815"/>
  <c r="C76" i="14786"/>
  <c r="C30" i="14786"/>
  <c r="CW4" i="14809"/>
  <c r="Y4" i="14815"/>
  <c r="DA36" i="14809"/>
  <c r="DB15" i="14809"/>
  <c r="DA15" i="14809"/>
  <c r="F33" i="14786"/>
  <c r="F40" i="14786"/>
  <c r="AW7" i="14809"/>
  <c r="AU7" i="14809"/>
  <c r="CR26" i="14809"/>
  <c r="CW26" i="14809"/>
  <c r="GG50" i="14809"/>
  <c r="C3" i="14825"/>
  <c r="F68" i="14786"/>
  <c r="J283" i="14786"/>
  <c r="Y4" i="14824"/>
  <c r="C108" i="14786"/>
  <c r="AO4" i="14825"/>
  <c r="F34" i="14786"/>
  <c r="F37" i="14786"/>
  <c r="F60" i="14786"/>
  <c r="F31" i="14786"/>
  <c r="F62" i="14786"/>
  <c r="C156" i="14786"/>
  <c r="F66" i="14786"/>
  <c r="F35" i="14786"/>
  <c r="F32" i="14786"/>
  <c r="F63" i="14786"/>
  <c r="F38" i="14786"/>
  <c r="F61" i="14786"/>
  <c r="AV6" i="14809"/>
  <c r="C66" i="14786"/>
  <c r="C140" i="14786"/>
  <c r="C87" i="14786"/>
  <c r="B11" i="14825"/>
  <c r="CR40" i="14809"/>
  <c r="CR22" i="14809"/>
  <c r="CX11" i="14809"/>
  <c r="CR15" i="14809"/>
  <c r="CR24" i="14809"/>
  <c r="CZ18" i="14809"/>
  <c r="DA19" i="14809"/>
  <c r="CR30" i="14809"/>
  <c r="DB11" i="14809"/>
  <c r="CR35" i="14809"/>
  <c r="CY16" i="14809"/>
  <c r="CR32" i="14809"/>
  <c r="F36" i="14786"/>
  <c r="F67" i="14786"/>
  <c r="AV7" i="14809"/>
  <c r="AT7" i="14809"/>
  <c r="C62" i="14786"/>
  <c r="GH11" i="14809"/>
  <c r="GF12" i="14809"/>
  <c r="GF14" i="14809"/>
  <c r="GH14" i="14809"/>
  <c r="GL16" i="14809"/>
  <c r="GH17" i="14809"/>
  <c r="GL19" i="14809"/>
  <c r="GF20" i="14809"/>
  <c r="GF37" i="14809"/>
  <c r="GH29" i="14809"/>
  <c r="GG30" i="14809"/>
  <c r="GH31" i="14809"/>
  <c r="GL33" i="14809"/>
  <c r="GL41" i="14809"/>
  <c r="HO43" i="14809"/>
  <c r="HO44" i="14809"/>
  <c r="HO45" i="14809"/>
  <c r="GL46" i="14809"/>
  <c r="HO46" i="14809"/>
  <c r="HO47" i="14809"/>
  <c r="HO48" i="14809"/>
  <c r="HO49" i="14809"/>
  <c r="GL51" i="14809"/>
  <c r="AY29" i="14835"/>
  <c r="GL20" i="14809"/>
  <c r="CG43" i="14809"/>
  <c r="AI7" i="14809"/>
  <c r="E4" i="14815"/>
  <c r="E4" i="14824"/>
  <c r="AC7" i="14809"/>
  <c r="E4" i="14825"/>
  <c r="C31" i="14786"/>
  <c r="A73" i="14843"/>
  <c r="U31" i="14843"/>
  <c r="A74" i="14843"/>
  <c r="U32" i="14843"/>
  <c r="A71" i="14843"/>
  <c r="U13" i="14843"/>
  <c r="A72" i="14843"/>
  <c r="U25" i="14843"/>
  <c r="A67" i="14843"/>
  <c r="U37" i="14843"/>
  <c r="B63" i="14843"/>
  <c r="V28" i="14843"/>
  <c r="A59" i="14843"/>
  <c r="U11" i="14843"/>
  <c r="A60" i="14843"/>
  <c r="U15" i="14843"/>
  <c r="A62" i="14843"/>
  <c r="U23" i="14843"/>
  <c r="A68" i="14843"/>
  <c r="U39" i="14843"/>
  <c r="A61" i="14843"/>
  <c r="U20" i="14843"/>
  <c r="A63" i="14843"/>
  <c r="U28" i="14843"/>
  <c r="A66" i="14843"/>
  <c r="U36" i="14843"/>
  <c r="B74" i="14843"/>
  <c r="A58" i="14843"/>
  <c r="A64" i="14843"/>
  <c r="U30" i="14843"/>
  <c r="A65" i="14843"/>
  <c r="U34" i="14843"/>
  <c r="AR62" i="14835"/>
  <c r="AX62" i="14835"/>
  <c r="CT7" i="14841"/>
  <c r="CU13" i="14841"/>
  <c r="BM164" i="14841"/>
  <c r="BM165" i="14841" s="1"/>
  <c r="AU5" i="14841"/>
  <c r="GO5" i="14841" s="1"/>
  <c r="AL7" i="14841"/>
  <c r="GF3" i="14841" s="1"/>
  <c r="CG30" i="14809"/>
  <c r="CH30" i="14809"/>
  <c r="GO30" i="14809" s="1"/>
  <c r="CF30" i="14809"/>
  <c r="CG26" i="14809"/>
  <c r="CF26" i="14809"/>
  <c r="CH26" i="14809"/>
  <c r="GO26" i="14809" s="1"/>
  <c r="CG18" i="14809"/>
  <c r="CJ18" i="14809" s="1"/>
  <c r="CF17" i="14809"/>
  <c r="CG16" i="14809"/>
  <c r="CJ16" i="14809" s="1"/>
  <c r="R52" i="14843"/>
  <c r="D60" i="14847" a="1"/>
  <c r="D60" i="14847" s="1"/>
  <c r="W64" i="14814"/>
  <c r="A2" i="14814"/>
  <c r="GF18" i="14809"/>
  <c r="GG18" i="14809"/>
  <c r="GL18" i="14809"/>
  <c r="GG19" i="14809"/>
  <c r="GG22" i="14809"/>
  <c r="GF22" i="14809"/>
  <c r="FH10" i="14835"/>
  <c r="FH11" i="14835" s="1"/>
  <c r="FH26" i="14835"/>
  <c r="AX7" i="14841"/>
  <c r="GR3" i="14841" s="1"/>
  <c r="AK7" i="14841"/>
  <c r="GE3" i="14841" s="1"/>
  <c r="AP7" i="14841"/>
  <c r="GJ3" i="14841" s="1"/>
  <c r="GH22" i="14809"/>
  <c r="B12" i="14841"/>
  <c r="B15" i="14825"/>
  <c r="B12" i="14835"/>
  <c r="B15" i="14815"/>
  <c r="B16" i="14826"/>
  <c r="AB16" i="14826" s="1"/>
  <c r="C6" i="14809"/>
  <c r="B4" i="14824"/>
  <c r="B4" i="14815"/>
  <c r="CR48" i="14809"/>
  <c r="CR47" i="14809"/>
  <c r="DB21" i="14809"/>
  <c r="CW28" i="14809"/>
  <c r="CY18" i="14809"/>
  <c r="CW12" i="14809"/>
  <c r="DB53" i="14809"/>
  <c r="CX37" i="14809"/>
  <c r="CX33" i="14809"/>
  <c r="B6" i="14831"/>
  <c r="GG9" i="14809"/>
  <c r="GF9" i="14809"/>
  <c r="GH12" i="14809"/>
  <c r="GL12" i="14809"/>
  <c r="GH15" i="14809"/>
  <c r="GF15" i="14809"/>
  <c r="GG16" i="14809"/>
  <c r="AV7" i="14841"/>
  <c r="GP3" i="14841" s="1"/>
  <c r="AF7" i="14841"/>
  <c r="FZ3" i="14841" s="1"/>
  <c r="AO7" i="14841"/>
  <c r="GI3" i="14841" s="1"/>
  <c r="GF24" i="14809"/>
  <c r="GG24" i="14809"/>
  <c r="GH24" i="14809"/>
  <c r="GL24" i="14809"/>
  <c r="GG28" i="14809"/>
  <c r="GF28" i="14809"/>
  <c r="GL28" i="14809"/>
  <c r="GH28" i="14809"/>
  <c r="GG29" i="14809"/>
  <c r="GG36" i="14809"/>
  <c r="GL36" i="14809"/>
  <c r="GH36" i="14809"/>
  <c r="GF40" i="14809"/>
  <c r="GG40" i="14809"/>
  <c r="GH40" i="14809"/>
  <c r="GL40" i="14809"/>
  <c r="GG42" i="14809"/>
  <c r="GF42" i="14809"/>
  <c r="GH42" i="14809"/>
  <c r="GG43" i="14809"/>
  <c r="GG44" i="14809"/>
  <c r="GG45" i="14809"/>
  <c r="GG49" i="14809"/>
  <c r="AI7" i="14841"/>
  <c r="GC3" i="14841" s="1"/>
  <c r="AH7" i="14841"/>
  <c r="GB3" i="14841" s="1"/>
  <c r="AT7" i="14841"/>
  <c r="GN3" i="14841" s="1"/>
  <c r="GF38" i="14809"/>
  <c r="DI41" i="14809"/>
  <c r="DI39" i="14809"/>
  <c r="DI40" i="14809"/>
  <c r="AR7" i="14841"/>
  <c r="GL3" i="14841" s="1"/>
  <c r="AZ7" i="14841"/>
  <c r="GT3" i="14841" s="1"/>
  <c r="AQ7" i="14841"/>
  <c r="GK3" i="14841" s="1"/>
  <c r="AN7" i="14841"/>
  <c r="GH3" i="14841" s="1"/>
  <c r="AJ7" i="14841"/>
  <c r="GD3" i="14841" s="1"/>
  <c r="DA33" i="14809"/>
  <c r="GL22" i="14809"/>
  <c r="GG11" i="14809"/>
  <c r="GL25" i="14809"/>
  <c r="GH25" i="14809"/>
  <c r="GG32" i="14809"/>
  <c r="GF32" i="14809"/>
  <c r="GL32" i="14809"/>
  <c r="GG35" i="14809"/>
  <c r="GF35" i="14809"/>
  <c r="GH35" i="14809"/>
  <c r="GG46" i="14809"/>
  <c r="GG47" i="14809"/>
  <c r="GG48" i="14809"/>
  <c r="GG51" i="14809"/>
  <c r="GH52" i="14809"/>
  <c r="GG52" i="14809"/>
  <c r="AS7" i="14841"/>
  <c r="GM3" i="14841" s="1"/>
  <c r="AE7" i="14841"/>
  <c r="FY3" i="14841" s="1"/>
  <c r="AU7" i="14841"/>
  <c r="GO3" i="14841" s="1"/>
  <c r="AW7" i="14841"/>
  <c r="GQ3" i="14841" s="1"/>
  <c r="AG7" i="14841"/>
  <c r="GA3" i="14841" s="1"/>
  <c r="AY7" i="14841"/>
  <c r="GS3" i="14841" s="1"/>
  <c r="B24" i="14824"/>
  <c r="GL38" i="14809"/>
  <c r="GL17" i="14809"/>
  <c r="GH18" i="14809"/>
  <c r="GF52" i="14809"/>
  <c r="GG15" i="14809"/>
  <c r="GL21" i="14809"/>
  <c r="GH21" i="14809"/>
  <c r="GF21" i="14809"/>
  <c r="GG37" i="14809"/>
  <c r="GF41" i="14809"/>
  <c r="EZ10" i="14835"/>
  <c r="EZ11" i="14835" s="1"/>
  <c r="EZ26" i="14835"/>
  <c r="FN10" i="14835"/>
  <c r="FN11" i="14835" s="1"/>
  <c r="FN26" i="14835"/>
  <c r="FS10" i="14835"/>
  <c r="FS11" i="14835" s="1"/>
  <c r="FS26" i="14835"/>
  <c r="FC26" i="14835"/>
  <c r="FC10" i="14835"/>
  <c r="FC11" i="14835" s="1"/>
  <c r="FQ10" i="14835"/>
  <c r="FQ11" i="14835" s="1"/>
  <c r="FQ26" i="14835"/>
  <c r="CX15" i="14809"/>
  <c r="CW32" i="14809"/>
  <c r="GL9" i="14809"/>
  <c r="GL15" i="14809"/>
  <c r="GF17" i="14809"/>
  <c r="GH20" i="14809"/>
  <c r="GG20" i="14809"/>
  <c r="GL23" i="14809"/>
  <c r="GG23" i="14809"/>
  <c r="GF39" i="14809"/>
  <c r="GG39" i="14809"/>
  <c r="GL39" i="14809"/>
  <c r="AI29" i="14841"/>
  <c r="AI30" i="14841" s="1"/>
  <c r="BI115" i="14841" s="1"/>
  <c r="BI116" i="14841" s="1"/>
  <c r="CH14" i="14809"/>
  <c r="GO14" i="14809" s="1"/>
  <c r="CG14" i="14809"/>
  <c r="CF14" i="14809"/>
  <c r="CI14" i="14809" s="1"/>
  <c r="CG23" i="14809"/>
  <c r="CJ23" i="14809" s="1"/>
  <c r="CF23" i="14809"/>
  <c r="CI23" i="14809" s="1"/>
  <c r="CH23" i="14809"/>
  <c r="GO23" i="14809" s="1"/>
  <c r="CG27" i="14809"/>
  <c r="CJ27" i="14809" s="1"/>
  <c r="CH27" i="14809"/>
  <c r="CK27" i="14809" s="1"/>
  <c r="CF27" i="14809"/>
  <c r="CI27" i="14809" s="1"/>
  <c r="CG29" i="14809"/>
  <c r="CF29" i="14809"/>
  <c r="CH29" i="14809"/>
  <c r="GO29" i="14809" s="1"/>
  <c r="CG31" i="14809"/>
  <c r="CJ31" i="14809" s="1"/>
  <c r="CH31" i="14809"/>
  <c r="GO31" i="14809" s="1"/>
  <c r="CF31" i="14809"/>
  <c r="CH40" i="14809"/>
  <c r="GO40" i="14809" s="1"/>
  <c r="CF40" i="14809"/>
  <c r="CI40" i="14809" s="1"/>
  <c r="CG40" i="14809"/>
  <c r="FK10" i="14835"/>
  <c r="FK11" i="14835" s="1"/>
  <c r="FM10" i="14835"/>
  <c r="FM11" i="14835" s="1"/>
  <c r="FF27" i="14835"/>
  <c r="FE10" i="14835"/>
  <c r="FE11" i="14835" s="1"/>
  <c r="FR10" i="14835"/>
  <c r="FR11" i="14835" s="1"/>
  <c r="FJ26" i="14835"/>
  <c r="EB10" i="14835"/>
  <c r="EB11" i="14835" s="1"/>
  <c r="FF10" i="14841"/>
  <c r="FF11" i="14841" s="1"/>
  <c r="FD26" i="14841"/>
  <c r="FD10" i="14841"/>
  <c r="FD11" i="14841" s="1"/>
  <c r="EN10" i="14841"/>
  <c r="EN11" i="14841" s="1"/>
  <c r="FL8" i="14841"/>
  <c r="CF11" i="14809"/>
  <c r="CG11" i="14809"/>
  <c r="CJ11" i="14809" s="1"/>
  <c r="CH11" i="14809"/>
  <c r="CG10" i="14809"/>
  <c r="CJ10" i="14809" s="1"/>
  <c r="CF10" i="14809"/>
  <c r="AW5" i="14841"/>
  <c r="GQ5" i="14841" s="1"/>
  <c r="BG166" i="14835"/>
  <c r="EZ26" i="14841"/>
  <c r="FP10" i="14841"/>
  <c r="FP11" i="14841" s="1"/>
  <c r="FA10" i="14841"/>
  <c r="FA11" i="14841" s="1"/>
  <c r="FH10" i="14841"/>
  <c r="FH11" i="14841" s="1"/>
  <c r="FC27" i="14841"/>
  <c r="FC10" i="14841"/>
  <c r="FC11" i="14841" s="1"/>
  <c r="FR27" i="14841"/>
  <c r="CG12" i="14809"/>
  <c r="CJ12" i="14809" s="1"/>
  <c r="CH12" i="14809"/>
  <c r="GO12" i="14809" s="1"/>
  <c r="CF12" i="14809"/>
  <c r="CG19" i="14809"/>
  <c r="CF19" i="14809"/>
  <c r="CI19" i="14809" s="1"/>
  <c r="CF36" i="14809"/>
  <c r="CH36" i="14809"/>
  <c r="CG36" i="14809"/>
  <c r="CJ36" i="14809" s="1"/>
  <c r="EU10" i="14835"/>
  <c r="EU11" i="14835" s="1"/>
  <c r="FA10" i="14835"/>
  <c r="FA11" i="14835" s="1"/>
  <c r="EP10" i="14835"/>
  <c r="EP11" i="14835" s="1"/>
  <c r="EJ10" i="14835"/>
  <c r="EJ11" i="14835" s="1"/>
  <c r="FG10" i="14841"/>
  <c r="FG11" i="14841" s="1"/>
  <c r="FE26" i="14841"/>
  <c r="FE10" i="14841"/>
  <c r="FE11" i="14841" s="1"/>
  <c r="EP10" i="14841"/>
  <c r="EP11" i="14841" s="1"/>
  <c r="FN8" i="14841"/>
  <c r="FB26" i="14841"/>
  <c r="FI26" i="14841"/>
  <c r="FK26" i="14841"/>
  <c r="CG13" i="14809"/>
  <c r="CJ13" i="14809" s="1"/>
  <c r="CF13" i="14809"/>
  <c r="CI13" i="14809" s="1"/>
  <c r="CH13" i="14809"/>
  <c r="GO13" i="14809" s="1"/>
  <c r="AW40" i="14835"/>
  <c r="AW54" i="14835"/>
  <c r="AS54" i="14835"/>
  <c r="AS40" i="14835"/>
  <c r="AK49" i="14835"/>
  <c r="HD10" i="14835"/>
  <c r="HD11" i="14835" s="1"/>
  <c r="BI165" i="14841"/>
  <c r="CF28" i="14809"/>
  <c r="CI28" i="14809" s="1"/>
  <c r="CH22" i="14809"/>
  <c r="GO22" i="14809" s="1"/>
  <c r="CF22" i="14809"/>
  <c r="CI22" i="14809" s="1"/>
  <c r="CG34" i="14809"/>
  <c r="CJ34" i="14809" s="1"/>
  <c r="CG38" i="14809"/>
  <c r="CJ38" i="14809" s="1"/>
  <c r="AJ54" i="14835"/>
  <c r="AJ40" i="14835"/>
  <c r="AN49" i="14835"/>
  <c r="HG10" i="14835"/>
  <c r="HG11" i="14835" s="1"/>
  <c r="AN63" i="14835"/>
  <c r="BO114" i="14841"/>
  <c r="BS114" i="14841"/>
  <c r="AY54" i="14835"/>
  <c r="AY40" i="14835"/>
  <c r="AQ40" i="14835"/>
  <c r="AQ54" i="14835"/>
  <c r="AF35" i="14835"/>
  <c r="AF11" i="14835"/>
  <c r="AE35" i="14835"/>
  <c r="AE63" i="14835"/>
  <c r="AE49" i="14835"/>
  <c r="AO49" i="14835"/>
  <c r="HH10" i="14835"/>
  <c r="HH11" i="14835" s="1"/>
  <c r="AT49" i="14835"/>
  <c r="HM10" i="14835"/>
  <c r="HM11" i="14835" s="1"/>
  <c r="AT63" i="14835"/>
  <c r="S52" i="14843"/>
  <c r="CH28" i="14809"/>
  <c r="CK28" i="14809" s="1"/>
  <c r="CF32" i="14809"/>
  <c r="CF20" i="14809"/>
  <c r="CI20" i="14809" s="1"/>
  <c r="CH20" i="14809"/>
  <c r="GO20" i="14809" s="1"/>
  <c r="CF24" i="14809"/>
  <c r="CH24" i="14809"/>
  <c r="GO24" i="14809" s="1"/>
  <c r="AI40" i="14835"/>
  <c r="AH54" i="14835"/>
  <c r="AH40" i="14835"/>
  <c r="AG49" i="14835"/>
  <c r="GZ10" i="14835"/>
  <c r="GZ11" i="14835" s="1"/>
  <c r="AP49" i="14835"/>
  <c r="HI10" i="14835"/>
  <c r="HI11" i="14835" s="1"/>
  <c r="AP63" i="14835"/>
  <c r="AU49" i="14835"/>
  <c r="HN10" i="14835"/>
  <c r="HN11" i="14835" s="1"/>
  <c r="BY166" i="14835"/>
  <c r="BR166" i="14835"/>
  <c r="BN166" i="14835"/>
  <c r="BI166" i="14835"/>
  <c r="AO29" i="14835"/>
  <c r="AO30" i="14835" s="1"/>
  <c r="CZ28" i="14809"/>
  <c r="GR45" i="14809"/>
  <c r="GR43" i="14809"/>
  <c r="C240" i="14786" s="1"/>
  <c r="GR46" i="14809"/>
  <c r="GR44" i="14809"/>
  <c r="GR47" i="14809"/>
  <c r="GR51" i="14809"/>
  <c r="GR42" i="14809"/>
  <c r="GR49" i="14809"/>
  <c r="GR48" i="14809"/>
  <c r="GO9" i="14809"/>
  <c r="GO43" i="14809"/>
  <c r="C12" i="14786"/>
  <c r="C27" i="14786"/>
  <c r="CY24" i="14809"/>
  <c r="GN52" i="14809"/>
  <c r="GN22" i="14809"/>
  <c r="C232" i="14786" s="1"/>
  <c r="B4" i="14825"/>
  <c r="C39" i="14786"/>
  <c r="C26" i="14786"/>
  <c r="DJ6" i="14809"/>
  <c r="B50" i="14815"/>
  <c r="B51" i="14826"/>
  <c r="AB51" i="14826" s="1"/>
  <c r="C136" i="14786"/>
  <c r="DG6" i="14809"/>
  <c r="CF6" i="14809"/>
  <c r="AT4" i="14815"/>
  <c r="B50" i="14825"/>
  <c r="C179" i="14786"/>
  <c r="B50" i="14824"/>
  <c r="C78" i="14786"/>
  <c r="B32" i="14815"/>
  <c r="P4" i="14824"/>
  <c r="R4" i="14824"/>
  <c r="C137" i="14786"/>
  <c r="DI26" i="14809"/>
  <c r="B47" i="14835"/>
  <c r="P4" i="14815"/>
  <c r="BW4" i="14809"/>
  <c r="C194" i="14786"/>
  <c r="B31" i="14835"/>
  <c r="B34" i="14825"/>
  <c r="B35" i="14826"/>
  <c r="AB35" i="14826" s="1"/>
  <c r="B8" i="14841"/>
  <c r="R4" i="14825"/>
  <c r="AS4" i="14815"/>
  <c r="C117" i="14786"/>
  <c r="C20" i="14786"/>
  <c r="C77" i="14786"/>
  <c r="BV6" i="14809"/>
  <c r="Z4" i="14815"/>
  <c r="AJ10" i="14809"/>
  <c r="AJ19" i="14809"/>
  <c r="C160" i="14786"/>
  <c r="C133" i="14786"/>
  <c r="AJ32" i="14809"/>
  <c r="B22" i="14841"/>
  <c r="B25" i="14815"/>
  <c r="B23" i="14835"/>
  <c r="B26" i="14815"/>
  <c r="B26" i="14824"/>
  <c r="B27" i="14826"/>
  <c r="AB27" i="14826" s="1"/>
  <c r="B26" i="14825"/>
  <c r="B8" i="14824"/>
  <c r="B13" i="14835"/>
  <c r="DB30" i="14809"/>
  <c r="CW37" i="14809"/>
  <c r="CY32" i="14809"/>
  <c r="DA24" i="14809"/>
  <c r="CX21" i="14809"/>
  <c r="CX27" i="14809"/>
  <c r="CZ40" i="14809"/>
  <c r="CX18" i="14809"/>
  <c r="CX20" i="14809"/>
  <c r="CZ20" i="14809"/>
  <c r="DA18" i="14809"/>
  <c r="Z4" i="14824"/>
  <c r="AP4" i="14824"/>
  <c r="C144" i="14786"/>
  <c r="AJ13" i="14809"/>
  <c r="C54" i="14786"/>
  <c r="CZ25" i="14809"/>
  <c r="CZ29" i="14809"/>
  <c r="CZ31" i="14809"/>
  <c r="CW30" i="14809"/>
  <c r="CX29" i="14809"/>
  <c r="DA35" i="14809"/>
  <c r="DB25" i="14809"/>
  <c r="CZ12" i="14809"/>
  <c r="B24" i="14815"/>
  <c r="CX30" i="14809"/>
  <c r="CZ35" i="14809"/>
  <c r="CY37" i="14809"/>
  <c r="DB29" i="14809"/>
  <c r="C157" i="14786"/>
  <c r="AP4" i="14825"/>
  <c r="AJ17" i="14809"/>
  <c r="C19" i="14786"/>
  <c r="CW25" i="14809"/>
  <c r="DB24" i="14809"/>
  <c r="CY40" i="14809"/>
  <c r="CX40" i="14809"/>
  <c r="CW29" i="14809"/>
  <c r="CY31" i="14809"/>
  <c r="DA40" i="14809"/>
  <c r="B25" i="14826"/>
  <c r="AB25" i="14826" s="1"/>
  <c r="DA27" i="14809"/>
  <c r="CW33" i="14809"/>
  <c r="DA12" i="14809"/>
  <c r="C109" i="14786"/>
  <c r="AJ20" i="14809"/>
  <c r="C58" i="14786"/>
  <c r="GE6" i="14809"/>
  <c r="CY19" i="14809"/>
  <c r="CX22" i="14809"/>
  <c r="CY29" i="14809"/>
  <c r="CW27" i="14809"/>
  <c r="CY26" i="14809"/>
  <c r="DB28" i="14809"/>
  <c r="DB40" i="14809"/>
  <c r="CY21" i="14809"/>
  <c r="CW23" i="14809"/>
  <c r="Z4" i="14825"/>
  <c r="AJ21" i="14809"/>
  <c r="H267" i="14786"/>
  <c r="N283" i="14786"/>
  <c r="CZ23" i="14809"/>
  <c r="CZ53" i="14809"/>
  <c r="DA17" i="14809"/>
  <c r="CX12" i="14809"/>
  <c r="CX26" i="14809"/>
  <c r="DA23" i="14809"/>
  <c r="DA31" i="14809"/>
  <c r="CY34" i="14809"/>
  <c r="B16" i="14824"/>
  <c r="CX34" i="14809"/>
  <c r="CY22" i="14809"/>
  <c r="DA25" i="14809"/>
  <c r="CY14" i="14809"/>
  <c r="DA30" i="14809"/>
  <c r="C134" i="14786"/>
  <c r="AQ4" i="14815"/>
  <c r="AJ29" i="14809"/>
  <c r="AJ9" i="14809"/>
  <c r="CX25" i="14809"/>
  <c r="DB36" i="14809"/>
  <c r="CY12" i="14809"/>
  <c r="DA20" i="14809"/>
  <c r="DA14" i="14809"/>
  <c r="DB14" i="14809"/>
  <c r="CX28" i="14809"/>
  <c r="B17" i="14826"/>
  <c r="AB17" i="14826" s="1"/>
  <c r="CW17" i="14809"/>
  <c r="CX14" i="14809"/>
  <c r="CY25" i="14809"/>
  <c r="DB33" i="14809"/>
  <c r="AP4" i="14815"/>
  <c r="DB37" i="14809"/>
  <c r="B9" i="14826"/>
  <c r="AB9" i="14826" s="1"/>
  <c r="DB12" i="14809"/>
  <c r="CY36" i="14809"/>
  <c r="CW43" i="14809"/>
  <c r="DB34" i="14809"/>
  <c r="CX35" i="14809"/>
  <c r="CX23" i="14809"/>
  <c r="CY17" i="14809"/>
  <c r="CW31" i="14809"/>
  <c r="AQ4" i="14824"/>
  <c r="B10" i="14835"/>
  <c r="B13" i="14815"/>
  <c r="B13" i="14825"/>
  <c r="B14" i="14826"/>
  <c r="AB14" i="14826" s="1"/>
  <c r="B28" i="14825"/>
  <c r="B28" i="14815"/>
  <c r="B25" i="14835"/>
  <c r="B48" i="14826"/>
  <c r="AB48" i="14826" s="1"/>
  <c r="B47" i="14825"/>
  <c r="B47" i="14815"/>
  <c r="B47" i="14824"/>
  <c r="B23" i="14843"/>
  <c r="B22" i="14815"/>
  <c r="B23" i="14826"/>
  <c r="AB23" i="14826" s="1"/>
  <c r="B22" i="14825"/>
  <c r="B22" i="14824"/>
  <c r="B19" i="14841"/>
  <c r="B19" i="14835"/>
  <c r="B49" i="14826"/>
  <c r="AB49" i="14826" s="1"/>
  <c r="B48" i="14824"/>
  <c r="B48" i="14825"/>
  <c r="B45" i="14835"/>
  <c r="B41" i="14825"/>
  <c r="B41" i="14815"/>
  <c r="B42" i="14826"/>
  <c r="AB42" i="14826" s="1"/>
  <c r="B41" i="14824"/>
  <c r="B38" i="14835"/>
  <c r="B19" i="14826"/>
  <c r="AB19" i="14826" s="1"/>
  <c r="B18" i="14824"/>
  <c r="B18" i="14815"/>
  <c r="B18" i="14825"/>
  <c r="B15" i="14835"/>
  <c r="B35" i="14824"/>
  <c r="B32" i="14841"/>
  <c r="B36" i="14826"/>
  <c r="AB36" i="14826" s="1"/>
  <c r="B35" i="14815"/>
  <c r="B32" i="14835"/>
  <c r="B35" i="14825"/>
  <c r="B45" i="14843"/>
  <c r="V45" i="14843" s="1"/>
  <c r="B44" i="14815"/>
  <c r="B41" i="14835"/>
  <c r="B45" i="14826"/>
  <c r="AB45" i="14826" s="1"/>
  <c r="B44" i="14825"/>
  <c r="B44" i="14824"/>
  <c r="B19" i="14825"/>
  <c r="B16" i="14841"/>
  <c r="B19" i="14824"/>
  <c r="B20" i="14826"/>
  <c r="AB20" i="14826" s="1"/>
  <c r="B19" i="14815"/>
  <c r="B37" i="14843"/>
  <c r="B36" i="14815"/>
  <c r="B33" i="14835"/>
  <c r="B37" i="14826"/>
  <c r="AB37" i="14826" s="1"/>
  <c r="B36" i="14825"/>
  <c r="B36" i="14824"/>
  <c r="B21" i="14843"/>
  <c r="V21" i="14843" s="1"/>
  <c r="B20" i="14824"/>
  <c r="B20" i="14815"/>
  <c r="B17" i="14835"/>
  <c r="B21" i="14826"/>
  <c r="AB21" i="14826" s="1"/>
  <c r="B20" i="14825"/>
  <c r="B43" i="14835"/>
  <c r="B46" i="14815"/>
  <c r="AG4" i="14815"/>
  <c r="AG4" i="14824"/>
  <c r="C14" i="14786"/>
  <c r="AJ24" i="14809"/>
  <c r="AJ30" i="14809"/>
  <c r="AJ34" i="14809"/>
  <c r="CA6" i="14809"/>
  <c r="AJ47" i="14809"/>
  <c r="C89" i="14786"/>
  <c r="CL6" i="14809"/>
  <c r="H571" i="14814"/>
  <c r="A572" i="14814"/>
  <c r="D571" i="14814"/>
  <c r="H570" i="14814"/>
  <c r="E970" i="14814" s="1"/>
  <c r="B823" i="14814"/>
  <c r="B795" i="14814"/>
  <c r="B767" i="14814"/>
  <c r="B739" i="14814"/>
  <c r="B711" i="14814"/>
  <c r="B683" i="14814"/>
  <c r="B655" i="14814"/>
  <c r="B627" i="14814"/>
  <c r="A65" i="14814"/>
  <c r="D64" i="14814"/>
  <c r="F419" i="14814" s="1"/>
  <c r="B830" i="14814"/>
  <c r="D570" i="14814"/>
  <c r="B802" i="14814"/>
  <c r="B774" i="14814"/>
  <c r="B746" i="14814"/>
  <c r="B718" i="14814"/>
  <c r="B690" i="14814"/>
  <c r="B662" i="14814"/>
  <c r="B634" i="14814"/>
  <c r="E654" i="14814"/>
  <c r="B809" i="14814"/>
  <c r="B781" i="14814"/>
  <c r="B753" i="14814"/>
  <c r="B725" i="14814"/>
  <c r="B697" i="14814"/>
  <c r="B669" i="14814"/>
  <c r="B641" i="14814"/>
  <c r="F571" i="14814"/>
  <c r="B816" i="14814"/>
  <c r="B788" i="14814"/>
  <c r="B760" i="14814"/>
  <c r="B732" i="14814"/>
  <c r="B704" i="14814"/>
  <c r="B676" i="14814"/>
  <c r="B648" i="14814"/>
  <c r="B620" i="14814"/>
  <c r="CH15" i="14809"/>
  <c r="GO15" i="14809" s="1"/>
  <c r="CF15" i="14809"/>
  <c r="CI15" i="14809" s="1"/>
  <c r="CG15" i="14809"/>
  <c r="CG33" i="14809"/>
  <c r="CJ33" i="14809" s="1"/>
  <c r="CF33" i="14809"/>
  <c r="CI33" i="14809" s="1"/>
  <c r="CF25" i="14809"/>
  <c r="CI25" i="14809" s="1"/>
  <c r="CH25" i="14809"/>
  <c r="GO25" i="14809" s="1"/>
  <c r="CG25" i="14809"/>
  <c r="CJ25" i="14809" s="1"/>
  <c r="B30" i="14851"/>
  <c r="B30" i="14850"/>
  <c r="B30" i="14841"/>
  <c r="B34" i="14843"/>
  <c r="B33" i="14825"/>
  <c r="B33" i="14824"/>
  <c r="B33" i="14815"/>
  <c r="B30" i="14835"/>
  <c r="B34" i="14826"/>
  <c r="AB34" i="14826" s="1"/>
  <c r="B34" i="14850"/>
  <c r="B34" i="14851"/>
  <c r="B38" i="14843"/>
  <c r="V38" i="14843" s="1"/>
  <c r="B34" i="14841"/>
  <c r="B37" i="14824"/>
  <c r="B37" i="14825"/>
  <c r="B38" i="14826"/>
  <c r="AB38" i="14826" s="1"/>
  <c r="B34" i="14835"/>
  <c r="B37" i="14815"/>
  <c r="AJ50" i="14809"/>
  <c r="AJ45" i="14809"/>
  <c r="AJ44" i="14809"/>
  <c r="AJ38" i="14809"/>
  <c r="AJ53" i="14809"/>
  <c r="AJ52" i="14809"/>
  <c r="C9" i="14786"/>
  <c r="F41" i="14786"/>
  <c r="B24" i="14835"/>
  <c r="B12" i="14815"/>
  <c r="B18" i="14843"/>
  <c r="V18" i="14843" s="1"/>
  <c r="B14" i="14850"/>
  <c r="B14" i="14851"/>
  <c r="B14" i="14841"/>
  <c r="B39" i="14826"/>
  <c r="AB39" i="14826" s="1"/>
  <c r="B35" i="14850"/>
  <c r="B35" i="14851"/>
  <c r="B42" i="14850"/>
  <c r="B42" i="14851"/>
  <c r="B46" i="14826"/>
  <c r="AB46" i="14826" s="1"/>
  <c r="A3" i="14825"/>
  <c r="A4" i="14809"/>
  <c r="B28" i="14851"/>
  <c r="B28" i="14850"/>
  <c r="B28" i="14841"/>
  <c r="B4" i="14851"/>
  <c r="B4" i="14850"/>
  <c r="B8" i="14843"/>
  <c r="V8" i="14843" s="1"/>
  <c r="B7" i="14815"/>
  <c r="B4" i="14841"/>
  <c r="F42" i="14786"/>
  <c r="L4" i="14815"/>
  <c r="BQ6" i="14809"/>
  <c r="C118" i="14786"/>
  <c r="B11" i="14843"/>
  <c r="B7" i="14851"/>
  <c r="B7" i="14850"/>
  <c r="B10" i="14824"/>
  <c r="B7" i="14841"/>
  <c r="B29" i="14850"/>
  <c r="B29" i="14851"/>
  <c r="B32" i="14825"/>
  <c r="B46" i="14850"/>
  <c r="B46" i="14851"/>
  <c r="B3" i="14850"/>
  <c r="B3" i="14851"/>
  <c r="B7" i="14843"/>
  <c r="DK6" i="14809"/>
  <c r="C192" i="14786"/>
  <c r="B7" i="14826"/>
  <c r="AB7" i="14826" s="1"/>
  <c r="B49" i="14824"/>
  <c r="B6" i="14815"/>
  <c r="B27" i="14825"/>
  <c r="F147" i="14786"/>
  <c r="B8" i="14850"/>
  <c r="B8" i="14851"/>
  <c r="B12" i="14843"/>
  <c r="V12" i="14843" s="1"/>
  <c r="B19" i="14843"/>
  <c r="V19" i="14843" s="1"/>
  <c r="B15" i="14850"/>
  <c r="B15" i="14851"/>
  <c r="B15" i="14841"/>
  <c r="B36" i="14850"/>
  <c r="B36" i="14851"/>
  <c r="B43" i="14850"/>
  <c r="B43" i="14851"/>
  <c r="B43" i="14841"/>
  <c r="B47" i="14850"/>
  <c r="B47" i="14851"/>
  <c r="B47" i="14841"/>
  <c r="B40" i="14850"/>
  <c r="B40" i="14851"/>
  <c r="B44" i="14843"/>
  <c r="V44" i="14843" s="1"/>
  <c r="B44" i="14826"/>
  <c r="AB44" i="14826" s="1"/>
  <c r="C141" i="14786"/>
  <c r="AE4" i="14825"/>
  <c r="AE4" i="14824"/>
  <c r="F144" i="14786"/>
  <c r="C236" i="14786"/>
  <c r="BX6" i="14809"/>
  <c r="C130" i="14786"/>
  <c r="C80" i="14786"/>
  <c r="BE6" i="14809"/>
  <c r="B46" i="14835"/>
  <c r="B37" i="14851"/>
  <c r="B37" i="14850"/>
  <c r="B41" i="14843"/>
  <c r="V41" i="14843" s="1"/>
  <c r="GM47" i="14809"/>
  <c r="GM43" i="14809"/>
  <c r="B11" i="14851"/>
  <c r="B11" i="14850"/>
  <c r="B14" i="14824"/>
  <c r="B15" i="14843"/>
  <c r="B11" i="14835"/>
  <c r="B14" i="14825"/>
  <c r="N4" i="14825"/>
  <c r="N4" i="14815"/>
  <c r="C149" i="14786"/>
  <c r="CD6" i="14809"/>
  <c r="C135" i="14786"/>
  <c r="B3" i="14835"/>
  <c r="B14" i="14843"/>
  <c r="V14" i="14843" s="1"/>
  <c r="B10" i="14851"/>
  <c r="B10" i="14850"/>
  <c r="B13" i="14824"/>
  <c r="B10" i="14841"/>
  <c r="B29" i="14843"/>
  <c r="V29" i="14843" s="1"/>
  <c r="B25" i="14851"/>
  <c r="B25" i="14850"/>
  <c r="B25" i="14841"/>
  <c r="B38" i="14851"/>
  <c r="B38" i="14850"/>
  <c r="B38" i="14841"/>
  <c r="CZ13" i="14809"/>
  <c r="CZ19" i="14809"/>
  <c r="CX16" i="14809"/>
  <c r="B31" i="14851"/>
  <c r="B31" i="14850"/>
  <c r="B34" i="14824"/>
  <c r="AX4" i="14815"/>
  <c r="AX4" i="14824"/>
  <c r="CJ47" i="14809"/>
  <c r="CJ39" i="14809"/>
  <c r="CI26" i="14809"/>
  <c r="CI18" i="14809"/>
  <c r="CI47" i="14809"/>
  <c r="CI31" i="14809"/>
  <c r="CJ28" i="14809"/>
  <c r="CJ20" i="14809"/>
  <c r="CJ30" i="14809"/>
  <c r="CI17" i="14809"/>
  <c r="CJ29" i="14809"/>
  <c r="CJ15" i="14809"/>
  <c r="CJ17" i="14809"/>
  <c r="CJ22" i="14809"/>
  <c r="CI49" i="14809"/>
  <c r="CJ51" i="14809"/>
  <c r="CI30" i="14809"/>
  <c r="CJ19" i="14809"/>
  <c r="CI48" i="14809"/>
  <c r="CJ26" i="14809"/>
  <c r="CJ48" i="14809"/>
  <c r="CJ40" i="14809"/>
  <c r="CJ21" i="14809"/>
  <c r="CI29" i="14809"/>
  <c r="AC4" i="14825"/>
  <c r="C18" i="14786"/>
  <c r="CR6" i="14809"/>
  <c r="AD6" i="14809"/>
  <c r="E6" i="14809"/>
  <c r="C11" i="14786"/>
  <c r="D4" i="14809"/>
  <c r="CW13" i="14809"/>
  <c r="B5" i="14850"/>
  <c r="B5" i="14851"/>
  <c r="B21" i="14850"/>
  <c r="B21" i="14851"/>
  <c r="B24" i="14825"/>
  <c r="B25" i="14843"/>
  <c r="B21" i="14841"/>
  <c r="B33" i="14841"/>
  <c r="B33" i="14851"/>
  <c r="B33" i="14850"/>
  <c r="CR45" i="14809"/>
  <c r="CR49" i="14809"/>
  <c r="CR10" i="14809"/>
  <c r="CR51" i="14809"/>
  <c r="CG41" i="14809"/>
  <c r="CJ41" i="14809" s="1"/>
  <c r="CH41" i="14809"/>
  <c r="CF41" i="14809"/>
  <c r="CI41" i="14809" s="1"/>
  <c r="CJ46" i="14809"/>
  <c r="T4" i="14824"/>
  <c r="C85" i="14786"/>
  <c r="T4" i="14825"/>
  <c r="W4" i="14825"/>
  <c r="F145" i="14786"/>
  <c r="F143" i="14786"/>
  <c r="F157" i="14786"/>
  <c r="F159" i="14786"/>
  <c r="F156" i="14786"/>
  <c r="F188" i="14786"/>
  <c r="AU3" i="14824"/>
  <c r="B24" i="14850"/>
  <c r="B24" i="14851"/>
  <c r="B10" i="14815"/>
  <c r="B7" i="14835"/>
  <c r="B37" i="14835"/>
  <c r="GM42" i="14809"/>
  <c r="B29" i="14826"/>
  <c r="AB29" i="14826" s="1"/>
  <c r="B10" i="14825"/>
  <c r="CW16" i="14809"/>
  <c r="DA16" i="14809"/>
  <c r="CZ22" i="14809"/>
  <c r="B3" i="14841"/>
  <c r="B16" i="14843"/>
  <c r="V16" i="14843" s="1"/>
  <c r="B12" i="14850"/>
  <c r="B12" i="14851"/>
  <c r="B17" i="14841"/>
  <c r="B17" i="14851"/>
  <c r="B17" i="14850"/>
  <c r="B22" i="14851"/>
  <c r="B22" i="14850"/>
  <c r="B26" i="14851"/>
  <c r="B26" i="14850"/>
  <c r="B39" i="14835"/>
  <c r="B39" i="14850"/>
  <c r="B39" i="14851"/>
  <c r="B45" i="14851"/>
  <c r="B45" i="14850"/>
  <c r="CW40" i="14809"/>
  <c r="CX53" i="14809"/>
  <c r="CZ33" i="14809"/>
  <c r="CY28" i="14809"/>
  <c r="CZ30" i="14809"/>
  <c r="DB26" i="14809"/>
  <c r="DB17" i="14809"/>
  <c r="CY43" i="14809"/>
  <c r="CW24" i="14809"/>
  <c r="CX32" i="14809"/>
  <c r="DB43" i="14809"/>
  <c r="CY35" i="14809"/>
  <c r="CY23" i="14809"/>
  <c r="DB35" i="14809"/>
  <c r="CX17" i="14809"/>
  <c r="DB18" i="14809"/>
  <c r="CW34" i="14809"/>
  <c r="CY30" i="14809"/>
  <c r="CY53" i="14809"/>
  <c r="CX43" i="14809"/>
  <c r="CY20" i="14809"/>
  <c r="DB32" i="14809"/>
  <c r="DA32" i="14809"/>
  <c r="CW35" i="14809"/>
  <c r="CW14" i="14809"/>
  <c r="CW20" i="14809"/>
  <c r="DB31" i="14809"/>
  <c r="CW53" i="14809"/>
  <c r="CX24" i="14809"/>
  <c r="DA28" i="14809"/>
  <c r="CZ17" i="14809"/>
  <c r="DA37" i="14809"/>
  <c r="CX36" i="14809"/>
  <c r="DA34" i="14809"/>
  <c r="CZ27" i="14809"/>
  <c r="DA29" i="14809"/>
  <c r="DB20" i="14809"/>
  <c r="CW36" i="14809"/>
  <c r="DB23" i="14809"/>
  <c r="CX31" i="14809"/>
  <c r="CY33" i="14809"/>
  <c r="AJ46" i="14809"/>
  <c r="AJ28" i="14809"/>
  <c r="AJ16" i="14809"/>
  <c r="AJ37" i="14809"/>
  <c r="AJ27" i="14809"/>
  <c r="AJ15" i="14809"/>
  <c r="AJ36" i="14809"/>
  <c r="AJ26" i="14809"/>
  <c r="AJ14" i="14809"/>
  <c r="AJ35" i="14809"/>
  <c r="AJ25" i="14809"/>
  <c r="AJ12" i="14809"/>
  <c r="AJ49" i="14809"/>
  <c r="AJ33" i="14809"/>
  <c r="AJ23" i="14809"/>
  <c r="AJ48" i="14809"/>
  <c r="AJ31" i="14809"/>
  <c r="AJ22" i="14809"/>
  <c r="B20" i="14851"/>
  <c r="B20" i="14850"/>
  <c r="B24" i="14843"/>
  <c r="V24" i="14843" s="1"/>
  <c r="CF46" i="14809"/>
  <c r="CI46" i="14809" s="1"/>
  <c r="CH46" i="14809"/>
  <c r="D4" i="14825"/>
  <c r="F87" i="14786"/>
  <c r="C177" i="14786"/>
  <c r="AW4" i="14824"/>
  <c r="AW4" i="14815"/>
  <c r="AW4" i="14825"/>
  <c r="GM4" i="14809"/>
  <c r="J267" i="14786"/>
  <c r="K267" i="14786"/>
  <c r="AN6" i="14809"/>
  <c r="C22" i="14786"/>
  <c r="I6" i="14809"/>
  <c r="AR6" i="14809"/>
  <c r="C60" i="14786"/>
  <c r="B6" i="14824"/>
  <c r="B9" i="14851"/>
  <c r="B9" i="14850"/>
  <c r="B9" i="14841"/>
  <c r="B13" i="14843"/>
  <c r="B11" i="14826"/>
  <c r="AB11" i="14826" s="1"/>
  <c r="B6" i="14825"/>
  <c r="B32" i="14824"/>
  <c r="B40" i="14824"/>
  <c r="GM49" i="14809"/>
  <c r="B12" i="14824"/>
  <c r="B28" i="14824"/>
  <c r="B28" i="14826"/>
  <c r="AB28" i="14826" s="1"/>
  <c r="B33" i="14826"/>
  <c r="AB33" i="14826" s="1"/>
  <c r="DB13" i="14809"/>
  <c r="CZ26" i="14809"/>
  <c r="B24" i="14841"/>
  <c r="B6" i="14851"/>
  <c r="B6" i="14850"/>
  <c r="B13" i="14851"/>
  <c r="B13" i="14850"/>
  <c r="B17" i="14843"/>
  <c r="V17" i="14843" s="1"/>
  <c r="B16" i="14815"/>
  <c r="B13" i="14841"/>
  <c r="B41" i="14851"/>
  <c r="B41" i="14850"/>
  <c r="B41" i="14841"/>
  <c r="AJ51" i="14809"/>
  <c r="C173" i="14786"/>
  <c r="GM10" i="14809"/>
  <c r="GM9" i="14809"/>
  <c r="R4" i="14815"/>
  <c r="CI50" i="14809"/>
  <c r="CI42" i="14809"/>
  <c r="CK36" i="14809"/>
  <c r="CK35" i="14809"/>
  <c r="CI36" i="14809"/>
  <c r="CI24" i="14809"/>
  <c r="CI53" i="14809"/>
  <c r="CI38" i="14809"/>
  <c r="CK16" i="14809"/>
  <c r="CI35" i="14809"/>
  <c r="CI11" i="14809"/>
  <c r="CK50" i="14809"/>
  <c r="CI16" i="14809"/>
  <c r="CI37" i="14809"/>
  <c r="CI10" i="14809"/>
  <c r="CK53" i="14809"/>
  <c r="CI43" i="14809"/>
  <c r="CK37" i="14809"/>
  <c r="CI32" i="14809"/>
  <c r="CI45" i="14809"/>
  <c r="C114" i="14786"/>
  <c r="C139" i="14786"/>
  <c r="CI34" i="14809"/>
  <c r="CK49" i="14809"/>
  <c r="CI39" i="14809"/>
  <c r="CK25" i="14809"/>
  <c r="CK47" i="14809"/>
  <c r="CK23" i="14809"/>
  <c r="CI12" i="14809"/>
  <c r="CJ14" i="14809"/>
  <c r="CJ37" i="14809"/>
  <c r="CK31" i="14809"/>
  <c r="CK48" i="14809"/>
  <c r="CJ43" i="14809"/>
  <c r="CJ35" i="14809"/>
  <c r="CJ50" i="14809"/>
  <c r="CI51" i="14809"/>
  <c r="CJ32" i="14809"/>
  <c r="CJ24" i="14809"/>
  <c r="CJ53" i="14809"/>
  <c r="CJ45" i="14809"/>
  <c r="CJ42" i="14809"/>
  <c r="V3" i="14825"/>
  <c r="U3" i="14825"/>
  <c r="V3" i="14824"/>
  <c r="U3" i="14824"/>
  <c r="B16" i="14850"/>
  <c r="B16" i="14851"/>
  <c r="B19" i="14850"/>
  <c r="B19" i="14851"/>
  <c r="B23" i="14851"/>
  <c r="B23" i="14850"/>
  <c r="B36" i="14843"/>
  <c r="B32" i="14850"/>
  <c r="B32" i="14851"/>
  <c r="B44" i="14841"/>
  <c r="B44" i="14851"/>
  <c r="B44" i="14850"/>
  <c r="C279" i="14814"/>
  <c r="AK9" i="14841"/>
  <c r="GE8" i="14841" s="1"/>
  <c r="AI45" i="14835"/>
  <c r="AG59" i="14835"/>
  <c r="AJ4" i="14835"/>
  <c r="AP59" i="14835"/>
  <c r="AF45" i="14835"/>
  <c r="AO6" i="14835"/>
  <c r="AK43" i="14835"/>
  <c r="AL57" i="14835"/>
  <c r="AO4" i="14835"/>
  <c r="AZ4" i="14835"/>
  <c r="GT9" i="14835" s="1"/>
  <c r="AR4" i="14835"/>
  <c r="GL9" i="14835" s="1"/>
  <c r="AE4" i="14835"/>
  <c r="DD24" i="14835" s="1"/>
  <c r="AF6" i="14835"/>
  <c r="AE6" i="14835"/>
  <c r="AP6" i="14835"/>
  <c r="AH4" i="14835"/>
  <c r="AT4" i="14835"/>
  <c r="GN9" i="14835" s="1"/>
  <c r="AY4" i="14835"/>
  <c r="AO6" i="14836" s="1"/>
  <c r="AG57" i="14835"/>
  <c r="AN59" i="14835"/>
  <c r="AF59" i="14835"/>
  <c r="AU43" i="14835"/>
  <c r="AO43" i="14835"/>
  <c r="AP57" i="14835"/>
  <c r="AU9" i="14841"/>
  <c r="GO8" i="14841" s="1"/>
  <c r="AK59" i="14835"/>
  <c r="AU59" i="14835"/>
  <c r="AK57" i="14835"/>
  <c r="AY6" i="14835"/>
  <c r="GS6" i="14835" s="1"/>
  <c r="AZ6" i="14835"/>
  <c r="GT6" i="14835" s="1"/>
  <c r="AM6" i="14835"/>
  <c r="AN4" i="14835"/>
  <c r="AV4" i="14835"/>
  <c r="AL6" i="14836" s="1"/>
  <c r="AF57" i="14835"/>
  <c r="AO9" i="14841"/>
  <c r="GI8" i="14841" s="1"/>
  <c r="AJ9" i="14841"/>
  <c r="GD8" i="14841" s="1"/>
  <c r="AL43" i="14835"/>
  <c r="AF43" i="14835"/>
  <c r="AN57" i="14835"/>
  <c r="AT45" i="14835"/>
  <c r="AT6" i="14835"/>
  <c r="AJ10" i="14836" s="1"/>
  <c r="AV6" i="14835"/>
  <c r="GP6" i="14835" s="1"/>
  <c r="AT57" i="14835"/>
  <c r="AF4" i="14835"/>
  <c r="AU6" i="14835"/>
  <c r="AK10" i="14836" s="1"/>
  <c r="AI4" i="14835"/>
  <c r="AU4" i="14835"/>
  <c r="AK6" i="14836" s="1"/>
  <c r="AT43" i="14835"/>
  <c r="AG43" i="14835"/>
  <c r="AR6" i="14835"/>
  <c r="AH10" i="14836" s="1"/>
  <c r="AK6" i="14835"/>
  <c r="AG4" i="14835"/>
  <c r="AQ4" i="14835"/>
  <c r="AN6" i="14835"/>
  <c r="AK4" i="14835"/>
  <c r="AN45" i="14835"/>
  <c r="AL59" i="14835"/>
  <c r="AP45" i="14835"/>
  <c r="AO45" i="14835"/>
  <c r="AO57" i="14835"/>
  <c r="AG6" i="14835"/>
  <c r="AL6" i="14835"/>
  <c r="AJ6" i="14835"/>
  <c r="AX4" i="14835"/>
  <c r="AN6" i="14836" s="1"/>
  <c r="AI5" i="14835"/>
  <c r="AH7" i="14835"/>
  <c r="AF47" i="14835"/>
  <c r="AO23" i="14841"/>
  <c r="AG23" i="14841"/>
  <c r="AL9" i="14841"/>
  <c r="GF8" i="14841" s="1"/>
  <c r="CN13" i="14841"/>
  <c r="AS7" i="14835"/>
  <c r="AI13" i="14836" s="1"/>
  <c r="AJ7" i="14835"/>
  <c r="AV7" i="14835"/>
  <c r="AL13" i="14836" s="1"/>
  <c r="P41" i="14836" s="1"/>
  <c r="AI9" i="14835"/>
  <c r="AO3" i="14835"/>
  <c r="AL8" i="14841"/>
  <c r="GF4" i="14841" s="1"/>
  <c r="AP47" i="14835"/>
  <c r="AZ8" i="14841"/>
  <c r="FU15" i="14841" s="1"/>
  <c r="AJ8" i="14835"/>
  <c r="AP8" i="14835"/>
  <c r="AG61" i="14835"/>
  <c r="AE8" i="14841"/>
  <c r="FY4" i="14841" s="1"/>
  <c r="AU3" i="14841"/>
  <c r="GO7" i="14841" s="1"/>
  <c r="AM23" i="14841"/>
  <c r="AR8" i="14841"/>
  <c r="GL4" i="14841" s="1"/>
  <c r="AY8" i="14841"/>
  <c r="BY87" i="14841" s="1"/>
  <c r="BY88" i="14841" s="1"/>
  <c r="AG9" i="14841"/>
  <c r="GA8" i="14841" s="1"/>
  <c r="AV9" i="14841"/>
  <c r="GP8" i="14841" s="1"/>
  <c r="AE9" i="14841"/>
  <c r="FY8" i="14841" s="1"/>
  <c r="BQ115" i="14835"/>
  <c r="AL3" i="14841"/>
  <c r="GF7" i="14841" s="1"/>
  <c r="AM9" i="14841"/>
  <c r="GG8" i="14841" s="1"/>
  <c r="AF58" i="14835"/>
  <c r="AT58" i="14835"/>
  <c r="AQ23" i="14835"/>
  <c r="AP9" i="14841"/>
  <c r="GJ8" i="14841" s="1"/>
  <c r="AH9" i="14841"/>
  <c r="GB8" i="14841" s="1"/>
  <c r="AI9" i="14841"/>
  <c r="GC8" i="14841" s="1"/>
  <c r="AX9" i="14841"/>
  <c r="GR8" i="14841" s="1"/>
  <c r="AN58" i="14835"/>
  <c r="AF5" i="14835"/>
  <c r="AN9" i="14841"/>
  <c r="GH8" i="14841" s="1"/>
  <c r="AT9" i="14841"/>
  <c r="GN8" i="14841" s="1"/>
  <c r="AW23" i="14835"/>
  <c r="AQ9" i="14841"/>
  <c r="GK8" i="14841" s="1"/>
  <c r="AS9" i="14841"/>
  <c r="GM8" i="14841" s="1"/>
  <c r="CD13" i="14841"/>
  <c r="AR9" i="14841"/>
  <c r="GL8" i="14841" s="1"/>
  <c r="AO5" i="14835"/>
  <c r="AZ9" i="14841"/>
  <c r="GT8" i="14841" s="1"/>
  <c r="AF9" i="14841"/>
  <c r="FZ8" i="14841" s="1"/>
  <c r="BW115" i="14835"/>
  <c r="AO3" i="14841"/>
  <c r="GI7" i="14841" s="1"/>
  <c r="AJ62" i="14835"/>
  <c r="AP60" i="14835"/>
  <c r="AG60" i="14835"/>
  <c r="AK46" i="14835"/>
  <c r="AU42" i="14835"/>
  <c r="AP56" i="14835"/>
  <c r="AP42" i="14835"/>
  <c r="AF48" i="14835"/>
  <c r="AK9" i="14835"/>
  <c r="AM9" i="14835"/>
  <c r="AU9" i="14835"/>
  <c r="GO8" i="14835" s="1"/>
  <c r="AS9" i="14835"/>
  <c r="GM8" i="14835" s="1"/>
  <c r="AU4" i="14841"/>
  <c r="GO9" i="14841" s="1"/>
  <c r="AN9" i="14835"/>
  <c r="AJ9" i="14835"/>
  <c r="AT9" i="14835"/>
  <c r="GN8" i="14835" s="1"/>
  <c r="AG9" i="14835"/>
  <c r="AY9" i="14835"/>
  <c r="GS8" i="14835" s="1"/>
  <c r="AT3" i="14835"/>
  <c r="GN7" i="14835" s="1"/>
  <c r="HM70" i="14835" s="1"/>
  <c r="HM71" i="14835" s="1"/>
  <c r="AO56" i="14835"/>
  <c r="AK42" i="14835"/>
  <c r="AL42" i="14835"/>
  <c r="AO62" i="14835"/>
  <c r="AR9" i="14835"/>
  <c r="GL8" i="14835" s="1"/>
  <c r="AX9" i="14835"/>
  <c r="GR8" i="14835" s="1"/>
  <c r="CX13" i="14841"/>
  <c r="AL56" i="14835"/>
  <c r="AK56" i="14835"/>
  <c r="AU3" i="14835"/>
  <c r="AK7" i="14836" s="1"/>
  <c r="AH3" i="14835"/>
  <c r="AU56" i="14835"/>
  <c r="AF56" i="14835"/>
  <c r="AN48" i="14835"/>
  <c r="AW3" i="14835"/>
  <c r="AM7" i="14836" s="1"/>
  <c r="BI113" i="14841"/>
  <c r="BI114" i="14841" s="1"/>
  <c r="AL9" i="14835"/>
  <c r="AQ9" i="14835"/>
  <c r="AK3" i="14835"/>
  <c r="AZ3" i="14835"/>
  <c r="FU16" i="14835" s="1"/>
  <c r="AU48" i="14835"/>
  <c r="AV9" i="14835"/>
  <c r="GP8" i="14835" s="1"/>
  <c r="AZ9" i="14835"/>
  <c r="GT8" i="14835" s="1"/>
  <c r="AP9" i="14835"/>
  <c r="AF9" i="14835"/>
  <c r="AQ46" i="14835"/>
  <c r="AU47" i="14835"/>
  <c r="AY5" i="14841"/>
  <c r="GS5" i="14841" s="1"/>
  <c r="AV5" i="14841"/>
  <c r="GP5" i="14841" s="1"/>
  <c r="AG5" i="14841"/>
  <c r="GA5" i="14841" s="1"/>
  <c r="AR8" i="14835"/>
  <c r="AJ8" i="14841"/>
  <c r="AM8" i="14841"/>
  <c r="AH8" i="14841"/>
  <c r="BH90" i="14841" s="1"/>
  <c r="AG8" i="14841"/>
  <c r="AQ8" i="14835"/>
  <c r="AH5" i="14841"/>
  <c r="GB5" i="14841" s="1"/>
  <c r="AP8" i="14841"/>
  <c r="CO15" i="14841" s="1"/>
  <c r="AG8" i="14835"/>
  <c r="AK8" i="14835"/>
  <c r="AS8" i="14841"/>
  <c r="GM4" i="14841" s="1"/>
  <c r="AN8" i="14835"/>
  <c r="AO8" i="14835"/>
  <c r="AG47" i="14835"/>
  <c r="AT47" i="14835"/>
  <c r="BX115" i="14835"/>
  <c r="AR5" i="14841"/>
  <c r="GL5" i="14841" s="1"/>
  <c r="AT5" i="14841"/>
  <c r="GN5" i="14841" s="1"/>
  <c r="AS5" i="14841"/>
  <c r="GM5" i="14841" s="1"/>
  <c r="AF8" i="14841"/>
  <c r="FZ4" i="14841" s="1"/>
  <c r="AZ8" i="14835"/>
  <c r="GT4" i="14835" s="1"/>
  <c r="AM8" i="14835"/>
  <c r="AT8" i="14835"/>
  <c r="BT90" i="14835" s="1"/>
  <c r="AI8" i="14835"/>
  <c r="AL61" i="14835"/>
  <c r="BR113" i="14841"/>
  <c r="BR114" i="14841" s="1"/>
  <c r="AI5" i="14841"/>
  <c r="GC5" i="14841" s="1"/>
  <c r="AM5" i="14841"/>
  <c r="GG5" i="14841" s="1"/>
  <c r="AK5" i="14841"/>
  <c r="GE5" i="14841" s="1"/>
  <c r="AO47" i="14835"/>
  <c r="AK8" i="14841"/>
  <c r="CJ15" i="14841" s="1"/>
  <c r="AX8" i="14841"/>
  <c r="AQ8" i="14841"/>
  <c r="AX8" i="14835"/>
  <c r="CW15" i="14835" s="1"/>
  <c r="AY8" i="14835"/>
  <c r="BY87" i="14835" s="1"/>
  <c r="BY88" i="14835" s="1"/>
  <c r="AN47" i="14835"/>
  <c r="AN61" i="14835"/>
  <c r="AP61" i="14835"/>
  <c r="AO5" i="14841"/>
  <c r="GI5" i="14841" s="1"/>
  <c r="AX5" i="14841"/>
  <c r="GR5" i="14841" s="1"/>
  <c r="AI8" i="14841"/>
  <c r="GC4" i="14841" s="1"/>
  <c r="AS8" i="14835"/>
  <c r="AN8" i="14841"/>
  <c r="AV8" i="14841"/>
  <c r="GP4" i="14841" s="1"/>
  <c r="AH8" i="14835"/>
  <c r="DG28" i="14835" s="1"/>
  <c r="AU8" i="14841"/>
  <c r="GO4" i="14841" s="1"/>
  <c r="AN5" i="14841"/>
  <c r="GH5" i="14841" s="1"/>
  <c r="AP5" i="14841"/>
  <c r="GJ5" i="14841" s="1"/>
  <c r="AF5" i="14841"/>
  <c r="FZ5" i="14841" s="1"/>
  <c r="AJ5" i="14841"/>
  <c r="GD5" i="14841" s="1"/>
  <c r="AL47" i="14835"/>
  <c r="AW8" i="14841"/>
  <c r="AV8" i="14835"/>
  <c r="BV90" i="14835" s="1"/>
  <c r="AO8" i="14841"/>
  <c r="CN14" i="14841" s="1"/>
  <c r="AF8" i="14835"/>
  <c r="DE28" i="14835" s="1"/>
  <c r="AU61" i="14835"/>
  <c r="AK61" i="14835"/>
  <c r="AF61" i="14835"/>
  <c r="AT61" i="14835"/>
  <c r="AQ5" i="14841"/>
  <c r="GK5" i="14841" s="1"/>
  <c r="AL5" i="14841"/>
  <c r="GF5" i="14841" s="1"/>
  <c r="AZ5" i="14841"/>
  <c r="GT5" i="14841" s="1"/>
  <c r="AE5" i="14841"/>
  <c r="FY5" i="14841" s="1"/>
  <c r="AK47" i="14835"/>
  <c r="AU8" i="14835"/>
  <c r="AT8" i="14841"/>
  <c r="AL8" i="14835"/>
  <c r="AW8" i="14835"/>
  <c r="AR23" i="14841"/>
  <c r="AZ23" i="14841"/>
  <c r="AX59" i="14835"/>
  <c r="BQ164" i="14841"/>
  <c r="BQ165" i="14841" s="1"/>
  <c r="CQ7" i="14835"/>
  <c r="CM7" i="14835"/>
  <c r="AW4" i="14841"/>
  <c r="GQ9" i="14841" s="1"/>
  <c r="AG23" i="14835"/>
  <c r="CH7" i="14841"/>
  <c r="CH7" i="14835"/>
  <c r="BY164" i="14841"/>
  <c r="BY165" i="14841" s="1"/>
  <c r="AX23" i="14835"/>
  <c r="AV62" i="14835"/>
  <c r="AW62" i="14835"/>
  <c r="AQ62" i="14835"/>
  <c r="AM62" i="14835"/>
  <c r="AE62" i="14835"/>
  <c r="AS62" i="14835"/>
  <c r="AY62" i="14835"/>
  <c r="AI62" i="14835"/>
  <c r="AH62" i="14835"/>
  <c r="AI3" i="14841"/>
  <c r="GC7" i="14841" s="1"/>
  <c r="AS4" i="14841"/>
  <c r="GM9" i="14841" s="1"/>
  <c r="G634" i="14814"/>
  <c r="AE60" i="14835"/>
  <c r="AV48" i="14835"/>
  <c r="AV46" i="14835"/>
  <c r="AS5" i="14835"/>
  <c r="AI9" i="14836" s="1"/>
  <c r="AR61" i="14835"/>
  <c r="AK23" i="14835"/>
  <c r="AE57" i="14835"/>
  <c r="AR45" i="14835"/>
  <c r="AN44" i="14835"/>
  <c r="AU44" i="14835"/>
  <c r="AG5" i="14835"/>
  <c r="AW5" i="14835"/>
  <c r="AG44" i="14835"/>
  <c r="AY5" i="14835"/>
  <c r="AO9" i="14836" s="1"/>
  <c r="AX5" i="14835"/>
  <c r="AN9" i="14836" s="1"/>
  <c r="AP58" i="14835"/>
  <c r="AK58" i="14835"/>
  <c r="AF44" i="14835"/>
  <c r="AV5" i="14835"/>
  <c r="AL44" i="14835"/>
  <c r="AM5" i="14835"/>
  <c r="AL5" i="14835"/>
  <c r="AK5" i="14835"/>
  <c r="AJ5" i="14835"/>
  <c r="AN5" i="14835"/>
  <c r="DM25" i="14835" s="1"/>
  <c r="AP5" i="14835"/>
  <c r="AT5" i="14835"/>
  <c r="AJ9" i="14836" s="1"/>
  <c r="AE5" i="14835"/>
  <c r="AP44" i="14835"/>
  <c r="AO58" i="14835"/>
  <c r="AQ5" i="14835"/>
  <c r="AT44" i="14835"/>
  <c r="AG58" i="14835"/>
  <c r="AU58" i="14835"/>
  <c r="AO44" i="14835"/>
  <c r="AK44" i="14835"/>
  <c r="AH5" i="14835"/>
  <c r="AL58" i="14835"/>
  <c r="AH61" i="14835"/>
  <c r="AX61" i="14835"/>
  <c r="AR59" i="14835"/>
  <c r="AJ57" i="14835"/>
  <c r="AE59" i="14835"/>
  <c r="AQ59" i="14835"/>
  <c r="AJ59" i="14835"/>
  <c r="AI60" i="14835"/>
  <c r="AY45" i="14835"/>
  <c r="AQ44" i="14835"/>
  <c r="AM60" i="14835"/>
  <c r="AX45" i="14835"/>
  <c r="AE45" i="14835"/>
  <c r="AJ45" i="14835"/>
  <c r="AW45" i="14835"/>
  <c r="AH45" i="14835"/>
  <c r="AM45" i="14835"/>
  <c r="AS45" i="14835"/>
  <c r="AQ45" i="14835"/>
  <c r="AV45" i="14835"/>
  <c r="AG4" i="14841"/>
  <c r="GA9" i="14841" s="1"/>
  <c r="AQ4" i="14841"/>
  <c r="GK9" i="14841" s="1"/>
  <c r="AK4" i="14841"/>
  <c r="GE9" i="14841" s="1"/>
  <c r="AF4" i="14841"/>
  <c r="FZ9" i="14841" s="1"/>
  <c r="AR4" i="14841"/>
  <c r="GL9" i="14841" s="1"/>
  <c r="AY4" i="14841"/>
  <c r="FT17" i="14841" s="1"/>
  <c r="AI4" i="14841"/>
  <c r="GC9" i="14841" s="1"/>
  <c r="AT6" i="14841"/>
  <c r="GN6" i="14841" s="1"/>
  <c r="AF23" i="14835"/>
  <c r="AY23" i="14841"/>
  <c r="AN4" i="14841"/>
  <c r="GH9" i="14841" s="1"/>
  <c r="BX165" i="14835"/>
  <c r="BX166" i="14835" s="1"/>
  <c r="AE4" i="14841"/>
  <c r="FY9" i="14841" s="1"/>
  <c r="AM4" i="14841"/>
  <c r="GG9" i="14841" s="1"/>
  <c r="AJ4" i="14841"/>
  <c r="GD9" i="14841" s="1"/>
  <c r="AV4" i="14841"/>
  <c r="GP9" i="14841" s="1"/>
  <c r="AZ4" i="14841"/>
  <c r="FU17" i="14841" s="1"/>
  <c r="AX4" i="14841"/>
  <c r="GR9" i="14841" s="1"/>
  <c r="AT4" i="14841"/>
  <c r="GN9" i="14841" s="1"/>
  <c r="AO4" i="14841"/>
  <c r="GI9" i="14841" s="1"/>
  <c r="AH4" i="14841"/>
  <c r="GB9" i="14841" s="1"/>
  <c r="AL4" i="14841"/>
  <c r="GF9" i="14841" s="1"/>
  <c r="AP4" i="14841"/>
  <c r="GJ9" i="14841" s="1"/>
  <c r="AQ6" i="14841"/>
  <c r="GK6" i="14841" s="1"/>
  <c r="AL6" i="14841"/>
  <c r="GF6" i="14841" s="1"/>
  <c r="AN6" i="14841"/>
  <c r="GH6" i="14841" s="1"/>
  <c r="AM6" i="14841"/>
  <c r="GG6" i="14841" s="1"/>
  <c r="BS115" i="14835"/>
  <c r="AU6" i="14841"/>
  <c r="GO6" i="14841" s="1"/>
  <c r="AW6" i="14841"/>
  <c r="GQ6" i="14841" s="1"/>
  <c r="AX6" i="14841"/>
  <c r="GR6" i="14841" s="1"/>
  <c r="BJ115" i="14835"/>
  <c r="AZ6" i="14841"/>
  <c r="GT6" i="14841" s="1"/>
  <c r="AF6" i="14841"/>
  <c r="FZ6" i="14841" s="1"/>
  <c r="AE6" i="14841"/>
  <c r="FY6" i="14841" s="1"/>
  <c r="BX164" i="14841"/>
  <c r="BX165" i="14841" s="1"/>
  <c r="AY6" i="14841"/>
  <c r="GS6" i="14841" s="1"/>
  <c r="AP6" i="14841"/>
  <c r="GJ6" i="14841" s="1"/>
  <c r="AR6" i="14841"/>
  <c r="GL6" i="14841" s="1"/>
  <c r="BO115" i="14835"/>
  <c r="AO23" i="14835"/>
  <c r="AO6" i="14841"/>
  <c r="GI6" i="14841" s="1"/>
  <c r="AK6" i="14841"/>
  <c r="GE6" i="14841" s="1"/>
  <c r="AI6" i="14841"/>
  <c r="GC6" i="14841" s="1"/>
  <c r="AH6" i="14841"/>
  <c r="GB6" i="14841" s="1"/>
  <c r="AJ6" i="14841"/>
  <c r="GD6" i="14841" s="1"/>
  <c r="AV6" i="14841"/>
  <c r="GP6" i="14841" s="1"/>
  <c r="AJ23" i="14835"/>
  <c r="CG7" i="14841"/>
  <c r="AG6" i="14841"/>
  <c r="GA6" i="14841" s="1"/>
  <c r="AS23" i="14835"/>
  <c r="AV43" i="14835"/>
  <c r="AW43" i="14835"/>
  <c r="AY43" i="14835"/>
  <c r="AN3" i="14841"/>
  <c r="GH7" i="14841" s="1"/>
  <c r="AW6" i="14851"/>
  <c r="GQ6" i="14851" s="1"/>
  <c r="AO6" i="14851"/>
  <c r="GI6" i="14851" s="1"/>
  <c r="AW59" i="14851"/>
  <c r="AH59" i="14851"/>
  <c r="AV59" i="14850"/>
  <c r="AE59" i="14850"/>
  <c r="AV6" i="14851"/>
  <c r="GP6" i="14851" s="1"/>
  <c r="AN6" i="14851"/>
  <c r="GH6" i="14851" s="1"/>
  <c r="AE6" i="14851"/>
  <c r="FY6" i="14851" s="1"/>
  <c r="AV59" i="14851"/>
  <c r="AE59" i="14851"/>
  <c r="AS59" i="14850"/>
  <c r="AU6" i="14851"/>
  <c r="GO6" i="14851" s="1"/>
  <c r="AM6" i="14851"/>
  <c r="GG6" i="14851" s="1"/>
  <c r="AS59" i="14851"/>
  <c r="AR59" i="14850"/>
  <c r="AT6" i="14851"/>
  <c r="GN6" i="14851" s="1"/>
  <c r="AL6" i="14851"/>
  <c r="GF6" i="14851" s="1"/>
  <c r="AR59" i="14851"/>
  <c r="AQ59" i="14850"/>
  <c r="AS6" i="14851"/>
  <c r="GM6" i="14851" s="1"/>
  <c r="AK6" i="14851"/>
  <c r="GE6" i="14851" s="1"/>
  <c r="AQ59" i="14851"/>
  <c r="AM59" i="14850"/>
  <c r="AR6" i="14851"/>
  <c r="GL6" i="14851" s="1"/>
  <c r="AJ6" i="14851"/>
  <c r="GD6" i="14851" s="1"/>
  <c r="AM59" i="14851"/>
  <c r="AY59" i="14850"/>
  <c r="AJ59" i="14850"/>
  <c r="AY6" i="14851"/>
  <c r="GS6" i="14851" s="1"/>
  <c r="AQ6" i="14851"/>
  <c r="GK6" i="14851" s="1"/>
  <c r="AI6" i="14851"/>
  <c r="GC6" i="14851" s="1"/>
  <c r="AY59" i="14851"/>
  <c r="AJ59" i="14851"/>
  <c r="AX59" i="14850"/>
  <c r="AI59" i="14850"/>
  <c r="AX6" i="14851"/>
  <c r="GR6" i="14851" s="1"/>
  <c r="AP6" i="14851"/>
  <c r="GJ6" i="14851" s="1"/>
  <c r="AH6" i="14851"/>
  <c r="GB6" i="14851" s="1"/>
  <c r="AX59" i="14851"/>
  <c r="AI59" i="14851"/>
  <c r="AW59" i="14850"/>
  <c r="AH59" i="14850"/>
  <c r="AU3" i="14851"/>
  <c r="AM3" i="14851"/>
  <c r="AQ56" i="14851"/>
  <c r="AM56" i="14850"/>
  <c r="AT3" i="14851"/>
  <c r="GN7" i="14851" s="1"/>
  <c r="AL3" i="14851"/>
  <c r="AM56" i="14851"/>
  <c r="AY56" i="14850"/>
  <c r="AJ56" i="14850"/>
  <c r="AS3" i="14851"/>
  <c r="AK3" i="14851"/>
  <c r="AY56" i="14851"/>
  <c r="AJ56" i="14851"/>
  <c r="AX56" i="14850"/>
  <c r="AI56" i="14850"/>
  <c r="AR3" i="14851"/>
  <c r="AJ3" i="14851"/>
  <c r="AX56" i="14851"/>
  <c r="AI56" i="14851"/>
  <c r="AW56" i="14850"/>
  <c r="AH56" i="14850"/>
  <c r="AY3" i="14851"/>
  <c r="AQ3" i="14851"/>
  <c r="AI3" i="14851"/>
  <c r="AE3" i="14851"/>
  <c r="AW56" i="14851"/>
  <c r="AH56" i="14851"/>
  <c r="AV56" i="14850"/>
  <c r="AE56" i="14850"/>
  <c r="AX3" i="14851"/>
  <c r="AP3" i="14851"/>
  <c r="AH3" i="14851"/>
  <c r="AV56" i="14851"/>
  <c r="AE56" i="14851"/>
  <c r="AS56" i="14850"/>
  <c r="AW3" i="14851"/>
  <c r="AO3" i="14851"/>
  <c r="AS56" i="14851"/>
  <c r="AR56" i="14850"/>
  <c r="AV3" i="14851"/>
  <c r="AN3" i="14851"/>
  <c r="AR56" i="14851"/>
  <c r="AQ56" i="14850"/>
  <c r="AQ56" i="14835"/>
  <c r="AS8" i="14851"/>
  <c r="AK8" i="14851"/>
  <c r="AW61" i="14851"/>
  <c r="AH61" i="14851"/>
  <c r="AV61" i="14850"/>
  <c r="AE61" i="14850"/>
  <c r="AR8" i="14851"/>
  <c r="AJ8" i="14851"/>
  <c r="AV61" i="14851"/>
  <c r="AE61" i="14851"/>
  <c r="AS61" i="14850"/>
  <c r="AY8" i="14851"/>
  <c r="AQ8" i="14851"/>
  <c r="AI8" i="14851"/>
  <c r="AS61" i="14851"/>
  <c r="AR61" i="14850"/>
  <c r="AX8" i="14851"/>
  <c r="AP8" i="14851"/>
  <c r="AH8" i="14851"/>
  <c r="AR61" i="14851"/>
  <c r="AQ61" i="14850"/>
  <c r="AW8" i="14851"/>
  <c r="AO8" i="14851"/>
  <c r="AQ61" i="14851"/>
  <c r="AM61" i="14850"/>
  <c r="AV8" i="14851"/>
  <c r="AN8" i="14851"/>
  <c r="AM61" i="14851"/>
  <c r="AY61" i="14850"/>
  <c r="AJ61" i="14850"/>
  <c r="AU8" i="14851"/>
  <c r="AM8" i="14851"/>
  <c r="AY61" i="14851"/>
  <c r="AJ61" i="14851"/>
  <c r="AX61" i="14850"/>
  <c r="AI61" i="14850"/>
  <c r="AT8" i="14851"/>
  <c r="AL8" i="14851"/>
  <c r="AE8" i="14851"/>
  <c r="AX61" i="14851"/>
  <c r="AI61" i="14851"/>
  <c r="AW61" i="14850"/>
  <c r="AH61" i="14850"/>
  <c r="AH56" i="14835"/>
  <c r="AY5" i="14851"/>
  <c r="GS5" i="14851" s="1"/>
  <c r="AQ5" i="14851"/>
  <c r="GK5" i="14851" s="1"/>
  <c r="AI5" i="14851"/>
  <c r="GC5" i="14851" s="1"/>
  <c r="AQ58" i="14851"/>
  <c r="AM58" i="14850"/>
  <c r="AX5" i="14851"/>
  <c r="GR5" i="14851" s="1"/>
  <c r="AP5" i="14851"/>
  <c r="GJ5" i="14851" s="1"/>
  <c r="AH5" i="14851"/>
  <c r="GB5" i="14851" s="1"/>
  <c r="AM58" i="14851"/>
  <c r="AY58" i="14850"/>
  <c r="AJ58" i="14850"/>
  <c r="AW5" i="14851"/>
  <c r="GQ5" i="14851" s="1"/>
  <c r="AO5" i="14851"/>
  <c r="GI5" i="14851" s="1"/>
  <c r="AE5" i="14851"/>
  <c r="FY5" i="14851" s="1"/>
  <c r="AY58" i="14851"/>
  <c r="AJ58" i="14851"/>
  <c r="AX58" i="14850"/>
  <c r="AI58" i="14850"/>
  <c r="AV5" i="14851"/>
  <c r="GP5" i="14851" s="1"/>
  <c r="AN5" i="14851"/>
  <c r="GH5" i="14851" s="1"/>
  <c r="AX58" i="14851"/>
  <c r="AI58" i="14851"/>
  <c r="AW58" i="14850"/>
  <c r="AH58" i="14850"/>
  <c r="AU5" i="14851"/>
  <c r="GO5" i="14851" s="1"/>
  <c r="AM5" i="14851"/>
  <c r="GG5" i="14851" s="1"/>
  <c r="AW58" i="14851"/>
  <c r="AH58" i="14851"/>
  <c r="AV58" i="14850"/>
  <c r="AE58" i="14850"/>
  <c r="AT5" i="14851"/>
  <c r="GN5" i="14851" s="1"/>
  <c r="AL5" i="14851"/>
  <c r="GF5" i="14851" s="1"/>
  <c r="AV58" i="14851"/>
  <c r="AE58" i="14851"/>
  <c r="AS58" i="14850"/>
  <c r="AS5" i="14851"/>
  <c r="GM5" i="14851" s="1"/>
  <c r="AK5" i="14851"/>
  <c r="GE5" i="14851" s="1"/>
  <c r="AS58" i="14851"/>
  <c r="AR58" i="14850"/>
  <c r="AR5" i="14851"/>
  <c r="GL5" i="14851" s="1"/>
  <c r="AJ5" i="14851"/>
  <c r="GD5" i="14851" s="1"/>
  <c r="AR58" i="14851"/>
  <c r="AQ58" i="14850"/>
  <c r="AS56" i="14835"/>
  <c r="AU7" i="14851"/>
  <c r="AM7" i="14851"/>
  <c r="AE7" i="14851"/>
  <c r="AQ60" i="14851"/>
  <c r="AM60" i="14850"/>
  <c r="AT7" i="14851"/>
  <c r="AL7" i="14851"/>
  <c r="GF3" i="14851" s="1"/>
  <c r="AM60" i="14851"/>
  <c r="AY60" i="14850"/>
  <c r="AJ60" i="14850"/>
  <c r="AS7" i="14851"/>
  <c r="AK7" i="14851"/>
  <c r="AY60" i="14851"/>
  <c r="AJ60" i="14851"/>
  <c r="AX60" i="14850"/>
  <c r="AI60" i="14850"/>
  <c r="AR7" i="14851"/>
  <c r="AJ7" i="14851"/>
  <c r="AX60" i="14851"/>
  <c r="AI60" i="14851"/>
  <c r="AW60" i="14850"/>
  <c r="AH60" i="14850"/>
  <c r="AY7" i="14851"/>
  <c r="AQ7" i="14851"/>
  <c r="AI7" i="14851"/>
  <c r="AW60" i="14851"/>
  <c r="AH60" i="14851"/>
  <c r="AV60" i="14850"/>
  <c r="AE60" i="14850"/>
  <c r="AX7" i="14851"/>
  <c r="AP7" i="14851"/>
  <c r="AH7" i="14851"/>
  <c r="AV60" i="14851"/>
  <c r="AE60" i="14851"/>
  <c r="AS60" i="14850"/>
  <c r="AW7" i="14851"/>
  <c r="AO7" i="14851"/>
  <c r="AS60" i="14851"/>
  <c r="AR60" i="14850"/>
  <c r="AV7" i="14851"/>
  <c r="AN7" i="14851"/>
  <c r="AR60" i="14851"/>
  <c r="AQ60" i="14850"/>
  <c r="AS4" i="14851"/>
  <c r="GM9" i="14851" s="1"/>
  <c r="AK4" i="14851"/>
  <c r="GE9" i="14851" s="1"/>
  <c r="AW57" i="14851"/>
  <c r="AH57" i="14851"/>
  <c r="AV57" i="14850"/>
  <c r="AE57" i="14850"/>
  <c r="AR4" i="14851"/>
  <c r="GL9" i="14851" s="1"/>
  <c r="AJ4" i="14851"/>
  <c r="GD9" i="14851" s="1"/>
  <c r="AV57" i="14851"/>
  <c r="AE57" i="14851"/>
  <c r="AS57" i="14850"/>
  <c r="AY4" i="14851"/>
  <c r="AQ4" i="14851"/>
  <c r="GK9" i="14851" s="1"/>
  <c r="AI4" i="14851"/>
  <c r="GC9" i="14851" s="1"/>
  <c r="AS57" i="14851"/>
  <c r="AR57" i="14850"/>
  <c r="AX4" i="14851"/>
  <c r="GR9" i="14851" s="1"/>
  <c r="AP4" i="14851"/>
  <c r="GJ9" i="14851" s="1"/>
  <c r="AH4" i="14851"/>
  <c r="GB9" i="14851" s="1"/>
  <c r="AE4" i="14851"/>
  <c r="FY9" i="14851" s="1"/>
  <c r="AR57" i="14851"/>
  <c r="AQ57" i="14850"/>
  <c r="AW4" i="14851"/>
  <c r="GQ9" i="14851" s="1"/>
  <c r="AO4" i="14851"/>
  <c r="GI9" i="14851" s="1"/>
  <c r="AQ57" i="14851"/>
  <c r="AM57" i="14850"/>
  <c r="AV4" i="14851"/>
  <c r="GP9" i="14851" s="1"/>
  <c r="AN4" i="14851"/>
  <c r="GH9" i="14851" s="1"/>
  <c r="AM57" i="14851"/>
  <c r="AY57" i="14850"/>
  <c r="AJ57" i="14850"/>
  <c r="AU4" i="14851"/>
  <c r="GO9" i="14851" s="1"/>
  <c r="AM4" i="14851"/>
  <c r="GG9" i="14851" s="1"/>
  <c r="AY57" i="14851"/>
  <c r="AJ57" i="14851"/>
  <c r="AX57" i="14850"/>
  <c r="AI57" i="14850"/>
  <c r="AT4" i="14851"/>
  <c r="AL4" i="14851"/>
  <c r="GF9" i="14851" s="1"/>
  <c r="AX57" i="14851"/>
  <c r="AI57" i="14851"/>
  <c r="AW57" i="14850"/>
  <c r="AH57" i="14850"/>
  <c r="AY9" i="14851"/>
  <c r="GS8" i="14851" s="1"/>
  <c r="AQ9" i="14851"/>
  <c r="GK8" i="14851" s="1"/>
  <c r="AI9" i="14851"/>
  <c r="GC8" i="14851" s="1"/>
  <c r="AM62" i="14851"/>
  <c r="AY62" i="14850"/>
  <c r="AJ62" i="14850"/>
  <c r="AX9" i="14851"/>
  <c r="GR8" i="14851" s="1"/>
  <c r="AP9" i="14851"/>
  <c r="GJ8" i="14851" s="1"/>
  <c r="AH9" i="14851"/>
  <c r="GB8" i="14851" s="1"/>
  <c r="AY62" i="14851"/>
  <c r="AJ62" i="14851"/>
  <c r="AX62" i="14850"/>
  <c r="AI62" i="14850"/>
  <c r="AW9" i="14851"/>
  <c r="GQ8" i="14851" s="1"/>
  <c r="AO9" i="14851"/>
  <c r="GI8" i="14851" s="1"/>
  <c r="AX62" i="14851"/>
  <c r="AI62" i="14851"/>
  <c r="AW62" i="14850"/>
  <c r="AH62" i="14850"/>
  <c r="AV9" i="14851"/>
  <c r="GP8" i="14851" s="1"/>
  <c r="AN9" i="14851"/>
  <c r="GH8" i="14851" s="1"/>
  <c r="AW62" i="14851"/>
  <c r="AH62" i="14851"/>
  <c r="AV62" i="14850"/>
  <c r="AE62" i="14850"/>
  <c r="AU9" i="14851"/>
  <c r="GO8" i="14851" s="1"/>
  <c r="AM9" i="14851"/>
  <c r="GG8" i="14851" s="1"/>
  <c r="AV62" i="14851"/>
  <c r="AE62" i="14851"/>
  <c r="AS62" i="14850"/>
  <c r="AT9" i="14851"/>
  <c r="GN8" i="14851" s="1"/>
  <c r="AL9" i="14851"/>
  <c r="GF8" i="14851" s="1"/>
  <c r="AS62" i="14851"/>
  <c r="AR62" i="14850"/>
  <c r="AS9" i="14851"/>
  <c r="GM8" i="14851" s="1"/>
  <c r="AK9" i="14851"/>
  <c r="GE8" i="14851" s="1"/>
  <c r="AE9" i="14851"/>
  <c r="FY8" i="14851" s="1"/>
  <c r="AR62" i="14851"/>
  <c r="AQ62" i="14850"/>
  <c r="AR9" i="14851"/>
  <c r="GL8" i="14851" s="1"/>
  <c r="AJ9" i="14851"/>
  <c r="GD8" i="14851" s="1"/>
  <c r="AQ62" i="14851"/>
  <c r="AM62" i="14850"/>
  <c r="AW46" i="14851"/>
  <c r="AH46" i="14851"/>
  <c r="AU7" i="14850"/>
  <c r="AM7" i="14850"/>
  <c r="AE7" i="14850"/>
  <c r="AY46" i="14850"/>
  <c r="AJ46" i="14850"/>
  <c r="AV46" i="14851"/>
  <c r="AE46" i="14851"/>
  <c r="AT7" i="14850"/>
  <c r="AL7" i="14850"/>
  <c r="AX46" i="14850"/>
  <c r="AI46" i="14850"/>
  <c r="AS46" i="14851"/>
  <c r="AS7" i="14850"/>
  <c r="AK7" i="14850"/>
  <c r="AW46" i="14850"/>
  <c r="AH46" i="14850"/>
  <c r="AR46" i="14851"/>
  <c r="AR7" i="14850"/>
  <c r="AJ7" i="14850"/>
  <c r="AV46" i="14850"/>
  <c r="AE46" i="14850"/>
  <c r="AQ46" i="14851"/>
  <c r="AY7" i="14850"/>
  <c r="AQ7" i="14850"/>
  <c r="AI7" i="14850"/>
  <c r="AS46" i="14850"/>
  <c r="AM46" i="14851"/>
  <c r="AX7" i="14850"/>
  <c r="AP7" i="14850"/>
  <c r="AH7" i="14850"/>
  <c r="AR46" i="14850"/>
  <c r="AY46" i="14851"/>
  <c r="AJ46" i="14851"/>
  <c r="AW7" i="14850"/>
  <c r="AO7" i="14850"/>
  <c r="AQ46" i="14850"/>
  <c r="AX46" i="14851"/>
  <c r="AI46" i="14851"/>
  <c r="AV7" i="14850"/>
  <c r="GP3" i="14850" s="1"/>
  <c r="AN7" i="14850"/>
  <c r="GH3" i="14850" s="1"/>
  <c r="AM46" i="14850"/>
  <c r="AQ43" i="14851"/>
  <c r="AS4" i="14850"/>
  <c r="GM9" i="14850" s="1"/>
  <c r="AK4" i="14850"/>
  <c r="GE9" i="14850" s="1"/>
  <c r="AS43" i="14850"/>
  <c r="AM43" i="14851"/>
  <c r="AR4" i="14850"/>
  <c r="GL9" i="14850" s="1"/>
  <c r="AJ4" i="14850"/>
  <c r="GD9" i="14850" s="1"/>
  <c r="AR43" i="14850"/>
  <c r="AY43" i="14851"/>
  <c r="AJ43" i="14851"/>
  <c r="AY4" i="14850"/>
  <c r="AQ4" i="14850"/>
  <c r="GK9" i="14850" s="1"/>
  <c r="AI4" i="14850"/>
  <c r="GC9" i="14850" s="1"/>
  <c r="AQ43" i="14850"/>
  <c r="AX43" i="14851"/>
  <c r="AI43" i="14851"/>
  <c r="AX4" i="14850"/>
  <c r="GR9" i="14850" s="1"/>
  <c r="AP4" i="14850"/>
  <c r="GJ9" i="14850" s="1"/>
  <c r="AH4" i="14850"/>
  <c r="GB9" i="14850" s="1"/>
  <c r="AE4" i="14850"/>
  <c r="AM43" i="14850"/>
  <c r="AW43" i="14851"/>
  <c r="AH43" i="14851"/>
  <c r="AW4" i="14850"/>
  <c r="GQ9" i="14850" s="1"/>
  <c r="AO4" i="14850"/>
  <c r="GI9" i="14850" s="1"/>
  <c r="AY43" i="14850"/>
  <c r="AJ43" i="14850"/>
  <c r="AV43" i="14851"/>
  <c r="AE43" i="14851"/>
  <c r="AV4" i="14850"/>
  <c r="GP9" i="14850" s="1"/>
  <c r="AN4" i="14850"/>
  <c r="GH9" i="14850" s="1"/>
  <c r="AX43" i="14850"/>
  <c r="AI43" i="14850"/>
  <c r="AS43" i="14851"/>
  <c r="AU4" i="14850"/>
  <c r="GO9" i="14850" s="1"/>
  <c r="AM4" i="14850"/>
  <c r="GG9" i="14850" s="1"/>
  <c r="AW43" i="14850"/>
  <c r="AH43" i="14850"/>
  <c r="AR43" i="14851"/>
  <c r="AT4" i="14850"/>
  <c r="GN9" i="14850" s="1"/>
  <c r="AL4" i="14850"/>
  <c r="GF9" i="14850" s="1"/>
  <c r="AV43" i="14850"/>
  <c r="AE43" i="14850"/>
  <c r="AW48" i="14851"/>
  <c r="AH48" i="14851"/>
  <c r="AY9" i="14850"/>
  <c r="GS8" i="14850" s="1"/>
  <c r="AQ9" i="14850"/>
  <c r="GK8" i="14850" s="1"/>
  <c r="AI9" i="14850"/>
  <c r="GC8" i="14850" s="1"/>
  <c r="AY48" i="14850"/>
  <c r="AJ48" i="14850"/>
  <c r="AV48" i="14851"/>
  <c r="AE48" i="14851"/>
  <c r="AX9" i="14850"/>
  <c r="GR8" i="14850" s="1"/>
  <c r="AP9" i="14850"/>
  <c r="GJ8" i="14850" s="1"/>
  <c r="AH9" i="14850"/>
  <c r="GB8" i="14850" s="1"/>
  <c r="AX48" i="14850"/>
  <c r="AI48" i="14850"/>
  <c r="AS48" i="14851"/>
  <c r="AW9" i="14850"/>
  <c r="GQ8" i="14850" s="1"/>
  <c r="AO9" i="14850"/>
  <c r="GI8" i="14850" s="1"/>
  <c r="AW48" i="14850"/>
  <c r="AH48" i="14850"/>
  <c r="AR48" i="14851"/>
  <c r="AV9" i="14850"/>
  <c r="GP8" i="14850" s="1"/>
  <c r="AN9" i="14850"/>
  <c r="GH8" i="14850" s="1"/>
  <c r="AV48" i="14850"/>
  <c r="AE48" i="14850"/>
  <c r="AQ48" i="14851"/>
  <c r="AU9" i="14850"/>
  <c r="GO8" i="14850" s="1"/>
  <c r="AM9" i="14850"/>
  <c r="GG8" i="14850" s="1"/>
  <c r="AS48" i="14850"/>
  <c r="AM48" i="14851"/>
  <c r="AT9" i="14850"/>
  <c r="GN8" i="14850" s="1"/>
  <c r="AL9" i="14850"/>
  <c r="GF8" i="14850" s="1"/>
  <c r="AR48" i="14850"/>
  <c r="AY48" i="14851"/>
  <c r="AJ48" i="14851"/>
  <c r="AS9" i="14850"/>
  <c r="GM8" i="14850" s="1"/>
  <c r="AK9" i="14850"/>
  <c r="GE8" i="14850" s="1"/>
  <c r="AE9" i="14850"/>
  <c r="FY8" i="14850" s="1"/>
  <c r="AQ48" i="14850"/>
  <c r="AX48" i="14851"/>
  <c r="AI48" i="14851"/>
  <c r="AR9" i="14850"/>
  <c r="GL8" i="14850" s="1"/>
  <c r="AJ9" i="14850"/>
  <c r="GD8" i="14850" s="1"/>
  <c r="AM48" i="14850"/>
  <c r="AS45" i="14851"/>
  <c r="AW6" i="14850"/>
  <c r="GQ6" i="14850" s="1"/>
  <c r="AO6" i="14850"/>
  <c r="GI6" i="14850" s="1"/>
  <c r="AW45" i="14850"/>
  <c r="AH45" i="14850"/>
  <c r="AR45" i="14851"/>
  <c r="AV6" i="14850"/>
  <c r="GP6" i="14850" s="1"/>
  <c r="AN6" i="14850"/>
  <c r="GH6" i="14850" s="1"/>
  <c r="AE6" i="14850"/>
  <c r="FY6" i="14850" s="1"/>
  <c r="AV45" i="14850"/>
  <c r="AE45" i="14850"/>
  <c r="AQ45" i="14851"/>
  <c r="AU6" i="14850"/>
  <c r="GO6" i="14850" s="1"/>
  <c r="AM6" i="14850"/>
  <c r="GG6" i="14850" s="1"/>
  <c r="AS45" i="14850"/>
  <c r="AM45" i="14851"/>
  <c r="AT6" i="14850"/>
  <c r="GN6" i="14850" s="1"/>
  <c r="AL6" i="14850"/>
  <c r="GF6" i="14850" s="1"/>
  <c r="AR45" i="14850"/>
  <c r="AY45" i="14851"/>
  <c r="AJ45" i="14851"/>
  <c r="AS6" i="14850"/>
  <c r="GM6" i="14850" s="1"/>
  <c r="AK6" i="14850"/>
  <c r="GE6" i="14850" s="1"/>
  <c r="AQ45" i="14850"/>
  <c r="AX45" i="14851"/>
  <c r="AI45" i="14851"/>
  <c r="AR6" i="14850"/>
  <c r="GL6" i="14850" s="1"/>
  <c r="AJ6" i="14850"/>
  <c r="GD6" i="14850" s="1"/>
  <c r="AM45" i="14850"/>
  <c r="AW45" i="14851"/>
  <c r="AH45" i="14851"/>
  <c r="AY6" i="14850"/>
  <c r="GS6" i="14850" s="1"/>
  <c r="AQ6" i="14850"/>
  <c r="GK6" i="14850" s="1"/>
  <c r="AI6" i="14850"/>
  <c r="GC6" i="14850" s="1"/>
  <c r="AY45" i="14850"/>
  <c r="AJ45" i="14850"/>
  <c r="AV45" i="14851"/>
  <c r="AE45" i="14851"/>
  <c r="AX6" i="14850"/>
  <c r="GR6" i="14850" s="1"/>
  <c r="AP6" i="14850"/>
  <c r="GJ6" i="14850" s="1"/>
  <c r="AH6" i="14850"/>
  <c r="GB6" i="14850" s="1"/>
  <c r="AX45" i="14850"/>
  <c r="AI45" i="14850"/>
  <c r="AY42" i="14851"/>
  <c r="AJ42" i="14851"/>
  <c r="AU3" i="14850"/>
  <c r="AM3" i="14850"/>
  <c r="AQ42" i="14850"/>
  <c r="AX42" i="14851"/>
  <c r="AI42" i="14851"/>
  <c r="AT3" i="14850"/>
  <c r="AL3" i="14850"/>
  <c r="AM42" i="14850"/>
  <c r="AW42" i="14851"/>
  <c r="AH42" i="14851"/>
  <c r="AS3" i="14850"/>
  <c r="AK3" i="14850"/>
  <c r="AY42" i="14850"/>
  <c r="AJ42" i="14850"/>
  <c r="AV42" i="14851"/>
  <c r="AE42" i="14851"/>
  <c r="AR3" i="14850"/>
  <c r="AJ3" i="14850"/>
  <c r="AX42" i="14850"/>
  <c r="AI42" i="14850"/>
  <c r="AS42" i="14851"/>
  <c r="AY3" i="14850"/>
  <c r="AQ3" i="14850"/>
  <c r="AI3" i="14850"/>
  <c r="AW42" i="14850"/>
  <c r="AH42" i="14850"/>
  <c r="AR42" i="14851"/>
  <c r="AX3" i="14850"/>
  <c r="AP3" i="14850"/>
  <c r="AH3" i="14850"/>
  <c r="AV42" i="14850"/>
  <c r="AE42" i="14850"/>
  <c r="AQ42" i="14851"/>
  <c r="AW3" i="14850"/>
  <c r="AO3" i="14850"/>
  <c r="AS42" i="14850"/>
  <c r="AM42" i="14851"/>
  <c r="AV3" i="14850"/>
  <c r="AN3" i="14850"/>
  <c r="AR42" i="14850"/>
  <c r="AY47" i="14851"/>
  <c r="AJ47" i="14851"/>
  <c r="AS8" i="14850"/>
  <c r="AK8" i="14850"/>
  <c r="AQ47" i="14850"/>
  <c r="AX47" i="14851"/>
  <c r="AI47" i="14851"/>
  <c r="AR8" i="14850"/>
  <c r="AJ8" i="14850"/>
  <c r="AM47" i="14850"/>
  <c r="AW47" i="14851"/>
  <c r="AH47" i="14851"/>
  <c r="AY8" i="14850"/>
  <c r="AQ8" i="14850"/>
  <c r="AI8" i="14850"/>
  <c r="AY47" i="14850"/>
  <c r="AJ47" i="14850"/>
  <c r="AV47" i="14851"/>
  <c r="AE47" i="14851"/>
  <c r="AX8" i="14850"/>
  <c r="AP8" i="14850"/>
  <c r="AH8" i="14850"/>
  <c r="AX47" i="14850"/>
  <c r="AI47" i="14850"/>
  <c r="AS47" i="14851"/>
  <c r="AW8" i="14850"/>
  <c r="AO8" i="14850"/>
  <c r="AW47" i="14850"/>
  <c r="AH47" i="14850"/>
  <c r="AR47" i="14851"/>
  <c r="AV8" i="14850"/>
  <c r="AN8" i="14850"/>
  <c r="AV47" i="14850"/>
  <c r="AE47" i="14850"/>
  <c r="AQ47" i="14851"/>
  <c r="AU8" i="14850"/>
  <c r="AM8" i="14850"/>
  <c r="AS47" i="14850"/>
  <c r="AM47" i="14851"/>
  <c r="AT8" i="14850"/>
  <c r="AL8" i="14850"/>
  <c r="AE8" i="14850"/>
  <c r="AR47" i="14850"/>
  <c r="AS44" i="14851"/>
  <c r="AY5" i="14850"/>
  <c r="GS5" i="14850" s="1"/>
  <c r="AQ5" i="14850"/>
  <c r="GK5" i="14850" s="1"/>
  <c r="AI5" i="14850"/>
  <c r="GC5" i="14850" s="1"/>
  <c r="AW44" i="14850"/>
  <c r="AH44" i="14850"/>
  <c r="AR44" i="14851"/>
  <c r="AX5" i="14850"/>
  <c r="GR5" i="14850" s="1"/>
  <c r="AP5" i="14850"/>
  <c r="GJ5" i="14850" s="1"/>
  <c r="AH5" i="14850"/>
  <c r="GB5" i="14850" s="1"/>
  <c r="AV44" i="14850"/>
  <c r="AE44" i="14850"/>
  <c r="AQ44" i="14851"/>
  <c r="AW5" i="14850"/>
  <c r="GQ5" i="14850" s="1"/>
  <c r="AO5" i="14850"/>
  <c r="GI5" i="14850" s="1"/>
  <c r="AE5" i="14850"/>
  <c r="FY5" i="14850" s="1"/>
  <c r="AS44" i="14850"/>
  <c r="AM44" i="14851"/>
  <c r="AV5" i="14850"/>
  <c r="GP5" i="14850" s="1"/>
  <c r="AN5" i="14850"/>
  <c r="GH5" i="14850" s="1"/>
  <c r="AR44" i="14850"/>
  <c r="AY44" i="14851"/>
  <c r="AJ44" i="14851"/>
  <c r="AU5" i="14850"/>
  <c r="GO5" i="14850" s="1"/>
  <c r="AM5" i="14850"/>
  <c r="GG5" i="14850" s="1"/>
  <c r="AQ44" i="14850"/>
  <c r="AX44" i="14851"/>
  <c r="AI44" i="14851"/>
  <c r="AT5" i="14850"/>
  <c r="GN5" i="14850" s="1"/>
  <c r="AL5" i="14850"/>
  <c r="GF5" i="14850" s="1"/>
  <c r="AM44" i="14850"/>
  <c r="AW44" i="14851"/>
  <c r="AH44" i="14851"/>
  <c r="AS5" i="14850"/>
  <c r="GM5" i="14850" s="1"/>
  <c r="AK5" i="14850"/>
  <c r="GE5" i="14850" s="1"/>
  <c r="AY44" i="14850"/>
  <c r="AJ44" i="14850"/>
  <c r="AV44" i="14851"/>
  <c r="AE44" i="14851"/>
  <c r="AR5" i="14850"/>
  <c r="GL5" i="14850" s="1"/>
  <c r="AJ5" i="14850"/>
  <c r="GD5" i="14850" s="1"/>
  <c r="AX44" i="14850"/>
  <c r="AI44" i="14850"/>
  <c r="AN58" i="14851"/>
  <c r="AF58" i="14851"/>
  <c r="AO44" i="14851"/>
  <c r="AG44" i="14851"/>
  <c r="AT58" i="14850"/>
  <c r="AL58" i="14850"/>
  <c r="AU44" i="14850"/>
  <c r="AU58" i="14851"/>
  <c r="AN44" i="14851"/>
  <c r="AF44" i="14851"/>
  <c r="AK58" i="14850"/>
  <c r="AT44" i="14850"/>
  <c r="AL44" i="14850"/>
  <c r="AF5" i="14850"/>
  <c r="FZ5" i="14850" s="1"/>
  <c r="AT58" i="14851"/>
  <c r="AL58" i="14851"/>
  <c r="AU44" i="14851"/>
  <c r="AZ5" i="14851"/>
  <c r="GT5" i="14851" s="1"/>
  <c r="AK44" i="14850"/>
  <c r="AK58" i="14851"/>
  <c r="AT44" i="14851"/>
  <c r="AL44" i="14851"/>
  <c r="AK44" i="14851"/>
  <c r="AG5" i="14851"/>
  <c r="GA5" i="14851" s="1"/>
  <c r="AP58" i="14850"/>
  <c r="AZ5" i="14850"/>
  <c r="GT5" i="14850" s="1"/>
  <c r="AF5" i="14851"/>
  <c r="FZ5" i="14851" s="1"/>
  <c r="AO58" i="14850"/>
  <c r="AG58" i="14850"/>
  <c r="AP44" i="14850"/>
  <c r="AG5" i="14850"/>
  <c r="GA5" i="14850" s="1"/>
  <c r="AP58" i="14851"/>
  <c r="AN58" i="14850"/>
  <c r="AF58" i="14850"/>
  <c r="AO44" i="14850"/>
  <c r="AG44" i="14850"/>
  <c r="AO58" i="14851"/>
  <c r="AG58" i="14851"/>
  <c r="AP44" i="14851"/>
  <c r="AU58" i="14850"/>
  <c r="AN44" i="14850"/>
  <c r="AF44" i="14850"/>
  <c r="AO61" i="14851"/>
  <c r="AG61" i="14851"/>
  <c r="AP47" i="14851"/>
  <c r="AU61" i="14850"/>
  <c r="AN47" i="14850"/>
  <c r="AF47" i="14850"/>
  <c r="AN61" i="14851"/>
  <c r="AF61" i="14851"/>
  <c r="AO47" i="14851"/>
  <c r="AG47" i="14851"/>
  <c r="AT61" i="14850"/>
  <c r="AL61" i="14850"/>
  <c r="AU47" i="14850"/>
  <c r="AU61" i="14851"/>
  <c r="AN47" i="14851"/>
  <c r="AF47" i="14851"/>
  <c r="AK61" i="14850"/>
  <c r="AT47" i="14850"/>
  <c r="AL47" i="14850"/>
  <c r="AT61" i="14851"/>
  <c r="AL61" i="14851"/>
  <c r="AU47" i="14851"/>
  <c r="AK47" i="14850"/>
  <c r="AF8" i="14850"/>
  <c r="AK61" i="14851"/>
  <c r="AT47" i="14851"/>
  <c r="AL47" i="14851"/>
  <c r="AK47" i="14851"/>
  <c r="AZ8" i="14851"/>
  <c r="AP61" i="14850"/>
  <c r="AG8" i="14850"/>
  <c r="AG8" i="14851"/>
  <c r="AO61" i="14850"/>
  <c r="AG61" i="14850"/>
  <c r="AP47" i="14850"/>
  <c r="AZ8" i="14850"/>
  <c r="AP61" i="14851"/>
  <c r="AF8" i="14851"/>
  <c r="AN61" i="14850"/>
  <c r="AF61" i="14850"/>
  <c r="AO47" i="14850"/>
  <c r="AG47" i="14850"/>
  <c r="AU48" i="14851"/>
  <c r="AO62" i="14850"/>
  <c r="AG62" i="14850"/>
  <c r="AK48" i="14850"/>
  <c r="AF9" i="14850"/>
  <c r="FZ8" i="14850" s="1"/>
  <c r="AP62" i="14851"/>
  <c r="AT48" i="14851"/>
  <c r="AL48" i="14851"/>
  <c r="AN62" i="14850"/>
  <c r="AF62" i="14850"/>
  <c r="AO62" i="14851"/>
  <c r="AG62" i="14851"/>
  <c r="AK48" i="14851"/>
  <c r="AZ9" i="14851"/>
  <c r="GT8" i="14851" s="1"/>
  <c r="AU62" i="14850"/>
  <c r="AN62" i="14851"/>
  <c r="AF62" i="14851"/>
  <c r="AG9" i="14851"/>
  <c r="GA8" i="14851" s="1"/>
  <c r="AT62" i="14850"/>
  <c r="AL62" i="14850"/>
  <c r="AP48" i="14850"/>
  <c r="AU62" i="14851"/>
  <c r="AF9" i="14851"/>
  <c r="FZ8" i="14851" s="1"/>
  <c r="AK62" i="14850"/>
  <c r="AO48" i="14850"/>
  <c r="AG48" i="14850"/>
  <c r="AG9" i="14850"/>
  <c r="GA8" i="14850" s="1"/>
  <c r="AT62" i="14851"/>
  <c r="AL62" i="14851"/>
  <c r="AP48" i="14851"/>
  <c r="AN48" i="14850"/>
  <c r="AF48" i="14850"/>
  <c r="AZ9" i="14850"/>
  <c r="GT8" i="14850" s="1"/>
  <c r="AK62" i="14851"/>
  <c r="AO48" i="14851"/>
  <c r="AG48" i="14851"/>
  <c r="AU48" i="14850"/>
  <c r="AN48" i="14851"/>
  <c r="AF48" i="14851"/>
  <c r="AP62" i="14850"/>
  <c r="AT48" i="14850"/>
  <c r="AL48" i="14850"/>
  <c r="AP56" i="14851"/>
  <c r="AU42" i="14851"/>
  <c r="AN56" i="14850"/>
  <c r="AF56" i="14850"/>
  <c r="AK42" i="14850"/>
  <c r="AO56" i="14851"/>
  <c r="AG56" i="14851"/>
  <c r="AT42" i="14851"/>
  <c r="AL42" i="14851"/>
  <c r="AU56" i="14850"/>
  <c r="AN56" i="14851"/>
  <c r="AF56" i="14851"/>
  <c r="AK42" i="14851"/>
  <c r="AT56" i="14850"/>
  <c r="AL56" i="14850"/>
  <c r="AU56" i="14851"/>
  <c r="AZ3" i="14851"/>
  <c r="AK56" i="14850"/>
  <c r="AP42" i="14850"/>
  <c r="AF3" i="14850"/>
  <c r="AT56" i="14851"/>
  <c r="AL56" i="14851"/>
  <c r="AO42" i="14850"/>
  <c r="AG42" i="14850"/>
  <c r="AG3" i="14850"/>
  <c r="AK56" i="14851"/>
  <c r="AP42" i="14851"/>
  <c r="AN42" i="14850"/>
  <c r="AF42" i="14850"/>
  <c r="AZ3" i="14850"/>
  <c r="AO42" i="14851"/>
  <c r="AG42" i="14851"/>
  <c r="AG3" i="14851"/>
  <c r="AP56" i="14850"/>
  <c r="AU42" i="14850"/>
  <c r="AN42" i="14851"/>
  <c r="AF42" i="14851"/>
  <c r="AF3" i="14851"/>
  <c r="AO56" i="14850"/>
  <c r="AG56" i="14850"/>
  <c r="AT42" i="14850"/>
  <c r="AL42" i="14850"/>
  <c r="AT60" i="14851"/>
  <c r="AL60" i="14851"/>
  <c r="AO46" i="14851"/>
  <c r="AG46" i="14851"/>
  <c r="AU46" i="14850"/>
  <c r="AK60" i="14851"/>
  <c r="AN46" i="14851"/>
  <c r="AF46" i="14851"/>
  <c r="AZ7" i="14851"/>
  <c r="AT46" i="14850"/>
  <c r="AL46" i="14850"/>
  <c r="AU46" i="14851"/>
  <c r="AP60" i="14850"/>
  <c r="AK46" i="14850"/>
  <c r="AT46" i="14851"/>
  <c r="AL46" i="14851"/>
  <c r="AO60" i="14850"/>
  <c r="AG60" i="14850"/>
  <c r="AZ7" i="14850"/>
  <c r="AP60" i="14851"/>
  <c r="AK46" i="14851"/>
  <c r="AN60" i="14850"/>
  <c r="AF60" i="14850"/>
  <c r="AG7" i="14850"/>
  <c r="AO60" i="14851"/>
  <c r="AG60" i="14851"/>
  <c r="AG7" i="14851"/>
  <c r="AU60" i="14850"/>
  <c r="AP46" i="14850"/>
  <c r="AN60" i="14851"/>
  <c r="AF60" i="14851"/>
  <c r="AF7" i="14851"/>
  <c r="AT60" i="14850"/>
  <c r="AL60" i="14850"/>
  <c r="AO46" i="14850"/>
  <c r="AG46" i="14850"/>
  <c r="AF7" i="14850"/>
  <c r="AU60" i="14851"/>
  <c r="AP46" i="14851"/>
  <c r="AK60" i="14850"/>
  <c r="AN46" i="14850"/>
  <c r="AF46" i="14850"/>
  <c r="AN45" i="14851"/>
  <c r="AF45" i="14851"/>
  <c r="AF6" i="14851"/>
  <c r="FZ6" i="14851" s="1"/>
  <c r="AO59" i="14850"/>
  <c r="AG59" i="14850"/>
  <c r="AT45" i="14850"/>
  <c r="AL45" i="14850"/>
  <c r="AP59" i="14851"/>
  <c r="AU45" i="14851"/>
  <c r="AN59" i="14850"/>
  <c r="AF59" i="14850"/>
  <c r="AK45" i="14850"/>
  <c r="AO59" i="14851"/>
  <c r="AG59" i="14851"/>
  <c r="AT45" i="14851"/>
  <c r="AL45" i="14851"/>
  <c r="AU59" i="14850"/>
  <c r="AG6" i="14850"/>
  <c r="GA6" i="14850" s="1"/>
  <c r="AZ6" i="14850"/>
  <c r="GT6" i="14850" s="1"/>
  <c r="AN59" i="14851"/>
  <c r="AF59" i="14851"/>
  <c r="AK45" i="14851"/>
  <c r="AT59" i="14850"/>
  <c r="AL59" i="14850"/>
  <c r="AF6" i="14850"/>
  <c r="FZ6" i="14850" s="1"/>
  <c r="AU59" i="14851"/>
  <c r="AK59" i="14850"/>
  <c r="AP45" i="14850"/>
  <c r="AT59" i="14851"/>
  <c r="AL59" i="14851"/>
  <c r="AO45" i="14850"/>
  <c r="AG45" i="14850"/>
  <c r="AK59" i="14851"/>
  <c r="AP45" i="14851"/>
  <c r="AZ6" i="14851"/>
  <c r="GT6" i="14851" s="1"/>
  <c r="AN45" i="14850"/>
  <c r="AF45" i="14850"/>
  <c r="AO45" i="14851"/>
  <c r="AG45" i="14851"/>
  <c r="AG6" i="14851"/>
  <c r="GA6" i="14851" s="1"/>
  <c r="AP59" i="14850"/>
  <c r="AU45" i="14850"/>
  <c r="AK57" i="14851"/>
  <c r="AN43" i="14851"/>
  <c r="AF43" i="14851"/>
  <c r="AF4" i="14851"/>
  <c r="FZ9" i="14851" s="1"/>
  <c r="AT43" i="14850"/>
  <c r="AL43" i="14850"/>
  <c r="AU43" i="14851"/>
  <c r="AP57" i="14850"/>
  <c r="AK43" i="14850"/>
  <c r="AZ4" i="14850"/>
  <c r="AT43" i="14851"/>
  <c r="AL43" i="14851"/>
  <c r="AZ4" i="14851"/>
  <c r="AO57" i="14850"/>
  <c r="AG57" i="14850"/>
  <c r="AP57" i="14851"/>
  <c r="AK43" i="14851"/>
  <c r="AN57" i="14850"/>
  <c r="AF57" i="14850"/>
  <c r="AO57" i="14851"/>
  <c r="AG57" i="14851"/>
  <c r="AU57" i="14850"/>
  <c r="AP43" i="14850"/>
  <c r="AN57" i="14851"/>
  <c r="AF57" i="14851"/>
  <c r="AT57" i="14850"/>
  <c r="AL57" i="14850"/>
  <c r="AO43" i="14850"/>
  <c r="AG43" i="14850"/>
  <c r="AU57" i="14851"/>
  <c r="AP43" i="14851"/>
  <c r="AK57" i="14850"/>
  <c r="AN43" i="14850"/>
  <c r="AF43" i="14850"/>
  <c r="AG4" i="14850"/>
  <c r="GA9" i="14850" s="1"/>
  <c r="AT57" i="14851"/>
  <c r="AL57" i="14851"/>
  <c r="AO43" i="14851"/>
  <c r="AG43" i="14851"/>
  <c r="AG4" i="14851"/>
  <c r="GA9" i="14851" s="1"/>
  <c r="AU43" i="14850"/>
  <c r="AF4" i="14850"/>
  <c r="FZ9" i="14850" s="1"/>
  <c r="D179" i="14845"/>
  <c r="B129" i="14845"/>
  <c r="D131" i="14845"/>
  <c r="B137" i="14845"/>
  <c r="C189" i="14845"/>
  <c r="D146" i="14845"/>
  <c r="D178" i="14845"/>
  <c r="B136" i="14845"/>
  <c r="B169" i="14845"/>
  <c r="C125" i="14845"/>
  <c r="B106" i="14845"/>
  <c r="B168" i="14845"/>
  <c r="C124" i="14845"/>
  <c r="C158" i="14845"/>
  <c r="C157" i="14845"/>
  <c r="C190" i="14845"/>
  <c r="D147" i="14845"/>
  <c r="C120" i="14845"/>
  <c r="C123" i="14845"/>
  <c r="B120" i="14845"/>
  <c r="V218" i="14814" s="1"/>
  <c r="D187" i="14845"/>
  <c r="B177" i="14845"/>
  <c r="C166" i="14845"/>
  <c r="D155" i="14845"/>
  <c r="B145" i="14845"/>
  <c r="C134" i="14845"/>
  <c r="C116" i="14845"/>
  <c r="D186" i="14845"/>
  <c r="B176" i="14845"/>
  <c r="C165" i="14845"/>
  <c r="D154" i="14845"/>
  <c r="B144" i="14845"/>
  <c r="C133" i="14845"/>
  <c r="C114" i="14845"/>
  <c r="B105" i="14845"/>
  <c r="V203" i="14814" s="1"/>
  <c r="D195" i="14845"/>
  <c r="B185" i="14845"/>
  <c r="C174" i="14845"/>
  <c r="D163" i="14845"/>
  <c r="B153" i="14845"/>
  <c r="C142" i="14845"/>
  <c r="C131" i="14845"/>
  <c r="C110" i="14845"/>
  <c r="B100" i="14845"/>
  <c r="D194" i="14845"/>
  <c r="B184" i="14845"/>
  <c r="C173" i="14845"/>
  <c r="D162" i="14845"/>
  <c r="B152" i="14845"/>
  <c r="C141" i="14845"/>
  <c r="C130" i="14845"/>
  <c r="C101" i="14845"/>
  <c r="B109" i="14845"/>
  <c r="V107" i="14814" s="1"/>
  <c r="B193" i="14845"/>
  <c r="C182" i="14845"/>
  <c r="D171" i="14845"/>
  <c r="B161" i="14845"/>
  <c r="C150" i="14845"/>
  <c r="D139" i="14845"/>
  <c r="C128" i="14845"/>
  <c r="B121" i="14845"/>
  <c r="V219" i="14814" s="1"/>
  <c r="B103" i="14845"/>
  <c r="V201" i="14814" s="1"/>
  <c r="B192" i="14845"/>
  <c r="C181" i="14845"/>
  <c r="D170" i="14845"/>
  <c r="B160" i="14845"/>
  <c r="C149" i="14845"/>
  <c r="D138" i="14845"/>
  <c r="C127" i="14845"/>
  <c r="D122" i="14845"/>
  <c r="H220" i="14814" s="1"/>
  <c r="D104" i="14845"/>
  <c r="H202" i="14814" s="1"/>
  <c r="C195" i="14845"/>
  <c r="D192" i="14845"/>
  <c r="B190" i="14845"/>
  <c r="C187" i="14845"/>
  <c r="D184" i="14845"/>
  <c r="B182" i="14845"/>
  <c r="C179" i="14845"/>
  <c r="D176" i="14845"/>
  <c r="B174" i="14845"/>
  <c r="C171" i="14845"/>
  <c r="D168" i="14845"/>
  <c r="B166" i="14845"/>
  <c r="C163" i="14845"/>
  <c r="D160" i="14845"/>
  <c r="B158" i="14845"/>
  <c r="C155" i="14845"/>
  <c r="D152" i="14845"/>
  <c r="B150" i="14845"/>
  <c r="C147" i="14845"/>
  <c r="D144" i="14845"/>
  <c r="B142" i="14845"/>
  <c r="C139" i="14845"/>
  <c r="D136" i="14845"/>
  <c r="B134" i="14845"/>
  <c r="B131" i="14845"/>
  <c r="B128" i="14845"/>
  <c r="B125" i="14845"/>
  <c r="C122" i="14845"/>
  <c r="C109" i="14845"/>
  <c r="C103" i="14845"/>
  <c r="B114" i="14845"/>
  <c r="D103" i="14845"/>
  <c r="H201" i="14814" s="1"/>
  <c r="B124" i="14845"/>
  <c r="B195" i="14845"/>
  <c r="C192" i="14845"/>
  <c r="D189" i="14845"/>
  <c r="B187" i="14845"/>
  <c r="C184" i="14845"/>
  <c r="D181" i="14845"/>
  <c r="B179" i="14845"/>
  <c r="C176" i="14845"/>
  <c r="D173" i="14845"/>
  <c r="B171" i="14845"/>
  <c r="C168" i="14845"/>
  <c r="D165" i="14845"/>
  <c r="B163" i="14845"/>
  <c r="C160" i="14845"/>
  <c r="D157" i="14845"/>
  <c r="B155" i="14845"/>
  <c r="C152" i="14845"/>
  <c r="D149" i="14845"/>
  <c r="B147" i="14845"/>
  <c r="C144" i="14845"/>
  <c r="D141" i="14845"/>
  <c r="B139" i="14845"/>
  <c r="C136" i="14845"/>
  <c r="D133" i="14845"/>
  <c r="D130" i="14845"/>
  <c r="D127" i="14845"/>
  <c r="D124" i="14845"/>
  <c r="C121" i="14845"/>
  <c r="C115" i="14845"/>
  <c r="C108" i="14845"/>
  <c r="C102" i="14845"/>
  <c r="B123" i="14845"/>
  <c r="V121" i="14814" s="1"/>
  <c r="B117" i="14845"/>
  <c r="V215" i="14814" s="1"/>
  <c r="B111" i="14845"/>
  <c r="V209" i="14814" s="1"/>
  <c r="B108" i="14845"/>
  <c r="V206" i="14814" s="1"/>
  <c r="B102" i="14845"/>
  <c r="V200" i="14814" s="1"/>
  <c r="C194" i="14845"/>
  <c r="D191" i="14845"/>
  <c r="B189" i="14845"/>
  <c r="C186" i="14845"/>
  <c r="D183" i="14845"/>
  <c r="B181" i="14845"/>
  <c r="C178" i="14845"/>
  <c r="D175" i="14845"/>
  <c r="B173" i="14845"/>
  <c r="C170" i="14845"/>
  <c r="D167" i="14845"/>
  <c r="B165" i="14845"/>
  <c r="C162" i="14845"/>
  <c r="D159" i="14845"/>
  <c r="B157" i="14845"/>
  <c r="C154" i="14845"/>
  <c r="D151" i="14845"/>
  <c r="B149" i="14845"/>
  <c r="C146" i="14845"/>
  <c r="D143" i="14845"/>
  <c r="B141" i="14845"/>
  <c r="C138" i="14845"/>
  <c r="D135" i="14845"/>
  <c r="B133" i="14845"/>
  <c r="B130" i="14845"/>
  <c r="B127" i="14845"/>
  <c r="A1" i="14838"/>
  <c r="C113" i="14845"/>
  <c r="C107" i="14845"/>
  <c r="B116" i="14845"/>
  <c r="V214" i="14814" s="1"/>
  <c r="B101" i="14845"/>
  <c r="V159" i="14814" s="1"/>
  <c r="D120" i="14845"/>
  <c r="H118" i="14814" s="1"/>
  <c r="B194" i="14845"/>
  <c r="C191" i="14845"/>
  <c r="D188" i="14845"/>
  <c r="B186" i="14845"/>
  <c r="C183" i="14845"/>
  <c r="D180" i="14845"/>
  <c r="B178" i="14845"/>
  <c r="C175" i="14845"/>
  <c r="D172" i="14845"/>
  <c r="B170" i="14845"/>
  <c r="C167" i="14845"/>
  <c r="D164" i="14845"/>
  <c r="B162" i="14845"/>
  <c r="C159" i="14845"/>
  <c r="D156" i="14845"/>
  <c r="B154" i="14845"/>
  <c r="C151" i="14845"/>
  <c r="D148" i="14845"/>
  <c r="B146" i="14845"/>
  <c r="C143" i="14845"/>
  <c r="D140" i="14845"/>
  <c r="B138" i="14845"/>
  <c r="C135" i="14845"/>
  <c r="D132" i="14845"/>
  <c r="D129" i="14845"/>
  <c r="D126" i="14845"/>
  <c r="C119" i="14845"/>
  <c r="C112" i="14845"/>
  <c r="C106" i="14845"/>
  <c r="B122" i="14845"/>
  <c r="B119" i="14845"/>
  <c r="V217" i="14814" s="1"/>
  <c r="B113" i="14845"/>
  <c r="V211" i="14814" s="1"/>
  <c r="B110" i="14845"/>
  <c r="V208" i="14814" s="1"/>
  <c r="B107" i="14845"/>
  <c r="B104" i="14845"/>
  <c r="V202" i="14814" s="1"/>
  <c r="A1" i="14845"/>
  <c r="F2" i="14814" s="1"/>
  <c r="D116" i="14845"/>
  <c r="H114" i="14814" s="1"/>
  <c r="D193" i="14845"/>
  <c r="B191" i="14845"/>
  <c r="C188" i="14845"/>
  <c r="D185" i="14845"/>
  <c r="B183" i="14845"/>
  <c r="C180" i="14845"/>
  <c r="D177" i="14845"/>
  <c r="B175" i="14845"/>
  <c r="C172" i="14845"/>
  <c r="D169" i="14845"/>
  <c r="B167" i="14845"/>
  <c r="C164" i="14845"/>
  <c r="D161" i="14845"/>
  <c r="B159" i="14845"/>
  <c r="C156" i="14845"/>
  <c r="D153" i="14845"/>
  <c r="B151" i="14845"/>
  <c r="C148" i="14845"/>
  <c r="D145" i="14845"/>
  <c r="B143" i="14845"/>
  <c r="C140" i="14845"/>
  <c r="D137" i="14845"/>
  <c r="B135" i="14845"/>
  <c r="C132" i="14845"/>
  <c r="C129" i="14845"/>
  <c r="B126" i="14845"/>
  <c r="C100" i="14845"/>
  <c r="C118" i="14845"/>
  <c r="C105" i="14845"/>
  <c r="B115" i="14845"/>
  <c r="D114" i="14845"/>
  <c r="H112" i="14814" s="1"/>
  <c r="C126" i="14845"/>
  <c r="C193" i="14845"/>
  <c r="D190" i="14845"/>
  <c r="B188" i="14845"/>
  <c r="C185" i="14845"/>
  <c r="D182" i="14845"/>
  <c r="B180" i="14845"/>
  <c r="C177" i="14845"/>
  <c r="D174" i="14845"/>
  <c r="B172" i="14845"/>
  <c r="C169" i="14845"/>
  <c r="D166" i="14845"/>
  <c r="B164" i="14845"/>
  <c r="C161" i="14845"/>
  <c r="D158" i="14845"/>
  <c r="B156" i="14845"/>
  <c r="C153" i="14845"/>
  <c r="D150" i="14845"/>
  <c r="B148" i="14845"/>
  <c r="C145" i="14845"/>
  <c r="D142" i="14845"/>
  <c r="B140" i="14845"/>
  <c r="C137" i="14845"/>
  <c r="D134" i="14845"/>
  <c r="B132" i="14845"/>
  <c r="D128" i="14845"/>
  <c r="D125" i="14845"/>
  <c r="C117" i="14845"/>
  <c r="C111" i="14845"/>
  <c r="C104" i="14845"/>
  <c r="B118" i="14845"/>
  <c r="V216" i="14814" s="1"/>
  <c r="B112" i="14845"/>
  <c r="V210" i="14814" s="1"/>
  <c r="D109" i="14845"/>
  <c r="D119" i="14845"/>
  <c r="H217" i="14814" s="1"/>
  <c r="D115" i="14845"/>
  <c r="D112" i="14845"/>
  <c r="H210" i="14814" s="1"/>
  <c r="D108" i="14845"/>
  <c r="H166" i="14814" s="1"/>
  <c r="D118" i="14845"/>
  <c r="H116" i="14814" s="1"/>
  <c r="D111" i="14845"/>
  <c r="H169" i="14814" s="1"/>
  <c r="D107" i="14845"/>
  <c r="H205" i="14814" s="1"/>
  <c r="D100" i="14845"/>
  <c r="D121" i="14845"/>
  <c r="D117" i="14845"/>
  <c r="D110" i="14845"/>
  <c r="H108" i="14814" s="1"/>
  <c r="D106" i="14845"/>
  <c r="H164" i="14814" s="1"/>
  <c r="D113" i="14845"/>
  <c r="D102" i="14845"/>
  <c r="H160" i="14814" s="1"/>
  <c r="D123" i="14845"/>
  <c r="H221" i="14814" s="1"/>
  <c r="D105" i="14845"/>
  <c r="H203" i="14814" s="1"/>
  <c r="D65" i="14814"/>
  <c r="F493" i="14814" s="1"/>
  <c r="AM44" i="14835"/>
  <c r="AV44" i="14835"/>
  <c r="BU165" i="14835"/>
  <c r="BU166" i="14835" s="1"/>
  <c r="AE61" i="14835"/>
  <c r="AH44" i="14835"/>
  <c r="AR44" i="14835"/>
  <c r="AW44" i="14835"/>
  <c r="AH46" i="14835"/>
  <c r="AI44" i="14835"/>
  <c r="AX44" i="14835"/>
  <c r="AS44" i="14835"/>
  <c r="AJ44" i="14835"/>
  <c r="AY44" i="14835"/>
  <c r="AE44" i="14835"/>
  <c r="AV47" i="14835"/>
  <c r="AQ47" i="14835"/>
  <c r="AY47" i="14835"/>
  <c r="AM47" i="14835"/>
  <c r="AS47" i="14835"/>
  <c r="AJ47" i="14835"/>
  <c r="AI47" i="14835"/>
  <c r="AX47" i="14835"/>
  <c r="AR47" i="14835"/>
  <c r="AH47" i="14835"/>
  <c r="AE47" i="14835"/>
  <c r="AW47" i="14835"/>
  <c r="AM42" i="14835"/>
  <c r="AW61" i="14835"/>
  <c r="AM61" i="14835"/>
  <c r="AJ61" i="14835"/>
  <c r="AI61" i="14835"/>
  <c r="AY61" i="14835"/>
  <c r="AV61" i="14835"/>
  <c r="AS61" i="14835"/>
  <c r="AE46" i="14835"/>
  <c r="AS46" i="14835"/>
  <c r="AY46" i="14835"/>
  <c r="AM46" i="14835"/>
  <c r="AW46" i="14835"/>
  <c r="AJ46" i="14835"/>
  <c r="AX46" i="14835"/>
  <c r="AR46" i="14835"/>
  <c r="AI46" i="14835"/>
  <c r="AM57" i="14835"/>
  <c r="AX48" i="14835"/>
  <c r="AR43" i="14835"/>
  <c r="AE56" i="14835"/>
  <c r="AW57" i="14835"/>
  <c r="AX57" i="14835"/>
  <c r="AI57" i="14835"/>
  <c r="AS57" i="14835"/>
  <c r="AV57" i="14835"/>
  <c r="AY57" i="14835"/>
  <c r="AH57" i="14835"/>
  <c r="AQ57" i="14835"/>
  <c r="AR57" i="14835"/>
  <c r="AR48" i="14835"/>
  <c r="AH48" i="14835"/>
  <c r="AE48" i="14835"/>
  <c r="AM48" i="14835"/>
  <c r="AQ48" i="14835"/>
  <c r="AI48" i="14835"/>
  <c r="AY48" i="14835"/>
  <c r="AS48" i="14835"/>
  <c r="AJ48" i="14835"/>
  <c r="AW48" i="14835"/>
  <c r="AI58" i="14835"/>
  <c r="AM43" i="14835"/>
  <c r="AE43" i="14835"/>
  <c r="AH43" i="14835"/>
  <c r="AS43" i="14835"/>
  <c r="AJ43" i="14835"/>
  <c r="AX43" i="14835"/>
  <c r="AQ43" i="14835"/>
  <c r="AI43" i="14835"/>
  <c r="AW56" i="14835"/>
  <c r="AM56" i="14835"/>
  <c r="AI56" i="14835"/>
  <c r="AY56" i="14835"/>
  <c r="AJ56" i="14835"/>
  <c r="AR56" i="14835"/>
  <c r="AX56" i="14835"/>
  <c r="AV56" i="14835"/>
  <c r="AZ23" i="14835"/>
  <c r="AE23" i="14841"/>
  <c r="AM3" i="14841"/>
  <c r="GG7" i="14841" s="1"/>
  <c r="BU113" i="14841"/>
  <c r="BU114" i="14841" s="1"/>
  <c r="AH3" i="14841"/>
  <c r="AS3" i="14841"/>
  <c r="AR5" i="14835"/>
  <c r="GL5" i="14835" s="1"/>
  <c r="AP3" i="14841"/>
  <c r="AY3" i="14841"/>
  <c r="AQ3" i="14841"/>
  <c r="GK7" i="14841" s="1"/>
  <c r="AR3" i="14841"/>
  <c r="GL7" i="14841" s="1"/>
  <c r="AK3" i="14841"/>
  <c r="AG3" i="14841"/>
  <c r="AT3" i="14841"/>
  <c r="GN7" i="14841" s="1"/>
  <c r="AW3" i="14841"/>
  <c r="GQ7" i="14841" s="1"/>
  <c r="CD7" i="14841"/>
  <c r="AE3" i="14841"/>
  <c r="FY7" i="14841" s="1"/>
  <c r="AZ3" i="14841"/>
  <c r="GT7" i="14841" s="1"/>
  <c r="AF3" i="14841"/>
  <c r="FZ7" i="14841" s="1"/>
  <c r="BM113" i="14841"/>
  <c r="BM114" i="14841" s="1"/>
  <c r="AX3" i="14841"/>
  <c r="GR7" i="14841" s="1"/>
  <c r="AV3" i="14841"/>
  <c r="GP7" i="14841" s="1"/>
  <c r="AJ3" i="14841"/>
  <c r="GD7" i="14841" s="1"/>
  <c r="AY60" i="14835"/>
  <c r="AJ60" i="14835"/>
  <c r="AW60" i="14835"/>
  <c r="AS60" i="14835"/>
  <c r="AR60" i="14835"/>
  <c r="AH60" i="14835"/>
  <c r="AX60" i="14835"/>
  <c r="AV60" i="14835"/>
  <c r="AE42" i="14835"/>
  <c r="AE58" i="14835"/>
  <c r="AW59" i="14835"/>
  <c r="AZ5" i="14835"/>
  <c r="GT5" i="14835" s="1"/>
  <c r="CS13" i="14835"/>
  <c r="AN23" i="14835"/>
  <c r="AT23" i="14835"/>
  <c r="AU5" i="14835"/>
  <c r="AJ58" i="14835"/>
  <c r="AI42" i="14835"/>
  <c r="AH42" i="14835"/>
  <c r="AY42" i="14835"/>
  <c r="AJ42" i="14835"/>
  <c r="AW42" i="14835"/>
  <c r="AV42" i="14835"/>
  <c r="AX42" i="14835"/>
  <c r="AS42" i="14835"/>
  <c r="AQ42" i="14835"/>
  <c r="AR42" i="14835"/>
  <c r="AI23" i="14841"/>
  <c r="AM59" i="14835"/>
  <c r="AQ58" i="14835"/>
  <c r="AV58" i="14835"/>
  <c r="AS58" i="14835"/>
  <c r="AY59" i="14835"/>
  <c r="AV59" i="14835"/>
  <c r="AR58" i="14835"/>
  <c r="AX58" i="14835"/>
  <c r="AM58" i="14835"/>
  <c r="AI59" i="14835"/>
  <c r="AW58" i="14835"/>
  <c r="AS59" i="14835"/>
  <c r="AH59" i="14835"/>
  <c r="AY58" i="14835"/>
  <c r="AH58" i="14835"/>
  <c r="AF23" i="14841"/>
  <c r="AN23" i="14841"/>
  <c r="AV23" i="14841"/>
  <c r="CI13" i="14841"/>
  <c r="BJ113" i="14841"/>
  <c r="BJ114" i="14841" s="1"/>
  <c r="BQ113" i="14841"/>
  <c r="BQ114" i="14841" s="1"/>
  <c r="CP13" i="14841"/>
  <c r="AQ23" i="14841"/>
  <c r="CS7" i="14835"/>
  <c r="BT165" i="14835"/>
  <c r="BT166" i="14835" s="1"/>
  <c r="AH23" i="14835"/>
  <c r="BH115" i="14835"/>
  <c r="CG13" i="14835"/>
  <c r="BT164" i="14841"/>
  <c r="BT165" i="14841" s="1"/>
  <c r="CS7" i="14841"/>
  <c r="CI7" i="14835"/>
  <c r="BJ165" i="14835"/>
  <c r="BJ166" i="14835" s="1"/>
  <c r="BN113" i="14841"/>
  <c r="BN114" i="14841" s="1"/>
  <c r="CM13" i="14841"/>
  <c r="BP164" i="14841"/>
  <c r="BP165" i="14841" s="1"/>
  <c r="CO7" i="14841"/>
  <c r="AY7" i="14835"/>
  <c r="AZ7" i="14835"/>
  <c r="AG7" i="14835"/>
  <c r="DF27" i="14835" s="1"/>
  <c r="AL7" i="14835"/>
  <c r="DK27" i="14835" s="1"/>
  <c r="AF7" i="14835"/>
  <c r="DE27" i="14835" s="1"/>
  <c r="AU46" i="14835"/>
  <c r="AE7" i="14835"/>
  <c r="DD27" i="14835" s="1"/>
  <c r="AW7" i="14835"/>
  <c r="AM7" i="14835"/>
  <c r="DL27" i="14835" s="1"/>
  <c r="AN7" i="14835"/>
  <c r="DM27" i="14835" s="1"/>
  <c r="AL60" i="14835"/>
  <c r="AQ7" i="14835"/>
  <c r="DP27" i="14835" s="1"/>
  <c r="AN60" i="14835"/>
  <c r="AP46" i="14835"/>
  <c r="AT7" i="14835"/>
  <c r="AO7" i="14835"/>
  <c r="DN27" i="14835" s="1"/>
  <c r="AG46" i="14835"/>
  <c r="AN46" i="14835"/>
  <c r="AT60" i="14835"/>
  <c r="AF60" i="14835"/>
  <c r="AO60" i="14835"/>
  <c r="AR7" i="14835"/>
  <c r="AL46" i="14835"/>
  <c r="AI7" i="14835"/>
  <c r="DH27" i="14835" s="1"/>
  <c r="AO46" i="14835"/>
  <c r="AU7" i="14835"/>
  <c r="AT46" i="14835"/>
  <c r="AK7" i="14835"/>
  <c r="DJ27" i="14835" s="1"/>
  <c r="AX7" i="14835"/>
  <c r="AP7" i="14835"/>
  <c r="DO27" i="14835" s="1"/>
  <c r="AF46" i="14835"/>
  <c r="AU60" i="14835"/>
  <c r="AK60" i="14835"/>
  <c r="CU7" i="14835"/>
  <c r="BV165" i="14835"/>
  <c r="BV166" i="14835" s="1"/>
  <c r="CM13" i="14835"/>
  <c r="BN115" i="14835"/>
  <c r="B30" i="14843"/>
  <c r="B26" i="14841"/>
  <c r="B29" i="14815"/>
  <c r="B26" i="14835"/>
  <c r="B30" i="14826"/>
  <c r="AB30" i="14826" s="1"/>
  <c r="B29" i="14825"/>
  <c r="B29" i="14824"/>
  <c r="B35" i="14841"/>
  <c r="B39" i="14843"/>
  <c r="B38" i="14824"/>
  <c r="B38" i="14825"/>
  <c r="B38" i="14815"/>
  <c r="B35" i="14835"/>
  <c r="B43" i="14843"/>
  <c r="V43" i="14843" s="1"/>
  <c r="B42" i="14825"/>
  <c r="B39" i="14841"/>
  <c r="B42" i="14815"/>
  <c r="B43" i="14826"/>
  <c r="AB43" i="14826" s="1"/>
  <c r="B42" i="14824"/>
  <c r="CH4" i="14841"/>
  <c r="B40" i="14843"/>
  <c r="V40" i="14843" s="1"/>
  <c r="B39" i="14815"/>
  <c r="B36" i="14841"/>
  <c r="B39" i="14824"/>
  <c r="B36" i="14835"/>
  <c r="B40" i="14826"/>
  <c r="AB40" i="14826" s="1"/>
  <c r="AE29" i="14841"/>
  <c r="CX4" i="14835"/>
  <c r="AY30" i="14835"/>
  <c r="BY190" i="14835"/>
  <c r="BY191" i="14835" s="1"/>
  <c r="B10" i="14826"/>
  <c r="AB10" i="14826" s="1"/>
  <c r="B9" i="14815"/>
  <c r="B9" i="14824"/>
  <c r="B10" i="14843"/>
  <c r="V10" i="14843" s="1"/>
  <c r="B6" i="14835"/>
  <c r="B6" i="14841"/>
  <c r="B45" i="14841"/>
  <c r="B49" i="14843"/>
  <c r="V49" i="14843" s="1"/>
  <c r="AV29" i="14841"/>
  <c r="AT29" i="14841"/>
  <c r="AY29" i="14841"/>
  <c r="AR29" i="14841"/>
  <c r="AL29" i="14841"/>
  <c r="AX29" i="14841"/>
  <c r="AN29" i="14841"/>
  <c r="AQ29" i="14841"/>
  <c r="AW29" i="14841"/>
  <c r="AJ29" i="14841"/>
  <c r="AP29" i="14841"/>
  <c r="AO29" i="14841"/>
  <c r="AU29" i="14841"/>
  <c r="AH29" i="14841"/>
  <c r="AK29" i="14841"/>
  <c r="AM29" i="14841"/>
  <c r="B48" i="14815"/>
  <c r="B29" i="14841"/>
  <c r="B33" i="14843"/>
  <c r="V33" i="14843" s="1"/>
  <c r="B40" i="14815"/>
  <c r="B37" i="14841"/>
  <c r="B41" i="14826"/>
  <c r="AB41" i="14826" s="1"/>
  <c r="AF29" i="14841"/>
  <c r="B45" i="14825"/>
  <c r="B42" i="14841"/>
  <c r="B45" i="14815"/>
  <c r="B45" i="14824"/>
  <c r="B46" i="14843"/>
  <c r="V46" i="14843" s="1"/>
  <c r="B50" i="14843"/>
  <c r="V50" i="14843" s="1"/>
  <c r="B50" i="14826"/>
  <c r="AB50" i="14826" s="1"/>
  <c r="B49" i="14825"/>
  <c r="AG29" i="14841"/>
  <c r="B9" i="14825"/>
  <c r="B42" i="14843"/>
  <c r="V42" i="14843" s="1"/>
  <c r="AS29" i="14841"/>
  <c r="B46" i="14841"/>
  <c r="B26" i="14843"/>
  <c r="V26" i="14843" s="1"/>
  <c r="B25" i="14825"/>
  <c r="B25" i="14824"/>
  <c r="B26" i="14826"/>
  <c r="AB26" i="14826" s="1"/>
  <c r="B22" i="14835"/>
  <c r="B47" i="14843"/>
  <c r="V47" i="14843" s="1"/>
  <c r="B46" i="14825"/>
  <c r="B46" i="14824"/>
  <c r="B47" i="14826"/>
  <c r="AB47" i="14826" s="1"/>
  <c r="AH29" i="14835"/>
  <c r="AK29" i="14835"/>
  <c r="B35" i="14843"/>
  <c r="V35" i="14843" s="1"/>
  <c r="B31" i="14841"/>
  <c r="B34" i="14815"/>
  <c r="B9" i="14843"/>
  <c r="V9" i="14843" s="1"/>
  <c r="B5" i="14835"/>
  <c r="B5" i="14841"/>
  <c r="B8" i="14825"/>
  <c r="B20" i="14843"/>
  <c r="B16" i="14835"/>
  <c r="B27" i="14843"/>
  <c r="V27" i="14843" s="1"/>
  <c r="B23" i="14841"/>
  <c r="B44" i="14835"/>
  <c r="B48" i="14843"/>
  <c r="V48" i="14843" s="1"/>
  <c r="C2" i="14786"/>
  <c r="AU29" i="14835"/>
  <c r="AS29" i="14835"/>
  <c r="AP29" i="14835"/>
  <c r="AM29" i="14835"/>
  <c r="AT29" i="14835"/>
  <c r="AF29" i="14835"/>
  <c r="AV29" i="14835"/>
  <c r="AQ29" i="14835"/>
  <c r="AJ29" i="14835"/>
  <c r="AI29" i="14835"/>
  <c r="AN29" i="14835"/>
  <c r="AE29" i="14835"/>
  <c r="AW29" i="14835"/>
  <c r="AL29" i="14835"/>
  <c r="AG29" i="14835"/>
  <c r="AX29" i="14835"/>
  <c r="AR29" i="14835"/>
  <c r="CB9" i="14809"/>
  <c r="F613" i="14814"/>
  <c r="C64" i="14814"/>
  <c r="E913" i="14814"/>
  <c r="F642" i="14814"/>
  <c r="F636" i="14814"/>
  <c r="F622" i="14814"/>
  <c r="C63" i="14814"/>
  <c r="E710" i="14814"/>
  <c r="E787" i="14814"/>
  <c r="E969" i="14814"/>
  <c r="E941" i="14814"/>
  <c r="E885" i="14814"/>
  <c r="E857" i="14814"/>
  <c r="E829" i="14814"/>
  <c r="E752" i="14814"/>
  <c r="E717" i="14814"/>
  <c r="E675" i="14814"/>
  <c r="E626" i="14814"/>
  <c r="E612" i="14814"/>
  <c r="E962" i="14814"/>
  <c r="E934" i="14814"/>
  <c r="E906" i="14814"/>
  <c r="E878" i="14814"/>
  <c r="E822" i="14814"/>
  <c r="E780" i="14814"/>
  <c r="E745" i="14814"/>
  <c r="E668" i="14814"/>
  <c r="E955" i="14814"/>
  <c r="E850" i="14814"/>
  <c r="E815" i="14814"/>
  <c r="E773" i="14814"/>
  <c r="E703" i="14814"/>
  <c r="E661" i="14814"/>
  <c r="E927" i="14814"/>
  <c r="E871" i="14814"/>
  <c r="E843" i="14814"/>
  <c r="E808" i="14814"/>
  <c r="E738" i="14814"/>
  <c r="E647" i="14814"/>
  <c r="E948" i="14814"/>
  <c r="E899" i="14814"/>
  <c r="E836" i="14814"/>
  <c r="E801" i="14814"/>
  <c r="E766" i="14814"/>
  <c r="E696" i="14814"/>
  <c r="E976" i="14814"/>
  <c r="E920" i="14814"/>
  <c r="E892" i="14814"/>
  <c r="E864" i="14814"/>
  <c r="E731" i="14814"/>
  <c r="E689" i="14814"/>
  <c r="E640" i="14814"/>
  <c r="E794" i="14814"/>
  <c r="E759" i="14814"/>
  <c r="E724" i="14814"/>
  <c r="E682" i="14814"/>
  <c r="E633" i="14814"/>
  <c r="D467" i="14814"/>
  <c r="G620" i="14814"/>
  <c r="D419" i="14814"/>
  <c r="D443" i="14814"/>
  <c r="D396" i="14814"/>
  <c r="F621" i="14814"/>
  <c r="F612" i="14814"/>
  <c r="F614" i="14814"/>
  <c r="F629" i="14814"/>
  <c r="F619" i="14814"/>
  <c r="F634" i="14814"/>
  <c r="F635" i="14814"/>
  <c r="F617" i="14814"/>
  <c r="F627" i="14814"/>
  <c r="F623" i="14814"/>
  <c r="F618" i="14814"/>
  <c r="F626" i="14814"/>
  <c r="F625" i="14814"/>
  <c r="F637" i="14814"/>
  <c r="F616" i="14814"/>
  <c r="F615" i="14814"/>
  <c r="F641" i="14814"/>
  <c r="F640" i="14814"/>
  <c r="F632" i="14814"/>
  <c r="F628" i="14814"/>
  <c r="F631" i="14814"/>
  <c r="F620" i="14814"/>
  <c r="F633" i="14814"/>
  <c r="F638" i="14814"/>
  <c r="F624" i="14814"/>
  <c r="F639" i="14814"/>
  <c r="G629" i="14814"/>
  <c r="O127" i="14786"/>
  <c r="G616" i="14814"/>
  <c r="F467" i="14814"/>
  <c r="F442" i="14814"/>
  <c r="G625" i="14814"/>
  <c r="G623" i="14814"/>
  <c r="G615" i="14814"/>
  <c r="E619" i="14814"/>
  <c r="G632" i="14814"/>
  <c r="G618" i="14814"/>
  <c r="G613" i="14814"/>
  <c r="F539" i="14814"/>
  <c r="C70" i="14786"/>
  <c r="D492" i="14814"/>
  <c r="F443" i="14814"/>
  <c r="D515" i="14814"/>
  <c r="D444" i="14814"/>
  <c r="D516" i="14814"/>
  <c r="D420" i="14814"/>
  <c r="F515" i="14814"/>
  <c r="D491" i="14814"/>
  <c r="F418" i="14814"/>
  <c r="D395" i="14814"/>
  <c r="F395" i="14814"/>
  <c r="F491" i="14814"/>
  <c r="D539" i="14814"/>
  <c r="D468" i="14814"/>
  <c r="D540" i="14814"/>
  <c r="F694" i="14814"/>
  <c r="F701" i="14814"/>
  <c r="F685" i="14814"/>
  <c r="F691" i="14814"/>
  <c r="F677" i="14814"/>
  <c r="F682" i="14814"/>
  <c r="F681" i="14814"/>
  <c r="F684" i="14814"/>
  <c r="F697" i="14814"/>
  <c r="F689" i="14814"/>
  <c r="F699" i="14814"/>
  <c r="F673" i="14814"/>
  <c r="F676" i="14814"/>
  <c r="F692" i="14814"/>
  <c r="F678" i="14814"/>
  <c r="F695" i="14814"/>
  <c r="F672" i="14814"/>
  <c r="F680" i="14814"/>
  <c r="F683" i="14814"/>
  <c r="F698" i="14814"/>
  <c r="F686" i="14814"/>
  <c r="F679" i="14814"/>
  <c r="F696" i="14814"/>
  <c r="F688" i="14814"/>
  <c r="F675" i="14814"/>
  <c r="F671" i="14814"/>
  <c r="F690" i="14814"/>
  <c r="F687" i="14814"/>
  <c r="F674" i="14814"/>
  <c r="F693" i="14814"/>
  <c r="G638" i="14814"/>
  <c r="G633" i="14814"/>
  <c r="G619" i="14814"/>
  <c r="G642" i="14814"/>
  <c r="G637" i="14814"/>
  <c r="G628" i="14814"/>
  <c r="G624" i="14814"/>
  <c r="G612" i="14814"/>
  <c r="G641" i="14814"/>
  <c r="G636" i="14814"/>
  <c r="G627" i="14814"/>
  <c r="G640" i="14814"/>
  <c r="G635" i="14814"/>
  <c r="G631" i="14814"/>
  <c r="G622" i="14814"/>
  <c r="G614" i="14814"/>
  <c r="G630" i="14814"/>
  <c r="G626" i="14814"/>
  <c r="G621" i="14814"/>
  <c r="G617" i="14814"/>
  <c r="G639" i="14814"/>
  <c r="E62" i="14814"/>
  <c r="B31" i="14826" l="1"/>
  <c r="AB31" i="14826" s="1"/>
  <c r="B31" i="14853"/>
  <c r="B18" i="14851"/>
  <c r="B22" i="14853"/>
  <c r="H101" i="14814"/>
  <c r="B68" i="14848"/>
  <c r="V68" i="14842"/>
  <c r="AQ278" i="14814"/>
  <c r="BE279" i="14814" s="1"/>
  <c r="BE280" i="14814" s="1"/>
  <c r="BE281" i="14814" s="1"/>
  <c r="BE282" i="14814" s="1"/>
  <c r="H178" i="14814"/>
  <c r="V101" i="14814"/>
  <c r="V170" i="14814"/>
  <c r="H180" i="14814"/>
  <c r="H120" i="14814"/>
  <c r="H212" i="14814"/>
  <c r="V161" i="14814"/>
  <c r="V102" i="14814"/>
  <c r="H214" i="14814"/>
  <c r="V106" i="14814"/>
  <c r="H105" i="14814"/>
  <c r="V160" i="14814"/>
  <c r="V177" i="14814"/>
  <c r="V110" i="14814"/>
  <c r="H218" i="14814"/>
  <c r="H102" i="14814"/>
  <c r="P565" i="14814"/>
  <c r="V169" i="14814"/>
  <c r="V207" i="14814"/>
  <c r="V166" i="14814"/>
  <c r="H103" i="14814"/>
  <c r="H208" i="14814"/>
  <c r="V100" i="14814"/>
  <c r="V117" i="14814"/>
  <c r="H206" i="14814"/>
  <c r="H163" i="14814"/>
  <c r="H174" i="14814"/>
  <c r="V114" i="14814"/>
  <c r="V103" i="14814"/>
  <c r="V163" i="14814"/>
  <c r="H165" i="14814"/>
  <c r="V162" i="14814"/>
  <c r="V115" i="14814"/>
  <c r="H121" i="14814"/>
  <c r="V171" i="14814"/>
  <c r="H111" i="14814"/>
  <c r="H171" i="14814"/>
  <c r="H211" i="14814"/>
  <c r="H167" i="14814"/>
  <c r="H207" i="14814"/>
  <c r="H107" i="14814"/>
  <c r="H177" i="14814"/>
  <c r="V168" i="14814"/>
  <c r="H216" i="14814"/>
  <c r="Y63" i="14814"/>
  <c r="V181" i="14814"/>
  <c r="V221" i="14814"/>
  <c r="V212" i="14814"/>
  <c r="V112" i="14814"/>
  <c r="V172" i="14814"/>
  <c r="V104" i="14814"/>
  <c r="V204" i="14814"/>
  <c r="V164" i="14814"/>
  <c r="H168" i="14814"/>
  <c r="H181" i="14814"/>
  <c r="H106" i="14814"/>
  <c r="H162" i="14814"/>
  <c r="H119" i="14814"/>
  <c r="H179" i="14814"/>
  <c r="H219" i="14814"/>
  <c r="V108" i="14814"/>
  <c r="V167" i="14814"/>
  <c r="H104" i="14814"/>
  <c r="H204" i="14814"/>
  <c r="W63" i="14814"/>
  <c r="X63" i="14814"/>
  <c r="V119" i="14814"/>
  <c r="V116" i="14814"/>
  <c r="V118" i="14814"/>
  <c r="H172" i="14814"/>
  <c r="V176" i="14814"/>
  <c r="H161" i="14814"/>
  <c r="V109" i="14814"/>
  <c r="V178" i="14814"/>
  <c r="H170" i="14814"/>
  <c r="V175" i="14814"/>
  <c r="H176" i="14814"/>
  <c r="V199" i="14814"/>
  <c r="H110" i="14814"/>
  <c r="V99" i="14814"/>
  <c r="H200" i="14814"/>
  <c r="H100" i="14814"/>
  <c r="H175" i="14814"/>
  <c r="H215" i="14814"/>
  <c r="H115" i="14814"/>
  <c r="H209" i="14814"/>
  <c r="H109" i="14814"/>
  <c r="H213" i="14814"/>
  <c r="H173" i="14814"/>
  <c r="H113" i="14814"/>
  <c r="V173" i="14814"/>
  <c r="V213" i="14814"/>
  <c r="V165" i="14814"/>
  <c r="V205" i="14814"/>
  <c r="V220" i="14814"/>
  <c r="V120" i="14814"/>
  <c r="V180" i="14814"/>
  <c r="V105" i="14814"/>
  <c r="V113" i="14814"/>
  <c r="V174" i="14814"/>
  <c r="H117" i="14814"/>
  <c r="V111" i="14814"/>
  <c r="V179" i="14814"/>
  <c r="G678" i="14814"/>
  <c r="G657" i="14814"/>
  <c r="H66" i="14786" a="1"/>
  <c r="H66" i="14786" s="1"/>
  <c r="M31" i="14786"/>
  <c r="X154" i="14786"/>
  <c r="W155" i="14786"/>
  <c r="W154" i="14786"/>
  <c r="X153" i="14786"/>
  <c r="W153" i="14786"/>
  <c r="X155" i="14786"/>
  <c r="M92" i="14786"/>
  <c r="N92" i="14786"/>
  <c r="M89" i="14786"/>
  <c r="M77" i="14786"/>
  <c r="N77" i="14786"/>
  <c r="M88" i="14786"/>
  <c r="M92" i="14852"/>
  <c r="N92" i="14852"/>
  <c r="CK26" i="14809"/>
  <c r="CN4" i="14835"/>
  <c r="BI189" i="14841"/>
  <c r="BI190" i="14841" s="1"/>
  <c r="CK30" i="14809"/>
  <c r="CK20" i="14809"/>
  <c r="W346" i="14814"/>
  <c r="X346" i="14814" s="1"/>
  <c r="W340" i="14814"/>
  <c r="X340" i="14814" s="1"/>
  <c r="W356" i="14814"/>
  <c r="X356" i="14814" s="1"/>
  <c r="W354" i="14814"/>
  <c r="X354" i="14814" s="1"/>
  <c r="W341" i="14814"/>
  <c r="AH341" i="14814" s="1"/>
  <c r="W343" i="14814"/>
  <c r="X343" i="14814" s="1"/>
  <c r="W351" i="14814"/>
  <c r="X351" i="14814" s="1"/>
  <c r="W342" i="14814"/>
  <c r="X342" i="14814" s="1"/>
  <c r="W355" i="14814"/>
  <c r="X355" i="14814" s="1"/>
  <c r="W357" i="14814"/>
  <c r="X357" i="14814" s="1"/>
  <c r="W347" i="14814"/>
  <c r="X347" i="14814" s="1"/>
  <c r="W344" i="14814"/>
  <c r="X344" i="14814" s="1"/>
  <c r="W349" i="14814"/>
  <c r="X349" i="14814" s="1"/>
  <c r="W352" i="14814"/>
  <c r="X352" i="14814" s="1"/>
  <c r="W345" i="14814"/>
  <c r="X345" i="14814" s="1"/>
  <c r="W348" i="14814"/>
  <c r="X348" i="14814" s="1"/>
  <c r="W358" i="14814"/>
  <c r="X358" i="14814" s="1"/>
  <c r="W362" i="14814"/>
  <c r="X362" i="14814" s="1"/>
  <c r="W353" i="14814"/>
  <c r="X353" i="14814" s="1"/>
  <c r="W359" i="14814"/>
  <c r="X359" i="14814" s="1"/>
  <c r="AH339" i="14814"/>
  <c r="X339" i="14814"/>
  <c r="W360" i="14814"/>
  <c r="AH360" i="14814" s="1"/>
  <c r="W361" i="14814"/>
  <c r="X361" i="14814" s="1"/>
  <c r="W350" i="14814"/>
  <c r="X350" i="14814" s="1"/>
  <c r="M10" i="14786"/>
  <c r="M56" i="14786"/>
  <c r="H239" i="14814"/>
  <c r="F653" i="14814"/>
  <c r="F666" i="14814"/>
  <c r="B27" i="14835"/>
  <c r="F664" i="14814"/>
  <c r="F655" i="14814"/>
  <c r="F648" i="14814"/>
  <c r="F669" i="14814"/>
  <c r="F643" i="14814"/>
  <c r="F659" i="14814"/>
  <c r="F668" i="14814"/>
  <c r="F663" i="14814"/>
  <c r="F645" i="14814"/>
  <c r="F654" i="14814"/>
  <c r="F649" i="14814"/>
  <c r="F646" i="14814"/>
  <c r="F667" i="14814"/>
  <c r="F644" i="14814"/>
  <c r="F662" i="14814"/>
  <c r="F652" i="14814"/>
  <c r="F656" i="14814"/>
  <c r="F661" i="14814"/>
  <c r="F657" i="14814"/>
  <c r="F670" i="14814"/>
  <c r="F660" i="14814"/>
  <c r="F651" i="14814"/>
  <c r="F650" i="14814"/>
  <c r="F658" i="14814"/>
  <c r="F665" i="14814"/>
  <c r="GK8" i="14835"/>
  <c r="DP29" i="14835"/>
  <c r="GC8" i="14835"/>
  <c r="DH29" i="14835"/>
  <c r="AD7" i="14836"/>
  <c r="DM23" i="14835"/>
  <c r="GI8" i="14835"/>
  <c r="DN29" i="14835"/>
  <c r="GJ5" i="14835"/>
  <c r="DO25" i="14835"/>
  <c r="GF5" i="14835"/>
  <c r="DK25" i="14835"/>
  <c r="CK14" i="14835"/>
  <c r="DK28" i="14835"/>
  <c r="FZ8" i="14835"/>
  <c r="DE29" i="14835"/>
  <c r="GF8" i="14835"/>
  <c r="DK29" i="14835"/>
  <c r="GI5" i="14835"/>
  <c r="DN25" i="14835"/>
  <c r="FZ5" i="14835"/>
  <c r="DE25" i="14835"/>
  <c r="GB3" i="14835"/>
  <c r="DG27" i="14835"/>
  <c r="AB10" i="14836"/>
  <c r="DK26" i="14835"/>
  <c r="GH6" i="14835"/>
  <c r="DM26" i="14835"/>
  <c r="Y6" i="14836"/>
  <c r="DH24" i="14835"/>
  <c r="U10" i="14836"/>
  <c r="DD26" i="14835"/>
  <c r="AE10" i="14836"/>
  <c r="DN26" i="14835"/>
  <c r="GC7" i="14835"/>
  <c r="HB70" i="14835" s="1"/>
  <c r="HB71" i="14835" s="1"/>
  <c r="DH23" i="14835"/>
  <c r="AC7" i="14836"/>
  <c r="DL23" i="14835"/>
  <c r="GF9" i="14835"/>
  <c r="DK24" i="14835"/>
  <c r="GB8" i="14835"/>
  <c r="DG29" i="14835"/>
  <c r="AG10" i="14836"/>
  <c r="DP26" i="14835"/>
  <c r="Y10" i="14836"/>
  <c r="DH26" i="14835"/>
  <c r="AG9" i="14836"/>
  <c r="DP25" i="14835"/>
  <c r="GE5" i="14835"/>
  <c r="DJ25" i="14835"/>
  <c r="W9" i="14836"/>
  <c r="DF25" i="14835"/>
  <c r="GA8" i="14835"/>
  <c r="DF29" i="14835"/>
  <c r="GE6" i="14835"/>
  <c r="DJ26" i="14835"/>
  <c r="AC10" i="14836"/>
  <c r="DL26" i="14835"/>
  <c r="AF10" i="14836"/>
  <c r="DO26" i="14835"/>
  <c r="GD7" i="14835"/>
  <c r="HC70" i="14835" s="1"/>
  <c r="HC71" i="14835" s="1"/>
  <c r="DI23" i="14835"/>
  <c r="AF6" i="14836"/>
  <c r="DO24" i="14835"/>
  <c r="X9" i="14836"/>
  <c r="DG25" i="14835"/>
  <c r="GG5" i="14835"/>
  <c r="DL25" i="14835"/>
  <c r="CL14" i="14835"/>
  <c r="DL28" i="14835"/>
  <c r="AA14" i="14836"/>
  <c r="H62" i="14836" s="1"/>
  <c r="DJ28" i="14835"/>
  <c r="CP15" i="14835"/>
  <c r="DP28" i="14835"/>
  <c r="GJ8" i="14835"/>
  <c r="DO29" i="14835"/>
  <c r="GD8" i="14835"/>
  <c r="DI29" i="14835"/>
  <c r="AF14" i="14836"/>
  <c r="DO28" i="14835"/>
  <c r="Z13" i="14836"/>
  <c r="DI27" i="14835"/>
  <c r="GC5" i="14835"/>
  <c r="DH25" i="14835"/>
  <c r="W10" i="14836"/>
  <c r="DF26" i="14835"/>
  <c r="GK9" i="14835"/>
  <c r="DP24" i="14835"/>
  <c r="V10" i="14836"/>
  <c r="DE26" i="14835"/>
  <c r="GI9" i="14835"/>
  <c r="DN24" i="14835"/>
  <c r="GJ7" i="14835"/>
  <c r="HI70" i="14835" s="1"/>
  <c r="HI71" i="14835" s="1"/>
  <c r="DO23" i="14835"/>
  <c r="AG7" i="14836"/>
  <c r="DP23" i="14835"/>
  <c r="U7" i="14836"/>
  <c r="DD23" i="14835"/>
  <c r="Y14" i="14836"/>
  <c r="G62" i="14836" s="1"/>
  <c r="DH28" i="14835"/>
  <c r="CM15" i="14835"/>
  <c r="DM28" i="14835"/>
  <c r="GE8" i="14835"/>
  <c r="DJ29" i="14835"/>
  <c r="GD6" i="14835"/>
  <c r="DI26" i="14835"/>
  <c r="GE9" i="14835"/>
  <c r="DJ24" i="14835"/>
  <c r="Z6" i="14836"/>
  <c r="DI24" i="14835"/>
  <c r="GG9" i="14835"/>
  <c r="DL24" i="14835"/>
  <c r="X10" i="14836"/>
  <c r="DG26" i="14835"/>
  <c r="FY5" i="14835"/>
  <c r="DD25" i="14835"/>
  <c r="GD5" i="14835"/>
  <c r="DI25" i="14835"/>
  <c r="AE14" i="14836"/>
  <c r="K62" i="14836" s="1"/>
  <c r="DN28" i="14835"/>
  <c r="W14" i="14836"/>
  <c r="E62" i="14836" s="1"/>
  <c r="DF28" i="14835"/>
  <c r="AA7" i="14836"/>
  <c r="DJ23" i="14835"/>
  <c r="X7" i="14836"/>
  <c r="DG23" i="14835"/>
  <c r="GH8" i="14835"/>
  <c r="DM29" i="14835"/>
  <c r="GG8" i="14835"/>
  <c r="DL29" i="14835"/>
  <c r="BJ87" i="14835"/>
  <c r="BJ88" i="14835" s="1"/>
  <c r="DI28" i="14835"/>
  <c r="AE7" i="14836"/>
  <c r="DN23" i="14835"/>
  <c r="GA9" i="14835"/>
  <c r="DF24" i="14835"/>
  <c r="FZ9" i="14835"/>
  <c r="DE24" i="14835"/>
  <c r="GH9" i="14835"/>
  <c r="DM24" i="14835"/>
  <c r="GB9" i="14835"/>
  <c r="DG24" i="14835"/>
  <c r="GA7" i="14835"/>
  <c r="GZ70" i="14835" s="1"/>
  <c r="GZ71" i="14835" s="1"/>
  <c r="DF23" i="14835"/>
  <c r="V7" i="14836"/>
  <c r="DE23" i="14835"/>
  <c r="GF7" i="14835"/>
  <c r="HE70" i="14835" s="1"/>
  <c r="HE71" i="14835" s="1"/>
  <c r="DK23" i="14835"/>
  <c r="FY8" i="14835"/>
  <c r="DD29" i="14835"/>
  <c r="U14" i="14836"/>
  <c r="GJ9" i="14835"/>
  <c r="GC6" i="14835"/>
  <c r="AH7" i="14836"/>
  <c r="AN10" i="14836"/>
  <c r="AC6" i="14836"/>
  <c r="Z7" i="14836"/>
  <c r="B30" i="14815"/>
  <c r="GH7" i="14835"/>
  <c r="HG70" i="14835" s="1"/>
  <c r="HG71" i="14835" s="1"/>
  <c r="GS7" i="14835"/>
  <c r="HR70" i="14835" s="1"/>
  <c r="HR71" i="14835" s="1"/>
  <c r="GB6" i="14835"/>
  <c r="GM9" i="14835"/>
  <c r="GM12" i="14835" s="1"/>
  <c r="HL13" i="14835" s="1"/>
  <c r="HL14" i="14835" s="1"/>
  <c r="AO7" i="14836"/>
  <c r="GP7" i="14835"/>
  <c r="HO70" i="14835" s="1"/>
  <c r="HO71" i="14835" s="1"/>
  <c r="GL12" i="14835"/>
  <c r="HK13" i="14835" s="1"/>
  <c r="HK14" i="14835" s="1"/>
  <c r="M14" i="14786"/>
  <c r="DD9" i="14835"/>
  <c r="AM10" i="14836"/>
  <c r="GK6" i="14835"/>
  <c r="CD14" i="14835"/>
  <c r="FY4" i="14835"/>
  <c r="X6" i="14836"/>
  <c r="AI10" i="14836"/>
  <c r="AE12" i="14835"/>
  <c r="CD15" i="14835"/>
  <c r="BE87" i="14835"/>
  <c r="BE88" i="14835" s="1"/>
  <c r="BE90" i="14835"/>
  <c r="V6" i="14836"/>
  <c r="GI7" i="14835"/>
  <c r="HH70" i="14835" s="1"/>
  <c r="HH71" i="14835" s="1"/>
  <c r="W6" i="14836"/>
  <c r="GM3" i="14835"/>
  <c r="AN10" i="14835"/>
  <c r="CM8" i="14835" s="1"/>
  <c r="GE4" i="14835"/>
  <c r="AJ7" i="14836"/>
  <c r="AD6" i="14836"/>
  <c r="GO6" i="14835"/>
  <c r="B18" i="14835"/>
  <c r="B18" i="14850"/>
  <c r="B18" i="14841"/>
  <c r="AN7" i="14836"/>
  <c r="CH6" i="14841"/>
  <c r="BI119" i="14841" s="1"/>
  <c r="GK7" i="14835"/>
  <c r="CX15" i="14835"/>
  <c r="GS4" i="14835"/>
  <c r="U9" i="14836"/>
  <c r="CK15" i="14835"/>
  <c r="BY90" i="14835"/>
  <c r="BS90" i="14841"/>
  <c r="FT15" i="14835"/>
  <c r="AO14" i="14836"/>
  <c r="AB6" i="14836"/>
  <c r="GG7" i="14835"/>
  <c r="AV12" i="14841"/>
  <c r="CD14" i="14841"/>
  <c r="BE87" i="14841"/>
  <c r="BE88" i="14841" s="1"/>
  <c r="AE12" i="14841"/>
  <c r="BE90" i="14841"/>
  <c r="CD15" i="14841"/>
  <c r="B21" i="14825"/>
  <c r="B21" i="14815"/>
  <c r="B22" i="14843"/>
  <c r="V22" i="14843" s="1"/>
  <c r="B22" i="14826"/>
  <c r="AB22" i="14826" s="1"/>
  <c r="B21" i="14824"/>
  <c r="GK5" i="14835"/>
  <c r="FZ7" i="14835"/>
  <c r="GY70" i="14835" s="1"/>
  <c r="GY71" i="14835" s="1"/>
  <c r="BH87" i="14841"/>
  <c r="BH88" i="14841" s="1"/>
  <c r="AH6" i="14836"/>
  <c r="AI7" i="14836"/>
  <c r="BV90" i="14841"/>
  <c r="GS5" i="14835"/>
  <c r="DD9" i="14841"/>
  <c r="B31" i="14843"/>
  <c r="B73" i="14843" s="1"/>
  <c r="B27" i="14841"/>
  <c r="B27" i="14850"/>
  <c r="B30" i="14825"/>
  <c r="B27" i="14851"/>
  <c r="B30" i="14824"/>
  <c r="CK21" i="14809"/>
  <c r="O26" i="14786"/>
  <c r="G29" i="14842" s="1"/>
  <c r="M12" i="14786"/>
  <c r="H62" i="14786" a="1"/>
  <c r="H62" i="14786" s="1"/>
  <c r="D37" i="14842" s="1"/>
  <c r="H63" i="14786" a="1"/>
  <c r="H63" i="14786" s="1"/>
  <c r="CK15" i="14841"/>
  <c r="AM12" i="14841"/>
  <c r="W7" i="14836"/>
  <c r="Y9" i="14836"/>
  <c r="AW12" i="14841"/>
  <c r="AB7" i="14836"/>
  <c r="CG14" i="14841"/>
  <c r="CU14" i="14841"/>
  <c r="AM6" i="14836"/>
  <c r="AL12" i="14841"/>
  <c r="BI90" i="14835"/>
  <c r="AE6" i="14836"/>
  <c r="AH12" i="14841"/>
  <c r="AD14" i="14836"/>
  <c r="J62" i="14836" s="1"/>
  <c r="FZ6" i="14835"/>
  <c r="GP9" i="14835"/>
  <c r="GO7" i="14835"/>
  <c r="HN70" i="14835" s="1"/>
  <c r="HN71" i="14835" s="1"/>
  <c r="AE10" i="14835"/>
  <c r="FY7" i="14835"/>
  <c r="AJ6" i="14836"/>
  <c r="CK14" i="14841"/>
  <c r="BN87" i="14835"/>
  <c r="BN88" i="14835" s="1"/>
  <c r="DM9" i="14835"/>
  <c r="AS12" i="14841"/>
  <c r="AG6" i="14836"/>
  <c r="AO10" i="14836"/>
  <c r="GA6" i="14835"/>
  <c r="AT12" i="14841"/>
  <c r="AF7" i="14836"/>
  <c r="AL10" i="14835"/>
  <c r="CK8" i="14835" s="1"/>
  <c r="CK9" i="14835" s="1"/>
  <c r="CK10" i="14835" s="1"/>
  <c r="BL62" i="14835" s="1"/>
  <c r="CM14" i="14835"/>
  <c r="GN6" i="14835"/>
  <c r="GH4" i="14835"/>
  <c r="AV10" i="14835"/>
  <c r="CU8" i="14835" s="1"/>
  <c r="CU9" i="14835" s="1"/>
  <c r="CU10" i="14835" s="1"/>
  <c r="BV62" i="14835" s="1"/>
  <c r="BV63" i="14835" s="1"/>
  <c r="AQ12" i="14841"/>
  <c r="AG12" i="14841"/>
  <c r="GD9" i="14835"/>
  <c r="AM10" i="14835"/>
  <c r="CL8" i="14835" s="1"/>
  <c r="CL9" i="14835" s="1"/>
  <c r="CL10" i="14835" s="1"/>
  <c r="BM62" i="14835" s="1"/>
  <c r="BM63" i="14835" s="1"/>
  <c r="AS10" i="14835"/>
  <c r="BS37" i="14835" s="1"/>
  <c r="BS38" i="14835" s="1"/>
  <c r="BG87" i="14835"/>
  <c r="BG88" i="14835" s="1"/>
  <c r="FY6" i="14835"/>
  <c r="Y7" i="14836"/>
  <c r="AI17" i="14841"/>
  <c r="AN12" i="14841"/>
  <c r="AJ10" i="14835"/>
  <c r="CI8" i="14835" s="1"/>
  <c r="CI9" i="14835" s="1"/>
  <c r="CI10" i="14835" s="1"/>
  <c r="BJ62" i="14835" s="1"/>
  <c r="BJ63" i="14835" s="1"/>
  <c r="AG10" i="14835"/>
  <c r="BG37" i="14835" s="1"/>
  <c r="BG38" i="14835" s="1"/>
  <c r="BR90" i="14841"/>
  <c r="GC9" i="14835"/>
  <c r="AI12" i="14841"/>
  <c r="GL11" i="14835"/>
  <c r="FM28" i="14835" s="1"/>
  <c r="U65" i="14814"/>
  <c r="M179" i="14786"/>
  <c r="N179" i="14786" s="1"/>
  <c r="M185" i="14786"/>
  <c r="O185" i="14786" s="1"/>
  <c r="M115" i="14786"/>
  <c r="N80" i="14786"/>
  <c r="M61" i="14786"/>
  <c r="M190" i="14786"/>
  <c r="N117" i="14786"/>
  <c r="M87" i="14786"/>
  <c r="M34" i="14786"/>
  <c r="D35" i="14822" s="1"/>
  <c r="O136" i="14786"/>
  <c r="O137" i="14786" s="1"/>
  <c r="M130" i="14786"/>
  <c r="E138" i="14786"/>
  <c r="H67" i="14786" a="1"/>
  <c r="H67" i="14786" s="1"/>
  <c r="L275" i="14814" s="1"/>
  <c r="AI32" i="14843"/>
  <c r="AD32" i="14843"/>
  <c r="AE32" i="14843" s="1"/>
  <c r="AI43" i="14843"/>
  <c r="AD43" i="14843"/>
  <c r="AE43" i="14843" s="1"/>
  <c r="AI36" i="14843"/>
  <c r="AD36" i="14843"/>
  <c r="AE36" i="14843" s="1"/>
  <c r="AI11" i="14843"/>
  <c r="AD11" i="14843"/>
  <c r="AE11" i="14843" s="1"/>
  <c r="AI48" i="14843"/>
  <c r="AD48" i="14843"/>
  <c r="AE48" i="14843" s="1"/>
  <c r="AI44" i="14843"/>
  <c r="AD44" i="14843"/>
  <c r="AE44" i="14843" s="1"/>
  <c r="AI39" i="14843"/>
  <c r="AD39" i="14843"/>
  <c r="AE39" i="14843" s="1"/>
  <c r="AI27" i="14843"/>
  <c r="AD27" i="14843"/>
  <c r="AE27" i="14843" s="1"/>
  <c r="AI18" i="14843"/>
  <c r="AD18" i="14843"/>
  <c r="AE18" i="14843" s="1"/>
  <c r="AI15" i="14843"/>
  <c r="AD15" i="14843"/>
  <c r="AE15" i="14843" s="1"/>
  <c r="AI37" i="14843"/>
  <c r="AD37" i="14843"/>
  <c r="AE37" i="14843" s="1"/>
  <c r="AI8" i="14843"/>
  <c r="AD8" i="14843"/>
  <c r="AE8" i="14843" s="1"/>
  <c r="AI9" i="14843"/>
  <c r="AD9" i="14843"/>
  <c r="AE9" i="14843" s="1"/>
  <c r="AI51" i="14843"/>
  <c r="AD51" i="14843"/>
  <c r="AE51" i="14843" s="1"/>
  <c r="O18" i="14786"/>
  <c r="AI46" i="14843"/>
  <c r="AD46" i="14843"/>
  <c r="AE46" i="14843" s="1"/>
  <c r="AI47" i="14843"/>
  <c r="AD47" i="14843"/>
  <c r="AE47" i="14843" s="1"/>
  <c r="AI29" i="14843"/>
  <c r="AD29" i="14843"/>
  <c r="AE29" i="14843" s="1"/>
  <c r="AI24" i="14843"/>
  <c r="AD24" i="14843"/>
  <c r="AE24" i="14843" s="1"/>
  <c r="M135" i="14786"/>
  <c r="AI20" i="14843"/>
  <c r="AD20" i="14843"/>
  <c r="AE20" i="14843" s="1"/>
  <c r="AI12" i="14843"/>
  <c r="AD12" i="14843"/>
  <c r="AE12" i="14843" s="1"/>
  <c r="AI49" i="14843"/>
  <c r="AD49" i="14843"/>
  <c r="AE49" i="14843" s="1"/>
  <c r="AI19" i="14843"/>
  <c r="AD19" i="14843"/>
  <c r="AE19" i="14843" s="1"/>
  <c r="AI35" i="14843"/>
  <c r="AD35" i="14843"/>
  <c r="AE35" i="14843" s="1"/>
  <c r="AI33" i="14843"/>
  <c r="AD33" i="14843"/>
  <c r="AE33" i="14843" s="1"/>
  <c r="AI22" i="14843"/>
  <c r="AD22" i="14843"/>
  <c r="AE22" i="14843" s="1"/>
  <c r="AI45" i="14843"/>
  <c r="AD45" i="14843"/>
  <c r="AE45" i="14843" s="1"/>
  <c r="O80" i="14786"/>
  <c r="AI23" i="14843"/>
  <c r="AD23" i="14843"/>
  <c r="AE23" i="14843" s="1"/>
  <c r="AI13" i="14843"/>
  <c r="AD13" i="14843"/>
  <c r="AE13" i="14843" s="1"/>
  <c r="M194" i="14786"/>
  <c r="N78" i="14786"/>
  <c r="E155" i="14814" s="1"/>
  <c r="E158" i="14814" s="1"/>
  <c r="AI17" i="14843"/>
  <c r="AD17" i="14843"/>
  <c r="AE17" i="14843" s="1"/>
  <c r="AI10" i="14843"/>
  <c r="AD10" i="14843"/>
  <c r="AE10" i="14843" s="1"/>
  <c r="AI21" i="14843"/>
  <c r="AD21" i="14843"/>
  <c r="AE21" i="14843" s="1"/>
  <c r="AI41" i="14843"/>
  <c r="AD41" i="14843"/>
  <c r="AE41" i="14843" s="1"/>
  <c r="AI14" i="14843"/>
  <c r="AD14" i="14843"/>
  <c r="AE14" i="14843" s="1"/>
  <c r="AI34" i="14843"/>
  <c r="AD34" i="14843"/>
  <c r="AE34" i="14843" s="1"/>
  <c r="AI40" i="14843"/>
  <c r="AD40" i="14843"/>
  <c r="AE40" i="14843" s="1"/>
  <c r="AI28" i="14843"/>
  <c r="AD28" i="14843"/>
  <c r="AE28" i="14843" s="1"/>
  <c r="AI16" i="14843"/>
  <c r="AD16" i="14843"/>
  <c r="AE16" i="14843" s="1"/>
  <c r="AI31" i="14843"/>
  <c r="AD31" i="14843"/>
  <c r="AE31" i="14843" s="1"/>
  <c r="AI26" i="14843"/>
  <c r="AD26" i="14843"/>
  <c r="AE26" i="14843" s="1"/>
  <c r="AI38" i="14843"/>
  <c r="AD38" i="14843"/>
  <c r="AE38" i="14843" s="1"/>
  <c r="AI25" i="14843"/>
  <c r="AD25" i="14843"/>
  <c r="AE25" i="14843" s="1"/>
  <c r="AI30" i="14843"/>
  <c r="AD30" i="14843"/>
  <c r="AE30" i="14843" s="1"/>
  <c r="AL30" i="14843" s="1"/>
  <c r="B72" i="14843"/>
  <c r="V25" i="14843"/>
  <c r="B61" i="14843"/>
  <c r="V20" i="14843"/>
  <c r="B71" i="14843"/>
  <c r="V13" i="14843"/>
  <c r="B67" i="14843"/>
  <c r="V37" i="14843"/>
  <c r="B66" i="14843"/>
  <c r="V36" i="14843"/>
  <c r="B60" i="14843"/>
  <c r="V15" i="14843"/>
  <c r="B58" i="14843"/>
  <c r="V7" i="14843"/>
  <c r="B59" i="14843"/>
  <c r="V11" i="14843"/>
  <c r="B68" i="14843"/>
  <c r="V39" i="14843"/>
  <c r="B64" i="14843"/>
  <c r="V30" i="14843"/>
  <c r="B65" i="14843"/>
  <c r="V34" i="14843"/>
  <c r="B62" i="14843"/>
  <c r="V23" i="14843"/>
  <c r="E935" i="14814"/>
  <c r="U68" i="14814"/>
  <c r="AD66" i="14814"/>
  <c r="CK29" i="14809"/>
  <c r="CK40" i="14809"/>
  <c r="CK22" i="14809"/>
  <c r="CK12" i="14809"/>
  <c r="F540" i="14814"/>
  <c r="AD64" i="14814"/>
  <c r="F516" i="14814"/>
  <c r="AD63" i="14814"/>
  <c r="U64" i="14814"/>
  <c r="U66" i="14814"/>
  <c r="U63" i="14814"/>
  <c r="U67" i="14814"/>
  <c r="F444" i="14814"/>
  <c r="AD85" i="14814"/>
  <c r="G700" i="14814"/>
  <c r="AD67" i="14814"/>
  <c r="U86" i="14814"/>
  <c r="G682" i="14814"/>
  <c r="U85" i="14814"/>
  <c r="AD68" i="14814"/>
  <c r="AD86" i="14814"/>
  <c r="AD65" i="14814"/>
  <c r="G687" i="14814"/>
  <c r="G680" i="14814"/>
  <c r="G686" i="14814"/>
  <c r="G694" i="14814"/>
  <c r="G699" i="14814"/>
  <c r="G677" i="14814"/>
  <c r="G691" i="14814"/>
  <c r="G696" i="14814"/>
  <c r="G683" i="14814"/>
  <c r="G695" i="14814"/>
  <c r="G674" i="14814"/>
  <c r="G673" i="14814"/>
  <c r="G685" i="14814"/>
  <c r="G684" i="14814"/>
  <c r="G675" i="14814"/>
  <c r="E669" i="14814"/>
  <c r="G671" i="14814"/>
  <c r="G676" i="14814"/>
  <c r="G701" i="14814"/>
  <c r="G672" i="14814"/>
  <c r="G689" i="14814"/>
  <c r="G681" i="14814"/>
  <c r="G693" i="14814"/>
  <c r="G679" i="14814"/>
  <c r="E732" i="14814"/>
  <c r="E893" i="14814"/>
  <c r="G692" i="14814"/>
  <c r="G697" i="14814"/>
  <c r="G690" i="14814"/>
  <c r="G698" i="14814"/>
  <c r="G688" i="14814"/>
  <c r="E802" i="14814"/>
  <c r="E641" i="14814"/>
  <c r="E837" i="14814"/>
  <c r="E788" i="14814"/>
  <c r="E627" i="14814"/>
  <c r="E879" i="14814"/>
  <c r="E914" i="14814"/>
  <c r="E697" i="14814"/>
  <c r="E753" i="14814"/>
  <c r="E690" i="14814"/>
  <c r="E725" i="14814"/>
  <c r="E662" i="14814"/>
  <c r="E844" i="14814"/>
  <c r="E823" i="14814"/>
  <c r="E676" i="14814"/>
  <c r="E809" i="14814"/>
  <c r="E949" i="14814"/>
  <c r="E921" i="14814"/>
  <c r="E634" i="14814"/>
  <c r="E907" i="14814"/>
  <c r="E760" i="14814"/>
  <c r="E774" i="14814"/>
  <c r="E746" i="14814"/>
  <c r="E900" i="14814"/>
  <c r="E655" i="14814"/>
  <c r="E872" i="14814"/>
  <c r="E718" i="14814"/>
  <c r="E711" i="14814"/>
  <c r="E683" i="14814"/>
  <c r="E648" i="14814"/>
  <c r="E830" i="14814"/>
  <c r="E816" i="14814"/>
  <c r="E956" i="14814"/>
  <c r="E942" i="14814"/>
  <c r="E886" i="14814"/>
  <c r="E781" i="14814"/>
  <c r="E739" i="14814"/>
  <c r="E795" i="14814"/>
  <c r="E613" i="14814"/>
  <c r="E767" i="14814"/>
  <c r="E704" i="14814"/>
  <c r="E928" i="14814"/>
  <c r="E851" i="14814"/>
  <c r="E865" i="14814"/>
  <c r="E963" i="14814"/>
  <c r="E858" i="14814"/>
  <c r="W73" i="14814"/>
  <c r="X84" i="14814"/>
  <c r="V259" i="14814" s="1"/>
  <c r="X72" i="14814"/>
  <c r="V247" i="14814" s="1"/>
  <c r="W86" i="14814"/>
  <c r="Y69" i="14814"/>
  <c r="Y71" i="14814"/>
  <c r="W65" i="14814"/>
  <c r="W80" i="14814"/>
  <c r="W74" i="14814"/>
  <c r="W78" i="14814"/>
  <c r="W72" i="14814"/>
  <c r="Y67" i="14814"/>
  <c r="W77" i="14814"/>
  <c r="Y81" i="14814"/>
  <c r="X76" i="14814"/>
  <c r="V251" i="14814" s="1"/>
  <c r="Y75" i="14814"/>
  <c r="X64" i="14814"/>
  <c r="V239" i="14814" s="1"/>
  <c r="X80" i="14814"/>
  <c r="V255" i="14814" s="1"/>
  <c r="Y78" i="14814"/>
  <c r="W66" i="14814"/>
  <c r="Y85" i="14814"/>
  <c r="Y64" i="14814"/>
  <c r="X83" i="14814"/>
  <c r="V258" i="14814" s="1"/>
  <c r="W75" i="14814"/>
  <c r="X81" i="14814"/>
  <c r="V256" i="14814" s="1"/>
  <c r="Y68" i="14814"/>
  <c r="Y76" i="14814"/>
  <c r="X74" i="14814"/>
  <c r="V249" i="14814" s="1"/>
  <c r="W76" i="14814"/>
  <c r="W84" i="14814"/>
  <c r="W81" i="14814"/>
  <c r="W82" i="14814"/>
  <c r="Y74" i="14814"/>
  <c r="W79" i="14814"/>
  <c r="X67" i="14814"/>
  <c r="V242" i="14814" s="1"/>
  <c r="X82" i="14814"/>
  <c r="V257" i="14814" s="1"/>
  <c r="Y82" i="14814"/>
  <c r="X79" i="14814"/>
  <c r="V254" i="14814" s="1"/>
  <c r="X65" i="14814"/>
  <c r="V240" i="14814" s="1"/>
  <c r="X86" i="14814"/>
  <c r="V261" i="14814" s="1"/>
  <c r="Y84" i="14814"/>
  <c r="X77" i="14814"/>
  <c r="V252" i="14814" s="1"/>
  <c r="W67" i="14814"/>
  <c r="Y73" i="14814"/>
  <c r="X68" i="14814"/>
  <c r="V243" i="14814" s="1"/>
  <c r="Y79" i="14814"/>
  <c r="Y86" i="14814"/>
  <c r="Y83" i="14814"/>
  <c r="X69" i="14814"/>
  <c r="V244" i="14814" s="1"/>
  <c r="W70" i="14814"/>
  <c r="X73" i="14814"/>
  <c r="V248" i="14814" s="1"/>
  <c r="Y72" i="14814"/>
  <c r="W68" i="14814"/>
  <c r="W69" i="14814"/>
  <c r="W71" i="14814"/>
  <c r="X75" i="14814"/>
  <c r="V250" i="14814" s="1"/>
  <c r="Y80" i="14814"/>
  <c r="X78" i="14814"/>
  <c r="V253" i="14814" s="1"/>
  <c r="X70" i="14814"/>
  <c r="V245" i="14814" s="1"/>
  <c r="X85" i="14814"/>
  <c r="V260" i="14814" s="1"/>
  <c r="W83" i="14814"/>
  <c r="Y70" i="14814"/>
  <c r="X71" i="14814"/>
  <c r="V246" i="14814" s="1"/>
  <c r="Y65" i="14814"/>
  <c r="Y66" i="14814"/>
  <c r="W85" i="14814"/>
  <c r="X66" i="14814"/>
  <c r="V241" i="14814" s="1"/>
  <c r="Y77" i="14814"/>
  <c r="F396" i="14814"/>
  <c r="F492" i="14814"/>
  <c r="F468" i="14814"/>
  <c r="AF49" i="14835"/>
  <c r="AF63" i="14835"/>
  <c r="AG35" i="14835"/>
  <c r="GY10" i="14835"/>
  <c r="GY11" i="14835" s="1"/>
  <c r="FZ10" i="14835"/>
  <c r="CK11" i="14809"/>
  <c r="GO11" i="14809"/>
  <c r="N18" i="14786"/>
  <c r="N19" i="14786"/>
  <c r="CK13" i="14809"/>
  <c r="CK24" i="14809"/>
  <c r="CK14" i="14809"/>
  <c r="AF12" i="14841"/>
  <c r="DN14" i="14835"/>
  <c r="BO190" i="14835"/>
  <c r="BO191" i="14835" s="1"/>
  <c r="FN26" i="14841"/>
  <c r="FN10" i="14841"/>
  <c r="FN11" i="14841" s="1"/>
  <c r="FL10" i="14841"/>
  <c r="FL11" i="14841" s="1"/>
  <c r="FL26" i="14841"/>
  <c r="G644" i="14814"/>
  <c r="G670" i="14814"/>
  <c r="G650" i="14814"/>
  <c r="G659" i="14814"/>
  <c r="G653" i="14814"/>
  <c r="G654" i="14814"/>
  <c r="G656" i="14814"/>
  <c r="G669" i="14814"/>
  <c r="G663" i="14814"/>
  <c r="G643" i="14814"/>
  <c r="G666" i="14814"/>
  <c r="G664" i="14814"/>
  <c r="G658" i="14814"/>
  <c r="G665" i="14814"/>
  <c r="G668" i="14814"/>
  <c r="G667" i="14814"/>
  <c r="G651" i="14814"/>
  <c r="G660" i="14814"/>
  <c r="G649" i="14814"/>
  <c r="G652" i="14814"/>
  <c r="G648" i="14814"/>
  <c r="G661" i="14814"/>
  <c r="G655" i="14814"/>
  <c r="G662" i="14814"/>
  <c r="G647" i="14814"/>
  <c r="G646" i="14814"/>
  <c r="G645" i="14814"/>
  <c r="N27" i="14786"/>
  <c r="O19" i="14786"/>
  <c r="M114" i="14786"/>
  <c r="M78" i="14786"/>
  <c r="F270" i="14786" s="1"/>
  <c r="M140" i="14786"/>
  <c r="M118" i="14786"/>
  <c r="M41" i="14786"/>
  <c r="M8" i="14786"/>
  <c r="D6" i="14842" s="1"/>
  <c r="M99" i="14786"/>
  <c r="M36" i="14786"/>
  <c r="M165" i="14786" s="1"/>
  <c r="N165" i="14786" s="1"/>
  <c r="M134" i="14786"/>
  <c r="M42" i="14786"/>
  <c r="M40" i="14786"/>
  <c r="N163" i="14786"/>
  <c r="M27" i="14786"/>
  <c r="M186" i="14786"/>
  <c r="D34" i="14842" s="1"/>
  <c r="M191" i="14786"/>
  <c r="M139" i="14786"/>
  <c r="M68" i="14786"/>
  <c r="M275" i="14814" s="1"/>
  <c r="O163" i="14786"/>
  <c r="M163" i="14786"/>
  <c r="M79" i="14786"/>
  <c r="O135" i="14786"/>
  <c r="M19" i="14786"/>
  <c r="M60" i="14786"/>
  <c r="M33" i="14786"/>
  <c r="M192" i="14786"/>
  <c r="O27" i="14786"/>
  <c r="N139" i="14786"/>
  <c r="M32" i="14786"/>
  <c r="O78" i="14786"/>
  <c r="M18" i="14786"/>
  <c r="M54" i="14786"/>
  <c r="M55" i="14786" s="1"/>
  <c r="M20" i="14786"/>
  <c r="M59" i="14786"/>
  <c r="E275" i="14814" s="1"/>
  <c r="M80" i="14786"/>
  <c r="O139" i="14786"/>
  <c r="M196" i="14814" s="1"/>
  <c r="M133" i="14786"/>
  <c r="M35" i="14786"/>
  <c r="O77" i="14786"/>
  <c r="M26" i="14786"/>
  <c r="N26" i="14786"/>
  <c r="F29" i="14842" s="1"/>
  <c r="M22" i="14786"/>
  <c r="M58" i="14786"/>
  <c r="N140" i="14786"/>
  <c r="O140" i="14786"/>
  <c r="O179" i="14786"/>
  <c r="M28" i="14786"/>
  <c r="M184" i="14786"/>
  <c r="O184" i="14786" s="1"/>
  <c r="M11" i="14786"/>
  <c r="B852" i="14814"/>
  <c r="E852" i="14814" s="1"/>
  <c r="B887" i="14814"/>
  <c r="E887" i="14814" s="1"/>
  <c r="B915" i="14814"/>
  <c r="E915" i="14814" s="1"/>
  <c r="B950" i="14814"/>
  <c r="E950" i="14814" s="1"/>
  <c r="B621" i="14814"/>
  <c r="E621" i="14814" s="1"/>
  <c r="B649" i="14814"/>
  <c r="E649" i="14814" s="1"/>
  <c r="B677" i="14814"/>
  <c r="E677" i="14814" s="1"/>
  <c r="B705" i="14814"/>
  <c r="E705" i="14814" s="1"/>
  <c r="B733" i="14814"/>
  <c r="E733" i="14814" s="1"/>
  <c r="B761" i="14814"/>
  <c r="E761" i="14814" s="1"/>
  <c r="B789" i="14814"/>
  <c r="E789" i="14814" s="1"/>
  <c r="B817" i="14814"/>
  <c r="E817" i="14814" s="1"/>
  <c r="B880" i="14814"/>
  <c r="E880" i="14814" s="1"/>
  <c r="B943" i="14814"/>
  <c r="E943" i="14814" s="1"/>
  <c r="B845" i="14814"/>
  <c r="E845" i="14814" s="1"/>
  <c r="B908" i="14814"/>
  <c r="E908" i="14814" s="1"/>
  <c r="B971" i="14814"/>
  <c r="E971" i="14814" s="1"/>
  <c r="B614" i="14814"/>
  <c r="E614" i="14814" s="1"/>
  <c r="B642" i="14814"/>
  <c r="E642" i="14814" s="1"/>
  <c r="B670" i="14814"/>
  <c r="E670" i="14814" s="1"/>
  <c r="B698" i="14814"/>
  <c r="E698" i="14814" s="1"/>
  <c r="B726" i="14814"/>
  <c r="E726" i="14814" s="1"/>
  <c r="B754" i="14814"/>
  <c r="E754" i="14814" s="1"/>
  <c r="B782" i="14814"/>
  <c r="E782" i="14814" s="1"/>
  <c r="B810" i="14814"/>
  <c r="E810" i="14814" s="1"/>
  <c r="B873" i="14814"/>
  <c r="E873" i="14814" s="1"/>
  <c r="B936" i="14814"/>
  <c r="E936" i="14814" s="1"/>
  <c r="B838" i="14814"/>
  <c r="E838" i="14814" s="1"/>
  <c r="B901" i="14814"/>
  <c r="E901" i="14814" s="1"/>
  <c r="B964" i="14814"/>
  <c r="E964" i="14814" s="1"/>
  <c r="F572" i="14814"/>
  <c r="B635" i="14814"/>
  <c r="E635" i="14814" s="1"/>
  <c r="B663" i="14814"/>
  <c r="E663" i="14814" s="1"/>
  <c r="B691" i="14814"/>
  <c r="E691" i="14814" s="1"/>
  <c r="B719" i="14814"/>
  <c r="E719" i="14814" s="1"/>
  <c r="B747" i="14814"/>
  <c r="E747" i="14814" s="1"/>
  <c r="B775" i="14814"/>
  <c r="E775" i="14814" s="1"/>
  <c r="B803" i="14814"/>
  <c r="E803" i="14814" s="1"/>
  <c r="B866" i="14814"/>
  <c r="E866" i="14814" s="1"/>
  <c r="B929" i="14814"/>
  <c r="E929" i="14814" s="1"/>
  <c r="B831" i="14814"/>
  <c r="E831" i="14814" s="1"/>
  <c r="B894" i="14814"/>
  <c r="E894" i="14814" s="1"/>
  <c r="B957" i="14814"/>
  <c r="E957" i="14814" s="1"/>
  <c r="B628" i="14814"/>
  <c r="E628" i="14814" s="1"/>
  <c r="B656" i="14814"/>
  <c r="E656" i="14814" s="1"/>
  <c r="B684" i="14814"/>
  <c r="E684" i="14814" s="1"/>
  <c r="B712" i="14814"/>
  <c r="E712" i="14814" s="1"/>
  <c r="B740" i="14814"/>
  <c r="E740" i="14814" s="1"/>
  <c r="B768" i="14814"/>
  <c r="E768" i="14814" s="1"/>
  <c r="B796" i="14814"/>
  <c r="E796" i="14814" s="1"/>
  <c r="B824" i="14814"/>
  <c r="E824" i="14814" s="1"/>
  <c r="B859" i="14814"/>
  <c r="E859" i="14814" s="1"/>
  <c r="B922" i="14814"/>
  <c r="E922" i="14814" s="1"/>
  <c r="B65" i="14814"/>
  <c r="C341" i="14814" s="1"/>
  <c r="A66" i="14814"/>
  <c r="E620" i="14814"/>
  <c r="H572" i="14814"/>
  <c r="D572" i="14814"/>
  <c r="A573" i="14814"/>
  <c r="C572" i="14814"/>
  <c r="CK15" i="14809"/>
  <c r="C234" i="14786"/>
  <c r="CK46" i="14809"/>
  <c r="C230" i="14786"/>
  <c r="CK41" i="14809"/>
  <c r="AI10" i="14835"/>
  <c r="DH11" i="14835" s="1"/>
  <c r="CQ15" i="14841"/>
  <c r="AD10" i="14836"/>
  <c r="GS9" i="14835"/>
  <c r="BR87" i="14841"/>
  <c r="BR88" i="14841" s="1"/>
  <c r="GF6" i="14835"/>
  <c r="GI6" i="14835"/>
  <c r="CQ14" i="14841"/>
  <c r="AR12" i="14841"/>
  <c r="AA10" i="14836"/>
  <c r="AZ12" i="14841"/>
  <c r="GO9" i="14835"/>
  <c r="GG6" i="14835"/>
  <c r="GJ6" i="14835"/>
  <c r="Z10" i="14836"/>
  <c r="GT4" i="14841"/>
  <c r="AA6" i="14836"/>
  <c r="GP3" i="14835"/>
  <c r="GR9" i="14835"/>
  <c r="GR11" i="14835" s="1"/>
  <c r="FS28" i="14835" s="1"/>
  <c r="AP12" i="14841"/>
  <c r="GJ4" i="14841"/>
  <c r="AO10" i="14835"/>
  <c r="BO37" i="14835" s="1"/>
  <c r="BO38" i="14835" s="1"/>
  <c r="V9" i="14836"/>
  <c r="FT17" i="14835"/>
  <c r="CO14" i="14841"/>
  <c r="AY10" i="14835"/>
  <c r="CX8" i="14835" s="1"/>
  <c r="CX9" i="14835" s="1"/>
  <c r="CX10" i="14835" s="1"/>
  <c r="BY62" i="14835" s="1"/>
  <c r="BY63" i="14835" s="1"/>
  <c r="AH12" i="14835"/>
  <c r="BP87" i="14841"/>
  <c r="BP88" i="14841" s="1"/>
  <c r="BI87" i="14835"/>
  <c r="BI88" i="14835" s="1"/>
  <c r="FU17" i="14835"/>
  <c r="CH15" i="14835"/>
  <c r="X13" i="14836"/>
  <c r="F41" i="14836" s="1"/>
  <c r="AE9" i="14836"/>
  <c r="AL10" i="14836"/>
  <c r="AF10" i="14835"/>
  <c r="GL6" i="14835"/>
  <c r="GC4" i="14835"/>
  <c r="U6" i="14836"/>
  <c r="FY9" i="14835"/>
  <c r="AH10" i="14835"/>
  <c r="CG8" i="14835" s="1"/>
  <c r="CG9" i="14835" s="1"/>
  <c r="CG10" i="14835" s="1"/>
  <c r="BH62" i="14835" s="1"/>
  <c r="BH63" i="14835" s="1"/>
  <c r="CX15" i="14841"/>
  <c r="GB5" i="14835"/>
  <c r="AX10" i="14835"/>
  <c r="CW8" i="14835" s="1"/>
  <c r="CW9" i="14835" s="1"/>
  <c r="GE7" i="14835"/>
  <c r="GS4" i="14841"/>
  <c r="FT15" i="14841"/>
  <c r="AL10" i="14841"/>
  <c r="CK8" i="14841" s="1"/>
  <c r="CK9" i="14841" s="1"/>
  <c r="CK10" i="14841" s="1"/>
  <c r="BL62" i="14841" s="1"/>
  <c r="AZ17" i="14841"/>
  <c r="AO17" i="14835"/>
  <c r="CX14" i="14841"/>
  <c r="BY90" i="14841"/>
  <c r="AY12" i="14841"/>
  <c r="CN15" i="14841"/>
  <c r="BJ90" i="14835"/>
  <c r="CI14" i="14835"/>
  <c r="GT7" i="14835"/>
  <c r="HS70" i="14835" s="1"/>
  <c r="HS71" i="14835" s="1"/>
  <c r="FT14" i="14841"/>
  <c r="GQ12" i="14841"/>
  <c r="HP13" i="14841" s="1"/>
  <c r="HP14" i="14841" s="1"/>
  <c r="GD4" i="14835"/>
  <c r="AS12" i="14835"/>
  <c r="DI9" i="14835"/>
  <c r="CI15" i="14835"/>
  <c r="Z14" i="14836"/>
  <c r="CJ14" i="14841"/>
  <c r="CS15" i="14835"/>
  <c r="AK12" i="14841"/>
  <c r="AQ10" i="14835"/>
  <c r="DP11" i="14835" s="1"/>
  <c r="BT87" i="14835"/>
  <c r="BT88" i="14835" s="1"/>
  <c r="GN4" i="14835"/>
  <c r="GJ4" i="14835"/>
  <c r="AJ12" i="14835"/>
  <c r="CO15" i="14835"/>
  <c r="GE4" i="14841"/>
  <c r="AJ14" i="14836"/>
  <c r="N62" i="14836" s="1"/>
  <c r="CO14" i="14835"/>
  <c r="BP87" i="14835"/>
  <c r="BP88" i="14835" s="1"/>
  <c r="BM87" i="14835"/>
  <c r="BM88" i="14835" s="1"/>
  <c r="AV12" i="14835"/>
  <c r="CS14" i="14835"/>
  <c r="GD3" i="14835"/>
  <c r="GO11" i="14841"/>
  <c r="AU10" i="14841"/>
  <c r="CT8" i="14841" s="1"/>
  <c r="CT9" i="14841" s="1"/>
  <c r="CT10" i="14841" s="1"/>
  <c r="BU62" i="14841" s="1"/>
  <c r="BU63" i="14841" s="1"/>
  <c r="GR4" i="14835"/>
  <c r="GO12" i="14841"/>
  <c r="HN13" i="14841" s="1"/>
  <c r="HN14" i="14841" s="1"/>
  <c r="GN11" i="14835"/>
  <c r="CJ15" i="14835"/>
  <c r="GN12" i="14835"/>
  <c r="HM13" i="14835" s="1"/>
  <c r="HM14" i="14835" s="1"/>
  <c r="GN5" i="14835"/>
  <c r="GQ7" i="14835"/>
  <c r="HP70" i="14835" s="1"/>
  <c r="HP71" i="14835" s="1"/>
  <c r="GA4" i="14835"/>
  <c r="CJ14" i="14835"/>
  <c r="CH14" i="14841"/>
  <c r="GA5" i="14835"/>
  <c r="AF9" i="14836"/>
  <c r="AT10" i="14835"/>
  <c r="BT37" i="14835" s="1"/>
  <c r="BT38" i="14835" s="1"/>
  <c r="BI90" i="14841"/>
  <c r="AP10" i="14835"/>
  <c r="BP37" i="14835" s="1"/>
  <c r="BP38" i="14835" s="1"/>
  <c r="AW10" i="14835"/>
  <c r="BW37" i="14835" s="1"/>
  <c r="BW38" i="14835" s="1"/>
  <c r="CU15" i="14835"/>
  <c r="FY12" i="14841"/>
  <c r="GX13" i="14841" s="1"/>
  <c r="BU90" i="14841"/>
  <c r="AO10" i="14841"/>
  <c r="BO37" i="14841" s="1"/>
  <c r="BO38" i="14841" s="1"/>
  <c r="BO87" i="14835"/>
  <c r="BO88" i="14835" s="1"/>
  <c r="GI4" i="14835"/>
  <c r="GI12" i="14841"/>
  <c r="HH13" i="14841" s="1"/>
  <c r="HH14" i="14841" s="1"/>
  <c r="GG4" i="14835"/>
  <c r="BM90" i="14835"/>
  <c r="DH9" i="14835"/>
  <c r="AL14" i="14836"/>
  <c r="P62" i="14836" s="1"/>
  <c r="FU14" i="14841"/>
  <c r="AK10" i="14841"/>
  <c r="CJ8" i="14841" s="1"/>
  <c r="CJ9" i="14841" s="1"/>
  <c r="AC14" i="14836"/>
  <c r="GB7" i="14835"/>
  <c r="AI10" i="14841"/>
  <c r="BI37" i="14841" s="1"/>
  <c r="BI38" i="14841" s="1"/>
  <c r="GK4" i="14835"/>
  <c r="BV87" i="14835"/>
  <c r="BV88" i="14835" s="1"/>
  <c r="CN15" i="14835"/>
  <c r="AZ17" i="14835"/>
  <c r="DP9" i="14835"/>
  <c r="FU15" i="14835"/>
  <c r="AO12" i="14841"/>
  <c r="AK10" i="14835"/>
  <c r="CJ8" i="14835" s="1"/>
  <c r="CJ9" i="14835" s="1"/>
  <c r="CJ10" i="14835" s="1"/>
  <c r="BK62" i="14835" s="1"/>
  <c r="AG14" i="14836"/>
  <c r="L62" i="14836" s="1"/>
  <c r="CT15" i="14841"/>
  <c r="CL15" i="14835"/>
  <c r="BQ90" i="14835"/>
  <c r="BO87" i="14841"/>
  <c r="BO88" i="14841" s="1"/>
  <c r="BU87" i="14841"/>
  <c r="BU88" i="14841" s="1"/>
  <c r="CT14" i="14841"/>
  <c r="CP14" i="14835"/>
  <c r="CN14" i="14835"/>
  <c r="GR5" i="14835"/>
  <c r="DN9" i="14835"/>
  <c r="BQ87" i="14835"/>
  <c r="BQ88" i="14835" s="1"/>
  <c r="AU12" i="14841"/>
  <c r="CH14" i="14835"/>
  <c r="AA9" i="14836"/>
  <c r="BU90" i="14835"/>
  <c r="CT15" i="14835"/>
  <c r="BU87" i="14835"/>
  <c r="BU88" i="14835" s="1"/>
  <c r="CT14" i="14835"/>
  <c r="AK14" i="14836"/>
  <c r="O62" i="14836" s="1"/>
  <c r="GO4" i="14835"/>
  <c r="GM4" i="14835"/>
  <c r="BS90" i="14835"/>
  <c r="CR14" i="14835"/>
  <c r="BS87" i="14835"/>
  <c r="BS88" i="14835" s="1"/>
  <c r="AI14" i="14836"/>
  <c r="CR15" i="14835"/>
  <c r="BX87" i="14835"/>
  <c r="BX88" i="14835" s="1"/>
  <c r="BX90" i="14835"/>
  <c r="AN14" i="14836"/>
  <c r="CW14" i="14835"/>
  <c r="CR15" i="14841"/>
  <c r="CR14" i="14841"/>
  <c r="BS87" i="14841"/>
  <c r="BS88" i="14841" s="1"/>
  <c r="GB4" i="14841"/>
  <c r="CG15" i="14841"/>
  <c r="DH9" i="14841"/>
  <c r="BI87" i="14841"/>
  <c r="BI88" i="14841" s="1"/>
  <c r="CH15" i="14841"/>
  <c r="BQ90" i="14841"/>
  <c r="DP9" i="14841"/>
  <c r="CP15" i="14841"/>
  <c r="CP14" i="14841"/>
  <c r="GK4" i="14841"/>
  <c r="GK11" i="14841" s="1"/>
  <c r="FL28" i="14841" s="1"/>
  <c r="BQ87" i="14841"/>
  <c r="BQ88" i="14841" s="1"/>
  <c r="BM87" i="14841"/>
  <c r="BM88" i="14841" s="1"/>
  <c r="BM90" i="14841"/>
  <c r="CL14" i="14841"/>
  <c r="CL15" i="14841"/>
  <c r="GG4" i="14841"/>
  <c r="GG11" i="14841" s="1"/>
  <c r="FH28" i="14841" s="1"/>
  <c r="V14" i="14836"/>
  <c r="D62" i="14836" s="1"/>
  <c r="FZ4" i="14835"/>
  <c r="CW15" i="14841"/>
  <c r="GR4" i="14841"/>
  <c r="GR11" i="14841" s="1"/>
  <c r="FS28" i="14841" s="1"/>
  <c r="CW14" i="14841"/>
  <c r="BX87" i="14841"/>
  <c r="BX88" i="14841" s="1"/>
  <c r="BX90" i="14841"/>
  <c r="DI9" i="14841"/>
  <c r="BJ87" i="14841"/>
  <c r="BJ88" i="14841" s="1"/>
  <c r="BJ90" i="14841"/>
  <c r="CI15" i="14841"/>
  <c r="GD4" i="14841"/>
  <c r="GD11" i="14841" s="1"/>
  <c r="FE28" i="14841" s="1"/>
  <c r="AJ12" i="14841"/>
  <c r="CI14" i="14841"/>
  <c r="GI4" i="14841"/>
  <c r="GI11" i="14841" s="1"/>
  <c r="FJ28" i="14841" s="1"/>
  <c r="DN9" i="14841"/>
  <c r="CQ14" i="14835"/>
  <c r="GL4" i="14835"/>
  <c r="CQ15" i="14835"/>
  <c r="BR90" i="14835"/>
  <c r="BR87" i="14835"/>
  <c r="BR88" i="14835" s="1"/>
  <c r="AH14" i="14836"/>
  <c r="M62" i="14836" s="1"/>
  <c r="GP4" i="14835"/>
  <c r="CU14" i="14835"/>
  <c r="BW90" i="14835"/>
  <c r="GQ4" i="14835"/>
  <c r="AM14" i="14836"/>
  <c r="Q62" i="14836" s="1"/>
  <c r="CV14" i="14835"/>
  <c r="CV15" i="14835"/>
  <c r="BW87" i="14835"/>
  <c r="BW88" i="14835" s="1"/>
  <c r="CV14" i="14841"/>
  <c r="CV15" i="14841"/>
  <c r="GQ4" i="14841"/>
  <c r="GQ11" i="14841" s="1"/>
  <c r="FR28" i="14841" s="1"/>
  <c r="BW90" i="14841"/>
  <c r="BW87" i="14841"/>
  <c r="BW88" i="14841" s="1"/>
  <c r="X14" i="14836"/>
  <c r="F62" i="14836" s="1"/>
  <c r="CG14" i="14835"/>
  <c r="BH87" i="14835"/>
  <c r="BH88" i="14835" s="1"/>
  <c r="GB4" i="14835"/>
  <c r="BH90" i="14835"/>
  <c r="CG15" i="14835"/>
  <c r="AX12" i="14841"/>
  <c r="AB14" i="14836"/>
  <c r="I62" i="14836" s="1"/>
  <c r="GF4" i="14835"/>
  <c r="CU15" i="14841"/>
  <c r="BV87" i="14841"/>
  <c r="BV88" i="14841" s="1"/>
  <c r="CS15" i="14841"/>
  <c r="BT90" i="14841"/>
  <c r="CS14" i="14841"/>
  <c r="GN4" i="14841"/>
  <c r="GN11" i="14841" s="1"/>
  <c r="BT87" i="14841"/>
  <c r="BT88" i="14841" s="1"/>
  <c r="CM15" i="14841"/>
  <c r="GH4" i="14841"/>
  <c r="GH11" i="14841" s="1"/>
  <c r="FI28" i="14841" s="1"/>
  <c r="BN87" i="14841"/>
  <c r="BN88" i="14841" s="1"/>
  <c r="CM14" i="14841"/>
  <c r="DM9" i="14841"/>
  <c r="CX14" i="14835"/>
  <c r="AY17" i="14835"/>
  <c r="GA4" i="14841"/>
  <c r="BG87" i="14841"/>
  <c r="BG88" i="14841" s="1"/>
  <c r="GF11" i="14841"/>
  <c r="FG28" i="14841" s="1"/>
  <c r="AB9" i="14836"/>
  <c r="GF12" i="14841"/>
  <c r="HE13" i="14841" s="1"/>
  <c r="HE14" i="14841" s="1"/>
  <c r="GS9" i="14841"/>
  <c r="GP12" i="14841"/>
  <c r="HO13" i="14841" s="1"/>
  <c r="HO14" i="14841" s="1"/>
  <c r="E468" i="14814"/>
  <c r="E491" i="14814"/>
  <c r="E539" i="14814"/>
  <c r="E444" i="14814"/>
  <c r="E492" i="14814"/>
  <c r="E396" i="14814"/>
  <c r="E443" i="14814"/>
  <c r="E540" i="14814"/>
  <c r="E467" i="14814"/>
  <c r="E420" i="14814"/>
  <c r="E515" i="14814"/>
  <c r="E419" i="14814"/>
  <c r="E516" i="14814"/>
  <c r="E395" i="14814"/>
  <c r="B2" i="14814"/>
  <c r="GM5" i="14835"/>
  <c r="GC12" i="14841"/>
  <c r="HB13" i="14841" s="1"/>
  <c r="HB14" i="14841" s="1"/>
  <c r="Z9" i="14836"/>
  <c r="AC9" i="14836"/>
  <c r="AM9" i="14836"/>
  <c r="GQ5" i="14835"/>
  <c r="AL9" i="14836"/>
  <c r="GP5" i="14835"/>
  <c r="GH5" i="14835"/>
  <c r="AD9" i="14836"/>
  <c r="GL12" i="14841"/>
  <c r="HK13" i="14841" s="1"/>
  <c r="HK14" i="14841" s="1"/>
  <c r="GH12" i="14841"/>
  <c r="HG13" i="14841" s="1"/>
  <c r="HG14" i="14841" s="1"/>
  <c r="AN10" i="14841"/>
  <c r="CM8" i="14841" s="1"/>
  <c r="FZ12" i="14841"/>
  <c r="GY13" i="14841" s="1"/>
  <c r="GY14" i="14841" s="1"/>
  <c r="GG12" i="14841"/>
  <c r="HF13" i="14841" s="1"/>
  <c r="HF14" i="14841" s="1"/>
  <c r="GT9" i="14841"/>
  <c r="GT12" i="14841" s="1"/>
  <c r="HS13" i="14841" s="1"/>
  <c r="HS14" i="14841" s="1"/>
  <c r="GC3" i="14851"/>
  <c r="AI12" i="14851"/>
  <c r="GR4" i="14851"/>
  <c r="CW14" i="14851"/>
  <c r="BX87" i="14851"/>
  <c r="BX88" i="14851" s="1"/>
  <c r="AX17" i="14851"/>
  <c r="BX90" i="14851"/>
  <c r="CW15" i="14851"/>
  <c r="AV12" i="14851"/>
  <c r="GP3" i="14851"/>
  <c r="AH12" i="14851"/>
  <c r="GB3" i="14851"/>
  <c r="AQ12" i="14851"/>
  <c r="GK3" i="14851"/>
  <c r="CL14" i="14851"/>
  <c r="CL15" i="14851"/>
  <c r="GG4" i="14851"/>
  <c r="BM87" i="14851"/>
  <c r="BM88" i="14851" s="1"/>
  <c r="BM90" i="14851"/>
  <c r="AM17" i="14851"/>
  <c r="GD4" i="14851"/>
  <c r="DI9" i="14851"/>
  <c r="BJ87" i="14851"/>
  <c r="BJ88" i="14851" s="1"/>
  <c r="CI14" i="14851"/>
  <c r="CI15" i="14851"/>
  <c r="BJ90" i="14851"/>
  <c r="AJ17" i="14851"/>
  <c r="AW10" i="14851"/>
  <c r="GQ7" i="14851"/>
  <c r="AT10" i="14851"/>
  <c r="GN9" i="14851"/>
  <c r="GN11" i="14851" s="1"/>
  <c r="GH3" i="14851"/>
  <c r="AN12" i="14851"/>
  <c r="AU12" i="14851"/>
  <c r="GO3" i="14851"/>
  <c r="GM4" i="14851"/>
  <c r="BS90" i="14851"/>
  <c r="AS17" i="14851"/>
  <c r="BS87" i="14851"/>
  <c r="BS88" i="14851" s="1"/>
  <c r="CR14" i="14851"/>
  <c r="CR15" i="14851"/>
  <c r="FT17" i="14851"/>
  <c r="GS9" i="14851"/>
  <c r="GJ3" i="14851"/>
  <c r="AP12" i="14851"/>
  <c r="FT14" i="14851"/>
  <c r="GS3" i="14851"/>
  <c r="AY12" i="14851"/>
  <c r="FY4" i="14851"/>
  <c r="BE87" i="14851"/>
  <c r="BE88" i="14851" s="1"/>
  <c r="BE90" i="14851"/>
  <c r="CD15" i="14851"/>
  <c r="AE17" i="14851"/>
  <c r="CD14" i="14851"/>
  <c r="DD9" i="14851"/>
  <c r="GO4" i="14851"/>
  <c r="CT14" i="14851"/>
  <c r="CT15" i="14851"/>
  <c r="BU87" i="14851"/>
  <c r="BU88" i="14851" s="1"/>
  <c r="AU17" i="14851"/>
  <c r="BU90" i="14851"/>
  <c r="GI4" i="14851"/>
  <c r="BO87" i="14851"/>
  <c r="BO88" i="14851" s="1"/>
  <c r="CN15" i="14851"/>
  <c r="DN9" i="14851"/>
  <c r="CN14" i="14851"/>
  <c r="AO17" i="14851"/>
  <c r="GL4" i="14851"/>
  <c r="BR90" i="14851"/>
  <c r="BR87" i="14851"/>
  <c r="BR88" i="14851" s="1"/>
  <c r="AR17" i="14851"/>
  <c r="CQ15" i="14851"/>
  <c r="CQ14" i="14851"/>
  <c r="GE7" i="14851"/>
  <c r="AK10" i="14851"/>
  <c r="CJ8" i="14851" s="1"/>
  <c r="HM70" i="14851"/>
  <c r="HM71" i="14851" s="1"/>
  <c r="GR3" i="14851"/>
  <c r="AX12" i="14851"/>
  <c r="AT12" i="14851"/>
  <c r="GN3" i="14851"/>
  <c r="AL12" i="14851"/>
  <c r="CK14" i="14851"/>
  <c r="AL17" i="14851"/>
  <c r="GF4" i="14851"/>
  <c r="CK15" i="14851"/>
  <c r="GQ4" i="14851"/>
  <c r="BW87" i="14851"/>
  <c r="BW88" i="14851" s="1"/>
  <c r="BW90" i="14851"/>
  <c r="CV15" i="14851"/>
  <c r="CV14" i="14851"/>
  <c r="AW17" i="14851"/>
  <c r="CH15" i="14851"/>
  <c r="GC4" i="14851"/>
  <c r="AI17" i="14851"/>
  <c r="CH14" i="14851"/>
  <c r="BI90" i="14851"/>
  <c r="DH9" i="14851"/>
  <c r="BI87" i="14851"/>
  <c r="BI88" i="14851" s="1"/>
  <c r="GM7" i="14851"/>
  <c r="AS10" i="14851"/>
  <c r="AM10" i="14851"/>
  <c r="GG7" i="14851"/>
  <c r="GI7" i="14851"/>
  <c r="AO10" i="14851"/>
  <c r="GI3" i="14851"/>
  <c r="AO12" i="14851"/>
  <c r="CS15" i="14851"/>
  <c r="BT87" i="14851"/>
  <c r="BT88" i="14851" s="1"/>
  <c r="CS14" i="14851"/>
  <c r="GN4" i="14851"/>
  <c r="BT90" i="14851"/>
  <c r="AT17" i="14851"/>
  <c r="CP15" i="14851"/>
  <c r="GK4" i="14851"/>
  <c r="BQ90" i="14851"/>
  <c r="BQ87" i="14851"/>
  <c r="BQ88" i="14851" s="1"/>
  <c r="CP14" i="14851"/>
  <c r="DP9" i="14851"/>
  <c r="AQ17" i="14851"/>
  <c r="GH7" i="14851"/>
  <c r="AN10" i="14851"/>
  <c r="FY7" i="14851"/>
  <c r="FY12" i="14851" s="1"/>
  <c r="GX13" i="14851" s="1"/>
  <c r="AE10" i="14851"/>
  <c r="GD7" i="14851"/>
  <c r="AJ10" i="14851"/>
  <c r="AU10" i="14851"/>
  <c r="GO7" i="14851"/>
  <c r="AW12" i="14851"/>
  <c r="GQ3" i="14851"/>
  <c r="GE3" i="14851"/>
  <c r="AK12" i="14851"/>
  <c r="GS4" i="14851"/>
  <c r="FT15" i="14851"/>
  <c r="CX15" i="14851"/>
  <c r="AY17" i="14851"/>
  <c r="BY90" i="14851"/>
  <c r="BY87" i="14851"/>
  <c r="BY88" i="14851" s="1"/>
  <c r="CX14" i="14851"/>
  <c r="GP7" i="14851"/>
  <c r="AV10" i="14851"/>
  <c r="AH10" i="14851"/>
  <c r="GB7" i="14851"/>
  <c r="AI10" i="14851"/>
  <c r="GC7" i="14851"/>
  <c r="GL7" i="14851"/>
  <c r="AR10" i="14851"/>
  <c r="AR12" i="14851"/>
  <c r="GL3" i="14851"/>
  <c r="GM3" i="14851"/>
  <c r="AS12" i="14851"/>
  <c r="FY3" i="14851"/>
  <c r="AE12" i="14851"/>
  <c r="BN87" i="14851"/>
  <c r="BN88" i="14851" s="1"/>
  <c r="DM9" i="14851"/>
  <c r="GH4" i="14851"/>
  <c r="CM14" i="14851"/>
  <c r="CM15" i="14851"/>
  <c r="AN17" i="14851"/>
  <c r="CG14" i="14851"/>
  <c r="GB4" i="14851"/>
  <c r="BH90" i="14851"/>
  <c r="AH17" i="14851"/>
  <c r="CG15" i="14851"/>
  <c r="BH87" i="14851"/>
  <c r="BH88" i="14851" s="1"/>
  <c r="AP10" i="14851"/>
  <c r="GJ7" i="14851"/>
  <c r="AQ10" i="14851"/>
  <c r="GK7" i="14851"/>
  <c r="GD3" i="14851"/>
  <c r="AJ12" i="14851"/>
  <c r="GG3" i="14851"/>
  <c r="AM12" i="14851"/>
  <c r="BV87" i="14851"/>
  <c r="BV88" i="14851" s="1"/>
  <c r="GP4" i="14851"/>
  <c r="CU15" i="14851"/>
  <c r="CU14" i="14851"/>
  <c r="BV90" i="14851"/>
  <c r="AV17" i="14851"/>
  <c r="CO14" i="14851"/>
  <c r="BP87" i="14851"/>
  <c r="BP88" i="14851" s="1"/>
  <c r="GJ4" i="14851"/>
  <c r="AP17" i="14851"/>
  <c r="CO15" i="14851"/>
  <c r="GE4" i="14851"/>
  <c r="CJ14" i="14851"/>
  <c r="CJ15" i="14851"/>
  <c r="AK17" i="14851"/>
  <c r="GR7" i="14851"/>
  <c r="AX10" i="14851"/>
  <c r="FT16" i="14851"/>
  <c r="AY10" i="14851"/>
  <c r="GS7" i="14851"/>
  <c r="AL10" i="14851"/>
  <c r="CK8" i="14851" s="1"/>
  <c r="CK9" i="14851" s="1"/>
  <c r="CK10" i="14851" s="1"/>
  <c r="BL62" i="14851" s="1"/>
  <c r="GF7" i="14851"/>
  <c r="GF4" i="14850"/>
  <c r="CK14" i="14850"/>
  <c r="AL17" i="14850"/>
  <c r="CK15" i="14850"/>
  <c r="GD4" i="14850"/>
  <c r="CI15" i="14850"/>
  <c r="BJ90" i="14850"/>
  <c r="BJ87" i="14850"/>
  <c r="BJ88" i="14850" s="1"/>
  <c r="CI14" i="14850"/>
  <c r="DI9" i="14850"/>
  <c r="AJ17" i="14850"/>
  <c r="GD7" i="14850"/>
  <c r="AJ10" i="14850"/>
  <c r="AM10" i="14850"/>
  <c r="GG7" i="14850"/>
  <c r="AH12" i="14850"/>
  <c r="GB3" i="14850"/>
  <c r="AK12" i="14850"/>
  <c r="GE3" i="14850"/>
  <c r="GN4" i="14850"/>
  <c r="BT90" i="14850"/>
  <c r="AT17" i="14850"/>
  <c r="BT87" i="14850"/>
  <c r="BT88" i="14850" s="1"/>
  <c r="CS15" i="14850"/>
  <c r="CS14" i="14850"/>
  <c r="AN12" i="14850"/>
  <c r="DM9" i="14850"/>
  <c r="CM15" i="14850"/>
  <c r="GH4" i="14850"/>
  <c r="CM14" i="14850"/>
  <c r="BN87" i="14850"/>
  <c r="BN88" i="14850" s="1"/>
  <c r="AN17" i="14850"/>
  <c r="GL4" i="14850"/>
  <c r="BR90" i="14850"/>
  <c r="BR87" i="14850"/>
  <c r="BR88" i="14850" s="1"/>
  <c r="AR17" i="14850"/>
  <c r="CQ14" i="14850"/>
  <c r="CQ15" i="14850"/>
  <c r="FY7" i="14850"/>
  <c r="GL7" i="14850"/>
  <c r="AR10" i="14850"/>
  <c r="AU10" i="14850"/>
  <c r="GO7" i="14850"/>
  <c r="AE10" i="14850"/>
  <c r="FY9" i="14850"/>
  <c r="GJ3" i="14850"/>
  <c r="AP12" i="14850"/>
  <c r="AS12" i="14850"/>
  <c r="GM3" i="14850"/>
  <c r="AV12" i="14850"/>
  <c r="CU14" i="14850"/>
  <c r="GP4" i="14850"/>
  <c r="BV87" i="14850"/>
  <c r="BV88" i="14850" s="1"/>
  <c r="BV90" i="14850"/>
  <c r="AV17" i="14850"/>
  <c r="CU15" i="14850"/>
  <c r="GC4" i="14850"/>
  <c r="CH15" i="14850"/>
  <c r="BI90" i="14850"/>
  <c r="BI87" i="14850"/>
  <c r="BI88" i="14850" s="1"/>
  <c r="CH14" i="14850"/>
  <c r="DH9" i="14850"/>
  <c r="AI17" i="14850"/>
  <c r="AN10" i="14850"/>
  <c r="GH7" i="14850"/>
  <c r="AI10" i="14850"/>
  <c r="GC7" i="14850"/>
  <c r="FT17" i="14850"/>
  <c r="GS9" i="14850"/>
  <c r="GR3" i="14850"/>
  <c r="AX12" i="14850"/>
  <c r="GB4" i="14850"/>
  <c r="BH90" i="14850"/>
  <c r="BH87" i="14850"/>
  <c r="BH88" i="14850" s="1"/>
  <c r="CG14" i="14850"/>
  <c r="CG15" i="14850"/>
  <c r="AH17" i="14850"/>
  <c r="CP15" i="14850"/>
  <c r="AQ17" i="14850"/>
  <c r="BQ90" i="14850"/>
  <c r="BQ87" i="14850"/>
  <c r="BQ88" i="14850" s="1"/>
  <c r="DP9" i="14850"/>
  <c r="CP14" i="14850"/>
  <c r="GK4" i="14850"/>
  <c r="AV10" i="14850"/>
  <c r="GP7" i="14850"/>
  <c r="AH10" i="14850"/>
  <c r="GB7" i="14850"/>
  <c r="AQ10" i="14850"/>
  <c r="GK7" i="14850"/>
  <c r="AL10" i="14850"/>
  <c r="CK8" i="14850" s="1"/>
  <c r="CK9" i="14850" s="1"/>
  <c r="GF7" i="14850"/>
  <c r="AO12" i="14850"/>
  <c r="GI3" i="14850"/>
  <c r="AJ12" i="14850"/>
  <c r="GD3" i="14850"/>
  <c r="FY3" i="14850"/>
  <c r="AE12" i="14850"/>
  <c r="GG4" i="14850"/>
  <c r="CL14" i="14850"/>
  <c r="BM90" i="14850"/>
  <c r="CL15" i="14850"/>
  <c r="BM87" i="14850"/>
  <c r="BM88" i="14850" s="1"/>
  <c r="AM17" i="14850"/>
  <c r="GJ4" i="14850"/>
  <c r="CO14" i="14850"/>
  <c r="CO15" i="14850"/>
  <c r="AP17" i="14850"/>
  <c r="BP87" i="14850"/>
  <c r="BP88" i="14850" s="1"/>
  <c r="GS4" i="14850"/>
  <c r="FT15" i="14850"/>
  <c r="CX14" i="14850"/>
  <c r="AY17" i="14850"/>
  <c r="BY90" i="14850"/>
  <c r="CX15" i="14850"/>
  <c r="BY87" i="14850"/>
  <c r="BY88" i="14850" s="1"/>
  <c r="AP10" i="14850"/>
  <c r="GJ7" i="14850"/>
  <c r="AY10" i="14850"/>
  <c r="FT16" i="14850"/>
  <c r="GS7" i="14850"/>
  <c r="AT10" i="14850"/>
  <c r="GN7" i="14850"/>
  <c r="AW12" i="14850"/>
  <c r="GQ3" i="14850"/>
  <c r="AR12" i="14850"/>
  <c r="GL3" i="14850"/>
  <c r="GG3" i="14850"/>
  <c r="AM12" i="14850"/>
  <c r="GO4" i="14850"/>
  <c r="CT14" i="14850"/>
  <c r="BU90" i="14850"/>
  <c r="BU87" i="14850"/>
  <c r="BU88" i="14850" s="1"/>
  <c r="CT15" i="14850"/>
  <c r="AU17" i="14850"/>
  <c r="GR4" i="14850"/>
  <c r="BX87" i="14850"/>
  <c r="BX88" i="14850" s="1"/>
  <c r="BX90" i="14850"/>
  <c r="CW15" i="14850"/>
  <c r="CW14" i="14850"/>
  <c r="AX17" i="14850"/>
  <c r="GE4" i="14850"/>
  <c r="CJ14" i="14850"/>
  <c r="CJ15" i="14850"/>
  <c r="AK17" i="14850"/>
  <c r="AX10" i="14850"/>
  <c r="GR7" i="14850"/>
  <c r="AI12" i="14850"/>
  <c r="GC3" i="14850"/>
  <c r="AL12" i="14850"/>
  <c r="GF3" i="14850"/>
  <c r="GO3" i="14850"/>
  <c r="AU12" i="14850"/>
  <c r="GI4" i="14850"/>
  <c r="DN9" i="14850"/>
  <c r="CN15" i="14850"/>
  <c r="BO87" i="14850"/>
  <c r="BO88" i="14850" s="1"/>
  <c r="CN14" i="14850"/>
  <c r="AO17" i="14850"/>
  <c r="CR14" i="14850"/>
  <c r="GM4" i="14850"/>
  <c r="BS90" i="14850"/>
  <c r="BS87" i="14850"/>
  <c r="BS88" i="14850" s="1"/>
  <c r="CR15" i="14850"/>
  <c r="AS17" i="14850"/>
  <c r="AO10" i="14850"/>
  <c r="GI7" i="14850"/>
  <c r="AK10" i="14850"/>
  <c r="CJ8" i="14850" s="1"/>
  <c r="GE7" i="14850"/>
  <c r="AQ12" i="14850"/>
  <c r="GK3" i="14850"/>
  <c r="GN3" i="14850"/>
  <c r="AT12" i="14850"/>
  <c r="FY4" i="14850"/>
  <c r="BE90" i="14850"/>
  <c r="CD14" i="14850"/>
  <c r="DD9" i="14850"/>
  <c r="CD15" i="14850"/>
  <c r="BE87" i="14850"/>
  <c r="BE88" i="14850" s="1"/>
  <c r="AE17" i="14850"/>
  <c r="GQ4" i="14850"/>
  <c r="CV15" i="14850"/>
  <c r="BW90" i="14850"/>
  <c r="AW17" i="14850"/>
  <c r="CV14" i="14850"/>
  <c r="BW87" i="14850"/>
  <c r="BW88" i="14850" s="1"/>
  <c r="AW10" i="14850"/>
  <c r="GQ7" i="14850"/>
  <c r="AS10" i="14850"/>
  <c r="GM7" i="14850"/>
  <c r="FT14" i="14850"/>
  <c r="AY12" i="14850"/>
  <c r="GS3" i="14850"/>
  <c r="AF10" i="14850"/>
  <c r="FZ7" i="14850"/>
  <c r="HQ70" i="14835"/>
  <c r="HQ71" i="14835" s="1"/>
  <c r="GT9" i="14851"/>
  <c r="FU17" i="14851"/>
  <c r="AZ12" i="14851"/>
  <c r="GT3" i="14851"/>
  <c r="FU14" i="14851"/>
  <c r="AF12" i="14851"/>
  <c r="FZ3" i="14851"/>
  <c r="GA3" i="14850"/>
  <c r="AG12" i="14850"/>
  <c r="GA4" i="14851"/>
  <c r="BG87" i="14851"/>
  <c r="BG88" i="14851" s="1"/>
  <c r="AG17" i="14851"/>
  <c r="FZ4" i="14850"/>
  <c r="AF17" i="14850"/>
  <c r="GA7" i="14851"/>
  <c r="AG10" i="14851"/>
  <c r="BG37" i="14851" s="1"/>
  <c r="GA7" i="14850"/>
  <c r="AG10" i="14850"/>
  <c r="BG37" i="14850" s="1"/>
  <c r="FU16" i="14851"/>
  <c r="AZ10" i="14851"/>
  <c r="GT7" i="14851"/>
  <c r="GA4" i="14850"/>
  <c r="BG87" i="14850"/>
  <c r="BG88" i="14850" s="1"/>
  <c r="AG17" i="14850"/>
  <c r="GT9" i="14850"/>
  <c r="FU17" i="14850"/>
  <c r="FZ4" i="14851"/>
  <c r="AF17" i="14851"/>
  <c r="AF12" i="14850"/>
  <c r="FZ3" i="14850"/>
  <c r="GT4" i="14851"/>
  <c r="FU15" i="14851"/>
  <c r="AZ17" i="14851"/>
  <c r="AF10" i="14851"/>
  <c r="FZ7" i="14851"/>
  <c r="AZ10" i="14850"/>
  <c r="FU16" i="14850"/>
  <c r="GT7" i="14850"/>
  <c r="GT4" i="14850"/>
  <c r="AZ17" i="14850"/>
  <c r="FU15" i="14850"/>
  <c r="AG12" i="14851"/>
  <c r="GA3" i="14851"/>
  <c r="GT3" i="14850"/>
  <c r="AZ12" i="14850"/>
  <c r="FU14" i="14850"/>
  <c r="B68" i="14847"/>
  <c r="F469" i="14814"/>
  <c r="F397" i="14814"/>
  <c r="F517" i="14814"/>
  <c r="F541" i="14814"/>
  <c r="F420" i="14814"/>
  <c r="F445" i="14814"/>
  <c r="CF9" i="14809"/>
  <c r="AR10" i="14835"/>
  <c r="CQ8" i="14835" s="1"/>
  <c r="GC11" i="14841"/>
  <c r="FD28" i="14841" s="1"/>
  <c r="AQ10" i="14841"/>
  <c r="DP11" i="14841" s="1"/>
  <c r="FY11" i="14841"/>
  <c r="EZ28" i="14841" s="1"/>
  <c r="AE10" i="14841"/>
  <c r="DD11" i="14841" s="1"/>
  <c r="AM10" i="14841"/>
  <c r="CL8" i="14841" s="1"/>
  <c r="CL9" i="14841" s="1"/>
  <c r="CL10" i="14841" s="1"/>
  <c r="BM62" i="14841" s="1"/>
  <c r="BM63" i="14841" s="1"/>
  <c r="GN12" i="14841"/>
  <c r="HM13" i="14841" s="1"/>
  <c r="HM14" i="14841" s="1"/>
  <c r="AH9" i="14836"/>
  <c r="C127" i="14786"/>
  <c r="AT10" i="14841"/>
  <c r="BT37" i="14841" s="1"/>
  <c r="BT38" i="14841" s="1"/>
  <c r="GE7" i="14841"/>
  <c r="GE12" i="14841" s="1"/>
  <c r="HD13" i="14841" s="1"/>
  <c r="HD14" i="14841" s="1"/>
  <c r="AJ10" i="14841"/>
  <c r="CI8" i="14841" s="1"/>
  <c r="CI9" i="14841" s="1"/>
  <c r="GP11" i="14841"/>
  <c r="FQ28" i="14841" s="1"/>
  <c r="AF10" i="14841"/>
  <c r="FZ11" i="14841"/>
  <c r="FA28" i="14841" s="1"/>
  <c r="AZ10" i="14835"/>
  <c r="AW10" i="14841"/>
  <c r="CV8" i="14841" s="1"/>
  <c r="CV9" i="14841" s="1"/>
  <c r="CV10" i="14841" s="1"/>
  <c r="BW62" i="14841" s="1"/>
  <c r="GJ7" i="14841"/>
  <c r="GJ12" i="14841" s="1"/>
  <c r="HI13" i="14841" s="1"/>
  <c r="HI14" i="14841" s="1"/>
  <c r="AP10" i="14841"/>
  <c r="FT16" i="14841"/>
  <c r="GS7" i="14841"/>
  <c r="GM7" i="14841"/>
  <c r="AS10" i="14841"/>
  <c r="GR12" i="14841"/>
  <c r="HQ13" i="14841" s="1"/>
  <c r="HQ14" i="14841" s="1"/>
  <c r="AV10" i="14841"/>
  <c r="CU8" i="14841" s="1"/>
  <c r="FU16" i="14841"/>
  <c r="AZ10" i="14841"/>
  <c r="GA7" i="14841"/>
  <c r="AG10" i="14841"/>
  <c r="BG37" i="14841" s="1"/>
  <c r="GB7" i="14841"/>
  <c r="AH10" i="14841"/>
  <c r="GL11" i="14841"/>
  <c r="FM28" i="14841" s="1"/>
  <c r="AR10" i="14841"/>
  <c r="CQ8" i="14841" s="1"/>
  <c r="AX10" i="14841"/>
  <c r="BX37" i="14841" s="1"/>
  <c r="BX38" i="14841" s="1"/>
  <c r="AY10" i="14841"/>
  <c r="AK9" i="14836"/>
  <c r="AK16" i="14836" s="1"/>
  <c r="O20" i="14836" s="1"/>
  <c r="AU10" i="14835"/>
  <c r="GO5" i="14835"/>
  <c r="D5" i="14822"/>
  <c r="B1" i="14814"/>
  <c r="GK12" i="14841"/>
  <c r="HJ13" i="14841" s="1"/>
  <c r="HJ14" i="14841" s="1"/>
  <c r="GD12" i="14841"/>
  <c r="HC13" i="14841" s="1"/>
  <c r="HC14" i="14841" s="1"/>
  <c r="AK13" i="14836"/>
  <c r="O41" i="14836" s="1"/>
  <c r="GO3" i="14835"/>
  <c r="AU12" i="14835"/>
  <c r="AD13" i="14836"/>
  <c r="J41" i="14836" s="1"/>
  <c r="GH3" i="14835"/>
  <c r="AN12" i="14835"/>
  <c r="GT3" i="14835"/>
  <c r="AZ12" i="14835"/>
  <c r="FU14" i="14835"/>
  <c r="AC13" i="14836"/>
  <c r="AM12" i="14835"/>
  <c r="GG3" i="14835"/>
  <c r="AY12" i="14835"/>
  <c r="AO13" i="14836"/>
  <c r="FT14" i="14835"/>
  <c r="GS3" i="14835"/>
  <c r="GC3" i="14835"/>
  <c r="AI12" i="14835"/>
  <c r="Y13" i="14836"/>
  <c r="G41" i="14836" s="1"/>
  <c r="GI3" i="14835"/>
  <c r="AO12" i="14835"/>
  <c r="AE13" i="14836"/>
  <c r="K41" i="14836" s="1"/>
  <c r="AW12" i="14835"/>
  <c r="GQ3" i="14835"/>
  <c r="AM13" i="14836"/>
  <c r="Q41" i="14836" s="1"/>
  <c r="AJ13" i="14836"/>
  <c r="N41" i="14836" s="1"/>
  <c r="AT12" i="14835"/>
  <c r="GN3" i="14835"/>
  <c r="FY3" i="14835"/>
  <c r="U13" i="14836"/>
  <c r="GJ3" i="14835"/>
  <c r="AF13" i="14836"/>
  <c r="AP12" i="14835"/>
  <c r="GL3" i="14835"/>
  <c r="AH13" i="14836"/>
  <c r="M41" i="14836" s="1"/>
  <c r="AR12" i="14835"/>
  <c r="GR3" i="14835"/>
  <c r="AX12" i="14835"/>
  <c r="AN13" i="14836"/>
  <c r="FZ3" i="14835"/>
  <c r="V13" i="14836"/>
  <c r="D41" i="14836" s="1"/>
  <c r="AF12" i="14835"/>
  <c r="AA13" i="14836"/>
  <c r="H41" i="14836" s="1"/>
  <c r="AK12" i="14835"/>
  <c r="GE3" i="14835"/>
  <c r="AG13" i="14836"/>
  <c r="L41" i="14836" s="1"/>
  <c r="AQ12" i="14835"/>
  <c r="GK3" i="14835"/>
  <c r="GF3" i="14835"/>
  <c r="AL12" i="14835"/>
  <c r="AB13" i="14836"/>
  <c r="I41" i="14836" s="1"/>
  <c r="AG12" i="14835"/>
  <c r="W13" i="14836"/>
  <c r="E41" i="14836" s="1"/>
  <c r="GA3" i="14835"/>
  <c r="BG190" i="14835"/>
  <c r="BG191" i="14835" s="1"/>
  <c r="AG30" i="14835"/>
  <c r="CF6" i="14835" s="1"/>
  <c r="AG17" i="14835"/>
  <c r="DH14" i="14841"/>
  <c r="CW4" i="14835"/>
  <c r="AX30" i="14835"/>
  <c r="CW6" i="14835" s="1"/>
  <c r="CW16" i="14835" s="1"/>
  <c r="CW17" i="14835" s="1"/>
  <c r="BX190" i="14835"/>
  <c r="BX191" i="14835" s="1"/>
  <c r="AX17" i="14835"/>
  <c r="CI4" i="14835"/>
  <c r="AJ30" i="14835"/>
  <c r="CI6" i="14835" s="1"/>
  <c r="CI16" i="14835" s="1"/>
  <c r="CI17" i="14835" s="1"/>
  <c r="BJ190" i="14835"/>
  <c r="BJ191" i="14835" s="1"/>
  <c r="AJ17" i="14835"/>
  <c r="AS30" i="14835"/>
  <c r="CR6" i="14835" s="1"/>
  <c r="CR4" i="14835"/>
  <c r="BS190" i="14835"/>
  <c r="BS191" i="14835" s="1"/>
  <c r="AS17" i="14835"/>
  <c r="BP189" i="14841"/>
  <c r="BP190" i="14841" s="1"/>
  <c r="CO4" i="14841"/>
  <c r="AP30" i="14841"/>
  <c r="CO6" i="14841" s="1"/>
  <c r="AP17" i="14841"/>
  <c r="CX4" i="14841"/>
  <c r="BY189" i="14841"/>
  <c r="BY190" i="14841" s="1"/>
  <c r="AY17" i="14841"/>
  <c r="AY30" i="14841"/>
  <c r="CX6" i="14841" s="1"/>
  <c r="AU30" i="14835"/>
  <c r="CT6" i="14835" s="1"/>
  <c r="BU190" i="14835"/>
  <c r="BU191" i="14835" s="1"/>
  <c r="AU17" i="14835"/>
  <c r="CT4" i="14835"/>
  <c r="BT189" i="14841"/>
  <c r="BT190" i="14841" s="1"/>
  <c r="CS4" i="14841"/>
  <c r="AT30" i="14841"/>
  <c r="CS6" i="14841" s="1"/>
  <c r="AT17" i="14841"/>
  <c r="BY113" i="14835"/>
  <c r="BY114" i="14835" s="1"/>
  <c r="CX6" i="14835"/>
  <c r="CX16" i="14835" s="1"/>
  <c r="CX17" i="14835" s="1"/>
  <c r="AL30" i="14835"/>
  <c r="BL113" i="14835" s="1"/>
  <c r="CK4" i="14835"/>
  <c r="AL17" i="14835"/>
  <c r="CU4" i="14835"/>
  <c r="AV30" i="14835"/>
  <c r="CU6" i="14835" s="1"/>
  <c r="BV190" i="14835"/>
  <c r="BV191" i="14835" s="1"/>
  <c r="AV17" i="14835"/>
  <c r="CV4" i="14841"/>
  <c r="BW189" i="14841"/>
  <c r="BW190" i="14841" s="1"/>
  <c r="AW17" i="14841"/>
  <c r="AW30" i="14841"/>
  <c r="CV6" i="14841" s="1"/>
  <c r="BV189" i="14841"/>
  <c r="BV190" i="14841" s="1"/>
  <c r="CU4" i="14841"/>
  <c r="AV30" i="14841"/>
  <c r="CU6" i="14841" s="1"/>
  <c r="CU16" i="14841" s="1"/>
  <c r="CU17" i="14841" s="1"/>
  <c r="AV17" i="14841"/>
  <c r="CP4" i="14835"/>
  <c r="AQ30" i="14835"/>
  <c r="CP6" i="14835" s="1"/>
  <c r="BQ190" i="14835"/>
  <c r="BQ191" i="14835" s="1"/>
  <c r="DP14" i="14835"/>
  <c r="AQ17" i="14835"/>
  <c r="CV4" i="14835"/>
  <c r="AW30" i="14835"/>
  <c r="CV6" i="14835" s="1"/>
  <c r="CV16" i="14835" s="1"/>
  <c r="CV17" i="14835" s="1"/>
  <c r="BW190" i="14835"/>
  <c r="BW191" i="14835" s="1"/>
  <c r="AW17" i="14835"/>
  <c r="AF30" i="14835"/>
  <c r="BF113" i="14835" s="1"/>
  <c r="AF17" i="14835"/>
  <c r="BM189" i="14841"/>
  <c r="BM190" i="14841" s="1"/>
  <c r="CL4" i="14841"/>
  <c r="AM17" i="14841"/>
  <c r="AM30" i="14841"/>
  <c r="CL6" i="14841" s="1"/>
  <c r="BQ189" i="14841"/>
  <c r="BQ190" i="14841" s="1"/>
  <c r="DP14" i="14841"/>
  <c r="CP4" i="14841"/>
  <c r="AQ17" i="14841"/>
  <c r="AQ30" i="14841"/>
  <c r="CP6" i="14841" s="1"/>
  <c r="AT30" i="14835"/>
  <c r="CS6" i="14835" s="1"/>
  <c r="BT190" i="14835"/>
  <c r="BT191" i="14835" s="1"/>
  <c r="CS4" i="14835"/>
  <c r="AT17" i="14835"/>
  <c r="AK30" i="14841"/>
  <c r="BK115" i="14841" s="1"/>
  <c r="CJ4" i="14841"/>
  <c r="AK17" i="14841"/>
  <c r="BN189" i="14841"/>
  <c r="BN190" i="14841" s="1"/>
  <c r="DM14" i="14841"/>
  <c r="CM4" i="14841"/>
  <c r="AN30" i="14841"/>
  <c r="CM6" i="14841" s="1"/>
  <c r="AN17" i="14841"/>
  <c r="BE189" i="14841"/>
  <c r="BE190" i="14841" s="1"/>
  <c r="DD14" i="14841"/>
  <c r="CD4" i="14841"/>
  <c r="AE30" i="14841"/>
  <c r="CD6" i="14841" s="1"/>
  <c r="AE17" i="14841"/>
  <c r="AF30" i="14841"/>
  <c r="BF115" i="14841" s="1"/>
  <c r="AF17" i="14841"/>
  <c r="AE30" i="14835"/>
  <c r="CD6" i="14835" s="1"/>
  <c r="CD4" i="14835"/>
  <c r="DD14" i="14835"/>
  <c r="BE190" i="14835"/>
  <c r="BE191" i="14835" s="1"/>
  <c r="AE17" i="14835"/>
  <c r="AM30" i="14835"/>
  <c r="CL6" i="14835" s="1"/>
  <c r="CL4" i="14835"/>
  <c r="BM190" i="14835"/>
  <c r="BM191" i="14835" s="1"/>
  <c r="AM17" i="14835"/>
  <c r="CJ4" i="14835"/>
  <c r="AK30" i="14835"/>
  <c r="BK113" i="14835" s="1"/>
  <c r="AK17" i="14835"/>
  <c r="BG189" i="14841"/>
  <c r="BG190" i="14841" s="1"/>
  <c r="AG17" i="14841"/>
  <c r="AG30" i="14841"/>
  <c r="CF6" i="14841" s="1"/>
  <c r="BH189" i="14841"/>
  <c r="BH190" i="14841" s="1"/>
  <c r="CG4" i="14841"/>
  <c r="AH17" i="14841"/>
  <c r="AH30" i="14841"/>
  <c r="CG6" i="14841" s="1"/>
  <c r="BX189" i="14841"/>
  <c r="BX190" i="14841" s="1"/>
  <c r="CW4" i="14841"/>
  <c r="AX30" i="14841"/>
  <c r="CW6" i="14841" s="1"/>
  <c r="AX17" i="14841"/>
  <c r="CI4" i="14841"/>
  <c r="BJ189" i="14841"/>
  <c r="BJ190" i="14841" s="1"/>
  <c r="AJ30" i="14841"/>
  <c r="CI6" i="14841" s="1"/>
  <c r="AJ17" i="14841"/>
  <c r="CM4" i="14835"/>
  <c r="AN30" i="14835"/>
  <c r="CM6" i="14835" s="1"/>
  <c r="DM14" i="14835"/>
  <c r="BN190" i="14835"/>
  <c r="BN191" i="14835" s="1"/>
  <c r="AN17" i="14835"/>
  <c r="AP30" i="14835"/>
  <c r="CO6" i="14835" s="1"/>
  <c r="CO4" i="14835"/>
  <c r="BP190" i="14835"/>
  <c r="BP191" i="14835" s="1"/>
  <c r="AP17" i="14835"/>
  <c r="CG4" i="14835"/>
  <c r="AH30" i="14835"/>
  <c r="CG6" i="14835" s="1"/>
  <c r="CG16" i="14835" s="1"/>
  <c r="CG17" i="14835" s="1"/>
  <c r="BH190" i="14835"/>
  <c r="BH191" i="14835" s="1"/>
  <c r="AH17" i="14835"/>
  <c r="BU189" i="14841"/>
  <c r="BU190" i="14841" s="1"/>
  <c r="CT4" i="14841"/>
  <c r="AU17" i="14841"/>
  <c r="AU30" i="14841"/>
  <c r="CT6" i="14841" s="1"/>
  <c r="CK4" i="14841"/>
  <c r="AL17" i="14841"/>
  <c r="AL30" i="14841"/>
  <c r="BL115" i="14841" s="1"/>
  <c r="BS189" i="14841"/>
  <c r="BS190" i="14841" s="1"/>
  <c r="CR4" i="14841"/>
  <c r="AS17" i="14841"/>
  <c r="AS30" i="14841"/>
  <c r="CR6" i="14841" s="1"/>
  <c r="CQ4" i="14835"/>
  <c r="AR30" i="14835"/>
  <c r="CQ6" i="14835" s="1"/>
  <c r="CQ16" i="14835" s="1"/>
  <c r="CQ17" i="14835" s="1"/>
  <c r="BR190" i="14835"/>
  <c r="BR191" i="14835" s="1"/>
  <c r="AR17" i="14835"/>
  <c r="CH4" i="14835"/>
  <c r="AI30" i="14835"/>
  <c r="CH6" i="14835" s="1"/>
  <c r="CH16" i="14835" s="1"/>
  <c r="CH17" i="14835" s="1"/>
  <c r="BI190" i="14835"/>
  <c r="BI191" i="14835" s="1"/>
  <c r="AI17" i="14835"/>
  <c r="BO189" i="14841"/>
  <c r="BO190" i="14841" s="1"/>
  <c r="DN14" i="14841"/>
  <c r="CN4" i="14841"/>
  <c r="AO17" i="14841"/>
  <c r="AO30" i="14841"/>
  <c r="CN6" i="14841" s="1"/>
  <c r="BR189" i="14841"/>
  <c r="BR190" i="14841" s="1"/>
  <c r="CQ4" i="14841"/>
  <c r="AR17" i="14841"/>
  <c r="AR30" i="14841"/>
  <c r="CQ6" i="14841" s="1"/>
  <c r="BO113" i="14835"/>
  <c r="CN6" i="14835"/>
  <c r="CN16" i="14835" s="1"/>
  <c r="CN17" i="14835" s="1"/>
  <c r="CG9" i="14809"/>
  <c r="CJ9" i="14809" s="1"/>
  <c r="H158" i="14814" l="1"/>
  <c r="H198" i="14814"/>
  <c r="V158" i="14814"/>
  <c r="V184" i="14814" s="1"/>
  <c r="V124" i="14814"/>
  <c r="V198" i="14814"/>
  <c r="V224" i="14814" s="1"/>
  <c r="BF279" i="14814"/>
  <c r="BF280" i="14814" s="1"/>
  <c r="D28" i="14842"/>
  <c r="D35" i="14842"/>
  <c r="D58" i="14842" s="1"/>
  <c r="M102" i="14786"/>
  <c r="D29" i="14842"/>
  <c r="D58" i="14822"/>
  <c r="D27" i="14842"/>
  <c r="N135" i="14786"/>
  <c r="N155" i="14814" s="1"/>
  <c r="N165" i="14814" s="1"/>
  <c r="M66" i="14786"/>
  <c r="M37" i="14786"/>
  <c r="F30" i="14842"/>
  <c r="G30" i="14842"/>
  <c r="D30" i="14842"/>
  <c r="AH346" i="14814"/>
  <c r="M90" i="14786"/>
  <c r="M93" i="14786" s="1"/>
  <c r="CX16" i="14841"/>
  <c r="CX17" i="14841" s="1"/>
  <c r="AH353" i="14814"/>
  <c r="M38" i="14786"/>
  <c r="V566" i="14814"/>
  <c r="W95" i="14814"/>
  <c r="W107" i="14814" s="1"/>
  <c r="X107" i="14814" s="1"/>
  <c r="L107" i="14814" s="1"/>
  <c r="W155" i="14814"/>
  <c r="W162" i="14814" s="1"/>
  <c r="X162" i="14814" s="1"/>
  <c r="L162" i="14814" s="1"/>
  <c r="W195" i="14814"/>
  <c r="W204" i="14814" s="1"/>
  <c r="X204" i="14814" s="1"/>
  <c r="L204" i="14814" s="1"/>
  <c r="M204" i="14814" s="1"/>
  <c r="X360" i="14814"/>
  <c r="AH348" i="14814"/>
  <c r="AH354" i="14814"/>
  <c r="AH359" i="14814"/>
  <c r="AH344" i="14814"/>
  <c r="M96" i="14786"/>
  <c r="T60" i="14814"/>
  <c r="AH347" i="14814"/>
  <c r="AH345" i="14814"/>
  <c r="AH342" i="14814"/>
  <c r="AH358" i="14814"/>
  <c r="X341" i="14814"/>
  <c r="AH361" i="14814"/>
  <c r="AH356" i="14814"/>
  <c r="AH351" i="14814"/>
  <c r="AH349" i="14814"/>
  <c r="AH340" i="14814"/>
  <c r="AH350" i="14814"/>
  <c r="AH362" i="14814"/>
  <c r="AH352" i="14814"/>
  <c r="AH357" i="14814"/>
  <c r="AH343" i="14814"/>
  <c r="AH355" i="14814"/>
  <c r="M13" i="14786"/>
  <c r="D39" i="14842"/>
  <c r="D36" i="14842"/>
  <c r="C275" i="14814"/>
  <c r="H246" i="14814"/>
  <c r="H242" i="14814"/>
  <c r="H257" i="14814"/>
  <c r="H250" i="14814"/>
  <c r="H253" i="14814"/>
  <c r="H260" i="14814"/>
  <c r="H244" i="14814"/>
  <c r="H245" i="14814"/>
  <c r="H254" i="14814"/>
  <c r="H256" i="14814"/>
  <c r="H241" i="14814"/>
  <c r="H252" i="14814"/>
  <c r="H249" i="14814"/>
  <c r="H248" i="14814"/>
  <c r="H258" i="14814"/>
  <c r="H243" i="14814"/>
  <c r="H259" i="14814"/>
  <c r="H255" i="14814"/>
  <c r="H261" i="14814"/>
  <c r="H238" i="14814"/>
  <c r="H251" i="14814"/>
  <c r="H247" i="14814"/>
  <c r="H240" i="14814"/>
  <c r="GC11" i="14835"/>
  <c r="FD28" i="14835" s="1"/>
  <c r="GM11" i="14835"/>
  <c r="FN28" i="14835" s="1"/>
  <c r="GB12" i="14835"/>
  <c r="HA13" i="14835" s="1"/>
  <c r="HA14" i="14835" s="1"/>
  <c r="GD12" i="14835"/>
  <c r="HC13" i="14835" s="1"/>
  <c r="HC14" i="14835" s="1"/>
  <c r="GE11" i="14835"/>
  <c r="FF28" i="14835" s="1"/>
  <c r="AG16" i="14836"/>
  <c r="L20" i="14836" s="1"/>
  <c r="GJ12" i="14835"/>
  <c r="HI13" i="14835" s="1"/>
  <c r="HI14" i="14835" s="1"/>
  <c r="GF11" i="14835"/>
  <c r="FG28" i="14835" s="1"/>
  <c r="DF30" i="14835"/>
  <c r="DF31" i="14835" s="1"/>
  <c r="DJ30" i="14835"/>
  <c r="DJ31" i="14835" s="1"/>
  <c r="DP30" i="14835"/>
  <c r="DP31" i="14835" s="1"/>
  <c r="GA12" i="14835"/>
  <c r="GZ13" i="14835" s="1"/>
  <c r="GZ14" i="14835" s="1"/>
  <c r="GG12" i="14835"/>
  <c r="HF13" i="14835" s="1"/>
  <c r="HF14" i="14835" s="1"/>
  <c r="GA11" i="14835"/>
  <c r="FB28" i="14835" s="1"/>
  <c r="GF12" i="14835"/>
  <c r="HE13" i="14835" s="1"/>
  <c r="HE14" i="14835" s="1"/>
  <c r="X16" i="14836"/>
  <c r="F20" i="14836" s="1"/>
  <c r="DK30" i="14835"/>
  <c r="DK31" i="14835" s="1"/>
  <c r="DH30" i="14835"/>
  <c r="DH31" i="14835" s="1"/>
  <c r="GK12" i="14835"/>
  <c r="HJ13" i="14835" s="1"/>
  <c r="HJ14" i="14835" s="1"/>
  <c r="DE30" i="14835"/>
  <c r="DE31" i="14835" s="1"/>
  <c r="DN30" i="14835"/>
  <c r="DN31" i="14835" s="1"/>
  <c r="DG30" i="14835"/>
  <c r="DG31" i="14835" s="1"/>
  <c r="DD30" i="14835"/>
  <c r="DD31" i="14835" s="1"/>
  <c r="DO30" i="14835"/>
  <c r="DO31" i="14835" s="1"/>
  <c r="DI30" i="14835"/>
  <c r="DI31" i="14835" s="1"/>
  <c r="DL30" i="14835"/>
  <c r="DL31" i="14835" s="1"/>
  <c r="DM30" i="14835"/>
  <c r="DM31" i="14835" s="1"/>
  <c r="GJ11" i="14835"/>
  <c r="FK28" i="14835" s="1"/>
  <c r="AC16" i="14836"/>
  <c r="GI11" i="14835"/>
  <c r="FJ28" i="14835" s="1"/>
  <c r="GS11" i="14835"/>
  <c r="GP12" i="14835"/>
  <c r="HO13" i="14835" s="1"/>
  <c r="HO14" i="14835" s="1"/>
  <c r="GH12" i="14835"/>
  <c r="HG13" i="14835" s="1"/>
  <c r="HG14" i="14835" s="1"/>
  <c r="GH11" i="14835"/>
  <c r="FI28" i="14835" s="1"/>
  <c r="W16" i="14836"/>
  <c r="E20" i="14836" s="1"/>
  <c r="GI12" i="14835"/>
  <c r="HH13" i="14835" s="1"/>
  <c r="HH14" i="14835" s="1"/>
  <c r="E15" i="14822"/>
  <c r="E15" i="14842"/>
  <c r="E16" i="14822"/>
  <c r="E16" i="14842"/>
  <c r="G15" i="14822"/>
  <c r="G15" i="14842"/>
  <c r="G16" i="14822"/>
  <c r="G16" i="14842"/>
  <c r="F16" i="14842"/>
  <c r="F16" i="14822"/>
  <c r="F15" i="14842"/>
  <c r="F15" i="14822"/>
  <c r="O133" i="14786"/>
  <c r="K195" i="14814" s="1"/>
  <c r="M23" i="14786"/>
  <c r="M24" i="14786" s="1"/>
  <c r="GP11" i="14835"/>
  <c r="FQ28" i="14835" s="1"/>
  <c r="DM11" i="14835"/>
  <c r="BN37" i="14835"/>
  <c r="BN38" i="14835" s="1"/>
  <c r="V16" i="14836"/>
  <c r="D20" i="14836" s="1"/>
  <c r="AI16" i="14836"/>
  <c r="HJ70" i="14835"/>
  <c r="HJ71" i="14835" s="1"/>
  <c r="GK11" i="14835"/>
  <c r="FL28" i="14835" s="1"/>
  <c r="AE16" i="14836"/>
  <c r="K20" i="14836" s="1"/>
  <c r="AJ16" i="14836"/>
  <c r="N20" i="14836" s="1"/>
  <c r="V31" i="14843"/>
  <c r="FZ11" i="14835"/>
  <c r="FA28" i="14835" s="1"/>
  <c r="FZ12" i="14835"/>
  <c r="GY13" i="14835" s="1"/>
  <c r="GY14" i="14835" s="1"/>
  <c r="CH16" i="14841"/>
  <c r="CH17" i="14841" s="1"/>
  <c r="BI121" i="14841"/>
  <c r="CH12" i="14841"/>
  <c r="GG11" i="14835"/>
  <c r="FH28" i="14835" s="1"/>
  <c r="HF70" i="14835"/>
  <c r="HF71" i="14835" s="1"/>
  <c r="AM16" i="14836"/>
  <c r="Q20" i="14836" s="1"/>
  <c r="AH16" i="14836"/>
  <c r="M20" i="14836" s="1"/>
  <c r="BV37" i="14835"/>
  <c r="BV38" i="14835" s="1"/>
  <c r="AB16" i="14836"/>
  <c r="I20" i="14836" s="1"/>
  <c r="CR8" i="14835"/>
  <c r="CR9" i="14835" s="1"/>
  <c r="CR10" i="14835" s="1"/>
  <c r="BS62" i="14835" s="1"/>
  <c r="BS63" i="14835" s="1"/>
  <c r="AD16" i="14836"/>
  <c r="J20" i="14836" s="1"/>
  <c r="CS8" i="14835"/>
  <c r="CS9" i="14835" s="1"/>
  <c r="CS10" i="14835" s="1"/>
  <c r="BT62" i="14835" s="1"/>
  <c r="BH37" i="14835"/>
  <c r="BH38" i="14835" s="1"/>
  <c r="FY12" i="14835"/>
  <c r="GX13" i="14835" s="1"/>
  <c r="GO12" i="14835"/>
  <c r="HN13" i="14835" s="1"/>
  <c r="HN14" i="14835" s="1"/>
  <c r="FT19" i="14835"/>
  <c r="FT20" i="14835" s="1"/>
  <c r="FT21" i="14835" s="1"/>
  <c r="DH11" i="14841"/>
  <c r="BG45" i="14835"/>
  <c r="CN8" i="14835"/>
  <c r="CN9" i="14835" s="1"/>
  <c r="CN10" i="14835" s="1"/>
  <c r="BO62" i="14835" s="1"/>
  <c r="BM37" i="14835"/>
  <c r="BM38" i="14835" s="1"/>
  <c r="G29" i="14822"/>
  <c r="O186" i="14786"/>
  <c r="D6" i="14822"/>
  <c r="I195" i="14814"/>
  <c r="I217" i="14814" s="1"/>
  <c r="N20" i="14786"/>
  <c r="V238" i="14814"/>
  <c r="V264" i="14814" s="1"/>
  <c r="BF340" i="14814"/>
  <c r="BF341" i="14814" s="1"/>
  <c r="BF342" i="14814" s="1"/>
  <c r="BF343" i="14814" s="1"/>
  <c r="E229" i="14814"/>
  <c r="AQ339" i="14814"/>
  <c r="BE340" i="14814" s="1"/>
  <c r="N180" i="14786"/>
  <c r="O180" i="14786"/>
  <c r="AJ45" i="14843"/>
  <c r="AK45" i="14843" s="1"/>
  <c r="AN45" i="14843" s="1"/>
  <c r="AS45" i="14843"/>
  <c r="AJ33" i="14843"/>
  <c r="AK33" i="14843" s="1"/>
  <c r="AN33" i="14843" s="1"/>
  <c r="AS33" i="14843"/>
  <c r="AJ19" i="14843"/>
  <c r="AK19" i="14843" s="1"/>
  <c r="AN19" i="14843" s="1"/>
  <c r="AS19" i="14843"/>
  <c r="AJ24" i="14843"/>
  <c r="AK24" i="14843" s="1"/>
  <c r="AN24" i="14843" s="1"/>
  <c r="AS24" i="14843"/>
  <c r="AJ47" i="14843"/>
  <c r="AK47" i="14843" s="1"/>
  <c r="AS47" i="14843"/>
  <c r="AJ8" i="14843"/>
  <c r="AK8" i="14843" s="1"/>
  <c r="AO8" i="14843" s="1"/>
  <c r="AS8" i="14843"/>
  <c r="AJ15" i="14843"/>
  <c r="AK15" i="14843" s="1"/>
  <c r="AN15" i="14843" s="1"/>
  <c r="AS15" i="14843"/>
  <c r="AJ44" i="14843"/>
  <c r="AK44" i="14843" s="1"/>
  <c r="AO44" i="14843" s="1"/>
  <c r="AS44" i="14843"/>
  <c r="AJ11" i="14843"/>
  <c r="AK11" i="14843" s="1"/>
  <c r="AN11" i="14843" s="1"/>
  <c r="AS11" i="14843"/>
  <c r="AJ43" i="14843"/>
  <c r="AK43" i="14843" s="1"/>
  <c r="AO43" i="14843" s="1"/>
  <c r="AS43" i="14843"/>
  <c r="AJ22" i="14843"/>
  <c r="AK22" i="14843" s="1"/>
  <c r="AN22" i="14843" s="1"/>
  <c r="AS22" i="14843"/>
  <c r="AJ35" i="14843"/>
  <c r="AK35" i="14843" s="1"/>
  <c r="AN35" i="14843" s="1"/>
  <c r="AS35" i="14843"/>
  <c r="AJ49" i="14843"/>
  <c r="AK49" i="14843" s="1"/>
  <c r="AO49" i="14843" s="1"/>
  <c r="AS49" i="14843"/>
  <c r="AJ29" i="14843"/>
  <c r="AK29" i="14843" s="1"/>
  <c r="AO29" i="14843" s="1"/>
  <c r="AS29" i="14843"/>
  <c r="AJ46" i="14843"/>
  <c r="AK46" i="14843" s="1"/>
  <c r="AO46" i="14843" s="1"/>
  <c r="AS46" i="14843"/>
  <c r="AJ25" i="14843"/>
  <c r="AK25" i="14843" s="1"/>
  <c r="AO25" i="14843" s="1"/>
  <c r="AS25" i="14843"/>
  <c r="AJ26" i="14843"/>
  <c r="AK26" i="14843" s="1"/>
  <c r="AN26" i="14843" s="1"/>
  <c r="AS26" i="14843"/>
  <c r="AJ16" i="14843"/>
  <c r="AK16" i="14843" s="1"/>
  <c r="AN16" i="14843" s="1"/>
  <c r="AS16" i="14843"/>
  <c r="AJ40" i="14843"/>
  <c r="AK40" i="14843" s="1"/>
  <c r="AO40" i="14843" s="1"/>
  <c r="AS40" i="14843"/>
  <c r="AJ14" i="14843"/>
  <c r="AK14" i="14843" s="1"/>
  <c r="AO14" i="14843" s="1"/>
  <c r="AS14" i="14843"/>
  <c r="AJ21" i="14843"/>
  <c r="AK21" i="14843" s="1"/>
  <c r="AN21" i="14843" s="1"/>
  <c r="AS21" i="14843"/>
  <c r="AJ23" i="14843"/>
  <c r="AK23" i="14843" s="1"/>
  <c r="AO23" i="14843" s="1"/>
  <c r="AS23" i="14843"/>
  <c r="AJ20" i="14843"/>
  <c r="AK20" i="14843" s="1"/>
  <c r="AN20" i="14843" s="1"/>
  <c r="AS20" i="14843"/>
  <c r="AJ51" i="14843"/>
  <c r="AK51" i="14843" s="1"/>
  <c r="AO51" i="14843" s="1"/>
  <c r="AS51" i="14843"/>
  <c r="AJ27" i="14843"/>
  <c r="AK27" i="14843" s="1"/>
  <c r="AN27" i="14843" s="1"/>
  <c r="AS27" i="14843"/>
  <c r="AJ30" i="14843"/>
  <c r="AK30" i="14843" s="1"/>
  <c r="AN30" i="14843" s="1"/>
  <c r="AS30" i="14843"/>
  <c r="AJ38" i="14843"/>
  <c r="AK38" i="14843" s="1"/>
  <c r="AN38" i="14843" s="1"/>
  <c r="AS38" i="14843"/>
  <c r="AJ31" i="14843"/>
  <c r="AK31" i="14843" s="1"/>
  <c r="AN31" i="14843" s="1"/>
  <c r="AS31" i="14843"/>
  <c r="AJ28" i="14843"/>
  <c r="AK28" i="14843" s="1"/>
  <c r="AN28" i="14843" s="1"/>
  <c r="AS28" i="14843"/>
  <c r="AJ34" i="14843"/>
  <c r="AK34" i="14843" s="1"/>
  <c r="AN34" i="14843" s="1"/>
  <c r="AS34" i="14843"/>
  <c r="AJ41" i="14843"/>
  <c r="AK41" i="14843" s="1"/>
  <c r="AO41" i="14843" s="1"/>
  <c r="AS41" i="14843"/>
  <c r="AJ10" i="14843"/>
  <c r="AK10" i="14843" s="1"/>
  <c r="AO10" i="14843" s="1"/>
  <c r="AS10" i="14843"/>
  <c r="AJ17" i="14843"/>
  <c r="AK17" i="14843" s="1"/>
  <c r="AN17" i="14843" s="1"/>
  <c r="AS17" i="14843"/>
  <c r="AJ13" i="14843"/>
  <c r="AK13" i="14843" s="1"/>
  <c r="AO13" i="14843" s="1"/>
  <c r="AS13" i="14843"/>
  <c r="AJ12" i="14843"/>
  <c r="AK12" i="14843" s="1"/>
  <c r="AN12" i="14843" s="1"/>
  <c r="AS12" i="14843"/>
  <c r="AJ9" i="14843"/>
  <c r="AK9" i="14843" s="1"/>
  <c r="AN9" i="14843" s="1"/>
  <c r="AS9" i="14843"/>
  <c r="AJ37" i="14843"/>
  <c r="AK37" i="14843" s="1"/>
  <c r="AO37" i="14843" s="1"/>
  <c r="AS37" i="14843"/>
  <c r="AJ18" i="14843"/>
  <c r="AK18" i="14843" s="1"/>
  <c r="AN18" i="14843" s="1"/>
  <c r="AS18" i="14843"/>
  <c r="AJ39" i="14843"/>
  <c r="AK39" i="14843" s="1"/>
  <c r="AN39" i="14843" s="1"/>
  <c r="AS39" i="14843"/>
  <c r="AJ48" i="14843"/>
  <c r="AK48" i="14843" s="1"/>
  <c r="AO48" i="14843" s="1"/>
  <c r="AS48" i="14843"/>
  <c r="AJ36" i="14843"/>
  <c r="AK36" i="14843" s="1"/>
  <c r="AO36" i="14843" s="1"/>
  <c r="AS36" i="14843"/>
  <c r="AJ32" i="14843"/>
  <c r="AK32" i="14843" s="1"/>
  <c r="AN32" i="14843" s="1"/>
  <c r="AS32" i="14843"/>
  <c r="N95" i="14814"/>
  <c r="N109" i="14814" s="1"/>
  <c r="Y16" i="14836"/>
  <c r="G20" i="14836" s="1"/>
  <c r="GO11" i="14835"/>
  <c r="BJ37" i="14835"/>
  <c r="BJ38" i="14835" s="1"/>
  <c r="GD11" i="14835"/>
  <c r="FE28" i="14835" s="1"/>
  <c r="DD11" i="14835"/>
  <c r="CD8" i="14835"/>
  <c r="CD9" i="14835" s="1"/>
  <c r="CD10" i="14835" s="1"/>
  <c r="BE62" i="14835" s="1"/>
  <c r="BE37" i="14835"/>
  <c r="BE38" i="14835" s="1"/>
  <c r="DI11" i="14835"/>
  <c r="AF16" i="14836"/>
  <c r="GC12" i="14835"/>
  <c r="HB13" i="14835" s="1"/>
  <c r="HB14" i="14835" s="1"/>
  <c r="FY11" i="14835"/>
  <c r="EZ28" i="14835" s="1"/>
  <c r="DN11" i="14835"/>
  <c r="BY37" i="14835"/>
  <c r="BY38" i="14835" s="1"/>
  <c r="GS12" i="14835"/>
  <c r="HR13" i="14835" s="1"/>
  <c r="HR14" i="14835" s="1"/>
  <c r="CH8" i="14841"/>
  <c r="CH9" i="14841" s="1"/>
  <c r="BI17" i="14841" s="1"/>
  <c r="AL16" i="14836"/>
  <c r="P20" i="14836" s="1"/>
  <c r="Z95" i="14814"/>
  <c r="AC98" i="14814" s="1"/>
  <c r="M180" i="14786"/>
  <c r="O142" i="14786"/>
  <c r="N185" i="14786"/>
  <c r="K193" i="14814"/>
  <c r="O138" i="14786"/>
  <c r="L392" i="14814"/>
  <c r="M62" i="14786"/>
  <c r="M63" i="14786"/>
  <c r="M67" i="14786"/>
  <c r="AL25" i="14843"/>
  <c r="AF25" i="14843"/>
  <c r="AM25" i="14843" s="1"/>
  <c r="AL16" i="14843"/>
  <c r="AF16" i="14843"/>
  <c r="AM16" i="14843" s="1"/>
  <c r="AL20" i="14843"/>
  <c r="AF20" i="14843"/>
  <c r="AM20" i="14843" s="1"/>
  <c r="AL15" i="14843"/>
  <c r="AF15" i="14843"/>
  <c r="AM15" i="14843" s="1"/>
  <c r="AL27" i="14843"/>
  <c r="AF27" i="14843"/>
  <c r="AM27" i="14843" s="1"/>
  <c r="AL11" i="14843"/>
  <c r="AF11" i="14843"/>
  <c r="AM11" i="14843" s="1"/>
  <c r="F269" i="14786"/>
  <c r="AL22" i="14843"/>
  <c r="AF22" i="14843"/>
  <c r="AM22" i="14843" s="1"/>
  <c r="AL49" i="14843"/>
  <c r="AF49" i="14843"/>
  <c r="AM49" i="14843" s="1"/>
  <c r="AL46" i="14843"/>
  <c r="AF46" i="14843"/>
  <c r="AM46" i="14843" s="1"/>
  <c r="AL38" i="14843"/>
  <c r="AF38" i="14843"/>
  <c r="AM38" i="14843" s="1"/>
  <c r="AL31" i="14843"/>
  <c r="AF31" i="14843"/>
  <c r="AM31" i="14843" s="1"/>
  <c r="AL28" i="14843"/>
  <c r="AF28" i="14843"/>
  <c r="AM28" i="14843" s="1"/>
  <c r="AL34" i="14843"/>
  <c r="AF34" i="14843"/>
  <c r="AM34" i="14843" s="1"/>
  <c r="AL41" i="14843"/>
  <c r="AF41" i="14843"/>
  <c r="AM41" i="14843" s="1"/>
  <c r="AL10" i="14843"/>
  <c r="AF10" i="14843"/>
  <c r="AM10" i="14843" s="1"/>
  <c r="AL17" i="14843"/>
  <c r="AF17" i="14843"/>
  <c r="AM17" i="14843" s="1"/>
  <c r="AL13" i="14843"/>
  <c r="AF13" i="14843"/>
  <c r="AM13" i="14843" s="1"/>
  <c r="AL12" i="14843"/>
  <c r="AF12" i="14843"/>
  <c r="AM12" i="14843" s="1"/>
  <c r="AL9" i="14843"/>
  <c r="AF9" i="14843"/>
  <c r="AM9" i="14843" s="1"/>
  <c r="AL37" i="14843"/>
  <c r="AF37" i="14843"/>
  <c r="AM37" i="14843" s="1"/>
  <c r="AL18" i="14843"/>
  <c r="AF18" i="14843"/>
  <c r="AM18" i="14843" s="1"/>
  <c r="AL39" i="14843"/>
  <c r="AF39" i="14843"/>
  <c r="AM39" i="14843" s="1"/>
  <c r="AL48" i="14843"/>
  <c r="AF48" i="14843"/>
  <c r="AL36" i="14843"/>
  <c r="AF36" i="14843"/>
  <c r="AM36" i="14843" s="1"/>
  <c r="AL32" i="14843"/>
  <c r="AF32" i="14843"/>
  <c r="AM32" i="14843" s="1"/>
  <c r="AL26" i="14843"/>
  <c r="AF26" i="14843"/>
  <c r="AM26" i="14843" s="1"/>
  <c r="AL40" i="14843"/>
  <c r="AF40" i="14843"/>
  <c r="AM40" i="14843" s="1"/>
  <c r="AL14" i="14843"/>
  <c r="AF14" i="14843"/>
  <c r="AM14" i="14843" s="1"/>
  <c r="AL21" i="14843"/>
  <c r="AF21" i="14843"/>
  <c r="AM21" i="14843" s="1"/>
  <c r="AL23" i="14843"/>
  <c r="AF23" i="14843"/>
  <c r="AM23" i="14843" s="1"/>
  <c r="AL51" i="14843"/>
  <c r="AF51" i="14843"/>
  <c r="AM51" i="14843" s="1"/>
  <c r="AL8" i="14843"/>
  <c r="AF8" i="14843"/>
  <c r="AM8" i="14843" s="1"/>
  <c r="AL44" i="14843"/>
  <c r="AF44" i="14843"/>
  <c r="AM44" i="14843" s="1"/>
  <c r="AL43" i="14843"/>
  <c r="AF43" i="14843"/>
  <c r="AM43" i="14843" s="1"/>
  <c r="CL16" i="14835"/>
  <c r="CL17" i="14835" s="1"/>
  <c r="AL35" i="14843"/>
  <c r="AF35" i="14843"/>
  <c r="AM35" i="14843" s="1"/>
  <c r="AL29" i="14843"/>
  <c r="AF29" i="14843"/>
  <c r="AM29" i="14843" s="1"/>
  <c r="CM16" i="14841"/>
  <c r="CM17" i="14841" s="1"/>
  <c r="CS16" i="14835"/>
  <c r="CS17" i="14835" s="1"/>
  <c r="AL45" i="14843"/>
  <c r="AF45" i="14843"/>
  <c r="AM45" i="14843" s="1"/>
  <c r="AL33" i="14843"/>
  <c r="AF33" i="14843"/>
  <c r="AM33" i="14843" s="1"/>
  <c r="AL19" i="14843"/>
  <c r="AF19" i="14843"/>
  <c r="AM19" i="14843" s="1"/>
  <c r="AL24" i="14843"/>
  <c r="AF24" i="14843"/>
  <c r="AM24" i="14843" s="1"/>
  <c r="AL47" i="14843"/>
  <c r="AF47" i="14843"/>
  <c r="AM47" i="14843" s="1"/>
  <c r="AF30" i="14843"/>
  <c r="AM30" i="14843" s="1"/>
  <c r="W60" i="14814"/>
  <c r="D37" i="14822"/>
  <c r="I96" i="14814"/>
  <c r="I113" i="14814" s="1"/>
  <c r="P585" i="14814"/>
  <c r="T95" i="14814"/>
  <c r="U95" i="14814" s="1"/>
  <c r="E160" i="14814"/>
  <c r="E159" i="14814"/>
  <c r="O161" i="14786"/>
  <c r="H273" i="14786" s="1"/>
  <c r="M161" i="14786"/>
  <c r="H275" i="14786" s="1"/>
  <c r="N133" i="14786"/>
  <c r="K155" i="14814" s="1"/>
  <c r="N161" i="14786"/>
  <c r="H274" i="14786" s="1"/>
  <c r="T155" i="14814"/>
  <c r="U155" i="14814" s="1"/>
  <c r="K95" i="14814"/>
  <c r="T195" i="14814"/>
  <c r="U195" i="14814" s="1"/>
  <c r="U566" i="14814"/>
  <c r="D27" i="14822"/>
  <c r="E270" i="14786"/>
  <c r="M156" i="14814"/>
  <c r="E195" i="14814"/>
  <c r="E199" i="14814" s="1"/>
  <c r="I196" i="14814"/>
  <c r="E95" i="14814"/>
  <c r="I156" i="14814"/>
  <c r="F29" i="14822"/>
  <c r="N195" i="14814"/>
  <c r="N219" i="14814" s="1"/>
  <c r="M96" i="14814"/>
  <c r="M100" i="14786"/>
  <c r="D155" i="14814"/>
  <c r="D158" i="14814" s="1"/>
  <c r="D29" i="14822"/>
  <c r="D195" i="14814"/>
  <c r="D200" i="14814" s="1"/>
  <c r="CD16" i="14841"/>
  <c r="CD17" i="14841" s="1"/>
  <c r="CS16" i="14841"/>
  <c r="CS17" i="14841" s="1"/>
  <c r="CO16" i="14841"/>
  <c r="CO17" i="14841" s="1"/>
  <c r="E269" i="14786"/>
  <c r="CQ16" i="14841"/>
  <c r="CQ17" i="14841" s="1"/>
  <c r="BI37" i="14835"/>
  <c r="BI38" i="14835" s="1"/>
  <c r="CN16" i="14841"/>
  <c r="CN17" i="14841" s="1"/>
  <c r="CR16" i="14841"/>
  <c r="CR17" i="14841" s="1"/>
  <c r="CM16" i="14835"/>
  <c r="CM17" i="14835" s="1"/>
  <c r="CU16" i="14835"/>
  <c r="CU17" i="14835" s="1"/>
  <c r="D28" i="14822"/>
  <c r="F268" i="14786"/>
  <c r="I95" i="14814"/>
  <c r="I100" i="14814" s="1"/>
  <c r="O20" i="14786"/>
  <c r="M193" i="14786"/>
  <c r="M195" i="14786" s="1"/>
  <c r="O28" i="14786"/>
  <c r="O165" i="14786"/>
  <c r="E268" i="14786"/>
  <c r="N186" i="14786"/>
  <c r="D39" i="14822"/>
  <c r="D34" i="14822"/>
  <c r="I155" i="14814"/>
  <c r="I164" i="14814" s="1"/>
  <c r="D36" i="14822"/>
  <c r="D95" i="14814"/>
  <c r="D99" i="14814" s="1"/>
  <c r="N28" i="14786"/>
  <c r="Z93" i="14814"/>
  <c r="N136" i="14786"/>
  <c r="N184" i="14786"/>
  <c r="D421" i="14814"/>
  <c r="D397" i="14814"/>
  <c r="C280" i="14814"/>
  <c r="D541" i="14814"/>
  <c r="D469" i="14814"/>
  <c r="D493" i="14814"/>
  <c r="D445" i="14814"/>
  <c r="C65" i="14814"/>
  <c r="D517" i="14814"/>
  <c r="F573" i="14814"/>
  <c r="B629" i="14814"/>
  <c r="E629" i="14814" s="1"/>
  <c r="B657" i="14814"/>
  <c r="E657" i="14814" s="1"/>
  <c r="B685" i="14814"/>
  <c r="E685" i="14814" s="1"/>
  <c r="B713" i="14814"/>
  <c r="E713" i="14814" s="1"/>
  <c r="B741" i="14814"/>
  <c r="E741" i="14814" s="1"/>
  <c r="B769" i="14814"/>
  <c r="E769" i="14814" s="1"/>
  <c r="B797" i="14814"/>
  <c r="E797" i="14814" s="1"/>
  <c r="B860" i="14814"/>
  <c r="E860" i="14814" s="1"/>
  <c r="B923" i="14814"/>
  <c r="E923" i="14814" s="1"/>
  <c r="B825" i="14814"/>
  <c r="E825" i="14814" s="1"/>
  <c r="B853" i="14814"/>
  <c r="E853" i="14814" s="1"/>
  <c r="B888" i="14814"/>
  <c r="E888" i="14814" s="1"/>
  <c r="B916" i="14814"/>
  <c r="E916" i="14814" s="1"/>
  <c r="B951" i="14814"/>
  <c r="E951" i="14814" s="1"/>
  <c r="B622" i="14814"/>
  <c r="E622" i="14814" s="1"/>
  <c r="B650" i="14814"/>
  <c r="E650" i="14814" s="1"/>
  <c r="B678" i="14814"/>
  <c r="E678" i="14814" s="1"/>
  <c r="B706" i="14814"/>
  <c r="E706" i="14814" s="1"/>
  <c r="B734" i="14814"/>
  <c r="E734" i="14814" s="1"/>
  <c r="B762" i="14814"/>
  <c r="E762" i="14814" s="1"/>
  <c r="B790" i="14814"/>
  <c r="E790" i="14814" s="1"/>
  <c r="B818" i="14814"/>
  <c r="E818" i="14814" s="1"/>
  <c r="B881" i="14814"/>
  <c r="E881" i="14814" s="1"/>
  <c r="B944" i="14814"/>
  <c r="E944" i="14814" s="1"/>
  <c r="B846" i="14814"/>
  <c r="E846" i="14814" s="1"/>
  <c r="B909" i="14814"/>
  <c r="E909" i="14814" s="1"/>
  <c r="B972" i="14814"/>
  <c r="E972" i="14814" s="1"/>
  <c r="B643" i="14814"/>
  <c r="E643" i="14814" s="1"/>
  <c r="B671" i="14814"/>
  <c r="E671" i="14814" s="1"/>
  <c r="B699" i="14814"/>
  <c r="E699" i="14814" s="1"/>
  <c r="B727" i="14814"/>
  <c r="E727" i="14814" s="1"/>
  <c r="B755" i="14814"/>
  <c r="E755" i="14814" s="1"/>
  <c r="B783" i="14814"/>
  <c r="E783" i="14814" s="1"/>
  <c r="B811" i="14814"/>
  <c r="E811" i="14814" s="1"/>
  <c r="B874" i="14814"/>
  <c r="E874" i="14814" s="1"/>
  <c r="B937" i="14814"/>
  <c r="E937" i="14814" s="1"/>
  <c r="B839" i="14814"/>
  <c r="E839" i="14814" s="1"/>
  <c r="B902" i="14814"/>
  <c r="E902" i="14814" s="1"/>
  <c r="B965" i="14814"/>
  <c r="E965" i="14814" s="1"/>
  <c r="B615" i="14814"/>
  <c r="E615" i="14814" s="1"/>
  <c r="B636" i="14814"/>
  <c r="B664" i="14814"/>
  <c r="E664" i="14814" s="1"/>
  <c r="B692" i="14814"/>
  <c r="E692" i="14814" s="1"/>
  <c r="B720" i="14814"/>
  <c r="E720" i="14814" s="1"/>
  <c r="B748" i="14814"/>
  <c r="E748" i="14814" s="1"/>
  <c r="B776" i="14814"/>
  <c r="E776" i="14814" s="1"/>
  <c r="B804" i="14814"/>
  <c r="E804" i="14814" s="1"/>
  <c r="B867" i="14814"/>
  <c r="E867" i="14814" s="1"/>
  <c r="B930" i="14814"/>
  <c r="E930" i="14814" s="1"/>
  <c r="B832" i="14814"/>
  <c r="E832" i="14814" s="1"/>
  <c r="B895" i="14814"/>
  <c r="E895" i="14814" s="1"/>
  <c r="B958" i="14814"/>
  <c r="E958" i="14814" s="1"/>
  <c r="F718" i="14814"/>
  <c r="F703" i="14814"/>
  <c r="F719" i="14814"/>
  <c r="F702" i="14814"/>
  <c r="F716" i="14814"/>
  <c r="F726" i="14814"/>
  <c r="F706" i="14814"/>
  <c r="F708" i="14814"/>
  <c r="F715" i="14814"/>
  <c r="F709" i="14814"/>
  <c r="F722" i="14814"/>
  <c r="F728" i="14814"/>
  <c r="F710" i="14814"/>
  <c r="F730" i="14814"/>
  <c r="F705" i="14814"/>
  <c r="F707" i="14814"/>
  <c r="F720" i="14814"/>
  <c r="F717" i="14814"/>
  <c r="F731" i="14814"/>
  <c r="F721" i="14814"/>
  <c r="F713" i="14814"/>
  <c r="F724" i="14814"/>
  <c r="F729" i="14814"/>
  <c r="F714" i="14814"/>
  <c r="F725" i="14814"/>
  <c r="F712" i="14814"/>
  <c r="F704" i="14814"/>
  <c r="F711" i="14814"/>
  <c r="F723" i="14814"/>
  <c r="F727" i="14814"/>
  <c r="D573" i="14814"/>
  <c r="H573" i="14814"/>
  <c r="A574" i="14814"/>
  <c r="C573" i="14814"/>
  <c r="G726" i="14814"/>
  <c r="G722" i="14814"/>
  <c r="G706" i="14814"/>
  <c r="G725" i="14814"/>
  <c r="G723" i="14814"/>
  <c r="G703" i="14814"/>
  <c r="G721" i="14814"/>
  <c r="G728" i="14814"/>
  <c r="G709" i="14814"/>
  <c r="G708" i="14814"/>
  <c r="G716" i="14814"/>
  <c r="G720" i="14814"/>
  <c r="G702" i="14814"/>
  <c r="G715" i="14814"/>
  <c r="G704" i="14814"/>
  <c r="G710" i="14814"/>
  <c r="G705" i="14814"/>
  <c r="G724" i="14814"/>
  <c r="G712" i="14814"/>
  <c r="G711" i="14814"/>
  <c r="G730" i="14814"/>
  <c r="G707" i="14814"/>
  <c r="G731" i="14814"/>
  <c r="G717" i="14814"/>
  <c r="G729" i="14814"/>
  <c r="G727" i="14814"/>
  <c r="G719" i="14814"/>
  <c r="G714" i="14814"/>
  <c r="G713" i="14814"/>
  <c r="G718" i="14814"/>
  <c r="E636" i="14814"/>
  <c r="B66" i="14814"/>
  <c r="C342" i="14814" s="1"/>
  <c r="D66" i="14814"/>
  <c r="A67" i="14814"/>
  <c r="CV8" i="14835"/>
  <c r="CV9" i="14835" s="1"/>
  <c r="CV10" i="14835" s="1"/>
  <c r="BW62" i="14835" s="1"/>
  <c r="BW45" i="14835" s="1"/>
  <c r="Z16" i="14836"/>
  <c r="CH8" i="14835"/>
  <c r="CH9" i="14835" s="1"/>
  <c r="GE12" i="14835"/>
  <c r="HD13" i="14835" s="1"/>
  <c r="HD14" i="14835" s="1"/>
  <c r="HD70" i="14835"/>
  <c r="HD71" i="14835" s="1"/>
  <c r="AA16" i="14836"/>
  <c r="H20" i="14836" s="1"/>
  <c r="CP8" i="14835"/>
  <c r="CP9" i="14835" s="1"/>
  <c r="CP10" i="14835" s="1"/>
  <c r="BQ62" i="14835" s="1"/>
  <c r="BQ63" i="14835" s="1"/>
  <c r="BX37" i="14835"/>
  <c r="BX38" i="14835" s="1"/>
  <c r="GR12" i="14835"/>
  <c r="HQ13" i="14835" s="1"/>
  <c r="HQ14" i="14835" s="1"/>
  <c r="CW10" i="14835"/>
  <c r="BX62" i="14835" s="1"/>
  <c r="BQ37" i="14835"/>
  <c r="BQ38" i="14835" s="1"/>
  <c r="GT12" i="14835"/>
  <c r="HS13" i="14835" s="1"/>
  <c r="HS14" i="14835" s="1"/>
  <c r="BU37" i="14841"/>
  <c r="BU38" i="14841" s="1"/>
  <c r="FT19" i="14841"/>
  <c r="FT20" i="14841" s="1"/>
  <c r="FT21" i="14841" s="1"/>
  <c r="GT11" i="14835"/>
  <c r="FU19" i="14835"/>
  <c r="FU20" i="14835" s="1"/>
  <c r="FU21" i="14835" s="1"/>
  <c r="CO8" i="14835"/>
  <c r="CO9" i="14835" s="1"/>
  <c r="CO10" i="14835" s="1"/>
  <c r="BP62" i="14835" s="1"/>
  <c r="CN8" i="14841"/>
  <c r="CN9" i="14841" s="1"/>
  <c r="CN10" i="14841" s="1"/>
  <c r="BO62" i="14841" s="1"/>
  <c r="BO45" i="14841" s="1"/>
  <c r="DN11" i="14841"/>
  <c r="CJ10" i="14841"/>
  <c r="BK62" i="14841" s="1"/>
  <c r="GQ12" i="14835"/>
  <c r="HP13" i="14835" s="1"/>
  <c r="HP14" i="14835" s="1"/>
  <c r="GQ11" i="14835"/>
  <c r="FR28" i="14835" s="1"/>
  <c r="FU19" i="14841"/>
  <c r="FU20" i="14841" s="1"/>
  <c r="FU21" i="14841" s="1"/>
  <c r="HA70" i="14835"/>
  <c r="HA71" i="14835" s="1"/>
  <c r="GB11" i="14835"/>
  <c r="FC28" i="14835" s="1"/>
  <c r="DM11" i="14841"/>
  <c r="BN37" i="14841"/>
  <c r="BN38" i="14841" s="1"/>
  <c r="GT11" i="14841"/>
  <c r="BE37" i="14841"/>
  <c r="BE38" i="14841" s="1"/>
  <c r="FT19" i="14850"/>
  <c r="FT20" i="14850" s="1"/>
  <c r="FT21" i="14850" s="1"/>
  <c r="CD8" i="14841"/>
  <c r="CD9" i="14841" s="1"/>
  <c r="CD10" i="14841" s="1"/>
  <c r="BE62" i="14841" s="1"/>
  <c r="BE63" i="14841" s="1"/>
  <c r="FT19" i="14851"/>
  <c r="FT20" i="14851" s="1"/>
  <c r="FT21" i="14851" s="1"/>
  <c r="GN12" i="14851"/>
  <c r="HM13" i="14851" s="1"/>
  <c r="HM14" i="14851" s="1"/>
  <c r="FY11" i="14851"/>
  <c r="EZ28" i="14851" s="1"/>
  <c r="HR70" i="14851"/>
  <c r="HR71" i="14851" s="1"/>
  <c r="GS12" i="14851"/>
  <c r="HR13" i="14851" s="1"/>
  <c r="HR14" i="14851" s="1"/>
  <c r="GS11" i="14851"/>
  <c r="HA70" i="14851"/>
  <c r="HA71" i="14851" s="1"/>
  <c r="GB12" i="14851"/>
  <c r="HA13" i="14851" s="1"/>
  <c r="HA14" i="14851" s="1"/>
  <c r="GB11" i="14851"/>
  <c r="FC28" i="14851" s="1"/>
  <c r="BS37" i="14851"/>
  <c r="BS38" i="14851" s="1"/>
  <c r="CR8" i="14851"/>
  <c r="HJ70" i="14851"/>
  <c r="HJ71" i="14851" s="1"/>
  <c r="GK12" i="14851"/>
  <c r="HJ13" i="14851" s="1"/>
  <c r="HJ14" i="14851" s="1"/>
  <c r="GK11" i="14851"/>
  <c r="FL28" i="14851" s="1"/>
  <c r="BR37" i="14851"/>
  <c r="BR38" i="14851" s="1"/>
  <c r="CQ8" i="14851"/>
  <c r="CT8" i="14851"/>
  <c r="BU37" i="14851"/>
  <c r="BU38" i="14851" s="1"/>
  <c r="DM11" i="14851"/>
  <c r="BN37" i="14851"/>
  <c r="BN38" i="14851" s="1"/>
  <c r="CM8" i="14851"/>
  <c r="GM12" i="14851"/>
  <c r="HL13" i="14851" s="1"/>
  <c r="HL14" i="14851" s="1"/>
  <c r="GM11" i="14851"/>
  <c r="FN28" i="14851" s="1"/>
  <c r="HL70" i="14851"/>
  <c r="HL71" i="14851" s="1"/>
  <c r="HN70" i="14851"/>
  <c r="HN71" i="14851" s="1"/>
  <c r="GO12" i="14851"/>
  <c r="HN13" i="14851" s="1"/>
  <c r="HN14" i="14851" s="1"/>
  <c r="GO11" i="14851"/>
  <c r="DP11" i="14851"/>
  <c r="BQ37" i="14851"/>
  <c r="BQ38" i="14851" s="1"/>
  <c r="CP8" i="14851"/>
  <c r="GL11" i="14851"/>
  <c r="FM28" i="14851" s="1"/>
  <c r="GL12" i="14851"/>
  <c r="HK13" i="14851" s="1"/>
  <c r="HK14" i="14851" s="1"/>
  <c r="HK70" i="14851"/>
  <c r="HK71" i="14851" s="1"/>
  <c r="BV37" i="14851"/>
  <c r="BV38" i="14851" s="1"/>
  <c r="CU8" i="14851"/>
  <c r="HG70" i="14851"/>
  <c r="HG71" i="14851" s="1"/>
  <c r="GH12" i="14851"/>
  <c r="HG13" i="14851" s="1"/>
  <c r="HG14" i="14851" s="1"/>
  <c r="GH11" i="14851"/>
  <c r="FI28" i="14851" s="1"/>
  <c r="CN8" i="14851"/>
  <c r="DN11" i="14851"/>
  <c r="BO37" i="14851"/>
  <c r="BO38" i="14851" s="1"/>
  <c r="HP70" i="14851"/>
  <c r="HP71" i="14851" s="1"/>
  <c r="GQ11" i="14851"/>
  <c r="FR28" i="14851" s="1"/>
  <c r="GQ12" i="14851"/>
  <c r="HP13" i="14851" s="1"/>
  <c r="HP14" i="14851" s="1"/>
  <c r="BX37" i="14851"/>
  <c r="BX38" i="14851" s="1"/>
  <c r="CW8" i="14851"/>
  <c r="HO70" i="14851"/>
  <c r="HO71" i="14851" s="1"/>
  <c r="GP12" i="14851"/>
  <c r="HO13" i="14851" s="1"/>
  <c r="HO14" i="14851" s="1"/>
  <c r="GP11" i="14851"/>
  <c r="FQ28" i="14851" s="1"/>
  <c r="DI11" i="14851"/>
  <c r="BJ37" i="14851"/>
  <c r="BJ38" i="14851" s="1"/>
  <c r="CI8" i="14851"/>
  <c r="HH70" i="14851"/>
  <c r="HH71" i="14851" s="1"/>
  <c r="GI11" i="14851"/>
  <c r="FJ28" i="14851" s="1"/>
  <c r="GI12" i="14851"/>
  <c r="HH13" i="14851" s="1"/>
  <c r="HH14" i="14851" s="1"/>
  <c r="CJ9" i="14851"/>
  <c r="BK17" i="14851" s="1"/>
  <c r="BW37" i="14851"/>
  <c r="BW38" i="14851" s="1"/>
  <c r="CV8" i="14851"/>
  <c r="HE70" i="14851"/>
  <c r="HE71" i="14851" s="1"/>
  <c r="GF11" i="14851"/>
  <c r="FG28" i="14851" s="1"/>
  <c r="GF12" i="14851"/>
  <c r="HE13" i="14851" s="1"/>
  <c r="HE14" i="14851" s="1"/>
  <c r="GR12" i="14851"/>
  <c r="HQ13" i="14851" s="1"/>
  <c r="HQ14" i="14851" s="1"/>
  <c r="GR11" i="14851"/>
  <c r="FS28" i="14851" s="1"/>
  <c r="HQ70" i="14851"/>
  <c r="HQ71" i="14851" s="1"/>
  <c r="HI70" i="14851"/>
  <c r="HI71" i="14851" s="1"/>
  <c r="GJ12" i="14851"/>
  <c r="HI13" i="14851" s="1"/>
  <c r="HI14" i="14851" s="1"/>
  <c r="GJ11" i="14851"/>
  <c r="FK28" i="14851" s="1"/>
  <c r="HB70" i="14851"/>
  <c r="HB71" i="14851" s="1"/>
  <c r="GC12" i="14851"/>
  <c r="HB13" i="14851" s="1"/>
  <c r="HB14" i="14851" s="1"/>
  <c r="GC11" i="14851"/>
  <c r="FD28" i="14851" s="1"/>
  <c r="HC70" i="14851"/>
  <c r="HC71" i="14851" s="1"/>
  <c r="GD12" i="14851"/>
  <c r="HC13" i="14851" s="1"/>
  <c r="HC14" i="14851" s="1"/>
  <c r="GD11" i="14851"/>
  <c r="FE28" i="14851" s="1"/>
  <c r="GE12" i="14851"/>
  <c r="HD13" i="14851" s="1"/>
  <c r="HD14" i="14851" s="1"/>
  <c r="HD70" i="14851"/>
  <c r="HD71" i="14851" s="1"/>
  <c r="GE11" i="14851"/>
  <c r="FF28" i="14851" s="1"/>
  <c r="CX8" i="14851"/>
  <c r="BY37" i="14851"/>
  <c r="BY38" i="14851" s="1"/>
  <c r="BL17" i="14851"/>
  <c r="BP37" i="14851"/>
  <c r="BP38" i="14851" s="1"/>
  <c r="CO8" i="14851"/>
  <c r="BI37" i="14851"/>
  <c r="BI38" i="14851" s="1"/>
  <c r="CH8" i="14851"/>
  <c r="DH11" i="14851"/>
  <c r="GG12" i="14851"/>
  <c r="HF13" i="14851" s="1"/>
  <c r="HF14" i="14851" s="1"/>
  <c r="HF70" i="14851"/>
  <c r="HF71" i="14851" s="1"/>
  <c r="GG11" i="14851"/>
  <c r="FH28" i="14851" s="1"/>
  <c r="BH37" i="14851"/>
  <c r="BH38" i="14851" s="1"/>
  <c r="CG8" i="14851"/>
  <c r="BT37" i="14851"/>
  <c r="BT38" i="14851" s="1"/>
  <c r="CS8" i="14851"/>
  <c r="BE37" i="14851"/>
  <c r="BE38" i="14851" s="1"/>
  <c r="CD8" i="14851"/>
  <c r="DD11" i="14851"/>
  <c r="CL8" i="14851"/>
  <c r="BM37" i="14851"/>
  <c r="BM38" i="14851" s="1"/>
  <c r="DP11" i="14850"/>
  <c r="BQ37" i="14850"/>
  <c r="BQ38" i="14850" s="1"/>
  <c r="CP8" i="14850"/>
  <c r="HB70" i="14850"/>
  <c r="HB71" i="14850" s="1"/>
  <c r="GC11" i="14850"/>
  <c r="FD28" i="14850" s="1"/>
  <c r="GC12" i="14850"/>
  <c r="HB13" i="14850" s="1"/>
  <c r="HB14" i="14850" s="1"/>
  <c r="HF70" i="14850"/>
  <c r="HF71" i="14850" s="1"/>
  <c r="GG12" i="14850"/>
  <c r="HF13" i="14850" s="1"/>
  <c r="HF14" i="14850" s="1"/>
  <c r="GG11" i="14850"/>
  <c r="FH28" i="14850" s="1"/>
  <c r="HD70" i="14850"/>
  <c r="HD71" i="14850" s="1"/>
  <c r="GE12" i="14850"/>
  <c r="HD13" i="14850" s="1"/>
  <c r="HD14" i="14850" s="1"/>
  <c r="GE11" i="14850"/>
  <c r="FF28" i="14850" s="1"/>
  <c r="GR11" i="14850"/>
  <c r="FS28" i="14850" s="1"/>
  <c r="HQ70" i="14850"/>
  <c r="HQ71" i="14850" s="1"/>
  <c r="GR12" i="14850"/>
  <c r="HQ13" i="14850" s="1"/>
  <c r="HQ14" i="14850" s="1"/>
  <c r="HI70" i="14850"/>
  <c r="HI71" i="14850" s="1"/>
  <c r="GJ12" i="14850"/>
  <c r="HI13" i="14850" s="1"/>
  <c r="HI14" i="14850" s="1"/>
  <c r="GJ11" i="14850"/>
  <c r="FK28" i="14850" s="1"/>
  <c r="BI37" i="14850"/>
  <c r="BI38" i="14850" s="1"/>
  <c r="CH8" i="14850"/>
  <c r="DH11" i="14850"/>
  <c r="HN70" i="14850"/>
  <c r="HN71" i="14850" s="1"/>
  <c r="GO11" i="14850"/>
  <c r="GO12" i="14850"/>
  <c r="HN13" i="14850" s="1"/>
  <c r="HN14" i="14850" s="1"/>
  <c r="BM37" i="14850"/>
  <c r="BM38" i="14850" s="1"/>
  <c r="CL8" i="14850"/>
  <c r="CJ9" i="14850"/>
  <c r="BK17" i="14850" s="1"/>
  <c r="BX37" i="14850"/>
  <c r="BX38" i="14850" s="1"/>
  <c r="CW8" i="14850"/>
  <c r="HM70" i="14850"/>
  <c r="HM71" i="14850" s="1"/>
  <c r="GN11" i="14850"/>
  <c r="GN12" i="14850"/>
  <c r="HM13" i="14850" s="1"/>
  <c r="HM14" i="14850" s="1"/>
  <c r="BP37" i="14850"/>
  <c r="BP38" i="14850" s="1"/>
  <c r="CO8" i="14850"/>
  <c r="HA70" i="14850"/>
  <c r="HA71" i="14850" s="1"/>
  <c r="GB12" i="14850"/>
  <c r="HA13" i="14850" s="1"/>
  <c r="HA14" i="14850" s="1"/>
  <c r="GB11" i="14850"/>
  <c r="FC28" i="14850" s="1"/>
  <c r="GH12" i="14850"/>
  <c r="HG13" i="14850" s="1"/>
  <c r="HG14" i="14850" s="1"/>
  <c r="HG70" i="14850"/>
  <c r="HG71" i="14850" s="1"/>
  <c r="GH11" i="14850"/>
  <c r="FI28" i="14850" s="1"/>
  <c r="BU37" i="14850"/>
  <c r="BU38" i="14850" s="1"/>
  <c r="CT8" i="14850"/>
  <c r="CT9" i="14850" s="1"/>
  <c r="CT10" i="14850" s="1"/>
  <c r="BU62" i="14850" s="1"/>
  <c r="HL70" i="14850"/>
  <c r="HL71" i="14850" s="1"/>
  <c r="GM12" i="14850"/>
  <c r="HL13" i="14850" s="1"/>
  <c r="HL14" i="14850" s="1"/>
  <c r="GM11" i="14850"/>
  <c r="FN28" i="14850" s="1"/>
  <c r="HH70" i="14850"/>
  <c r="HH71" i="14850" s="1"/>
  <c r="GI11" i="14850"/>
  <c r="FJ28" i="14850" s="1"/>
  <c r="GI12" i="14850"/>
  <c r="HH13" i="14850" s="1"/>
  <c r="HH14" i="14850" s="1"/>
  <c r="BT37" i="14850"/>
  <c r="BT38" i="14850" s="1"/>
  <c r="CS8" i="14850"/>
  <c r="CS9" i="14850" s="1"/>
  <c r="CS10" i="14850" s="1"/>
  <c r="BT62" i="14850" s="1"/>
  <c r="HE70" i="14850"/>
  <c r="HE71" i="14850" s="1"/>
  <c r="GF11" i="14850"/>
  <c r="FG28" i="14850" s="1"/>
  <c r="GF12" i="14850"/>
  <c r="HE13" i="14850" s="1"/>
  <c r="HE14" i="14850" s="1"/>
  <c r="BH37" i="14850"/>
  <c r="BH38" i="14850" s="1"/>
  <c r="CG8" i="14850"/>
  <c r="DM11" i="14850"/>
  <c r="CM8" i="14850"/>
  <c r="BN37" i="14850"/>
  <c r="BN38" i="14850" s="1"/>
  <c r="DI11" i="14850"/>
  <c r="BJ37" i="14850"/>
  <c r="BJ38" i="14850" s="1"/>
  <c r="CI8" i="14850"/>
  <c r="BS37" i="14850"/>
  <c r="BS38" i="14850" s="1"/>
  <c r="CR8" i="14850"/>
  <c r="CQ8" i="14850"/>
  <c r="BR37" i="14850"/>
  <c r="BR38" i="14850" s="1"/>
  <c r="GD11" i="14850"/>
  <c r="FE28" i="14850" s="1"/>
  <c r="HC70" i="14850"/>
  <c r="HC71" i="14850" s="1"/>
  <c r="GD12" i="14850"/>
  <c r="HC13" i="14850" s="1"/>
  <c r="HC14" i="14850" s="1"/>
  <c r="BO37" i="14850"/>
  <c r="BO38" i="14850" s="1"/>
  <c r="DN11" i="14850"/>
  <c r="CN8" i="14850"/>
  <c r="GS12" i="14850"/>
  <c r="HR13" i="14850" s="1"/>
  <c r="HR14" i="14850" s="1"/>
  <c r="HR70" i="14850"/>
  <c r="HR71" i="14850" s="1"/>
  <c r="GS11" i="14850"/>
  <c r="CK10" i="14850"/>
  <c r="BL62" i="14850" s="1"/>
  <c r="BL17" i="14850"/>
  <c r="HO70" i="14850"/>
  <c r="HO71" i="14850" s="1"/>
  <c r="GP11" i="14850"/>
  <c r="FQ28" i="14850" s="1"/>
  <c r="GP12" i="14850"/>
  <c r="HO13" i="14850" s="1"/>
  <c r="HO14" i="14850" s="1"/>
  <c r="HK70" i="14850"/>
  <c r="HK71" i="14850" s="1"/>
  <c r="GL12" i="14850"/>
  <c r="HK13" i="14850" s="1"/>
  <c r="HK14" i="14850" s="1"/>
  <c r="GL11" i="14850"/>
  <c r="FM28" i="14850" s="1"/>
  <c r="HP70" i="14850"/>
  <c r="HP71" i="14850" s="1"/>
  <c r="GQ11" i="14850"/>
  <c r="FR28" i="14850" s="1"/>
  <c r="GQ12" i="14850"/>
  <c r="HP13" i="14850" s="1"/>
  <c r="HP14" i="14850" s="1"/>
  <c r="FY11" i="14850"/>
  <c r="EZ28" i="14850" s="1"/>
  <c r="BV37" i="14850"/>
  <c r="BV38" i="14850" s="1"/>
  <c r="CU8" i="14850"/>
  <c r="CV8" i="14850"/>
  <c r="BW37" i="14850"/>
  <c r="BW38" i="14850" s="1"/>
  <c r="CX8" i="14850"/>
  <c r="BY37" i="14850"/>
  <c r="BY38" i="14850" s="1"/>
  <c r="HJ70" i="14850"/>
  <c r="HJ71" i="14850" s="1"/>
  <c r="GK11" i="14850"/>
  <c r="FL28" i="14850" s="1"/>
  <c r="GK12" i="14850"/>
  <c r="HJ13" i="14850" s="1"/>
  <c r="HJ14" i="14850" s="1"/>
  <c r="DD11" i="14850"/>
  <c r="BE37" i="14850"/>
  <c r="BE38" i="14850" s="1"/>
  <c r="CD8" i="14850"/>
  <c r="FY12" i="14850"/>
  <c r="GX13" i="14850" s="1"/>
  <c r="GA12" i="14851"/>
  <c r="GZ13" i="14851" s="1"/>
  <c r="GZ14" i="14851" s="1"/>
  <c r="GZ70" i="14851"/>
  <c r="GZ71" i="14851" s="1"/>
  <c r="GA11" i="14851"/>
  <c r="FB28" i="14851" s="1"/>
  <c r="HS70" i="14850"/>
  <c r="HS71" i="14850" s="1"/>
  <c r="GT12" i="14850"/>
  <c r="HS13" i="14850" s="1"/>
  <c r="HS14" i="14850" s="1"/>
  <c r="GT11" i="14850"/>
  <c r="HS70" i="14851"/>
  <c r="HS71" i="14851" s="1"/>
  <c r="GT12" i="14851"/>
  <c r="HS13" i="14851" s="1"/>
  <c r="HS14" i="14851" s="1"/>
  <c r="GT11" i="14851"/>
  <c r="FZ11" i="14851"/>
  <c r="FA28" i="14851" s="1"/>
  <c r="GY70" i="14851"/>
  <c r="GY71" i="14851" s="1"/>
  <c r="FZ12" i="14851"/>
  <c r="GY13" i="14851" s="1"/>
  <c r="GY14" i="14851" s="1"/>
  <c r="FU19" i="14851"/>
  <c r="FU20" i="14851" s="1"/>
  <c r="FU21" i="14851" s="1"/>
  <c r="FU19" i="14850"/>
  <c r="FU20" i="14850" s="1"/>
  <c r="FU21" i="14850" s="1"/>
  <c r="BG38" i="14850"/>
  <c r="BG45" i="14850"/>
  <c r="GA11" i="14850"/>
  <c r="FB28" i="14850" s="1"/>
  <c r="GA12" i="14850"/>
  <c r="GZ13" i="14850" s="1"/>
  <c r="GZ14" i="14850" s="1"/>
  <c r="GZ70" i="14850"/>
  <c r="GZ71" i="14850" s="1"/>
  <c r="GY70" i="14850"/>
  <c r="GY71" i="14850" s="1"/>
  <c r="FZ11" i="14850"/>
  <c r="FA28" i="14850" s="1"/>
  <c r="FZ12" i="14850"/>
  <c r="GY13" i="14850" s="1"/>
  <c r="GY14" i="14850" s="1"/>
  <c r="BG38" i="14851"/>
  <c r="BG45" i="14851"/>
  <c r="CI9" i="14809"/>
  <c r="M136" i="14786"/>
  <c r="DI11" i="14841"/>
  <c r="CI10" i="14841"/>
  <c r="BJ62" i="14841" s="1"/>
  <c r="BJ63" i="14841" s="1"/>
  <c r="BJ37" i="14841"/>
  <c r="BJ38" i="14841" s="1"/>
  <c r="BR37" i="14835"/>
  <c r="BR38" i="14835" s="1"/>
  <c r="BM37" i="14841"/>
  <c r="BM38" i="14841" s="1"/>
  <c r="GE11" i="14841"/>
  <c r="FF28" i="14841" s="1"/>
  <c r="CP8" i="14841"/>
  <c r="CP9" i="14841" s="1"/>
  <c r="CP10" i="14841" s="1"/>
  <c r="BQ62" i="14841" s="1"/>
  <c r="BQ37" i="14841"/>
  <c r="BQ38" i="14841" s="1"/>
  <c r="CS8" i="14841"/>
  <c r="CS9" i="14841" s="1"/>
  <c r="CS10" i="14841" s="1"/>
  <c r="BT62" i="14841" s="1"/>
  <c r="BW37" i="14841"/>
  <c r="BW38" i="14841" s="1"/>
  <c r="BV37" i="14841"/>
  <c r="BV38" i="14841" s="1"/>
  <c r="BR37" i="14841"/>
  <c r="BR38" i="14841" s="1"/>
  <c r="GJ11" i="14841"/>
  <c r="FK28" i="14841" s="1"/>
  <c r="CW8" i="14841"/>
  <c r="CW9" i="14841" s="1"/>
  <c r="CW10" i="14841" s="1"/>
  <c r="BX62" i="14841" s="1"/>
  <c r="BX63" i="14841" s="1"/>
  <c r="CG8" i="14841"/>
  <c r="CG9" i="14841" s="1"/>
  <c r="CG10" i="14841" s="1"/>
  <c r="BH62" i="14841" s="1"/>
  <c r="BH37" i="14841"/>
  <c r="BH38" i="14841" s="1"/>
  <c r="GB12" i="14841"/>
  <c r="HA13" i="14841" s="1"/>
  <c r="HA14" i="14841" s="1"/>
  <c r="GB11" i="14841"/>
  <c r="FC28" i="14841" s="1"/>
  <c r="BG38" i="14841"/>
  <c r="BG45" i="14841"/>
  <c r="CR8" i="14841"/>
  <c r="CR9" i="14841" s="1"/>
  <c r="CR10" i="14841" s="1"/>
  <c r="BS62" i="14841" s="1"/>
  <c r="BS37" i="14841"/>
  <c r="BS38" i="14841" s="1"/>
  <c r="GA12" i="14841"/>
  <c r="GZ13" i="14841" s="1"/>
  <c r="GZ14" i="14841" s="1"/>
  <c r="GA11" i="14841"/>
  <c r="FB28" i="14841" s="1"/>
  <c r="GM11" i="14841"/>
  <c r="FN28" i="14841" s="1"/>
  <c r="GM12" i="14841"/>
  <c r="HL13" i="14841" s="1"/>
  <c r="HL14" i="14841" s="1"/>
  <c r="BY37" i="14841"/>
  <c r="BY38" i="14841" s="1"/>
  <c r="CX8" i="14841"/>
  <c r="CX9" i="14841" s="1"/>
  <c r="CX10" i="14841" s="1"/>
  <c r="BY62" i="14841" s="1"/>
  <c r="GS12" i="14841"/>
  <c r="HR13" i="14841" s="1"/>
  <c r="HR14" i="14841" s="1"/>
  <c r="GS11" i="14841"/>
  <c r="BP37" i="14841"/>
  <c r="BP38" i="14841" s="1"/>
  <c r="CO8" i="14841"/>
  <c r="CO9" i="14841" s="1"/>
  <c r="CO10" i="14841" s="1"/>
  <c r="BP62" i="14841" s="1"/>
  <c r="BP63" i="14841" s="1"/>
  <c r="BU37" i="14835"/>
  <c r="BU38" i="14835" s="1"/>
  <c r="CT8" i="14835"/>
  <c r="BH113" i="14835"/>
  <c r="BH114" i="14835" s="1"/>
  <c r="BH146" i="14835" s="1"/>
  <c r="BV113" i="14835"/>
  <c r="BV114" i="14835" s="1"/>
  <c r="BV146" i="14835" s="1"/>
  <c r="BX113" i="14835"/>
  <c r="BX114" i="14835" s="1"/>
  <c r="BX146" i="14835" s="1"/>
  <c r="BX115" i="14841"/>
  <c r="BX116" i="14841" s="1"/>
  <c r="BX121" i="14841" s="1"/>
  <c r="BQ115" i="14841"/>
  <c r="BQ116" i="14841" s="1"/>
  <c r="BQ121" i="14841" s="1"/>
  <c r="BU113" i="14835"/>
  <c r="BU145" i="14835" s="1"/>
  <c r="BY17" i="14835"/>
  <c r="BT115" i="14841"/>
  <c r="BT116" i="14841" s="1"/>
  <c r="BT121" i="14841" s="1"/>
  <c r="CT12" i="14835"/>
  <c r="BV115" i="14841"/>
  <c r="BV116" i="14841" s="1"/>
  <c r="BV121" i="14841" s="1"/>
  <c r="CM9" i="14841"/>
  <c r="CM10" i="14841" s="1"/>
  <c r="BN62" i="14841" s="1"/>
  <c r="CQ9" i="14841"/>
  <c r="BR17" i="14841" s="1"/>
  <c r="BI113" i="14835"/>
  <c r="BI114" i="14835" s="1"/>
  <c r="BI146" i="14835" s="1"/>
  <c r="BE115" i="14841"/>
  <c r="BE116" i="14841" s="1"/>
  <c r="BE121" i="14841" s="1"/>
  <c r="BN115" i="14841"/>
  <c r="BN116" i="14841" s="1"/>
  <c r="BN121" i="14841" s="1"/>
  <c r="CX12" i="14835"/>
  <c r="BW115" i="14841"/>
  <c r="BW116" i="14841" s="1"/>
  <c r="BW121" i="14841" s="1"/>
  <c r="CQ9" i="14835"/>
  <c r="CQ10" i="14835" s="1"/>
  <c r="BR62" i="14835" s="1"/>
  <c r="BY144" i="14835"/>
  <c r="BY146" i="14835"/>
  <c r="CU9" i="14841"/>
  <c r="CU10" i="14841" s="1"/>
  <c r="BV62" i="14841" s="1"/>
  <c r="BM113" i="14835"/>
  <c r="BM114" i="14835" s="1"/>
  <c r="BM146" i="14835" s="1"/>
  <c r="BW63" i="14841"/>
  <c r="BJ113" i="14835"/>
  <c r="BJ114" i="14835" s="1"/>
  <c r="BJ146" i="14835" s="1"/>
  <c r="CT12" i="14841"/>
  <c r="BH115" i="14841"/>
  <c r="BH116" i="14841" s="1"/>
  <c r="BH121" i="14841" s="1"/>
  <c r="BW113" i="14835"/>
  <c r="BW114" i="14835" s="1"/>
  <c r="BW146" i="14835" s="1"/>
  <c r="CM9" i="14835"/>
  <c r="CM10" i="14835" s="1"/>
  <c r="BN62" i="14835" s="1"/>
  <c r="BR113" i="14835"/>
  <c r="BR114" i="14835" s="1"/>
  <c r="BR146" i="14835" s="1"/>
  <c r="BQ113" i="14835"/>
  <c r="BQ114" i="14835" s="1"/>
  <c r="BQ146" i="14835" s="1"/>
  <c r="BJ115" i="14841"/>
  <c r="BJ116" i="14841" s="1"/>
  <c r="BJ121" i="14841" s="1"/>
  <c r="BO144" i="14835"/>
  <c r="BL116" i="14841"/>
  <c r="BL121" i="14841" s="1"/>
  <c r="BL120" i="14841"/>
  <c r="BK114" i="14835"/>
  <c r="BK146" i="14835" s="1"/>
  <c r="BK145" i="14835"/>
  <c r="BF145" i="14835"/>
  <c r="BF114" i="14835"/>
  <c r="BF146" i="14835" s="1"/>
  <c r="BF120" i="14841"/>
  <c r="BF116" i="14841"/>
  <c r="BF121" i="14841" s="1"/>
  <c r="BR115" i="14841"/>
  <c r="BR116" i="14841" s="1"/>
  <c r="BR121" i="14841" s="1"/>
  <c r="BO119" i="14841"/>
  <c r="CN12" i="14841"/>
  <c r="BP113" i="14835"/>
  <c r="CW12" i="14841"/>
  <c r="BX119" i="14841"/>
  <c r="BG119" i="14841"/>
  <c r="CF16" i="14841"/>
  <c r="CF12" i="14841"/>
  <c r="BG17" i="14841"/>
  <c r="BE113" i="14835"/>
  <c r="BE114" i="14835" s="1"/>
  <c r="BE146" i="14835" s="1"/>
  <c r="CJ12" i="14841"/>
  <c r="BK119" i="14841"/>
  <c r="BK17" i="14841"/>
  <c r="BT113" i="14835"/>
  <c r="CP16" i="14841"/>
  <c r="CP17" i="14841" s="1"/>
  <c r="BM115" i="14841"/>
  <c r="BM116" i="14841" s="1"/>
  <c r="BM121" i="14841" s="1"/>
  <c r="CP16" i="14835"/>
  <c r="CP17" i="14835" s="1"/>
  <c r="CN12" i="14835"/>
  <c r="BK144" i="14835"/>
  <c r="CJ12" i="14835"/>
  <c r="BK17" i="14835"/>
  <c r="BK120" i="14841"/>
  <c r="BK116" i="14841"/>
  <c r="BK121" i="14841" s="1"/>
  <c r="BM17" i="14841"/>
  <c r="CL12" i="14841"/>
  <c r="BM119" i="14841"/>
  <c r="BQ144" i="14835"/>
  <c r="CP12" i="14835"/>
  <c r="BL145" i="14835"/>
  <c r="BL114" i="14835"/>
  <c r="BL146" i="14835" s="1"/>
  <c r="CR12" i="14835"/>
  <c r="BS144" i="14835"/>
  <c r="BN144" i="14835"/>
  <c r="CM12" i="14835"/>
  <c r="CI16" i="14841"/>
  <c r="CI17" i="14841" s="1"/>
  <c r="CG16" i="14841"/>
  <c r="CG17" i="14841" s="1"/>
  <c r="BU17" i="14841"/>
  <c r="BU119" i="14841"/>
  <c r="BW17" i="14841"/>
  <c r="CV12" i="14841"/>
  <c r="BW119" i="14841"/>
  <c r="BL144" i="14835"/>
  <c r="CK12" i="14835"/>
  <c r="BL17" i="14835"/>
  <c r="BY115" i="14841"/>
  <c r="BY116" i="14841" s="1"/>
  <c r="BY121" i="14841" s="1"/>
  <c r="BP119" i="14841"/>
  <c r="CO12" i="14841"/>
  <c r="CR16" i="14835"/>
  <c r="CR17" i="14835" s="1"/>
  <c r="CQ12" i="14841"/>
  <c r="BR119" i="14841"/>
  <c r="CO12" i="14835"/>
  <c r="BP144" i="14835"/>
  <c r="BE144" i="14835"/>
  <c r="CD12" i="14835"/>
  <c r="CP12" i="14841"/>
  <c r="BQ119" i="14841"/>
  <c r="CQ12" i="14835"/>
  <c r="BR144" i="14835"/>
  <c r="CO16" i="14835"/>
  <c r="CO17" i="14835" s="1"/>
  <c r="DI14" i="14841"/>
  <c r="BJ119" i="14841"/>
  <c r="CI12" i="14841"/>
  <c r="BJ17" i="14841"/>
  <c r="CD16" i="14835"/>
  <c r="CD17" i="14835" s="1"/>
  <c r="BE119" i="14841"/>
  <c r="CD12" i="14841"/>
  <c r="CM12" i="14841"/>
  <c r="BN119" i="14841"/>
  <c r="CU12" i="14841"/>
  <c r="BT119" i="14841"/>
  <c r="BV119" i="14841"/>
  <c r="CS12" i="14841"/>
  <c r="CT16" i="14835"/>
  <c r="CT17" i="14835" s="1"/>
  <c r="CW12" i="14835"/>
  <c r="BX17" i="14835"/>
  <c r="BX144" i="14835"/>
  <c r="BO115" i="14841"/>
  <c r="BS115" i="14841"/>
  <c r="BS116" i="14841" s="1"/>
  <c r="BS121" i="14841" s="1"/>
  <c r="BL119" i="14841"/>
  <c r="CK12" i="14841"/>
  <c r="BL17" i="14841"/>
  <c r="CG12" i="14841"/>
  <c r="BH119" i="14841"/>
  <c r="BM144" i="14835"/>
  <c r="BM17" i="14835"/>
  <c r="CL12" i="14835"/>
  <c r="BU144" i="14835"/>
  <c r="CV12" i="14835"/>
  <c r="BW144" i="14835"/>
  <c r="BG144" i="14835"/>
  <c r="BG17" i="14835"/>
  <c r="CF16" i="14835"/>
  <c r="CF12" i="14835"/>
  <c r="BS119" i="14841"/>
  <c r="CR12" i="14841"/>
  <c r="CT16" i="14841"/>
  <c r="CT17" i="14841" s="1"/>
  <c r="BN113" i="14835"/>
  <c r="CS12" i="14835"/>
  <c r="CL16" i="14841"/>
  <c r="CL17" i="14841" s="1"/>
  <c r="CX12" i="14841"/>
  <c r="BY119" i="14841"/>
  <c r="BS113" i="14835"/>
  <c r="BS114" i="14835" s="1"/>
  <c r="BS146" i="14835" s="1"/>
  <c r="BO114" i="14835"/>
  <c r="BO146" i="14835" s="1"/>
  <c r="BO145" i="14835"/>
  <c r="CH12" i="14835"/>
  <c r="DH14" i="14835"/>
  <c r="BI144" i="14835"/>
  <c r="BU115" i="14841"/>
  <c r="CG12" i="14835"/>
  <c r="BH17" i="14835"/>
  <c r="BH144" i="14835"/>
  <c r="CW16" i="14841"/>
  <c r="CW17" i="14841" s="1"/>
  <c r="BG115" i="14841"/>
  <c r="CV16" i="14841"/>
  <c r="CV17" i="14841" s="1"/>
  <c r="BV17" i="14835"/>
  <c r="BT17" i="14835"/>
  <c r="BV144" i="14835"/>
  <c r="BT144" i="14835"/>
  <c r="CU12" i="14835"/>
  <c r="BP115" i="14841"/>
  <c r="DI14" i="14835"/>
  <c r="BJ17" i="14835"/>
  <c r="CI12" i="14835"/>
  <c r="BJ144" i="14835"/>
  <c r="BG113" i="14835"/>
  <c r="BF281" i="14814" l="1"/>
  <c r="BF282" i="14814" s="1"/>
  <c r="H184" i="14814"/>
  <c r="H155" i="14814"/>
  <c r="H195" i="14814"/>
  <c r="H224" i="14814"/>
  <c r="H124" i="14814"/>
  <c r="H123" i="14814"/>
  <c r="H95" i="14814"/>
  <c r="M108" i="14786"/>
  <c r="E541" i="14814"/>
  <c r="E445" i="14814"/>
  <c r="E493" i="14814"/>
  <c r="E397" i="14814"/>
  <c r="D275" i="14814"/>
  <c r="G275" i="14814" s="1"/>
  <c r="E517" i="14814"/>
  <c r="E469" i="14814"/>
  <c r="E421" i="14814"/>
  <c r="AO47" i="14843"/>
  <c r="AN47" i="14843"/>
  <c r="M174" i="14786"/>
  <c r="AL148" i="14786" s="1"/>
  <c r="N108" i="14786"/>
  <c r="N93" i="14786"/>
  <c r="N121" i="14786" s="1"/>
  <c r="N122" i="14786" s="1"/>
  <c r="N148" i="14786" s="1"/>
  <c r="M162" i="14814"/>
  <c r="N174" i="14786"/>
  <c r="M95" i="14786"/>
  <c r="O174" i="14786"/>
  <c r="D8" i="14842"/>
  <c r="D8" i="14822"/>
  <c r="H264" i="14814"/>
  <c r="H235" i="14814"/>
  <c r="AN46" i="14843"/>
  <c r="AN41" i="14843"/>
  <c r="O168" i="14786"/>
  <c r="O169" i="14786" s="1"/>
  <c r="O170" i="14786" s="1"/>
  <c r="O143" i="14786"/>
  <c r="BV45" i="14835"/>
  <c r="BM45" i="14835"/>
  <c r="BJ45" i="14835"/>
  <c r="BS17" i="14835"/>
  <c r="BS45" i="14835"/>
  <c r="BH45" i="14835"/>
  <c r="I200" i="14814"/>
  <c r="I219" i="14814"/>
  <c r="I206" i="14814"/>
  <c r="I218" i="14814"/>
  <c r="I220" i="14814"/>
  <c r="I198" i="14814"/>
  <c r="I205" i="14814"/>
  <c r="I201" i="14814"/>
  <c r="I203" i="14814"/>
  <c r="I221" i="14814"/>
  <c r="I209" i="14814"/>
  <c r="I208" i="14814"/>
  <c r="I204" i="14814"/>
  <c r="I207" i="14814"/>
  <c r="I199" i="14814"/>
  <c r="I202" i="14814"/>
  <c r="BE341" i="14814"/>
  <c r="BE342" i="14814" s="1"/>
  <c r="BE343" i="14814" s="1"/>
  <c r="AO12" i="14843"/>
  <c r="AO22" i="14843"/>
  <c r="AN10" i="14843"/>
  <c r="AN44" i="14843"/>
  <c r="AO16" i="14843"/>
  <c r="AO35" i="14843"/>
  <c r="AO31" i="14843"/>
  <c r="N119" i="14814"/>
  <c r="N105" i="14814"/>
  <c r="N120" i="14814"/>
  <c r="N106" i="14814"/>
  <c r="AO27" i="14843"/>
  <c r="AO28" i="14843"/>
  <c r="AO45" i="14843"/>
  <c r="N99" i="14814"/>
  <c r="N102" i="14814"/>
  <c r="AO39" i="14843"/>
  <c r="AO17" i="14843"/>
  <c r="AN40" i="14843"/>
  <c r="AN49" i="14843"/>
  <c r="N115" i="14814"/>
  <c r="N103" i="14814"/>
  <c r="N100" i="14814"/>
  <c r="N108" i="14814"/>
  <c r="N116" i="14814"/>
  <c r="AN36" i="14843"/>
  <c r="N104" i="14814"/>
  <c r="N114" i="14814"/>
  <c r="N117" i="14814"/>
  <c r="N113" i="14814"/>
  <c r="N101" i="14814"/>
  <c r="N98" i="14814"/>
  <c r="AO19" i="14843"/>
  <c r="AO26" i="14843"/>
  <c r="AO15" i="14843"/>
  <c r="AN37" i="14843"/>
  <c r="AO38" i="14843"/>
  <c r="AO21" i="14843"/>
  <c r="AO20" i="14843"/>
  <c r="AO11" i="14843"/>
  <c r="N111" i="14814"/>
  <c r="N112" i="14814"/>
  <c r="N121" i="14814"/>
  <c r="N118" i="14814"/>
  <c r="N110" i="14814"/>
  <c r="N107" i="14814"/>
  <c r="AO30" i="14843"/>
  <c r="AN25" i="14843"/>
  <c r="AO34" i="14843"/>
  <c r="AN29" i="14843"/>
  <c r="AO24" i="14843"/>
  <c r="AN13" i="14843"/>
  <c r="AO32" i="14843"/>
  <c r="AN23" i="14843"/>
  <c r="AN8" i="14843"/>
  <c r="AO33" i="14843"/>
  <c r="AN14" i="14843"/>
  <c r="AN51" i="14843"/>
  <c r="AO9" i="14843"/>
  <c r="AO18" i="14843"/>
  <c r="AN43" i="14843"/>
  <c r="M107" i="14814"/>
  <c r="BE63" i="14835"/>
  <c r="BE45" i="14835"/>
  <c r="BE17" i="14835"/>
  <c r="BY45" i="14835"/>
  <c r="BQ45" i="14835"/>
  <c r="CH10" i="14835"/>
  <c r="BI62" i="14835" s="1"/>
  <c r="BI63" i="14835" s="1"/>
  <c r="BQ17" i="14835"/>
  <c r="D9" i="14842"/>
  <c r="AI7" i="14843"/>
  <c r="AD7" i="14843"/>
  <c r="AE7" i="14843" s="1"/>
  <c r="AL7" i="14843" s="1"/>
  <c r="W221" i="14814"/>
  <c r="X221" i="14814" s="1"/>
  <c r="L221" i="14814" s="1"/>
  <c r="M221" i="14814" s="1"/>
  <c r="W201" i="14814"/>
  <c r="X201" i="14814" s="1"/>
  <c r="L201" i="14814" s="1"/>
  <c r="M201" i="14814" s="1"/>
  <c r="W198" i="14814"/>
  <c r="X198" i="14814" s="1"/>
  <c r="L198" i="14814" s="1"/>
  <c r="M198" i="14814" s="1"/>
  <c r="W211" i="14814"/>
  <c r="X211" i="14814" s="1"/>
  <c r="L211" i="14814" s="1"/>
  <c r="M211" i="14814" s="1"/>
  <c r="W199" i="14814"/>
  <c r="X199" i="14814" s="1"/>
  <c r="L199" i="14814" s="1"/>
  <c r="M199" i="14814" s="1"/>
  <c r="W213" i="14814"/>
  <c r="X213" i="14814" s="1"/>
  <c r="L213" i="14814" s="1"/>
  <c r="M213" i="14814" s="1"/>
  <c r="W210" i="14814"/>
  <c r="X210" i="14814" s="1"/>
  <c r="L210" i="14814" s="1"/>
  <c r="M210" i="14814" s="1"/>
  <c r="W207" i="14814"/>
  <c r="X207" i="14814" s="1"/>
  <c r="L207" i="14814" s="1"/>
  <c r="M207" i="14814" s="1"/>
  <c r="W217" i="14814"/>
  <c r="X217" i="14814" s="1"/>
  <c r="L217" i="14814" s="1"/>
  <c r="M217" i="14814" s="1"/>
  <c r="W206" i="14814"/>
  <c r="X206" i="14814" s="1"/>
  <c r="L206" i="14814" s="1"/>
  <c r="M206" i="14814" s="1"/>
  <c r="W219" i="14814"/>
  <c r="X219" i="14814" s="1"/>
  <c r="L219" i="14814" s="1"/>
  <c r="M219" i="14814" s="1"/>
  <c r="W212" i="14814"/>
  <c r="X212" i="14814" s="1"/>
  <c r="L212" i="14814" s="1"/>
  <c r="M212" i="14814" s="1"/>
  <c r="W214" i="14814"/>
  <c r="X214" i="14814" s="1"/>
  <c r="L214" i="14814" s="1"/>
  <c r="M214" i="14814" s="1"/>
  <c r="W202" i="14814"/>
  <c r="X202" i="14814" s="1"/>
  <c r="L202" i="14814" s="1"/>
  <c r="M202" i="14814" s="1"/>
  <c r="W216" i="14814"/>
  <c r="X216" i="14814" s="1"/>
  <c r="L216" i="14814" s="1"/>
  <c r="M216" i="14814" s="1"/>
  <c r="W215" i="14814"/>
  <c r="X215" i="14814" s="1"/>
  <c r="L215" i="14814" s="1"/>
  <c r="M215" i="14814" s="1"/>
  <c r="W205" i="14814"/>
  <c r="X205" i="14814" s="1"/>
  <c r="L205" i="14814" s="1"/>
  <c r="M205" i="14814" s="1"/>
  <c r="W220" i="14814"/>
  <c r="X220" i="14814" s="1"/>
  <c r="L220" i="14814" s="1"/>
  <c r="M220" i="14814" s="1"/>
  <c r="W218" i="14814"/>
  <c r="X218" i="14814" s="1"/>
  <c r="L218" i="14814" s="1"/>
  <c r="M218" i="14814" s="1"/>
  <c r="W200" i="14814"/>
  <c r="X200" i="14814" s="1"/>
  <c r="L200" i="14814" s="1"/>
  <c r="M200" i="14814" s="1"/>
  <c r="W203" i="14814"/>
  <c r="X203" i="14814" s="1"/>
  <c r="L203" i="14814" s="1"/>
  <c r="M203" i="14814" s="1"/>
  <c r="W208" i="14814"/>
  <c r="X208" i="14814" s="1"/>
  <c r="L208" i="14814" s="1"/>
  <c r="M208" i="14814" s="1"/>
  <c r="W209" i="14814"/>
  <c r="X209" i="14814" s="1"/>
  <c r="L209" i="14814" s="1"/>
  <c r="M209" i="14814" s="1"/>
  <c r="BW17" i="14835"/>
  <c r="W108" i="14814"/>
  <c r="X108" i="14814" s="1"/>
  <c r="L108" i="14814" s="1"/>
  <c r="M108" i="14814" s="1"/>
  <c r="W110" i="14814"/>
  <c r="X110" i="14814" s="1"/>
  <c r="L110" i="14814" s="1"/>
  <c r="M110" i="14814" s="1"/>
  <c r="W100" i="14814"/>
  <c r="X100" i="14814" s="1"/>
  <c r="L100" i="14814" s="1"/>
  <c r="M100" i="14814" s="1"/>
  <c r="W111" i="14814"/>
  <c r="X111" i="14814" s="1"/>
  <c r="L111" i="14814" s="1"/>
  <c r="M111" i="14814" s="1"/>
  <c r="W116" i="14814"/>
  <c r="X116" i="14814" s="1"/>
  <c r="L116" i="14814" s="1"/>
  <c r="M116" i="14814" s="1"/>
  <c r="W101" i="14814"/>
  <c r="X101" i="14814" s="1"/>
  <c r="L101" i="14814" s="1"/>
  <c r="M101" i="14814" s="1"/>
  <c r="W117" i="14814"/>
  <c r="X117" i="14814" s="1"/>
  <c r="L117" i="14814" s="1"/>
  <c r="M117" i="14814" s="1"/>
  <c r="W114" i="14814"/>
  <c r="X114" i="14814" s="1"/>
  <c r="L114" i="14814" s="1"/>
  <c r="M114" i="14814" s="1"/>
  <c r="W109" i="14814"/>
  <c r="X109" i="14814" s="1"/>
  <c r="L109" i="14814" s="1"/>
  <c r="M109" i="14814" s="1"/>
  <c r="W102" i="14814"/>
  <c r="X102" i="14814" s="1"/>
  <c r="L102" i="14814" s="1"/>
  <c r="M102" i="14814" s="1"/>
  <c r="W120" i="14814"/>
  <c r="X120" i="14814" s="1"/>
  <c r="L120" i="14814" s="1"/>
  <c r="M120" i="14814" s="1"/>
  <c r="W106" i="14814"/>
  <c r="X106" i="14814" s="1"/>
  <c r="L106" i="14814" s="1"/>
  <c r="M106" i="14814" s="1"/>
  <c r="N168" i="14814"/>
  <c r="N167" i="14814"/>
  <c r="I110" i="14814"/>
  <c r="I116" i="14814"/>
  <c r="W177" i="14814"/>
  <c r="X177" i="14814" s="1"/>
  <c r="L177" i="14814" s="1"/>
  <c r="M177" i="14814" s="1"/>
  <c r="W178" i="14814"/>
  <c r="X178" i="14814" s="1"/>
  <c r="L178" i="14814" s="1"/>
  <c r="M178" i="14814" s="1"/>
  <c r="N163" i="14814"/>
  <c r="W173" i="14814"/>
  <c r="X173" i="14814" s="1"/>
  <c r="L173" i="14814" s="1"/>
  <c r="M173" i="14814" s="1"/>
  <c r="W160" i="14814"/>
  <c r="X160" i="14814" s="1"/>
  <c r="L160" i="14814" s="1"/>
  <c r="M160" i="14814" s="1"/>
  <c r="N162" i="14814"/>
  <c r="W169" i="14814"/>
  <c r="X169" i="14814" s="1"/>
  <c r="L169" i="14814" s="1"/>
  <c r="M169" i="14814" s="1"/>
  <c r="W174" i="14814"/>
  <c r="X174" i="14814" s="1"/>
  <c r="L174" i="14814" s="1"/>
  <c r="M174" i="14814" s="1"/>
  <c r="W172" i="14814"/>
  <c r="X172" i="14814" s="1"/>
  <c r="L172" i="14814" s="1"/>
  <c r="M172" i="14814" s="1"/>
  <c r="W170" i="14814"/>
  <c r="X170" i="14814" s="1"/>
  <c r="L170" i="14814" s="1"/>
  <c r="M170" i="14814" s="1"/>
  <c r="W161" i="14814"/>
  <c r="X161" i="14814" s="1"/>
  <c r="L161" i="14814" s="1"/>
  <c r="M161" i="14814" s="1"/>
  <c r="W175" i="14814"/>
  <c r="X175" i="14814" s="1"/>
  <c r="L175" i="14814" s="1"/>
  <c r="M175" i="14814" s="1"/>
  <c r="W171" i="14814"/>
  <c r="X171" i="14814" s="1"/>
  <c r="L171" i="14814" s="1"/>
  <c r="M171" i="14814" s="1"/>
  <c r="W179" i="14814"/>
  <c r="X179" i="14814" s="1"/>
  <c r="L179" i="14814" s="1"/>
  <c r="M179" i="14814" s="1"/>
  <c r="W167" i="14814"/>
  <c r="X167" i="14814" s="1"/>
  <c r="L167" i="14814" s="1"/>
  <c r="M167" i="14814" s="1"/>
  <c r="W168" i="14814"/>
  <c r="X168" i="14814" s="1"/>
  <c r="L168" i="14814" s="1"/>
  <c r="M168" i="14814" s="1"/>
  <c r="W164" i="14814"/>
  <c r="X164" i="14814" s="1"/>
  <c r="L164" i="14814" s="1"/>
  <c r="M164" i="14814" s="1"/>
  <c r="W180" i="14814"/>
  <c r="X180" i="14814" s="1"/>
  <c r="L180" i="14814" s="1"/>
  <c r="M180" i="14814" s="1"/>
  <c r="W181" i="14814"/>
  <c r="X181" i="14814" s="1"/>
  <c r="L181" i="14814" s="1"/>
  <c r="M181" i="14814" s="1"/>
  <c r="W163" i="14814"/>
  <c r="X163" i="14814" s="1"/>
  <c r="L163" i="14814" s="1"/>
  <c r="M163" i="14814" s="1"/>
  <c r="W104" i="14814"/>
  <c r="X104" i="14814" s="1"/>
  <c r="L104" i="14814" s="1"/>
  <c r="M104" i="14814" s="1"/>
  <c r="W118" i="14814"/>
  <c r="X118" i="14814" s="1"/>
  <c r="L118" i="14814" s="1"/>
  <c r="M118" i="14814" s="1"/>
  <c r="W105" i="14814"/>
  <c r="X105" i="14814" s="1"/>
  <c r="L105" i="14814" s="1"/>
  <c r="M105" i="14814" s="1"/>
  <c r="W113" i="14814"/>
  <c r="X113" i="14814" s="1"/>
  <c r="L113" i="14814" s="1"/>
  <c r="M113" i="14814" s="1"/>
  <c r="W115" i="14814"/>
  <c r="X115" i="14814" s="1"/>
  <c r="L115" i="14814" s="1"/>
  <c r="M115" i="14814" s="1"/>
  <c r="W98" i="14814"/>
  <c r="X98" i="14814" s="1"/>
  <c r="W121" i="14814"/>
  <c r="X121" i="14814" s="1"/>
  <c r="L121" i="14814" s="1"/>
  <c r="M121" i="14814" s="1"/>
  <c r="W165" i="14814"/>
  <c r="X165" i="14814" s="1"/>
  <c r="L165" i="14814" s="1"/>
  <c r="M165" i="14814" s="1"/>
  <c r="W158" i="14814"/>
  <c r="X158" i="14814" s="1"/>
  <c r="L158" i="14814" s="1"/>
  <c r="M158" i="14814" s="1"/>
  <c r="W176" i="14814"/>
  <c r="X176" i="14814" s="1"/>
  <c r="L176" i="14814" s="1"/>
  <c r="M176" i="14814" s="1"/>
  <c r="W159" i="14814"/>
  <c r="X159" i="14814" s="1"/>
  <c r="L159" i="14814" s="1"/>
  <c r="M159" i="14814" s="1"/>
  <c r="W166" i="14814"/>
  <c r="X166" i="14814" s="1"/>
  <c r="L166" i="14814" s="1"/>
  <c r="M166" i="14814" s="1"/>
  <c r="W112" i="14814"/>
  <c r="X112" i="14814" s="1"/>
  <c r="L112" i="14814" s="1"/>
  <c r="M112" i="14814" s="1"/>
  <c r="W99" i="14814"/>
  <c r="X99" i="14814" s="1"/>
  <c r="L99" i="14814" s="1"/>
  <c r="M99" i="14814" s="1"/>
  <c r="W103" i="14814"/>
  <c r="X103" i="14814" s="1"/>
  <c r="L103" i="14814" s="1"/>
  <c r="M103" i="14814" s="1"/>
  <c r="W119" i="14814"/>
  <c r="X119" i="14814" s="1"/>
  <c r="L119" i="14814" s="1"/>
  <c r="M119" i="14814" s="1"/>
  <c r="N164" i="14814"/>
  <c r="N181" i="14814"/>
  <c r="N171" i="14814"/>
  <c r="N169" i="14814"/>
  <c r="N158" i="14814"/>
  <c r="I112" i="14814"/>
  <c r="N179" i="14814"/>
  <c r="N173" i="14814"/>
  <c r="N160" i="14814"/>
  <c r="N170" i="14814"/>
  <c r="I111" i="14814"/>
  <c r="I114" i="14814"/>
  <c r="N215" i="14814"/>
  <c r="N172" i="14814"/>
  <c r="N177" i="14814"/>
  <c r="N159" i="14814"/>
  <c r="N174" i="14814"/>
  <c r="I115" i="14814"/>
  <c r="N216" i="14814"/>
  <c r="N178" i="14814"/>
  <c r="N180" i="14814"/>
  <c r="N161" i="14814"/>
  <c r="N166" i="14814"/>
  <c r="N175" i="14814"/>
  <c r="N176" i="14814"/>
  <c r="M110" i="14786"/>
  <c r="N205" i="14814"/>
  <c r="D198" i="14814"/>
  <c r="N207" i="14814"/>
  <c r="N212" i="14814"/>
  <c r="N208" i="14814"/>
  <c r="O108" i="14786"/>
  <c r="D160" i="14814"/>
  <c r="Z98" i="14814"/>
  <c r="N199" i="14814"/>
  <c r="N221" i="14814"/>
  <c r="E198" i="14814"/>
  <c r="D199" i="14814"/>
  <c r="N203" i="14814"/>
  <c r="N220" i="14814"/>
  <c r="N200" i="14814"/>
  <c r="N217" i="14814"/>
  <c r="N211" i="14814"/>
  <c r="N206" i="14814"/>
  <c r="D159" i="14814"/>
  <c r="N210" i="14814"/>
  <c r="N218" i="14814"/>
  <c r="N209" i="14814"/>
  <c r="N198" i="14814"/>
  <c r="N214" i="14814"/>
  <c r="N204" i="14814"/>
  <c r="N213" i="14814"/>
  <c r="N201" i="14814"/>
  <c r="N202" i="14814"/>
  <c r="E200" i="14814"/>
  <c r="I171" i="14814"/>
  <c r="I173" i="14814"/>
  <c r="I174" i="14814"/>
  <c r="I172" i="14814"/>
  <c r="I170" i="14814"/>
  <c r="I176" i="14814"/>
  <c r="I175" i="14814"/>
  <c r="N168" i="14786"/>
  <c r="N169" i="14786" s="1"/>
  <c r="N170" i="14786" s="1"/>
  <c r="I214" i="14814"/>
  <c r="I213" i="14814"/>
  <c r="I212" i="14814"/>
  <c r="I210" i="14814"/>
  <c r="I211" i="14814"/>
  <c r="I215" i="14814"/>
  <c r="I216" i="14814"/>
  <c r="K93" i="14814"/>
  <c r="E99" i="14814"/>
  <c r="E100" i="14814"/>
  <c r="E98" i="14814"/>
  <c r="BU17" i="14835"/>
  <c r="BW63" i="14835"/>
  <c r="AG98" i="14814"/>
  <c r="I108" i="14814"/>
  <c r="I117" i="14814"/>
  <c r="O196" i="14786"/>
  <c r="J275" i="14786" s="1"/>
  <c r="I109" i="14814"/>
  <c r="I103" i="14814"/>
  <c r="I119" i="14814"/>
  <c r="I120" i="14814"/>
  <c r="I118" i="14814"/>
  <c r="I101" i="14814"/>
  <c r="I99" i="14814"/>
  <c r="I102" i="14814"/>
  <c r="I98" i="14814"/>
  <c r="I121" i="14814"/>
  <c r="I106" i="14814"/>
  <c r="I104" i="14814"/>
  <c r="I105" i="14814"/>
  <c r="I107" i="14814"/>
  <c r="I158" i="14814"/>
  <c r="I168" i="14814"/>
  <c r="I165" i="14814"/>
  <c r="I163" i="14814"/>
  <c r="I161" i="14814"/>
  <c r="I167" i="14814"/>
  <c r="I166" i="14814"/>
  <c r="N196" i="14786"/>
  <c r="K274" i="14786" s="1"/>
  <c r="I169" i="14814"/>
  <c r="I160" i="14814"/>
  <c r="M196" i="14786"/>
  <c r="J273" i="14786" s="1"/>
  <c r="D100" i="14814"/>
  <c r="I178" i="14814"/>
  <c r="I159" i="14814"/>
  <c r="I181" i="14814"/>
  <c r="I177" i="14814"/>
  <c r="M121" i="14786"/>
  <c r="I180" i="14814"/>
  <c r="I179" i="14814"/>
  <c r="D98" i="14814"/>
  <c r="I162" i="14814"/>
  <c r="D101" i="14814"/>
  <c r="N142" i="14786"/>
  <c r="N143" i="14786" s="1"/>
  <c r="N269" i="14786" s="1"/>
  <c r="N138" i="14786"/>
  <c r="K392" i="14814"/>
  <c r="N137" i="14786"/>
  <c r="K153" i="14814"/>
  <c r="D574" i="14814"/>
  <c r="H574" i="14814"/>
  <c r="A575" i="14814"/>
  <c r="C574" i="14814"/>
  <c r="G756" i="14814"/>
  <c r="G747" i="14814"/>
  <c r="G732" i="14814"/>
  <c r="G740" i="14814"/>
  <c r="G748" i="14814"/>
  <c r="G733" i="14814"/>
  <c r="G753" i="14814"/>
  <c r="G737" i="14814"/>
  <c r="G745" i="14814"/>
  <c r="G755" i="14814"/>
  <c r="G761" i="14814"/>
  <c r="G739" i="14814"/>
  <c r="G746" i="14814"/>
  <c r="G736" i="14814"/>
  <c r="G762" i="14814"/>
  <c r="G744" i="14814"/>
  <c r="G754" i="14814"/>
  <c r="G734" i="14814"/>
  <c r="G738" i="14814"/>
  <c r="G759" i="14814"/>
  <c r="G742" i="14814"/>
  <c r="G751" i="14814"/>
  <c r="G758" i="14814"/>
  <c r="G760" i="14814"/>
  <c r="G757" i="14814"/>
  <c r="G741" i="14814"/>
  <c r="G743" i="14814"/>
  <c r="G750" i="14814"/>
  <c r="G752" i="14814"/>
  <c r="G749" i="14814"/>
  <c r="G735" i="14814"/>
  <c r="A68" i="14814"/>
  <c r="B67" i="14814"/>
  <c r="D67" i="14814"/>
  <c r="F494" i="14814"/>
  <c r="F542" i="14814"/>
  <c r="F470" i="14814"/>
  <c r="D161" i="14814"/>
  <c r="E101" i="14814"/>
  <c r="E201" i="14814"/>
  <c r="E161" i="14814"/>
  <c r="F446" i="14814"/>
  <c r="F518" i="14814"/>
  <c r="F398" i="14814"/>
  <c r="D201" i="14814"/>
  <c r="F421" i="14814"/>
  <c r="D446" i="14814"/>
  <c r="D518" i="14814"/>
  <c r="D398" i="14814"/>
  <c r="D422" i="14814"/>
  <c r="C281" i="14814"/>
  <c r="D494" i="14814"/>
  <c r="D542" i="14814"/>
  <c r="C66" i="14814"/>
  <c r="D470" i="14814"/>
  <c r="B833" i="14814"/>
  <c r="E833" i="14814" s="1"/>
  <c r="B896" i="14814"/>
  <c r="E896" i="14814" s="1"/>
  <c r="B959" i="14814"/>
  <c r="E959" i="14814" s="1"/>
  <c r="B616" i="14814"/>
  <c r="E616" i="14814" s="1"/>
  <c r="B630" i="14814"/>
  <c r="E630" i="14814" s="1"/>
  <c r="B658" i="14814"/>
  <c r="E658" i="14814" s="1"/>
  <c r="B686" i="14814"/>
  <c r="E686" i="14814" s="1"/>
  <c r="B714" i="14814"/>
  <c r="E714" i="14814" s="1"/>
  <c r="B742" i="14814"/>
  <c r="E742" i="14814" s="1"/>
  <c r="B770" i="14814"/>
  <c r="E770" i="14814" s="1"/>
  <c r="B798" i="14814"/>
  <c r="E798" i="14814" s="1"/>
  <c r="B861" i="14814"/>
  <c r="E861" i="14814" s="1"/>
  <c r="B924" i="14814"/>
  <c r="E924" i="14814" s="1"/>
  <c r="B826" i="14814"/>
  <c r="E826" i="14814" s="1"/>
  <c r="B854" i="14814"/>
  <c r="E854" i="14814" s="1"/>
  <c r="B889" i="14814"/>
  <c r="E889" i="14814" s="1"/>
  <c r="B952" i="14814"/>
  <c r="E952" i="14814" s="1"/>
  <c r="F574" i="14814"/>
  <c r="B623" i="14814"/>
  <c r="E623" i="14814" s="1"/>
  <c r="B651" i="14814"/>
  <c r="E651" i="14814" s="1"/>
  <c r="B679" i="14814"/>
  <c r="E679" i="14814" s="1"/>
  <c r="B707" i="14814"/>
  <c r="E707" i="14814" s="1"/>
  <c r="B735" i="14814"/>
  <c r="E735" i="14814" s="1"/>
  <c r="B763" i="14814"/>
  <c r="E763" i="14814" s="1"/>
  <c r="B791" i="14814"/>
  <c r="E791" i="14814" s="1"/>
  <c r="B819" i="14814"/>
  <c r="E819" i="14814" s="1"/>
  <c r="B882" i="14814"/>
  <c r="E882" i="14814" s="1"/>
  <c r="B917" i="14814"/>
  <c r="E917" i="14814" s="1"/>
  <c r="B945" i="14814"/>
  <c r="E945" i="14814" s="1"/>
  <c r="B847" i="14814"/>
  <c r="E847" i="14814" s="1"/>
  <c r="B910" i="14814"/>
  <c r="E910" i="14814" s="1"/>
  <c r="B973" i="14814"/>
  <c r="E973" i="14814" s="1"/>
  <c r="B644" i="14814"/>
  <c r="E644" i="14814" s="1"/>
  <c r="B672" i="14814"/>
  <c r="E672" i="14814" s="1"/>
  <c r="B700" i="14814"/>
  <c r="E700" i="14814" s="1"/>
  <c r="B728" i="14814"/>
  <c r="E728" i="14814" s="1"/>
  <c r="B756" i="14814"/>
  <c r="E756" i="14814" s="1"/>
  <c r="B784" i="14814"/>
  <c r="E784" i="14814" s="1"/>
  <c r="B812" i="14814"/>
  <c r="E812" i="14814" s="1"/>
  <c r="B875" i="14814"/>
  <c r="E875" i="14814" s="1"/>
  <c r="B938" i="14814"/>
  <c r="E938" i="14814" s="1"/>
  <c r="B840" i="14814"/>
  <c r="E840" i="14814" s="1"/>
  <c r="B903" i="14814"/>
  <c r="E903" i="14814" s="1"/>
  <c r="B966" i="14814"/>
  <c r="E966" i="14814" s="1"/>
  <c r="B637" i="14814"/>
  <c r="E637" i="14814" s="1"/>
  <c r="B665" i="14814"/>
  <c r="E665" i="14814" s="1"/>
  <c r="B693" i="14814"/>
  <c r="E693" i="14814" s="1"/>
  <c r="B721" i="14814"/>
  <c r="E721" i="14814" s="1"/>
  <c r="B749" i="14814"/>
  <c r="E749" i="14814" s="1"/>
  <c r="B777" i="14814"/>
  <c r="E777" i="14814" s="1"/>
  <c r="B805" i="14814"/>
  <c r="E805" i="14814" s="1"/>
  <c r="B868" i="14814"/>
  <c r="E868" i="14814" s="1"/>
  <c r="B931" i="14814"/>
  <c r="E931" i="14814" s="1"/>
  <c r="F740" i="14814"/>
  <c r="F750" i="14814"/>
  <c r="F757" i="14814"/>
  <c r="F735" i="14814"/>
  <c r="F754" i="14814"/>
  <c r="F760" i="14814"/>
  <c r="F753" i="14814"/>
  <c r="F752" i="14814"/>
  <c r="F737" i="14814"/>
  <c r="F755" i="14814"/>
  <c r="F751" i="14814"/>
  <c r="F746" i="14814"/>
  <c r="F745" i="14814"/>
  <c r="F747" i="14814"/>
  <c r="F743" i="14814"/>
  <c r="F759" i="14814"/>
  <c r="F732" i="14814"/>
  <c r="F761" i="14814"/>
  <c r="F748" i="14814"/>
  <c r="F758" i="14814"/>
  <c r="F741" i="14814"/>
  <c r="F749" i="14814"/>
  <c r="F739" i="14814"/>
  <c r="F742" i="14814"/>
  <c r="F736" i="14814"/>
  <c r="F734" i="14814"/>
  <c r="F744" i="14814"/>
  <c r="F762" i="14814"/>
  <c r="F756" i="14814"/>
  <c r="F738" i="14814"/>
  <c r="F733" i="14814"/>
  <c r="BX45" i="14835"/>
  <c r="BI17" i="14835"/>
  <c r="BX63" i="14835"/>
  <c r="BU45" i="14841"/>
  <c r="BO63" i="14841"/>
  <c r="BO17" i="14841"/>
  <c r="BE17" i="14841"/>
  <c r="BE45" i="14841"/>
  <c r="CJ10" i="14851"/>
  <c r="BK62" i="14851" s="1"/>
  <c r="CJ10" i="14850"/>
  <c r="BK62" i="14850" s="1"/>
  <c r="CR9" i="14851"/>
  <c r="CR10" i="14851" s="1"/>
  <c r="BS62" i="14851" s="1"/>
  <c r="CG9" i="14851"/>
  <c r="CG10" i="14851" s="1"/>
  <c r="BH62" i="14851" s="1"/>
  <c r="CL9" i="14851"/>
  <c r="CL10" i="14851" s="1"/>
  <c r="BM62" i="14851" s="1"/>
  <c r="CT9" i="14851"/>
  <c r="CT10" i="14851" s="1"/>
  <c r="BU62" i="14851" s="1"/>
  <c r="CQ9" i="14851"/>
  <c r="CQ10" i="14851" s="1"/>
  <c r="BR62" i="14851" s="1"/>
  <c r="CD9" i="14851"/>
  <c r="CD10" i="14851" s="1"/>
  <c r="BE62" i="14851" s="1"/>
  <c r="CX9" i="14851"/>
  <c r="CX10" i="14851" s="1"/>
  <c r="BY62" i="14851" s="1"/>
  <c r="CN9" i="14851"/>
  <c r="BO17" i="14851" s="1"/>
  <c r="CO9" i="14851"/>
  <c r="CO10" i="14851" s="1"/>
  <c r="BP62" i="14851" s="1"/>
  <c r="CU9" i="14851"/>
  <c r="BT17" i="14851" s="1"/>
  <c r="CW9" i="14851"/>
  <c r="CW10" i="14851" s="1"/>
  <c r="BX62" i="14851" s="1"/>
  <c r="CP9" i="14851"/>
  <c r="BQ17" i="14851" s="1"/>
  <c r="CS9" i="14851"/>
  <c r="CS10" i="14851" s="1"/>
  <c r="BT62" i="14851" s="1"/>
  <c r="CH9" i="14851"/>
  <c r="BI17" i="14851" s="1"/>
  <c r="CM9" i="14851"/>
  <c r="BN17" i="14851" s="1"/>
  <c r="CV9" i="14851"/>
  <c r="BU17" i="14851" s="1"/>
  <c r="CI9" i="14851"/>
  <c r="BJ17" i="14851" s="1"/>
  <c r="CI9" i="14850"/>
  <c r="BJ17" i="14850" s="1"/>
  <c r="CW9" i="14850"/>
  <c r="BX17" i="14850" s="1"/>
  <c r="CX9" i="14850"/>
  <c r="BY17" i="14850" s="1"/>
  <c r="CD9" i="14850"/>
  <c r="BE17" i="14850" s="1"/>
  <c r="BT45" i="14850"/>
  <c r="BT63" i="14850"/>
  <c r="BU45" i="14850"/>
  <c r="BU63" i="14850"/>
  <c r="CO9" i="14850"/>
  <c r="BP17" i="14850" s="1"/>
  <c r="CH9" i="14850"/>
  <c r="BI17" i="14850" s="1"/>
  <c r="CV9" i="14850"/>
  <c r="CV10" i="14850" s="1"/>
  <c r="BW62" i="14850" s="1"/>
  <c r="CM9" i="14850"/>
  <c r="CM10" i="14850" s="1"/>
  <c r="BN62" i="14850" s="1"/>
  <c r="CP9" i="14850"/>
  <c r="BQ17" i="14850" s="1"/>
  <c r="CU9" i="14850"/>
  <c r="BV17" i="14850" s="1"/>
  <c r="CQ9" i="14850"/>
  <c r="BR17" i="14850" s="1"/>
  <c r="CL9" i="14850"/>
  <c r="BM17" i="14850" s="1"/>
  <c r="CN9" i="14850"/>
  <c r="CN10" i="14850" s="1"/>
  <c r="BO62" i="14850" s="1"/>
  <c r="CR9" i="14850"/>
  <c r="CR10" i="14850" s="1"/>
  <c r="BS62" i="14850" s="1"/>
  <c r="CG9" i="14850"/>
  <c r="CG10" i="14850" s="1"/>
  <c r="BH62" i="14850" s="1"/>
  <c r="M137" i="14786"/>
  <c r="M138" i="14786"/>
  <c r="J392" i="14814"/>
  <c r="M142" i="14786"/>
  <c r="M143" i="14786" s="1"/>
  <c r="N270" i="14786" s="1"/>
  <c r="M168" i="14786"/>
  <c r="M169" i="14786" s="1"/>
  <c r="M170" i="14786" s="1"/>
  <c r="BJ45" i="14841"/>
  <c r="BM45" i="14841"/>
  <c r="BW45" i="14841"/>
  <c r="BU114" i="14835"/>
  <c r="BU146" i="14835" s="1"/>
  <c r="BO17" i="14835"/>
  <c r="BY17" i="14841"/>
  <c r="BN120" i="14841"/>
  <c r="BT17" i="14841"/>
  <c r="BP17" i="14841"/>
  <c r="BQ17" i="14841"/>
  <c r="BS17" i="14841"/>
  <c r="BX17" i="14841"/>
  <c r="BV17" i="14841"/>
  <c r="BH17" i="14841"/>
  <c r="BP45" i="14841"/>
  <c r="BP17" i="14835"/>
  <c r="BN17" i="14841"/>
  <c r="BX45" i="14841"/>
  <c r="BS45" i="14841"/>
  <c r="BS63" i="14841"/>
  <c r="BY45" i="14841"/>
  <c r="BY63" i="14841"/>
  <c r="BH63" i="14841"/>
  <c r="BH45" i="14841"/>
  <c r="CH10" i="14841"/>
  <c r="BI62" i="14841" s="1"/>
  <c r="CT9" i="14835"/>
  <c r="CT10" i="14835" s="1"/>
  <c r="BU62" i="14835" s="1"/>
  <c r="BQ45" i="14841"/>
  <c r="BQ63" i="14841"/>
  <c r="BN17" i="14835"/>
  <c r="BT120" i="14841"/>
  <c r="CQ10" i="14841"/>
  <c r="BR62" i="14841" s="1"/>
  <c r="BR63" i="14841" s="1"/>
  <c r="BR63" i="14835"/>
  <c r="BR45" i="14835"/>
  <c r="BV63" i="14841"/>
  <c r="BV45" i="14841"/>
  <c r="BP45" i="14835"/>
  <c r="BP63" i="14835"/>
  <c r="BO45" i="14835"/>
  <c r="BO63" i="14835"/>
  <c r="BT63" i="14835"/>
  <c r="BT45" i="14835"/>
  <c r="BT63" i="14841"/>
  <c r="BT45" i="14841"/>
  <c r="BN63" i="14841"/>
  <c r="BN45" i="14841"/>
  <c r="BR17" i="14835"/>
  <c r="BN45" i="14835"/>
  <c r="BN63" i="14835"/>
  <c r="BU116" i="14841"/>
  <c r="BU121" i="14841" s="1"/>
  <c r="BU120" i="14841"/>
  <c r="BN114" i="14835"/>
  <c r="BN146" i="14835" s="1"/>
  <c r="BN145" i="14835"/>
  <c r="BP116" i="14841"/>
  <c r="BP121" i="14841" s="1"/>
  <c r="BP120" i="14841"/>
  <c r="BG120" i="14841"/>
  <c r="BG116" i="14841"/>
  <c r="BG121" i="14841" s="1"/>
  <c r="BP114" i="14835"/>
  <c r="BP146" i="14835" s="1"/>
  <c r="BP145" i="14835"/>
  <c r="BG114" i="14835"/>
  <c r="BG146" i="14835" s="1"/>
  <c r="BG145" i="14835"/>
  <c r="BO116" i="14841"/>
  <c r="BO121" i="14841" s="1"/>
  <c r="BO120" i="14841"/>
  <c r="BT114" i="14835"/>
  <c r="BT146" i="14835" s="1"/>
  <c r="BT145" i="14835"/>
  <c r="D281" i="14814" l="1"/>
  <c r="E281" i="14814" s="1"/>
  <c r="D278" i="14814"/>
  <c r="E278" i="14814" s="1"/>
  <c r="D279" i="14814"/>
  <c r="E279" i="14814" s="1"/>
  <c r="D280" i="14814"/>
  <c r="E280" i="14814" s="1"/>
  <c r="E494" i="14814"/>
  <c r="E518" i="14814"/>
  <c r="E470" i="14814"/>
  <c r="E446" i="14814"/>
  <c r="E422" i="14814"/>
  <c r="E542" i="14814"/>
  <c r="E398" i="14814"/>
  <c r="X148" i="14786"/>
  <c r="G269" i="14786"/>
  <c r="F155" i="14814"/>
  <c r="AL141" i="14786"/>
  <c r="O93" i="14786"/>
  <c r="O121" i="14786" s="1"/>
  <c r="O122" i="14786" s="1"/>
  <c r="M184" i="14814"/>
  <c r="D19" i="14842"/>
  <c r="J195" i="14814"/>
  <c r="J217" i="14814" s="1"/>
  <c r="D20" i="14822"/>
  <c r="D19" i="14822"/>
  <c r="D17" i="14822"/>
  <c r="M109" i="14786"/>
  <c r="J155" i="14814"/>
  <c r="J164" i="14814" s="1"/>
  <c r="N109" i="14786"/>
  <c r="N119" i="14786" s="1"/>
  <c r="D18" i="14822"/>
  <c r="J95" i="14814"/>
  <c r="J121" i="14814" s="1"/>
  <c r="O109" i="14786"/>
  <c r="O119" i="14786" s="1"/>
  <c r="N111" i="14786"/>
  <c r="N120" i="14786" s="1"/>
  <c r="N123" i="14786" s="1"/>
  <c r="D20" i="14842"/>
  <c r="D17" i="14842"/>
  <c r="D18" i="14842"/>
  <c r="D10" i="14842"/>
  <c r="F65" i="14814"/>
  <c r="C343" i="14814"/>
  <c r="L98" i="14814"/>
  <c r="M98" i="14814" s="1"/>
  <c r="M124" i="14814" s="1"/>
  <c r="BI45" i="14835"/>
  <c r="N173" i="14786"/>
  <c r="P155" i="14814" s="1"/>
  <c r="P169" i="14814" s="1"/>
  <c r="AJ7" i="14843"/>
  <c r="AK7" i="14843" s="1"/>
  <c r="AN7" i="14843" s="1"/>
  <c r="AS7" i="14843"/>
  <c r="O173" i="14786"/>
  <c r="P195" i="14814" s="1"/>
  <c r="P219" i="14814" s="1"/>
  <c r="M173" i="14786"/>
  <c r="AL147" i="14786" s="1"/>
  <c r="D9" i="14822"/>
  <c r="D10" i="14822" s="1"/>
  <c r="M25" i="14786"/>
  <c r="AF7" i="14843"/>
  <c r="AM7" i="14843" s="1"/>
  <c r="W224" i="14814"/>
  <c r="I65" i="14814"/>
  <c r="J65" i="14814" s="1"/>
  <c r="O111" i="14786"/>
  <c r="O120" i="14786" s="1"/>
  <c r="W184" i="14814"/>
  <c r="W124" i="14814"/>
  <c r="M111" i="14786"/>
  <c r="M120" i="14786" s="1"/>
  <c r="M224" i="14814"/>
  <c r="K273" i="14786"/>
  <c r="J274" i="14786"/>
  <c r="K275" i="14786"/>
  <c r="C155" i="14814"/>
  <c r="C161" i="14814" s="1"/>
  <c r="C95" i="14814"/>
  <c r="C99" i="14814" s="1"/>
  <c r="C195" i="14814"/>
  <c r="C199" i="14814" s="1"/>
  <c r="B638" i="14814"/>
  <c r="E638" i="14814" s="1"/>
  <c r="B666" i="14814"/>
  <c r="E666" i="14814" s="1"/>
  <c r="B694" i="14814"/>
  <c r="E694" i="14814" s="1"/>
  <c r="B722" i="14814"/>
  <c r="E722" i="14814" s="1"/>
  <c r="B750" i="14814"/>
  <c r="E750" i="14814" s="1"/>
  <c r="B778" i="14814"/>
  <c r="E778" i="14814" s="1"/>
  <c r="B806" i="14814"/>
  <c r="E806" i="14814" s="1"/>
  <c r="B869" i="14814"/>
  <c r="E869" i="14814" s="1"/>
  <c r="B932" i="14814"/>
  <c r="E932" i="14814" s="1"/>
  <c r="B834" i="14814"/>
  <c r="E834" i="14814" s="1"/>
  <c r="B897" i="14814"/>
  <c r="E897" i="14814" s="1"/>
  <c r="B960" i="14814"/>
  <c r="E960" i="14814" s="1"/>
  <c r="B631" i="14814"/>
  <c r="E631" i="14814" s="1"/>
  <c r="B659" i="14814"/>
  <c r="E659" i="14814" s="1"/>
  <c r="B687" i="14814"/>
  <c r="E687" i="14814" s="1"/>
  <c r="B715" i="14814"/>
  <c r="E715" i="14814" s="1"/>
  <c r="B743" i="14814"/>
  <c r="E743" i="14814" s="1"/>
  <c r="B771" i="14814"/>
  <c r="E771" i="14814" s="1"/>
  <c r="B799" i="14814"/>
  <c r="E799" i="14814" s="1"/>
  <c r="B862" i="14814"/>
  <c r="E862" i="14814" s="1"/>
  <c r="B925" i="14814"/>
  <c r="E925" i="14814" s="1"/>
  <c r="B827" i="14814"/>
  <c r="E827" i="14814" s="1"/>
  <c r="B855" i="14814"/>
  <c r="E855" i="14814" s="1"/>
  <c r="B890" i="14814"/>
  <c r="E890" i="14814" s="1"/>
  <c r="B953" i="14814"/>
  <c r="E953" i="14814" s="1"/>
  <c r="B617" i="14814"/>
  <c r="E617" i="14814" s="1"/>
  <c r="B624" i="14814"/>
  <c r="E624" i="14814" s="1"/>
  <c r="B652" i="14814"/>
  <c r="E652" i="14814" s="1"/>
  <c r="B680" i="14814"/>
  <c r="E680" i="14814" s="1"/>
  <c r="B708" i="14814"/>
  <c r="E708" i="14814" s="1"/>
  <c r="B736" i="14814"/>
  <c r="E736" i="14814" s="1"/>
  <c r="B764" i="14814"/>
  <c r="E764" i="14814" s="1"/>
  <c r="B792" i="14814"/>
  <c r="E792" i="14814" s="1"/>
  <c r="B820" i="14814"/>
  <c r="E820" i="14814" s="1"/>
  <c r="B883" i="14814"/>
  <c r="E883" i="14814" s="1"/>
  <c r="B918" i="14814"/>
  <c r="E918" i="14814" s="1"/>
  <c r="B946" i="14814"/>
  <c r="E946" i="14814" s="1"/>
  <c r="B848" i="14814"/>
  <c r="E848" i="14814" s="1"/>
  <c r="B911" i="14814"/>
  <c r="E911" i="14814" s="1"/>
  <c r="B974" i="14814"/>
  <c r="E974" i="14814" s="1"/>
  <c r="F575" i="14814"/>
  <c r="B645" i="14814"/>
  <c r="E645" i="14814" s="1"/>
  <c r="B673" i="14814"/>
  <c r="E673" i="14814" s="1"/>
  <c r="B701" i="14814"/>
  <c r="E701" i="14814" s="1"/>
  <c r="B729" i="14814"/>
  <c r="E729" i="14814" s="1"/>
  <c r="B757" i="14814"/>
  <c r="E757" i="14814" s="1"/>
  <c r="B785" i="14814"/>
  <c r="E785" i="14814" s="1"/>
  <c r="B813" i="14814"/>
  <c r="E813" i="14814" s="1"/>
  <c r="B876" i="14814"/>
  <c r="E876" i="14814" s="1"/>
  <c r="B939" i="14814"/>
  <c r="E939" i="14814" s="1"/>
  <c r="B841" i="14814"/>
  <c r="E841" i="14814" s="1"/>
  <c r="B904" i="14814"/>
  <c r="E904" i="14814" s="1"/>
  <c r="B967" i="14814"/>
  <c r="E967" i="14814" s="1"/>
  <c r="E202" i="14814"/>
  <c r="F495" i="14814"/>
  <c r="F447" i="14814"/>
  <c r="D102" i="14814"/>
  <c r="E162" i="14814"/>
  <c r="D202" i="14814"/>
  <c r="F471" i="14814"/>
  <c r="F543" i="14814"/>
  <c r="D162" i="14814"/>
  <c r="F422" i="14814"/>
  <c r="F519" i="14814"/>
  <c r="F399" i="14814"/>
  <c r="E102" i="14814"/>
  <c r="C67" i="14814"/>
  <c r="G65" i="14814"/>
  <c r="D471" i="14814"/>
  <c r="C282" i="14814"/>
  <c r="D282" i="14814" s="1"/>
  <c r="L282" i="14814" s="1"/>
  <c r="M282" i="14814" s="1"/>
  <c r="N282" i="14814" s="1"/>
  <c r="D399" i="14814"/>
  <c r="D543" i="14814"/>
  <c r="D495" i="14814"/>
  <c r="D423" i="14814"/>
  <c r="D519" i="14814"/>
  <c r="D447" i="14814"/>
  <c r="A69" i="14814"/>
  <c r="B68" i="14814"/>
  <c r="D68" i="14814"/>
  <c r="F779" i="14814"/>
  <c r="F792" i="14814"/>
  <c r="F776" i="14814"/>
  <c r="F764" i="14814"/>
  <c r="F785" i="14814"/>
  <c r="F787" i="14814"/>
  <c r="F773" i="14814"/>
  <c r="F768" i="14814"/>
  <c r="F781" i="14814"/>
  <c r="F788" i="14814"/>
  <c r="F790" i="14814"/>
  <c r="F783" i="14814"/>
  <c r="F766" i="14814"/>
  <c r="F789" i="14814"/>
  <c r="F777" i="14814"/>
  <c r="F767" i="14814"/>
  <c r="F784" i="14814"/>
  <c r="F786" i="14814"/>
  <c r="F780" i="14814"/>
  <c r="F765" i="14814"/>
  <c r="F782" i="14814"/>
  <c r="F791" i="14814"/>
  <c r="F778" i="14814"/>
  <c r="F769" i="14814"/>
  <c r="F772" i="14814"/>
  <c r="F775" i="14814"/>
  <c r="F770" i="14814"/>
  <c r="F771" i="14814"/>
  <c r="F763" i="14814"/>
  <c r="F774" i="14814"/>
  <c r="A576" i="14814"/>
  <c r="D575" i="14814"/>
  <c r="H575" i="14814"/>
  <c r="C575" i="14814"/>
  <c r="G769" i="14814"/>
  <c r="G777" i="14814"/>
  <c r="G784" i="14814"/>
  <c r="G786" i="14814"/>
  <c r="G787" i="14814"/>
  <c r="G788" i="14814"/>
  <c r="G768" i="14814"/>
  <c r="G792" i="14814"/>
  <c r="G765" i="14814"/>
  <c r="G766" i="14814"/>
  <c r="G767" i="14814"/>
  <c r="G785" i="14814"/>
  <c r="G779" i="14814"/>
  <c r="G773" i="14814"/>
  <c r="G774" i="14814"/>
  <c r="G775" i="14814"/>
  <c r="G781" i="14814"/>
  <c r="G782" i="14814"/>
  <c r="G783" i="14814"/>
  <c r="G789" i="14814"/>
  <c r="G790" i="14814"/>
  <c r="G791" i="14814"/>
  <c r="G780" i="14814"/>
  <c r="G776" i="14814"/>
  <c r="G763" i="14814"/>
  <c r="G764" i="14814"/>
  <c r="G778" i="14814"/>
  <c r="G770" i="14814"/>
  <c r="G771" i="14814"/>
  <c r="G772" i="14814"/>
  <c r="BX17" i="14851"/>
  <c r="CM10" i="14851"/>
  <c r="BN62" i="14851" s="1"/>
  <c r="BN63" i="14851" s="1"/>
  <c r="CL10" i="14850"/>
  <c r="BM62" i="14850" s="1"/>
  <c r="BM63" i="14850" s="1"/>
  <c r="BH17" i="14850"/>
  <c r="BW17" i="14850"/>
  <c r="BU63" i="14851"/>
  <c r="BU45" i="14851"/>
  <c r="BX45" i="14851"/>
  <c r="BX63" i="14851"/>
  <c r="CN10" i="14851"/>
  <c r="BO62" i="14851" s="1"/>
  <c r="CH10" i="14851"/>
  <c r="BI62" i="14851" s="1"/>
  <c r="CU10" i="14851"/>
  <c r="BV62" i="14851" s="1"/>
  <c r="BY17" i="14851"/>
  <c r="BM17" i="14851"/>
  <c r="CI10" i="14851"/>
  <c r="BJ62" i="14851" s="1"/>
  <c r="BT45" i="14851"/>
  <c r="BT63" i="14851"/>
  <c r="BV17" i="14851"/>
  <c r="BE45" i="14851"/>
  <c r="BE63" i="14851"/>
  <c r="BH45" i="14851"/>
  <c r="BH63" i="14851"/>
  <c r="BM63" i="14851"/>
  <c r="BM45" i="14851"/>
  <c r="BP45" i="14851"/>
  <c r="BP63" i="14851"/>
  <c r="BE17" i="14851"/>
  <c r="BH17" i="14851"/>
  <c r="CV10" i="14851"/>
  <c r="BW62" i="14851" s="1"/>
  <c r="BP17" i="14851"/>
  <c r="BR45" i="14851"/>
  <c r="BR63" i="14851"/>
  <c r="BS45" i="14851"/>
  <c r="BS63" i="14851"/>
  <c r="BY45" i="14851"/>
  <c r="BY63" i="14851"/>
  <c r="BW17" i="14851"/>
  <c r="CP10" i="14851"/>
  <c r="BQ62" i="14851" s="1"/>
  <c r="BR17" i="14851"/>
  <c r="BS17" i="14851"/>
  <c r="BN45" i="14850"/>
  <c r="BN63" i="14850"/>
  <c r="BW45" i="14850"/>
  <c r="BW63" i="14850"/>
  <c r="BO45" i="14850"/>
  <c r="BO63" i="14850"/>
  <c r="BH45" i="14850"/>
  <c r="BH63" i="14850"/>
  <c r="BN17" i="14850"/>
  <c r="CH10" i="14850"/>
  <c r="BI62" i="14850" s="1"/>
  <c r="CD10" i="14850"/>
  <c r="BE62" i="14850" s="1"/>
  <c r="BS63" i="14850"/>
  <c r="BS45" i="14850"/>
  <c r="CQ10" i="14850"/>
  <c r="BR62" i="14850" s="1"/>
  <c r="BS17" i="14850"/>
  <c r="CO10" i="14850"/>
  <c r="BP62" i="14850" s="1"/>
  <c r="CX10" i="14850"/>
  <c r="BY62" i="14850" s="1"/>
  <c r="CU10" i="14850"/>
  <c r="BV62" i="14850" s="1"/>
  <c r="BO17" i="14850"/>
  <c r="BT17" i="14850"/>
  <c r="BU17" i="14850"/>
  <c r="CW10" i="14850"/>
  <c r="BX62" i="14850" s="1"/>
  <c r="CP10" i="14850"/>
  <c r="BQ62" i="14850" s="1"/>
  <c r="CI10" i="14850"/>
  <c r="BJ62" i="14850" s="1"/>
  <c r="BU63" i="14835"/>
  <c r="BU45" i="14835"/>
  <c r="BI45" i="14841"/>
  <c r="BI63" i="14841"/>
  <c r="BR45" i="14841"/>
  <c r="L281" i="14814" l="1"/>
  <c r="M281" i="14814" s="1"/>
  <c r="N281" i="14814" s="1"/>
  <c r="L278" i="14814"/>
  <c r="M278" i="14814" s="1"/>
  <c r="N278" i="14814" s="1"/>
  <c r="L279" i="14814"/>
  <c r="M279" i="14814" s="1"/>
  <c r="N279" i="14814" s="1"/>
  <c r="L280" i="14814"/>
  <c r="M280" i="14814" s="1"/>
  <c r="N280" i="14814" s="1"/>
  <c r="E447" i="14814"/>
  <c r="E543" i="14814"/>
  <c r="E519" i="14814"/>
  <c r="E399" i="14814"/>
  <c r="E423" i="14814"/>
  <c r="E495" i="14814"/>
  <c r="E471" i="14814"/>
  <c r="J98" i="14814"/>
  <c r="Y148" i="14786"/>
  <c r="O148" i="14786"/>
  <c r="W147" i="14786"/>
  <c r="Y147" i="14786"/>
  <c r="F195" i="14814"/>
  <c r="X147" i="14786"/>
  <c r="M119" i="14786"/>
  <c r="G268" i="14786"/>
  <c r="O123" i="14786"/>
  <c r="O124" i="14786"/>
  <c r="O125" i="14786" s="1"/>
  <c r="G273" i="14786" s="1"/>
  <c r="N124" i="14786"/>
  <c r="N125" i="14786" s="1"/>
  <c r="G274" i="14786" s="1"/>
  <c r="J110" i="14814"/>
  <c r="J117" i="14814"/>
  <c r="J115" i="14814"/>
  <c r="J106" i="14814"/>
  <c r="J108" i="14814"/>
  <c r="J109" i="14814"/>
  <c r="J116" i="14814"/>
  <c r="J179" i="14814"/>
  <c r="J170" i="14814"/>
  <c r="J178" i="14814"/>
  <c r="J180" i="14814"/>
  <c r="J172" i="14814"/>
  <c r="J169" i="14814"/>
  <c r="J105" i="14814"/>
  <c r="J216" i="14814"/>
  <c r="J202" i="14814"/>
  <c r="J102" i="14814"/>
  <c r="J220" i="14814"/>
  <c r="J112" i="14814"/>
  <c r="J177" i="14814"/>
  <c r="J104" i="14814"/>
  <c r="J118" i="14814"/>
  <c r="J103" i="14814"/>
  <c r="J209" i="14814"/>
  <c r="J99" i="14814"/>
  <c r="J215" i="14814"/>
  <c r="J221" i="14814"/>
  <c r="J101" i="14814"/>
  <c r="J114" i="14814"/>
  <c r="J160" i="14814"/>
  <c r="J210" i="14814"/>
  <c r="J207" i="14814"/>
  <c r="J214" i="14814"/>
  <c r="J203" i="14814"/>
  <c r="J206" i="14814"/>
  <c r="J158" i="14814"/>
  <c r="J204" i="14814"/>
  <c r="J219" i="14814"/>
  <c r="J201" i="14814"/>
  <c r="J211" i="14814"/>
  <c r="J168" i="14814"/>
  <c r="J162" i="14814"/>
  <c r="J173" i="14814"/>
  <c r="J166" i="14814"/>
  <c r="J174" i="14814"/>
  <c r="J163" i="14814"/>
  <c r="J199" i="14814"/>
  <c r="J218" i="14814"/>
  <c r="J113" i="14814"/>
  <c r="J100" i="14814"/>
  <c r="J205" i="14814"/>
  <c r="J111" i="14814"/>
  <c r="J119" i="14814"/>
  <c r="J161" i="14814"/>
  <c r="J176" i="14814"/>
  <c r="J165" i="14814"/>
  <c r="J198" i="14814"/>
  <c r="J175" i="14814"/>
  <c r="J107" i="14814"/>
  <c r="J208" i="14814"/>
  <c r="J171" i="14814"/>
  <c r="J120" i="14814"/>
  <c r="J167" i="14814"/>
  <c r="J200" i="14814"/>
  <c r="J213" i="14814"/>
  <c r="J159" i="14814"/>
  <c r="J212" i="14814"/>
  <c r="J181" i="14814"/>
  <c r="D16" i="14822"/>
  <c r="D16" i="14842"/>
  <c r="F66" i="14814"/>
  <c r="C344" i="14814"/>
  <c r="N175" i="14786"/>
  <c r="N176" i="14786" s="1"/>
  <c r="N177" i="14786" s="1"/>
  <c r="N181" i="14786" s="1"/>
  <c r="AO7" i="14843"/>
  <c r="M175" i="14786"/>
  <c r="M176" i="14786" s="1"/>
  <c r="M177" i="14786" s="1"/>
  <c r="M178" i="14786" s="1"/>
  <c r="P95" i="14814"/>
  <c r="P98" i="14814" s="1"/>
  <c r="O175" i="14786"/>
  <c r="O176" i="14786" s="1"/>
  <c r="O177" i="14786" s="1"/>
  <c r="O181" i="14786" s="1"/>
  <c r="I66" i="14814"/>
  <c r="J66" i="14814" s="1"/>
  <c r="P214" i="14814"/>
  <c r="M123" i="14786"/>
  <c r="P200" i="14814"/>
  <c r="P215" i="14814"/>
  <c r="P208" i="14814"/>
  <c r="P165" i="14814"/>
  <c r="P162" i="14814"/>
  <c r="P218" i="14814"/>
  <c r="P167" i="14814"/>
  <c r="P176" i="14814"/>
  <c r="P170" i="14814"/>
  <c r="P168" i="14814"/>
  <c r="P172" i="14814"/>
  <c r="P166" i="14814"/>
  <c r="P174" i="14814"/>
  <c r="P160" i="14814"/>
  <c r="P159" i="14814"/>
  <c r="P175" i="14814"/>
  <c r="P181" i="14814"/>
  <c r="P158" i="14814"/>
  <c r="P180" i="14814"/>
  <c r="P178" i="14814"/>
  <c r="P179" i="14814"/>
  <c r="P171" i="14814"/>
  <c r="P161" i="14814"/>
  <c r="P163" i="14814"/>
  <c r="P164" i="14814"/>
  <c r="P177" i="14814"/>
  <c r="P173" i="14814"/>
  <c r="P204" i="14814"/>
  <c r="P220" i="14814"/>
  <c r="P207" i="14814"/>
  <c r="P199" i="14814"/>
  <c r="P210" i="14814"/>
  <c r="P221" i="14814"/>
  <c r="P216" i="14814"/>
  <c r="P201" i="14814"/>
  <c r="P203" i="14814"/>
  <c r="P217" i="14814"/>
  <c r="P209" i="14814"/>
  <c r="P198" i="14814"/>
  <c r="P212" i="14814"/>
  <c r="P213" i="14814"/>
  <c r="P211" i="14814"/>
  <c r="P205" i="14814"/>
  <c r="P206" i="14814"/>
  <c r="P202" i="14814"/>
  <c r="C101" i="14814"/>
  <c r="G270" i="14786"/>
  <c r="M122" i="14786"/>
  <c r="M148" i="14786" s="1"/>
  <c r="C159" i="14814"/>
  <c r="C162" i="14814"/>
  <c r="C98" i="14814"/>
  <c r="C158" i="14814"/>
  <c r="C160" i="14814"/>
  <c r="C102" i="14814"/>
  <c r="C100" i="14814"/>
  <c r="C201" i="14814"/>
  <c r="C198" i="14814"/>
  <c r="C200" i="14814"/>
  <c r="C202" i="14814"/>
  <c r="C203" i="14814"/>
  <c r="C103" i="14814"/>
  <c r="C163" i="14814"/>
  <c r="L445" i="14814"/>
  <c r="L541" i="14814"/>
  <c r="L421" i="14814"/>
  <c r="L517" i="14814"/>
  <c r="L469" i="14814"/>
  <c r="K200" i="14814"/>
  <c r="O200" i="14814" s="1"/>
  <c r="L493" i="14814"/>
  <c r="L397" i="14814"/>
  <c r="E282" i="14814"/>
  <c r="K541" i="14814"/>
  <c r="K493" i="14814"/>
  <c r="K160" i="14814"/>
  <c r="K517" i="14814"/>
  <c r="H65" i="14814"/>
  <c r="K469" i="14814"/>
  <c r="K421" i="14814"/>
  <c r="K397" i="14814"/>
  <c r="K445" i="14814"/>
  <c r="J517" i="14814"/>
  <c r="J445" i="14814"/>
  <c r="J469" i="14814"/>
  <c r="K100" i="14814"/>
  <c r="F280" i="14814" s="1"/>
  <c r="J493" i="14814"/>
  <c r="J421" i="14814"/>
  <c r="J397" i="14814"/>
  <c r="J541" i="14814"/>
  <c r="F816" i="14814"/>
  <c r="F815" i="14814"/>
  <c r="F813" i="14814"/>
  <c r="F801" i="14814"/>
  <c r="F805" i="14814"/>
  <c r="F807" i="14814"/>
  <c r="F810" i="14814"/>
  <c r="F797" i="14814"/>
  <c r="F820" i="14814"/>
  <c r="F809" i="14814"/>
  <c r="F822" i="14814"/>
  <c r="F796" i="14814"/>
  <c r="F803" i="14814"/>
  <c r="F799" i="14814"/>
  <c r="F793" i="14814"/>
  <c r="F798" i="14814"/>
  <c r="F819" i="14814"/>
  <c r="F818" i="14814"/>
  <c r="F794" i="14814"/>
  <c r="F812" i="14814"/>
  <c r="F800" i="14814"/>
  <c r="F808" i="14814"/>
  <c r="F814" i="14814"/>
  <c r="F795" i="14814"/>
  <c r="F817" i="14814"/>
  <c r="F811" i="14814"/>
  <c r="F802" i="14814"/>
  <c r="F823" i="14814"/>
  <c r="F804" i="14814"/>
  <c r="F821" i="14814"/>
  <c r="F806" i="14814"/>
  <c r="G805" i="14814"/>
  <c r="G806" i="14814"/>
  <c r="G814" i="14814"/>
  <c r="G811" i="14814"/>
  <c r="G798" i="14814"/>
  <c r="G822" i="14814"/>
  <c r="G813" i="14814"/>
  <c r="G823" i="14814"/>
  <c r="G793" i="14814"/>
  <c r="G816" i="14814"/>
  <c r="G794" i="14814"/>
  <c r="G801" i="14814"/>
  <c r="G802" i="14814"/>
  <c r="G809" i="14814"/>
  <c r="G820" i="14814"/>
  <c r="G810" i="14814"/>
  <c r="G817" i="14814"/>
  <c r="G819" i="14814"/>
  <c r="G815" i="14814"/>
  <c r="G797" i="14814"/>
  <c r="G821" i="14814"/>
  <c r="G818" i="14814"/>
  <c r="G796" i="14814"/>
  <c r="G795" i="14814"/>
  <c r="G808" i="14814"/>
  <c r="G803" i="14814"/>
  <c r="G799" i="14814"/>
  <c r="G800" i="14814"/>
  <c r="G804" i="14814"/>
  <c r="G812" i="14814"/>
  <c r="G807" i="14814"/>
  <c r="D576" i="14814"/>
  <c r="A577" i="14814"/>
  <c r="C576" i="14814"/>
  <c r="D103" i="14814"/>
  <c r="D163" i="14814"/>
  <c r="E203" i="14814"/>
  <c r="F472" i="14814"/>
  <c r="E103" i="14814"/>
  <c r="F448" i="14814"/>
  <c r="F400" i="14814"/>
  <c r="D203" i="14814"/>
  <c r="F544" i="14814"/>
  <c r="F496" i="14814"/>
  <c r="E163" i="14814"/>
  <c r="F520" i="14814"/>
  <c r="F423" i="14814"/>
  <c r="G66" i="14814"/>
  <c r="D400" i="14814"/>
  <c r="D520" i="14814"/>
  <c r="D496" i="14814"/>
  <c r="D544" i="14814"/>
  <c r="D448" i="14814"/>
  <c r="C68" i="14814"/>
  <c r="D424" i="14814"/>
  <c r="D472" i="14814"/>
  <c r="C283" i="14814"/>
  <c r="D283" i="14814" s="1"/>
  <c r="L283" i="14814" s="1"/>
  <c r="M283" i="14814" s="1"/>
  <c r="N283" i="14814" s="1"/>
  <c r="D69" i="14814"/>
  <c r="A70" i="14814"/>
  <c r="B69" i="14814"/>
  <c r="B842" i="14814"/>
  <c r="E842" i="14814" s="1"/>
  <c r="B905" i="14814"/>
  <c r="E905" i="14814" s="1"/>
  <c r="B968" i="14814"/>
  <c r="E968" i="14814" s="1"/>
  <c r="B639" i="14814"/>
  <c r="E639" i="14814" s="1"/>
  <c r="B667" i="14814"/>
  <c r="E667" i="14814" s="1"/>
  <c r="B695" i="14814"/>
  <c r="E695" i="14814" s="1"/>
  <c r="B723" i="14814"/>
  <c r="E723" i="14814" s="1"/>
  <c r="B751" i="14814"/>
  <c r="E751" i="14814" s="1"/>
  <c r="B779" i="14814"/>
  <c r="E779" i="14814" s="1"/>
  <c r="B807" i="14814"/>
  <c r="E807" i="14814" s="1"/>
  <c r="B870" i="14814"/>
  <c r="E870" i="14814" s="1"/>
  <c r="B933" i="14814"/>
  <c r="E933" i="14814" s="1"/>
  <c r="B835" i="14814"/>
  <c r="E835" i="14814" s="1"/>
  <c r="B898" i="14814"/>
  <c r="E898" i="14814" s="1"/>
  <c r="B961" i="14814"/>
  <c r="E961" i="14814" s="1"/>
  <c r="B632" i="14814"/>
  <c r="E632" i="14814" s="1"/>
  <c r="B660" i="14814"/>
  <c r="E660" i="14814" s="1"/>
  <c r="B688" i="14814"/>
  <c r="E688" i="14814" s="1"/>
  <c r="B716" i="14814"/>
  <c r="E716" i="14814" s="1"/>
  <c r="B744" i="14814"/>
  <c r="E744" i="14814" s="1"/>
  <c r="B772" i="14814"/>
  <c r="E772" i="14814" s="1"/>
  <c r="B800" i="14814"/>
  <c r="E800" i="14814" s="1"/>
  <c r="B863" i="14814"/>
  <c r="E863" i="14814" s="1"/>
  <c r="B926" i="14814"/>
  <c r="E926" i="14814" s="1"/>
  <c r="B828" i="14814"/>
  <c r="E828" i="14814" s="1"/>
  <c r="B891" i="14814"/>
  <c r="E891" i="14814" s="1"/>
  <c r="B954" i="14814"/>
  <c r="E954" i="14814" s="1"/>
  <c r="B625" i="14814"/>
  <c r="E625" i="14814" s="1"/>
  <c r="B653" i="14814"/>
  <c r="E653" i="14814" s="1"/>
  <c r="B681" i="14814"/>
  <c r="E681" i="14814" s="1"/>
  <c r="B709" i="14814"/>
  <c r="E709" i="14814" s="1"/>
  <c r="B737" i="14814"/>
  <c r="E737" i="14814" s="1"/>
  <c r="B765" i="14814"/>
  <c r="E765" i="14814" s="1"/>
  <c r="B793" i="14814"/>
  <c r="E793" i="14814" s="1"/>
  <c r="B821" i="14814"/>
  <c r="E821" i="14814" s="1"/>
  <c r="B856" i="14814"/>
  <c r="E856" i="14814" s="1"/>
  <c r="B884" i="14814"/>
  <c r="E884" i="14814" s="1"/>
  <c r="B919" i="14814"/>
  <c r="E919" i="14814" s="1"/>
  <c r="B849" i="14814"/>
  <c r="E849" i="14814" s="1"/>
  <c r="B912" i="14814"/>
  <c r="E912" i="14814" s="1"/>
  <c r="B947" i="14814"/>
  <c r="E947" i="14814" s="1"/>
  <c r="B975" i="14814"/>
  <c r="E975" i="14814" s="1"/>
  <c r="B618" i="14814"/>
  <c r="E618" i="14814" s="1"/>
  <c r="B646" i="14814"/>
  <c r="E646" i="14814" s="1"/>
  <c r="B674" i="14814"/>
  <c r="E674" i="14814" s="1"/>
  <c r="B702" i="14814"/>
  <c r="E702" i="14814" s="1"/>
  <c r="B730" i="14814"/>
  <c r="E730" i="14814" s="1"/>
  <c r="B758" i="14814"/>
  <c r="E758" i="14814" s="1"/>
  <c r="B786" i="14814"/>
  <c r="E786" i="14814" s="1"/>
  <c r="B814" i="14814"/>
  <c r="E814" i="14814" s="1"/>
  <c r="B877" i="14814"/>
  <c r="E877" i="14814" s="1"/>
  <c r="B940" i="14814"/>
  <c r="E940" i="14814" s="1"/>
  <c r="BM45" i="14850"/>
  <c r="BN45" i="14851"/>
  <c r="BW45" i="14851"/>
  <c r="BW63" i="14851"/>
  <c r="BV63" i="14851"/>
  <c r="BV45" i="14851"/>
  <c r="BI45" i="14851"/>
  <c r="BI63" i="14851"/>
  <c r="BO45" i="14851"/>
  <c r="BO63" i="14851"/>
  <c r="BQ45" i="14851"/>
  <c r="BQ63" i="14851"/>
  <c r="BJ45" i="14851"/>
  <c r="BJ63" i="14851"/>
  <c r="BX45" i="14850"/>
  <c r="BX63" i="14850"/>
  <c r="BR45" i="14850"/>
  <c r="BR63" i="14850"/>
  <c r="BE63" i="14850"/>
  <c r="BE45" i="14850"/>
  <c r="BV45" i="14850"/>
  <c r="BV63" i="14850"/>
  <c r="BI63" i="14850"/>
  <c r="BI45" i="14850"/>
  <c r="BY63" i="14850"/>
  <c r="BY45" i="14850"/>
  <c r="BJ45" i="14850"/>
  <c r="BJ63" i="14850"/>
  <c r="BP45" i="14850"/>
  <c r="BP63" i="14850"/>
  <c r="BQ63" i="14850"/>
  <c r="BQ45" i="14850"/>
  <c r="E448" i="14814" l="1"/>
  <c r="E400" i="14814"/>
  <c r="E472" i="14814"/>
  <c r="E544" i="14814"/>
  <c r="E424" i="14814"/>
  <c r="E496" i="14814"/>
  <c r="E520" i="14814"/>
  <c r="M124" i="14786"/>
  <c r="M125" i="14786" s="1"/>
  <c r="G275" i="14786" s="1"/>
  <c r="W148" i="14786"/>
  <c r="P118" i="14814"/>
  <c r="J224" i="14814"/>
  <c r="J223" i="14814"/>
  <c r="D11" i="14822"/>
  <c r="D15" i="14822"/>
  <c r="J183" i="14814"/>
  <c r="D11" i="14842"/>
  <c r="J124" i="14814"/>
  <c r="J184" i="14814"/>
  <c r="J123" i="14814"/>
  <c r="D15" i="14842"/>
  <c r="I67" i="14814"/>
  <c r="C345" i="14814"/>
  <c r="AM141" i="14786" l="1"/>
  <c r="D12" i="14842" l="1"/>
  <c r="N178" i="14786"/>
  <c r="N182" i="14786" s="1"/>
  <c r="I269" i="14786" s="1"/>
  <c r="D12" i="14822"/>
  <c r="O160" i="14814"/>
  <c r="M181" i="14786"/>
  <c r="M182" i="14786" s="1"/>
  <c r="P115" i="14814"/>
  <c r="P117" i="14814"/>
  <c r="P116" i="14814"/>
  <c r="P120" i="14814"/>
  <c r="P113" i="14814"/>
  <c r="O178" i="14786"/>
  <c r="O182" i="14786" s="1"/>
  <c r="I268" i="14786" s="1"/>
  <c r="P104" i="14814"/>
  <c r="P100" i="14814"/>
  <c r="P119" i="14814"/>
  <c r="P99" i="14814"/>
  <c r="P112" i="14814"/>
  <c r="P110" i="14814"/>
  <c r="P111" i="14814"/>
  <c r="P108" i="14814"/>
  <c r="P103" i="14814"/>
  <c r="P114" i="14814"/>
  <c r="P121" i="14814"/>
  <c r="P109" i="14814"/>
  <c r="P102" i="14814"/>
  <c r="P101" i="14814"/>
  <c r="P105" i="14814"/>
  <c r="P106" i="14814"/>
  <c r="P107" i="14814"/>
  <c r="J67" i="14814"/>
  <c r="P183" i="14814"/>
  <c r="P184" i="14814"/>
  <c r="P223" i="14814"/>
  <c r="P224" i="14814"/>
  <c r="F95" i="14814"/>
  <c r="L470" i="14814"/>
  <c r="L494" i="14814"/>
  <c r="L518" i="14814"/>
  <c r="L398" i="14814"/>
  <c r="L446" i="14814"/>
  <c r="L422" i="14814"/>
  <c r="K201" i="14814"/>
  <c r="O201" i="14814" s="1"/>
  <c r="L542" i="14814"/>
  <c r="E283" i="14814"/>
  <c r="G280" i="14814"/>
  <c r="O100" i="14814"/>
  <c r="D497" i="14814"/>
  <c r="C104" i="14814"/>
  <c r="D473" i="14814"/>
  <c r="C204" i="14814"/>
  <c r="G67" i="14814"/>
  <c r="D521" i="14814"/>
  <c r="D449" i="14814"/>
  <c r="C69" i="14814"/>
  <c r="D545" i="14814"/>
  <c r="D425" i="14814"/>
  <c r="C284" i="14814"/>
  <c r="D284" i="14814" s="1"/>
  <c r="F67" i="14814"/>
  <c r="C164" i="14814"/>
  <c r="D401" i="14814"/>
  <c r="H66" i="14814"/>
  <c r="K518" i="14814"/>
  <c r="K446" i="14814"/>
  <c r="K494" i="14814"/>
  <c r="K422" i="14814"/>
  <c r="K470" i="14814"/>
  <c r="K542" i="14814"/>
  <c r="K398" i="14814"/>
  <c r="K161" i="14814"/>
  <c r="D70" i="14814"/>
  <c r="A71" i="14814"/>
  <c r="B70" i="14814"/>
  <c r="F824" i="14814"/>
  <c r="F830" i="14814"/>
  <c r="F852" i="14814"/>
  <c r="F828" i="14814"/>
  <c r="F835" i="14814"/>
  <c r="F827" i="14814"/>
  <c r="F849" i="14814"/>
  <c r="F825" i="14814"/>
  <c r="F853" i="14814"/>
  <c r="F847" i="14814"/>
  <c r="F840" i="14814"/>
  <c r="F845" i="14814"/>
  <c r="F846" i="14814"/>
  <c r="F844" i="14814"/>
  <c r="F837" i="14814"/>
  <c r="F854" i="14814"/>
  <c r="F843" i="14814"/>
  <c r="F850" i="14814"/>
  <c r="F833" i="14814"/>
  <c r="F839" i="14814"/>
  <c r="F842" i="14814"/>
  <c r="F836" i="14814"/>
  <c r="F826" i="14814"/>
  <c r="F841" i="14814"/>
  <c r="F834" i="14814"/>
  <c r="F848" i="14814"/>
  <c r="F838" i="14814"/>
  <c r="F829" i="14814"/>
  <c r="F832" i="14814"/>
  <c r="F851" i="14814"/>
  <c r="F831" i="14814"/>
  <c r="F545" i="14814"/>
  <c r="F497" i="14814"/>
  <c r="F521" i="14814"/>
  <c r="F473" i="14814"/>
  <c r="E164" i="14814"/>
  <c r="F424" i="14814"/>
  <c r="D104" i="14814"/>
  <c r="F449" i="14814"/>
  <c r="E104" i="14814"/>
  <c r="E204" i="14814"/>
  <c r="D204" i="14814"/>
  <c r="F401" i="14814"/>
  <c r="D164" i="14814"/>
  <c r="D577" i="14814"/>
  <c r="A578" i="14814"/>
  <c r="C577" i="14814"/>
  <c r="J398" i="14814"/>
  <c r="J422" i="14814"/>
  <c r="J542" i="14814"/>
  <c r="J470" i="14814"/>
  <c r="J518" i="14814"/>
  <c r="J446" i="14814"/>
  <c r="K101" i="14814"/>
  <c r="F281" i="14814" s="1"/>
  <c r="J494" i="14814"/>
  <c r="G836" i="14814"/>
  <c r="G840" i="14814"/>
  <c r="G845" i="14814"/>
  <c r="G825" i="14814"/>
  <c r="G833" i="14814"/>
  <c r="G841" i="14814"/>
  <c r="G843" i="14814"/>
  <c r="G850" i="14814"/>
  <c r="G848" i="14814"/>
  <c r="G852" i="14814"/>
  <c r="G832" i="14814"/>
  <c r="G839" i="14814"/>
  <c r="G844" i="14814"/>
  <c r="G826" i="14814"/>
  <c r="G849" i="14814"/>
  <c r="G837" i="14814"/>
  <c r="G851" i="14814"/>
  <c r="G842" i="14814"/>
  <c r="G847" i="14814"/>
  <c r="G824" i="14814"/>
  <c r="G827" i="14814"/>
  <c r="G853" i="14814"/>
  <c r="G835" i="14814"/>
  <c r="G831" i="14814"/>
  <c r="G846" i="14814"/>
  <c r="G829" i="14814"/>
  <c r="G854" i="14814"/>
  <c r="G830" i="14814"/>
  <c r="G838" i="14814"/>
  <c r="G834" i="14814"/>
  <c r="G828" i="14814"/>
  <c r="E401" i="14814" l="1"/>
  <c r="E425" i="14814"/>
  <c r="E521" i="14814"/>
  <c r="E545" i="14814"/>
  <c r="E497" i="14814"/>
  <c r="E449" i="14814"/>
  <c r="E473" i="14814"/>
  <c r="I270" i="14786"/>
  <c r="I68" i="14814"/>
  <c r="J68" i="14814" s="1"/>
  <c r="C346" i="14814"/>
  <c r="O161" i="14814"/>
  <c r="P124" i="14814"/>
  <c r="AM147" i="14786" s="1"/>
  <c r="P123" i="14814"/>
  <c r="L447" i="14814"/>
  <c r="L495" i="14814"/>
  <c r="L543" i="14814"/>
  <c r="L471" i="14814"/>
  <c r="L519" i="14814"/>
  <c r="K202" i="14814"/>
  <c r="O202" i="14814" s="1"/>
  <c r="L399" i="14814"/>
  <c r="L423" i="14814"/>
  <c r="A579" i="14814"/>
  <c r="D578" i="14814"/>
  <c r="C578" i="14814"/>
  <c r="D498" i="14814"/>
  <c r="C205" i="14814"/>
  <c r="D402" i="14814"/>
  <c r="C70" i="14814"/>
  <c r="D474" i="14814"/>
  <c r="F68" i="14814"/>
  <c r="D522" i="14814"/>
  <c r="C165" i="14814"/>
  <c r="C285" i="14814"/>
  <c r="D285" i="14814" s="1"/>
  <c r="C105" i="14814"/>
  <c r="D450" i="14814"/>
  <c r="G68" i="14814"/>
  <c r="D546" i="14814"/>
  <c r="D426" i="14814"/>
  <c r="K447" i="14814"/>
  <c r="K543" i="14814"/>
  <c r="K399" i="14814"/>
  <c r="H67" i="14814"/>
  <c r="K519" i="14814"/>
  <c r="K471" i="14814"/>
  <c r="K162" i="14814"/>
  <c r="K423" i="14814"/>
  <c r="K495" i="14814"/>
  <c r="G879" i="14814"/>
  <c r="G878" i="14814"/>
  <c r="G855" i="14814"/>
  <c r="G861" i="14814"/>
  <c r="G884" i="14814"/>
  <c r="G883" i="14814"/>
  <c r="G867" i="14814"/>
  <c r="G866" i="14814"/>
  <c r="G873" i="14814"/>
  <c r="G876" i="14814"/>
  <c r="G882" i="14814"/>
  <c r="G865" i="14814"/>
  <c r="G880" i="14814"/>
  <c r="G875" i="14814"/>
  <c r="G869" i="14814"/>
  <c r="G872" i="14814"/>
  <c r="G877" i="14814"/>
  <c r="G862" i="14814"/>
  <c r="G871" i="14814"/>
  <c r="G857" i="14814"/>
  <c r="G868" i="14814"/>
  <c r="G860" i="14814"/>
  <c r="G858" i="14814"/>
  <c r="G881" i="14814"/>
  <c r="G859" i="14814"/>
  <c r="G874" i="14814"/>
  <c r="G856" i="14814"/>
  <c r="G864" i="14814"/>
  <c r="G863" i="14814"/>
  <c r="G870" i="14814"/>
  <c r="D71" i="14814"/>
  <c r="A72" i="14814"/>
  <c r="B71" i="14814"/>
  <c r="F450" i="14814"/>
  <c r="E205" i="14814"/>
  <c r="E105" i="14814"/>
  <c r="F474" i="14814"/>
  <c r="F522" i="14814"/>
  <c r="F425" i="14814"/>
  <c r="E165" i="14814"/>
  <c r="F546" i="14814"/>
  <c r="F402" i="14814"/>
  <c r="D105" i="14814"/>
  <c r="D165" i="14814"/>
  <c r="F498" i="14814"/>
  <c r="D205" i="14814"/>
  <c r="J543" i="14814"/>
  <c r="J423" i="14814"/>
  <c r="J519" i="14814"/>
  <c r="J471" i="14814"/>
  <c r="J399" i="14814"/>
  <c r="J495" i="14814"/>
  <c r="K102" i="14814"/>
  <c r="F282" i="14814" s="1"/>
  <c r="J447" i="14814"/>
  <c r="H280" i="14814"/>
  <c r="AN280" i="14814"/>
  <c r="O101" i="14814"/>
  <c r="G281" i="14814"/>
  <c r="F858" i="14814"/>
  <c r="F865" i="14814"/>
  <c r="F880" i="14814"/>
  <c r="F875" i="14814"/>
  <c r="F870" i="14814"/>
  <c r="F873" i="14814"/>
  <c r="F864" i="14814"/>
  <c r="F866" i="14814"/>
  <c r="F863" i="14814"/>
  <c r="F878" i="14814"/>
  <c r="F869" i="14814"/>
  <c r="F881" i="14814"/>
  <c r="F872" i="14814"/>
  <c r="F860" i="14814"/>
  <c r="F883" i="14814"/>
  <c r="F877" i="14814"/>
  <c r="F874" i="14814"/>
  <c r="F876" i="14814"/>
  <c r="F884" i="14814"/>
  <c r="F868" i="14814"/>
  <c r="F861" i="14814"/>
  <c r="F856" i="14814"/>
  <c r="F862" i="14814"/>
  <c r="F857" i="14814"/>
  <c r="F867" i="14814"/>
  <c r="F882" i="14814"/>
  <c r="F879" i="14814"/>
  <c r="F855" i="14814"/>
  <c r="F859" i="14814"/>
  <c r="F871" i="14814"/>
  <c r="E284" i="14814"/>
  <c r="L284" i="14814"/>
  <c r="M284" i="14814" s="1"/>
  <c r="N284" i="14814" s="1"/>
  <c r="E546" i="14814" l="1"/>
  <c r="E474" i="14814"/>
  <c r="E498" i="14814"/>
  <c r="E450" i="14814"/>
  <c r="E522" i="14814"/>
  <c r="E402" i="14814"/>
  <c r="E426" i="14814"/>
  <c r="I69" i="14814"/>
  <c r="J69" i="14814" s="1"/>
  <c r="C347" i="14814"/>
  <c r="O162" i="14814"/>
  <c r="L285" i="14814"/>
  <c r="M285" i="14814" s="1"/>
  <c r="E285" i="14814"/>
  <c r="L472" i="14814"/>
  <c r="L424" i="14814"/>
  <c r="L520" i="14814"/>
  <c r="L496" i="14814"/>
  <c r="L448" i="14814"/>
  <c r="K203" i="14814"/>
  <c r="O203" i="14814" s="1"/>
  <c r="L400" i="14814"/>
  <c r="L544" i="14814"/>
  <c r="C71" i="14814"/>
  <c r="C206" i="14814"/>
  <c r="D403" i="14814"/>
  <c r="D475" i="14814"/>
  <c r="C166" i="14814"/>
  <c r="D547" i="14814"/>
  <c r="G69" i="14814"/>
  <c r="D499" i="14814"/>
  <c r="F69" i="14814"/>
  <c r="D523" i="14814"/>
  <c r="D427" i="14814"/>
  <c r="C286" i="14814"/>
  <c r="D286" i="14814" s="1"/>
  <c r="E286" i="14814" s="1"/>
  <c r="C106" i="14814"/>
  <c r="D451" i="14814"/>
  <c r="E206" i="14814"/>
  <c r="D166" i="14814"/>
  <c r="F523" i="14814"/>
  <c r="F451" i="14814"/>
  <c r="E166" i="14814"/>
  <c r="F403" i="14814"/>
  <c r="F547" i="14814"/>
  <c r="F499" i="14814"/>
  <c r="D206" i="14814"/>
  <c r="F426" i="14814"/>
  <c r="E106" i="14814"/>
  <c r="F475" i="14814"/>
  <c r="D106" i="14814"/>
  <c r="A73" i="14814"/>
  <c r="B72" i="14814"/>
  <c r="D72" i="14814"/>
  <c r="J520" i="14814"/>
  <c r="J400" i="14814"/>
  <c r="J544" i="14814"/>
  <c r="J496" i="14814"/>
  <c r="J472" i="14814"/>
  <c r="J424" i="14814"/>
  <c r="K103" i="14814"/>
  <c r="F283" i="14814" s="1"/>
  <c r="J448" i="14814"/>
  <c r="F888" i="14814"/>
  <c r="F904" i="14814"/>
  <c r="F911" i="14814"/>
  <c r="F897" i="14814"/>
  <c r="F900" i="14814"/>
  <c r="F894" i="14814"/>
  <c r="F891" i="14814"/>
  <c r="F902" i="14814"/>
  <c r="F898" i="14814"/>
  <c r="F914" i="14814"/>
  <c r="F893" i="14814"/>
  <c r="F903" i="14814"/>
  <c r="F905" i="14814"/>
  <c r="F899" i="14814"/>
  <c r="F901" i="14814"/>
  <c r="F885" i="14814"/>
  <c r="F895" i="14814"/>
  <c r="F887" i="14814"/>
  <c r="F915" i="14814"/>
  <c r="F892" i="14814"/>
  <c r="F912" i="14814"/>
  <c r="F906" i="14814"/>
  <c r="F908" i="14814"/>
  <c r="F890" i="14814"/>
  <c r="F910" i="14814"/>
  <c r="F896" i="14814"/>
  <c r="F907" i="14814"/>
  <c r="F889" i="14814"/>
  <c r="F886" i="14814"/>
  <c r="F913" i="14814"/>
  <c r="F909" i="14814"/>
  <c r="H281" i="14814"/>
  <c r="AN281" i="14814"/>
  <c r="O102" i="14814"/>
  <c r="G282" i="14814"/>
  <c r="K472" i="14814"/>
  <c r="K400" i="14814"/>
  <c r="K448" i="14814"/>
  <c r="K496" i="14814"/>
  <c r="H68" i="14814"/>
  <c r="K424" i="14814"/>
  <c r="K520" i="14814"/>
  <c r="K163" i="14814"/>
  <c r="K544" i="14814"/>
  <c r="G898" i="14814"/>
  <c r="G899" i="14814"/>
  <c r="G914" i="14814"/>
  <c r="G906" i="14814"/>
  <c r="G900" i="14814"/>
  <c r="G907" i="14814"/>
  <c r="G890" i="14814"/>
  <c r="G908" i="14814"/>
  <c r="G901" i="14814"/>
  <c r="G891" i="14814"/>
  <c r="G892" i="14814"/>
  <c r="G885" i="14814"/>
  <c r="G915" i="14814"/>
  <c r="G893" i="14814"/>
  <c r="G909" i="14814"/>
  <c r="G902" i="14814"/>
  <c r="G903" i="14814"/>
  <c r="G910" i="14814"/>
  <c r="G911" i="14814"/>
  <c r="G886" i="14814"/>
  <c r="G895" i="14814"/>
  <c r="G889" i="14814"/>
  <c r="G888" i="14814"/>
  <c r="G897" i="14814"/>
  <c r="G896" i="14814"/>
  <c r="G905" i="14814"/>
  <c r="G904" i="14814"/>
  <c r="G913" i="14814"/>
  <c r="G912" i="14814"/>
  <c r="G894" i="14814"/>
  <c r="G887" i="14814"/>
  <c r="A580" i="14814"/>
  <c r="D579" i="14814"/>
  <c r="C579" i="14814"/>
  <c r="E499" i="14814" l="1"/>
  <c r="E475" i="14814"/>
  <c r="E427" i="14814"/>
  <c r="E403" i="14814"/>
  <c r="E451" i="14814"/>
  <c r="E523" i="14814"/>
  <c r="E547" i="14814"/>
  <c r="I70" i="14814"/>
  <c r="J70" i="14814" s="1"/>
  <c r="C348" i="14814"/>
  <c r="O163" i="14814"/>
  <c r="L497" i="14814"/>
  <c r="L449" i="14814"/>
  <c r="L521" i="14814"/>
  <c r="L425" i="14814"/>
  <c r="L401" i="14814"/>
  <c r="L473" i="14814"/>
  <c r="K204" i="14814"/>
  <c r="O204" i="14814" s="1"/>
  <c r="L545" i="14814"/>
  <c r="L286" i="14814"/>
  <c r="M286" i="14814" s="1"/>
  <c r="J449" i="14814"/>
  <c r="J473" i="14814"/>
  <c r="J497" i="14814"/>
  <c r="J545" i="14814"/>
  <c r="J425" i="14814"/>
  <c r="J521" i="14814"/>
  <c r="J401" i="14814"/>
  <c r="K104" i="14814"/>
  <c r="F284" i="14814" s="1"/>
  <c r="F932" i="14814"/>
  <c r="F931" i="14814"/>
  <c r="F945" i="14814"/>
  <c r="F916" i="14814"/>
  <c r="F920" i="14814"/>
  <c r="F926" i="14814"/>
  <c r="F919" i="14814"/>
  <c r="F938" i="14814"/>
  <c r="F929" i="14814"/>
  <c r="F917" i="14814"/>
  <c r="F943" i="14814"/>
  <c r="F933" i="14814"/>
  <c r="F922" i="14814"/>
  <c r="F928" i="14814"/>
  <c r="F936" i="14814"/>
  <c r="F924" i="14814"/>
  <c r="F925" i="14814"/>
  <c r="F927" i="14814"/>
  <c r="F942" i="14814"/>
  <c r="F940" i="14814"/>
  <c r="F923" i="14814"/>
  <c r="F918" i="14814"/>
  <c r="F944" i="14814"/>
  <c r="F930" i="14814"/>
  <c r="F934" i="14814"/>
  <c r="F935" i="14814"/>
  <c r="F939" i="14814"/>
  <c r="F921" i="14814"/>
  <c r="F937" i="14814"/>
  <c r="F941" i="14814"/>
  <c r="K521" i="14814"/>
  <c r="K425" i="14814"/>
  <c r="H69" i="14814"/>
  <c r="K473" i="14814"/>
  <c r="K497" i="14814"/>
  <c r="K449" i="14814"/>
  <c r="K164" i="14814"/>
  <c r="K401" i="14814"/>
  <c r="K545" i="14814"/>
  <c r="G924" i="14814"/>
  <c r="G939" i="14814"/>
  <c r="G941" i="14814"/>
  <c r="G929" i="14814"/>
  <c r="G945" i="14814"/>
  <c r="G930" i="14814"/>
  <c r="G932" i="14814"/>
  <c r="G943" i="14814"/>
  <c r="G940" i="14814"/>
  <c r="G923" i="14814"/>
  <c r="G935" i="14814"/>
  <c r="G928" i="14814"/>
  <c r="G920" i="14814"/>
  <c r="G938" i="14814"/>
  <c r="G927" i="14814"/>
  <c r="G942" i="14814"/>
  <c r="G931" i="14814"/>
  <c r="G918" i="14814"/>
  <c r="G926" i="14814"/>
  <c r="G937" i="14814"/>
  <c r="G934" i="14814"/>
  <c r="G922" i="14814"/>
  <c r="G933" i="14814"/>
  <c r="G921" i="14814"/>
  <c r="G916" i="14814"/>
  <c r="G919" i="14814"/>
  <c r="G944" i="14814"/>
  <c r="G917" i="14814"/>
  <c r="G936" i="14814"/>
  <c r="G925" i="14814"/>
  <c r="G283" i="14814"/>
  <c r="O103" i="14814"/>
  <c r="F524" i="14814"/>
  <c r="D167" i="14814"/>
  <c r="F548" i="14814"/>
  <c r="F452" i="14814"/>
  <c r="E207" i="14814"/>
  <c r="F404" i="14814"/>
  <c r="F500" i="14814"/>
  <c r="E167" i="14814"/>
  <c r="F427" i="14814"/>
  <c r="D207" i="14814"/>
  <c r="E107" i="14814"/>
  <c r="F476" i="14814"/>
  <c r="D107" i="14814"/>
  <c r="D580" i="14814"/>
  <c r="C580" i="14814"/>
  <c r="D428" i="14814"/>
  <c r="D476" i="14814"/>
  <c r="D404" i="14814"/>
  <c r="C167" i="14814"/>
  <c r="D524" i="14814"/>
  <c r="D452" i="14814"/>
  <c r="G70" i="14814"/>
  <c r="C207" i="14814"/>
  <c r="D548" i="14814"/>
  <c r="C72" i="14814"/>
  <c r="F70" i="14814"/>
  <c r="C287" i="14814"/>
  <c r="D287" i="14814" s="1"/>
  <c r="E287" i="14814" s="1"/>
  <c r="C107" i="14814"/>
  <c r="D500" i="14814"/>
  <c r="AN282" i="14814"/>
  <c r="H282" i="14814"/>
  <c r="B73" i="14814"/>
  <c r="C349" i="14814" s="1"/>
  <c r="A74" i="14814"/>
  <c r="D73" i="14814"/>
  <c r="N285" i="14814"/>
  <c r="E404" i="14814" l="1"/>
  <c r="E500" i="14814"/>
  <c r="E452" i="14814"/>
  <c r="E476" i="14814"/>
  <c r="E548" i="14814"/>
  <c r="E524" i="14814"/>
  <c r="E428" i="14814"/>
  <c r="O164" i="14814"/>
  <c r="I71" i="14814"/>
  <c r="L522" i="14814"/>
  <c r="L498" i="14814"/>
  <c r="L474" i="14814"/>
  <c r="L450" i="14814"/>
  <c r="K205" i="14814"/>
  <c r="O205" i="14814" s="1"/>
  <c r="L426" i="14814"/>
  <c r="L546" i="14814"/>
  <c r="L402" i="14814"/>
  <c r="N286" i="14814"/>
  <c r="L287" i="14814"/>
  <c r="M287" i="14814" s="1"/>
  <c r="B74" i="14814"/>
  <c r="C350" i="14814" s="1"/>
  <c r="D74" i="14814"/>
  <c r="A75" i="14814"/>
  <c r="D208" i="14814"/>
  <c r="F405" i="14814"/>
  <c r="D168" i="14814"/>
  <c r="E208" i="14814"/>
  <c r="E168" i="14814"/>
  <c r="F549" i="14814"/>
  <c r="F501" i="14814"/>
  <c r="E108" i="14814"/>
  <c r="F525" i="14814"/>
  <c r="F453" i="14814"/>
  <c r="F477" i="14814"/>
  <c r="F428" i="14814"/>
  <c r="D108" i="14814"/>
  <c r="K426" i="14814"/>
  <c r="K498" i="14814"/>
  <c r="H70" i="14814"/>
  <c r="K474" i="14814"/>
  <c r="K402" i="14814"/>
  <c r="K165" i="14814"/>
  <c r="K546" i="14814"/>
  <c r="K522" i="14814"/>
  <c r="K450" i="14814"/>
  <c r="D549" i="14814"/>
  <c r="D429" i="14814"/>
  <c r="C168" i="14814"/>
  <c r="C208" i="14814"/>
  <c r="D477" i="14814"/>
  <c r="C73" i="14814"/>
  <c r="F71" i="14814"/>
  <c r="D453" i="14814"/>
  <c r="G71" i="14814"/>
  <c r="D501" i="14814"/>
  <c r="C288" i="14814"/>
  <c r="D288" i="14814" s="1"/>
  <c r="C108" i="14814"/>
  <c r="D525" i="14814"/>
  <c r="D405" i="14814"/>
  <c r="J474" i="14814"/>
  <c r="J498" i="14814"/>
  <c r="J402" i="14814"/>
  <c r="J522" i="14814"/>
  <c r="K105" i="14814"/>
  <c r="F285" i="14814" s="1"/>
  <c r="J546" i="14814"/>
  <c r="J426" i="14814"/>
  <c r="J450" i="14814"/>
  <c r="F960" i="14814"/>
  <c r="F976" i="14814"/>
  <c r="F961" i="14814"/>
  <c r="F948" i="14814"/>
  <c r="F971" i="14814"/>
  <c r="F946" i="14814"/>
  <c r="F969" i="14814"/>
  <c r="F951" i="14814"/>
  <c r="F949" i="14814"/>
  <c r="F974" i="14814"/>
  <c r="F973" i="14814"/>
  <c r="F954" i="14814"/>
  <c r="F975" i="14814"/>
  <c r="F947" i="14814"/>
  <c r="F956" i="14814"/>
  <c r="F958" i="14814"/>
  <c r="F959" i="14814"/>
  <c r="F965" i="14814"/>
  <c r="F964" i="14814"/>
  <c r="F962" i="14814"/>
  <c r="F963" i="14814"/>
  <c r="F953" i="14814"/>
  <c r="F955" i="14814"/>
  <c r="F957" i="14814"/>
  <c r="F972" i="14814"/>
  <c r="F970" i="14814"/>
  <c r="F952" i="14814"/>
  <c r="F968" i="14814"/>
  <c r="F966" i="14814"/>
  <c r="F967" i="14814"/>
  <c r="F950" i="14814"/>
  <c r="O104" i="14814"/>
  <c r="G284" i="14814"/>
  <c r="G968" i="14814"/>
  <c r="G947" i="14814"/>
  <c r="G954" i="14814"/>
  <c r="G950" i="14814"/>
  <c r="G951" i="14814"/>
  <c r="G963" i="14814"/>
  <c r="G946" i="14814"/>
  <c r="G949" i="14814"/>
  <c r="G975" i="14814"/>
  <c r="G969" i="14814"/>
  <c r="G970" i="14814"/>
  <c r="G961" i="14814"/>
  <c r="G955" i="14814"/>
  <c r="G967" i="14814"/>
  <c r="G953" i="14814"/>
  <c r="G948" i="14814"/>
  <c r="G976" i="14814"/>
  <c r="G971" i="14814"/>
  <c r="G962" i="14814"/>
  <c r="G960" i="14814"/>
  <c r="G952" i="14814"/>
  <c r="G959" i="14814"/>
  <c r="G966" i="14814"/>
  <c r="G974" i="14814"/>
  <c r="G972" i="14814"/>
  <c r="G958" i="14814"/>
  <c r="G973" i="14814"/>
  <c r="G964" i="14814"/>
  <c r="G965" i="14814"/>
  <c r="G956" i="14814"/>
  <c r="G957" i="14814"/>
  <c r="D568" i="14814"/>
  <c r="R5" i="14814" s="1"/>
  <c r="H283" i="14814"/>
  <c r="AN283" i="14814"/>
  <c r="C568" i="14814"/>
  <c r="X5" i="14814" s="1"/>
  <c r="E405" i="14814" l="1"/>
  <c r="E501" i="14814"/>
  <c r="E429" i="14814"/>
  <c r="E525" i="14814"/>
  <c r="E477" i="14814"/>
  <c r="E549" i="14814"/>
  <c r="E453" i="14814"/>
  <c r="O165" i="14814"/>
  <c r="I72" i="14814"/>
  <c r="J72" i="14814" s="1"/>
  <c r="N287" i="14814"/>
  <c r="J427" i="14814"/>
  <c r="J403" i="14814"/>
  <c r="J499" i="14814"/>
  <c r="K106" i="14814"/>
  <c r="F286" i="14814" s="1"/>
  <c r="J523" i="14814"/>
  <c r="J547" i="14814"/>
  <c r="J475" i="14814"/>
  <c r="J451" i="14814"/>
  <c r="O105" i="14814"/>
  <c r="G285" i="14814"/>
  <c r="B75" i="14814"/>
  <c r="C351" i="14814" s="1"/>
  <c r="A76" i="14814"/>
  <c r="D75" i="14814"/>
  <c r="H284" i="14814"/>
  <c r="AN284" i="14814"/>
  <c r="E288" i="14814"/>
  <c r="L288" i="14814"/>
  <c r="M288" i="14814" s="1"/>
  <c r="E169" i="14814"/>
  <c r="E109" i="14814"/>
  <c r="D209" i="14814"/>
  <c r="F454" i="14814"/>
  <c r="F526" i="14814"/>
  <c r="F406" i="14814"/>
  <c r="F478" i="14814"/>
  <c r="F550" i="14814"/>
  <c r="F429" i="14814"/>
  <c r="D169" i="14814"/>
  <c r="F502" i="14814"/>
  <c r="D109" i="14814"/>
  <c r="E209" i="14814"/>
  <c r="L403" i="14814"/>
  <c r="L523" i="14814"/>
  <c r="J71" i="14814"/>
  <c r="L499" i="14814"/>
  <c r="L451" i="14814"/>
  <c r="K206" i="14814"/>
  <c r="O206" i="14814" s="1"/>
  <c r="L427" i="14814"/>
  <c r="L547" i="14814"/>
  <c r="L475" i="14814"/>
  <c r="D526" i="14814"/>
  <c r="C109" i="14814"/>
  <c r="G72" i="14814"/>
  <c r="D550" i="14814"/>
  <c r="C289" i="14814"/>
  <c r="D289" i="14814" s="1"/>
  <c r="L289" i="14814" s="1"/>
  <c r="D478" i="14814"/>
  <c r="D502" i="14814"/>
  <c r="D406" i="14814"/>
  <c r="C209" i="14814"/>
  <c r="D454" i="14814"/>
  <c r="C169" i="14814"/>
  <c r="C74" i="14814"/>
  <c r="D430" i="14814"/>
  <c r="K499" i="14814"/>
  <c r="K475" i="14814"/>
  <c r="K166" i="14814"/>
  <c r="H71" i="14814"/>
  <c r="K523" i="14814"/>
  <c r="K547" i="14814"/>
  <c r="K451" i="14814"/>
  <c r="K403" i="14814"/>
  <c r="K427" i="14814"/>
  <c r="F72" i="14814"/>
  <c r="E406" i="14814" l="1"/>
  <c r="E550" i="14814"/>
  <c r="E502" i="14814"/>
  <c r="E454" i="14814"/>
  <c r="E478" i="14814"/>
  <c r="E430" i="14814"/>
  <c r="E526" i="14814"/>
  <c r="O166" i="14814"/>
  <c r="I73" i="14814"/>
  <c r="L548" i="14814"/>
  <c r="L524" i="14814"/>
  <c r="L476" i="14814"/>
  <c r="L404" i="14814"/>
  <c r="L500" i="14814"/>
  <c r="L452" i="14814"/>
  <c r="K207" i="14814"/>
  <c r="O207" i="14814" s="1"/>
  <c r="L428" i="14814"/>
  <c r="E289" i="14814"/>
  <c r="H72" i="14814"/>
  <c r="K428" i="14814"/>
  <c r="K404" i="14814"/>
  <c r="K548" i="14814"/>
  <c r="K524" i="14814"/>
  <c r="K476" i="14814"/>
  <c r="K500" i="14814"/>
  <c r="K167" i="14814"/>
  <c r="K452" i="14814"/>
  <c r="O106" i="14814"/>
  <c r="G286" i="14814"/>
  <c r="D210" i="14814"/>
  <c r="F455" i="14814"/>
  <c r="F503" i="14814"/>
  <c r="F430" i="14814"/>
  <c r="D170" i="14814"/>
  <c r="E110" i="14814"/>
  <c r="F407" i="14814"/>
  <c r="F479" i="14814"/>
  <c r="E170" i="14814"/>
  <c r="D110" i="14814"/>
  <c r="F551" i="14814"/>
  <c r="E210" i="14814"/>
  <c r="F527" i="14814"/>
  <c r="D76" i="14814"/>
  <c r="A77" i="14814"/>
  <c r="B76" i="14814"/>
  <c r="C352" i="14814" s="1"/>
  <c r="D503" i="14814"/>
  <c r="C210" i="14814"/>
  <c r="D479" i="14814"/>
  <c r="D551" i="14814"/>
  <c r="D407" i="14814"/>
  <c r="C170" i="14814"/>
  <c r="C75" i="14814"/>
  <c r="D527" i="14814"/>
  <c r="D431" i="14814"/>
  <c r="D455" i="14814"/>
  <c r="F73" i="14814"/>
  <c r="C290" i="14814"/>
  <c r="D290" i="14814" s="1"/>
  <c r="C110" i="14814"/>
  <c r="G73" i="14814"/>
  <c r="J428" i="14814"/>
  <c r="K107" i="14814"/>
  <c r="F287" i="14814" s="1"/>
  <c r="J404" i="14814"/>
  <c r="J548" i="14814"/>
  <c r="J500" i="14814"/>
  <c r="J524" i="14814"/>
  <c r="J476" i="14814"/>
  <c r="J452" i="14814"/>
  <c r="N288" i="14814"/>
  <c r="AN285" i="14814"/>
  <c r="H285" i="14814"/>
  <c r="M289" i="14814"/>
  <c r="E527" i="14814" l="1"/>
  <c r="E551" i="14814"/>
  <c r="E479" i="14814"/>
  <c r="E455" i="14814"/>
  <c r="E431" i="14814"/>
  <c r="E407" i="14814"/>
  <c r="E503" i="14814"/>
  <c r="O167" i="14814"/>
  <c r="I74" i="14814"/>
  <c r="K501" i="14814"/>
  <c r="K405" i="14814"/>
  <c r="K477" i="14814"/>
  <c r="K429" i="14814"/>
  <c r="K525" i="14814"/>
  <c r="H73" i="14814"/>
  <c r="K549" i="14814"/>
  <c r="K453" i="14814"/>
  <c r="K168" i="14814"/>
  <c r="L290" i="14814"/>
  <c r="M290" i="14814" s="1"/>
  <c r="E290" i="14814"/>
  <c r="J453" i="14814"/>
  <c r="J477" i="14814"/>
  <c r="J405" i="14814"/>
  <c r="J429" i="14814"/>
  <c r="J549" i="14814"/>
  <c r="J525" i="14814"/>
  <c r="J501" i="14814"/>
  <c r="K108" i="14814"/>
  <c r="F288" i="14814" s="1"/>
  <c r="F552" i="14814"/>
  <c r="F408" i="14814"/>
  <c r="F528" i="14814"/>
  <c r="F456" i="14814"/>
  <c r="F504" i="14814"/>
  <c r="D171" i="14814"/>
  <c r="F480" i="14814"/>
  <c r="E111" i="14814"/>
  <c r="F431" i="14814"/>
  <c r="D111" i="14814"/>
  <c r="E211" i="14814"/>
  <c r="D211" i="14814"/>
  <c r="E171" i="14814"/>
  <c r="L429" i="14814"/>
  <c r="L453" i="14814"/>
  <c r="L405" i="14814"/>
  <c r="J73" i="14814"/>
  <c r="L477" i="14814"/>
  <c r="L525" i="14814"/>
  <c r="L501" i="14814"/>
  <c r="K208" i="14814"/>
  <c r="O208" i="14814" s="1"/>
  <c r="L549" i="14814"/>
  <c r="D480" i="14814"/>
  <c r="C291" i="14814"/>
  <c r="D291" i="14814" s="1"/>
  <c r="E291" i="14814" s="1"/>
  <c r="C111" i="14814"/>
  <c r="D528" i="14814"/>
  <c r="D408" i="14814"/>
  <c r="C211" i="14814"/>
  <c r="D552" i="14814"/>
  <c r="D456" i="14814"/>
  <c r="C76" i="14814"/>
  <c r="C171" i="14814"/>
  <c r="D504" i="14814"/>
  <c r="G74" i="14814"/>
  <c r="F74" i="14814"/>
  <c r="D432" i="14814"/>
  <c r="G287" i="14814"/>
  <c r="O107" i="14814"/>
  <c r="D77" i="14814"/>
  <c r="A78" i="14814"/>
  <c r="B77" i="14814"/>
  <c r="C353" i="14814" s="1"/>
  <c r="H286" i="14814"/>
  <c r="AN286" i="14814"/>
  <c r="N289" i="14814"/>
  <c r="E504" i="14814" l="1"/>
  <c r="E552" i="14814"/>
  <c r="E432" i="14814"/>
  <c r="E408" i="14814"/>
  <c r="E480" i="14814"/>
  <c r="E456" i="14814"/>
  <c r="E528" i="14814"/>
  <c r="O168" i="14814"/>
  <c r="I75" i="14814"/>
  <c r="J75" i="14814" s="1"/>
  <c r="L291" i="14814"/>
  <c r="M291" i="14814" s="1"/>
  <c r="O108" i="14814"/>
  <c r="G288" i="14814"/>
  <c r="N290" i="14814"/>
  <c r="H287" i="14814"/>
  <c r="AN287" i="14814"/>
  <c r="L406" i="14814"/>
  <c r="L430" i="14814"/>
  <c r="L550" i="14814"/>
  <c r="L526" i="14814"/>
  <c r="K209" i="14814"/>
  <c r="O209" i="14814" s="1"/>
  <c r="L454" i="14814"/>
  <c r="L478" i="14814"/>
  <c r="L502" i="14814"/>
  <c r="J74" i="14814"/>
  <c r="D481" i="14814"/>
  <c r="C172" i="14814"/>
  <c r="C77" i="14814"/>
  <c r="F75" i="14814"/>
  <c r="D457" i="14814"/>
  <c r="G75" i="14814"/>
  <c r="C292" i="14814"/>
  <c r="D292" i="14814" s="1"/>
  <c r="C212" i="14814"/>
  <c r="D433" i="14814"/>
  <c r="D529" i="14814"/>
  <c r="D409" i="14814"/>
  <c r="C112" i="14814"/>
  <c r="D505" i="14814"/>
  <c r="D553" i="14814"/>
  <c r="D78" i="14814"/>
  <c r="A79" i="14814"/>
  <c r="B78" i="14814"/>
  <c r="J478" i="14814"/>
  <c r="J502" i="14814"/>
  <c r="K109" i="14814"/>
  <c r="F289" i="14814" s="1"/>
  <c r="J454" i="14814"/>
  <c r="J406" i="14814"/>
  <c r="J550" i="14814"/>
  <c r="J430" i="14814"/>
  <c r="J526" i="14814"/>
  <c r="E172" i="14814"/>
  <c r="D212" i="14814"/>
  <c r="F409" i="14814"/>
  <c r="E212" i="14814"/>
  <c r="F432" i="14814"/>
  <c r="F553" i="14814"/>
  <c r="F505" i="14814"/>
  <c r="E112" i="14814"/>
  <c r="F529" i="14814"/>
  <c r="F481" i="14814"/>
  <c r="D172" i="14814"/>
  <c r="F457" i="14814"/>
  <c r="D112" i="14814"/>
  <c r="K550" i="14814"/>
  <c r="K169" i="14814"/>
  <c r="K526" i="14814"/>
  <c r="K478" i="14814"/>
  <c r="K430" i="14814"/>
  <c r="K406" i="14814"/>
  <c r="K454" i="14814"/>
  <c r="H74" i="14814"/>
  <c r="K502" i="14814"/>
  <c r="E409" i="14814" l="1"/>
  <c r="E553" i="14814"/>
  <c r="E529" i="14814"/>
  <c r="E505" i="14814"/>
  <c r="E433" i="14814"/>
  <c r="E457" i="14814"/>
  <c r="E481" i="14814"/>
  <c r="I76" i="14814"/>
  <c r="J76" i="14814" s="1"/>
  <c r="C354" i="14814"/>
  <c r="O169" i="14814"/>
  <c r="K210" i="14814"/>
  <c r="O210" i="14814" s="1"/>
  <c r="L407" i="14814"/>
  <c r="L527" i="14814"/>
  <c r="L479" i="14814"/>
  <c r="L431" i="14814"/>
  <c r="L551" i="14814"/>
  <c r="L503" i="14814"/>
  <c r="L455" i="14814"/>
  <c r="F410" i="14814"/>
  <c r="E213" i="14814"/>
  <c r="F433" i="14814"/>
  <c r="D173" i="14814"/>
  <c r="D113" i="14814"/>
  <c r="F482" i="14814"/>
  <c r="E173" i="14814"/>
  <c r="F458" i="14814"/>
  <c r="F554" i="14814"/>
  <c r="F506" i="14814"/>
  <c r="D213" i="14814"/>
  <c r="F530" i="14814"/>
  <c r="E113" i="14814"/>
  <c r="L292" i="14814"/>
  <c r="M292" i="14814" s="1"/>
  <c r="E292" i="14814"/>
  <c r="G289" i="14814"/>
  <c r="O109" i="14814"/>
  <c r="K170" i="14814"/>
  <c r="K503" i="14814"/>
  <c r="K431" i="14814"/>
  <c r="H75" i="14814"/>
  <c r="K407" i="14814"/>
  <c r="K527" i="14814"/>
  <c r="K551" i="14814"/>
  <c r="K455" i="14814"/>
  <c r="K479" i="14814"/>
  <c r="H288" i="14814"/>
  <c r="AN288" i="14814"/>
  <c r="D79" i="14814"/>
  <c r="A80" i="14814"/>
  <c r="B79" i="14814"/>
  <c r="C355" i="14814" s="1"/>
  <c r="C78" i="14814"/>
  <c r="G76" i="14814"/>
  <c r="C293" i="14814"/>
  <c r="D293" i="14814" s="1"/>
  <c r="E293" i="14814" s="1"/>
  <c r="F76" i="14814"/>
  <c r="D482" i="14814"/>
  <c r="D530" i="14814"/>
  <c r="D506" i="14814"/>
  <c r="D458" i="14814"/>
  <c r="C213" i="14814"/>
  <c r="D554" i="14814"/>
  <c r="D434" i="14814"/>
  <c r="C173" i="14814"/>
  <c r="C113" i="14814"/>
  <c r="D410" i="14814"/>
  <c r="J407" i="14814"/>
  <c r="J503" i="14814"/>
  <c r="J455" i="14814"/>
  <c r="J551" i="14814"/>
  <c r="K110" i="14814"/>
  <c r="F290" i="14814" s="1"/>
  <c r="J527" i="14814"/>
  <c r="J479" i="14814"/>
  <c r="J431" i="14814"/>
  <c r="N291" i="14814"/>
  <c r="E458" i="14814" l="1"/>
  <c r="E434" i="14814"/>
  <c r="E506" i="14814"/>
  <c r="E410" i="14814"/>
  <c r="E554" i="14814"/>
  <c r="E530" i="14814"/>
  <c r="E482" i="14814"/>
  <c r="O170" i="14814"/>
  <c r="I77" i="14814"/>
  <c r="L408" i="14814"/>
  <c r="L432" i="14814"/>
  <c r="L552" i="14814"/>
  <c r="L504" i="14814"/>
  <c r="L528" i="14814"/>
  <c r="K211" i="14814"/>
  <c r="O211" i="14814" s="1"/>
  <c r="L480" i="14814"/>
  <c r="L456" i="14814"/>
  <c r="L293" i="14814"/>
  <c r="M293" i="14814" s="1"/>
  <c r="J504" i="14814"/>
  <c r="K111" i="14814"/>
  <c r="F291" i="14814" s="1"/>
  <c r="J552" i="14814"/>
  <c r="J480" i="14814"/>
  <c r="J432" i="14814"/>
  <c r="J408" i="14814"/>
  <c r="J528" i="14814"/>
  <c r="J456" i="14814"/>
  <c r="D531" i="14814"/>
  <c r="D483" i="14814"/>
  <c r="D411" i="14814"/>
  <c r="D555" i="14814"/>
  <c r="D435" i="14814"/>
  <c r="C114" i="14814"/>
  <c r="D507" i="14814"/>
  <c r="D459" i="14814"/>
  <c r="F77" i="14814"/>
  <c r="C294" i="14814"/>
  <c r="D294" i="14814" s="1"/>
  <c r="C214" i="14814"/>
  <c r="G77" i="14814"/>
  <c r="C79" i="14814"/>
  <c r="C174" i="14814"/>
  <c r="K432" i="14814"/>
  <c r="K504" i="14814"/>
  <c r="H76" i="14814"/>
  <c r="K456" i="14814"/>
  <c r="K408" i="14814"/>
  <c r="K480" i="14814"/>
  <c r="K171" i="14814"/>
  <c r="K528" i="14814"/>
  <c r="K552" i="14814"/>
  <c r="B80" i="14814"/>
  <c r="C356" i="14814" s="1"/>
  <c r="D80" i="14814"/>
  <c r="A81" i="14814"/>
  <c r="F459" i="14814"/>
  <c r="E214" i="14814"/>
  <c r="F411" i="14814"/>
  <c r="F507" i="14814"/>
  <c r="D174" i="14814"/>
  <c r="E174" i="14814"/>
  <c r="F434" i="14814"/>
  <c r="D214" i="14814"/>
  <c r="F483" i="14814"/>
  <c r="D114" i="14814"/>
  <c r="F531" i="14814"/>
  <c r="F555" i="14814"/>
  <c r="E114" i="14814"/>
  <c r="H289" i="14814"/>
  <c r="AN289" i="14814"/>
  <c r="O110" i="14814"/>
  <c r="G290" i="14814"/>
  <c r="N292" i="14814"/>
  <c r="E459" i="14814" l="1"/>
  <c r="E507" i="14814"/>
  <c r="E411" i="14814"/>
  <c r="E483" i="14814"/>
  <c r="E435" i="14814"/>
  <c r="E531" i="14814"/>
  <c r="E555" i="14814"/>
  <c r="O171" i="14814"/>
  <c r="G78" i="14814"/>
  <c r="H78" i="14814" s="1"/>
  <c r="I78" i="14814"/>
  <c r="N293" i="14814"/>
  <c r="H290" i="14814"/>
  <c r="AN290" i="14814"/>
  <c r="H77" i="14814"/>
  <c r="K553" i="14814"/>
  <c r="K409" i="14814"/>
  <c r="K433" i="14814"/>
  <c r="K172" i="14814"/>
  <c r="K505" i="14814"/>
  <c r="K481" i="14814"/>
  <c r="K529" i="14814"/>
  <c r="K457" i="14814"/>
  <c r="L457" i="14814"/>
  <c r="K212" i="14814"/>
  <c r="O212" i="14814" s="1"/>
  <c r="L433" i="14814"/>
  <c r="L481" i="14814"/>
  <c r="L553" i="14814"/>
  <c r="L409" i="14814"/>
  <c r="L529" i="14814"/>
  <c r="J77" i="14814"/>
  <c r="L505" i="14814"/>
  <c r="D81" i="14814"/>
  <c r="B81" i="14814"/>
  <c r="C357" i="14814" s="1"/>
  <c r="A82" i="14814"/>
  <c r="O111" i="14814"/>
  <c r="G291" i="14814"/>
  <c r="E115" i="14814"/>
  <c r="D175" i="14814"/>
  <c r="F412" i="14814"/>
  <c r="F460" i="14814"/>
  <c r="E215" i="14814"/>
  <c r="D115" i="14814"/>
  <c r="F435" i="14814"/>
  <c r="F484" i="14814"/>
  <c r="F532" i="14814"/>
  <c r="F556" i="14814"/>
  <c r="E175" i="14814"/>
  <c r="D215" i="14814"/>
  <c r="F508" i="14814"/>
  <c r="E294" i="14814"/>
  <c r="L294" i="14814"/>
  <c r="M294" i="14814" s="1"/>
  <c r="D508" i="14814"/>
  <c r="C215" i="14814"/>
  <c r="D532" i="14814"/>
  <c r="D436" i="14814"/>
  <c r="C175" i="14814"/>
  <c r="D556" i="14814"/>
  <c r="D484" i="14814"/>
  <c r="D460" i="14814"/>
  <c r="C80" i="14814"/>
  <c r="D412" i="14814"/>
  <c r="C295" i="14814"/>
  <c r="D295" i="14814" s="1"/>
  <c r="C115" i="14814"/>
  <c r="F78" i="14814"/>
  <c r="J457" i="14814"/>
  <c r="J553" i="14814"/>
  <c r="J529" i="14814"/>
  <c r="J409" i="14814"/>
  <c r="K112" i="14814"/>
  <c r="F292" i="14814" s="1"/>
  <c r="J481" i="14814"/>
  <c r="J505" i="14814"/>
  <c r="J433" i="14814"/>
  <c r="E412" i="14814" l="1"/>
  <c r="E556" i="14814"/>
  <c r="E508" i="14814"/>
  <c r="E460" i="14814"/>
  <c r="E436" i="14814"/>
  <c r="E484" i="14814"/>
  <c r="E532" i="14814"/>
  <c r="O172" i="14814"/>
  <c r="K173" i="14814"/>
  <c r="F79" i="14814"/>
  <c r="I79" i="14814"/>
  <c r="K554" i="14814"/>
  <c r="K530" i="14814"/>
  <c r="K410" i="14814"/>
  <c r="K482" i="14814"/>
  <c r="K434" i="14814"/>
  <c r="K458" i="14814"/>
  <c r="K506" i="14814"/>
  <c r="D461" i="14814"/>
  <c r="D509" i="14814"/>
  <c r="C296" i="14814"/>
  <c r="D296" i="14814" s="1"/>
  <c r="C116" i="14814"/>
  <c r="D533" i="14814"/>
  <c r="D485" i="14814"/>
  <c r="C216" i="14814"/>
  <c r="C81" i="14814"/>
  <c r="D557" i="14814"/>
  <c r="D413" i="14814"/>
  <c r="C176" i="14814"/>
  <c r="D437" i="14814"/>
  <c r="L458" i="14814"/>
  <c r="L554" i="14814"/>
  <c r="K213" i="14814"/>
  <c r="O213" i="14814" s="1"/>
  <c r="L530" i="14814"/>
  <c r="L482" i="14814"/>
  <c r="J78" i="14814"/>
  <c r="L434" i="14814"/>
  <c r="L506" i="14814"/>
  <c r="L410" i="14814"/>
  <c r="J410" i="14814"/>
  <c r="J554" i="14814"/>
  <c r="J530" i="14814"/>
  <c r="J458" i="14814"/>
  <c r="J434" i="14814"/>
  <c r="J482" i="14814"/>
  <c r="J506" i="14814"/>
  <c r="K113" i="14814"/>
  <c r="F293" i="14814" s="1"/>
  <c r="F533" i="14814"/>
  <c r="E216" i="14814"/>
  <c r="F413" i="14814"/>
  <c r="F485" i="14814"/>
  <c r="E116" i="14814"/>
  <c r="F436" i="14814"/>
  <c r="D216" i="14814"/>
  <c r="F461" i="14814"/>
  <c r="D176" i="14814"/>
  <c r="E176" i="14814"/>
  <c r="D116" i="14814"/>
  <c r="F509" i="14814"/>
  <c r="F557" i="14814"/>
  <c r="H291" i="14814"/>
  <c r="AN291" i="14814"/>
  <c r="G79" i="14814"/>
  <c r="G292" i="14814"/>
  <c r="O112" i="14814"/>
  <c r="L295" i="14814"/>
  <c r="M295" i="14814" s="1"/>
  <c r="E295" i="14814"/>
  <c r="N294" i="14814"/>
  <c r="D82" i="14814"/>
  <c r="A83" i="14814"/>
  <c r="B82" i="14814"/>
  <c r="E413" i="14814" l="1"/>
  <c r="E485" i="14814"/>
  <c r="E509" i="14814"/>
  <c r="E557" i="14814"/>
  <c r="E533" i="14814"/>
  <c r="E461" i="14814"/>
  <c r="E437" i="14814"/>
  <c r="I80" i="14814"/>
  <c r="J80" i="14814" s="1"/>
  <c r="C358" i="14814"/>
  <c r="O173" i="14814"/>
  <c r="J435" i="14814"/>
  <c r="J411" i="14814"/>
  <c r="J483" i="14814"/>
  <c r="J459" i="14814"/>
  <c r="J507" i="14814"/>
  <c r="K114" i="14814"/>
  <c r="F294" i="14814" s="1"/>
  <c r="J531" i="14814"/>
  <c r="J555" i="14814"/>
  <c r="O113" i="14814"/>
  <c r="G293" i="14814"/>
  <c r="E296" i="14814"/>
  <c r="L296" i="14814"/>
  <c r="M296" i="14814" s="1"/>
  <c r="D534" i="14814"/>
  <c r="D486" i="14814"/>
  <c r="C217" i="14814"/>
  <c r="D558" i="14814"/>
  <c r="D438" i="14814"/>
  <c r="D510" i="14814"/>
  <c r="C117" i="14814"/>
  <c r="F80" i="14814"/>
  <c r="D414" i="14814"/>
  <c r="C177" i="14814"/>
  <c r="C82" i="14814"/>
  <c r="C297" i="14814"/>
  <c r="D297" i="14814" s="1"/>
  <c r="G80" i="14814"/>
  <c r="D462" i="14814"/>
  <c r="L531" i="14814"/>
  <c r="L435" i="14814"/>
  <c r="L459" i="14814"/>
  <c r="L555" i="14814"/>
  <c r="L507" i="14814"/>
  <c r="J79" i="14814"/>
  <c r="L483" i="14814"/>
  <c r="K214" i="14814"/>
  <c r="O214" i="14814" s="1"/>
  <c r="L411" i="14814"/>
  <c r="A84" i="14814"/>
  <c r="B83" i="14814"/>
  <c r="C359" i="14814" s="1"/>
  <c r="D83" i="14814"/>
  <c r="N295" i="14814"/>
  <c r="H292" i="14814"/>
  <c r="AN292" i="14814"/>
  <c r="F462" i="14814"/>
  <c r="E177" i="14814"/>
  <c r="E117" i="14814"/>
  <c r="F510" i="14814"/>
  <c r="D177" i="14814"/>
  <c r="F486" i="14814"/>
  <c r="D117" i="14814"/>
  <c r="F437" i="14814"/>
  <c r="F414" i="14814"/>
  <c r="F534" i="14814"/>
  <c r="F558" i="14814"/>
  <c r="E217" i="14814"/>
  <c r="D217" i="14814"/>
  <c r="K531" i="14814"/>
  <c r="K435" i="14814"/>
  <c r="K411" i="14814"/>
  <c r="K507" i="14814"/>
  <c r="H79" i="14814"/>
  <c r="K459" i="14814"/>
  <c r="K555" i="14814"/>
  <c r="K174" i="14814"/>
  <c r="K483" i="14814"/>
  <c r="E558" i="14814" l="1"/>
  <c r="E462" i="14814"/>
  <c r="E486" i="14814"/>
  <c r="E510" i="14814"/>
  <c r="E414" i="14814"/>
  <c r="E438" i="14814"/>
  <c r="E534" i="14814"/>
  <c r="O174" i="14814"/>
  <c r="I81" i="14814"/>
  <c r="J81" i="14814" s="1"/>
  <c r="F81" i="14814"/>
  <c r="G294" i="14814"/>
  <c r="O114" i="14814"/>
  <c r="L556" i="14814"/>
  <c r="L412" i="14814"/>
  <c r="L508" i="14814"/>
  <c r="L532" i="14814"/>
  <c r="L436" i="14814"/>
  <c r="L460" i="14814"/>
  <c r="L484" i="14814"/>
  <c r="K215" i="14814"/>
  <c r="O215" i="14814" s="1"/>
  <c r="K460" i="14814"/>
  <c r="H80" i="14814"/>
  <c r="K508" i="14814"/>
  <c r="K556" i="14814"/>
  <c r="K175" i="14814"/>
  <c r="K532" i="14814"/>
  <c r="K436" i="14814"/>
  <c r="K484" i="14814"/>
  <c r="K412" i="14814"/>
  <c r="E297" i="14814"/>
  <c r="L297" i="14814"/>
  <c r="M297" i="14814" s="1"/>
  <c r="N296" i="14814"/>
  <c r="E178" i="14814"/>
  <c r="F463" i="14814"/>
  <c r="F559" i="14814"/>
  <c r="D178" i="14814"/>
  <c r="F535" i="14814"/>
  <c r="D218" i="14814"/>
  <c r="F511" i="14814"/>
  <c r="F487" i="14814"/>
  <c r="E218" i="14814"/>
  <c r="F438" i="14814"/>
  <c r="F415" i="14814"/>
  <c r="E118" i="14814"/>
  <c r="D118" i="14814"/>
  <c r="H293" i="14814"/>
  <c r="AN293" i="14814"/>
  <c r="D463" i="14814"/>
  <c r="G81" i="14814"/>
  <c r="C118" i="14814"/>
  <c r="D511" i="14814"/>
  <c r="C298" i="14814"/>
  <c r="D298" i="14814" s="1"/>
  <c r="D439" i="14814"/>
  <c r="C218" i="14814"/>
  <c r="D415" i="14814"/>
  <c r="C178" i="14814"/>
  <c r="D535" i="14814"/>
  <c r="D559" i="14814"/>
  <c r="D487" i="14814"/>
  <c r="C83" i="14814"/>
  <c r="J532" i="14814"/>
  <c r="J412" i="14814"/>
  <c r="K115" i="14814"/>
  <c r="F295" i="14814" s="1"/>
  <c r="J508" i="14814"/>
  <c r="J460" i="14814"/>
  <c r="J484" i="14814"/>
  <c r="J556" i="14814"/>
  <c r="J436" i="14814"/>
  <c r="A85" i="14814"/>
  <c r="B84" i="14814"/>
  <c r="C360" i="14814" s="1"/>
  <c r="D84" i="14814"/>
  <c r="E415" i="14814" l="1"/>
  <c r="E463" i="14814"/>
  <c r="E487" i="14814"/>
  <c r="E559" i="14814"/>
  <c r="E511" i="14814"/>
  <c r="E535" i="14814"/>
  <c r="E439" i="14814"/>
  <c r="O175" i="14814"/>
  <c r="I82" i="14814"/>
  <c r="J82" i="14814" s="1"/>
  <c r="J485" i="14814"/>
  <c r="J413" i="14814"/>
  <c r="J533" i="14814"/>
  <c r="J437" i="14814"/>
  <c r="L557" i="14814"/>
  <c r="L533" i="14814"/>
  <c r="L413" i="14814"/>
  <c r="L485" i="14814"/>
  <c r="K216" i="14814"/>
  <c r="O216" i="14814" s="1"/>
  <c r="L461" i="14814"/>
  <c r="L509" i="14814"/>
  <c r="L437" i="14814"/>
  <c r="K116" i="14814"/>
  <c r="F296" i="14814" s="1"/>
  <c r="J557" i="14814"/>
  <c r="J509" i="14814"/>
  <c r="J461" i="14814"/>
  <c r="H294" i="14814"/>
  <c r="AN294" i="14814"/>
  <c r="K176" i="14814"/>
  <c r="K413" i="14814"/>
  <c r="K485" i="14814"/>
  <c r="K557" i="14814"/>
  <c r="K509" i="14814"/>
  <c r="H81" i="14814"/>
  <c r="K461" i="14814"/>
  <c r="K533" i="14814"/>
  <c r="K437" i="14814"/>
  <c r="F560" i="14814"/>
  <c r="F416" i="14814"/>
  <c r="F536" i="14814"/>
  <c r="E179" i="14814"/>
  <c r="F488" i="14814"/>
  <c r="F512" i="14814"/>
  <c r="D119" i="14814"/>
  <c r="D219" i="14814"/>
  <c r="E219" i="14814"/>
  <c r="F464" i="14814"/>
  <c r="E119" i="14814"/>
  <c r="D179" i="14814"/>
  <c r="F439" i="14814"/>
  <c r="L298" i="14814"/>
  <c r="M298" i="14814" s="1"/>
  <c r="E298" i="14814"/>
  <c r="G82" i="14814"/>
  <c r="C299" i="14814"/>
  <c r="D299" i="14814" s="1"/>
  <c r="C119" i="14814"/>
  <c r="D560" i="14814"/>
  <c r="D488" i="14814"/>
  <c r="C219" i="14814"/>
  <c r="D464" i="14814"/>
  <c r="D512" i="14814"/>
  <c r="D536" i="14814"/>
  <c r="D416" i="14814"/>
  <c r="C179" i="14814"/>
  <c r="C84" i="14814"/>
  <c r="D440" i="14814"/>
  <c r="F82" i="14814"/>
  <c r="D85" i="14814"/>
  <c r="A86" i="14814"/>
  <c r="B85" i="14814"/>
  <c r="C361" i="14814" s="1"/>
  <c r="O115" i="14814"/>
  <c r="G295" i="14814"/>
  <c r="N297" i="14814"/>
  <c r="E464" i="14814" l="1"/>
  <c r="E416" i="14814"/>
  <c r="E440" i="14814"/>
  <c r="E536" i="14814"/>
  <c r="E488" i="14814"/>
  <c r="E512" i="14814"/>
  <c r="E560" i="14814"/>
  <c r="O176" i="14814"/>
  <c r="I83" i="14814"/>
  <c r="J83" i="14814" s="1"/>
  <c r="O116" i="14814"/>
  <c r="G296" i="14814"/>
  <c r="L486" i="14814"/>
  <c r="L414" i="14814"/>
  <c r="K217" i="14814"/>
  <c r="O217" i="14814" s="1"/>
  <c r="L558" i="14814"/>
  <c r="L438" i="14814"/>
  <c r="L462" i="14814"/>
  <c r="L510" i="14814"/>
  <c r="L534" i="14814"/>
  <c r="K558" i="14814"/>
  <c r="K510" i="14814"/>
  <c r="K534" i="14814"/>
  <c r="K486" i="14814"/>
  <c r="K462" i="14814"/>
  <c r="K414" i="14814"/>
  <c r="K438" i="14814"/>
  <c r="H82" i="14814"/>
  <c r="K177" i="14814"/>
  <c r="J558" i="14814"/>
  <c r="J486" i="14814"/>
  <c r="K117" i="14814"/>
  <c r="F297" i="14814" s="1"/>
  <c r="J462" i="14814"/>
  <c r="J510" i="14814"/>
  <c r="J414" i="14814"/>
  <c r="J534" i="14814"/>
  <c r="J438" i="14814"/>
  <c r="AN295" i="14814"/>
  <c r="H295" i="14814"/>
  <c r="D417" i="14814"/>
  <c r="C180" i="14814"/>
  <c r="D441" i="14814"/>
  <c r="C220" i="14814"/>
  <c r="D489" i="14814"/>
  <c r="D513" i="14814"/>
  <c r="C300" i="14814"/>
  <c r="D300" i="14814" s="1"/>
  <c r="G83" i="14814"/>
  <c r="D537" i="14814"/>
  <c r="D561" i="14814"/>
  <c r="C85" i="14814"/>
  <c r="C120" i="14814"/>
  <c r="D465" i="14814"/>
  <c r="F83" i="14814"/>
  <c r="N298" i="14814"/>
  <c r="D86" i="14814"/>
  <c r="B86" i="14814"/>
  <c r="C362" i="14814" s="1"/>
  <c r="F561" i="14814"/>
  <c r="E220" i="14814"/>
  <c r="E180" i="14814"/>
  <c r="F537" i="14814"/>
  <c r="F489" i="14814"/>
  <c r="F465" i="14814"/>
  <c r="F513" i="14814"/>
  <c r="D180" i="14814"/>
  <c r="F440" i="14814"/>
  <c r="F417" i="14814"/>
  <c r="D120" i="14814"/>
  <c r="E120" i="14814"/>
  <c r="D220" i="14814"/>
  <c r="E299" i="14814"/>
  <c r="L299" i="14814"/>
  <c r="M299" i="14814" s="1"/>
  <c r="E441" i="14814" l="1"/>
  <c r="E561" i="14814"/>
  <c r="E513" i="14814"/>
  <c r="E465" i="14814"/>
  <c r="E537" i="14814"/>
  <c r="E489" i="14814"/>
  <c r="E417" i="14814"/>
  <c r="C366" i="14814"/>
  <c r="C364" i="14814"/>
  <c r="C365" i="14814"/>
  <c r="O177" i="14814"/>
  <c r="F85" i="14814"/>
  <c r="I63" i="14814"/>
  <c r="J63" i="14814" s="1"/>
  <c r="F63" i="14814"/>
  <c r="I84" i="14814"/>
  <c r="J84" i="14814" s="1"/>
  <c r="G63" i="14814"/>
  <c r="F64" i="14814"/>
  <c r="F84" i="14814"/>
  <c r="I85" i="14814"/>
  <c r="J85" i="14814" s="1"/>
  <c r="I64" i="14814"/>
  <c r="J64" i="14814" s="1"/>
  <c r="I86" i="14814"/>
  <c r="AN296" i="14814"/>
  <c r="H296" i="14814"/>
  <c r="L463" i="14814"/>
  <c r="L487" i="14814"/>
  <c r="L439" i="14814"/>
  <c r="L535" i="14814"/>
  <c r="L511" i="14814"/>
  <c r="K218" i="14814"/>
  <c r="O218" i="14814" s="1"/>
  <c r="L559" i="14814"/>
  <c r="L415" i="14814"/>
  <c r="J487" i="14814"/>
  <c r="J535" i="14814"/>
  <c r="J559" i="14814"/>
  <c r="J463" i="14814"/>
  <c r="J415" i="14814"/>
  <c r="J511" i="14814"/>
  <c r="K118" i="14814"/>
  <c r="F298" i="14814" s="1"/>
  <c r="J439" i="14814"/>
  <c r="H83" i="14814"/>
  <c r="K463" i="14814"/>
  <c r="K559" i="14814"/>
  <c r="K415" i="14814"/>
  <c r="K535" i="14814"/>
  <c r="K439" i="14814"/>
  <c r="K487" i="14814"/>
  <c r="K178" i="14814"/>
  <c r="K511" i="14814"/>
  <c r="N299" i="14814"/>
  <c r="E300" i="14814"/>
  <c r="L300" i="14814"/>
  <c r="M300" i="14814" s="1"/>
  <c r="G297" i="14814"/>
  <c r="O117" i="14814"/>
  <c r="C86" i="14814"/>
  <c r="C62" i="14814" s="1"/>
  <c r="M52" i="14852" s="1"/>
  <c r="J624" i="14814"/>
  <c r="J838" i="14814"/>
  <c r="J754" i="14814"/>
  <c r="J771" i="14814"/>
  <c r="J940" i="14814"/>
  <c r="J951" i="14814"/>
  <c r="J676" i="14814"/>
  <c r="J953" i="14814"/>
  <c r="J721" i="14814"/>
  <c r="J628" i="14814"/>
  <c r="J880" i="14814"/>
  <c r="J961" i="14814"/>
  <c r="J631" i="14814"/>
  <c r="J803" i="14814"/>
  <c r="J955" i="14814"/>
  <c r="J635" i="14814"/>
  <c r="J973" i="14814"/>
  <c r="J660" i="14814"/>
  <c r="J639" i="14814"/>
  <c r="J734" i="14814"/>
  <c r="J931" i="14814"/>
  <c r="J719" i="14814"/>
  <c r="J737" i="14814"/>
  <c r="J914" i="14814"/>
  <c r="J632" i="14814"/>
  <c r="J869" i="14814"/>
  <c r="J623" i="14814"/>
  <c r="J821" i="14814"/>
  <c r="J804" i="14814"/>
  <c r="J822" i="14814"/>
  <c r="J969" i="14814"/>
  <c r="J680" i="14814"/>
  <c r="J651" i="14814"/>
  <c r="J883" i="14814"/>
  <c r="J836" i="14814"/>
  <c r="J832" i="14814"/>
  <c r="J626" i="14814"/>
  <c r="J922" i="14814"/>
  <c r="J760" i="14814"/>
  <c r="J801" i="14814"/>
  <c r="J647" i="14814"/>
  <c r="J856" i="14814"/>
  <c r="J844" i="14814"/>
  <c r="J906" i="14814"/>
  <c r="J740" i="14814"/>
  <c r="J872" i="14814"/>
  <c r="C301" i="14814"/>
  <c r="C121" i="14814"/>
  <c r="J702" i="14814"/>
  <c r="J950" i="14814"/>
  <c r="J717" i="14814"/>
  <c r="J813" i="14814"/>
  <c r="J634" i="14814"/>
  <c r="J661" i="14814"/>
  <c r="J841" i="14814"/>
  <c r="J643" i="14814"/>
  <c r="J758" i="14814"/>
  <c r="J616" i="14814"/>
  <c r="J633" i="14814"/>
  <c r="J690" i="14814"/>
  <c r="J854" i="14814"/>
  <c r="J919" i="14814"/>
  <c r="J976" i="14814"/>
  <c r="J700" i="14814"/>
  <c r="J622" i="14814"/>
  <c r="J638" i="14814"/>
  <c r="J665" i="14814"/>
  <c r="J916" i="14814"/>
  <c r="J956" i="14814"/>
  <c r="J908" i="14814"/>
  <c r="J692" i="14814"/>
  <c r="J672" i="14814"/>
  <c r="J762" i="14814"/>
  <c r="J938" i="14814"/>
  <c r="J904" i="14814"/>
  <c r="J645" i="14814"/>
  <c r="J926" i="14814"/>
  <c r="J851" i="14814"/>
  <c r="J852" i="14814"/>
  <c r="J751" i="14814"/>
  <c r="J884" i="14814"/>
  <c r="J939" i="14814"/>
  <c r="J619" i="14814"/>
  <c r="J800" i="14814"/>
  <c r="J941" i="14814"/>
  <c r="J933" i="14814"/>
  <c r="J663" i="14814"/>
  <c r="J946" i="14814"/>
  <c r="J805" i="14814"/>
  <c r="J703" i="14814"/>
  <c r="J972" i="14814"/>
  <c r="J693" i="14814"/>
  <c r="J802" i="14814"/>
  <c r="J704" i="14814"/>
  <c r="D514" i="14814"/>
  <c r="D418" i="14814"/>
  <c r="C221" i="14814"/>
  <c r="J615" i="14814"/>
  <c r="J923" i="14814"/>
  <c r="J964" i="14814"/>
  <c r="J915" i="14814"/>
  <c r="J759" i="14814"/>
  <c r="J882" i="14814"/>
  <c r="J858" i="14814"/>
  <c r="J897" i="14814"/>
  <c r="J937" i="14814"/>
  <c r="J787" i="14814"/>
  <c r="J789" i="14814"/>
  <c r="J921" i="14814"/>
  <c r="J745" i="14814"/>
  <c r="J731" i="14814"/>
  <c r="J874" i="14814"/>
  <c r="J621" i="14814"/>
  <c r="J687" i="14814"/>
  <c r="J730" i="14814"/>
  <c r="J935" i="14814"/>
  <c r="J767" i="14814"/>
  <c r="J684" i="14814"/>
  <c r="J942" i="14814"/>
  <c r="J898" i="14814"/>
  <c r="J770" i="14814"/>
  <c r="J705" i="14814"/>
  <c r="J772" i="14814"/>
  <c r="J807" i="14814"/>
  <c r="J910" i="14814"/>
  <c r="J812" i="14814"/>
  <c r="J818" i="14814"/>
  <c r="J850" i="14814"/>
  <c r="J746" i="14814"/>
  <c r="J671" i="14814"/>
  <c r="J736" i="14814"/>
  <c r="J934" i="14814"/>
  <c r="J664" i="14814"/>
  <c r="J764" i="14814"/>
  <c r="J696" i="14814"/>
  <c r="J786" i="14814"/>
  <c r="J889" i="14814"/>
  <c r="J748" i="14814"/>
  <c r="J778" i="14814"/>
  <c r="J830" i="14814"/>
  <c r="J723" i="14814"/>
  <c r="J842" i="14814"/>
  <c r="J878" i="14814"/>
  <c r="G85" i="14814"/>
  <c r="G64" i="14814"/>
  <c r="G86" i="14814"/>
  <c r="J617" i="14814"/>
  <c r="J798" i="14814"/>
  <c r="J913" i="14814"/>
  <c r="B62" i="14814"/>
  <c r="M53" i="14852" s="1"/>
  <c r="J860" i="14814"/>
  <c r="J618" i="14814"/>
  <c r="J781" i="14814"/>
  <c r="J790" i="14814"/>
  <c r="J741" i="14814"/>
  <c r="J863" i="14814"/>
  <c r="J868" i="14814"/>
  <c r="J816" i="14814"/>
  <c r="J890" i="14814"/>
  <c r="J744" i="14814"/>
  <c r="J753" i="14814"/>
  <c r="J709" i="14814"/>
  <c r="J713" i="14814"/>
  <c r="J834" i="14814"/>
  <c r="J627" i="14814"/>
  <c r="J864" i="14814"/>
  <c r="J722" i="14814"/>
  <c r="J814" i="14814"/>
  <c r="J888" i="14814"/>
  <c r="J695" i="14814"/>
  <c r="J825" i="14814"/>
  <c r="J901" i="14814"/>
  <c r="J652" i="14814"/>
  <c r="J707" i="14814"/>
  <c r="J959" i="14814"/>
  <c r="J892" i="14814"/>
  <c r="J670" i="14814"/>
  <c r="J735" i="14814"/>
  <c r="J824" i="14814"/>
  <c r="J924" i="14814"/>
  <c r="J757" i="14814"/>
  <c r="J691" i="14814"/>
  <c r="J686" i="14814"/>
  <c r="J799" i="14814"/>
  <c r="J947" i="14814"/>
  <c r="J714" i="14814"/>
  <c r="J859" i="14814"/>
  <c r="J780" i="14814"/>
  <c r="J943" i="14814"/>
  <c r="J837" i="14814"/>
  <c r="J857" i="14814"/>
  <c r="J755" i="14814"/>
  <c r="D562" i="14814"/>
  <c r="D490" i="14814"/>
  <c r="C181" i="14814"/>
  <c r="J887" i="14814"/>
  <c r="J742" i="14814"/>
  <c r="J949" i="14814"/>
  <c r="J945" i="14814"/>
  <c r="J927" i="14814"/>
  <c r="J875" i="14814"/>
  <c r="J710" i="14814"/>
  <c r="J886" i="14814"/>
  <c r="J966" i="14814"/>
  <c r="J697" i="14814"/>
  <c r="J711" i="14814"/>
  <c r="D538" i="14814"/>
  <c r="D466" i="14814"/>
  <c r="D442" i="14814"/>
  <c r="J876" i="14814"/>
  <c r="J827" i="14814"/>
  <c r="J971" i="14814"/>
  <c r="J974" i="14814"/>
  <c r="J750" i="14814"/>
  <c r="J681" i="14814"/>
  <c r="J879" i="14814"/>
  <c r="J958" i="14814"/>
  <c r="J612" i="14814"/>
  <c r="J636" i="14814"/>
  <c r="J732" i="14814"/>
  <c r="J968" i="14814"/>
  <c r="J654" i="14814"/>
  <c r="J975" i="14814"/>
  <c r="J900" i="14814"/>
  <c r="J885" i="14814"/>
  <c r="J683" i="14814"/>
  <c r="J733" i="14814"/>
  <c r="J853" i="14814"/>
  <c r="J793" i="14814"/>
  <c r="J957" i="14814"/>
  <c r="J620" i="14814"/>
  <c r="J963" i="14814"/>
  <c r="J902" i="14814"/>
  <c r="J796" i="14814"/>
  <c r="F86" i="14814"/>
  <c r="J792" i="14814"/>
  <c r="J806" i="14814"/>
  <c r="J669" i="14814"/>
  <c r="J729" i="14814"/>
  <c r="J899" i="14814"/>
  <c r="J784" i="14814"/>
  <c r="J848" i="14814"/>
  <c r="J962" i="14814"/>
  <c r="J775" i="14814"/>
  <c r="J782" i="14814"/>
  <c r="J797" i="14814"/>
  <c r="J785" i="14814"/>
  <c r="J724" i="14814"/>
  <c r="J794" i="14814"/>
  <c r="J694" i="14814"/>
  <c r="J667" i="14814"/>
  <c r="J716" i="14814"/>
  <c r="J673" i="14814"/>
  <c r="J920" i="14814"/>
  <c r="J678" i="14814"/>
  <c r="J749" i="14814"/>
  <c r="J828" i="14814"/>
  <c r="J765" i="14814"/>
  <c r="J677" i="14814"/>
  <c r="J855" i="14814"/>
  <c r="J817" i="14814"/>
  <c r="J845" i="14814"/>
  <c r="J896" i="14814"/>
  <c r="J795" i="14814"/>
  <c r="J918" i="14814"/>
  <c r="J810" i="14814"/>
  <c r="J774" i="14814"/>
  <c r="J954" i="14814"/>
  <c r="J718" i="14814"/>
  <c r="J912" i="14814"/>
  <c r="J656" i="14814"/>
  <c r="J739" i="14814"/>
  <c r="J846" i="14814"/>
  <c r="J833" i="14814"/>
  <c r="J613" i="14814"/>
  <c r="J763" i="14814"/>
  <c r="J783" i="14814"/>
  <c r="J768" i="14814"/>
  <c r="J815" i="14814"/>
  <c r="J907" i="14814"/>
  <c r="J928" i="14814"/>
  <c r="J831" i="14814"/>
  <c r="J655" i="14814"/>
  <c r="J712" i="14814"/>
  <c r="J965" i="14814"/>
  <c r="J862" i="14814"/>
  <c r="J809" i="14814"/>
  <c r="J650" i="14814"/>
  <c r="J698" i="14814"/>
  <c r="J642" i="14814"/>
  <c r="J727" i="14814"/>
  <c r="J877" i="14814"/>
  <c r="J630" i="14814"/>
  <c r="J861" i="14814"/>
  <c r="J653" i="14814"/>
  <c r="J715" i="14814"/>
  <c r="J970" i="14814"/>
  <c r="J779" i="14814"/>
  <c r="J839" i="14814"/>
  <c r="J649" i="14814"/>
  <c r="J819" i="14814"/>
  <c r="J766" i="14814"/>
  <c r="J905" i="14814"/>
  <c r="J688" i="14814"/>
  <c r="J706" i="14814"/>
  <c r="J865" i="14814"/>
  <c r="J662" i="14814"/>
  <c r="J657" i="14814"/>
  <c r="J843" i="14814"/>
  <c r="J646" i="14814"/>
  <c r="J641" i="14814"/>
  <c r="J847" i="14814"/>
  <c r="J936" i="14814"/>
  <c r="G84" i="14814"/>
  <c r="J640" i="14814"/>
  <c r="J720" i="14814"/>
  <c r="J689" i="14814"/>
  <c r="J666" i="14814"/>
  <c r="J917" i="14814"/>
  <c r="J823" i="14814"/>
  <c r="J675" i="14814"/>
  <c r="J960" i="14814"/>
  <c r="J820" i="14814"/>
  <c r="J835" i="14814"/>
  <c r="J679" i="14814"/>
  <c r="J756" i="14814"/>
  <c r="J644" i="14814"/>
  <c r="J637" i="14814"/>
  <c r="J648" i="14814"/>
  <c r="J866" i="14814"/>
  <c r="J871" i="14814"/>
  <c r="J791" i="14814"/>
  <c r="J674" i="14814"/>
  <c r="J911" i="14814"/>
  <c r="J870" i="14814"/>
  <c r="J625" i="14814"/>
  <c r="J776" i="14814"/>
  <c r="J761" i="14814"/>
  <c r="J708" i="14814"/>
  <c r="J849" i="14814"/>
  <c r="J891" i="14814"/>
  <c r="J881" i="14814"/>
  <c r="J738" i="14814"/>
  <c r="J788" i="14814"/>
  <c r="J952" i="14814"/>
  <c r="J948" i="14814"/>
  <c r="J668" i="14814"/>
  <c r="J725" i="14814"/>
  <c r="J826" i="14814"/>
  <c r="J895" i="14814"/>
  <c r="J893" i="14814"/>
  <c r="J659" i="14814"/>
  <c r="J777" i="14814"/>
  <c r="J682" i="14814"/>
  <c r="J840" i="14814"/>
  <c r="J930" i="14814"/>
  <c r="J903" i="14814"/>
  <c r="J699" i="14814"/>
  <c r="J932" i="14814"/>
  <c r="J867" i="14814"/>
  <c r="J808" i="14814"/>
  <c r="J873" i="14814"/>
  <c r="J909" i="14814"/>
  <c r="J894" i="14814"/>
  <c r="J728" i="14814"/>
  <c r="J773" i="14814"/>
  <c r="J658" i="14814"/>
  <c r="J925" i="14814"/>
  <c r="J747" i="14814"/>
  <c r="J769" i="14814"/>
  <c r="J811" i="14814"/>
  <c r="J629" i="14814"/>
  <c r="J967" i="14814"/>
  <c r="J752" i="14814"/>
  <c r="J829" i="14814"/>
  <c r="J685" i="14814"/>
  <c r="J944" i="14814"/>
  <c r="J614" i="14814"/>
  <c r="J726" i="14814"/>
  <c r="J701" i="14814"/>
  <c r="J743" i="14814"/>
  <c r="J929" i="14814"/>
  <c r="M808" i="14814"/>
  <c r="M815" i="14814"/>
  <c r="M906" i="14814"/>
  <c r="M920" i="14814"/>
  <c r="M844" i="14814"/>
  <c r="M662" i="14814"/>
  <c r="M871" i="14814"/>
  <c r="M697" i="14814"/>
  <c r="M724" i="14814"/>
  <c r="M879" i="14814"/>
  <c r="M781" i="14814"/>
  <c r="M857" i="14814"/>
  <c r="M753" i="14814"/>
  <c r="F466" i="14814"/>
  <c r="D121" i="14814"/>
  <c r="M706" i="14814"/>
  <c r="M922" i="14814"/>
  <c r="M637" i="14814"/>
  <c r="M775" i="14814"/>
  <c r="M748" i="14814"/>
  <c r="M835" i="14814"/>
  <c r="M974" i="14814"/>
  <c r="M624" i="14814"/>
  <c r="M685" i="14814"/>
  <c r="M861" i="14814"/>
  <c r="M722" i="14814"/>
  <c r="M961" i="14814"/>
  <c r="F538" i="14814"/>
  <c r="M612" i="14814"/>
  <c r="M732" i="14814"/>
  <c r="M801" i="14814"/>
  <c r="M963" i="14814"/>
  <c r="M899" i="14814"/>
  <c r="M886" i="14814"/>
  <c r="M865" i="14814"/>
  <c r="M619" i="14814"/>
  <c r="M970" i="14814"/>
  <c r="M668" i="14814"/>
  <c r="M830" i="14814"/>
  <c r="M746" i="14814"/>
  <c r="M641" i="14814"/>
  <c r="D221" i="14814"/>
  <c r="M678" i="14814"/>
  <c r="M713" i="14814"/>
  <c r="M888" i="14814"/>
  <c r="M929" i="14814"/>
  <c r="M653" i="14814"/>
  <c r="M954" i="14814"/>
  <c r="M687" i="14814"/>
  <c r="M763" i="14814"/>
  <c r="M804" i="14814"/>
  <c r="M782" i="14814"/>
  <c r="M930" i="14814"/>
  <c r="M656" i="14814"/>
  <c r="M618" i="14814"/>
  <c r="F562" i="14814"/>
  <c r="M935" i="14814"/>
  <c r="M731" i="14814"/>
  <c r="M928" i="14814"/>
  <c r="M858" i="14814"/>
  <c r="M956" i="14814"/>
  <c r="M773" i="14814"/>
  <c r="M843" i="14814"/>
  <c r="M675" i="14814"/>
  <c r="M661" i="14814"/>
  <c r="M780" i="14814"/>
  <c r="M633" i="14814"/>
  <c r="M927" i="14814"/>
  <c r="M829" i="14814"/>
  <c r="M868" i="14814"/>
  <c r="M692" i="14814"/>
  <c r="M971" i="14814"/>
  <c r="M643" i="14814"/>
  <c r="M714" i="14814"/>
  <c r="M632" i="14814"/>
  <c r="M728" i="14814"/>
  <c r="M622" i="14814"/>
  <c r="M968" i="14814"/>
  <c r="M898" i="14814"/>
  <c r="M772" i="14814"/>
  <c r="M909" i="14814"/>
  <c r="M851" i="14814"/>
  <c r="M794" i="14814"/>
  <c r="M745" i="14814"/>
  <c r="M676" i="14814"/>
  <c r="M816" i="14814"/>
  <c r="M654" i="14814"/>
  <c r="M704" i="14814"/>
  <c r="M788" i="14814"/>
  <c r="M647" i="14814"/>
  <c r="M941" i="14814"/>
  <c r="M725" i="14814"/>
  <c r="M921" i="14814"/>
  <c r="M752" i="14814"/>
  <c r="M802" i="14814"/>
  <c r="E121" i="14814"/>
  <c r="M741" i="14814"/>
  <c r="M848" i="14814"/>
  <c r="M965" i="14814"/>
  <c r="M791" i="14814"/>
  <c r="M796" i="14814"/>
  <c r="M734" i="14814"/>
  <c r="M751" i="14814"/>
  <c r="M680" i="14814"/>
  <c r="M817" i="14814"/>
  <c r="M665" i="14814"/>
  <c r="M945" i="14814"/>
  <c r="M793" i="14814"/>
  <c r="M955" i="14814"/>
  <c r="M934" i="14814"/>
  <c r="M627" i="14814"/>
  <c r="M823" i="14814"/>
  <c r="M907" i="14814"/>
  <c r="M913" i="14814"/>
  <c r="M914" i="14814"/>
  <c r="M626" i="14814"/>
  <c r="M669" i="14814"/>
  <c r="M717" i="14814"/>
  <c r="M759" i="14814"/>
  <c r="M683" i="14814"/>
  <c r="M682" i="14814"/>
  <c r="M760" i="14814"/>
  <c r="M837" i="14814"/>
  <c r="M640" i="14814"/>
  <c r="M900" i="14814"/>
  <c r="M893" i="14814"/>
  <c r="M787" i="14814"/>
  <c r="M689" i="14814"/>
  <c r="M696" i="14814"/>
  <c r="M613" i="14814"/>
  <c r="M690" i="14814"/>
  <c r="M738" i="14814"/>
  <c r="M809" i="14814"/>
  <c r="M949" i="14814"/>
  <c r="M620" i="14814"/>
  <c r="M703" i="14814"/>
  <c r="M718" i="14814"/>
  <c r="M655" i="14814"/>
  <c r="M872" i="14814"/>
  <c r="M864" i="14814"/>
  <c r="M774" i="14814"/>
  <c r="M766" i="14814"/>
  <c r="M948" i="14814"/>
  <c r="M634" i="14814"/>
  <c r="M976" i="14814"/>
  <c r="M767" i="14814"/>
  <c r="M885" i="14814"/>
  <c r="F514" i="14814"/>
  <c r="E221" i="14814"/>
  <c r="M845" i="14814"/>
  <c r="M673" i="14814"/>
  <c r="M786" i="14814"/>
  <c r="M625" i="14814"/>
  <c r="M671" i="14814"/>
  <c r="M674" i="14814"/>
  <c r="M953" i="14814"/>
  <c r="M814" i="14814"/>
  <c r="M700" i="14814"/>
  <c r="M686" i="14814"/>
  <c r="M652" i="14814"/>
  <c r="M805" i="14814"/>
  <c r="M850" i="14814"/>
  <c r="M795" i="14814"/>
  <c r="M969" i="14814"/>
  <c r="M739" i="14814"/>
  <c r="M836" i="14814"/>
  <c r="M942" i="14814"/>
  <c r="M892" i="14814"/>
  <c r="M878" i="14814"/>
  <c r="M648" i="14814"/>
  <c r="M962" i="14814"/>
  <c r="M710" i="14814"/>
  <c r="M822" i="14814"/>
  <c r="M711" i="14814"/>
  <c r="E181" i="14814"/>
  <c r="M615" i="14814"/>
  <c r="M880" i="14814"/>
  <c r="M890" i="14814"/>
  <c r="M966" i="14814"/>
  <c r="M813" i="14814"/>
  <c r="M854" i="14814"/>
  <c r="M846" i="14814"/>
  <c r="M684" i="14814"/>
  <c r="M803" i="14814"/>
  <c r="M742" i="14814"/>
  <c r="M764" i="14814"/>
  <c r="M863" i="14814"/>
  <c r="M832" i="14814"/>
  <c r="M862" i="14814"/>
  <c r="M789" i="14814"/>
  <c r="M657" i="14814"/>
  <c r="M616" i="14814"/>
  <c r="M631" i="14814"/>
  <c r="M769" i="14814"/>
  <c r="M902" i="14814"/>
  <c r="M757" i="14814"/>
  <c r="M762" i="14814"/>
  <c r="M779" i="14814"/>
  <c r="M932" i="14814"/>
  <c r="M707" i="14814"/>
  <c r="M776" i="14814"/>
  <c r="M975" i="14814"/>
  <c r="M790" i="14814"/>
  <c r="M959" i="14814"/>
  <c r="M723" i="14814"/>
  <c r="M951" i="14814"/>
  <c r="M735" i="14814"/>
  <c r="M877" i="14814"/>
  <c r="M911" i="14814"/>
  <c r="M670" i="14814"/>
  <c r="M869" i="14814"/>
  <c r="M646" i="14814"/>
  <c r="M849" i="14814"/>
  <c r="M777" i="14814"/>
  <c r="M925" i="14814"/>
  <c r="M681" i="14814"/>
  <c r="M931" i="14814"/>
  <c r="M938" i="14814"/>
  <c r="M964" i="14814"/>
  <c r="M756" i="14814"/>
  <c r="M628" i="14814"/>
  <c r="M834" i="14814"/>
  <c r="M679" i="14814"/>
  <c r="M810" i="14814"/>
  <c r="M947" i="14814"/>
  <c r="M882" i="14814"/>
  <c r="M944" i="14814"/>
  <c r="M747" i="14814"/>
  <c r="M826" i="14814"/>
  <c r="M840" i="14814"/>
  <c r="M820" i="14814"/>
  <c r="M943" i="14814"/>
  <c r="M821" i="14814"/>
  <c r="M881" i="14814"/>
  <c r="M874" i="14814"/>
  <c r="M733" i="14814"/>
  <c r="M915" i="14814"/>
  <c r="M825" i="14814"/>
  <c r="M755" i="14814"/>
  <c r="M933" i="14814"/>
  <c r="M960" i="14814"/>
  <c r="M702" i="14814"/>
  <c r="M635" i="14814"/>
  <c r="M771" i="14814"/>
  <c r="M853" i="14814"/>
  <c r="M798" i="14814"/>
  <c r="M623" i="14814"/>
  <c r="M866" i="14814"/>
  <c r="M972" i="14814"/>
  <c r="M691" i="14814"/>
  <c r="M699" i="14814"/>
  <c r="M651" i="14814"/>
  <c r="M705" i="14814"/>
  <c r="M919" i="14814"/>
  <c r="M828" i="14814"/>
  <c r="M799" i="14814"/>
  <c r="M859" i="14814"/>
  <c r="M729" i="14814"/>
  <c r="M672" i="14814"/>
  <c r="M967" i="14814"/>
  <c r="M870" i="14814"/>
  <c r="M650" i="14814"/>
  <c r="M698" i="14814"/>
  <c r="M617" i="14814"/>
  <c r="M758" i="14814"/>
  <c r="M614" i="14814"/>
  <c r="M639" i="14814"/>
  <c r="M629" i="14814"/>
  <c r="M719" i="14814"/>
  <c r="M883" i="14814"/>
  <c r="M895" i="14814"/>
  <c r="M875" i="14814"/>
  <c r="M841" i="14814"/>
  <c r="M946" i="14814"/>
  <c r="M852" i="14814"/>
  <c r="M701" i="14814"/>
  <c r="M750" i="14814"/>
  <c r="M630" i="14814"/>
  <c r="M833" i="14814"/>
  <c r="M736" i="14814"/>
  <c r="M958" i="14814"/>
  <c r="M939" i="14814"/>
  <c r="M917" i="14814"/>
  <c r="M761" i="14814"/>
  <c r="M636" i="14814"/>
  <c r="M712" i="14814"/>
  <c r="M737" i="14814"/>
  <c r="M716" i="14814"/>
  <c r="M824" i="14814"/>
  <c r="M889" i="14814"/>
  <c r="F490" i="14814"/>
  <c r="M855" i="14814"/>
  <c r="M891" i="14814"/>
  <c r="M621" i="14814"/>
  <c r="M715" i="14814"/>
  <c r="D62" i="14814"/>
  <c r="M76" i="14852" s="1"/>
  <c r="M827" i="14814"/>
  <c r="M784" i="14814"/>
  <c r="M923" i="14814"/>
  <c r="M770" i="14814"/>
  <c r="M720" i="14814"/>
  <c r="M957" i="14814"/>
  <c r="M896" i="14814"/>
  <c r="M952" i="14814"/>
  <c r="M660" i="14814"/>
  <c r="M695" i="14814"/>
  <c r="M807" i="14814"/>
  <c r="M873" i="14814"/>
  <c r="M916" i="14814"/>
  <c r="M730" i="14814"/>
  <c r="M831" i="14814"/>
  <c r="M936" i="14814"/>
  <c r="M688" i="14814"/>
  <c r="M694" i="14814"/>
  <c r="M783" i="14814"/>
  <c r="M811" i="14814"/>
  <c r="M838" i="14814"/>
  <c r="M904" i="14814"/>
  <c r="M708" i="14814"/>
  <c r="M884" i="14814"/>
  <c r="M839" i="14814"/>
  <c r="M642" i="14814"/>
  <c r="M768" i="14814"/>
  <c r="M950" i="14814"/>
  <c r="F441" i="14814"/>
  <c r="M887" i="14814"/>
  <c r="M663" i="14814"/>
  <c r="M785" i="14814"/>
  <c r="M726" i="14814"/>
  <c r="M667" i="14814"/>
  <c r="M973" i="14814"/>
  <c r="M860" i="14814"/>
  <c r="M743" i="14814"/>
  <c r="M926" i="14814"/>
  <c r="M744" i="14814"/>
  <c r="M903" i="14814"/>
  <c r="M842" i="14814"/>
  <c r="M818" i="14814"/>
  <c r="M644" i="14814"/>
  <c r="M806" i="14814"/>
  <c r="M937" i="14814"/>
  <c r="M754" i="14814"/>
  <c r="M749" i="14814"/>
  <c r="M664" i="14814"/>
  <c r="M765" i="14814"/>
  <c r="M856" i="14814"/>
  <c r="M908" i="14814"/>
  <c r="M666" i="14814"/>
  <c r="M645" i="14814"/>
  <c r="M800" i="14814"/>
  <c r="M876" i="14814"/>
  <c r="M727" i="14814"/>
  <c r="M693" i="14814"/>
  <c r="M638" i="14814"/>
  <c r="M797" i="14814"/>
  <c r="M740" i="14814"/>
  <c r="M649" i="14814"/>
  <c r="M894" i="14814"/>
  <c r="M819" i="14814"/>
  <c r="M910" i="14814"/>
  <c r="M812" i="14814"/>
  <c r="M847" i="14814"/>
  <c r="M867" i="14814"/>
  <c r="M924" i="14814"/>
  <c r="D181" i="14814"/>
  <c r="M905" i="14814"/>
  <c r="M677" i="14814"/>
  <c r="M778" i="14814"/>
  <c r="M709" i="14814"/>
  <c r="M897" i="14814"/>
  <c r="M940" i="14814"/>
  <c r="M901" i="14814"/>
  <c r="M792" i="14814"/>
  <c r="M918" i="14814"/>
  <c r="M658" i="14814"/>
  <c r="M721" i="14814"/>
  <c r="M659" i="14814"/>
  <c r="M912" i="14814"/>
  <c r="E490" i="14814" l="1"/>
  <c r="E442" i="14814"/>
  <c r="E562" i="14814"/>
  <c r="E466" i="14814"/>
  <c r="E418" i="14814"/>
  <c r="E538" i="14814"/>
  <c r="E514" i="14814"/>
  <c r="K98" i="14814"/>
  <c r="D38" i="14847"/>
  <c r="D38" i="14848"/>
  <c r="O178" i="14814"/>
  <c r="V633" i="14814"/>
  <c r="V654" i="14814"/>
  <c r="V626" i="14814"/>
  <c r="V612" i="14814"/>
  <c r="V640" i="14814"/>
  <c r="V619" i="14814"/>
  <c r="V675" i="14814"/>
  <c r="V661" i="14814"/>
  <c r="V689" i="14814"/>
  <c r="V690" i="14814"/>
  <c r="V696" i="14814"/>
  <c r="V647" i="14814"/>
  <c r="V676" i="14814"/>
  <c r="V648" i="14814"/>
  <c r="V634" i="14814"/>
  <c r="V662" i="14814"/>
  <c r="V683" i="14814"/>
  <c r="V682" i="14814"/>
  <c r="V620" i="14814"/>
  <c r="V697" i="14814"/>
  <c r="V668" i="14814"/>
  <c r="V655" i="14814"/>
  <c r="V641" i="14814"/>
  <c r="V613" i="14814"/>
  <c r="V669" i="14814"/>
  <c r="V627" i="14814"/>
  <c r="V717" i="14814"/>
  <c r="V725" i="14814"/>
  <c r="V710" i="14814"/>
  <c r="V731" i="14814"/>
  <c r="V718" i="14814"/>
  <c r="V704" i="14814"/>
  <c r="V724" i="14814"/>
  <c r="V711" i="14814"/>
  <c r="V703" i="14814"/>
  <c r="V752" i="14814"/>
  <c r="V759" i="14814"/>
  <c r="V732" i="14814"/>
  <c r="V760" i="14814"/>
  <c r="V746" i="14814"/>
  <c r="V739" i="14814"/>
  <c r="V745" i="14814"/>
  <c r="V738" i="14814"/>
  <c r="V753" i="14814"/>
  <c r="V780" i="14814"/>
  <c r="V767" i="14814"/>
  <c r="V773" i="14814"/>
  <c r="V781" i="14814"/>
  <c r="V774" i="14814"/>
  <c r="V766" i="14814"/>
  <c r="V787" i="14814"/>
  <c r="V788" i="14814"/>
  <c r="V794" i="14814"/>
  <c r="V808" i="14814"/>
  <c r="V801" i="14814"/>
  <c r="V795" i="14814"/>
  <c r="V809" i="14814"/>
  <c r="V802" i="14814"/>
  <c r="V823" i="14814"/>
  <c r="V816" i="14814"/>
  <c r="V815" i="14814"/>
  <c r="V822" i="14814"/>
  <c r="V829" i="14814"/>
  <c r="V836" i="14814"/>
  <c r="V837" i="14814"/>
  <c r="V850" i="14814"/>
  <c r="V843" i="14814"/>
  <c r="V830" i="14814"/>
  <c r="V851" i="14814"/>
  <c r="V844" i="14814"/>
  <c r="V879" i="14814"/>
  <c r="V865" i="14814"/>
  <c r="V871" i="14814"/>
  <c r="V864" i="14814"/>
  <c r="V878" i="14814"/>
  <c r="V857" i="14814"/>
  <c r="V858" i="14814"/>
  <c r="V872" i="14814"/>
  <c r="V914" i="14814"/>
  <c r="V892" i="14814"/>
  <c r="V885" i="14814"/>
  <c r="V907" i="14814"/>
  <c r="V893" i="14814"/>
  <c r="V899" i="14814"/>
  <c r="V906" i="14814"/>
  <c r="V913" i="14814"/>
  <c r="V900" i="14814"/>
  <c r="V886" i="14814"/>
  <c r="V921" i="14814"/>
  <c r="V927" i="14814"/>
  <c r="V934" i="14814"/>
  <c r="V928" i="14814"/>
  <c r="V942" i="14814"/>
  <c r="V941" i="14814"/>
  <c r="V935" i="14814"/>
  <c r="V920" i="14814"/>
  <c r="V976" i="14814"/>
  <c r="V955" i="14814"/>
  <c r="V963" i="14814"/>
  <c r="V956" i="14814"/>
  <c r="V969" i="14814"/>
  <c r="V949" i="14814"/>
  <c r="V948" i="14814"/>
  <c r="V962" i="14814"/>
  <c r="V970" i="14814"/>
  <c r="V859" i="14814"/>
  <c r="V824" i="14814"/>
  <c r="V719" i="14814"/>
  <c r="V845" i="14814"/>
  <c r="V803" i="14814"/>
  <c r="V726" i="14814"/>
  <c r="V887" i="14814"/>
  <c r="V747" i="14814"/>
  <c r="V908" i="14814"/>
  <c r="V922" i="14814"/>
  <c r="V775" i="14814"/>
  <c r="V698" i="14814"/>
  <c r="V621" i="14814"/>
  <c r="V950" i="14814"/>
  <c r="V894" i="14814"/>
  <c r="V649" i="14814"/>
  <c r="V929" i="14814"/>
  <c r="V810" i="14814"/>
  <c r="V628" i="14814"/>
  <c r="V712" i="14814"/>
  <c r="V936" i="14814"/>
  <c r="V789" i="14814"/>
  <c r="V796" i="14814"/>
  <c r="V691" i="14814"/>
  <c r="V943" i="14814"/>
  <c r="V635" i="14814"/>
  <c r="V817" i="14814"/>
  <c r="V614" i="14814"/>
  <c r="V768" i="14814"/>
  <c r="V663" i="14814"/>
  <c r="V971" i="14814"/>
  <c r="V852" i="14814"/>
  <c r="V642" i="14814"/>
  <c r="V838" i="14814"/>
  <c r="V957" i="14814"/>
  <c r="V754" i="14814"/>
  <c r="V677" i="14814"/>
  <c r="V684" i="14814"/>
  <c r="V964" i="14814"/>
  <c r="V761" i="14814"/>
  <c r="V740" i="14814"/>
  <c r="V782" i="14814"/>
  <c r="V705" i="14814"/>
  <c r="V656" i="14814"/>
  <c r="V901" i="14814"/>
  <c r="V880" i="14814"/>
  <c r="V866" i="14814"/>
  <c r="V915" i="14814"/>
  <c r="V873" i="14814"/>
  <c r="V670" i="14814"/>
  <c r="V831" i="14814"/>
  <c r="V733" i="14814"/>
  <c r="V776" i="14814"/>
  <c r="V839" i="14814"/>
  <c r="V790" i="14814"/>
  <c r="V741" i="14814"/>
  <c r="V951" i="14814"/>
  <c r="V867" i="14814"/>
  <c r="V755" i="14814"/>
  <c r="V650" i="14814"/>
  <c r="V832" i="14814"/>
  <c r="V825" i="14814"/>
  <c r="V965" i="14814"/>
  <c r="V881" i="14814"/>
  <c r="V797" i="14814"/>
  <c r="V699" i="14814"/>
  <c r="V636" i="14814"/>
  <c r="V783" i="14814"/>
  <c r="V678" i="14814"/>
  <c r="V629" i="14814"/>
  <c r="V657" i="14814"/>
  <c r="V720" i="14814"/>
  <c r="V643" i="14814"/>
  <c r="V888" i="14814"/>
  <c r="V902" i="14814"/>
  <c r="V895" i="14814"/>
  <c r="V874" i="14814"/>
  <c r="V734" i="14814"/>
  <c r="V685" i="14814"/>
  <c r="V818" i="14814"/>
  <c r="V930" i="14814"/>
  <c r="V671" i="14814"/>
  <c r="V916" i="14814"/>
  <c r="V664" i="14814"/>
  <c r="V615" i="14814"/>
  <c r="V944" i="14814"/>
  <c r="V860" i="14814"/>
  <c r="V909" i="14814"/>
  <c r="V804" i="14814"/>
  <c r="V727" i="14814"/>
  <c r="V622" i="14814"/>
  <c r="V769" i="14814"/>
  <c r="V748" i="14814"/>
  <c r="V846" i="14814"/>
  <c r="V923" i="14814"/>
  <c r="V811" i="14814"/>
  <c r="V958" i="14814"/>
  <c r="V937" i="14814"/>
  <c r="V762" i="14814"/>
  <c r="V713" i="14814"/>
  <c r="V706" i="14814"/>
  <c r="V692" i="14814"/>
  <c r="V972" i="14814"/>
  <c r="V853" i="14814"/>
  <c r="V805" i="14814"/>
  <c r="V686" i="14814"/>
  <c r="V784" i="14814"/>
  <c r="V707" i="14814"/>
  <c r="V896" i="14814"/>
  <c r="V798" i="14814"/>
  <c r="V938" i="14814"/>
  <c r="V791" i="14814"/>
  <c r="V742" i="14814"/>
  <c r="V910" i="14814"/>
  <c r="V721" i="14814"/>
  <c r="V973" i="14814"/>
  <c r="V889" i="14814"/>
  <c r="V819" i="14814"/>
  <c r="V812" i="14814"/>
  <c r="V777" i="14814"/>
  <c r="V672" i="14814"/>
  <c r="V826" i="14814"/>
  <c r="V693" i="14814"/>
  <c r="V931" i="14814"/>
  <c r="V756" i="14814"/>
  <c r="V679" i="14814"/>
  <c r="V630" i="14814"/>
  <c r="V854" i="14814"/>
  <c r="V966" i="14814"/>
  <c r="V917" i="14814"/>
  <c r="V861" i="14814"/>
  <c r="V840" i="14814"/>
  <c r="V735" i="14814"/>
  <c r="V945" i="14814"/>
  <c r="V903" i="14814"/>
  <c r="V728" i="14814"/>
  <c r="V616" i="14814"/>
  <c r="V882" i="14814"/>
  <c r="V665" i="14814"/>
  <c r="V847" i="14814"/>
  <c r="V770" i="14814"/>
  <c r="V700" i="14814"/>
  <c r="V749" i="14814"/>
  <c r="V644" i="14814"/>
  <c r="V952" i="14814"/>
  <c r="V833" i="14814"/>
  <c r="V959" i="14814"/>
  <c r="V875" i="14814"/>
  <c r="V763" i="14814"/>
  <c r="V714" i="14814"/>
  <c r="V623" i="14814"/>
  <c r="V658" i="14814"/>
  <c r="V637" i="14814"/>
  <c r="V924" i="14814"/>
  <c r="V868" i="14814"/>
  <c r="V651" i="14814"/>
  <c r="V645" i="14814"/>
  <c r="V967" i="14814"/>
  <c r="V792" i="14814"/>
  <c r="V743" i="14814"/>
  <c r="V638" i="14814"/>
  <c r="V659" i="14814"/>
  <c r="V701" i="14814"/>
  <c r="V652" i="14814"/>
  <c r="V960" i="14814"/>
  <c r="V757" i="14814"/>
  <c r="V841" i="14814"/>
  <c r="V883" i="14814"/>
  <c r="V799" i="14814"/>
  <c r="V708" i="14814"/>
  <c r="V876" i="14814"/>
  <c r="V680" i="14814"/>
  <c r="V631" i="14814"/>
  <c r="V939" i="14814"/>
  <c r="V666" i="14814"/>
  <c r="V974" i="14814"/>
  <c r="V890" i="14814"/>
  <c r="V869" i="14814"/>
  <c r="V820" i="14814"/>
  <c r="V785" i="14814"/>
  <c r="V736" i="14814"/>
  <c r="V687" i="14814"/>
  <c r="V946" i="14814"/>
  <c r="V750" i="14814"/>
  <c r="V617" i="14814"/>
  <c r="V764" i="14814"/>
  <c r="V694" i="14814"/>
  <c r="V911" i="14814"/>
  <c r="V806" i="14814"/>
  <c r="V771" i="14814"/>
  <c r="V729" i="14814"/>
  <c r="V953" i="14814"/>
  <c r="V932" i="14814"/>
  <c r="V848" i="14814"/>
  <c r="V904" i="14814"/>
  <c r="V918" i="14814"/>
  <c r="V862" i="14814"/>
  <c r="V722" i="14814"/>
  <c r="V827" i="14814"/>
  <c r="V673" i="14814"/>
  <c r="V624" i="14814"/>
  <c r="V897" i="14814"/>
  <c r="V778" i="14814"/>
  <c r="V925" i="14814"/>
  <c r="V813" i="14814"/>
  <c r="V715" i="14814"/>
  <c r="V834" i="14814"/>
  <c r="V855" i="14814"/>
  <c r="V940" i="14814"/>
  <c r="V751" i="14814"/>
  <c r="V849" i="14814"/>
  <c r="V863" i="14814"/>
  <c r="V723" i="14814"/>
  <c r="V926" i="14814"/>
  <c r="V975" i="14814"/>
  <c r="V891" i="14814"/>
  <c r="V807" i="14814"/>
  <c r="V737" i="14814"/>
  <c r="V674" i="14814"/>
  <c r="V653" i="14814"/>
  <c r="V835" i="14814"/>
  <c r="V954" i="14814"/>
  <c r="V856" i="14814"/>
  <c r="V681" i="14814"/>
  <c r="V646" i="14814"/>
  <c r="V765" i="14814"/>
  <c r="V912" i="14814"/>
  <c r="V877" i="14814"/>
  <c r="V821" i="14814"/>
  <c r="V716" i="14814"/>
  <c r="V968" i="14814"/>
  <c r="V933" i="14814"/>
  <c r="V919" i="14814"/>
  <c r="V800" i="14814"/>
  <c r="V695" i="14814"/>
  <c r="V632" i="14814"/>
  <c r="V947" i="14814"/>
  <c r="V828" i="14814"/>
  <c r="V779" i="14814"/>
  <c r="V618" i="14814"/>
  <c r="V660" i="14814"/>
  <c r="V625" i="14814"/>
  <c r="V730" i="14814"/>
  <c r="V709" i="14814"/>
  <c r="V961" i="14814"/>
  <c r="V758" i="14814"/>
  <c r="V814" i="14814"/>
  <c r="V793" i="14814"/>
  <c r="V688" i="14814"/>
  <c r="V905" i="14814"/>
  <c r="V639" i="14814"/>
  <c r="V884" i="14814"/>
  <c r="V772" i="14814"/>
  <c r="V667" i="14814"/>
  <c r="V744" i="14814"/>
  <c r="V870" i="14814"/>
  <c r="V702" i="14814"/>
  <c r="V898" i="14814"/>
  <c r="V786" i="14814"/>
  <c r="V842" i="14814"/>
  <c r="L441" i="14814"/>
  <c r="L489" i="14814"/>
  <c r="L537" i="14814"/>
  <c r="L465" i="14814"/>
  <c r="L561" i="14814"/>
  <c r="L513" i="14814"/>
  <c r="L417" i="14814"/>
  <c r="K220" i="14814"/>
  <c r="O220" i="14814" s="1"/>
  <c r="L395" i="14814"/>
  <c r="K198" i="14814"/>
  <c r="O198" i="14814" s="1"/>
  <c r="L467" i="14814"/>
  <c r="L443" i="14814"/>
  <c r="L491" i="14814"/>
  <c r="L539" i="14814"/>
  <c r="L515" i="14814"/>
  <c r="L419" i="14814"/>
  <c r="L536" i="14814"/>
  <c r="L560" i="14814"/>
  <c r="K219" i="14814"/>
  <c r="O219" i="14814" s="1"/>
  <c r="L416" i="14814"/>
  <c r="L440" i="14814"/>
  <c r="L464" i="14814"/>
  <c r="L488" i="14814"/>
  <c r="L512" i="14814"/>
  <c r="L420" i="14814"/>
  <c r="L444" i="14814"/>
  <c r="K199" i="14814"/>
  <c r="O199" i="14814" s="1"/>
  <c r="L516" i="14814"/>
  <c r="L492" i="14814"/>
  <c r="L540" i="14814"/>
  <c r="L468" i="14814"/>
  <c r="L396" i="14814"/>
  <c r="E183" i="14814"/>
  <c r="E184" i="14814"/>
  <c r="J536" i="14814"/>
  <c r="J560" i="14814"/>
  <c r="J488" i="14814"/>
  <c r="J464" i="14814"/>
  <c r="K119" i="14814"/>
  <c r="F299" i="14814" s="1"/>
  <c r="J440" i="14814"/>
  <c r="J416" i="14814"/>
  <c r="J512" i="14814"/>
  <c r="J540" i="14814"/>
  <c r="J492" i="14814"/>
  <c r="J396" i="14814"/>
  <c r="K99" i="14814"/>
  <c r="F279" i="14814" s="1"/>
  <c r="J444" i="14814"/>
  <c r="J420" i="14814"/>
  <c r="J516" i="14814"/>
  <c r="J468" i="14814"/>
  <c r="D184" i="14814"/>
  <c r="D183" i="14814"/>
  <c r="D124" i="14814"/>
  <c r="D123" i="14814"/>
  <c r="K538" i="14814"/>
  <c r="H86" i="14814"/>
  <c r="K562" i="14814"/>
  <c r="K490" i="14814"/>
  <c r="K442" i="14814"/>
  <c r="K418" i="14814"/>
  <c r="K181" i="14814"/>
  <c r="K466" i="14814"/>
  <c r="K514" i="14814"/>
  <c r="E223" i="14814"/>
  <c r="E224" i="14814"/>
  <c r="K540" i="14814"/>
  <c r="K516" i="14814"/>
  <c r="H64" i="14814"/>
  <c r="K492" i="14814"/>
  <c r="K468" i="14814"/>
  <c r="K159" i="14814"/>
  <c r="K396" i="14814"/>
  <c r="K420" i="14814"/>
  <c r="K444" i="14814"/>
  <c r="H297" i="14814"/>
  <c r="AN297" i="14814"/>
  <c r="N300" i="14814"/>
  <c r="G298" i="14814"/>
  <c r="O118" i="14814"/>
  <c r="K537" i="14814"/>
  <c r="K561" i="14814"/>
  <c r="H85" i="14814"/>
  <c r="K417" i="14814"/>
  <c r="K180" i="14814"/>
  <c r="K441" i="14814"/>
  <c r="K513" i="14814"/>
  <c r="K489" i="14814"/>
  <c r="K465" i="14814"/>
  <c r="C224" i="14814"/>
  <c r="C223" i="14814"/>
  <c r="J466" i="14814"/>
  <c r="J442" i="14814"/>
  <c r="J562" i="14814"/>
  <c r="J514" i="14814"/>
  <c r="J538" i="14814"/>
  <c r="K121" i="14814"/>
  <c r="F301" i="14814" s="1"/>
  <c r="J418" i="14814"/>
  <c r="J490" i="14814"/>
  <c r="I839" i="14814"/>
  <c r="I795" i="14814"/>
  <c r="I820" i="14814"/>
  <c r="I728" i="14814"/>
  <c r="I969" i="14814"/>
  <c r="I800" i="14814"/>
  <c r="I677" i="14814"/>
  <c r="I720" i="14814"/>
  <c r="I850" i="14814"/>
  <c r="I637" i="14814"/>
  <c r="I635" i="14814"/>
  <c r="I614" i="14814"/>
  <c r="I780" i="14814"/>
  <c r="I954" i="14814"/>
  <c r="I745" i="14814"/>
  <c r="I912" i="14814"/>
  <c r="I906" i="14814"/>
  <c r="I639" i="14814"/>
  <c r="I662" i="14814"/>
  <c r="I823" i="14814"/>
  <c r="I928" i="14814"/>
  <c r="I642" i="14814"/>
  <c r="I944" i="14814"/>
  <c r="I641" i="14814"/>
  <c r="I757" i="14814"/>
  <c r="I942" i="14814"/>
  <c r="I902" i="14814"/>
  <c r="I788" i="14814"/>
  <c r="I816" i="14814"/>
  <c r="I688" i="14814"/>
  <c r="I671" i="14814"/>
  <c r="I766" i="14814"/>
  <c r="I946" i="14814"/>
  <c r="I963" i="14814"/>
  <c r="I739" i="14814"/>
  <c r="I952" i="14814"/>
  <c r="I966" i="14814"/>
  <c r="I920" i="14814"/>
  <c r="I646" i="14814"/>
  <c r="I660" i="14814"/>
  <c r="I631" i="14814"/>
  <c r="I773" i="14814"/>
  <c r="I931" i="14814"/>
  <c r="I742" i="14814"/>
  <c r="I871" i="14814"/>
  <c r="I818" i="14814"/>
  <c r="I762" i="14814"/>
  <c r="I864" i="14814"/>
  <c r="I843" i="14814"/>
  <c r="I649" i="14814"/>
  <c r="I968" i="14814"/>
  <c r="I713" i="14814"/>
  <c r="I755" i="14814"/>
  <c r="I844" i="14814"/>
  <c r="I682" i="14814"/>
  <c r="I709" i="14814"/>
  <c r="I782" i="14814"/>
  <c r="I692" i="14814"/>
  <c r="I900" i="14814"/>
  <c r="I752" i="14814"/>
  <c r="I937" i="14814"/>
  <c r="I779" i="14814"/>
  <c r="I829" i="14814"/>
  <c r="I892" i="14814"/>
  <c r="I869" i="14814"/>
  <c r="I730" i="14814"/>
  <c r="I893" i="14814"/>
  <c r="I917" i="14814"/>
  <c r="I736" i="14814"/>
  <c r="I707" i="14814"/>
  <c r="I915" i="14814"/>
  <c r="I719" i="14814"/>
  <c r="I655" i="14814"/>
  <c r="I934" i="14814"/>
  <c r="I809" i="14814"/>
  <c r="I804" i="14814"/>
  <c r="I874" i="14814"/>
  <c r="I657" i="14814"/>
  <c r="I618" i="14814"/>
  <c r="I858" i="14814"/>
  <c r="I699" i="14814"/>
  <c r="I951" i="14814"/>
  <c r="I859" i="14814"/>
  <c r="I943" i="14814"/>
  <c r="I837" i="14814"/>
  <c r="I759" i="14814"/>
  <c r="I615" i="14814"/>
  <c r="I862" i="14814"/>
  <c r="I625" i="14814"/>
  <c r="I664" i="14814"/>
  <c r="I622" i="14814"/>
  <c r="I680" i="14814"/>
  <c r="I767" i="14814"/>
  <c r="I882" i="14814"/>
  <c r="I750" i="14814"/>
  <c r="I878" i="14814"/>
  <c r="I801" i="14814"/>
  <c r="I684" i="14814"/>
  <c r="I848" i="14814"/>
  <c r="I910" i="14814"/>
  <c r="I784" i="14814"/>
  <c r="I815" i="14814"/>
  <c r="I885" i="14814"/>
  <c r="I732" i="14814"/>
  <c r="I939" i="14814"/>
  <c r="I897" i="14814"/>
  <c r="I681" i="14814"/>
  <c r="I847" i="14814"/>
  <c r="I725" i="14814"/>
  <c r="I933" i="14814"/>
  <c r="I863" i="14814"/>
  <c r="I665" i="14814"/>
  <c r="I765" i="14814"/>
  <c r="I827" i="14814"/>
  <c r="I922" i="14814"/>
  <c r="I689" i="14814"/>
  <c r="I865" i="14814"/>
  <c r="I703" i="14814"/>
  <c r="I870" i="14814"/>
  <c r="I623" i="14814"/>
  <c r="I747" i="14814"/>
  <c r="I860" i="14814"/>
  <c r="I895" i="14814"/>
  <c r="I781" i="14814"/>
  <c r="I872" i="14814"/>
  <c r="I806" i="14814"/>
  <c r="I679" i="14814"/>
  <c r="I676" i="14814"/>
  <c r="I924" i="14814"/>
  <c r="I697" i="14814"/>
  <c r="I833" i="14814"/>
  <c r="I645" i="14814"/>
  <c r="I898" i="14814"/>
  <c r="I620" i="14814"/>
  <c r="I967" i="14814"/>
  <c r="I916" i="14814"/>
  <c r="I678" i="14814"/>
  <c r="I802" i="14814"/>
  <c r="I797" i="14814"/>
  <c r="I723" i="14814"/>
  <c r="I786" i="14814"/>
  <c r="I627" i="14814"/>
  <c r="I612" i="14814"/>
  <c r="I930" i="14814"/>
  <c r="I711" i="14814"/>
  <c r="I721" i="14814"/>
  <c r="I901" i="14814"/>
  <c r="I857" i="14814"/>
  <c r="I938" i="14814"/>
  <c r="I704" i="14814"/>
  <c r="I714" i="14814"/>
  <c r="I835" i="14814"/>
  <c r="I959" i="14814"/>
  <c r="I936" i="14814"/>
  <c r="I776" i="14814"/>
  <c r="I705" i="14814"/>
  <c r="I888" i="14814"/>
  <c r="I881" i="14814"/>
  <c r="I877" i="14814"/>
  <c r="I712" i="14814"/>
  <c r="I744" i="14814"/>
  <c r="I873" i="14814"/>
  <c r="I629" i="14814"/>
  <c r="I772" i="14814"/>
  <c r="I698" i="14814"/>
  <c r="I905" i="14814"/>
  <c r="I628" i="14814"/>
  <c r="I726" i="14814"/>
  <c r="I769" i="14814"/>
  <c r="I666" i="14814"/>
  <c r="I899" i="14814"/>
  <c r="I706" i="14814"/>
  <c r="I868" i="14814"/>
  <c r="I758" i="14814"/>
  <c r="I866" i="14814"/>
  <c r="I976" i="14814"/>
  <c r="I927" i="14814"/>
  <c r="I774" i="14814"/>
  <c r="I793" i="14814"/>
  <c r="I828" i="14814"/>
  <c r="I768" i="14814"/>
  <c r="I956" i="14814"/>
  <c r="I799" i="14814"/>
  <c r="I718" i="14814"/>
  <c r="I690" i="14814"/>
  <c r="I695" i="14814"/>
  <c r="I693" i="14814"/>
  <c r="I821" i="14814"/>
  <c r="I734" i="14814"/>
  <c r="I791" i="14814"/>
  <c r="M53" i="14786"/>
  <c r="D38" i="14842" s="1"/>
  <c r="D40" i="14842" s="1"/>
  <c r="I856" i="14814"/>
  <c r="I973" i="14814"/>
  <c r="I743" i="14814"/>
  <c r="I840" i="14814"/>
  <c r="I764" i="14814"/>
  <c r="I884" i="14814"/>
  <c r="I831" i="14814"/>
  <c r="I777" i="14814"/>
  <c r="I957" i="14814"/>
  <c r="I741" i="14814"/>
  <c r="I630" i="14814"/>
  <c r="I889" i="14814"/>
  <c r="I619" i="14814"/>
  <c r="I702" i="14814"/>
  <c r="I947" i="14814"/>
  <c r="I803" i="14814"/>
  <c r="I932" i="14814"/>
  <c r="I753" i="14814"/>
  <c r="I805" i="14814"/>
  <c r="I811" i="14814"/>
  <c r="I675" i="14814"/>
  <c r="I710" i="14814"/>
  <c r="I894" i="14814"/>
  <c r="I950" i="14814"/>
  <c r="I785" i="14814"/>
  <c r="I904" i="14814"/>
  <c r="I808" i="14814"/>
  <c r="I935" i="14814"/>
  <c r="I854" i="14814"/>
  <c r="I787" i="14814"/>
  <c r="I925" i="14814"/>
  <c r="I913" i="14814"/>
  <c r="I919" i="14814"/>
  <c r="I651" i="14814"/>
  <c r="I687" i="14814"/>
  <c r="I807" i="14814"/>
  <c r="I746" i="14814"/>
  <c r="I672" i="14814"/>
  <c r="I790" i="14814"/>
  <c r="I708" i="14814"/>
  <c r="I716" i="14814"/>
  <c r="I879" i="14814"/>
  <c r="I961" i="14814"/>
  <c r="I729" i="14814"/>
  <c r="I761" i="14814"/>
  <c r="I845" i="14814"/>
  <c r="I643" i="14814"/>
  <c r="I838" i="14814"/>
  <c r="I748" i="14814"/>
  <c r="I717" i="14814"/>
  <c r="I929" i="14814"/>
  <c r="I658" i="14814"/>
  <c r="I656" i="14814"/>
  <c r="I921" i="14814"/>
  <c r="I911" i="14814"/>
  <c r="I832" i="14814"/>
  <c r="I640" i="14814"/>
  <c r="I974" i="14814"/>
  <c r="I908" i="14814"/>
  <c r="I696" i="14814"/>
  <c r="I663" i="14814"/>
  <c r="I648" i="14814"/>
  <c r="I798" i="14814"/>
  <c r="I624" i="14814"/>
  <c r="I670" i="14814"/>
  <c r="I760" i="14814"/>
  <c r="I654" i="14814"/>
  <c r="I886" i="14814"/>
  <c r="I875" i="14814"/>
  <c r="I826" i="14814"/>
  <c r="I975" i="14814"/>
  <c r="I876" i="14814"/>
  <c r="I971" i="14814"/>
  <c r="I727" i="14814"/>
  <c r="I909" i="14814"/>
  <c r="I896" i="14814"/>
  <c r="I691" i="14814"/>
  <c r="I724" i="14814"/>
  <c r="I941" i="14814"/>
  <c r="I661" i="14814"/>
  <c r="I880" i="14814"/>
  <c r="I796" i="14814"/>
  <c r="I834" i="14814"/>
  <c r="I855" i="14814"/>
  <c r="I841" i="14814"/>
  <c r="I652" i="14814"/>
  <c r="I907" i="14814"/>
  <c r="I836" i="14814"/>
  <c r="I822" i="14814"/>
  <c r="I770" i="14814"/>
  <c r="I715" i="14814"/>
  <c r="I763" i="14814"/>
  <c r="I926" i="14814"/>
  <c r="I948" i="14814"/>
  <c r="I700" i="14814"/>
  <c r="I794" i="14814"/>
  <c r="I851" i="14814"/>
  <c r="I914" i="14814"/>
  <c r="I685" i="14814"/>
  <c r="I867" i="14814"/>
  <c r="I722" i="14814"/>
  <c r="I650" i="14814"/>
  <c r="I756" i="14814"/>
  <c r="I949" i="14814"/>
  <c r="I731" i="14814"/>
  <c r="I626" i="14814"/>
  <c r="I694" i="14814"/>
  <c r="I644" i="14814"/>
  <c r="I830" i="14814"/>
  <c r="I810" i="14814"/>
  <c r="I667" i="14814"/>
  <c r="I861" i="14814"/>
  <c r="I674" i="14814"/>
  <c r="I812" i="14814"/>
  <c r="I771" i="14814"/>
  <c r="I852" i="14814"/>
  <c r="I683" i="14814"/>
  <c r="I754" i="14814"/>
  <c r="I621" i="14814"/>
  <c r="I653" i="14814"/>
  <c r="I846" i="14814"/>
  <c r="I825" i="14814"/>
  <c r="I883" i="14814"/>
  <c r="I686" i="14814"/>
  <c r="I903" i="14814"/>
  <c r="I817" i="14814"/>
  <c r="I733" i="14814"/>
  <c r="I853" i="14814"/>
  <c r="I792" i="14814"/>
  <c r="I813" i="14814"/>
  <c r="I789" i="14814"/>
  <c r="I616" i="14814"/>
  <c r="I962" i="14814"/>
  <c r="I783" i="14814"/>
  <c r="I740" i="14814"/>
  <c r="I673" i="14814"/>
  <c r="I923" i="14814"/>
  <c r="I617" i="14814"/>
  <c r="I964" i="14814"/>
  <c r="I633" i="14814"/>
  <c r="I819" i="14814"/>
  <c r="I945" i="14814"/>
  <c r="I636" i="14814"/>
  <c r="I972" i="14814"/>
  <c r="I918" i="14814"/>
  <c r="I958" i="14814"/>
  <c r="I965" i="14814"/>
  <c r="I824" i="14814"/>
  <c r="I955" i="14814"/>
  <c r="I749" i="14814"/>
  <c r="I891" i="14814"/>
  <c r="I737" i="14814"/>
  <c r="I940" i="14814"/>
  <c r="I701" i="14814"/>
  <c r="I647" i="14814"/>
  <c r="I775" i="14814"/>
  <c r="I738" i="14814"/>
  <c r="I778" i="14814"/>
  <c r="I638" i="14814"/>
  <c r="I960" i="14814"/>
  <c r="I887" i="14814"/>
  <c r="I634" i="14814"/>
  <c r="I890" i="14814"/>
  <c r="I970" i="14814"/>
  <c r="I613" i="14814"/>
  <c r="I735" i="14814"/>
  <c r="I669" i="14814"/>
  <c r="I632" i="14814"/>
  <c r="I751" i="14814"/>
  <c r="I659" i="14814"/>
  <c r="I842" i="14814"/>
  <c r="I668" i="14814"/>
  <c r="I953" i="14814"/>
  <c r="I814" i="14814"/>
  <c r="I849" i="14814"/>
  <c r="J465" i="14814"/>
  <c r="J513" i="14814"/>
  <c r="J417" i="14814"/>
  <c r="J537" i="14814"/>
  <c r="K120" i="14814"/>
  <c r="F300" i="14814" s="1"/>
  <c r="J561" i="14814"/>
  <c r="J441" i="14814"/>
  <c r="J489" i="14814"/>
  <c r="C124" i="14814"/>
  <c r="C123" i="14814"/>
  <c r="K464" i="14814"/>
  <c r="K179" i="14814"/>
  <c r="K560" i="14814"/>
  <c r="K536" i="14814"/>
  <c r="K440" i="14814"/>
  <c r="K488" i="14814"/>
  <c r="K416" i="14814"/>
  <c r="K512" i="14814"/>
  <c r="H84" i="14814"/>
  <c r="AA620" i="14814"/>
  <c r="Z935" i="14814"/>
  <c r="Y682" i="14814"/>
  <c r="Z822" i="14814"/>
  <c r="W935" i="14814"/>
  <c r="X893" i="14814"/>
  <c r="X879" i="14814"/>
  <c r="Z885" i="14814"/>
  <c r="AA851" i="14814"/>
  <c r="Z914" i="14814"/>
  <c r="X969" i="14814"/>
  <c r="Z689" i="14814"/>
  <c r="X843" i="14814"/>
  <c r="Z633" i="14814"/>
  <c r="X620" i="14814"/>
  <c r="Z850" i="14814"/>
  <c r="W696" i="14814"/>
  <c r="AA627" i="14814"/>
  <c r="Y963" i="14814"/>
  <c r="W941" i="14814"/>
  <c r="X655" i="14814"/>
  <c r="Y949" i="14814"/>
  <c r="X802" i="14814"/>
  <c r="W690" i="14814"/>
  <c r="W613" i="14814"/>
  <c r="W738" i="14814"/>
  <c r="W879" i="14814"/>
  <c r="AA634" i="14814"/>
  <c r="X906" i="14814"/>
  <c r="W801" i="14814"/>
  <c r="Y711" i="14814"/>
  <c r="Y738" i="14814"/>
  <c r="W710" i="14814"/>
  <c r="X899" i="14814"/>
  <c r="AA928" i="14814"/>
  <c r="X871" i="14814"/>
  <c r="AA633" i="14814"/>
  <c r="Y802" i="14814"/>
  <c r="Y690" i="14814"/>
  <c r="Z843" i="14814"/>
  <c r="W780" i="14814"/>
  <c r="Z801" i="14814"/>
  <c r="W872" i="14814"/>
  <c r="Z927" i="14814"/>
  <c r="Y948" i="14814"/>
  <c r="Z717" i="14814"/>
  <c r="W857" i="14814"/>
  <c r="Z627" i="14814"/>
  <c r="X935" i="14814"/>
  <c r="AA949" i="14814"/>
  <c r="X837" i="14814"/>
  <c r="AA892" i="14814"/>
  <c r="X626" i="14814"/>
  <c r="Y871" i="14814"/>
  <c r="X676" i="14814"/>
  <c r="Z872" i="14814"/>
  <c r="X892" i="14814"/>
  <c r="AA969" i="14814"/>
  <c r="X962" i="14814"/>
  <c r="W928" i="14814"/>
  <c r="W661" i="14814"/>
  <c r="Y962" i="14814"/>
  <c r="W851" i="14814"/>
  <c r="Z794" i="14814"/>
  <c r="W634" i="14814"/>
  <c r="Y857" i="14814"/>
  <c r="X619" i="14814"/>
  <c r="Y970" i="14814"/>
  <c r="W976" i="14814"/>
  <c r="AA626" i="14814"/>
  <c r="W885" i="14814"/>
  <c r="Z759" i="14814"/>
  <c r="W816" i="14814"/>
  <c r="AA725" i="14814"/>
  <c r="Y837" i="14814"/>
  <c r="AA837" i="14814"/>
  <c r="W920" i="14814"/>
  <c r="X907" i="14814"/>
  <c r="X816" i="14814"/>
  <c r="Z725" i="14814"/>
  <c r="Z619" i="14814"/>
  <c r="Y872" i="14814"/>
  <c r="AA872" i="14814"/>
  <c r="Z696" i="14814"/>
  <c r="Y885" i="14814"/>
  <c r="AA941" i="14814"/>
  <c r="W612" i="14814"/>
  <c r="AA907" i="14814"/>
  <c r="Z928" i="14814"/>
  <c r="W633" i="14814"/>
  <c r="X731" i="14814"/>
  <c r="AA655" i="14814"/>
  <c r="AA879" i="14814"/>
  <c r="Z724" i="14814"/>
  <c r="AA843" i="14814"/>
  <c r="Y626" i="14814"/>
  <c r="Y676" i="14814"/>
  <c r="AA893" i="14814"/>
  <c r="Y878" i="14814"/>
  <c r="X682" i="14814"/>
  <c r="Z808" i="14814"/>
  <c r="W788" i="14814"/>
  <c r="AA858" i="14814"/>
  <c r="Y836" i="14814"/>
  <c r="W627" i="14814"/>
  <c r="AA976" i="14814"/>
  <c r="Y710" i="14814"/>
  <c r="AA704" i="14814"/>
  <c r="W760" i="14814"/>
  <c r="AA844" i="14814"/>
  <c r="X844" i="14814"/>
  <c r="X864" i="14814"/>
  <c r="W899" i="14814"/>
  <c r="Y942" i="14814"/>
  <c r="W759" i="14814"/>
  <c r="AA760" i="14814"/>
  <c r="Z746" i="14814"/>
  <c r="Y675" i="14814"/>
  <c r="X829" i="14814"/>
  <c r="X836" i="14814"/>
  <c r="AA717" i="14814"/>
  <c r="Z703" i="14814"/>
  <c r="X717" i="14814"/>
  <c r="Y669" i="14814"/>
  <c r="Y823" i="14814"/>
  <c r="X927" i="14814"/>
  <c r="Y732" i="14814"/>
  <c r="AA675" i="14814"/>
  <c r="Z879" i="14814"/>
  <c r="AA731" i="14814"/>
  <c r="X710" i="14814"/>
  <c r="W745" i="14814"/>
  <c r="Z612" i="14814"/>
  <c r="W942" i="14814"/>
  <c r="AA935" i="14814"/>
  <c r="Z963" i="14814"/>
  <c r="Z844" i="14814"/>
  <c r="X976" i="14814"/>
  <c r="X654" i="14814"/>
  <c r="Z906" i="14814"/>
  <c r="W956" i="14814"/>
  <c r="Z802" i="14814"/>
  <c r="X928" i="14814"/>
  <c r="Z647" i="14814"/>
  <c r="Y696" i="14814"/>
  <c r="AA948" i="14814"/>
  <c r="Y724" i="14814"/>
  <c r="X648" i="14814"/>
  <c r="Y668" i="14814"/>
  <c r="Z675" i="14814"/>
  <c r="W802" i="14814"/>
  <c r="W823" i="14814"/>
  <c r="AA878" i="14814"/>
  <c r="Z948" i="14814"/>
  <c r="X942" i="14814"/>
  <c r="Y976" i="14814"/>
  <c r="Z710" i="14814"/>
  <c r="Y934" i="14814"/>
  <c r="X823" i="14814"/>
  <c r="AA753" i="14814"/>
  <c r="Y697" i="14814"/>
  <c r="X949" i="14814"/>
  <c r="AA885" i="14814"/>
  <c r="Y704" i="14814"/>
  <c r="Y753" i="14814"/>
  <c r="W619" i="14814"/>
  <c r="Z976" i="14814"/>
  <c r="AA956" i="14814"/>
  <c r="W892" i="14814"/>
  <c r="AA640" i="14814"/>
  <c r="AA668" i="14814"/>
  <c r="Z934" i="14814"/>
  <c r="Z780" i="14814"/>
  <c r="W725" i="14814"/>
  <c r="W836" i="14814"/>
  <c r="X781" i="14814"/>
  <c r="AA963" i="14814"/>
  <c r="W682" i="14814"/>
  <c r="AA920" i="14814"/>
  <c r="Z682" i="14814"/>
  <c r="Z851" i="14814"/>
  <c r="Y634" i="14814"/>
  <c r="W858" i="14814"/>
  <c r="Z893" i="14814"/>
  <c r="X920" i="14814"/>
  <c r="X612" i="14814"/>
  <c r="W626" i="14814"/>
  <c r="Z970" i="14814"/>
  <c r="W963" i="14814"/>
  <c r="Y893" i="14814"/>
  <c r="Z892" i="14814"/>
  <c r="W668" i="14814"/>
  <c r="W655" i="14814"/>
  <c r="X808" i="14814"/>
  <c r="X955" i="14814"/>
  <c r="W878" i="14814"/>
  <c r="Y654" i="14814"/>
  <c r="Y718" i="14814"/>
  <c r="AA780" i="14814"/>
  <c r="Z949" i="14814"/>
  <c r="AA612" i="14814"/>
  <c r="W703" i="14814"/>
  <c r="AA676" i="14814"/>
  <c r="W829" i="14814"/>
  <c r="Z864" i="14814"/>
  <c r="Z655" i="14814"/>
  <c r="X913" i="14814"/>
  <c r="AA662" i="14814"/>
  <c r="Y746" i="14814"/>
  <c r="Z920" i="14814"/>
  <c r="AA864" i="14814"/>
  <c r="X661" i="14814"/>
  <c r="Y865" i="14814"/>
  <c r="Y844" i="14814"/>
  <c r="Y892" i="14814"/>
  <c r="AA619" i="14814"/>
  <c r="Y655" i="14814"/>
  <c r="Z676" i="14814"/>
  <c r="Y879" i="14814"/>
  <c r="AA857" i="14814"/>
  <c r="W731" i="14814"/>
  <c r="Z668" i="14814"/>
  <c r="X627" i="14814"/>
  <c r="X865" i="14814"/>
  <c r="W949" i="14814"/>
  <c r="W717" i="14814"/>
  <c r="X745" i="14814"/>
  <c r="Y612" i="14814"/>
  <c r="W900" i="14814"/>
  <c r="AA703" i="14814"/>
  <c r="AA724" i="14814"/>
  <c r="AA745" i="14814"/>
  <c r="W669" i="14814"/>
  <c r="X795" i="14814"/>
  <c r="Y899" i="14814"/>
  <c r="X724" i="14814"/>
  <c r="X703" i="14814"/>
  <c r="Z634" i="14814"/>
  <c r="AA871" i="14814"/>
  <c r="W843" i="14814"/>
  <c r="Z942" i="14814"/>
  <c r="Y801" i="14814"/>
  <c r="AA795" i="14814"/>
  <c r="X773" i="14814"/>
  <c r="X683" i="14814"/>
  <c r="AA647" i="14814"/>
  <c r="Y619" i="14814"/>
  <c r="Y850" i="14814"/>
  <c r="X878" i="14814"/>
  <c r="AA718" i="14814"/>
  <c r="X752" i="14814"/>
  <c r="AA773" i="14814"/>
  <c r="W620" i="14814"/>
  <c r="X941" i="14814"/>
  <c r="Y907" i="14814"/>
  <c r="X885" i="14814"/>
  <c r="AA900" i="14814"/>
  <c r="AA801" i="14814"/>
  <c r="AA697" i="14814"/>
  <c r="W676" i="14814"/>
  <c r="X739" i="14814"/>
  <c r="Y935" i="14814"/>
  <c r="X858" i="14814"/>
  <c r="W893" i="14814"/>
  <c r="AA822" i="14814"/>
  <c r="Y900" i="14814"/>
  <c r="Y928" i="14814"/>
  <c r="AA927" i="14814"/>
  <c r="AA906" i="14814"/>
  <c r="Z731" i="14814"/>
  <c r="Z907" i="14814"/>
  <c r="X634" i="14814"/>
  <c r="X689" i="14814"/>
  <c r="Y843" i="14814"/>
  <c r="X675" i="14814"/>
  <c r="Y956" i="14814"/>
  <c r="X963" i="14814"/>
  <c r="Y647" i="14814"/>
  <c r="X900" i="14814"/>
  <c r="X934" i="14814"/>
  <c r="Y767" i="14814"/>
  <c r="AA689" i="14814"/>
  <c r="W689" i="14814"/>
  <c r="X822" i="14814"/>
  <c r="W837" i="14814"/>
  <c r="Y661" i="14814"/>
  <c r="X872" i="14814"/>
  <c r="Y858" i="14814"/>
  <c r="X696" i="14814"/>
  <c r="Y731" i="14814"/>
  <c r="Z899" i="14814"/>
  <c r="Z956" i="14814"/>
  <c r="Z865" i="14814"/>
  <c r="X914" i="14814"/>
  <c r="AA955" i="14814"/>
  <c r="AA962" i="14814"/>
  <c r="Y927" i="14814"/>
  <c r="Y941" i="14814"/>
  <c r="AA914" i="14814"/>
  <c r="Z969" i="14814"/>
  <c r="W640" i="14814"/>
  <c r="Z654" i="14814"/>
  <c r="Z941" i="14814"/>
  <c r="AA970" i="14814"/>
  <c r="Y620" i="14814"/>
  <c r="Z871" i="14814"/>
  <c r="Y640" i="14814"/>
  <c r="W970" i="14814"/>
  <c r="AA913" i="14814"/>
  <c r="AA752" i="14814"/>
  <c r="Z829" i="14814"/>
  <c r="W850" i="14814"/>
  <c r="W844" i="14814"/>
  <c r="AA850" i="14814"/>
  <c r="Z836" i="14814"/>
  <c r="Y808" i="14814"/>
  <c r="X788" i="14814"/>
  <c r="W732" i="14814"/>
  <c r="W914" i="14814"/>
  <c r="AA865" i="14814"/>
  <c r="Y864" i="14814"/>
  <c r="X640" i="14814"/>
  <c r="Y913" i="14814"/>
  <c r="Y641" i="14814"/>
  <c r="W794" i="14814"/>
  <c r="Z745" i="14814"/>
  <c r="AA886" i="14814"/>
  <c r="Y829" i="14814"/>
  <c r="W969" i="14814"/>
  <c r="W808" i="14814"/>
  <c r="Z760" i="14814"/>
  <c r="Z718" i="14814"/>
  <c r="X718" i="14814"/>
  <c r="W809" i="14814"/>
  <c r="Y906" i="14814"/>
  <c r="W921" i="14814"/>
  <c r="X641" i="14814"/>
  <c r="AA738" i="14814"/>
  <c r="AA788" i="14814"/>
  <c r="Y773" i="14814"/>
  <c r="Y774" i="14814"/>
  <c r="Y886" i="14814"/>
  <c r="Y703" i="14814"/>
  <c r="Z697" i="14814"/>
  <c r="Y766" i="14814"/>
  <c r="Z752" i="14814"/>
  <c r="X850" i="14814"/>
  <c r="AA830" i="14814"/>
  <c r="Y815" i="14814"/>
  <c r="X767" i="14814"/>
  <c r="Z648" i="14814"/>
  <c r="Z620" i="14814"/>
  <c r="W654" i="14814"/>
  <c r="Z661" i="14814"/>
  <c r="W718" i="14814"/>
  <c r="Y662" i="14814"/>
  <c r="W753" i="14814"/>
  <c r="Y725" i="14814"/>
  <c r="X815" i="14814"/>
  <c r="Y633" i="14814"/>
  <c r="Y759" i="14814"/>
  <c r="X732" i="14814"/>
  <c r="X760" i="14814"/>
  <c r="W746" i="14814"/>
  <c r="W865" i="14814"/>
  <c r="Z823" i="14814"/>
  <c r="W675" i="14814"/>
  <c r="W724" i="14814"/>
  <c r="Z809" i="14814"/>
  <c r="Z858" i="14814"/>
  <c r="AA802" i="14814"/>
  <c r="AA613" i="14814"/>
  <c r="Y648" i="14814"/>
  <c r="AA732" i="14814"/>
  <c r="W787" i="14814"/>
  <c r="Z626" i="14814"/>
  <c r="Z921" i="14814"/>
  <c r="AA669" i="14814"/>
  <c r="Z837" i="14814"/>
  <c r="Y627" i="14814"/>
  <c r="AA682" i="14814"/>
  <c r="AA781" i="14814"/>
  <c r="AA683" i="14814"/>
  <c r="Z788" i="14814"/>
  <c r="Z781" i="14814"/>
  <c r="W774" i="14814"/>
  <c r="X668" i="14814"/>
  <c r="Y780" i="14814"/>
  <c r="X725" i="14814"/>
  <c r="W773" i="14814"/>
  <c r="W766" i="14814"/>
  <c r="Z955" i="14814"/>
  <c r="W781" i="14814"/>
  <c r="X613" i="14814"/>
  <c r="AA648" i="14814"/>
  <c r="Y822" i="14814"/>
  <c r="Y787" i="14814"/>
  <c r="W871" i="14814"/>
  <c r="X669" i="14814"/>
  <c r="Z816" i="14814"/>
  <c r="AA794" i="14814"/>
  <c r="W697" i="14814"/>
  <c r="X704" i="14814"/>
  <c r="Y794" i="14814"/>
  <c r="Z886" i="14814"/>
  <c r="AA767" i="14814"/>
  <c r="X633" i="14814"/>
  <c r="X794" i="14814"/>
  <c r="AA746" i="14814"/>
  <c r="X774" i="14814"/>
  <c r="X759" i="14814"/>
  <c r="W683" i="14814"/>
  <c r="Z787" i="14814"/>
  <c r="X956" i="14814"/>
  <c r="Z767" i="14814"/>
  <c r="Y781" i="14814"/>
  <c r="Z774" i="14814"/>
  <c r="W767" i="14814"/>
  <c r="X746" i="14814"/>
  <c r="AA816" i="14814"/>
  <c r="Z913" i="14814"/>
  <c r="AA654" i="14814"/>
  <c r="Z640" i="14814"/>
  <c r="W913" i="14814"/>
  <c r="AA690" i="14814"/>
  <c r="Y809" i="14814"/>
  <c r="Z711" i="14814"/>
  <c r="Y795" i="14814"/>
  <c r="Z613" i="14814"/>
  <c r="Y969" i="14814"/>
  <c r="Y914" i="14814"/>
  <c r="Y717" i="14814"/>
  <c r="Y788" i="14814"/>
  <c r="X647" i="14814"/>
  <c r="X787" i="14814"/>
  <c r="W886" i="14814"/>
  <c r="W907" i="14814"/>
  <c r="Y683" i="14814"/>
  <c r="W962" i="14814"/>
  <c r="AA661" i="14814"/>
  <c r="Y613" i="14814"/>
  <c r="Z683" i="14814"/>
  <c r="Z738" i="14814"/>
  <c r="Y816" i="14814"/>
  <c r="AA759" i="14814"/>
  <c r="Z669" i="14814"/>
  <c r="AA836" i="14814"/>
  <c r="X830" i="14814"/>
  <c r="AA766" i="14814"/>
  <c r="W662" i="14814"/>
  <c r="Z815" i="14814"/>
  <c r="Y920" i="14814"/>
  <c r="Z662" i="14814"/>
  <c r="W948" i="14814"/>
  <c r="W864" i="14814"/>
  <c r="Y745" i="14814"/>
  <c r="W704" i="14814"/>
  <c r="AA899" i="14814"/>
  <c r="W955" i="14814"/>
  <c r="W641" i="14814"/>
  <c r="Y739" i="14814"/>
  <c r="AA774" i="14814"/>
  <c r="AA808" i="14814"/>
  <c r="AA641" i="14814"/>
  <c r="Z704" i="14814"/>
  <c r="AA696" i="14814"/>
  <c r="Z641" i="14814"/>
  <c r="X697" i="14814"/>
  <c r="X738" i="14814"/>
  <c r="X711" i="14814"/>
  <c r="Z690" i="14814"/>
  <c r="W822" i="14814"/>
  <c r="X690" i="14814"/>
  <c r="W906" i="14814"/>
  <c r="X780" i="14814"/>
  <c r="AA739" i="14814"/>
  <c r="Y921" i="14814"/>
  <c r="L538" i="14814"/>
  <c r="X948" i="14814"/>
  <c r="X857" i="14814"/>
  <c r="X921" i="14814"/>
  <c r="Z878" i="14814"/>
  <c r="Z857" i="14814"/>
  <c r="Z795" i="14814"/>
  <c r="Y955" i="14814"/>
  <c r="W711" i="14814"/>
  <c r="W815" i="14814"/>
  <c r="W934" i="14814"/>
  <c r="AA711" i="14814"/>
  <c r="Y830" i="14814"/>
  <c r="W739" i="14814"/>
  <c r="X662" i="14814"/>
  <c r="AA942" i="14814"/>
  <c r="X766" i="14814"/>
  <c r="AA809" i="14814"/>
  <c r="AA921" i="14814"/>
  <c r="W752" i="14814"/>
  <c r="Z900" i="14814"/>
  <c r="AA823" i="14814"/>
  <c r="Y689" i="14814"/>
  <c r="W795" i="14814"/>
  <c r="AA815" i="14814"/>
  <c r="X886" i="14814"/>
  <c r="L562" i="14814"/>
  <c r="X851" i="14814"/>
  <c r="Z732" i="14814"/>
  <c r="W927" i="14814"/>
  <c r="Z962" i="14814"/>
  <c r="X970" i="14814"/>
  <c r="X753" i="14814"/>
  <c r="AA934" i="14814"/>
  <c r="I62" i="14814"/>
  <c r="W930" i="14814"/>
  <c r="Z842" i="14814"/>
  <c r="X691" i="14814"/>
  <c r="X842" i="14814"/>
  <c r="X761" i="14814"/>
  <c r="W972" i="14814"/>
  <c r="Z835" i="14814"/>
  <c r="X684" i="14814"/>
  <c r="W709" i="14814"/>
  <c r="AA693" i="14814"/>
  <c r="Z806" i="14814"/>
  <c r="X651" i="14814"/>
  <c r="Z635" i="14814"/>
  <c r="X968" i="14814"/>
  <c r="Z674" i="14814"/>
  <c r="W705" i="14814"/>
  <c r="AA924" i="14814"/>
  <c r="Y653" i="14814"/>
  <c r="W876" i="14814"/>
  <c r="W891" i="14814"/>
  <c r="Y663" i="14814"/>
  <c r="X679" i="14814"/>
  <c r="Y805" i="14814"/>
  <c r="Z959" i="14814"/>
  <c r="Z614" i="14814"/>
  <c r="Z756" i="14814"/>
  <c r="W637" i="14814"/>
  <c r="X824" i="14814"/>
  <c r="Z938" i="14814"/>
  <c r="Y947" i="14814"/>
  <c r="Z845" i="14814"/>
  <c r="Y939" i="14814"/>
  <c r="Y761" i="14814"/>
  <c r="Z968" i="14814"/>
  <c r="AA787" i="14814"/>
  <c r="Z753" i="14814"/>
  <c r="AA710" i="14814"/>
  <c r="AA705" i="14814"/>
  <c r="W939" i="14814"/>
  <c r="Y972" i="14814"/>
  <c r="W632" i="14814"/>
  <c r="W642" i="14814"/>
  <c r="Y621" i="14814"/>
  <c r="AA761" i="14814"/>
  <c r="Z777" i="14814"/>
  <c r="W826" i="14814"/>
  <c r="Y909" i="14814"/>
  <c r="Z618" i="14814"/>
  <c r="W882" i="14814"/>
  <c r="X881" i="14814"/>
  <c r="W931" i="14814"/>
  <c r="W740" i="14814"/>
  <c r="Z931" i="14814"/>
  <c r="X814" i="14814"/>
  <c r="Y971" i="14814"/>
  <c r="Y840" i="14814"/>
  <c r="W798" i="14814"/>
  <c r="Z953" i="14814"/>
  <c r="X719" i="14814"/>
  <c r="Y866" i="14814"/>
  <c r="Z700" i="14814"/>
  <c r="X639" i="14814"/>
  <c r="W880" i="14814"/>
  <c r="Y660" i="14814"/>
  <c r="W647" i="14814"/>
  <c r="Z739" i="14814"/>
  <c r="Y752" i="14814"/>
  <c r="Y721" i="14814"/>
  <c r="Y845" i="14814"/>
  <c r="W693" i="14814"/>
  <c r="W674" i="14814"/>
  <c r="Y953" i="14814"/>
  <c r="X882" i="14814"/>
  <c r="Y852" i="14814"/>
  <c r="X642" i="14814"/>
  <c r="X868" i="14814"/>
  <c r="X943" i="14814"/>
  <c r="W695" i="14814"/>
  <c r="W685" i="14814"/>
  <c r="W628" i="14814"/>
  <c r="Y923" i="14814"/>
  <c r="W653" i="14814"/>
  <c r="X748" i="14814"/>
  <c r="AA701" i="14814"/>
  <c r="Y968" i="14814"/>
  <c r="AA852" i="14814"/>
  <c r="X777" i="14814"/>
  <c r="AA901" i="14814"/>
  <c r="X646" i="14814"/>
  <c r="Y756" i="14814"/>
  <c r="AA943" i="14814"/>
  <c r="W635" i="14814"/>
  <c r="Z695" i="14814"/>
  <c r="W854" i="14814"/>
  <c r="X730" i="14814"/>
  <c r="Y714" i="14814"/>
  <c r="X801" i="14814"/>
  <c r="Z773" i="14814"/>
  <c r="X674" i="14814"/>
  <c r="Y824" i="14814"/>
  <c r="Z693" i="14814"/>
  <c r="X838" i="14814"/>
  <c r="X693" i="14814"/>
  <c r="X929" i="14814"/>
  <c r="X967" i="14814"/>
  <c r="Z702" i="14814"/>
  <c r="W824" i="14814"/>
  <c r="AA691" i="14814"/>
  <c r="Z881" i="14814"/>
  <c r="X721" i="14814"/>
  <c r="W726" i="14814"/>
  <c r="AA737" i="14814"/>
  <c r="X709" i="14814"/>
  <c r="W733" i="14814"/>
  <c r="Z930" i="14814"/>
  <c r="AA868" i="14814"/>
  <c r="Y940" i="14814"/>
  <c r="X845" i="14814"/>
  <c r="W691" i="14814"/>
  <c r="X828" i="14814"/>
  <c r="Y884" i="14814"/>
  <c r="Y838" i="14814"/>
  <c r="W943" i="14814"/>
  <c r="Y932" i="14814"/>
  <c r="Z866" i="14814"/>
  <c r="W721" i="14814"/>
  <c r="X728" i="14814"/>
  <c r="X975" i="14814"/>
  <c r="W737" i="14814"/>
  <c r="Y760" i="14814"/>
  <c r="Z766" i="14814"/>
  <c r="Y685" i="14814"/>
  <c r="W909" i="14814"/>
  <c r="AA651" i="14814"/>
  <c r="AA866" i="14814"/>
  <c r="Y728" i="14814"/>
  <c r="W845" i="14814"/>
  <c r="X733" i="14814"/>
  <c r="AA814" i="14814"/>
  <c r="X877" i="14814"/>
  <c r="Z876" i="14814"/>
  <c r="Y869" i="14814"/>
  <c r="X876" i="14814"/>
  <c r="AA898" i="14814"/>
  <c r="X940" i="14814"/>
  <c r="W684" i="14814"/>
  <c r="AA909" i="14814"/>
  <c r="AA639" i="14814"/>
  <c r="AA939" i="14814"/>
  <c r="W769" i="14814"/>
  <c r="Z737" i="14814"/>
  <c r="AA748" i="14814"/>
  <c r="X924" i="14814"/>
  <c r="W866" i="14814"/>
  <c r="X959" i="14814"/>
  <c r="Y891" i="14814"/>
  <c r="Z679" i="14814"/>
  <c r="AA881" i="14814"/>
  <c r="AA891" i="14814"/>
  <c r="W964" i="14814"/>
  <c r="Y747" i="14814"/>
  <c r="X660" i="14814"/>
  <c r="X695" i="14814"/>
  <c r="Z830" i="14814"/>
  <c r="AA961" i="14814"/>
  <c r="X694" i="14814"/>
  <c r="Y733" i="14814"/>
  <c r="Z707" i="14814"/>
  <c r="AA642" i="14814"/>
  <c r="AA940" i="14814"/>
  <c r="Z964" i="14814"/>
  <c r="Z877" i="14814"/>
  <c r="W960" i="14814"/>
  <c r="AA721" i="14814"/>
  <c r="Z929" i="14814"/>
  <c r="X961" i="14814"/>
  <c r="AA805" i="14814"/>
  <c r="Y806" i="14814"/>
  <c r="AA884" i="14814"/>
  <c r="Z670" i="14814"/>
  <c r="AA931" i="14814"/>
  <c r="W723" i="14814"/>
  <c r="W940" i="14814"/>
  <c r="Z859" i="14814"/>
  <c r="X932" i="14814"/>
  <c r="AA826" i="14814"/>
  <c r="X632" i="14814"/>
  <c r="X769" i="14814"/>
  <c r="X880" i="14814"/>
  <c r="W938" i="14814"/>
  <c r="Z714" i="14814"/>
  <c r="Z975" i="14814"/>
  <c r="Z663" i="14814"/>
  <c r="AA685" i="14814"/>
  <c r="Y929" i="14814"/>
  <c r="W805" i="14814"/>
  <c r="W648" i="14814"/>
  <c r="W830" i="14814"/>
  <c r="Y876" i="14814"/>
  <c r="AA733" i="14814"/>
  <c r="Y651" i="14814"/>
  <c r="X636" i="14814"/>
  <c r="AA975" i="14814"/>
  <c r="Y688" i="14814"/>
  <c r="X726" i="14814"/>
  <c r="Y967" i="14814"/>
  <c r="W860" i="14814"/>
  <c r="Z860" i="14814"/>
  <c r="X618" i="14814"/>
  <c r="AA829" i="14814"/>
  <c r="X809" i="14814"/>
  <c r="Y851" i="14814"/>
  <c r="X840" i="14814"/>
  <c r="Y635" i="14814"/>
  <c r="AA938" i="14814"/>
  <c r="W870" i="14814"/>
  <c r="Z951" i="14814"/>
  <c r="X953" i="14814"/>
  <c r="AA876" i="14814"/>
  <c r="Z868" i="14814"/>
  <c r="AA674" i="14814"/>
  <c r="X664" i="14814"/>
  <c r="Y700" i="14814"/>
  <c r="Y961" i="14814"/>
  <c r="AA854" i="14814"/>
  <c r="Z740" i="14814"/>
  <c r="X909" i="14814"/>
  <c r="X756" i="14814"/>
  <c r="AA953" i="14814"/>
  <c r="W881" i="14814"/>
  <c r="AA740" i="14814"/>
  <c r="Z967" i="14814"/>
  <c r="W713" i="14814"/>
  <c r="X869" i="14814"/>
  <c r="Z728" i="14814"/>
  <c r="AA665" i="14814"/>
  <c r="AA964" i="14814"/>
  <c r="Y637" i="14814"/>
  <c r="Y737" i="14814"/>
  <c r="W849" i="14814"/>
  <c r="X670" i="14814"/>
  <c r="AA632" i="14814"/>
  <c r="AA870" i="14814"/>
  <c r="Z698" i="14814"/>
  <c r="Y681" i="14814"/>
  <c r="X863" i="14814"/>
  <c r="W947" i="14814"/>
  <c r="AA880" i="14814"/>
  <c r="Z960" i="14814"/>
  <c r="AA728" i="14814"/>
  <c r="X630" i="14814"/>
  <c r="AA831" i="14814"/>
  <c r="W630" i="14814"/>
  <c r="Y875" i="14814"/>
  <c r="W719" i="14814"/>
  <c r="AA845" i="14814"/>
  <c r="Y706" i="14814"/>
  <c r="AA932" i="14814"/>
  <c r="W716" i="14814"/>
  <c r="X713" i="14814"/>
  <c r="AA972" i="14814"/>
  <c r="AA971" i="14814"/>
  <c r="Y684" i="14814"/>
  <c r="AA877" i="14814"/>
  <c r="X707" i="14814"/>
  <c r="X860" i="14814"/>
  <c r="X621" i="14814"/>
  <c r="AA875" i="14814"/>
  <c r="Y667" i="14814"/>
  <c r="AA729" i="14814"/>
  <c r="X870" i="14814"/>
  <c r="X727" i="14814"/>
  <c r="X625" i="14814"/>
  <c r="AA842" i="14814"/>
  <c r="Z846" i="14814"/>
  <c r="W679" i="14814"/>
  <c r="AA846" i="14814"/>
  <c r="W915" i="14814"/>
  <c r="X723" i="14814"/>
  <c r="W748" i="14814"/>
  <c r="Y964" i="14814"/>
  <c r="Y908" i="14814"/>
  <c r="Y672" i="14814"/>
  <c r="X891" i="14814"/>
  <c r="Y632" i="14814"/>
  <c r="W946" i="14814"/>
  <c r="W656" i="14814"/>
  <c r="W952" i="14814"/>
  <c r="AA798" i="14814"/>
  <c r="Z716" i="14814"/>
  <c r="Y880" i="14814"/>
  <c r="W643" i="14814"/>
  <c r="Y777" i="14814"/>
  <c r="X628" i="14814"/>
  <c r="X908" i="14814"/>
  <c r="W875" i="14814"/>
  <c r="Z694" i="14814"/>
  <c r="Y901" i="14814"/>
  <c r="W827" i="14814"/>
  <c r="AA722" i="14814"/>
  <c r="W803" i="14814"/>
  <c r="Y722" i="14814"/>
  <c r="Y715" i="14814"/>
  <c r="W936" i="14814"/>
  <c r="AA749" i="14814"/>
  <c r="W625" i="14814"/>
  <c r="Z770" i="14814"/>
  <c r="W841" i="14814"/>
  <c r="W874" i="14814"/>
  <c r="W715" i="14814"/>
  <c r="W793" i="14814"/>
  <c r="Y720" i="14814"/>
  <c r="X744" i="14814"/>
  <c r="Y687" i="14814"/>
  <c r="Z790" i="14814"/>
  <c r="X819" i="14814"/>
  <c r="Z744" i="14814"/>
  <c r="AA882" i="14814"/>
  <c r="Z637" i="14814"/>
  <c r="W953" i="14814"/>
  <c r="Z824" i="14814"/>
  <c r="AA621" i="14814"/>
  <c r="Y915" i="14814"/>
  <c r="Z861" i="14814"/>
  <c r="AA646" i="14814"/>
  <c r="Y814" i="14814"/>
  <c r="Z685" i="14814"/>
  <c r="Y642" i="14814"/>
  <c r="Z691" i="14814"/>
  <c r="Z961" i="14814"/>
  <c r="AA860" i="14814"/>
  <c r="X826" i="14814"/>
  <c r="Z684" i="14814"/>
  <c r="Z748" i="14814"/>
  <c r="W761" i="14814"/>
  <c r="Z971" i="14814"/>
  <c r="W846" i="14814"/>
  <c r="W861" i="14814"/>
  <c r="Y868" i="14814"/>
  <c r="Y881" i="14814"/>
  <c r="AA671" i="14814"/>
  <c r="Y898" i="14814"/>
  <c r="AA695" i="14814"/>
  <c r="X702" i="14814"/>
  <c r="AA702" i="14814"/>
  <c r="Z954" i="14814"/>
  <c r="W806" i="14814"/>
  <c r="W747" i="14814"/>
  <c r="W856" i="14814"/>
  <c r="Z660" i="14814"/>
  <c r="Z946" i="14814"/>
  <c r="W932" i="14814"/>
  <c r="Z709" i="14814"/>
  <c r="W660" i="14814"/>
  <c r="X971" i="14814"/>
  <c r="Y702" i="14814"/>
  <c r="X667" i="14814"/>
  <c r="W646" i="14814"/>
  <c r="AA694" i="14814"/>
  <c r="Z643" i="14814"/>
  <c r="X861" i="14814"/>
  <c r="Y729" i="14814"/>
  <c r="X901" i="14814"/>
  <c r="AA847" i="14814"/>
  <c r="Y874" i="14814"/>
  <c r="Y842" i="14814"/>
  <c r="Y716" i="14814"/>
  <c r="AA700" i="14814"/>
  <c r="Z853" i="14814"/>
  <c r="Z721" i="14814"/>
  <c r="X947" i="14814"/>
  <c r="AA951" i="14814"/>
  <c r="AA706" i="14814"/>
  <c r="X649" i="14814"/>
  <c r="Y679" i="14814"/>
  <c r="Z723" i="14814"/>
  <c r="W847" i="14814"/>
  <c r="Y882" i="14814"/>
  <c r="Z761" i="14814"/>
  <c r="AA908" i="14814"/>
  <c r="AA747" i="14814"/>
  <c r="Y952" i="14814"/>
  <c r="Y818" i="14814"/>
  <c r="X793" i="14814"/>
  <c r="Z814" i="14814"/>
  <c r="AA926" i="14814"/>
  <c r="X658" i="14814"/>
  <c r="X818" i="14814"/>
  <c r="Z779" i="14814"/>
  <c r="X749" i="14814"/>
  <c r="AA889" i="14814"/>
  <c r="Z751" i="14814"/>
  <c r="X833" i="14814"/>
  <c r="AA712" i="14814"/>
  <c r="Y630" i="14814"/>
  <c r="AA688" i="14814"/>
  <c r="Y730" i="14814"/>
  <c r="AA967" i="14814"/>
  <c r="W698" i="14814"/>
  <c r="AA947" i="14814"/>
  <c r="Z632" i="14814"/>
  <c r="Z901" i="14814"/>
  <c r="Y846" i="14814"/>
  <c r="Y695" i="14814"/>
  <c r="AA707" i="14814"/>
  <c r="Z621" i="14814"/>
  <c r="Y705" i="14814"/>
  <c r="X716" i="14814"/>
  <c r="W714" i="14814"/>
  <c r="Z838" i="14814"/>
  <c r="W828" i="14814"/>
  <c r="Y873" i="14814"/>
  <c r="X960" i="14814"/>
  <c r="AA726" i="14814"/>
  <c r="AA930" i="14814"/>
  <c r="Z873" i="14814"/>
  <c r="Y856" i="14814"/>
  <c r="W901" i="14814"/>
  <c r="Y943" i="14814"/>
  <c r="X898" i="14814"/>
  <c r="W869" i="14814"/>
  <c r="W665" i="14814"/>
  <c r="Y694" i="14814"/>
  <c r="AA719" i="14814"/>
  <c r="W701" i="14814"/>
  <c r="Y769" i="14814"/>
  <c r="Z701" i="14814"/>
  <c r="AA679" i="14814"/>
  <c r="Y867" i="14814"/>
  <c r="AA784" i="14814"/>
  <c r="AA667" i="14814"/>
  <c r="AA954" i="14814"/>
  <c r="Z623" i="14814"/>
  <c r="AA658" i="14814"/>
  <c r="W923" i="14814"/>
  <c r="Y665" i="14814"/>
  <c r="X712" i="14814"/>
  <c r="X897" i="14814"/>
  <c r="Z630" i="14814"/>
  <c r="Z705" i="14814"/>
  <c r="Z863" i="14814"/>
  <c r="AA867" i="14814"/>
  <c r="X740" i="14814"/>
  <c r="W663" i="14814"/>
  <c r="AA643" i="14814"/>
  <c r="W729" i="14814"/>
  <c r="Y828" i="14814"/>
  <c r="Y664" i="14814"/>
  <c r="Y623" i="14814"/>
  <c r="W677" i="14814"/>
  <c r="W898" i="14814"/>
  <c r="Y677" i="14814"/>
  <c r="AA779" i="14814"/>
  <c r="AA966" i="14814"/>
  <c r="AA883" i="14814"/>
  <c r="X768" i="14814"/>
  <c r="Z904" i="14814"/>
  <c r="AA950" i="14814"/>
  <c r="W797" i="14814"/>
  <c r="AA778" i="14814"/>
  <c r="W910" i="14814"/>
  <c r="X747" i="14814"/>
  <c r="X803" i="14814"/>
  <c r="AA904" i="14814"/>
  <c r="X729" i="14814"/>
  <c r="AA824" i="14814"/>
  <c r="Z719" i="14814"/>
  <c r="W636" i="14814"/>
  <c r="Y870" i="14814"/>
  <c r="Y709" i="14814"/>
  <c r="Y861" i="14814"/>
  <c r="AA681" i="14814"/>
  <c r="X681" i="14814"/>
  <c r="W707" i="14814"/>
  <c r="W686" i="14814"/>
  <c r="Y723" i="14814"/>
  <c r="Z891" i="14814"/>
  <c r="AA946" i="14814"/>
  <c r="Z852" i="14814"/>
  <c r="Y946" i="14814"/>
  <c r="Y726" i="14814"/>
  <c r="W967" i="14814"/>
  <c r="W621" i="14814"/>
  <c r="Z833" i="14814"/>
  <c r="AA833" i="14814"/>
  <c r="X938" i="14814"/>
  <c r="AA686" i="14814"/>
  <c r="X714" i="14814"/>
  <c r="W639" i="14814"/>
  <c r="X854" i="14814"/>
  <c r="Z784" i="14814"/>
  <c r="Z932" i="14814"/>
  <c r="Z943" i="14814"/>
  <c r="Z651" i="14814"/>
  <c r="AA614" i="14814"/>
  <c r="AA628" i="14814"/>
  <c r="Y877" i="14814"/>
  <c r="Z890" i="14814"/>
  <c r="W959" i="14814"/>
  <c r="Z671" i="14814"/>
  <c r="AA653" i="14814"/>
  <c r="Z909" i="14814"/>
  <c r="W730" i="14814"/>
  <c r="Z656" i="14814"/>
  <c r="Y643" i="14814"/>
  <c r="X952" i="14814"/>
  <c r="Z947" i="14814"/>
  <c r="Z870" i="14814"/>
  <c r="W890" i="14814"/>
  <c r="Z672" i="14814"/>
  <c r="AA855" i="14814"/>
  <c r="Z625" i="14814"/>
  <c r="Y671" i="14814"/>
  <c r="X698" i="14814"/>
  <c r="AA827" i="14814"/>
  <c r="AA656" i="14814"/>
  <c r="Z882" i="14814"/>
  <c r="AA684" i="14814"/>
  <c r="W649" i="14814"/>
  <c r="Z923" i="14814"/>
  <c r="Y727" i="14814"/>
  <c r="AA636" i="14814"/>
  <c r="X643" i="14814"/>
  <c r="AA770" i="14814"/>
  <c r="W897" i="14814"/>
  <c r="W659" i="14814"/>
  <c r="X778" i="14814"/>
  <c r="AA762" i="14814"/>
  <c r="Y786" i="14814"/>
  <c r="W957" i="14814"/>
  <c r="AA687" i="14814"/>
  <c r="AA708" i="14814"/>
  <c r="Z945" i="14814"/>
  <c r="X791" i="14814"/>
  <c r="AA929" i="14814"/>
  <c r="Z768" i="14814"/>
  <c r="Z936" i="14814"/>
  <c r="Y950" i="14814"/>
  <c r="X741" i="14814"/>
  <c r="AA849" i="14814"/>
  <c r="X939" i="14814"/>
  <c r="Y628" i="14814"/>
  <c r="X614" i="14814"/>
  <c r="Y614" i="14814"/>
  <c r="AA730" i="14814"/>
  <c r="Y860" i="14814"/>
  <c r="AA625" i="14814"/>
  <c r="AA618" i="14814"/>
  <c r="Z733" i="14814"/>
  <c r="Z769" i="14814"/>
  <c r="X884" i="14814"/>
  <c r="W884" i="14814"/>
  <c r="X653" i="14814"/>
  <c r="X805" i="14814"/>
  <c r="Y951" i="14814"/>
  <c r="Z706" i="14814"/>
  <c r="Y975" i="14814"/>
  <c r="X827" i="14814"/>
  <c r="X964" i="14814"/>
  <c r="Y686" i="14814"/>
  <c r="Y674" i="14814"/>
  <c r="AA828" i="14814"/>
  <c r="Z840" i="14814"/>
  <c r="Y748" i="14814"/>
  <c r="W651" i="14814"/>
  <c r="Z805" i="14814"/>
  <c r="Z713" i="14814"/>
  <c r="W968" i="14814"/>
  <c r="Z667" i="14814"/>
  <c r="Z854" i="14814"/>
  <c r="Y827" i="14814"/>
  <c r="W706" i="14814"/>
  <c r="AA663" i="14814"/>
  <c r="X890" i="14814"/>
  <c r="X856" i="14814"/>
  <c r="X923" i="14814"/>
  <c r="W644" i="14814"/>
  <c r="W670" i="14814"/>
  <c r="X867" i="14814"/>
  <c r="Z639" i="14814"/>
  <c r="W618" i="14814"/>
  <c r="X692" i="14814"/>
  <c r="X874" i="14814"/>
  <c r="W888" i="14814"/>
  <c r="W975" i="14814"/>
  <c r="Y960" i="14814"/>
  <c r="Y883" i="14814"/>
  <c r="Y853" i="14814"/>
  <c r="Z747" i="14814"/>
  <c r="AA637" i="14814"/>
  <c r="X853" i="14814"/>
  <c r="W814" i="14814"/>
  <c r="Y649" i="14814"/>
  <c r="Y855" i="14814"/>
  <c r="Y713" i="14814"/>
  <c r="AA819" i="14814"/>
  <c r="X944" i="14814"/>
  <c r="W616" i="14814"/>
  <c r="AA715" i="14814"/>
  <c r="X936" i="14814"/>
  <c r="AA791" i="14814"/>
  <c r="Y833" i="14814"/>
  <c r="AA923" i="14814"/>
  <c r="W863" i="14814"/>
  <c r="Z856" i="14814"/>
  <c r="Z726" i="14814"/>
  <c r="W859" i="14814"/>
  <c r="AA716" i="14814"/>
  <c r="Y938" i="14814"/>
  <c r="Y636" i="14814"/>
  <c r="W873" i="14814"/>
  <c r="Z884" i="14814"/>
  <c r="X737" i="14814"/>
  <c r="AA856" i="14814"/>
  <c r="AA861" i="14814"/>
  <c r="W831" i="14814"/>
  <c r="W954" i="14814"/>
  <c r="Z727" i="14814"/>
  <c r="Y924" i="14814"/>
  <c r="W777" i="14814"/>
  <c r="Y954" i="14814"/>
  <c r="X688" i="14814"/>
  <c r="W667" i="14814"/>
  <c r="W883" i="14814"/>
  <c r="Z915" i="14814"/>
  <c r="AA959" i="14814"/>
  <c r="AA723" i="14814"/>
  <c r="X875" i="14814"/>
  <c r="Z869" i="14814"/>
  <c r="X637" i="14814"/>
  <c r="X866" i="14814"/>
  <c r="Y712" i="14814"/>
  <c r="X686" i="14814"/>
  <c r="X859" i="14814"/>
  <c r="X831" i="14814"/>
  <c r="W727" i="14814"/>
  <c r="Z883" i="14814"/>
  <c r="Y691" i="14814"/>
  <c r="W833" i="14814"/>
  <c r="Z827" i="14814"/>
  <c r="Z636" i="14814"/>
  <c r="Y625" i="14814"/>
  <c r="Y740" i="14814"/>
  <c r="Z665" i="14814"/>
  <c r="Y959" i="14814"/>
  <c r="X656" i="14814"/>
  <c r="W951" i="14814"/>
  <c r="Z642" i="14814"/>
  <c r="AA960" i="14814"/>
  <c r="X847" i="14814"/>
  <c r="W687" i="14814"/>
  <c r="Z940" i="14814"/>
  <c r="W694" i="14814"/>
  <c r="X930" i="14814"/>
  <c r="Y692" i="14814"/>
  <c r="Z644" i="14814"/>
  <c r="X951" i="14814"/>
  <c r="Y698" i="14814"/>
  <c r="AA644" i="14814"/>
  <c r="X873" i="14814"/>
  <c r="Y656" i="14814"/>
  <c r="Y888" i="14814"/>
  <c r="W867" i="14814"/>
  <c r="W926" i="14814"/>
  <c r="X772" i="14814"/>
  <c r="W744" i="14814"/>
  <c r="X722" i="14814"/>
  <c r="Y797" i="14814"/>
  <c r="Z778" i="14814"/>
  <c r="Y835" i="14814"/>
  <c r="W768" i="14814"/>
  <c r="X841" i="14814"/>
  <c r="W819" i="14814"/>
  <c r="Y931" i="14814"/>
  <c r="Y863" i="14814"/>
  <c r="AA968" i="14814"/>
  <c r="W728" i="14814"/>
  <c r="X706" i="14814"/>
  <c r="Z972" i="14814"/>
  <c r="AA714" i="14814"/>
  <c r="Z730" i="14814"/>
  <c r="AA664" i="14814"/>
  <c r="W840" i="14814"/>
  <c r="W961" i="14814"/>
  <c r="X846" i="14814"/>
  <c r="Y707" i="14814"/>
  <c r="X931" i="14814"/>
  <c r="Z849" i="14814"/>
  <c r="AA727" i="14814"/>
  <c r="AA756" i="14814"/>
  <c r="Z664" i="14814"/>
  <c r="AA915" i="14814"/>
  <c r="X915" i="14814"/>
  <c r="X635" i="14814"/>
  <c r="W877" i="14814"/>
  <c r="X849" i="14814"/>
  <c r="W671" i="14814"/>
  <c r="AA835" i="14814"/>
  <c r="X806" i="14814"/>
  <c r="AA863" i="14814"/>
  <c r="W700" i="14814"/>
  <c r="X701" i="14814"/>
  <c r="Y693" i="14814"/>
  <c r="Z686" i="14814"/>
  <c r="W692" i="14814"/>
  <c r="Z875" i="14814"/>
  <c r="X671" i="14814"/>
  <c r="X883" i="14814"/>
  <c r="Y890" i="14814"/>
  <c r="W929" i="14814"/>
  <c r="W614" i="14814"/>
  <c r="AA890" i="14814"/>
  <c r="AA853" i="14814"/>
  <c r="W971" i="14814"/>
  <c r="W688" i="14814"/>
  <c r="Z831" i="14814"/>
  <c r="AA649" i="14814"/>
  <c r="Y616" i="14814"/>
  <c r="AA751" i="14814"/>
  <c r="AA630" i="14814"/>
  <c r="AA859" i="14814"/>
  <c r="W712" i="14814"/>
  <c r="W908" i="14814"/>
  <c r="Z874" i="14814"/>
  <c r="X784" i="14814"/>
  <c r="Y930" i="14814"/>
  <c r="AA672" i="14814"/>
  <c r="X700" i="14814"/>
  <c r="W868" i="14814"/>
  <c r="Y849" i="14814"/>
  <c r="Z687" i="14814"/>
  <c r="W672" i="14814"/>
  <c r="AA768" i="14814"/>
  <c r="Y904" i="14814"/>
  <c r="AA720" i="14814"/>
  <c r="W889" i="14814"/>
  <c r="Z677" i="14814"/>
  <c r="Z708" i="14814"/>
  <c r="Y819" i="14814"/>
  <c r="AA709" i="14814"/>
  <c r="Z786" i="14814"/>
  <c r="Y762" i="14814"/>
  <c r="X616" i="14814"/>
  <c r="Z715" i="14814"/>
  <c r="AA945" i="14814"/>
  <c r="Y966" i="14814"/>
  <c r="Z939" i="14814"/>
  <c r="Z681" i="14814"/>
  <c r="X852" i="14814"/>
  <c r="X685" i="14814"/>
  <c r="Y646" i="14814"/>
  <c r="AA713" i="14814"/>
  <c r="Z826" i="14814"/>
  <c r="W702" i="14814"/>
  <c r="X972" i="14814"/>
  <c r="Z688" i="14814"/>
  <c r="AA698" i="14814"/>
  <c r="Z628" i="14814"/>
  <c r="Z653" i="14814"/>
  <c r="Y826" i="14814"/>
  <c r="AA869" i="14814"/>
  <c r="AA873" i="14814"/>
  <c r="Y784" i="14814"/>
  <c r="X835" i="14814"/>
  <c r="X663" i="14814"/>
  <c r="AA692" i="14814"/>
  <c r="Y618" i="14814"/>
  <c r="Z798" i="14814"/>
  <c r="AA635" i="14814"/>
  <c r="Y670" i="14814"/>
  <c r="AA838" i="14814"/>
  <c r="AA670" i="14814"/>
  <c r="W756" i="14814"/>
  <c r="AA840" i="14814"/>
  <c r="X954" i="14814"/>
  <c r="W838" i="14814"/>
  <c r="Y701" i="14814"/>
  <c r="W852" i="14814"/>
  <c r="Z646" i="14814"/>
  <c r="X946" i="14814"/>
  <c r="Z712" i="14814"/>
  <c r="Z908" i="14814"/>
  <c r="AA806" i="14814"/>
  <c r="AA777" i="14814"/>
  <c r="Y847" i="14814"/>
  <c r="AA660" i="14814"/>
  <c r="W681" i="14814"/>
  <c r="Z828" i="14814"/>
  <c r="Z924" i="14814"/>
  <c r="Z692" i="14814"/>
  <c r="Y644" i="14814"/>
  <c r="Y859" i="14814"/>
  <c r="Z729" i="14814"/>
  <c r="W835" i="14814"/>
  <c r="Z867" i="14814"/>
  <c r="Y854" i="14814"/>
  <c r="W623" i="14814"/>
  <c r="Y659" i="14814"/>
  <c r="AA874" i="14814"/>
  <c r="Z813" i="14814"/>
  <c r="Y639" i="14814"/>
  <c r="X687" i="14814"/>
  <c r="AA659" i="14814"/>
  <c r="Z680" i="14814"/>
  <c r="Y839" i="14814"/>
  <c r="X644" i="14814"/>
  <c r="Z649" i="14814"/>
  <c r="Y897" i="14814"/>
  <c r="X708" i="14814"/>
  <c r="Z659" i="14814"/>
  <c r="AA750" i="14814"/>
  <c r="W974" i="14814"/>
  <c r="Z754" i="14814"/>
  <c r="Z741" i="14814"/>
  <c r="X786" i="14814"/>
  <c r="AA839" i="14814"/>
  <c r="X735" i="14814"/>
  <c r="X624" i="14814"/>
  <c r="Y894" i="14814"/>
  <c r="Y944" i="14814"/>
  <c r="W750" i="14814"/>
  <c r="X796" i="14814"/>
  <c r="W832" i="14814"/>
  <c r="W919" i="14814"/>
  <c r="Z666" i="14814"/>
  <c r="W680" i="14814"/>
  <c r="W652" i="14814"/>
  <c r="W903" i="14814"/>
  <c r="AA958" i="14814"/>
  <c r="AA919" i="14814"/>
  <c r="Z797" i="14814"/>
  <c r="W741" i="14814"/>
  <c r="W811" i="14814"/>
  <c r="X617" i="14814"/>
  <c r="W965" i="14814"/>
  <c r="X848" i="14814"/>
  <c r="Y895" i="14814"/>
  <c r="AA783" i="14814"/>
  <c r="Y771" i="14814"/>
  <c r="Z887" i="14814"/>
  <c r="Y765" i="14814"/>
  <c r="W771" i="14814"/>
  <c r="W922" i="14814"/>
  <c r="W785" i="14814"/>
  <c r="Z862" i="14814"/>
  <c r="Z776" i="14814"/>
  <c r="W812" i="14814"/>
  <c r="Z792" i="14814"/>
  <c r="W666" i="14814"/>
  <c r="W902" i="14814"/>
  <c r="Y666" i="14814"/>
  <c r="W764" i="14814"/>
  <c r="AA799" i="14814"/>
  <c r="Z757" i="14814"/>
  <c r="Y817" i="14814"/>
  <c r="Z916" i="14814"/>
  <c r="Z758" i="14814"/>
  <c r="W896" i="14814"/>
  <c r="AA965" i="14814"/>
  <c r="AA666" i="14814"/>
  <c r="AA821" i="14814"/>
  <c r="Y699" i="14814"/>
  <c r="L442" i="14814"/>
  <c r="L418" i="14814"/>
  <c r="Y764" i="14814"/>
  <c r="W924" i="14814"/>
  <c r="X751" i="14814"/>
  <c r="W772" i="14814"/>
  <c r="X888" i="14814"/>
  <c r="AA772" i="14814"/>
  <c r="AA803" i="14814"/>
  <c r="Y841" i="14814"/>
  <c r="W720" i="14814"/>
  <c r="Z944" i="14814"/>
  <c r="Y770" i="14814"/>
  <c r="W853" i="14814"/>
  <c r="X855" i="14814"/>
  <c r="Y790" i="14814"/>
  <c r="Y813" i="14814"/>
  <c r="X762" i="14814"/>
  <c r="X926" i="14814"/>
  <c r="Y848" i="14814"/>
  <c r="AA736" i="14814"/>
  <c r="Y919" i="14814"/>
  <c r="AA841" i="14814"/>
  <c r="Z965" i="14814"/>
  <c r="W708" i="14814"/>
  <c r="AA804" i="14814"/>
  <c r="Z736" i="14814"/>
  <c r="AA817" i="14814"/>
  <c r="AA623" i="14814"/>
  <c r="Z615" i="14814"/>
  <c r="Z782" i="14814"/>
  <c r="Z917" i="14814"/>
  <c r="X758" i="14814"/>
  <c r="W950" i="14814"/>
  <c r="Z902" i="14814"/>
  <c r="Z783" i="14814"/>
  <c r="Y917" i="14814"/>
  <c r="X905" i="14814"/>
  <c r="Y800" i="14814"/>
  <c r="W925" i="14814"/>
  <c r="Y763" i="14814"/>
  <c r="X743" i="14814"/>
  <c r="Y926" i="14814"/>
  <c r="Z800" i="14814"/>
  <c r="Y615" i="14814"/>
  <c r="Y832" i="14814"/>
  <c r="W624" i="14814"/>
  <c r="W734" i="14814"/>
  <c r="X834" i="14814"/>
  <c r="Y834" i="14814"/>
  <c r="Y744" i="14814"/>
  <c r="X734" i="14814"/>
  <c r="W887" i="14814"/>
  <c r="Z750" i="14814"/>
  <c r="X918" i="14814"/>
  <c r="X666" i="14814"/>
  <c r="Z764" i="14814"/>
  <c r="AA825" i="14814"/>
  <c r="W782" i="14814"/>
  <c r="Z771" i="14814"/>
  <c r="Y645" i="14814"/>
  <c r="Z678" i="14814"/>
  <c r="X974" i="14814"/>
  <c r="AA771" i="14814"/>
  <c r="W765" i="14814"/>
  <c r="AA743" i="14814"/>
  <c r="Z755" i="14814"/>
  <c r="AA758" i="14814"/>
  <c r="AA678" i="14814"/>
  <c r="L466" i="14814"/>
  <c r="AA769" i="14814"/>
  <c r="Y658" i="14814"/>
  <c r="W786" i="14814"/>
  <c r="X720" i="14814"/>
  <c r="Y936" i="14814"/>
  <c r="X807" i="14814"/>
  <c r="Z855" i="14814"/>
  <c r="X672" i="14814"/>
  <c r="Z926" i="14814"/>
  <c r="W615" i="14814"/>
  <c r="X811" i="14814"/>
  <c r="X917" i="14814"/>
  <c r="W904" i="14814"/>
  <c r="Z789" i="14814"/>
  <c r="Z841" i="14814"/>
  <c r="Z889" i="14814"/>
  <c r="Y804" i="14814"/>
  <c r="Y896" i="14814"/>
  <c r="W617" i="14814"/>
  <c r="Y862" i="14814"/>
  <c r="Z803" i="14814"/>
  <c r="Z735" i="14814"/>
  <c r="Z974" i="14814"/>
  <c r="X895" i="14814"/>
  <c r="Z631" i="14814"/>
  <c r="Z791" i="14814"/>
  <c r="X755" i="14814"/>
  <c r="Z796" i="14814"/>
  <c r="Y799" i="14814"/>
  <c r="AA895" i="14814"/>
  <c r="W779" i="14814"/>
  <c r="X789" i="14814"/>
  <c r="Z958" i="14814"/>
  <c r="Y820" i="14814"/>
  <c r="AA936" i="14814"/>
  <c r="W735" i="14814"/>
  <c r="Y783" i="14814"/>
  <c r="W800" i="14814"/>
  <c r="AA820" i="14814"/>
  <c r="X631" i="14814"/>
  <c r="Y812" i="14814"/>
  <c r="X678" i="14814"/>
  <c r="Y789" i="14814"/>
  <c r="AA631" i="14814"/>
  <c r="Z765" i="14814"/>
  <c r="Y734" i="14814"/>
  <c r="Z622" i="14814"/>
  <c r="W678" i="14814"/>
  <c r="W775" i="14814"/>
  <c r="W792" i="14814"/>
  <c r="X958" i="14814"/>
  <c r="AA734" i="14814"/>
  <c r="Z825" i="14814"/>
  <c r="AA792" i="14814"/>
  <c r="Y742" i="14814"/>
  <c r="AA834" i="14814"/>
  <c r="W776" i="14814"/>
  <c r="Z895" i="14814"/>
  <c r="Z645" i="14814"/>
  <c r="W638" i="14814"/>
  <c r="Y638" i="14814"/>
  <c r="K221" i="14814"/>
  <c r="O221" i="14814" s="1"/>
  <c r="W916" i="14814"/>
  <c r="W937" i="14814"/>
  <c r="X937" i="14814"/>
  <c r="Z616" i="14814"/>
  <c r="Z937" i="14814"/>
  <c r="Y957" i="14814"/>
  <c r="Z888" i="14814"/>
  <c r="W658" i="14814"/>
  <c r="Y803" i="14814"/>
  <c r="AA680" i="14814"/>
  <c r="X889" i="14814"/>
  <c r="Z749" i="14814"/>
  <c r="Y735" i="14814"/>
  <c r="Z894" i="14814"/>
  <c r="AA793" i="14814"/>
  <c r="AA652" i="14814"/>
  <c r="X904" i="14814"/>
  <c r="Y965" i="14814"/>
  <c r="AA925" i="14814"/>
  <c r="Y811" i="14814"/>
  <c r="Y743" i="14814"/>
  <c r="AA918" i="14814"/>
  <c r="AA786" i="14814"/>
  <c r="X800" i="14814"/>
  <c r="X804" i="14814"/>
  <c r="W736" i="14814"/>
  <c r="W650" i="14814"/>
  <c r="W894" i="14814"/>
  <c r="Z742" i="14814"/>
  <c r="X622" i="14814"/>
  <c r="W762" i="14814"/>
  <c r="Y629" i="14814"/>
  <c r="Y782" i="14814"/>
  <c r="X673" i="14814"/>
  <c r="AA813" i="14814"/>
  <c r="Z652" i="14814"/>
  <c r="X902" i="14814"/>
  <c r="X832" i="14814"/>
  <c r="Z919" i="14814"/>
  <c r="Y778" i="14814"/>
  <c r="X757" i="14814"/>
  <c r="Z804" i="14814"/>
  <c r="X650" i="14814"/>
  <c r="X629" i="14814"/>
  <c r="X919" i="14814"/>
  <c r="Y758" i="14814"/>
  <c r="Z638" i="14814"/>
  <c r="W783" i="14814"/>
  <c r="W742" i="14814"/>
  <c r="X792" i="14814"/>
  <c r="AA782" i="14814"/>
  <c r="W631" i="14814"/>
  <c r="W825" i="14814"/>
  <c r="X912" i="14814"/>
  <c r="AA673" i="14814"/>
  <c r="Y922" i="14814"/>
  <c r="Z699" i="14814"/>
  <c r="AA764" i="14814"/>
  <c r="W958" i="14814"/>
  <c r="Y911" i="14814"/>
  <c r="Z812" i="14814"/>
  <c r="X812" i="14814"/>
  <c r="X742" i="14814"/>
  <c r="AA894" i="14814"/>
  <c r="AA622" i="14814"/>
  <c r="Z821" i="14814"/>
  <c r="L514" i="14814"/>
  <c r="X798" i="14814"/>
  <c r="Y905" i="14814"/>
  <c r="Z905" i="14814"/>
  <c r="AA818" i="14814"/>
  <c r="Y791" i="14814"/>
  <c r="X779" i="14814"/>
  <c r="Y719" i="14814"/>
  <c r="Y798" i="14814"/>
  <c r="AA616" i="14814"/>
  <c r="Y768" i="14814"/>
  <c r="AA905" i="14814"/>
  <c r="X950" i="14814"/>
  <c r="Y807" i="14814"/>
  <c r="Z966" i="14814"/>
  <c r="AA903" i="14814"/>
  <c r="Z832" i="14814"/>
  <c r="Z720" i="14814"/>
  <c r="Y793" i="14814"/>
  <c r="AA789" i="14814"/>
  <c r="Z903" i="14814"/>
  <c r="Z763" i="14814"/>
  <c r="X771" i="14814"/>
  <c r="Z818" i="14814"/>
  <c r="W757" i="14814"/>
  <c r="X925" i="14814"/>
  <c r="X896" i="14814"/>
  <c r="Y624" i="14814"/>
  <c r="X810" i="14814"/>
  <c r="Y933" i="14814"/>
  <c r="W818" i="14814"/>
  <c r="X965" i="14814"/>
  <c r="Z848" i="14814"/>
  <c r="Y736" i="14814"/>
  <c r="AA624" i="14814"/>
  <c r="AA810" i="14814"/>
  <c r="Y680" i="14814"/>
  <c r="AA755" i="14814"/>
  <c r="X783" i="14814"/>
  <c r="Z819" i="14814"/>
  <c r="Y973" i="14814"/>
  <c r="Z617" i="14814"/>
  <c r="W804" i="14814"/>
  <c r="X894" i="14814"/>
  <c r="X645" i="14814"/>
  <c r="Y792" i="14814"/>
  <c r="Z673" i="14814"/>
  <c r="W758" i="14814"/>
  <c r="Y887" i="14814"/>
  <c r="W763" i="14814"/>
  <c r="Y916" i="14814"/>
  <c r="AA638" i="14814"/>
  <c r="AA699" i="14814"/>
  <c r="Z658" i="14814"/>
  <c r="Y617" i="14814"/>
  <c r="Z933" i="14814"/>
  <c r="X916" i="14814"/>
  <c r="W699" i="14814"/>
  <c r="Z957" i="14814"/>
  <c r="Z799" i="14814"/>
  <c r="Y657" i="14814"/>
  <c r="X764" i="14814"/>
  <c r="Y775" i="14814"/>
  <c r="X825" i="14814"/>
  <c r="W912" i="14814"/>
  <c r="Y652" i="14814"/>
  <c r="W784" i="14814"/>
  <c r="AA957" i="14814"/>
  <c r="X680" i="14814"/>
  <c r="X659" i="14814"/>
  <c r="X839" i="14814"/>
  <c r="W770" i="14814"/>
  <c r="X945" i="14814"/>
  <c r="X910" i="14814"/>
  <c r="W842" i="14814"/>
  <c r="Z898" i="14814"/>
  <c r="W722" i="14814"/>
  <c r="AA937" i="14814"/>
  <c r="Y749" i="14814"/>
  <c r="Y831" i="14814"/>
  <c r="AA741" i="14814"/>
  <c r="Z973" i="14814"/>
  <c r="X799" i="14814"/>
  <c r="AA775" i="14814"/>
  <c r="Y910" i="14814"/>
  <c r="X615" i="14814"/>
  <c r="Y945" i="14814"/>
  <c r="Z629" i="14814"/>
  <c r="Y902" i="14814"/>
  <c r="AA832" i="14814"/>
  <c r="AA754" i="14814"/>
  <c r="Y631" i="14814"/>
  <c r="AA790" i="14814"/>
  <c r="X652" i="14814"/>
  <c r="Y903" i="14814"/>
  <c r="Z811" i="14814"/>
  <c r="Z743" i="14814"/>
  <c r="X775" i="14814"/>
  <c r="X911" i="14814"/>
  <c r="X790" i="14814"/>
  <c r="AA615" i="14814"/>
  <c r="AA896" i="14814"/>
  <c r="W743" i="14814"/>
  <c r="Z775" i="14814"/>
  <c r="X957" i="14814"/>
  <c r="Y796" i="14814"/>
  <c r="W749" i="14814"/>
  <c r="Y755" i="14814"/>
  <c r="Y974" i="14814"/>
  <c r="X820" i="14814"/>
  <c r="X903" i="14814"/>
  <c r="W810" i="14814"/>
  <c r="W622" i="14814"/>
  <c r="X638" i="14814"/>
  <c r="AA916" i="14814"/>
  <c r="Z624" i="14814"/>
  <c r="W645" i="14814"/>
  <c r="Y673" i="14814"/>
  <c r="AA933" i="14814"/>
  <c r="X887" i="14814"/>
  <c r="X785" i="14814"/>
  <c r="Z925" i="14814"/>
  <c r="AA797" i="14814"/>
  <c r="W911" i="14814"/>
  <c r="AA887" i="14814"/>
  <c r="Y785" i="14814"/>
  <c r="Z817" i="14814"/>
  <c r="X776" i="14814"/>
  <c r="X699" i="14814"/>
  <c r="AA757" i="14814"/>
  <c r="W862" i="14814"/>
  <c r="X922" i="14814"/>
  <c r="Y821" i="14814"/>
  <c r="AA645" i="14814"/>
  <c r="L490" i="14814"/>
  <c r="Z911" i="14814"/>
  <c r="X665" i="14814"/>
  <c r="W839" i="14814"/>
  <c r="Y779" i="14814"/>
  <c r="Y889" i="14814"/>
  <c r="W855" i="14814"/>
  <c r="Y708" i="14814"/>
  <c r="W813" i="14814"/>
  <c r="W791" i="14814"/>
  <c r="W664" i="14814"/>
  <c r="Z952" i="14814"/>
  <c r="X715" i="14814"/>
  <c r="Z793" i="14814"/>
  <c r="Z910" i="14814"/>
  <c r="AA800" i="14814"/>
  <c r="W796" i="14814"/>
  <c r="Y650" i="14814"/>
  <c r="Z722" i="14814"/>
  <c r="Z839" i="14814"/>
  <c r="AA952" i="14814"/>
  <c r="Z772" i="14814"/>
  <c r="X750" i="14814"/>
  <c r="X973" i="14814"/>
  <c r="W799" i="14814"/>
  <c r="AA742" i="14814"/>
  <c r="W945" i="14814"/>
  <c r="W755" i="14814"/>
  <c r="AA902" i="14814"/>
  <c r="AA763" i="14814"/>
  <c r="W820" i="14814"/>
  <c r="AA862" i="14814"/>
  <c r="W657" i="14814"/>
  <c r="W905" i="14814"/>
  <c r="W789" i="14814"/>
  <c r="AA735" i="14814"/>
  <c r="AA811" i="14814"/>
  <c r="Z820" i="14814"/>
  <c r="AA677" i="14814"/>
  <c r="Z762" i="14814"/>
  <c r="X782" i="14814"/>
  <c r="W673" i="14814"/>
  <c r="Z807" i="14814"/>
  <c r="AA629" i="14814"/>
  <c r="X736" i="14814"/>
  <c r="X754" i="14814"/>
  <c r="AA796" i="14814"/>
  <c r="X862" i="14814"/>
  <c r="Z922" i="14814"/>
  <c r="X657" i="14814"/>
  <c r="Z734" i="14814"/>
  <c r="AA617" i="14814"/>
  <c r="AA911" i="14814"/>
  <c r="X765" i="14814"/>
  <c r="Z912" i="14814"/>
  <c r="AA807" i="14814"/>
  <c r="X817" i="14814"/>
  <c r="AA657" i="14814"/>
  <c r="W834" i="14814"/>
  <c r="Y912" i="14814"/>
  <c r="X821" i="14814"/>
  <c r="Y825" i="14814"/>
  <c r="Z650" i="14814"/>
  <c r="J86" i="14814"/>
  <c r="J62" i="14814" s="1"/>
  <c r="AB940" i="14814" s="1"/>
  <c r="Z880" i="14814"/>
  <c r="X705" i="14814"/>
  <c r="AA897" i="14814"/>
  <c r="AA944" i="14814"/>
  <c r="W778" i="14814"/>
  <c r="W807" i="14814"/>
  <c r="AA888" i="14814"/>
  <c r="W790" i="14814"/>
  <c r="Y772" i="14814"/>
  <c r="X966" i="14814"/>
  <c r="Z847" i="14814"/>
  <c r="X623" i="14814"/>
  <c r="X677" i="14814"/>
  <c r="X797" i="14814"/>
  <c r="Y757" i="14814"/>
  <c r="Y751" i="14814"/>
  <c r="W944" i="14814"/>
  <c r="W751" i="14814"/>
  <c r="AA910" i="14814"/>
  <c r="AA650" i="14814"/>
  <c r="W917" i="14814"/>
  <c r="W933" i="14814"/>
  <c r="Z950" i="14814"/>
  <c r="W629" i="14814"/>
  <c r="W973" i="14814"/>
  <c r="Y958" i="14814"/>
  <c r="W754" i="14814"/>
  <c r="Y918" i="14814"/>
  <c r="AA776" i="14814"/>
  <c r="X813" i="14814"/>
  <c r="X763" i="14814"/>
  <c r="Y754" i="14814"/>
  <c r="Y937" i="14814"/>
  <c r="AA744" i="14814"/>
  <c r="W848" i="14814"/>
  <c r="AA974" i="14814"/>
  <c r="X770" i="14814"/>
  <c r="Y741" i="14814"/>
  <c r="Y750" i="14814"/>
  <c r="Z896" i="14814"/>
  <c r="AA917" i="14814"/>
  <c r="W918" i="14814"/>
  <c r="AA912" i="14814"/>
  <c r="Y622" i="14814"/>
  <c r="Z918" i="14814"/>
  <c r="Y810" i="14814"/>
  <c r="Z657" i="14814"/>
  <c r="Z834" i="14814"/>
  <c r="W821" i="14814"/>
  <c r="X933" i="14814"/>
  <c r="AA848" i="14814"/>
  <c r="Z810" i="14814"/>
  <c r="Y776" i="14814"/>
  <c r="AA812" i="14814"/>
  <c r="AA785" i="14814"/>
  <c r="Z897" i="14814"/>
  <c r="W895" i="14814"/>
  <c r="AA922" i="14814"/>
  <c r="W817" i="14814"/>
  <c r="AA973" i="14814"/>
  <c r="W966" i="14814"/>
  <c r="AA765" i="14814"/>
  <c r="Z785" i="14814"/>
  <c r="Y678" i="14814"/>
  <c r="Y925" i="14814"/>
  <c r="S900" i="14814"/>
  <c r="S844" i="14814"/>
  <c r="S689" i="14814"/>
  <c r="S843" i="14814"/>
  <c r="S711" i="14814"/>
  <c r="S788" i="14814"/>
  <c r="S956" i="14814"/>
  <c r="S921" i="14814"/>
  <c r="S731" i="14814"/>
  <c r="S662" i="14814"/>
  <c r="S823" i="14814"/>
  <c r="S927" i="14814"/>
  <c r="S830" i="14814"/>
  <c r="S969" i="14814"/>
  <c r="S914" i="14814"/>
  <c r="S872" i="14814"/>
  <c r="S620" i="14814"/>
  <c r="S851" i="14814"/>
  <c r="S795" i="14814"/>
  <c r="S907" i="14814"/>
  <c r="S732" i="14814"/>
  <c r="S780" i="14814"/>
  <c r="S920" i="14814"/>
  <c r="S655" i="14814"/>
  <c r="S669" i="14814"/>
  <c r="S802" i="14814"/>
  <c r="S928" i="14814"/>
  <c r="S955" i="14814"/>
  <c r="S627" i="14814"/>
  <c r="S703" i="14814"/>
  <c r="S970" i="14814"/>
  <c r="S745" i="14814"/>
  <c r="S697" i="14814"/>
  <c r="S871" i="14814"/>
  <c r="S899" i="14814"/>
  <c r="S766" i="14814"/>
  <c r="S857" i="14814"/>
  <c r="S633" i="14814"/>
  <c r="S913" i="14814"/>
  <c r="S746" i="14814"/>
  <c r="S941" i="14814"/>
  <c r="S836" i="14814"/>
  <c r="S942" i="14814"/>
  <c r="S829" i="14814"/>
  <c r="S676" i="14814"/>
  <c r="S654" i="14814"/>
  <c r="S865" i="14814"/>
  <c r="S668" i="14814"/>
  <c r="S690" i="14814"/>
  <c r="S787" i="14814"/>
  <c r="S801" i="14814"/>
  <c r="S906" i="14814"/>
  <c r="S816" i="14814"/>
  <c r="K539" i="14814"/>
  <c r="S878" i="14814"/>
  <c r="S948" i="14814"/>
  <c r="S710" i="14814"/>
  <c r="S619" i="14814"/>
  <c r="S647" i="14814"/>
  <c r="S675" i="14814"/>
  <c r="S879" i="14814"/>
  <c r="S850" i="14814"/>
  <c r="S752" i="14814"/>
  <c r="S864" i="14814"/>
  <c r="S760" i="14814"/>
  <c r="S767" i="14814"/>
  <c r="S773" i="14814"/>
  <c r="K515" i="14814"/>
  <c r="S724" i="14814"/>
  <c r="S976" i="14814"/>
  <c r="S892" i="14814"/>
  <c r="S704" i="14814"/>
  <c r="S640" i="14814"/>
  <c r="S808" i="14814"/>
  <c r="S963" i="14814"/>
  <c r="S661" i="14814"/>
  <c r="S809" i="14814"/>
  <c r="S885" i="14814"/>
  <c r="S815" i="14814"/>
  <c r="S683" i="14814"/>
  <c r="S738" i="14814"/>
  <c r="S949" i="14814"/>
  <c r="S648" i="14814"/>
  <c r="S612" i="14814"/>
  <c r="S634" i="14814"/>
  <c r="S682" i="14814"/>
  <c r="S934" i="14814"/>
  <c r="S893" i="14814"/>
  <c r="S759" i="14814"/>
  <c r="S739" i="14814"/>
  <c r="S718" i="14814"/>
  <c r="S774" i="14814"/>
  <c r="S717" i="14814"/>
  <c r="S781" i="14814"/>
  <c r="S858" i="14814"/>
  <c r="S837" i="14814"/>
  <c r="S626" i="14814"/>
  <c r="S696" i="14814"/>
  <c r="S641" i="14814"/>
  <c r="S794" i="14814"/>
  <c r="S935" i="14814"/>
  <c r="S613" i="14814"/>
  <c r="S962" i="14814"/>
  <c r="S753" i="14814"/>
  <c r="S725" i="14814"/>
  <c r="S822" i="14814"/>
  <c r="S886" i="14814"/>
  <c r="S876" i="14814"/>
  <c r="S881" i="14814"/>
  <c r="S908" i="14814"/>
  <c r="S716" i="14814"/>
  <c r="S618" i="14814"/>
  <c r="S621" i="14814"/>
  <c r="S867" i="14814"/>
  <c r="S728" i="14814"/>
  <c r="H63" i="14814"/>
  <c r="S672" i="14814"/>
  <c r="S940" i="14814"/>
  <c r="S625" i="14814"/>
  <c r="S890" i="14814"/>
  <c r="S960" i="14814"/>
  <c r="S951" i="14814"/>
  <c r="S975" i="14814"/>
  <c r="S709" i="14814"/>
  <c r="S952" i="14814"/>
  <c r="S694" i="14814"/>
  <c r="S945" i="14814"/>
  <c r="S674" i="14814"/>
  <c r="S807" i="14814"/>
  <c r="S846" i="14814"/>
  <c r="S953" i="14814"/>
  <c r="S667" i="14814"/>
  <c r="S744" i="14814"/>
  <c r="S873" i="14814"/>
  <c r="S835" i="14814"/>
  <c r="S770" i="14814"/>
  <c r="S819" i="14814"/>
  <c r="S800" i="14814"/>
  <c r="S734" i="14814"/>
  <c r="S958" i="14814"/>
  <c r="S679" i="14814"/>
  <c r="S943" i="14814"/>
  <c r="S673" i="14814"/>
  <c r="S922" i="14814"/>
  <c r="S631" i="14814"/>
  <c r="S743" i="14814"/>
  <c r="S785" i="14814"/>
  <c r="S771" i="14814"/>
  <c r="S685" i="14814"/>
  <c r="S827" i="14814"/>
  <c r="S870" i="14814"/>
  <c r="S730" i="14814"/>
  <c r="S623" i="14814"/>
  <c r="S882" i="14814"/>
  <c r="S877" i="14814"/>
  <c r="S826" i="14814"/>
  <c r="S888" i="14814"/>
  <c r="S733" i="14814"/>
  <c r="S693" i="14814"/>
  <c r="S813" i="14814"/>
  <c r="S636" i="14814"/>
  <c r="S643" i="14814"/>
  <c r="S971" i="14814"/>
  <c r="S959" i="14814"/>
  <c r="S751" i="14814"/>
  <c r="S889" i="14814"/>
  <c r="S828" i="14814"/>
  <c r="S698" i="14814"/>
  <c r="S818" i="14814"/>
  <c r="S925" i="14814"/>
  <c r="S755" i="14814"/>
  <c r="S891" i="14814"/>
  <c r="S799" i="14814"/>
  <c r="S791" i="14814"/>
  <c r="S966" i="14814"/>
  <c r="S894" i="14814"/>
  <c r="S678" i="14814"/>
  <c r="S912" i="14814"/>
  <c r="S742" i="14814"/>
  <c r="S638" i="14814"/>
  <c r="S726" i="14814"/>
  <c r="S756" i="14814"/>
  <c r="S635" i="14814"/>
  <c r="S898" i="14814"/>
  <c r="S874" i="14814"/>
  <c r="S947" i="14814"/>
  <c r="S721" i="14814"/>
  <c r="S845" i="14814"/>
  <c r="S687" i="14814"/>
  <c r="S833" i="14814"/>
  <c r="S719" i="14814"/>
  <c r="S722" i="14814"/>
  <c r="S938" i="14814"/>
  <c r="S968" i="14814"/>
  <c r="S677" i="14814"/>
  <c r="S946" i="14814"/>
  <c r="S768" i="14814"/>
  <c r="S932" i="14814"/>
  <c r="S692" i="14814"/>
  <c r="S924" i="14814"/>
  <c r="S659" i="14814"/>
  <c r="S896" i="14814"/>
  <c r="S705" i="14814"/>
  <c r="S706" i="14814"/>
  <c r="S617" i="14814"/>
  <c r="S965" i="14814"/>
  <c r="S903" i="14814"/>
  <c r="S880" i="14814"/>
  <c r="S646" i="14814"/>
  <c r="S911" i="14814"/>
  <c r="S765" i="14814"/>
  <c r="S860" i="14814"/>
  <c r="S702" i="14814"/>
  <c r="S930" i="14814"/>
  <c r="S761" i="14814"/>
  <c r="S847" i="14814"/>
  <c r="S769" i="14814"/>
  <c r="S784" i="14814"/>
  <c r="S824" i="14814"/>
  <c r="S786" i="14814"/>
  <c r="S632" i="14814"/>
  <c r="S855" i="14814"/>
  <c r="G62" i="14814"/>
  <c r="S723" i="14814"/>
  <c r="S642" i="14814"/>
  <c r="S797" i="14814"/>
  <c r="S869" i="14814"/>
  <c r="S841" i="14814"/>
  <c r="S727" i="14814"/>
  <c r="S660" i="14814"/>
  <c r="S929" i="14814"/>
  <c r="S720" i="14814"/>
  <c r="S783" i="14814"/>
  <c r="S852" i="14814"/>
  <c r="S772" i="14814"/>
  <c r="S803" i="14814"/>
  <c r="S757" i="14814"/>
  <c r="S902" i="14814"/>
  <c r="S657" i="14814"/>
  <c r="S629" i="14814"/>
  <c r="S917" i="14814"/>
  <c r="S821" i="14814"/>
  <c r="S832" i="14814"/>
  <c r="S838" i="14814"/>
  <c r="S651" i="14814"/>
  <c r="S713" i="14814"/>
  <c r="S644" i="14814"/>
  <c r="S748" i="14814"/>
  <c r="S954" i="14814"/>
  <c r="S737" i="14814"/>
  <c r="S708" i="14814"/>
  <c r="S684" i="14814"/>
  <c r="S937" i="14814"/>
  <c r="S777" i="14814"/>
  <c r="S842" i="14814"/>
  <c r="S854" i="14814"/>
  <c r="S926" i="14814"/>
  <c r="S639" i="14814"/>
  <c r="S904" i="14814"/>
  <c r="S849" i="14814"/>
  <c r="S714" i="14814"/>
  <c r="S884" i="14814"/>
  <c r="S944" i="14814"/>
  <c r="S624" i="14814"/>
  <c r="S715" i="14814"/>
  <c r="S839" i="14814"/>
  <c r="S750" i="14814"/>
  <c r="S615" i="14814"/>
  <c r="S796" i="14814"/>
  <c r="S776" i="14814"/>
  <c r="S820" i="14814"/>
  <c r="S758" i="14814"/>
  <c r="S834" i="14814"/>
  <c r="S933" i="14814"/>
  <c r="S712" i="14814"/>
  <c r="S861" i="14814"/>
  <c r="S670" i="14814"/>
  <c r="S616" i="14814"/>
  <c r="S700" i="14814"/>
  <c r="S853" i="14814"/>
  <c r="S901" i="14814"/>
  <c r="S680" i="14814"/>
  <c r="S653" i="14814"/>
  <c r="S790" i="14814"/>
  <c r="S665" i="14814"/>
  <c r="S630" i="14814"/>
  <c r="S875" i="14814"/>
  <c r="S749" i="14814"/>
  <c r="S814" i="14814"/>
  <c r="S905" i="14814"/>
  <c r="S664" i="14814"/>
  <c r="S707" i="14814"/>
  <c r="S747" i="14814"/>
  <c r="S831" i="14814"/>
  <c r="S895" i="14814"/>
  <c r="S652" i="14814"/>
  <c r="S741" i="14814"/>
  <c r="S804" i="14814"/>
  <c r="S735" i="14814"/>
  <c r="S736" i="14814"/>
  <c r="S666" i="14814"/>
  <c r="S919" i="14814"/>
  <c r="S645" i="14814"/>
  <c r="S806" i="14814"/>
  <c r="S887" i="14814"/>
  <c r="S883" i="14814"/>
  <c r="S805" i="14814"/>
  <c r="S628" i="14814"/>
  <c r="S614" i="14814"/>
  <c r="S798" i="14814"/>
  <c r="S691" i="14814"/>
  <c r="S923" i="14814"/>
  <c r="S863" i="14814"/>
  <c r="S950" i="14814"/>
  <c r="S961" i="14814"/>
  <c r="S793" i="14814"/>
  <c r="S909" i="14814"/>
  <c r="S897" i="14814"/>
  <c r="S939" i="14814"/>
  <c r="S910" i="14814"/>
  <c r="S915" i="14814"/>
  <c r="S778" i="14814"/>
  <c r="S695" i="14814"/>
  <c r="S729" i="14814"/>
  <c r="S740" i="14814"/>
  <c r="S637" i="14814"/>
  <c r="S817" i="14814"/>
  <c r="S782" i="14814"/>
  <c r="S789" i="14814"/>
  <c r="S973" i="14814"/>
  <c r="S650" i="14814"/>
  <c r="S811" i="14814"/>
  <c r="S792" i="14814"/>
  <c r="S810" i="14814"/>
  <c r="S825" i="14814"/>
  <c r="S862" i="14814"/>
  <c r="S812" i="14814"/>
  <c r="S649" i="14814"/>
  <c r="S964" i="14814"/>
  <c r="S967" i="14814"/>
  <c r="S656" i="14814"/>
  <c r="S686" i="14814"/>
  <c r="S671" i="14814"/>
  <c r="S663" i="14814"/>
  <c r="S972" i="14814"/>
  <c r="S658" i="14814"/>
  <c r="S859" i="14814"/>
  <c r="S779" i="14814"/>
  <c r="S868" i="14814"/>
  <c r="S957" i="14814"/>
  <c r="S701" i="14814"/>
  <c r="S866" i="14814"/>
  <c r="S840" i="14814"/>
  <c r="S762" i="14814"/>
  <c r="S688" i="14814"/>
  <c r="S931" i="14814"/>
  <c r="S681" i="14814"/>
  <c r="S936" i="14814"/>
  <c r="S856" i="14814"/>
  <c r="S775" i="14814"/>
  <c r="S848" i="14814"/>
  <c r="S974" i="14814"/>
  <c r="S754" i="14814"/>
  <c r="S763" i="14814"/>
  <c r="S699" i="14814"/>
  <c r="S916" i="14814"/>
  <c r="S918" i="14814"/>
  <c r="S622" i="14814"/>
  <c r="S764" i="14814"/>
  <c r="K419" i="14814"/>
  <c r="K443" i="14814"/>
  <c r="K395" i="14814"/>
  <c r="K467" i="14814"/>
  <c r="K491" i="14814"/>
  <c r="K158" i="14814"/>
  <c r="O158" i="14814" s="1"/>
  <c r="D224" i="14814"/>
  <c r="D223" i="14814"/>
  <c r="C183" i="14814"/>
  <c r="C184" i="14814"/>
  <c r="D301" i="14814"/>
  <c r="C305" i="14814"/>
  <c r="C304" i="14814"/>
  <c r="C303" i="14814"/>
  <c r="L633" i="14814"/>
  <c r="L668" i="14814"/>
  <c r="L787" i="14814"/>
  <c r="L836" i="14814"/>
  <c r="L816" i="14814"/>
  <c r="L773" i="14814"/>
  <c r="L697" i="14814"/>
  <c r="L907" i="14814"/>
  <c r="L766" i="14814"/>
  <c r="L913" i="14814"/>
  <c r="L739" i="14814"/>
  <c r="L759" i="14814"/>
  <c r="L683" i="14814"/>
  <c r="L689" i="14814"/>
  <c r="L857" i="14814"/>
  <c r="L752" i="14814"/>
  <c r="L704" i="14814"/>
  <c r="L760" i="14814"/>
  <c r="L703" i="14814"/>
  <c r="L675" i="14814"/>
  <c r="L949" i="14814"/>
  <c r="L676" i="14814"/>
  <c r="L927" i="14814"/>
  <c r="L837" i="14814"/>
  <c r="L872" i="14814"/>
  <c r="L963" i="14814"/>
  <c r="L962" i="14814"/>
  <c r="L892" i="14814"/>
  <c r="L738" i="14814"/>
  <c r="L899" i="14814"/>
  <c r="L725" i="14814"/>
  <c r="L906" i="14814"/>
  <c r="L815" i="14814"/>
  <c r="L794" i="14814"/>
  <c r="L844" i="14814"/>
  <c r="L802" i="14814"/>
  <c r="L885" i="14814"/>
  <c r="L879" i="14814"/>
  <c r="L767" i="14814"/>
  <c r="L941" i="14814"/>
  <c r="L780" i="14814"/>
  <c r="L619" i="14814"/>
  <c r="L948" i="14814"/>
  <c r="L934" i="14814"/>
  <c r="L718" i="14814"/>
  <c r="L696" i="14814"/>
  <c r="L788" i="14814"/>
  <c r="L627" i="14814"/>
  <c r="L669" i="14814"/>
  <c r="L942" i="14814"/>
  <c r="L900" i="14814"/>
  <c r="L928" i="14814"/>
  <c r="L724" i="14814"/>
  <c r="L647" i="14814"/>
  <c r="L864" i="14814"/>
  <c r="L822" i="14814"/>
  <c r="L829" i="14814"/>
  <c r="L851" i="14814"/>
  <c r="L976" i="14814"/>
  <c r="L801" i="14814"/>
  <c r="L753" i="14814"/>
  <c r="L795" i="14814"/>
  <c r="L732" i="14814"/>
  <c r="L731" i="14814"/>
  <c r="L823" i="14814"/>
  <c r="L612" i="14814"/>
  <c r="L661" i="14814"/>
  <c r="L626" i="14814"/>
  <c r="L920" i="14814"/>
  <c r="L682" i="14814"/>
  <c r="L648" i="14814"/>
  <c r="L710" i="14814"/>
  <c r="L620" i="14814"/>
  <c r="L781" i="14814"/>
  <c r="L970" i="14814"/>
  <c r="L830" i="14814"/>
  <c r="L808" i="14814"/>
  <c r="L865" i="14814"/>
  <c r="L955" i="14814"/>
  <c r="L878" i="14814"/>
  <c r="L654" i="14814"/>
  <c r="L634" i="14814"/>
  <c r="L843" i="14814"/>
  <c r="L858" i="14814"/>
  <c r="L690" i="14814"/>
  <c r="L655" i="14814"/>
  <c r="L893" i="14814"/>
  <c r="L886" i="14814"/>
  <c r="L717" i="14814"/>
  <c r="L711" i="14814"/>
  <c r="L774" i="14814"/>
  <c r="L871" i="14814"/>
  <c r="L850" i="14814"/>
  <c r="L935" i="14814"/>
  <c r="L745" i="14814"/>
  <c r="L641" i="14814"/>
  <c r="L640" i="14814"/>
  <c r="L662" i="14814"/>
  <c r="L613" i="14814"/>
  <c r="L746" i="14814"/>
  <c r="L914" i="14814"/>
  <c r="L956" i="14814"/>
  <c r="L969" i="14814"/>
  <c r="L921" i="14814"/>
  <c r="L809" i="14814"/>
  <c r="L663" i="14814"/>
  <c r="L700" i="14814"/>
  <c r="L679" i="14814"/>
  <c r="L861" i="14814"/>
  <c r="L653" i="14814"/>
  <c r="L946" i="14814"/>
  <c r="L938" i="14814"/>
  <c r="L701" i="14814"/>
  <c r="L940" i="14814"/>
  <c r="L721" i="14814"/>
  <c r="L740" i="14814"/>
  <c r="L656" i="14814"/>
  <c r="L775" i="14814"/>
  <c r="L966" i="14814"/>
  <c r="L817" i="14814"/>
  <c r="L709" i="14814"/>
  <c r="L706" i="14814"/>
  <c r="L733" i="14814"/>
  <c r="L845" i="14814"/>
  <c r="L866" i="14814"/>
  <c r="L702" i="14814"/>
  <c r="L847" i="14814"/>
  <c r="L813" i="14814"/>
  <c r="L952" i="14814"/>
  <c r="L839" i="14814"/>
  <c r="L755" i="14814"/>
  <c r="L862" i="14814"/>
  <c r="L895" i="14814"/>
  <c r="L673" i="14814"/>
  <c r="L965" i="14814"/>
  <c r="L916" i="14814"/>
  <c r="L659" i="14814"/>
  <c r="L937" i="14814"/>
  <c r="L915" i="14814"/>
  <c r="L901" i="14814"/>
  <c r="L651" i="14814"/>
  <c r="L884" i="14814"/>
  <c r="L719" i="14814"/>
  <c r="L748" i="14814"/>
  <c r="L694" i="14814"/>
  <c r="L665" i="14814"/>
  <c r="L869" i="14814"/>
  <c r="L716" i="14814"/>
  <c r="L628" i="14814"/>
  <c r="L722" i="14814"/>
  <c r="L649" i="14814"/>
  <c r="L674" i="14814"/>
  <c r="L791" i="14814"/>
  <c r="L658" i="14814"/>
  <c r="L923" i="14814"/>
  <c r="L667" i="14814"/>
  <c r="L754" i="14814"/>
  <c r="L929" i="14814"/>
  <c r="L824" i="14814"/>
  <c r="L853" i="14814"/>
  <c r="L957" i="14814"/>
  <c r="L803" i="14814"/>
  <c r="L744" i="14814"/>
  <c r="L786" i="14814"/>
  <c r="L622" i="14814"/>
  <c r="L708" i="14814"/>
  <c r="L820" i="14814"/>
  <c r="L631" i="14814"/>
  <c r="L897" i="14814"/>
  <c r="L770" i="14814"/>
  <c r="L833" i="14814"/>
  <c r="L629" i="14814"/>
  <c r="L643" i="14814"/>
  <c r="L826" i="14814"/>
  <c r="L778" i="14814"/>
  <c r="L828" i="14814"/>
  <c r="L660" i="14814"/>
  <c r="L642" i="14814"/>
  <c r="L625" i="14814"/>
  <c r="L868" i="14814"/>
  <c r="L693" i="14814"/>
  <c r="L863" i="14814"/>
  <c r="L898" i="14814"/>
  <c r="L852" i="14814"/>
  <c r="L623" i="14814"/>
  <c r="L894" i="14814"/>
  <c r="L742" i="14814"/>
  <c r="L846" i="14814"/>
  <c r="L953" i="14814"/>
  <c r="L796" i="14814"/>
  <c r="L723" i="14814"/>
  <c r="L968" i="14814"/>
  <c r="L827" i="14814"/>
  <c r="L671" i="14814"/>
  <c r="L797" i="14814"/>
  <c r="L741" i="14814"/>
  <c r="L764" i="14814"/>
  <c r="L650" i="14814"/>
  <c r="L615" i="14814"/>
  <c r="L720" i="14814"/>
  <c r="L768" i="14814"/>
  <c r="L666" i="14814"/>
  <c r="L751" i="14814"/>
  <c r="L810" i="14814"/>
  <c r="L877" i="14814"/>
  <c r="L811" i="14814"/>
  <c r="L912" i="14814"/>
  <c r="L945" i="14814"/>
  <c r="L756" i="14814"/>
  <c r="L635" i="14814"/>
  <c r="L798" i="14814"/>
  <c r="L784" i="14814"/>
  <c r="L975" i="14814"/>
  <c r="L891" i="14814"/>
  <c r="L954" i="14814"/>
  <c r="L729" i="14814"/>
  <c r="L880" i="14814"/>
  <c r="L735" i="14814"/>
  <c r="L807" i="14814"/>
  <c r="L908" i="14814"/>
  <c r="L761" i="14814"/>
  <c r="L726" i="14814"/>
  <c r="L922" i="14814"/>
  <c r="L840" i="14814"/>
  <c r="L876" i="14814"/>
  <c r="L821" i="14814"/>
  <c r="M76" i="14786"/>
  <c r="L883" i="14814"/>
  <c r="L855" i="14814"/>
  <c r="L841" i="14814"/>
  <c r="L715" i="14814"/>
  <c r="L800" i="14814"/>
  <c r="L749" i="14814"/>
  <c r="L832" i="14814"/>
  <c r="L944" i="14814"/>
  <c r="L933" i="14814"/>
  <c r="L825" i="14814"/>
  <c r="L888" i="14814"/>
  <c r="L743" i="14814"/>
  <c r="L652" i="14814"/>
  <c r="L638" i="14814"/>
  <c r="L905" i="14814"/>
  <c r="L875" i="14814"/>
  <c r="L684" i="14814"/>
  <c r="L856" i="14814"/>
  <c r="L785" i="14814"/>
  <c r="L681" i="14814"/>
  <c r="L870" i="14814"/>
  <c r="L930" i="14814"/>
  <c r="L707" i="14814"/>
  <c r="L814" i="14814"/>
  <c r="L806" i="14814"/>
  <c r="L896" i="14814"/>
  <c r="L685" i="14814"/>
  <c r="L805" i="14814"/>
  <c r="L758" i="14814"/>
  <c r="L936" i="14814"/>
  <c r="L887" i="14814"/>
  <c r="L779" i="14814"/>
  <c r="L967" i="14814"/>
  <c r="L910" i="14814"/>
  <c r="L951" i="14814"/>
  <c r="L636" i="14814"/>
  <c r="L688" i="14814"/>
  <c r="L705" i="14814"/>
  <c r="L644" i="14814"/>
  <c r="L972" i="14814"/>
  <c r="L831" i="14814"/>
  <c r="L639" i="14814"/>
  <c r="L793" i="14814"/>
  <c r="L730" i="14814"/>
  <c r="L860" i="14814"/>
  <c r="L947" i="14814"/>
  <c r="L854" i="14814"/>
  <c r="L974" i="14814"/>
  <c r="L692" i="14814"/>
  <c r="L939" i="14814"/>
  <c r="L959" i="14814"/>
  <c r="L632" i="14814"/>
  <c r="L867" i="14814"/>
  <c r="L812" i="14814"/>
  <c r="L926" i="14814"/>
  <c r="L819" i="14814"/>
  <c r="L804" i="14814"/>
  <c r="L903" i="14814"/>
  <c r="L911" i="14814"/>
  <c r="L792" i="14814"/>
  <c r="L621" i="14814"/>
  <c r="L750" i="14814"/>
  <c r="L617" i="14814"/>
  <c r="L973" i="14814"/>
  <c r="L747" i="14814"/>
  <c r="L835" i="14814"/>
  <c r="L909" i="14814"/>
  <c r="L842" i="14814"/>
  <c r="L737" i="14814"/>
  <c r="L618" i="14814"/>
  <c r="L932" i="14814"/>
  <c r="L616" i="14814"/>
  <c r="L971" i="14814"/>
  <c r="L890" i="14814"/>
  <c r="L904" i="14814"/>
  <c r="L757" i="14814"/>
  <c r="L637" i="14814"/>
  <c r="L727" i="14814"/>
  <c r="L799" i="14814"/>
  <c r="L728" i="14814"/>
  <c r="L881" i="14814"/>
  <c r="L763" i="14814"/>
  <c r="L882" i="14814"/>
  <c r="L960" i="14814"/>
  <c r="L686" i="14814"/>
  <c r="L734" i="14814"/>
  <c r="L790" i="14814"/>
  <c r="L762" i="14814"/>
  <c r="L818" i="14814"/>
  <c r="L624" i="14814"/>
  <c r="L782" i="14814"/>
  <c r="L677" i="14814"/>
  <c r="L925" i="14814"/>
  <c r="L657" i="14814"/>
  <c r="L950" i="14814"/>
  <c r="L918" i="14814"/>
  <c r="L889" i="14814"/>
  <c r="L698" i="14814"/>
  <c r="L848" i="14814"/>
  <c r="L713" i="14814"/>
  <c r="L874" i="14814"/>
  <c r="L776" i="14814"/>
  <c r="L931" i="14814"/>
  <c r="L646" i="14814"/>
  <c r="L849" i="14814"/>
  <c r="L614" i="14814"/>
  <c r="L859" i="14814"/>
  <c r="L630" i="14814"/>
  <c r="L873" i="14814"/>
  <c r="L902" i="14814"/>
  <c r="L769" i="14814"/>
  <c r="L714" i="14814"/>
  <c r="L712" i="14814"/>
  <c r="L695" i="14814"/>
  <c r="L672" i="14814"/>
  <c r="L964" i="14814"/>
  <c r="L777" i="14814"/>
  <c r="L664" i="14814"/>
  <c r="L919" i="14814"/>
  <c r="L772" i="14814"/>
  <c r="L924" i="14814"/>
  <c r="L670" i="14814"/>
  <c r="L943" i="14814"/>
  <c r="L961" i="14814"/>
  <c r="L771" i="14814"/>
  <c r="L691" i="14814"/>
  <c r="L680" i="14814"/>
  <c r="L789" i="14814"/>
  <c r="L917" i="14814"/>
  <c r="L736" i="14814"/>
  <c r="L783" i="14814"/>
  <c r="L834" i="14814"/>
  <c r="L765" i="14814"/>
  <c r="L678" i="14814"/>
  <c r="L958" i="14814"/>
  <c r="L687" i="14814"/>
  <c r="L645" i="14814"/>
  <c r="L838" i="14814"/>
  <c r="L699" i="14814"/>
  <c r="E123" i="14814"/>
  <c r="E124" i="14814"/>
  <c r="J539" i="14814"/>
  <c r="J515" i="14814"/>
  <c r="J491" i="14814"/>
  <c r="J395" i="14814"/>
  <c r="F62" i="14814"/>
  <c r="J467" i="14814"/>
  <c r="J419" i="14814"/>
  <c r="J443" i="14814"/>
  <c r="M52" i="14786"/>
  <c r="E123" i="14842" l="1"/>
  <c r="Y123" i="14842" s="1"/>
  <c r="G155" i="14842"/>
  <c r="K155" i="14842"/>
  <c r="O155" i="14842"/>
  <c r="F155" i="14842"/>
  <c r="L155" i="14842"/>
  <c r="D155" i="14842"/>
  <c r="N155" i="14842"/>
  <c r="H155" i="14842"/>
  <c r="M155" i="14842"/>
  <c r="I155" i="14842"/>
  <c r="J155" i="14842"/>
  <c r="E155" i="14842"/>
  <c r="O98" i="14814"/>
  <c r="F278" i="14814"/>
  <c r="G278" i="14814" s="1"/>
  <c r="N185" i="14842"/>
  <c r="I185" i="14842"/>
  <c r="M123" i="14842"/>
  <c r="AG123" i="14842" s="1"/>
  <c r="F185" i="14842"/>
  <c r="K185" i="14842"/>
  <c r="D123" i="14842"/>
  <c r="X123" i="14842" s="1"/>
  <c r="O93" i="14842"/>
  <c r="G93" i="14842"/>
  <c r="G185" i="14842"/>
  <c r="H93" i="14842"/>
  <c r="I93" i="14842"/>
  <c r="I123" i="14842"/>
  <c r="AC123" i="14842" s="1"/>
  <c r="K123" i="14842"/>
  <c r="AE123" i="14842" s="1"/>
  <c r="J93" i="14842"/>
  <c r="O123" i="14842"/>
  <c r="AI123" i="14842" s="1"/>
  <c r="G123" i="14842"/>
  <c r="AA123" i="14842" s="1"/>
  <c r="K93" i="14842"/>
  <c r="F123" i="14842"/>
  <c r="Z123" i="14842" s="1"/>
  <c r="F93" i="14842"/>
  <c r="M185" i="14842"/>
  <c r="N123" i="14842"/>
  <c r="AH123" i="14842" s="1"/>
  <c r="N93" i="14842"/>
  <c r="E93" i="14842"/>
  <c r="J185" i="14842"/>
  <c r="J123" i="14842"/>
  <c r="AD123" i="14842" s="1"/>
  <c r="M93" i="14842"/>
  <c r="D93" i="14842"/>
  <c r="E185" i="14842"/>
  <c r="H185" i="14842"/>
  <c r="D185" i="14842"/>
  <c r="O185" i="14842"/>
  <c r="H123" i="14842"/>
  <c r="AB123" i="14842" s="1"/>
  <c r="L93" i="14842"/>
  <c r="L123" i="14842"/>
  <c r="AF123" i="14842" s="1"/>
  <c r="L185" i="14842"/>
  <c r="O179" i="14814"/>
  <c r="O159" i="14814"/>
  <c r="O181" i="14814"/>
  <c r="O180" i="14814"/>
  <c r="V611" i="14814"/>
  <c r="AB850" i="14814"/>
  <c r="AB806" i="14814"/>
  <c r="AB896" i="14814"/>
  <c r="AB837" i="14814"/>
  <c r="AB726" i="14814"/>
  <c r="AB789" i="14814"/>
  <c r="AB882" i="14814"/>
  <c r="AB802" i="14814"/>
  <c r="AB879" i="14814"/>
  <c r="AB796" i="14814"/>
  <c r="AB898" i="14814"/>
  <c r="AB660" i="14814"/>
  <c r="AB886" i="14814"/>
  <c r="AB834" i="14814"/>
  <c r="AB871" i="14814"/>
  <c r="AB723" i="14814"/>
  <c r="AB813" i="14814"/>
  <c r="AB942" i="14814"/>
  <c r="AB737" i="14814"/>
  <c r="AB783" i="14814"/>
  <c r="AB874" i="14814"/>
  <c r="AB851" i="14814"/>
  <c r="AB911" i="14814"/>
  <c r="AB630" i="14814"/>
  <c r="AB748" i="14814"/>
  <c r="AB692" i="14814"/>
  <c r="AB730" i="14814"/>
  <c r="AB617" i="14814"/>
  <c r="AB632" i="14814"/>
  <c r="AB962" i="14814"/>
  <c r="AB679" i="14814"/>
  <c r="AB915" i="14814"/>
  <c r="AB761" i="14814"/>
  <c r="AB839" i="14814"/>
  <c r="AB838" i="14814"/>
  <c r="AB784" i="14814"/>
  <c r="AB811" i="14814"/>
  <c r="AB830" i="14814"/>
  <c r="AB641" i="14814"/>
  <c r="AB712" i="14814"/>
  <c r="AB666" i="14814"/>
  <c r="AB848" i="14814"/>
  <c r="AB829" i="14814"/>
  <c r="AB893" i="14814"/>
  <c r="AB683" i="14814"/>
  <c r="AB639" i="14814"/>
  <c r="AB777" i="14814"/>
  <c r="AB746" i="14814"/>
  <c r="AB621" i="14814"/>
  <c r="AB819" i="14814"/>
  <c r="AB736" i="14814"/>
  <c r="AB964" i="14814"/>
  <c r="AB906" i="14814"/>
  <c r="AB910" i="14814"/>
  <c r="AB636" i="14814"/>
  <c r="AB845" i="14814"/>
  <c r="AB758" i="14814"/>
  <c r="AB764" i="14814"/>
  <c r="AB655" i="14814"/>
  <c r="AB927" i="14814"/>
  <c r="AB929" i="14814"/>
  <c r="AB671" i="14814"/>
  <c r="AB936" i="14814"/>
  <c r="AB770" i="14814"/>
  <c r="AB970" i="14814"/>
  <c r="AB951" i="14814"/>
  <c r="AB739" i="14814"/>
  <c r="AB868" i="14814"/>
  <c r="AB759" i="14814"/>
  <c r="AB741" i="14814"/>
  <c r="AB908" i="14814"/>
  <c r="AB961" i="14814"/>
  <c r="AB652" i="14814"/>
  <c r="AB807" i="14814"/>
  <c r="AB724" i="14814"/>
  <c r="AB781" i="14814"/>
  <c r="AB703" i="14814"/>
  <c r="AB860" i="14814"/>
  <c r="AB938" i="14814"/>
  <c r="AB645" i="14814"/>
  <c r="AB635" i="14814"/>
  <c r="AB863" i="14814"/>
  <c r="AB808" i="14814"/>
  <c r="AB699" i="14814"/>
  <c r="AB643" i="14814"/>
  <c r="AB950" i="14814"/>
  <c r="AB769" i="14814"/>
  <c r="AB627" i="14814"/>
  <c r="AB672" i="14814"/>
  <c r="AB869" i="14814"/>
  <c r="AB973" i="14814"/>
  <c r="AB876" i="14814"/>
  <c r="AB849" i="14814"/>
  <c r="AB749" i="14814"/>
  <c r="AB835" i="14814"/>
  <c r="AB711" i="14814"/>
  <c r="AB821" i="14814"/>
  <c r="AB922" i="14814"/>
  <c r="AB928" i="14814"/>
  <c r="AB738" i="14814"/>
  <c r="AB799" i="14814"/>
  <c r="AB691" i="14814"/>
  <c r="AB637" i="14814"/>
  <c r="AB716" i="14814"/>
  <c r="AB865" i="14814"/>
  <c r="AB907" i="14814"/>
  <c r="AB774" i="14814"/>
  <c r="AB803" i="14814"/>
  <c r="AB620" i="14814"/>
  <c r="AB644" i="14814"/>
  <c r="AB649" i="14814"/>
  <c r="AB969" i="14814"/>
  <c r="AB794" i="14814"/>
  <c r="AB731" i="14814"/>
  <c r="AB654" i="14814"/>
  <c r="AB622" i="14814"/>
  <c r="AB775" i="14814"/>
  <c r="AB771" i="14814"/>
  <c r="AB917" i="14814"/>
  <c r="AB901" i="14814"/>
  <c r="AB825" i="14814"/>
  <c r="AB930" i="14814"/>
  <c r="AB701" i="14814"/>
  <c r="AB905" i="14814"/>
  <c r="AB841" i="14814"/>
  <c r="AB662" i="14814"/>
  <c r="AB916" i="14814"/>
  <c r="AB661" i="14814"/>
  <c r="AB747" i="14814"/>
  <c r="AB659" i="14814"/>
  <c r="AB931" i="14814"/>
  <c r="AB948" i="14814"/>
  <c r="AB894" i="14814"/>
  <c r="AB708" i="14814"/>
  <c r="AB685" i="14814"/>
  <c r="AB681" i="14814"/>
  <c r="AB628" i="14814"/>
  <c r="AB795" i="14814"/>
  <c r="AB955" i="14814"/>
  <c r="AB800" i="14814"/>
  <c r="AB810" i="14814"/>
  <c r="AB618" i="14814"/>
  <c r="AB954" i="14814"/>
  <c r="AB903" i="14814"/>
  <c r="AB858" i="14814"/>
  <c r="AB773" i="14814"/>
  <c r="AB870" i="14814"/>
  <c r="AB975" i="14814"/>
  <c r="AB727" i="14814"/>
  <c r="AB751" i="14814"/>
  <c r="AB668" i="14814"/>
  <c r="AB616" i="14814"/>
  <c r="AB782" i="14814"/>
  <c r="AB776" i="14814"/>
  <c r="AB862" i="14814"/>
  <c r="AB801" i="14814"/>
  <c r="AB714" i="14814"/>
  <c r="AB972" i="14814"/>
  <c r="AB949" i="14814"/>
  <c r="AB725" i="14814"/>
  <c r="AB884" i="14814"/>
  <c r="AB732" i="14814"/>
  <c r="AB941" i="14814"/>
  <c r="AB705" i="14814"/>
  <c r="AB680" i="14814"/>
  <c r="AB779" i="14814"/>
  <c r="AB785" i="14814"/>
  <c r="AB798" i="14814"/>
  <c r="AB877" i="14814"/>
  <c r="AB956" i="14814"/>
  <c r="AB952" i="14814"/>
  <c r="AB968" i="14814"/>
  <c r="AB846" i="14814"/>
  <c r="AB698" i="14814"/>
  <c r="AB864" i="14814"/>
  <c r="AB909" i="14814"/>
  <c r="AB684" i="14814"/>
  <c r="AB780" i="14814"/>
  <c r="AB912" i="14814"/>
  <c r="AB958" i="14814"/>
  <c r="AB843" i="14814"/>
  <c r="AB959" i="14814"/>
  <c r="AB754" i="14814"/>
  <c r="AB631" i="14814"/>
  <c r="AB856" i="14814"/>
  <c r="AB624" i="14814"/>
  <c r="AB822" i="14814"/>
  <c r="AB966" i="14814"/>
  <c r="AB670" i="14814"/>
  <c r="AB842" i="14814"/>
  <c r="AB650" i="14814"/>
  <c r="AB695" i="14814"/>
  <c r="AB667" i="14814"/>
  <c r="AB866" i="14814"/>
  <c r="AB690" i="14814"/>
  <c r="AB673" i="14814"/>
  <c r="AB812" i="14814"/>
  <c r="AB755" i="14814"/>
  <c r="AB766" i="14814"/>
  <c r="AB953" i="14814"/>
  <c r="AB707" i="14814"/>
  <c r="AB919" i="14814"/>
  <c r="AB745" i="14814"/>
  <c r="AB934" i="14814"/>
  <c r="AB792" i="14814"/>
  <c r="AB816" i="14814"/>
  <c r="AB823" i="14814"/>
  <c r="AB797" i="14814"/>
  <c r="AB827" i="14814"/>
  <c r="AB626" i="14814"/>
  <c r="AB646" i="14814"/>
  <c r="AB735" i="14814"/>
  <c r="AB878" i="14814"/>
  <c r="AB840" i="14814"/>
  <c r="AB757" i="14814"/>
  <c r="AB688" i="14814"/>
  <c r="AB913" i="14814"/>
  <c r="AB760" i="14814"/>
  <c r="AB752" i="14814"/>
  <c r="AB832" i="14814"/>
  <c r="AB925" i="14814"/>
  <c r="AB686" i="14814"/>
  <c r="AB664" i="14814"/>
  <c r="AB647" i="14814"/>
  <c r="AB804" i="14814"/>
  <c r="AB853" i="14814"/>
  <c r="AB833" i="14814"/>
  <c r="AB674" i="14814"/>
  <c r="AB836" i="14814"/>
  <c r="AB767" i="14814"/>
  <c r="AB740" i="14814"/>
  <c r="AB944" i="14814"/>
  <c r="AB885" i="14814"/>
  <c r="AB889" i="14814"/>
  <c r="AB904" i="14814"/>
  <c r="AB932" i="14814"/>
  <c r="AB914" i="14814"/>
  <c r="AB676" i="14814"/>
  <c r="AB728" i="14814"/>
  <c r="AB669" i="14814"/>
  <c r="AB818" i="14814"/>
  <c r="AB613" i="14814"/>
  <c r="AB791" i="14814"/>
  <c r="AB787" i="14814"/>
  <c r="AB615" i="14814"/>
  <c r="AB817" i="14814"/>
  <c r="AB778" i="14814"/>
  <c r="AB721" i="14814"/>
  <c r="AB824" i="14814"/>
  <c r="AB762" i="14814"/>
  <c r="AB718" i="14814"/>
  <c r="AB857" i="14814"/>
  <c r="AB682" i="14814"/>
  <c r="AB888" i="14814"/>
  <c r="AB844" i="14814"/>
  <c r="AB633" i="14814"/>
  <c r="AB965" i="14814"/>
  <c r="AB918" i="14814"/>
  <c r="AB883" i="14814"/>
  <c r="AB786" i="14814"/>
  <c r="AB706" i="14814"/>
  <c r="AB717" i="14814"/>
  <c r="AB634" i="14814"/>
  <c r="AB677" i="14814"/>
  <c r="AB656" i="14814"/>
  <c r="AB629" i="14814"/>
  <c r="AB756" i="14814"/>
  <c r="AB653" i="14814"/>
  <c r="AB722" i="14814"/>
  <c r="AB847" i="14814"/>
  <c r="AB854" i="14814"/>
  <c r="AB943" i="14814"/>
  <c r="AB729" i="14814"/>
  <c r="AB892" i="14814"/>
  <c r="AB820" i="14814"/>
  <c r="AB947" i="14814"/>
  <c r="AB733" i="14814"/>
  <c r="AB693" i="14814"/>
  <c r="AB743" i="14814"/>
  <c r="AB719" i="14814"/>
  <c r="AB891" i="14814"/>
  <c r="AB946" i="14814"/>
  <c r="AB612" i="14814"/>
  <c r="AB768" i="14814"/>
  <c r="AB788" i="14814"/>
  <c r="AB694" i="14814"/>
  <c r="AB828" i="14814"/>
  <c r="AB887" i="14814"/>
  <c r="AB696" i="14814"/>
  <c r="AB831" i="14814"/>
  <c r="AB793" i="14814"/>
  <c r="AB614" i="14814"/>
  <c r="AB920" i="14814"/>
  <c r="AB933" i="14814"/>
  <c r="AB880" i="14814"/>
  <c r="AB976" i="14814"/>
  <c r="AB815" i="14814"/>
  <c r="AB765" i="14814"/>
  <c r="AB710" i="14814"/>
  <c r="AB658" i="14814"/>
  <c r="AB657" i="14814"/>
  <c r="AB648" i="14814"/>
  <c r="AB935" i="14814"/>
  <c r="AB753" i="14814"/>
  <c r="AB957" i="14814"/>
  <c r="AB826" i="14814"/>
  <c r="AB809" i="14814"/>
  <c r="AB772" i="14814"/>
  <c r="AB890" i="14814"/>
  <c r="AB625" i="14814"/>
  <c r="AB855" i="14814"/>
  <c r="AB623" i="14814"/>
  <c r="AB967" i="14814"/>
  <c r="AB924" i="14814"/>
  <c r="AB790" i="14814"/>
  <c r="AB720" i="14814"/>
  <c r="AB642" i="14814"/>
  <c r="AB899" i="14814"/>
  <c r="AB805" i="14814"/>
  <c r="AB734" i="14814"/>
  <c r="AB663" i="14814"/>
  <c r="AB852" i="14814"/>
  <c r="AB900" i="14814"/>
  <c r="AB875" i="14814"/>
  <c r="AB709" i="14814"/>
  <c r="AB867" i="14814"/>
  <c r="AB697" i="14814"/>
  <c r="AB960" i="14814"/>
  <c r="AB897" i="14814"/>
  <c r="AB861" i="14814"/>
  <c r="AB689" i="14814"/>
  <c r="AB971" i="14814"/>
  <c r="AB713" i="14814"/>
  <c r="AB926" i="14814"/>
  <c r="AB974" i="14814"/>
  <c r="AB687" i="14814"/>
  <c r="AB750" i="14814"/>
  <c r="AB872" i="14814"/>
  <c r="AB675" i="14814"/>
  <c r="AB763" i="14814"/>
  <c r="AB939" i="14814"/>
  <c r="AB638" i="14814"/>
  <c r="AB651" i="14814"/>
  <c r="AB744" i="14814"/>
  <c r="AB859" i="14814"/>
  <c r="AB895" i="14814"/>
  <c r="AB814" i="14814"/>
  <c r="AB700" i="14814"/>
  <c r="AB665" i="14814"/>
  <c r="AB619" i="14814"/>
  <c r="AB742" i="14814"/>
  <c r="AB881" i="14814"/>
  <c r="AB715" i="14814"/>
  <c r="AB945" i="14814"/>
  <c r="AB963" i="14814"/>
  <c r="AB923" i="14814"/>
  <c r="AB921" i="14814"/>
  <c r="AB937" i="14814"/>
  <c r="AB640" i="14814"/>
  <c r="AB902" i="14814"/>
  <c r="AB704" i="14814"/>
  <c r="AB678" i="14814"/>
  <c r="AB702" i="14814"/>
  <c r="AB873" i="14814"/>
  <c r="H62" i="14814"/>
  <c r="Y611" i="14814"/>
  <c r="AA611" i="14814"/>
  <c r="X611" i="14814"/>
  <c r="G279" i="14814"/>
  <c r="O99" i="14814"/>
  <c r="L611" i="14814"/>
  <c r="M82" i="14852" s="1"/>
  <c r="L301" i="14814"/>
  <c r="D305" i="14814"/>
  <c r="D304" i="14814"/>
  <c r="E301" i="14814"/>
  <c r="U687" i="14814"/>
  <c r="U908" i="14814"/>
  <c r="U884" i="14814"/>
  <c r="U871" i="14814"/>
  <c r="U617" i="14814"/>
  <c r="U749" i="14814"/>
  <c r="U929" i="14814"/>
  <c r="U942" i="14814"/>
  <c r="U626" i="14814"/>
  <c r="U938" i="14814"/>
  <c r="U924" i="14814"/>
  <c r="U673" i="14814"/>
  <c r="U738" i="14814"/>
  <c r="U655" i="14814"/>
  <c r="U710" i="14814"/>
  <c r="U651" i="14814"/>
  <c r="U615" i="14814"/>
  <c r="U768" i="14814"/>
  <c r="U694" i="14814"/>
  <c r="U955" i="14814"/>
  <c r="U681" i="14814"/>
  <c r="U906" i="14814"/>
  <c r="U858" i="14814"/>
  <c r="U792" i="14814"/>
  <c r="U964" i="14814"/>
  <c r="U925" i="14814"/>
  <c r="U708" i="14814"/>
  <c r="U644" i="14814"/>
  <c r="U901" i="14814"/>
  <c r="U859" i="14814"/>
  <c r="U969" i="14814"/>
  <c r="U933" i="14814"/>
  <c r="U948" i="14814"/>
  <c r="U972" i="14814"/>
  <c r="U817" i="14814"/>
  <c r="U742" i="14814"/>
  <c r="U787" i="14814"/>
  <c r="U718" i="14814"/>
  <c r="U661" i="14814"/>
  <c r="U780" i="14814"/>
  <c r="U892" i="14814"/>
  <c r="U804" i="14814"/>
  <c r="U848" i="14814"/>
  <c r="U896" i="14814"/>
  <c r="U898" i="14814"/>
  <c r="U730" i="14814"/>
  <c r="U867" i="14814"/>
  <c r="U747" i="14814"/>
  <c r="U752" i="14814"/>
  <c r="U726" i="14814"/>
  <c r="U895" i="14814"/>
  <c r="U907" i="14814"/>
  <c r="U815" i="14814"/>
  <c r="U778" i="14814"/>
  <c r="U856" i="14814"/>
  <c r="U833" i="14814"/>
  <c r="U699" i="14814"/>
  <c r="U930" i="14814"/>
  <c r="U961" i="14814"/>
  <c r="U794" i="14814"/>
  <c r="U772" i="14814"/>
  <c r="U746" i="14814"/>
  <c r="U899" i="14814"/>
  <c r="U773" i="14814"/>
  <c r="U850" i="14814"/>
  <c r="U847" i="14814"/>
  <c r="U634" i="14814"/>
  <c r="U774" i="14814"/>
  <c r="U781" i="14814"/>
  <c r="U713" i="14814"/>
  <c r="U616" i="14814"/>
  <c r="U878" i="14814"/>
  <c r="U635" i="14814"/>
  <c r="U801" i="14814"/>
  <c r="U887" i="14814"/>
  <c r="U709" i="14814"/>
  <c r="U894" i="14814"/>
  <c r="U854" i="14814"/>
  <c r="U872" i="14814"/>
  <c r="U912" i="14814"/>
  <c r="U842" i="14814"/>
  <c r="U669" i="14814"/>
  <c r="U702" i="14814"/>
  <c r="U954" i="14814"/>
  <c r="U950" i="14814"/>
  <c r="U932" i="14814"/>
  <c r="U720" i="14814"/>
  <c r="U862" i="14814"/>
  <c r="U776" i="14814"/>
  <c r="U945" i="14814"/>
  <c r="U754" i="14814"/>
  <c r="U759" i="14814"/>
  <c r="U928" i="14814"/>
  <c r="U633" i="14814"/>
  <c r="U614" i="14814"/>
  <c r="U653" i="14814"/>
  <c r="U707" i="14814"/>
  <c r="U766" i="14814"/>
  <c r="U657" i="14814"/>
  <c r="U968" i="14814"/>
  <c r="U714" i="14814"/>
  <c r="U715" i="14814"/>
  <c r="U946" i="14814"/>
  <c r="U788" i="14814"/>
  <c r="U641" i="14814"/>
  <c r="U904" i="14814"/>
  <c r="U784" i="14814"/>
  <c r="U914" i="14814"/>
  <c r="U664" i="14814"/>
  <c r="U623" i="14814"/>
  <c r="U628" i="14814"/>
  <c r="U705" i="14814"/>
  <c r="U870" i="14814"/>
  <c r="U963" i="14814"/>
  <c r="U921" i="14814"/>
  <c r="U889" i="14814"/>
  <c r="U846" i="14814"/>
  <c r="U845" i="14814"/>
  <c r="U717" i="14814"/>
  <c r="U724" i="14814"/>
  <c r="U909" i="14814"/>
  <c r="U642" i="14814"/>
  <c r="U917" i="14814"/>
  <c r="U882" i="14814"/>
  <c r="U897" i="14814"/>
  <c r="U835" i="14814"/>
  <c r="U758" i="14814"/>
  <c r="U865" i="14814"/>
  <c r="U813" i="14814"/>
  <c r="U756" i="14814"/>
  <c r="U732" i="14814"/>
  <c r="U741" i="14814"/>
  <c r="U656" i="14814"/>
  <c r="U874" i="14814"/>
  <c r="U935" i="14814"/>
  <c r="U841" i="14814"/>
  <c r="U849" i="14814"/>
  <c r="U885" i="14814"/>
  <c r="U637" i="14814"/>
  <c r="U613" i="14814"/>
  <c r="U976" i="14814"/>
  <c r="U881" i="14814"/>
  <c r="U918" i="14814"/>
  <c r="U672" i="14814"/>
  <c r="U857" i="14814"/>
  <c r="U814" i="14814"/>
  <c r="U683" i="14814"/>
  <c r="U877" i="14814"/>
  <c r="U962" i="14814"/>
  <c r="U670" i="14814"/>
  <c r="U919" i="14814"/>
  <c r="U920" i="14814"/>
  <c r="U737" i="14814"/>
  <c r="U844" i="14814"/>
  <c r="U803" i="14814"/>
  <c r="U832" i="14814"/>
  <c r="U879" i="14814"/>
  <c r="U762" i="14814"/>
  <c r="U763" i="14814"/>
  <c r="U934" i="14814"/>
  <c r="U779" i="14814"/>
  <c r="U750" i="14814"/>
  <c r="U731" i="14814"/>
  <c r="U820" i="14814"/>
  <c r="U819" i="14814"/>
  <c r="U958" i="14814"/>
  <c r="U728" i="14814"/>
  <c r="U910" i="14814"/>
  <c r="U676" i="14814"/>
  <c r="U966" i="14814"/>
  <c r="U822" i="14814"/>
  <c r="U860" i="14814"/>
  <c r="U802" i="14814"/>
  <c r="U821" i="14814"/>
  <c r="U621" i="14814"/>
  <c r="U698" i="14814"/>
  <c r="U612" i="14814"/>
  <c r="U652" i="14814"/>
  <c r="U712" i="14814"/>
  <c r="U831" i="14814"/>
  <c r="U800" i="14814"/>
  <c r="U949" i="14814"/>
  <c r="U727" i="14814"/>
  <c r="U965" i="14814"/>
  <c r="U662" i="14814"/>
  <c r="U827" i="14814"/>
  <c r="U692" i="14814"/>
  <c r="U748" i="14814"/>
  <c r="U740" i="14814"/>
  <c r="U729" i="14814"/>
  <c r="U706" i="14814"/>
  <c r="U753" i="14814"/>
  <c r="U903" i="14814"/>
  <c r="U810" i="14814"/>
  <c r="U830" i="14814"/>
  <c r="U936" i="14814"/>
  <c r="U828" i="14814"/>
  <c r="U805" i="14814"/>
  <c r="U721" i="14814"/>
  <c r="U693" i="14814"/>
  <c r="U624" i="14814"/>
  <c r="U829" i="14814"/>
  <c r="U645" i="14814"/>
  <c r="U722" i="14814"/>
  <c r="U627" i="14814"/>
  <c r="U905" i="14814"/>
  <c r="U646" i="14814"/>
  <c r="U811" i="14814"/>
  <c r="U764" i="14814"/>
  <c r="U791" i="14814"/>
  <c r="U743" i="14814"/>
  <c r="U704" i="14814"/>
  <c r="U660" i="14814"/>
  <c r="U790" i="14814"/>
  <c r="U796" i="14814"/>
  <c r="U618" i="14814"/>
  <c r="U659" i="14814"/>
  <c r="U782" i="14814"/>
  <c r="U900" i="14814"/>
  <c r="U734" i="14814"/>
  <c r="U775" i="14814"/>
  <c r="U723" i="14814"/>
  <c r="U911" i="14814"/>
  <c r="U913" i="14814"/>
  <c r="U619" i="14814"/>
  <c r="U751" i="14814"/>
  <c r="U843" i="14814"/>
  <c r="U807" i="14814"/>
  <c r="U649" i="14814"/>
  <c r="U666" i="14814"/>
  <c r="U951" i="14814"/>
  <c r="U671" i="14814"/>
  <c r="U943" i="14814"/>
  <c r="U679" i="14814"/>
  <c r="U973" i="14814"/>
  <c r="U952" i="14814"/>
  <c r="U736" i="14814"/>
  <c r="U891" i="14814"/>
  <c r="U770" i="14814"/>
  <c r="U668" i="14814"/>
  <c r="U658" i="14814"/>
  <c r="U700" i="14814"/>
  <c r="U696" i="14814"/>
  <c r="U834" i="14814"/>
  <c r="U816" i="14814"/>
  <c r="U975" i="14814"/>
  <c r="U685" i="14814"/>
  <c r="U688" i="14814"/>
  <c r="U864" i="14814"/>
  <c r="U808" i="14814"/>
  <c r="U785" i="14814"/>
  <c r="U678" i="14814"/>
  <c r="U868" i="14814"/>
  <c r="U866" i="14814"/>
  <c r="U876" i="14814"/>
  <c r="U837" i="14814"/>
  <c r="U639" i="14814"/>
  <c r="U818" i="14814"/>
  <c r="U926" i="14814"/>
  <c r="U667" i="14814"/>
  <c r="U922" i="14814"/>
  <c r="U915" i="14814"/>
  <c r="U663" i="14814"/>
  <c r="U795" i="14814"/>
  <c r="U875" i="14814"/>
  <c r="U695" i="14814"/>
  <c r="U716" i="14814"/>
  <c r="U654" i="14814"/>
  <c r="U861" i="14814"/>
  <c r="U812" i="14814"/>
  <c r="U631" i="14814"/>
  <c r="U643" i="14814"/>
  <c r="U783" i="14814"/>
  <c r="U638" i="14814"/>
  <c r="U873" i="14814"/>
  <c r="U853" i="14814"/>
  <c r="U886" i="14814"/>
  <c r="U697" i="14814"/>
  <c r="U953" i="14814"/>
  <c r="U869" i="14814"/>
  <c r="U629" i="14814"/>
  <c r="U967" i="14814"/>
  <c r="U944" i="14814"/>
  <c r="U630" i="14814"/>
  <c r="U941" i="14814"/>
  <c r="U863" i="14814"/>
  <c r="U840" i="14814"/>
  <c r="U739" i="14814"/>
  <c r="U957" i="14814"/>
  <c r="U927" i="14814"/>
  <c r="U956" i="14814"/>
  <c r="U789" i="14814"/>
  <c r="U883" i="14814"/>
  <c r="U689" i="14814"/>
  <c r="U648" i="14814"/>
  <c r="U923" i="14814"/>
  <c r="U971" i="14814"/>
  <c r="U826" i="14814"/>
  <c r="U703" i="14814"/>
  <c r="U725" i="14814"/>
  <c r="U974" i="14814"/>
  <c r="U888" i="14814"/>
  <c r="U767" i="14814"/>
  <c r="U940" i="14814"/>
  <c r="U771" i="14814"/>
  <c r="U806" i="14814"/>
  <c r="U959" i="14814"/>
  <c r="U665" i="14814"/>
  <c r="U939" i="14814"/>
  <c r="U890" i="14814"/>
  <c r="U836" i="14814"/>
  <c r="U852" i="14814"/>
  <c r="U765" i="14814"/>
  <c r="U851" i="14814"/>
  <c r="U620" i="14814"/>
  <c r="U931" i="14814"/>
  <c r="U902" i="14814"/>
  <c r="U650" i="14814"/>
  <c r="U647" i="14814"/>
  <c r="U719" i="14814"/>
  <c r="U684" i="14814"/>
  <c r="U622" i="14814"/>
  <c r="U735" i="14814"/>
  <c r="U675" i="14814"/>
  <c r="U960" i="14814"/>
  <c r="U760" i="14814"/>
  <c r="U777" i="14814"/>
  <c r="U691" i="14814"/>
  <c r="U636" i="14814"/>
  <c r="U809" i="14814"/>
  <c r="U880" i="14814"/>
  <c r="U893" i="14814"/>
  <c r="U824" i="14814"/>
  <c r="U744" i="14814"/>
  <c r="U686" i="14814"/>
  <c r="U823" i="14814"/>
  <c r="U680" i="14814"/>
  <c r="U825" i="14814"/>
  <c r="U947" i="14814"/>
  <c r="U855" i="14814"/>
  <c r="U839" i="14814"/>
  <c r="U632" i="14814"/>
  <c r="U674" i="14814"/>
  <c r="U745" i="14814"/>
  <c r="U682" i="14814"/>
  <c r="U625" i="14814"/>
  <c r="U916" i="14814"/>
  <c r="U761" i="14814"/>
  <c r="U937" i="14814"/>
  <c r="U690" i="14814"/>
  <c r="U799" i="14814"/>
  <c r="U970" i="14814"/>
  <c r="U798" i="14814"/>
  <c r="U793" i="14814"/>
  <c r="U677" i="14814"/>
  <c r="U797" i="14814"/>
  <c r="U769" i="14814"/>
  <c r="U711" i="14814"/>
  <c r="U786" i="14814"/>
  <c r="U755" i="14814"/>
  <c r="U640" i="14814"/>
  <c r="U757" i="14814"/>
  <c r="U733" i="14814"/>
  <c r="U838" i="14814"/>
  <c r="U701" i="14814"/>
  <c r="O120" i="14814"/>
  <c r="G300" i="14814"/>
  <c r="G301" i="14814"/>
  <c r="O121" i="14814"/>
  <c r="G299" i="14814"/>
  <c r="O119" i="14814"/>
  <c r="P744" i="14814"/>
  <c r="P929" i="14814"/>
  <c r="P639" i="14814"/>
  <c r="P891" i="14814"/>
  <c r="P823" i="14814"/>
  <c r="P703" i="14814"/>
  <c r="P947" i="14814"/>
  <c r="P731" i="14814"/>
  <c r="P641" i="14814"/>
  <c r="O724" i="14814"/>
  <c r="R724" i="14814" s="1"/>
  <c r="P918" i="14814"/>
  <c r="O648" i="14814"/>
  <c r="R648" i="14814" s="1"/>
  <c r="O862" i="14814"/>
  <c r="R862" i="14814" s="1"/>
  <c r="O666" i="14814"/>
  <c r="R666" i="14814" s="1"/>
  <c r="O820" i="14814"/>
  <c r="R820" i="14814" s="1"/>
  <c r="O878" i="14814"/>
  <c r="R878" i="14814" s="1"/>
  <c r="P723" i="14814"/>
  <c r="O618" i="14814"/>
  <c r="R618" i="14814" s="1"/>
  <c r="O799" i="14814"/>
  <c r="R799" i="14814" s="1"/>
  <c r="O967" i="14814"/>
  <c r="R967" i="14814" s="1"/>
  <c r="O775" i="14814"/>
  <c r="R775" i="14814" s="1"/>
  <c r="O912" i="14814"/>
  <c r="R912" i="14814" s="1"/>
  <c r="O887" i="14814"/>
  <c r="R887" i="14814" s="1"/>
  <c r="O909" i="14814"/>
  <c r="R909" i="14814" s="1"/>
  <c r="O715" i="14814"/>
  <c r="R715" i="14814" s="1"/>
  <c r="O824" i="14814"/>
  <c r="R824" i="14814" s="1"/>
  <c r="O677" i="14814"/>
  <c r="R677" i="14814" s="1"/>
  <c r="P827" i="14814"/>
  <c r="P776" i="14814"/>
  <c r="O679" i="14814"/>
  <c r="R679" i="14814" s="1"/>
  <c r="P710" i="14814"/>
  <c r="P653" i="14814"/>
  <c r="P886" i="14814"/>
  <c r="P920" i="14814"/>
  <c r="P728" i="14814"/>
  <c r="P961" i="14814"/>
  <c r="P705" i="14814"/>
  <c r="O839" i="14814"/>
  <c r="R839" i="14814" s="1"/>
  <c r="P909" i="14814"/>
  <c r="P680" i="14814"/>
  <c r="P869" i="14814"/>
  <c r="P739" i="14814"/>
  <c r="P792" i="14814"/>
  <c r="O703" i="14814"/>
  <c r="R703" i="14814" s="1"/>
  <c r="O868" i="14814"/>
  <c r="R868" i="14814" s="1"/>
  <c r="P816" i="14814"/>
  <c r="O923" i="14814"/>
  <c r="R923" i="14814" s="1"/>
  <c r="P945" i="14814"/>
  <c r="P840" i="14814"/>
  <c r="O615" i="14814"/>
  <c r="R615" i="14814" s="1"/>
  <c r="O655" i="14814"/>
  <c r="R655" i="14814" s="1"/>
  <c r="P655" i="14814"/>
  <c r="O684" i="14814"/>
  <c r="R684" i="14814" s="1"/>
  <c r="O700" i="14814"/>
  <c r="R700" i="14814" s="1"/>
  <c r="O792" i="14814"/>
  <c r="R792" i="14814" s="1"/>
  <c r="O696" i="14814"/>
  <c r="R696" i="14814" s="1"/>
  <c r="O966" i="14814"/>
  <c r="R966" i="14814" s="1"/>
  <c r="O815" i="14814"/>
  <c r="R815" i="14814" s="1"/>
  <c r="P663" i="14814"/>
  <c r="O856" i="14814"/>
  <c r="R856" i="14814" s="1"/>
  <c r="O634" i="14814"/>
  <c r="R634" i="14814" s="1"/>
  <c r="O975" i="14814"/>
  <c r="R975" i="14814" s="1"/>
  <c r="O948" i="14814"/>
  <c r="R948" i="14814" s="1"/>
  <c r="O749" i="14814"/>
  <c r="R749" i="14814" s="1"/>
  <c r="O676" i="14814"/>
  <c r="R676" i="14814" s="1"/>
  <c r="P933" i="14814"/>
  <c r="O627" i="14814"/>
  <c r="R627" i="14814" s="1"/>
  <c r="P624" i="14814"/>
  <c r="P649" i="14814"/>
  <c r="P861" i="14814"/>
  <c r="P873" i="14814"/>
  <c r="P713" i="14814"/>
  <c r="P845" i="14814"/>
  <c r="O661" i="14814"/>
  <c r="R661" i="14814" s="1"/>
  <c r="O665" i="14814"/>
  <c r="R665" i="14814" s="1"/>
  <c r="O826" i="14814"/>
  <c r="R826" i="14814" s="1"/>
  <c r="O623" i="14814"/>
  <c r="R623" i="14814" s="1"/>
  <c r="O807" i="14814"/>
  <c r="R807" i="14814" s="1"/>
  <c r="O925" i="14814"/>
  <c r="R925" i="14814" s="1"/>
  <c r="O886" i="14814"/>
  <c r="R886" i="14814" s="1"/>
  <c r="O971" i="14814"/>
  <c r="R971" i="14814" s="1"/>
  <c r="O651" i="14814"/>
  <c r="R651" i="14814" s="1"/>
  <c r="O647" i="14814"/>
  <c r="R647" i="14814" s="1"/>
  <c r="O852" i="14814"/>
  <c r="R852" i="14814" s="1"/>
  <c r="O709" i="14814"/>
  <c r="R709" i="14814" s="1"/>
  <c r="P783" i="14814"/>
  <c r="P951" i="14814"/>
  <c r="P685" i="14814"/>
  <c r="P743" i="14814"/>
  <c r="P623" i="14814"/>
  <c r="P919" i="14814"/>
  <c r="P807" i="14814"/>
  <c r="P679" i="14814"/>
  <c r="P851" i="14814"/>
  <c r="O664" i="14814"/>
  <c r="R664" i="14814" s="1"/>
  <c r="P625" i="14814"/>
  <c r="O769" i="14814"/>
  <c r="R769" i="14814" s="1"/>
  <c r="P936" i="14814"/>
  <c r="P924" i="14814"/>
  <c r="P829" i="14814"/>
  <c r="O748" i="14814"/>
  <c r="R748" i="14814" s="1"/>
  <c r="O762" i="14814"/>
  <c r="R762" i="14814" s="1"/>
  <c r="P809" i="14814"/>
  <c r="O829" i="14814"/>
  <c r="R829" i="14814" s="1"/>
  <c r="P943" i="14814"/>
  <c r="P842" i="14814"/>
  <c r="P921" i="14814"/>
  <c r="P790" i="14814"/>
  <c r="P950" i="14814"/>
  <c r="O681" i="14814"/>
  <c r="R681" i="14814" s="1"/>
  <c r="P828" i="14814"/>
  <c r="P701" i="14814"/>
  <c r="P652" i="14814"/>
  <c r="O861" i="14814"/>
  <c r="R861" i="14814" s="1"/>
  <c r="P735" i="14814"/>
  <c r="O858" i="14814"/>
  <c r="R858" i="14814" s="1"/>
  <c r="O697" i="14814"/>
  <c r="R697" i="14814" s="1"/>
  <c r="P787" i="14814"/>
  <c r="P955" i="14814"/>
  <c r="P765" i="14814"/>
  <c r="O973" i="14814"/>
  <c r="R973" i="14814" s="1"/>
  <c r="O783" i="14814"/>
  <c r="R783" i="14814" s="1"/>
  <c r="O905" i="14814"/>
  <c r="R905" i="14814" s="1"/>
  <c r="O782" i="14814"/>
  <c r="R782" i="14814" s="1"/>
  <c r="O653" i="14814"/>
  <c r="R653" i="14814" s="1"/>
  <c r="O713" i="14814"/>
  <c r="R713" i="14814" s="1"/>
  <c r="O910" i="14814"/>
  <c r="R910" i="14814" s="1"/>
  <c r="O612" i="14814"/>
  <c r="O750" i="14814"/>
  <c r="R750" i="14814" s="1"/>
  <c r="O662" i="14814"/>
  <c r="R662" i="14814" s="1"/>
  <c r="O616" i="14814"/>
  <c r="R616" i="14814" s="1"/>
  <c r="P670" i="14814"/>
  <c r="P974" i="14814"/>
  <c r="P846" i="14814"/>
  <c r="P890" i="14814"/>
  <c r="P730" i="14814"/>
  <c r="P664" i="14814"/>
  <c r="O735" i="14814"/>
  <c r="R735" i="14814" s="1"/>
  <c r="P690" i="14814"/>
  <c r="P617" i="14814"/>
  <c r="O744" i="14814"/>
  <c r="R744" i="14814" s="1"/>
  <c r="P741" i="14814"/>
  <c r="O855" i="14814"/>
  <c r="R855" i="14814" s="1"/>
  <c r="P802" i="14814"/>
  <c r="O892" i="14814"/>
  <c r="R892" i="14814" s="1"/>
  <c r="O742" i="14814"/>
  <c r="R742" i="14814" s="1"/>
  <c r="O717" i="14814"/>
  <c r="R717" i="14814" s="1"/>
  <c r="O631" i="14814"/>
  <c r="R631" i="14814" s="1"/>
  <c r="P885" i="14814"/>
  <c r="P966" i="14814"/>
  <c r="O849" i="14814"/>
  <c r="R849" i="14814" s="1"/>
  <c r="P759" i="14814"/>
  <c r="O773" i="14814"/>
  <c r="R773" i="14814" s="1"/>
  <c r="O844" i="14814"/>
  <c r="R844" i="14814" s="1"/>
  <c r="O860" i="14814"/>
  <c r="R860" i="14814" s="1"/>
  <c r="O935" i="14814"/>
  <c r="R935" i="14814" s="1"/>
  <c r="O938" i="14814"/>
  <c r="R938" i="14814" s="1"/>
  <c r="O926" i="14814"/>
  <c r="R926" i="14814" s="1"/>
  <c r="O895" i="14814"/>
  <c r="R895" i="14814" s="1"/>
  <c r="P724" i="14814"/>
  <c r="O821" i="14814"/>
  <c r="R821" i="14814" s="1"/>
  <c r="P678" i="14814"/>
  <c r="P935" i="14814"/>
  <c r="P810" i="14814"/>
  <c r="O652" i="14814"/>
  <c r="R652" i="14814" s="1"/>
  <c r="P762" i="14814"/>
  <c r="O784" i="14814"/>
  <c r="R784" i="14814" s="1"/>
  <c r="P778" i="14814"/>
  <c r="O972" i="14814"/>
  <c r="R972" i="14814" s="1"/>
  <c r="O944" i="14814"/>
  <c r="R944" i="14814" s="1"/>
  <c r="P799" i="14814"/>
  <c r="O937" i="14814"/>
  <c r="R937" i="14814" s="1"/>
  <c r="P912" i="14814"/>
  <c r="O830" i="14814"/>
  <c r="R830" i="14814" s="1"/>
  <c r="P847" i="14814"/>
  <c r="P672" i="14814"/>
  <c r="P644" i="14814"/>
  <c r="O640" i="14814"/>
  <c r="R640" i="14814" s="1"/>
  <c r="P674" i="14814"/>
  <c r="O626" i="14814"/>
  <c r="R626" i="14814" s="1"/>
  <c r="O924" i="14814"/>
  <c r="R924" i="14814" s="1"/>
  <c r="O846" i="14814"/>
  <c r="R846" i="14814" s="1"/>
  <c r="O932" i="14814"/>
  <c r="R932" i="14814" s="1"/>
  <c r="P813" i="14814"/>
  <c r="O837" i="14814"/>
  <c r="R837" i="14814" s="1"/>
  <c r="O771" i="14814"/>
  <c r="R771" i="14814" s="1"/>
  <c r="O752" i="14814"/>
  <c r="R752" i="14814" s="1"/>
  <c r="O801" i="14814"/>
  <c r="R801" i="14814" s="1"/>
  <c r="O859" i="14814"/>
  <c r="R859" i="14814" s="1"/>
  <c r="O667" i="14814"/>
  <c r="R667" i="14814" s="1"/>
  <c r="O894" i="14814"/>
  <c r="R894" i="14814" s="1"/>
  <c r="P788" i="14814"/>
  <c r="P801" i="14814"/>
  <c r="P677" i="14814"/>
  <c r="P620" i="14814"/>
  <c r="P853" i="14814"/>
  <c r="P876" i="14814"/>
  <c r="P737" i="14814"/>
  <c r="P647" i="14814"/>
  <c r="P818" i="14814"/>
  <c r="O617" i="14814"/>
  <c r="R617" i="14814" s="1"/>
  <c r="P781" i="14814"/>
  <c r="P832" i="14814"/>
  <c r="O650" i="14814"/>
  <c r="R650" i="14814" s="1"/>
  <c r="P804" i="14814"/>
  <c r="O707" i="14814"/>
  <c r="R707" i="14814" s="1"/>
  <c r="O871" i="14814"/>
  <c r="R871" i="14814" s="1"/>
  <c r="O754" i="14814"/>
  <c r="R754" i="14814" s="1"/>
  <c r="P695" i="14814"/>
  <c r="P871" i="14814"/>
  <c r="O863" i="14814"/>
  <c r="R863" i="14814" s="1"/>
  <c r="P973" i="14814"/>
  <c r="P878" i="14814"/>
  <c r="O970" i="14814"/>
  <c r="R970" i="14814" s="1"/>
  <c r="O952" i="14814"/>
  <c r="R952" i="14814" s="1"/>
  <c r="O682" i="14814"/>
  <c r="R682" i="14814" s="1"/>
  <c r="O954" i="14814"/>
  <c r="R954" i="14814" s="1"/>
  <c r="O698" i="14814"/>
  <c r="R698" i="14814" s="1"/>
  <c r="O873" i="14814"/>
  <c r="R873" i="14814" s="1"/>
  <c r="O928" i="14814"/>
  <c r="R928" i="14814" s="1"/>
  <c r="O960" i="14814"/>
  <c r="R960" i="14814" s="1"/>
  <c r="P839" i="14814"/>
  <c r="O943" i="14814"/>
  <c r="R943" i="14814" s="1"/>
  <c r="P856" i="14814"/>
  <c r="O963" i="14814"/>
  <c r="R963" i="14814" s="1"/>
  <c r="O958" i="14814"/>
  <c r="R958" i="14814" s="1"/>
  <c r="P772" i="14814"/>
  <c r="O614" i="14814"/>
  <c r="R614" i="14814" s="1"/>
  <c r="O917" i="14814"/>
  <c r="R917" i="14814" s="1"/>
  <c r="P676" i="14814"/>
  <c r="P657" i="14814"/>
  <c r="O678" i="14814"/>
  <c r="R678" i="14814" s="1"/>
  <c r="O729" i="14814"/>
  <c r="R729" i="14814" s="1"/>
  <c r="O797" i="14814"/>
  <c r="R797" i="14814" s="1"/>
  <c r="O718" i="14814"/>
  <c r="R718" i="14814" s="1"/>
  <c r="P651" i="14814"/>
  <c r="O798" i="14814"/>
  <c r="R798" i="14814" s="1"/>
  <c r="O786" i="14814"/>
  <c r="R786" i="14814" s="1"/>
  <c r="P859" i="14814"/>
  <c r="O689" i="14814"/>
  <c r="R689" i="14814" s="1"/>
  <c r="P742" i="14814"/>
  <c r="O936" i="14814"/>
  <c r="R936" i="14814" s="1"/>
  <c r="O877" i="14814"/>
  <c r="R877" i="14814" s="1"/>
  <c r="P645" i="14814"/>
  <c r="P638" i="14814"/>
  <c r="O956" i="14814"/>
  <c r="R956" i="14814" s="1"/>
  <c r="O702" i="14814"/>
  <c r="R702" i="14814" s="1"/>
  <c r="O704" i="14814"/>
  <c r="R704" i="14814" s="1"/>
  <c r="P916" i="14814"/>
  <c r="O819" i="14814"/>
  <c r="R819" i="14814" s="1"/>
  <c r="P666" i="14814"/>
  <c r="O825" i="14814"/>
  <c r="R825" i="14814" s="1"/>
  <c r="P683" i="14814"/>
  <c r="O781" i="14814"/>
  <c r="R781" i="14814" s="1"/>
  <c r="P732" i="14814"/>
  <c r="P805" i="14814"/>
  <c r="P826" i="14814"/>
  <c r="P757" i="14814"/>
  <c r="P694" i="14814"/>
  <c r="P819" i="14814"/>
  <c r="P667" i="14814"/>
  <c r="P963" i="14814"/>
  <c r="P867" i="14814"/>
  <c r="O753" i="14814"/>
  <c r="R753" i="14814" s="1"/>
  <c r="P872" i="14814"/>
  <c r="P712" i="14814"/>
  <c r="P734" i="14814"/>
  <c r="P946" i="14814"/>
  <c r="P808" i="14814"/>
  <c r="P870" i="14814"/>
  <c r="O806" i="14814"/>
  <c r="R806" i="14814" s="1"/>
  <c r="P815" i="14814"/>
  <c r="O974" i="14814"/>
  <c r="R974" i="14814" s="1"/>
  <c r="P726" i="14814"/>
  <c r="P751" i="14814"/>
  <c r="P956" i="14814"/>
  <c r="P967" i="14814"/>
  <c r="O630" i="14814"/>
  <c r="R630" i="14814" s="1"/>
  <c r="O642" i="14814"/>
  <c r="R642" i="14814" s="1"/>
  <c r="O620" i="14814"/>
  <c r="R620" i="14814" s="1"/>
  <c r="O731" i="14814"/>
  <c r="R731" i="14814" s="1"/>
  <c r="O945" i="14814"/>
  <c r="R945" i="14814" s="1"/>
  <c r="O758" i="14814"/>
  <c r="R758" i="14814" s="1"/>
  <c r="O851" i="14814"/>
  <c r="R851" i="14814" s="1"/>
  <c r="O656" i="14814"/>
  <c r="R656" i="14814" s="1"/>
  <c r="O757" i="14814"/>
  <c r="R757" i="14814" s="1"/>
  <c r="O737" i="14814"/>
  <c r="R737" i="14814" s="1"/>
  <c r="O791" i="14814"/>
  <c r="R791" i="14814" s="1"/>
  <c r="O874" i="14814"/>
  <c r="R874" i="14814" s="1"/>
  <c r="O624" i="14814"/>
  <c r="R624" i="14814" s="1"/>
  <c r="O921" i="14814"/>
  <c r="R921" i="14814" s="1"/>
  <c r="P671" i="14814"/>
  <c r="O885" i="14814"/>
  <c r="R885" i="14814" s="1"/>
  <c r="P718" i="14814"/>
  <c r="O732" i="14814"/>
  <c r="R732" i="14814" s="1"/>
  <c r="P905" i="14814"/>
  <c r="P745" i="14814"/>
  <c r="O736" i="14814"/>
  <c r="R736" i="14814" s="1"/>
  <c r="P958" i="14814"/>
  <c r="P830" i="14814"/>
  <c r="P914" i="14814"/>
  <c r="P740" i="14814"/>
  <c r="P812" i="14814"/>
  <c r="O646" i="14814"/>
  <c r="R646" i="14814" s="1"/>
  <c r="P835" i="14814"/>
  <c r="O866" i="14814"/>
  <c r="R866" i="14814" s="1"/>
  <c r="O955" i="14814"/>
  <c r="R955" i="14814" s="1"/>
  <c r="O805" i="14814"/>
  <c r="R805" i="14814" s="1"/>
  <c r="P660" i="14814"/>
  <c r="P904" i="14814"/>
  <c r="P868" i="14814"/>
  <c r="P686" i="14814"/>
  <c r="P752" i="14814"/>
  <c r="P932" i="14814"/>
  <c r="P782" i="14814"/>
  <c r="P877" i="14814"/>
  <c r="P669" i="14814"/>
  <c r="P865" i="14814"/>
  <c r="P795" i="14814"/>
  <c r="P793" i="14814"/>
  <c r="O893" i="14814"/>
  <c r="R893" i="14814" s="1"/>
  <c r="O940" i="14814"/>
  <c r="R940" i="14814" s="1"/>
  <c r="P630" i="14814"/>
  <c r="P725" i="14814"/>
  <c r="O705" i="14814"/>
  <c r="R705" i="14814" s="1"/>
  <c r="P825" i="14814"/>
  <c r="O739" i="14814"/>
  <c r="R739" i="14814" s="1"/>
  <c r="O760" i="14814"/>
  <c r="R760" i="14814" s="1"/>
  <c r="P697" i="14814"/>
  <c r="P777" i="14814"/>
  <c r="P944" i="14814"/>
  <c r="P897" i="14814"/>
  <c r="P758" i="14814"/>
  <c r="P738" i="14814"/>
  <c r="P972" i="14814"/>
  <c r="P844" i="14814"/>
  <c r="P906" i="14814"/>
  <c r="P882" i="14814"/>
  <c r="O692" i="14814"/>
  <c r="R692" i="14814" s="1"/>
  <c r="P700" i="14814"/>
  <c r="O906" i="14814"/>
  <c r="R906" i="14814" s="1"/>
  <c r="O767" i="14814"/>
  <c r="R767" i="14814" s="1"/>
  <c r="P862" i="14814"/>
  <c r="O723" i="14814"/>
  <c r="R723" i="14814" s="1"/>
  <c r="P691" i="14814"/>
  <c r="P896" i="14814"/>
  <c r="P675" i="14814"/>
  <c r="O961" i="14814"/>
  <c r="R961" i="14814" s="1"/>
  <c r="P883" i="14814"/>
  <c r="P771" i="14814"/>
  <c r="P627" i="14814"/>
  <c r="O902" i="14814"/>
  <c r="R902" i="14814" s="1"/>
  <c r="O835" i="14814"/>
  <c r="R835" i="14814" s="1"/>
  <c r="P658" i="14814"/>
  <c r="O796" i="14814"/>
  <c r="R796" i="14814" s="1"/>
  <c r="P656" i="14814"/>
  <c r="P760" i="14814"/>
  <c r="O810" i="14814"/>
  <c r="R810" i="14814" s="1"/>
  <c r="O613" i="14814"/>
  <c r="R613" i="14814" s="1"/>
  <c r="P755" i="14814"/>
  <c r="P668" i="14814"/>
  <c r="P901" i="14814"/>
  <c r="P913" i="14814"/>
  <c r="P785" i="14814"/>
  <c r="P976" i="14814"/>
  <c r="P688" i="14814"/>
  <c r="O841" i="14814"/>
  <c r="R841" i="14814" s="1"/>
  <c r="P821" i="14814"/>
  <c r="O734" i="14814"/>
  <c r="R734" i="14814" s="1"/>
  <c r="P717" i="14814"/>
  <c r="O828" i="14814"/>
  <c r="R828" i="14814" s="1"/>
  <c r="O789" i="14814"/>
  <c r="R789" i="14814" s="1"/>
  <c r="P903" i="14814"/>
  <c r="O708" i="14814"/>
  <c r="R708" i="14814" s="1"/>
  <c r="P769" i="14814"/>
  <c r="O918" i="14814"/>
  <c r="R918" i="14814" s="1"/>
  <c r="O890" i="14814"/>
  <c r="R890" i="14814" s="1"/>
  <c r="P774" i="14814"/>
  <c r="O675" i="14814"/>
  <c r="R675" i="14814" s="1"/>
  <c r="P931" i="14814"/>
  <c r="O869" i="14814"/>
  <c r="R869" i="14814" s="1"/>
  <c r="O802" i="14814"/>
  <c r="R802" i="14814" s="1"/>
  <c r="P879" i="14814"/>
  <c r="O942" i="14814"/>
  <c r="R942" i="14814" s="1"/>
  <c r="O743" i="14814"/>
  <c r="R743" i="14814" s="1"/>
  <c r="P696" i="14814"/>
  <c r="O898" i="14814"/>
  <c r="R898" i="14814" s="1"/>
  <c r="O888" i="14814"/>
  <c r="R888" i="14814" s="1"/>
  <c r="P681" i="14814"/>
  <c r="O725" i="14814"/>
  <c r="R725" i="14814" s="1"/>
  <c r="O645" i="14814"/>
  <c r="R645" i="14814" s="1"/>
  <c r="O685" i="14814"/>
  <c r="R685" i="14814" s="1"/>
  <c r="O659" i="14814"/>
  <c r="R659" i="14814" s="1"/>
  <c r="P797" i="14814"/>
  <c r="P784" i="14814"/>
  <c r="O915" i="14814"/>
  <c r="R915" i="14814" s="1"/>
  <c r="P748" i="14814"/>
  <c r="P746" i="14814"/>
  <c r="P948" i="14814"/>
  <c r="O911" i="14814"/>
  <c r="R911" i="14814" s="1"/>
  <c r="P709" i="14814"/>
  <c r="P733" i="14814"/>
  <c r="O934" i="14814"/>
  <c r="R934" i="14814" s="1"/>
  <c r="O637" i="14814"/>
  <c r="R637" i="14814" s="1"/>
  <c r="P673" i="14814"/>
  <c r="O836" i="14814"/>
  <c r="R836" i="14814" s="1"/>
  <c r="P634" i="14814"/>
  <c r="O920" i="14814"/>
  <c r="R920" i="14814" s="1"/>
  <c r="O728" i="14814"/>
  <c r="R728" i="14814" s="1"/>
  <c r="O969" i="14814"/>
  <c r="R969" i="14814" s="1"/>
  <c r="P766" i="14814"/>
  <c r="O854" i="14814"/>
  <c r="R854" i="14814" s="1"/>
  <c r="O833" i="14814"/>
  <c r="R833" i="14814" s="1"/>
  <c r="O745" i="14814"/>
  <c r="R745" i="14814" s="1"/>
  <c r="O949" i="14814"/>
  <c r="R949" i="14814" s="1"/>
  <c r="P934" i="14814"/>
  <c r="O916" i="14814"/>
  <c r="R916" i="14814" s="1"/>
  <c r="P756" i="14814"/>
  <c r="P969" i="14814"/>
  <c r="P753" i="14814"/>
  <c r="O901" i="14814"/>
  <c r="R901" i="14814" s="1"/>
  <c r="O976" i="14814"/>
  <c r="R976" i="14814" s="1"/>
  <c r="O813" i="14814"/>
  <c r="R813" i="14814" s="1"/>
  <c r="P824" i="14814"/>
  <c r="P707" i="14814"/>
  <c r="O823" i="14814"/>
  <c r="R823" i="14814" s="1"/>
  <c r="P860" i="14814"/>
  <c r="O726" i="14814"/>
  <c r="R726" i="14814" s="1"/>
  <c r="O812" i="14814"/>
  <c r="R812" i="14814" s="1"/>
  <c r="O838" i="14814"/>
  <c r="R838" i="14814" s="1"/>
  <c r="O889" i="14814"/>
  <c r="R889" i="14814" s="1"/>
  <c r="P629" i="14814"/>
  <c r="P736" i="14814"/>
  <c r="O964" i="14814"/>
  <c r="R964" i="14814" s="1"/>
  <c r="P941" i="14814"/>
  <c r="P619" i="14814"/>
  <c r="P796" i="14814"/>
  <c r="O857" i="14814"/>
  <c r="R857" i="14814" s="1"/>
  <c r="P938" i="14814"/>
  <c r="O930" i="14814"/>
  <c r="R930" i="14814" s="1"/>
  <c r="O622" i="14814"/>
  <c r="R622" i="14814" s="1"/>
  <c r="P763" i="14814"/>
  <c r="O714" i="14814"/>
  <c r="R714" i="14814" s="1"/>
  <c r="O808" i="14814"/>
  <c r="R808" i="14814" s="1"/>
  <c r="O688" i="14814"/>
  <c r="R688" i="14814" s="1"/>
  <c r="O772" i="14814"/>
  <c r="R772" i="14814" s="1"/>
  <c r="O788" i="14814"/>
  <c r="R788" i="14814" s="1"/>
  <c r="O779" i="14814"/>
  <c r="R779" i="14814" s="1"/>
  <c r="P880" i="14814"/>
  <c r="O881" i="14814"/>
  <c r="R881" i="14814" s="1"/>
  <c r="O761" i="14814"/>
  <c r="R761" i="14814" s="1"/>
  <c r="O641" i="14814"/>
  <c r="R641" i="14814" s="1"/>
  <c r="P811" i="14814"/>
  <c r="O687" i="14814"/>
  <c r="R687" i="14814" s="1"/>
  <c r="O690" i="14814"/>
  <c r="R690" i="14814" s="1"/>
  <c r="P780" i="14814"/>
  <c r="P764" i="14814"/>
  <c r="P803" i="14814"/>
  <c r="P642" i="14814"/>
  <c r="P613" i="14814"/>
  <c r="O896" i="14814"/>
  <c r="R896" i="14814" s="1"/>
  <c r="O957" i="14814"/>
  <c r="R957" i="14814" s="1"/>
  <c r="P786" i="14814"/>
  <c r="P902" i="14814"/>
  <c r="O850" i="14814"/>
  <c r="R850" i="14814" s="1"/>
  <c r="O939" i="14814"/>
  <c r="R939" i="14814" s="1"/>
  <c r="P971" i="14814"/>
  <c r="P621" i="14814"/>
  <c r="O827" i="14814"/>
  <c r="R827" i="14814" s="1"/>
  <c r="O787" i="14814"/>
  <c r="R787" i="14814" s="1"/>
  <c r="P716" i="14814"/>
  <c r="P917" i="14814"/>
  <c r="P975" i="14814"/>
  <c r="P614" i="14814"/>
  <c r="O965" i="14814"/>
  <c r="R965" i="14814" s="1"/>
  <c r="P800" i="14814"/>
  <c r="P834" i="14814"/>
  <c r="P692" i="14814"/>
  <c r="P640" i="14814"/>
  <c r="O635" i="14814"/>
  <c r="R635" i="14814" s="1"/>
  <c r="P768" i="14814"/>
  <c r="P937" i="14814"/>
  <c r="P874" i="14814"/>
  <c r="P911" i="14814"/>
  <c r="P687" i="14814"/>
  <c r="P794" i="14814"/>
  <c r="P702" i="14814"/>
  <c r="O643" i="14814"/>
  <c r="R643" i="14814" s="1"/>
  <c r="O929" i="14814"/>
  <c r="R929" i="14814" s="1"/>
  <c r="O962" i="14814"/>
  <c r="R962" i="14814" s="1"/>
  <c r="P930" i="14814"/>
  <c r="P814" i="14814"/>
  <c r="O638" i="14814"/>
  <c r="R638" i="14814" s="1"/>
  <c r="O747" i="14814"/>
  <c r="R747" i="14814" s="1"/>
  <c r="O831" i="14814"/>
  <c r="R831" i="14814" s="1"/>
  <c r="P908" i="14814"/>
  <c r="O649" i="14814"/>
  <c r="R649" i="14814" s="1"/>
  <c r="O968" i="14814"/>
  <c r="R968" i="14814" s="1"/>
  <c r="P618" i="14814"/>
  <c r="O669" i="14814"/>
  <c r="R669" i="14814" s="1"/>
  <c r="P684" i="14814"/>
  <c r="O693" i="14814"/>
  <c r="R693" i="14814" s="1"/>
  <c r="P665" i="14814"/>
  <c r="O816" i="14814"/>
  <c r="R816" i="14814" s="1"/>
  <c r="P721" i="14814"/>
  <c r="O660" i="14814"/>
  <c r="R660" i="14814" s="1"/>
  <c r="O625" i="14814"/>
  <c r="R625" i="14814" s="1"/>
  <c r="O950" i="14814"/>
  <c r="R950" i="14814" s="1"/>
  <c r="P962" i="14814"/>
  <c r="O875" i="14814"/>
  <c r="R875" i="14814" s="1"/>
  <c r="P662" i="14814"/>
  <c r="P820" i="14814"/>
  <c r="O621" i="14814"/>
  <c r="R621" i="14814" s="1"/>
  <c r="P836" i="14814"/>
  <c r="O712" i="14814"/>
  <c r="R712" i="14814" s="1"/>
  <c r="O931" i="14814"/>
  <c r="R931" i="14814" s="1"/>
  <c r="O765" i="14814"/>
  <c r="R765" i="14814" s="1"/>
  <c r="P954" i="14814"/>
  <c r="O883" i="14814"/>
  <c r="R883" i="14814" s="1"/>
  <c r="O947" i="14814"/>
  <c r="R947" i="14814" s="1"/>
  <c r="P698" i="14814"/>
  <c r="O814" i="14814"/>
  <c r="R814" i="14814" s="1"/>
  <c r="P863" i="14814"/>
  <c r="O899" i="14814"/>
  <c r="R899" i="14814" s="1"/>
  <c r="O941" i="14814"/>
  <c r="R941" i="14814" s="1"/>
  <c r="O946" i="14814"/>
  <c r="R946" i="14814" s="1"/>
  <c r="O738" i="14814"/>
  <c r="R738" i="14814" s="1"/>
  <c r="O706" i="14814"/>
  <c r="R706" i="14814" s="1"/>
  <c r="O884" i="14814"/>
  <c r="R884" i="14814" s="1"/>
  <c r="P654" i="14814"/>
  <c r="P926" i="14814"/>
  <c r="P949" i="14814"/>
  <c r="P843" i="14814"/>
  <c r="P729" i="14814"/>
  <c r="O668" i="14814"/>
  <c r="R668" i="14814" s="1"/>
  <c r="P837" i="14814"/>
  <c r="P952" i="14814"/>
  <c r="O853" i="14814"/>
  <c r="R853" i="14814" s="1"/>
  <c r="O794" i="14814"/>
  <c r="R794" i="14814" s="1"/>
  <c r="O756" i="14814"/>
  <c r="R756" i="14814" s="1"/>
  <c r="P855" i="14814"/>
  <c r="O722" i="14814"/>
  <c r="R722" i="14814" s="1"/>
  <c r="P659" i="14814"/>
  <c r="P858" i="14814"/>
  <c r="O654" i="14814"/>
  <c r="R654" i="14814" s="1"/>
  <c r="P887" i="14814"/>
  <c r="P631" i="14814"/>
  <c r="O741" i="14814"/>
  <c r="R741" i="14814" s="1"/>
  <c r="P722" i="14814"/>
  <c r="O719" i="14814"/>
  <c r="R719" i="14814" s="1"/>
  <c r="P817" i="14814"/>
  <c r="P612" i="14814"/>
  <c r="P900" i="14814"/>
  <c r="O922" i="14814"/>
  <c r="R922" i="14814" s="1"/>
  <c r="O843" i="14814"/>
  <c r="R843" i="14814" s="1"/>
  <c r="P899" i="14814"/>
  <c r="P888" i="14814"/>
  <c r="O644" i="14814"/>
  <c r="R644" i="14814" s="1"/>
  <c r="O804" i="14814"/>
  <c r="R804" i="14814" s="1"/>
  <c r="O908" i="14814"/>
  <c r="R908" i="14814" s="1"/>
  <c r="P635" i="14814"/>
  <c r="P626" i="14814"/>
  <c r="O751" i="14814"/>
  <c r="R751" i="14814" s="1"/>
  <c r="O800" i="14814"/>
  <c r="R800" i="14814" s="1"/>
  <c r="O694" i="14814"/>
  <c r="R694" i="14814" s="1"/>
  <c r="P898" i="14814"/>
  <c r="O919" i="14814"/>
  <c r="R919" i="14814" s="1"/>
  <c r="O864" i="14814"/>
  <c r="R864" i="14814" s="1"/>
  <c r="P711" i="14814"/>
  <c r="P775" i="14814"/>
  <c r="O673" i="14814"/>
  <c r="R673" i="14814" s="1"/>
  <c r="P648" i="14814"/>
  <c r="P708" i="14814"/>
  <c r="P849" i="14814"/>
  <c r="P925" i="14814"/>
  <c r="O842" i="14814"/>
  <c r="R842" i="14814" s="1"/>
  <c r="O845" i="14814"/>
  <c r="R845" i="14814" s="1"/>
  <c r="P965" i="14814"/>
  <c r="O701" i="14814"/>
  <c r="R701" i="14814" s="1"/>
  <c r="O733" i="14814"/>
  <c r="R733" i="14814" s="1"/>
  <c r="P841" i="14814"/>
  <c r="O933" i="14814"/>
  <c r="R933" i="14814" s="1"/>
  <c r="P650" i="14814"/>
  <c r="P910" i="14814"/>
  <c r="P915" i="14814"/>
  <c r="O795" i="14814"/>
  <c r="R795" i="14814" s="1"/>
  <c r="O755" i="14814"/>
  <c r="R755" i="14814" s="1"/>
  <c r="O780" i="14814"/>
  <c r="R780" i="14814" s="1"/>
  <c r="P714" i="14814"/>
  <c r="P939" i="14814"/>
  <c r="P831" i="14814"/>
  <c r="P767" i="14814"/>
  <c r="P850" i="14814"/>
  <c r="O790" i="14814"/>
  <c r="R790" i="14814" s="1"/>
  <c r="O882" i="14814"/>
  <c r="R882" i="14814" s="1"/>
  <c r="O695" i="14814"/>
  <c r="R695" i="14814" s="1"/>
  <c r="P747" i="14814"/>
  <c r="P895" i="14814"/>
  <c r="O663" i="14814"/>
  <c r="R663" i="14814" s="1"/>
  <c r="O865" i="14814"/>
  <c r="R865" i="14814" s="1"/>
  <c r="O953" i="14814"/>
  <c r="R953" i="14814" s="1"/>
  <c r="O639" i="14814"/>
  <c r="R639" i="14814" s="1"/>
  <c r="P833" i="14814"/>
  <c r="O876" i="14814"/>
  <c r="R876" i="14814" s="1"/>
  <c r="O903" i="14814"/>
  <c r="R903" i="14814" s="1"/>
  <c r="P884" i="14814"/>
  <c r="P968" i="14814"/>
  <c r="P852" i="14814"/>
  <c r="O913" i="14814"/>
  <c r="R913" i="14814" s="1"/>
  <c r="O720" i="14814"/>
  <c r="R720" i="14814" s="1"/>
  <c r="P628" i="14814"/>
  <c r="O914" i="14814"/>
  <c r="R914" i="14814" s="1"/>
  <c r="P881" i="14814"/>
  <c r="P754" i="14814"/>
  <c r="P693" i="14814"/>
  <c r="O809" i="14814"/>
  <c r="R809" i="14814" s="1"/>
  <c r="P866" i="14814"/>
  <c r="O803" i="14814"/>
  <c r="R803" i="14814" s="1"/>
  <c r="O840" i="14814"/>
  <c r="R840" i="14814" s="1"/>
  <c r="P857" i="14814"/>
  <c r="P704" i="14814"/>
  <c r="P622" i="14814"/>
  <c r="P615" i="14814"/>
  <c r="P637" i="14814"/>
  <c r="O629" i="14814"/>
  <c r="R629" i="14814" s="1"/>
  <c r="O776" i="14814"/>
  <c r="R776" i="14814" s="1"/>
  <c r="O632" i="14814"/>
  <c r="R632" i="14814" s="1"/>
  <c r="P854" i="14814"/>
  <c r="P720" i="14814"/>
  <c r="O672" i="14814"/>
  <c r="R672" i="14814" s="1"/>
  <c r="O832" i="14814"/>
  <c r="R832" i="14814" s="1"/>
  <c r="O730" i="14814"/>
  <c r="R730" i="14814" s="1"/>
  <c r="P928" i="14814"/>
  <c r="P789" i="14814"/>
  <c r="O891" i="14814"/>
  <c r="R891" i="14814" s="1"/>
  <c r="O628" i="14814"/>
  <c r="R628" i="14814" s="1"/>
  <c r="O793" i="14814"/>
  <c r="R793" i="14814" s="1"/>
  <c r="O764" i="14814"/>
  <c r="R764" i="14814" s="1"/>
  <c r="O691" i="14814"/>
  <c r="R691" i="14814" s="1"/>
  <c r="P646" i="14814"/>
  <c r="P822" i="14814"/>
  <c r="P959" i="14814"/>
  <c r="O777" i="14814"/>
  <c r="R777" i="14814" s="1"/>
  <c r="O716" i="14814"/>
  <c r="R716" i="14814" s="1"/>
  <c r="P750" i="14814"/>
  <c r="O927" i="14814"/>
  <c r="R927" i="14814" s="1"/>
  <c r="P616" i="14814"/>
  <c r="O636" i="14814"/>
  <c r="R636" i="14814" s="1"/>
  <c r="O880" i="14814"/>
  <c r="R880" i="14814" s="1"/>
  <c r="P749" i="14814"/>
  <c r="O879" i="14814"/>
  <c r="R879" i="14814" s="1"/>
  <c r="O671" i="14814"/>
  <c r="R671" i="14814" s="1"/>
  <c r="P889" i="14814"/>
  <c r="P942" i="14814"/>
  <c r="P894" i="14814"/>
  <c r="O959" i="14814"/>
  <c r="R959" i="14814" s="1"/>
  <c r="P957" i="14814"/>
  <c r="O658" i="14814"/>
  <c r="R658" i="14814" s="1"/>
  <c r="O770" i="14814"/>
  <c r="R770" i="14814" s="1"/>
  <c r="O721" i="14814"/>
  <c r="R721" i="14814" s="1"/>
  <c r="O834" i="14814"/>
  <c r="R834" i="14814" s="1"/>
  <c r="P798" i="14814"/>
  <c r="P715" i="14814"/>
  <c r="P964" i="14814"/>
  <c r="P699" i="14814"/>
  <c r="P770" i="14814"/>
  <c r="P907" i="14814"/>
  <c r="O657" i="14814"/>
  <c r="R657" i="14814" s="1"/>
  <c r="O774" i="14814"/>
  <c r="R774" i="14814" s="1"/>
  <c r="O674" i="14814"/>
  <c r="R674" i="14814" s="1"/>
  <c r="O951" i="14814"/>
  <c r="R951" i="14814" s="1"/>
  <c r="O699" i="14814"/>
  <c r="R699" i="14814" s="1"/>
  <c r="P970" i="14814"/>
  <c r="O811" i="14814"/>
  <c r="R811" i="14814" s="1"/>
  <c r="P927" i="14814"/>
  <c r="O904" i="14814"/>
  <c r="R904" i="14814" s="1"/>
  <c r="O870" i="14814"/>
  <c r="R870" i="14814" s="1"/>
  <c r="P893" i="14814"/>
  <c r="O683" i="14814"/>
  <c r="R683" i="14814" s="1"/>
  <c r="P864" i="14814"/>
  <c r="O727" i="14814"/>
  <c r="R727" i="14814" s="1"/>
  <c r="P940" i="14814"/>
  <c r="P953" i="14814"/>
  <c r="P761" i="14814"/>
  <c r="O822" i="14814"/>
  <c r="R822" i="14814" s="1"/>
  <c r="O872" i="14814"/>
  <c r="R872" i="14814" s="1"/>
  <c r="O817" i="14814"/>
  <c r="R817" i="14814" s="1"/>
  <c r="O710" i="14814"/>
  <c r="R710" i="14814" s="1"/>
  <c r="P632" i="14814"/>
  <c r="P806" i="14814"/>
  <c r="P689" i="14814"/>
  <c r="P923" i="14814"/>
  <c r="P875" i="14814"/>
  <c r="O680" i="14814"/>
  <c r="R680" i="14814" s="1"/>
  <c r="P636" i="14814"/>
  <c r="O900" i="14814"/>
  <c r="R900" i="14814" s="1"/>
  <c r="O847" i="14814"/>
  <c r="R847" i="14814" s="1"/>
  <c r="O633" i="14814"/>
  <c r="R633" i="14814" s="1"/>
  <c r="P848" i="14814"/>
  <c r="P922" i="14814"/>
  <c r="P838" i="14814"/>
  <c r="P682" i="14814"/>
  <c r="P892" i="14814"/>
  <c r="O848" i="14814"/>
  <c r="R848" i="14814" s="1"/>
  <c r="O778" i="14814"/>
  <c r="R778" i="14814" s="1"/>
  <c r="O711" i="14814"/>
  <c r="R711" i="14814" s="1"/>
  <c r="O867" i="14814"/>
  <c r="R867" i="14814" s="1"/>
  <c r="P661" i="14814"/>
  <c r="O763" i="14814"/>
  <c r="R763" i="14814" s="1"/>
  <c r="P727" i="14814"/>
  <c r="O768" i="14814"/>
  <c r="R768" i="14814" s="1"/>
  <c r="P960" i="14814"/>
  <c r="P719" i="14814"/>
  <c r="O766" i="14814"/>
  <c r="R766" i="14814" s="1"/>
  <c r="O907" i="14814"/>
  <c r="R907" i="14814" s="1"/>
  <c r="P773" i="14814"/>
  <c r="O759" i="14814"/>
  <c r="R759" i="14814" s="1"/>
  <c r="P779" i="14814"/>
  <c r="P706" i="14814"/>
  <c r="O619" i="14814"/>
  <c r="R619" i="14814" s="1"/>
  <c r="P633" i="14814"/>
  <c r="O670" i="14814"/>
  <c r="R670" i="14814" s="1"/>
  <c r="O686" i="14814"/>
  <c r="R686" i="14814" s="1"/>
  <c r="O746" i="14814"/>
  <c r="R746" i="14814" s="1"/>
  <c r="O785" i="14814"/>
  <c r="R785" i="14814" s="1"/>
  <c r="P791" i="14814"/>
  <c r="O740" i="14814"/>
  <c r="R740" i="14814" s="1"/>
  <c r="P643" i="14814"/>
  <c r="O897" i="14814"/>
  <c r="R897" i="14814" s="1"/>
  <c r="O818" i="14814"/>
  <c r="R818" i="14814" s="1"/>
  <c r="S611" i="14814"/>
  <c r="H298" i="14814"/>
  <c r="AN298" i="14814"/>
  <c r="N64" i="14786"/>
  <c r="M64" i="14786"/>
  <c r="O64" i="14786"/>
  <c r="M57" i="14786"/>
  <c r="M65" i="14786" s="1"/>
  <c r="D38" i="14822"/>
  <c r="I611" i="14814"/>
  <c r="N81" i="14786"/>
  <c r="O81" i="14786"/>
  <c r="M81" i="14786"/>
  <c r="Q641" i="14814"/>
  <c r="Q896" i="14814"/>
  <c r="Q715" i="14814"/>
  <c r="Q746" i="14814"/>
  <c r="Q650" i="14814"/>
  <c r="Q629" i="14814"/>
  <c r="Q894" i="14814"/>
  <c r="Q863" i="14814"/>
  <c r="Q622" i="14814"/>
  <c r="Q910" i="14814"/>
  <c r="Q802" i="14814"/>
  <c r="Q964" i="14814"/>
  <c r="Q869" i="14814"/>
  <c r="Q627" i="14814"/>
  <c r="Q712" i="14814"/>
  <c r="Q755" i="14814"/>
  <c r="Q927" i="14814"/>
  <c r="Q840" i="14814"/>
  <c r="Q617" i="14814"/>
  <c r="Q823" i="14814"/>
  <c r="Q824" i="14814"/>
  <c r="Q785" i="14814"/>
  <c r="Q678" i="14814"/>
  <c r="Q879" i="14814"/>
  <c r="Q874" i="14814"/>
  <c r="Q971" i="14814"/>
  <c r="Q895" i="14814"/>
  <c r="Q705" i="14814"/>
  <c r="Q738" i="14814"/>
  <c r="Q844" i="14814"/>
  <c r="Q816" i="14814"/>
  <c r="Q693" i="14814"/>
  <c r="Q772" i="14814"/>
  <c r="Q908" i="14814"/>
  <c r="Q692" i="14814"/>
  <c r="Q767" i="14814"/>
  <c r="Q710" i="14814"/>
  <c r="Q734" i="14814"/>
  <c r="Q969" i="14814"/>
  <c r="Q917" i="14814"/>
  <c r="Q970" i="14814"/>
  <c r="Q642" i="14814"/>
  <c r="Q812" i="14814"/>
  <c r="Q656" i="14814"/>
  <c r="Q959" i="14814"/>
  <c r="Q897" i="14814"/>
  <c r="Q848" i="14814"/>
  <c r="Q697" i="14814"/>
  <c r="Q797" i="14814"/>
  <c r="Q753" i="14814"/>
  <c r="Q918" i="14814"/>
  <c r="Q761" i="14814"/>
  <c r="Q620" i="14814"/>
  <c r="Q657" i="14814"/>
  <c r="Q778" i="14814"/>
  <c r="Q752" i="14814"/>
  <c r="Q831" i="14814"/>
  <c r="Q660" i="14814"/>
  <c r="Q793" i="14814"/>
  <c r="Q890" i="14814"/>
  <c r="Q821" i="14814"/>
  <c r="Q696" i="14814"/>
  <c r="Q922" i="14814"/>
  <c r="Q832" i="14814"/>
  <c r="Q953" i="14814"/>
  <c r="Q914" i="14814"/>
  <c r="Q859" i="14814"/>
  <c r="Q768" i="14814"/>
  <c r="Q854" i="14814"/>
  <c r="Q929" i="14814"/>
  <c r="Q856" i="14814"/>
  <c r="Q771" i="14814"/>
  <c r="Q924" i="14814"/>
  <c r="Q676" i="14814"/>
  <c r="Q635" i="14814"/>
  <c r="Q766" i="14814"/>
  <c r="Q777" i="14814"/>
  <c r="Q613" i="14814"/>
  <c r="Q873" i="14814"/>
  <c r="Q946" i="14814"/>
  <c r="Q688" i="14814"/>
  <c r="Q721" i="14814"/>
  <c r="Q684" i="14814"/>
  <c r="Q949" i="14814"/>
  <c r="Q731" i="14814"/>
  <c r="Q814" i="14814"/>
  <c r="Q663" i="14814"/>
  <c r="Q898" i="14814"/>
  <c r="Q809" i="14814"/>
  <c r="Q756" i="14814"/>
  <c r="Q736" i="14814"/>
  <c r="Q794" i="14814"/>
  <c r="Q741" i="14814"/>
  <c r="Q735" i="14814"/>
  <c r="Q638" i="14814"/>
  <c r="Q830" i="14814"/>
  <c r="Q835" i="14814"/>
  <c r="Q646" i="14814"/>
  <c r="Q669" i="14814"/>
  <c r="Q936" i="14814"/>
  <c r="Q886" i="14814"/>
  <c r="Q961" i="14814"/>
  <c r="Q858" i="14814"/>
  <c r="Q867" i="14814"/>
  <c r="Q659" i="14814"/>
  <c r="Q950" i="14814"/>
  <c r="Q614" i="14814"/>
  <c r="Q740" i="14814"/>
  <c r="Q732" i="14814"/>
  <c r="Q955" i="14814"/>
  <c r="Q612" i="14814"/>
  <c r="Q667" i="14814"/>
  <c r="Q760" i="14814"/>
  <c r="Q626" i="14814"/>
  <c r="Q782" i="14814"/>
  <c r="Q637" i="14814"/>
  <c r="Q919" i="14814"/>
  <c r="Q881" i="14814"/>
  <c r="Q870" i="14814"/>
  <c r="Q632" i="14814"/>
  <c r="Q670" i="14814"/>
  <c r="Q885" i="14814"/>
  <c r="Q694" i="14814"/>
  <c r="Q789" i="14814"/>
  <c r="Q876" i="14814"/>
  <c r="Q651" i="14814"/>
  <c r="Q893" i="14814"/>
  <c r="Q658" i="14814"/>
  <c r="Q931" i="14814"/>
  <c r="Q846" i="14814"/>
  <c r="Q723" i="14814"/>
  <c r="Q726" i="14814"/>
  <c r="Q707" i="14814"/>
  <c r="Q939" i="14814"/>
  <c r="Q671" i="14814"/>
  <c r="Q758" i="14814"/>
  <c r="Q889" i="14814"/>
  <c r="Q790" i="14814"/>
  <c r="Q799" i="14814"/>
  <c r="Q855" i="14814"/>
  <c r="Q750" i="14814"/>
  <c r="Q679" i="14814"/>
  <c r="Q900" i="14814"/>
  <c r="Q877" i="14814"/>
  <c r="Q718" i="14814"/>
  <c r="Q902" i="14814"/>
  <c r="Q925" i="14814"/>
  <c r="Q963" i="14814"/>
  <c r="Q634" i="14814"/>
  <c r="Q689" i="14814"/>
  <c r="Q820" i="14814"/>
  <c r="Q884" i="14814"/>
  <c r="Q861" i="14814"/>
  <c r="Q838" i="14814"/>
  <c r="Q966" i="14814"/>
  <c r="Q853" i="14814"/>
  <c r="Q668" i="14814"/>
  <c r="Q912" i="14814"/>
  <c r="Q744" i="14814"/>
  <c r="Q819" i="14814"/>
  <c r="Q883" i="14814"/>
  <c r="Q822" i="14814"/>
  <c r="Q702" i="14814"/>
  <c r="Q805" i="14814"/>
  <c r="Q833" i="14814"/>
  <c r="Q864" i="14814"/>
  <c r="Q804" i="14814"/>
  <c r="Q940" i="14814"/>
  <c r="Q728" i="14814"/>
  <c r="Q722" i="14814"/>
  <c r="Q791" i="14814"/>
  <c r="Q857" i="14814"/>
  <c r="Q872" i="14814"/>
  <c r="Q923" i="14814"/>
  <c r="Q665" i="14814"/>
  <c r="Q787" i="14814"/>
  <c r="Q934" i="14814"/>
  <c r="Q729" i="14814"/>
  <c r="Q843" i="14814"/>
  <c r="Q619" i="14814"/>
  <c r="Q737" i="14814"/>
  <c r="Q774" i="14814"/>
  <c r="Q711" i="14814"/>
  <c r="Q957" i="14814"/>
  <c r="Q708" i="14814"/>
  <c r="Q811" i="14814"/>
  <c r="Q841" i="14814"/>
  <c r="Q636" i="14814"/>
  <c r="Q701" i="14814"/>
  <c r="Q672" i="14814"/>
  <c r="Q800" i="14814"/>
  <c r="Q615" i="14814"/>
  <c r="Q788" i="14814"/>
  <c r="Q757" i="14814"/>
  <c r="Q700" i="14814"/>
  <c r="Q903" i="14814"/>
  <c r="Q662" i="14814"/>
  <c r="Q681" i="14814"/>
  <c r="Q640" i="14814"/>
  <c r="Q713" i="14814"/>
  <c r="Q720" i="14814"/>
  <c r="Q628" i="14814"/>
  <c r="Q952" i="14814"/>
  <c r="Q801" i="14814"/>
  <c r="Q909" i="14814"/>
  <c r="Q685" i="14814"/>
  <c r="Q817" i="14814"/>
  <c r="Q975" i="14814"/>
  <c r="Q784" i="14814"/>
  <c r="Q682" i="14814"/>
  <c r="Q947" i="14814"/>
  <c r="Q653" i="14814"/>
  <c r="Q680" i="14814"/>
  <c r="Q882" i="14814"/>
  <c r="Q698" i="14814"/>
  <c r="Q973" i="14814"/>
  <c r="Q674" i="14814"/>
  <c r="Q972" i="14814"/>
  <c r="Q948" i="14814"/>
  <c r="Q616" i="14814"/>
  <c r="Q810" i="14814"/>
  <c r="Q905" i="14814"/>
  <c r="Q851" i="14814"/>
  <c r="Q875" i="14814"/>
  <c r="Q719" i="14814"/>
  <c r="Q803" i="14814"/>
  <c r="Q906" i="14814"/>
  <c r="Q818" i="14814"/>
  <c r="Q739" i="14814"/>
  <c r="Q725" i="14814"/>
  <c r="Q742" i="14814"/>
  <c r="Q958" i="14814"/>
  <c r="Q808" i="14814"/>
  <c r="Q904" i="14814"/>
  <c r="Q865" i="14814"/>
  <c r="Q866" i="14814"/>
  <c r="Q862" i="14814"/>
  <c r="Q652" i="14814"/>
  <c r="Q878" i="14814"/>
  <c r="Q935" i="14814"/>
  <c r="Q960" i="14814"/>
  <c r="Q664" i="14814"/>
  <c r="Q825" i="14814"/>
  <c r="Q849" i="14814"/>
  <c r="Q850" i="14814"/>
  <c r="Q747" i="14814"/>
  <c r="Q762" i="14814"/>
  <c r="Q842" i="14814"/>
  <c r="Q633" i="14814"/>
  <c r="Q945" i="14814"/>
  <c r="Q806" i="14814"/>
  <c r="Q899" i="14814"/>
  <c r="Q683" i="14814"/>
  <c r="Q795" i="14814"/>
  <c r="Q703" i="14814"/>
  <c r="Q938" i="14814"/>
  <c r="Q618" i="14814"/>
  <c r="Q967" i="14814"/>
  <c r="Q764" i="14814"/>
  <c r="Q937" i="14814"/>
  <c r="Q661" i="14814"/>
  <c r="Q968" i="14814"/>
  <c r="Q916" i="14814"/>
  <c r="Q765" i="14814"/>
  <c r="Q911" i="14814"/>
  <c r="Q954" i="14814"/>
  <c r="Q743" i="14814"/>
  <c r="Q845" i="14814"/>
  <c r="Q871" i="14814"/>
  <c r="Q837" i="14814"/>
  <c r="Q951" i="14814"/>
  <c r="Q798" i="14814"/>
  <c r="Q727" i="14814"/>
  <c r="Q807" i="14814"/>
  <c r="Q944" i="14814"/>
  <c r="Q749" i="14814"/>
  <c r="Q834" i="14814"/>
  <c r="Q783" i="14814"/>
  <c r="Q673" i="14814"/>
  <c r="Q962" i="14814"/>
  <c r="Q907" i="14814"/>
  <c r="Q644" i="14814"/>
  <c r="Q704" i="14814"/>
  <c r="Q763" i="14814"/>
  <c r="Q745" i="14814"/>
  <c r="Q706" i="14814"/>
  <c r="Q643" i="14814"/>
  <c r="Q686" i="14814"/>
  <c r="Q699" i="14814"/>
  <c r="Q891" i="14814"/>
  <c r="Q639" i="14814"/>
  <c r="Q932" i="14814"/>
  <c r="Q965" i="14814"/>
  <c r="Q623" i="14814"/>
  <c r="Q852" i="14814"/>
  <c r="Q815" i="14814"/>
  <c r="Q926" i="14814"/>
  <c r="Q943" i="14814"/>
  <c r="Q887" i="14814"/>
  <c r="Q781" i="14814"/>
  <c r="Q928" i="14814"/>
  <c r="Q868" i="14814"/>
  <c r="Q920" i="14814"/>
  <c r="Q780" i="14814"/>
  <c r="Q773" i="14814"/>
  <c r="Q621" i="14814"/>
  <c r="Q836" i="14814"/>
  <c r="Q779" i="14814"/>
  <c r="Q775" i="14814"/>
  <c r="Q714" i="14814"/>
  <c r="Q754" i="14814"/>
  <c r="Q974" i="14814"/>
  <c r="Q839" i="14814"/>
  <c r="Q826" i="14814"/>
  <c r="Q654" i="14814"/>
  <c r="Q880" i="14814"/>
  <c r="Q655" i="14814"/>
  <c r="Q847" i="14814"/>
  <c r="Q921" i="14814"/>
  <c r="Q645" i="14814"/>
  <c r="Q913" i="14814"/>
  <c r="Q631" i="14814"/>
  <c r="Q770" i="14814"/>
  <c r="Q690" i="14814"/>
  <c r="Q776" i="14814"/>
  <c r="Q828" i="14814"/>
  <c r="Q625" i="14814"/>
  <c r="Q624" i="14814"/>
  <c r="Q677" i="14814"/>
  <c r="Q687" i="14814"/>
  <c r="Q827" i="14814"/>
  <c r="Q630" i="14814"/>
  <c r="Q860" i="14814"/>
  <c r="Q901" i="14814"/>
  <c r="Q888" i="14814"/>
  <c r="Q733" i="14814"/>
  <c r="Q941" i="14814"/>
  <c r="Q666" i="14814"/>
  <c r="Q956" i="14814"/>
  <c r="Q933" i="14814"/>
  <c r="Q942" i="14814"/>
  <c r="Q786" i="14814"/>
  <c r="Q915" i="14814"/>
  <c r="Q748" i="14814"/>
  <c r="Q691" i="14814"/>
  <c r="Q813" i="14814"/>
  <c r="Q724" i="14814"/>
  <c r="Q759" i="14814"/>
  <c r="Q716" i="14814"/>
  <c r="Q649" i="14814"/>
  <c r="Q695" i="14814"/>
  <c r="Q709" i="14814"/>
  <c r="Q769" i="14814"/>
  <c r="Q829" i="14814"/>
  <c r="Q796" i="14814"/>
  <c r="Q930" i="14814"/>
  <c r="Q792" i="14814"/>
  <c r="Q892" i="14814"/>
  <c r="Q717" i="14814"/>
  <c r="Q648" i="14814"/>
  <c r="Q751" i="14814"/>
  <c r="Q675" i="14814"/>
  <c r="Q730" i="14814"/>
  <c r="Q647" i="14814"/>
  <c r="Q976" i="14814"/>
  <c r="O224" i="14814"/>
  <c r="O147" i="14786" s="1"/>
  <c r="O223" i="14814"/>
  <c r="Z611" i="14814"/>
  <c r="W611" i="14814"/>
  <c r="I278" i="14814" l="1"/>
  <c r="I279" i="14814" s="1"/>
  <c r="H278" i="14814"/>
  <c r="P155" i="14842"/>
  <c r="AC147" i="14786"/>
  <c r="X149" i="14786"/>
  <c r="Y149" i="14786"/>
  <c r="W149" i="14786"/>
  <c r="H279" i="14814"/>
  <c r="O82" i="14852"/>
  <c r="N82" i="14852"/>
  <c r="P123" i="14842"/>
  <c r="P185" i="14842"/>
  <c r="P93" i="14842"/>
  <c r="D40" i="14822"/>
  <c r="O155" i="14822" s="1"/>
  <c r="O183" i="14814"/>
  <c r="O184" i="14814"/>
  <c r="AB611" i="14814"/>
  <c r="T813" i="14814"/>
  <c r="T807" i="14814"/>
  <c r="T738" i="14814"/>
  <c r="T835" i="14814"/>
  <c r="T759" i="14814"/>
  <c r="T841" i="14814"/>
  <c r="T774" i="14814"/>
  <c r="T857" i="14814"/>
  <c r="T844" i="14814"/>
  <c r="T871" i="14814"/>
  <c r="T771" i="14814"/>
  <c r="T690" i="14814"/>
  <c r="T834" i="14814"/>
  <c r="T672" i="14814"/>
  <c r="T770" i="14814"/>
  <c r="T681" i="14814"/>
  <c r="T642" i="14814"/>
  <c r="T755" i="14814"/>
  <c r="T707" i="14814"/>
  <c r="T693" i="14814"/>
  <c r="T670" i="14814"/>
  <c r="T651" i="14814"/>
  <c r="T704" i="14814"/>
  <c r="T636" i="14814"/>
  <c r="T701" i="14814"/>
  <c r="T735" i="14814"/>
  <c r="T618" i="14814"/>
  <c r="T817" i="14814"/>
  <c r="T814" i="14814"/>
  <c r="T703" i="14814"/>
  <c r="T802" i="14814"/>
  <c r="T800" i="14814"/>
  <c r="T910" i="14814"/>
  <c r="T665" i="14814"/>
  <c r="T936" i="14814"/>
  <c r="T648" i="14814"/>
  <c r="T827" i="14814"/>
  <c r="T623" i="14814"/>
  <c r="T855" i="14814"/>
  <c r="T798" i="14814"/>
  <c r="T742" i="14814"/>
  <c r="T888" i="14814"/>
  <c r="T698" i="14814"/>
  <c r="T790" i="14814"/>
  <c r="T951" i="14814"/>
  <c r="T900" i="14814"/>
  <c r="T737" i="14814"/>
  <c r="T686" i="14814"/>
  <c r="T650" i="14814"/>
  <c r="T664" i="14814"/>
  <c r="T964" i="14814"/>
  <c r="T937" i="14814"/>
  <c r="T758" i="14814"/>
  <c r="T645" i="14814"/>
  <c r="T638" i="14814"/>
  <c r="T723" i="14814"/>
  <c r="T953" i="14814"/>
  <c r="T838" i="14814"/>
  <c r="T711" i="14814"/>
  <c r="T803" i="14814"/>
  <c r="T934" i="14814"/>
  <c r="T863" i="14814"/>
  <c r="T632" i="14814"/>
  <c r="T895" i="14814"/>
  <c r="T778" i="14814"/>
  <c r="T727" i="14814"/>
  <c r="T851" i="14814"/>
  <c r="T627" i="14814"/>
  <c r="T853" i="14814"/>
  <c r="T882" i="14814"/>
  <c r="T669" i="14814"/>
  <c r="T656" i="14814"/>
  <c r="T815" i="14814"/>
  <c r="T709" i="14814"/>
  <c r="T971" i="14814"/>
  <c r="T652" i="14814"/>
  <c r="T898" i="14814"/>
  <c r="T654" i="14814"/>
  <c r="T968" i="14814"/>
  <c r="T705" i="14814"/>
  <c r="T641" i="14814"/>
  <c r="T962" i="14814"/>
  <c r="T958" i="14814"/>
  <c r="T786" i="14814"/>
  <c r="T614" i="14814"/>
  <c r="T804" i="14814"/>
  <c r="T768" i="14814"/>
  <c r="T873" i="14814"/>
  <c r="T667" i="14814"/>
  <c r="T775" i="14814"/>
  <c r="T629" i="14814"/>
  <c r="T685" i="14814"/>
  <c r="T939" i="14814"/>
  <c r="T628" i="14814"/>
  <c r="T728" i="14814"/>
  <c r="T756" i="14814"/>
  <c r="T949" i="14814"/>
  <c r="T765" i="14814"/>
  <c r="T976" i="14814"/>
  <c r="T916" i="14814"/>
  <c r="T789" i="14814"/>
  <c r="T843" i="14814"/>
  <c r="T647" i="14814"/>
  <c r="T886" i="14814"/>
  <c r="T907" i="14814"/>
  <c r="T717" i="14814"/>
  <c r="T894" i="14814"/>
  <c r="T796" i="14814"/>
  <c r="T797" i="14814"/>
  <c r="T699" i="14814"/>
  <c r="T643" i="14814"/>
  <c r="T847" i="14814"/>
  <c r="T731" i="14814"/>
  <c r="T927" i="14814"/>
  <c r="T839" i="14814"/>
  <c r="T973" i="14814"/>
  <c r="T676" i="14814"/>
  <c r="T966" i="14814"/>
  <c r="T885" i="14814"/>
  <c r="T718" i="14814"/>
  <c r="T828" i="14814"/>
  <c r="T903" i="14814"/>
  <c r="T893" i="14814"/>
  <c r="T649" i="14814"/>
  <c r="T741" i="14814"/>
  <c r="T892" i="14814"/>
  <c r="T967" i="14814"/>
  <c r="T694" i="14814"/>
  <c r="T915" i="14814"/>
  <c r="T736" i="14814"/>
  <c r="T956" i="14814"/>
  <c r="T688" i="14814"/>
  <c r="T918" i="14814"/>
  <c r="T716" i="14814"/>
  <c r="T938" i="14814"/>
  <c r="T942" i="14814"/>
  <c r="T734" i="14814"/>
  <c r="T960" i="14814"/>
  <c r="T662" i="14814"/>
  <c r="T823" i="14814"/>
  <c r="T874" i="14814"/>
  <c r="T969" i="14814"/>
  <c r="T612" i="14814"/>
  <c r="T896" i="14814"/>
  <c r="T634" i="14814"/>
  <c r="T974" i="14814"/>
  <c r="T720" i="14814"/>
  <c r="T944" i="14814"/>
  <c r="T849" i="14814"/>
  <c r="T732" i="14814"/>
  <c r="T842" i="14814"/>
  <c r="T825" i="14814"/>
  <c r="T781" i="14814"/>
  <c r="T668" i="14814"/>
  <c r="T743" i="14814"/>
  <c r="T932" i="14814"/>
  <c r="T706" i="14814"/>
  <c r="T661" i="14814"/>
  <c r="T961" i="14814"/>
  <c r="T751" i="14814"/>
  <c r="T870" i="14814"/>
  <c r="T920" i="14814"/>
  <c r="T965" i="14814"/>
  <c r="T836" i="14814"/>
  <c r="T972" i="14814"/>
  <c r="T837" i="14814"/>
  <c r="T867" i="14814"/>
  <c r="T926" i="14814"/>
  <c r="T773" i="14814"/>
  <c r="T869" i="14814"/>
  <c r="T702" i="14814"/>
  <c r="T820" i="14814"/>
  <c r="T812" i="14814"/>
  <c r="T760" i="14814"/>
  <c r="T663" i="14814"/>
  <c r="T904" i="14814"/>
  <c r="T776" i="14814"/>
  <c r="T952" i="14814"/>
  <c r="T948" i="14814"/>
  <c r="T861" i="14814"/>
  <c r="T868" i="14814"/>
  <c r="T613" i="14814"/>
  <c r="T889" i="14814"/>
  <c r="T876" i="14814"/>
  <c r="T724" i="14814"/>
  <c r="T747" i="14814"/>
  <c r="T749" i="14814"/>
  <c r="T783" i="14814"/>
  <c r="T754" i="14814"/>
  <c r="T689" i="14814"/>
  <c r="T884" i="14814"/>
  <c r="T852" i="14814"/>
  <c r="T854" i="14814"/>
  <c r="T746" i="14814"/>
  <c r="T809" i="14814"/>
  <c r="T801" i="14814"/>
  <c r="T726" i="14814"/>
  <c r="T940" i="14814"/>
  <c r="T683" i="14814"/>
  <c r="T914" i="14814"/>
  <c r="T865" i="14814"/>
  <c r="T878" i="14814"/>
  <c r="T840" i="14814"/>
  <c r="T881" i="14814"/>
  <c r="T947" i="14814"/>
  <c r="T657" i="14814"/>
  <c r="T714" i="14814"/>
  <c r="T763" i="14814"/>
  <c r="T880" i="14814"/>
  <c r="T929" i="14814"/>
  <c r="T788" i="14814"/>
  <c r="T762" i="14814"/>
  <c r="T785" i="14814"/>
  <c r="T826" i="14814"/>
  <c r="T816" i="14814"/>
  <c r="T963" i="14814"/>
  <c r="T858" i="14814"/>
  <c r="T922" i="14814"/>
  <c r="T671" i="14814"/>
  <c r="T697" i="14814"/>
  <c r="T674" i="14814"/>
  <c r="T957" i="14814"/>
  <c r="T721" i="14814"/>
  <c r="T919" i="14814"/>
  <c r="T691" i="14814"/>
  <c r="T831" i="14814"/>
  <c r="T659" i="14814"/>
  <c r="T684" i="14814"/>
  <c r="T678" i="14814"/>
  <c r="T740" i="14814"/>
  <c r="T891" i="14814"/>
  <c r="T909" i="14814"/>
  <c r="T715" i="14814"/>
  <c r="T946" i="14814"/>
  <c r="T630" i="14814"/>
  <c r="T832" i="14814"/>
  <c r="T779" i="14814"/>
  <c r="T635" i="14814"/>
  <c r="T733" i="14814"/>
  <c r="T793" i="14814"/>
  <c r="T791" i="14814"/>
  <c r="T954" i="14814"/>
  <c r="T924" i="14814"/>
  <c r="T748" i="14814"/>
  <c r="T818" i="14814"/>
  <c r="T928" i="14814"/>
  <c r="T639" i="14814"/>
  <c r="T819" i="14814"/>
  <c r="T696" i="14814"/>
  <c r="T769" i="14814"/>
  <c r="T821" i="14814"/>
  <c r="T653" i="14814"/>
  <c r="T905" i="14814"/>
  <c r="T622" i="14814"/>
  <c r="T675" i="14814"/>
  <c r="T955" i="14814"/>
  <c r="T680" i="14814"/>
  <c r="T959" i="14814"/>
  <c r="T866" i="14814"/>
  <c r="T794" i="14814"/>
  <c r="T692" i="14814"/>
  <c r="T848" i="14814"/>
  <c r="T719" i="14814"/>
  <c r="T712" i="14814"/>
  <c r="T644" i="14814"/>
  <c r="T808" i="14814"/>
  <c r="T646" i="14814"/>
  <c r="T846" i="14814"/>
  <c r="T710" i="14814"/>
  <c r="T830" i="14814"/>
  <c r="T879" i="14814"/>
  <c r="T679" i="14814"/>
  <c r="T856" i="14814"/>
  <c r="T700" i="14814"/>
  <c r="T616" i="14814"/>
  <c r="T722" i="14814"/>
  <c r="T941" i="14814"/>
  <c r="T864" i="14814"/>
  <c r="T729" i="14814"/>
  <c r="T621" i="14814"/>
  <c r="T766" i="14814"/>
  <c r="T619" i="14814"/>
  <c r="T764" i="14814"/>
  <c r="T933" i="14814"/>
  <c r="T901" i="14814"/>
  <c r="T782" i="14814"/>
  <c r="T862" i="14814"/>
  <c r="T752" i="14814"/>
  <c r="T640" i="14814"/>
  <c r="T673" i="14814"/>
  <c r="T906" i="14814"/>
  <c r="T780" i="14814"/>
  <c r="T725" i="14814"/>
  <c r="T784" i="14814"/>
  <c r="T633" i="14814"/>
  <c r="T829" i="14814"/>
  <c r="T872" i="14814"/>
  <c r="T897" i="14814"/>
  <c r="T975" i="14814"/>
  <c r="T799" i="14814"/>
  <c r="T730" i="14814"/>
  <c r="T637" i="14814"/>
  <c r="T666" i="14814"/>
  <c r="T850" i="14814"/>
  <c r="T859" i="14814"/>
  <c r="T806" i="14814"/>
  <c r="T935" i="14814"/>
  <c r="T792" i="14814"/>
  <c r="T925" i="14814"/>
  <c r="T795" i="14814"/>
  <c r="T745" i="14814"/>
  <c r="T767" i="14814"/>
  <c r="T631" i="14814"/>
  <c r="T624" i="14814"/>
  <c r="T917" i="14814"/>
  <c r="T625" i="14814"/>
  <c r="T890" i="14814"/>
  <c r="T682" i="14814"/>
  <c r="T687" i="14814"/>
  <c r="T761" i="14814"/>
  <c r="T626" i="14814"/>
  <c r="T931" i="14814"/>
  <c r="T911" i="14814"/>
  <c r="T811" i="14814"/>
  <c r="T708" i="14814"/>
  <c r="T912" i="14814"/>
  <c r="T805" i="14814"/>
  <c r="T822" i="14814"/>
  <c r="T744" i="14814"/>
  <c r="T777" i="14814"/>
  <c r="T658" i="14814"/>
  <c r="T617" i="14814"/>
  <c r="T908" i="14814"/>
  <c r="T883" i="14814"/>
  <c r="T620" i="14814"/>
  <c r="T810" i="14814"/>
  <c r="T930" i="14814"/>
  <c r="T824" i="14814"/>
  <c r="T655" i="14814"/>
  <c r="T950" i="14814"/>
  <c r="T660" i="14814"/>
  <c r="T945" i="14814"/>
  <c r="T877" i="14814"/>
  <c r="T615" i="14814"/>
  <c r="T970" i="14814"/>
  <c r="T860" i="14814"/>
  <c r="T787" i="14814"/>
  <c r="T772" i="14814"/>
  <c r="T753" i="14814"/>
  <c r="T677" i="14814"/>
  <c r="T757" i="14814"/>
  <c r="T845" i="14814"/>
  <c r="T750" i="14814"/>
  <c r="T887" i="14814"/>
  <c r="T875" i="14814"/>
  <c r="T902" i="14814"/>
  <c r="T695" i="14814"/>
  <c r="T899" i="14814"/>
  <c r="T943" i="14814"/>
  <c r="T713" i="14814"/>
  <c r="T923" i="14814"/>
  <c r="T921" i="14814"/>
  <c r="T833" i="14814"/>
  <c r="T739" i="14814"/>
  <c r="T913" i="14814"/>
  <c r="F305" i="14814"/>
  <c r="F306" i="14814"/>
  <c r="F304" i="14814"/>
  <c r="Q611" i="14814"/>
  <c r="U611" i="14814"/>
  <c r="H301" i="14814"/>
  <c r="AN301" i="14814"/>
  <c r="E305" i="14814"/>
  <c r="E304" i="14814"/>
  <c r="P611" i="14814"/>
  <c r="O611" i="14814"/>
  <c r="R612" i="14814"/>
  <c r="R611" i="14814" s="1"/>
  <c r="H300" i="14814"/>
  <c r="AN300" i="14814"/>
  <c r="AN299" i="14814"/>
  <c r="H299" i="14814"/>
  <c r="L306" i="14814"/>
  <c r="M301" i="14814"/>
  <c r="L303" i="14814"/>
  <c r="L305" i="14814"/>
  <c r="L304" i="14814"/>
  <c r="O123" i="14814"/>
  <c r="O124" i="14814"/>
  <c r="M147" i="14786" s="1"/>
  <c r="M82" i="14786"/>
  <c r="AN279" i="14814"/>
  <c r="S123" i="14842" l="1"/>
  <c r="AJ123" i="14842"/>
  <c r="AM148" i="14786"/>
  <c r="AA147" i="14786"/>
  <c r="N147" i="14786"/>
  <c r="AB147" i="14786"/>
  <c r="M132" i="14786"/>
  <c r="M187" i="14786" s="1"/>
  <c r="I155" i="14822"/>
  <c r="J185" i="14822"/>
  <c r="D123" i="14822"/>
  <c r="F123" i="14822"/>
  <c r="K185" i="14822"/>
  <c r="H123" i="14822"/>
  <c r="G93" i="14822"/>
  <c r="L155" i="14822"/>
  <c r="O93" i="14822"/>
  <c r="G123" i="14822"/>
  <c r="I185" i="14822"/>
  <c r="J155" i="14822"/>
  <c r="K123" i="14822"/>
  <c r="D155" i="14822"/>
  <c r="M185" i="14822"/>
  <c r="E93" i="14822"/>
  <c r="I93" i="14822"/>
  <c r="I123" i="14822"/>
  <c r="D185" i="14822"/>
  <c r="J93" i="14822"/>
  <c r="K155" i="14822"/>
  <c r="N155" i="14822"/>
  <c r="M123" i="14822"/>
  <c r="L93" i="14822"/>
  <c r="E185" i="14822"/>
  <c r="M93" i="14822"/>
  <c r="L185" i="14822"/>
  <c r="O185" i="14822"/>
  <c r="H93" i="14822"/>
  <c r="G155" i="14822"/>
  <c r="E123" i="14822"/>
  <c r="N123" i="14822"/>
  <c r="H185" i="14822"/>
  <c r="M155" i="14822"/>
  <c r="J123" i="14822"/>
  <c r="F93" i="14822"/>
  <c r="F185" i="14822"/>
  <c r="N93" i="14822"/>
  <c r="D93" i="14822"/>
  <c r="O123" i="14822"/>
  <c r="N185" i="14822"/>
  <c r="L123" i="14822"/>
  <c r="E155" i="14822"/>
  <c r="F155" i="14822"/>
  <c r="G185" i="14822"/>
  <c r="H155" i="14822"/>
  <c r="K93" i="14822"/>
  <c r="T611" i="14814"/>
  <c r="O132" i="14786"/>
  <c r="O187" i="14786" s="1"/>
  <c r="G26" i="14842" s="1"/>
  <c r="O141" i="14786"/>
  <c r="N132" i="14786"/>
  <c r="N187" i="14786" s="1"/>
  <c r="F26" i="14842" s="1"/>
  <c r="N141" i="14786"/>
  <c r="N82" i="14786"/>
  <c r="O82" i="14786"/>
  <c r="M85" i="14786"/>
  <c r="F275" i="14786" s="1"/>
  <c r="M83" i="14786"/>
  <c r="M84" i="14786"/>
  <c r="D41" i="14842" s="1"/>
  <c r="M304" i="14814"/>
  <c r="M306" i="14814"/>
  <c r="M303" i="14814"/>
  <c r="M305" i="14814"/>
  <c r="N301" i="14814"/>
  <c r="M141" i="14786"/>
  <c r="G306" i="14814"/>
  <c r="AN278" i="14814"/>
  <c r="G304" i="14814"/>
  <c r="G305" i="14814"/>
  <c r="I280" i="14814"/>
  <c r="I281" i="14814" l="1"/>
  <c r="I282" i="14814" s="1"/>
  <c r="I283" i="14814" s="1"/>
  <c r="I284" i="14814" s="1"/>
  <c r="I285" i="14814" s="1"/>
  <c r="I286" i="14814" s="1"/>
  <c r="I287" i="14814" s="1"/>
  <c r="I288" i="14814" s="1"/>
  <c r="I289" i="14814" s="1"/>
  <c r="I290" i="14814" s="1"/>
  <c r="I291" i="14814" s="1"/>
  <c r="I292" i="14814" s="1"/>
  <c r="I293" i="14814" s="1"/>
  <c r="I294" i="14814" s="1"/>
  <c r="I295" i="14814" s="1"/>
  <c r="I296" i="14814" s="1"/>
  <c r="I297" i="14814" s="1"/>
  <c r="I298" i="14814" s="1"/>
  <c r="I299" i="14814" s="1"/>
  <c r="I300" i="14814" s="1"/>
  <c r="I301" i="14814" s="1"/>
  <c r="M144" i="14786"/>
  <c r="M145" i="14786" s="1"/>
  <c r="N275" i="14786" s="1"/>
  <c r="D26" i="14842"/>
  <c r="P185" i="14822"/>
  <c r="P155" i="14822"/>
  <c r="P93" i="14822"/>
  <c r="P123" i="14822"/>
  <c r="S123" i="14822" s="1"/>
  <c r="L122" i="14842"/>
  <c r="N92" i="14842"/>
  <c r="N94" i="14842" s="1"/>
  <c r="J92" i="14842"/>
  <c r="J94" i="14842" s="1"/>
  <c r="F92" i="14842"/>
  <c r="F94" i="14842" s="1"/>
  <c r="H122" i="14842"/>
  <c r="O92" i="14842"/>
  <c r="O94" i="14842" s="1"/>
  <c r="D122" i="14842"/>
  <c r="X122" i="14842" s="1"/>
  <c r="G92" i="14842"/>
  <c r="G94" i="14842" s="1"/>
  <c r="H92" i="14842"/>
  <c r="H94" i="14842" s="1"/>
  <c r="J122" i="14842"/>
  <c r="I122" i="14842"/>
  <c r="G122" i="14842"/>
  <c r="L92" i="14842"/>
  <c r="L94" i="14842" s="1"/>
  <c r="E92" i="14842"/>
  <c r="E94" i="14842" s="1"/>
  <c r="K92" i="14842"/>
  <c r="K94" i="14842" s="1"/>
  <c r="M122" i="14842"/>
  <c r="D92" i="14842"/>
  <c r="E122" i="14842"/>
  <c r="I92" i="14842"/>
  <c r="I94" i="14842" s="1"/>
  <c r="F122" i="14842"/>
  <c r="K122" i="14842"/>
  <c r="O122" i="14842"/>
  <c r="M92" i="14842"/>
  <c r="M94" i="14842" s="1"/>
  <c r="N122" i="14842"/>
  <c r="O144" i="14786"/>
  <c r="O145" i="14786" s="1"/>
  <c r="N144" i="14786"/>
  <c r="N145" i="14786" s="1"/>
  <c r="N274" i="14786" s="1"/>
  <c r="N306" i="14814"/>
  <c r="N303" i="14814"/>
  <c r="N305" i="14814"/>
  <c r="N304" i="14814"/>
  <c r="N85" i="14786"/>
  <c r="F274" i="14786" s="1"/>
  <c r="N83" i="14786"/>
  <c r="N84" i="14786"/>
  <c r="F41" i="14842" s="1"/>
  <c r="O84" i="14786"/>
  <c r="G41" i="14842" s="1"/>
  <c r="O83" i="14786"/>
  <c r="O85" i="14786"/>
  <c r="F273" i="14786" s="1"/>
  <c r="D26" i="14822"/>
  <c r="F26" i="14822"/>
  <c r="D41" i="14822"/>
  <c r="E275" i="14786"/>
  <c r="H306" i="14814"/>
  <c r="H305" i="14814"/>
  <c r="H304" i="14814"/>
  <c r="G26" i="14822"/>
  <c r="J275" i="14814" l="1"/>
  <c r="J278" i="14814" s="1"/>
  <c r="J279" i="14814" s="1"/>
  <c r="J280" i="14814" s="1"/>
  <c r="J281" i="14814" s="1"/>
  <c r="J282" i="14814" s="1"/>
  <c r="J283" i="14814" s="1"/>
  <c r="J284" i="14814" s="1"/>
  <c r="J285" i="14814" s="1"/>
  <c r="J286" i="14814" s="1"/>
  <c r="J287" i="14814" s="1"/>
  <c r="J288" i="14814" s="1"/>
  <c r="J289" i="14814" s="1"/>
  <c r="J290" i="14814" s="1"/>
  <c r="J291" i="14814" s="1"/>
  <c r="J292" i="14814" s="1"/>
  <c r="J293" i="14814" s="1"/>
  <c r="J294" i="14814" s="1"/>
  <c r="J295" i="14814" s="1"/>
  <c r="J296" i="14814" s="1"/>
  <c r="J297" i="14814" s="1"/>
  <c r="J298" i="14814" s="1"/>
  <c r="J299" i="14814" s="1"/>
  <c r="J300" i="14814" s="1"/>
  <c r="J301" i="14814" s="1"/>
  <c r="K124" i="14842"/>
  <c r="AE122" i="14842"/>
  <c r="H124" i="14842"/>
  <c r="AB122" i="14842"/>
  <c r="N124" i="14842"/>
  <c r="AH122" i="14842"/>
  <c r="F124" i="14842"/>
  <c r="Z122" i="14842"/>
  <c r="M124" i="14842"/>
  <c r="AG122" i="14842"/>
  <c r="G124" i="14842"/>
  <c r="AA122" i="14842"/>
  <c r="I124" i="14842"/>
  <c r="AC122" i="14842"/>
  <c r="L124" i="14842"/>
  <c r="AF122" i="14842"/>
  <c r="O124" i="14842"/>
  <c r="AI122" i="14842"/>
  <c r="E124" i="14842"/>
  <c r="Y122" i="14842"/>
  <c r="J124" i="14842"/>
  <c r="AD122" i="14842"/>
  <c r="G154" i="14842"/>
  <c r="G156" i="14842" s="1"/>
  <c r="K154" i="14842"/>
  <c r="K156" i="14842" s="1"/>
  <c r="O154" i="14842"/>
  <c r="O156" i="14842" s="1"/>
  <c r="H154" i="14842"/>
  <c r="H156" i="14842" s="1"/>
  <c r="M154" i="14842"/>
  <c r="M156" i="14842" s="1"/>
  <c r="E154" i="14842"/>
  <c r="E156" i="14842" s="1"/>
  <c r="D154" i="14842"/>
  <c r="I154" i="14842"/>
  <c r="I156" i="14842" s="1"/>
  <c r="N154" i="14842"/>
  <c r="N156" i="14842" s="1"/>
  <c r="J154" i="14842"/>
  <c r="J156" i="14842" s="1"/>
  <c r="L154" i="14842"/>
  <c r="L156" i="14842" s="1"/>
  <c r="F154" i="14842"/>
  <c r="F156" i="14842" s="1"/>
  <c r="P122" i="14842"/>
  <c r="D124" i="14842"/>
  <c r="X124" i="14842" s="1"/>
  <c r="M184" i="14842"/>
  <c r="M186" i="14842" s="1"/>
  <c r="H184" i="14842"/>
  <c r="H186" i="14842" s="1"/>
  <c r="N184" i="14842"/>
  <c r="N186" i="14842" s="1"/>
  <c r="I184" i="14842"/>
  <c r="I186" i="14842" s="1"/>
  <c r="D184" i="14842"/>
  <c r="G184" i="14842"/>
  <c r="G186" i="14842" s="1"/>
  <c r="E184" i="14842"/>
  <c r="E186" i="14842" s="1"/>
  <c r="K184" i="14842"/>
  <c r="K186" i="14842" s="1"/>
  <c r="F184" i="14842"/>
  <c r="F186" i="14842" s="1"/>
  <c r="O184" i="14842"/>
  <c r="O186" i="14842" s="1"/>
  <c r="L184" i="14842"/>
  <c r="L186" i="14842" s="1"/>
  <c r="J184" i="14842"/>
  <c r="J186" i="14842" s="1"/>
  <c r="P92" i="14842"/>
  <c r="D94" i="14842"/>
  <c r="E273" i="14786"/>
  <c r="G41" i="14822"/>
  <c r="E274" i="14786"/>
  <c r="F41" i="14822"/>
  <c r="I92" i="14822"/>
  <c r="I94" i="14822" s="1"/>
  <c r="E122" i="14822"/>
  <c r="O122" i="14822"/>
  <c r="O92" i="14822"/>
  <c r="O94" i="14822" s="1"/>
  <c r="F92" i="14822"/>
  <c r="F94" i="14822" s="1"/>
  <c r="H92" i="14822"/>
  <c r="H94" i="14822" s="1"/>
  <c r="E92" i="14822"/>
  <c r="E94" i="14822" s="1"/>
  <c r="K92" i="14822"/>
  <c r="K94" i="14822" s="1"/>
  <c r="D92" i="14822"/>
  <c r="G92" i="14822"/>
  <c r="G94" i="14822" s="1"/>
  <c r="N92" i="14822"/>
  <c r="N94" i="14822" s="1"/>
  <c r="N122" i="14822"/>
  <c r="L92" i="14822"/>
  <c r="L94" i="14822" s="1"/>
  <c r="J92" i="14822"/>
  <c r="J94" i="14822" s="1"/>
  <c r="M122" i="14822"/>
  <c r="G122" i="14822"/>
  <c r="I122" i="14822"/>
  <c r="H122" i="14822"/>
  <c r="D122" i="14822"/>
  <c r="M92" i="14822"/>
  <c r="M94" i="14822" s="1"/>
  <c r="F122" i="14822"/>
  <c r="L122" i="14822"/>
  <c r="J122" i="14822"/>
  <c r="K122" i="14822"/>
  <c r="I305" i="14814"/>
  <c r="I304" i="14814"/>
  <c r="I306" i="14814"/>
  <c r="Y124" i="14842" l="1"/>
  <c r="AF124" i="14842"/>
  <c r="AA124" i="14842"/>
  <c r="Z124" i="14842"/>
  <c r="AB124" i="14842"/>
  <c r="S122" i="14842"/>
  <c r="AJ122" i="14842"/>
  <c r="AD124" i="14842"/>
  <c r="AI124" i="14842"/>
  <c r="AC124" i="14842"/>
  <c r="AG124" i="14842"/>
  <c r="AH124" i="14842"/>
  <c r="AE124" i="14842"/>
  <c r="P154" i="14842"/>
  <c r="D156" i="14842"/>
  <c r="P184" i="14842"/>
  <c r="D186" i="14842"/>
  <c r="P124" i="14842"/>
  <c r="P94" i="14842"/>
  <c r="I124" i="14822"/>
  <c r="D94" i="14822"/>
  <c r="P92" i="14822"/>
  <c r="K124" i="14822"/>
  <c r="G124" i="14822"/>
  <c r="J124" i="14822"/>
  <c r="M124" i="14822"/>
  <c r="H184" i="14822"/>
  <c r="H186" i="14822" s="1"/>
  <c r="L184" i="14822"/>
  <c r="L186" i="14822" s="1"/>
  <c r="K184" i="14822"/>
  <c r="K186" i="14822" s="1"/>
  <c r="M184" i="14822"/>
  <c r="M186" i="14822" s="1"/>
  <c r="E184" i="14822"/>
  <c r="E186" i="14822" s="1"/>
  <c r="J184" i="14822"/>
  <c r="J186" i="14822" s="1"/>
  <c r="G184" i="14822"/>
  <c r="G186" i="14822" s="1"/>
  <c r="N184" i="14822"/>
  <c r="N186" i="14822" s="1"/>
  <c r="F184" i="14822"/>
  <c r="F186" i="14822" s="1"/>
  <c r="D184" i="14822"/>
  <c r="O184" i="14822"/>
  <c r="O186" i="14822" s="1"/>
  <c r="I184" i="14822"/>
  <c r="I186" i="14822" s="1"/>
  <c r="L124" i="14822"/>
  <c r="E154" i="14822"/>
  <c r="E156" i="14822" s="1"/>
  <c r="K154" i="14822"/>
  <c r="K156" i="14822" s="1"/>
  <c r="D154" i="14822"/>
  <c r="G154" i="14822"/>
  <c r="G156" i="14822" s="1"/>
  <c r="L154" i="14822"/>
  <c r="L156" i="14822" s="1"/>
  <c r="F154" i="14822"/>
  <c r="F156" i="14822" s="1"/>
  <c r="M154" i="14822"/>
  <c r="M156" i="14822" s="1"/>
  <c r="J154" i="14822"/>
  <c r="J156" i="14822" s="1"/>
  <c r="O154" i="14822"/>
  <c r="O156" i="14822" s="1"/>
  <c r="H154" i="14822"/>
  <c r="H156" i="14822" s="1"/>
  <c r="I154" i="14822"/>
  <c r="I156" i="14822" s="1"/>
  <c r="N154" i="14822"/>
  <c r="N156" i="14822" s="1"/>
  <c r="F124" i="14822"/>
  <c r="N124" i="14822"/>
  <c r="D124" i="14822"/>
  <c r="O124" i="14822"/>
  <c r="H124" i="14822"/>
  <c r="E124" i="14822"/>
  <c r="J304" i="14814"/>
  <c r="J305" i="14814"/>
  <c r="J306" i="14814"/>
  <c r="S124" i="14842" l="1"/>
  <c r="AJ124" i="14842"/>
  <c r="P156" i="14842"/>
  <c r="P186" i="14842"/>
  <c r="D186" i="14822"/>
  <c r="P184" i="14822"/>
  <c r="D156" i="14822"/>
  <c r="P154" i="14822"/>
  <c r="P124" i="14822"/>
  <c r="S124" i="14822" s="1"/>
  <c r="P94" i="14822"/>
  <c r="P186" i="14822" l="1"/>
  <c r="P156" i="14822"/>
  <c r="M2" i="14852" l="1"/>
  <c r="O2" i="14852"/>
  <c r="O127" i="14852" s="1"/>
  <c r="C232" i="14852"/>
  <c r="C238" i="14852"/>
  <c r="C236" i="14852"/>
  <c r="C240" i="14852"/>
  <c r="O135" i="14852"/>
  <c r="M134" i="14852"/>
  <c r="M40" i="14852"/>
  <c r="M163" i="14852"/>
  <c r="M192" i="14852"/>
  <c r="M42" i="14852"/>
  <c r="O140" i="14852"/>
  <c r="M89" i="14852"/>
  <c r="M11" i="14852"/>
  <c r="C230" i="14852"/>
  <c r="M56" i="14852"/>
  <c r="M87" i="14852"/>
  <c r="N163" i="14852"/>
  <c r="N139" i="14852"/>
  <c r="M41" i="14852"/>
  <c r="O139" i="14852"/>
  <c r="M194" i="14852"/>
  <c r="M114" i="14852"/>
  <c r="M130" i="14852"/>
  <c r="M133" i="14852" s="1" a="1"/>
  <c r="M133" i="14852" s="1"/>
  <c r="M140" i="14852"/>
  <c r="M118" i="14852"/>
  <c r="C234" i="14852"/>
  <c r="M59" i="14852"/>
  <c r="E336" i="14814" s="1"/>
  <c r="O163" i="14852"/>
  <c r="M61" i="14852"/>
  <c r="M139" i="14852"/>
  <c r="M236" i="14814" s="1"/>
  <c r="M190" i="14852"/>
  <c r="M35" i="14852"/>
  <c r="M12" i="14852"/>
  <c r="M102" i="14852" s="1"/>
  <c r="E138" i="14852"/>
  <c r="M60" i="14852"/>
  <c r="M115" i="14852"/>
  <c r="N140" i="14852"/>
  <c r="M68" i="14852"/>
  <c r="M336" i="14814" s="1"/>
  <c r="M79" i="14852"/>
  <c r="C2" i="14852"/>
  <c r="N19" i="14852"/>
  <c r="F16" i="14848" s="1"/>
  <c r="O26" i="14852"/>
  <c r="O18" i="14852"/>
  <c r="G15" i="14847" s="1"/>
  <c r="M8" i="14852"/>
  <c r="D6" i="14848" s="1"/>
  <c r="M186" i="14852"/>
  <c r="D34" i="14847" s="1"/>
  <c r="H63" i="14852" a="1"/>
  <c r="H63" i="14852" s="1"/>
  <c r="M32" i="14852"/>
  <c r="V586" i="14814" s="1"/>
  <c r="M20" i="14852"/>
  <c r="O20" i="14852" s="1"/>
  <c r="M18" i="14852"/>
  <c r="E15" i="14847" s="1"/>
  <c r="H67" i="14852" a="1"/>
  <c r="H67" i="14852" s="1"/>
  <c r="L336" i="14814" s="1"/>
  <c r="N136" i="14852"/>
  <c r="N137" i="14852" s="1"/>
  <c r="M184" i="14852"/>
  <c r="M36" i="14852"/>
  <c r="M165" i="14852" s="1"/>
  <c r="O165" i="14852" s="1"/>
  <c r="M136" i="14852" a="1"/>
  <c r="M136" i="14852" s="1"/>
  <c r="K233" i="14814" s="1"/>
  <c r="O136" i="14852"/>
  <c r="O132" i="14852" s="1"/>
  <c r="M54" i="14852"/>
  <c r="M55" i="14852" s="1"/>
  <c r="M191" i="14852"/>
  <c r="N26" i="14852"/>
  <c r="O19" i="14852"/>
  <c r="G16" i="14847" s="1"/>
  <c r="N18" i="14852"/>
  <c r="M19" i="14852"/>
  <c r="H66" i="14852" a="1"/>
  <c r="H66" i="14852" s="1"/>
  <c r="M185" i="14852"/>
  <c r="M135" i="14852"/>
  <c r="N135" i="14852" s="1"/>
  <c r="M99" i="14852"/>
  <c r="N117" i="14852"/>
  <c r="N27" i="14852"/>
  <c r="F30" i="14848" s="1"/>
  <c r="M179" i="14852"/>
  <c r="N179" i="14852" s="1"/>
  <c r="O27" i="14852"/>
  <c r="G30" i="14848" s="1"/>
  <c r="M34" i="14852"/>
  <c r="D35" i="14847" s="1"/>
  <c r="D58" i="14847" s="1"/>
  <c r="M58" i="14852"/>
  <c r="O179" i="14852"/>
  <c r="M27" i="14852"/>
  <c r="M22" i="14852"/>
  <c r="M28" i="14852"/>
  <c r="D27" i="14848" s="1"/>
  <c r="M26" i="14852"/>
  <c r="M88" i="14852"/>
  <c r="AC60" i="14814" s="1"/>
  <c r="M78" i="14852"/>
  <c r="E235" i="14814" s="1"/>
  <c r="M80" i="14852"/>
  <c r="M81" i="14852" s="1"/>
  <c r="O78" i="14852"/>
  <c r="F268" i="14852" s="1"/>
  <c r="N78" i="14852"/>
  <c r="F269" i="14852" s="1"/>
  <c r="N80" i="14852"/>
  <c r="O77" i="14852"/>
  <c r="E268" i="14852" s="1"/>
  <c r="N77" i="14852"/>
  <c r="O80" i="14852"/>
  <c r="O81" i="14852" s="1"/>
  <c r="H62" i="14852" a="1"/>
  <c r="H62" i="14852" s="1"/>
  <c r="M33" i="14852"/>
  <c r="M31" i="14852"/>
  <c r="M77" i="14852"/>
  <c r="M10" i="14852"/>
  <c r="M14" i="14852"/>
  <c r="N180" i="14852" l="1"/>
  <c r="O180" i="14852"/>
  <c r="R60" i="14814"/>
  <c r="AA60" i="14814"/>
  <c r="S60" i="14814"/>
  <c r="AB60" i="14814"/>
  <c r="U586" i="14814"/>
  <c r="W235" i="14814"/>
  <c r="M100" i="14852"/>
  <c r="O108" i="14852" s="1"/>
  <c r="I236" i="14814"/>
  <c r="I253" i="14814" s="1"/>
  <c r="C127" i="14852"/>
  <c r="I584" i="14814"/>
  <c r="O85" i="14852"/>
  <c r="F273" i="14852" s="1"/>
  <c r="M13" i="14852"/>
  <c r="D8" i="14847" s="1"/>
  <c r="M193" i="14852"/>
  <c r="M195" i="14852" s="1"/>
  <c r="O187" i="14852"/>
  <c r="G26" i="14848" s="1"/>
  <c r="O84" i="14852"/>
  <c r="E273" i="14852" s="1"/>
  <c r="M83" i="14852"/>
  <c r="N165" i="14852"/>
  <c r="D39" i="14847"/>
  <c r="N85" i="14852"/>
  <c r="F274" i="14852" s="1"/>
  <c r="G16" i="14848"/>
  <c r="E15" i="14848"/>
  <c r="D34" i="14848"/>
  <c r="G15" i="14848"/>
  <c r="F16" i="14847"/>
  <c r="O186" i="14852"/>
  <c r="M62" i="14852"/>
  <c r="D37" i="14847"/>
  <c r="O137" i="14852"/>
  <c r="N132" i="14852"/>
  <c r="N187" i="14852" s="1"/>
  <c r="N142" i="14852"/>
  <c r="O141" i="14852"/>
  <c r="O83" i="14852"/>
  <c r="O144" i="14852"/>
  <c r="O142" i="14852"/>
  <c r="N186" i="14852"/>
  <c r="E270" i="14852"/>
  <c r="D235" i="14814"/>
  <c r="M84" i="14852"/>
  <c r="E269" i="14852"/>
  <c r="N84" i="14852"/>
  <c r="N81" i="14852"/>
  <c r="N83" i="14852"/>
  <c r="E241" i="14814"/>
  <c r="E245" i="14814"/>
  <c r="E249" i="14814"/>
  <c r="E253" i="14814"/>
  <c r="E257" i="14814"/>
  <c r="E261" i="14814"/>
  <c r="E242" i="14814"/>
  <c r="E247" i="14814"/>
  <c r="E252" i="14814"/>
  <c r="E258" i="14814"/>
  <c r="E239" i="14814"/>
  <c r="E248" i="14814"/>
  <c r="E255" i="14814"/>
  <c r="E243" i="14814"/>
  <c r="E250" i="14814"/>
  <c r="E256" i="14814"/>
  <c r="E244" i="14814"/>
  <c r="E251" i="14814"/>
  <c r="E259" i="14814"/>
  <c r="E246" i="14814"/>
  <c r="E254" i="14814"/>
  <c r="E260" i="14814"/>
  <c r="E238" i="14814"/>
  <c r="N161" i="14852"/>
  <c r="H274" i="14852" s="1"/>
  <c r="O161" i="14852"/>
  <c r="H273" i="14852" s="1"/>
  <c r="M161" i="14852"/>
  <c r="H275" i="14852" s="1"/>
  <c r="T235" i="14814"/>
  <c r="U235" i="14814" s="1"/>
  <c r="M37" i="14852"/>
  <c r="D29" i="14848"/>
  <c r="D29" i="14847"/>
  <c r="I235" i="14814"/>
  <c r="D9" i="14847"/>
  <c r="D9" i="14848"/>
  <c r="M23" i="14852"/>
  <c r="M24" i="14852" s="1"/>
  <c r="M25" i="14852" s="1"/>
  <c r="M90" i="14852"/>
  <c r="D35" i="14848"/>
  <c r="D58" i="14848" s="1"/>
  <c r="D37" i="14848"/>
  <c r="E240" i="14814"/>
  <c r="M96" i="14852"/>
  <c r="M168" i="14852"/>
  <c r="M169" i="14852" s="1"/>
  <c r="M170" i="14852" s="1"/>
  <c r="O133" i="14852"/>
  <c r="N133" i="14852"/>
  <c r="K235" i="14814"/>
  <c r="M85" i="14852"/>
  <c r="F275" i="14852" s="1"/>
  <c r="F270" i="14852"/>
  <c r="D27" i="14847"/>
  <c r="N28" i="14852"/>
  <c r="O28" i="14852"/>
  <c r="D30" i="14848"/>
  <c r="C336" i="14814"/>
  <c r="D36" i="14848"/>
  <c r="D36" i="14847"/>
  <c r="M66" i="14852"/>
  <c r="M180" i="14852"/>
  <c r="M57" i="14852"/>
  <c r="G29" i="14847"/>
  <c r="G29" i="14848"/>
  <c r="O185" i="14852"/>
  <c r="N185" i="14852"/>
  <c r="E16" i="14848"/>
  <c r="E16" i="14847"/>
  <c r="M137" i="14852"/>
  <c r="M132" i="14852"/>
  <c r="M187" i="14852" s="1"/>
  <c r="M138" i="14852"/>
  <c r="M144" i="14852"/>
  <c r="M141" i="14852"/>
  <c r="M142" i="14852"/>
  <c r="M143" i="14852" s="1"/>
  <c r="Y235" i="14814"/>
  <c r="M38" i="14852"/>
  <c r="N235" i="14814"/>
  <c r="N184" i="14852"/>
  <c r="O184" i="14852"/>
  <c r="D28" i="14848"/>
  <c r="N20" i="14852"/>
  <c r="D28" i="14847"/>
  <c r="Z235" i="14814"/>
  <c r="F15" i="14847"/>
  <c r="F15" i="14848"/>
  <c r="F29" i="14848"/>
  <c r="F29" i="14847"/>
  <c r="D39" i="14848"/>
  <c r="N141" i="14852"/>
  <c r="N138" i="14852"/>
  <c r="N144" i="14852"/>
  <c r="M67" i="14852"/>
  <c r="M63" i="14852"/>
  <c r="O138" i="14852"/>
  <c r="D6" i="14847"/>
  <c r="D5" i="14847"/>
  <c r="N108" i="14852" l="1"/>
  <c r="O64" i="14852"/>
  <c r="M110" i="14852"/>
  <c r="M108" i="14852"/>
  <c r="I252" i="14814"/>
  <c r="I251" i="14814"/>
  <c r="I256" i="14814"/>
  <c r="I250" i="14814"/>
  <c r="I254" i="14814"/>
  <c r="I255" i="14814"/>
  <c r="D40" i="14847"/>
  <c r="D123" i="14847" s="1"/>
  <c r="M174" i="14852"/>
  <c r="D8" i="14848"/>
  <c r="O174" i="14852"/>
  <c r="N174" i="14852"/>
  <c r="M95" i="14852"/>
  <c r="D336" i="14814"/>
  <c r="G336" i="14814" s="1"/>
  <c r="N196" i="14852"/>
  <c r="J274" i="14852" s="1"/>
  <c r="M196" i="14852"/>
  <c r="J273" i="14852" s="1"/>
  <c r="O196" i="14852"/>
  <c r="K273" i="14852" s="1"/>
  <c r="G26" i="14847"/>
  <c r="M64" i="14852"/>
  <c r="M65" i="14852"/>
  <c r="C235" i="14814"/>
  <c r="C247" i="14814" s="1"/>
  <c r="N64" i="14852"/>
  <c r="F26" i="14848"/>
  <c r="F26" i="14847"/>
  <c r="N270" i="14852"/>
  <c r="M145" i="14852"/>
  <c r="N275" i="14852" s="1"/>
  <c r="N242" i="14814"/>
  <c r="N241" i="14814"/>
  <c r="N240" i="14814"/>
  <c r="N257" i="14814"/>
  <c r="N260" i="14814"/>
  <c r="N252" i="14814"/>
  <c r="N246" i="14814"/>
  <c r="N261" i="14814"/>
  <c r="N255" i="14814"/>
  <c r="N250" i="14814"/>
  <c r="N244" i="14814"/>
  <c r="N259" i="14814"/>
  <c r="N249" i="14814"/>
  <c r="N256" i="14814"/>
  <c r="N239" i="14814"/>
  <c r="N245" i="14814"/>
  <c r="N253" i="14814"/>
  <c r="N248" i="14814"/>
  <c r="N254" i="14814"/>
  <c r="N243" i="14814"/>
  <c r="N251" i="14814"/>
  <c r="N258" i="14814"/>
  <c r="N247" i="14814"/>
  <c r="N238" i="14814"/>
  <c r="K241" i="14814"/>
  <c r="K243" i="14814"/>
  <c r="K245" i="14814"/>
  <c r="K247" i="14814"/>
  <c r="K249" i="14814"/>
  <c r="K251" i="14814"/>
  <c r="K253" i="14814"/>
  <c r="K255" i="14814"/>
  <c r="K257" i="14814"/>
  <c r="K239" i="14814"/>
  <c r="K259" i="14814"/>
  <c r="K242" i="14814"/>
  <c r="K246" i="14814"/>
  <c r="K250" i="14814"/>
  <c r="K254" i="14814"/>
  <c r="K258" i="14814"/>
  <c r="K260" i="14814"/>
  <c r="K240" i="14814"/>
  <c r="K244" i="14814"/>
  <c r="K248" i="14814"/>
  <c r="K252" i="14814"/>
  <c r="K256" i="14814"/>
  <c r="K261" i="14814"/>
  <c r="K238" i="14814"/>
  <c r="N93" i="14852"/>
  <c r="N121" i="14852" s="1"/>
  <c r="M93" i="14852"/>
  <c r="N168" i="14852"/>
  <c r="N169" i="14852" s="1"/>
  <c r="N170" i="14852" s="1"/>
  <c r="N143" i="14852"/>
  <c r="E275" i="14852"/>
  <c r="O143" i="14852"/>
  <c r="O145" i="14852" s="1"/>
  <c r="O168" i="14852"/>
  <c r="O169" i="14852" s="1"/>
  <c r="O170" i="14852" s="1"/>
  <c r="D40" i="14848"/>
  <c r="W240" i="14814"/>
  <c r="X240" i="14814" s="1"/>
  <c r="L240" i="14814" s="1"/>
  <c r="M240" i="14814" s="1"/>
  <c r="W241" i="14814"/>
  <c r="X241" i="14814" s="1"/>
  <c r="L241" i="14814" s="1"/>
  <c r="M241" i="14814" s="1"/>
  <c r="W257" i="14814"/>
  <c r="X257" i="14814" s="1"/>
  <c r="L257" i="14814" s="1"/>
  <c r="M257" i="14814" s="1"/>
  <c r="W261" i="14814"/>
  <c r="X261" i="14814" s="1"/>
  <c r="L261" i="14814" s="1"/>
  <c r="M261" i="14814" s="1"/>
  <c r="W254" i="14814"/>
  <c r="X254" i="14814" s="1"/>
  <c r="L254" i="14814" s="1"/>
  <c r="M254" i="14814" s="1"/>
  <c r="W244" i="14814"/>
  <c r="X244" i="14814" s="1"/>
  <c r="L244" i="14814" s="1"/>
  <c r="M244" i="14814" s="1"/>
  <c r="W246" i="14814"/>
  <c r="X246" i="14814" s="1"/>
  <c r="L246" i="14814" s="1"/>
  <c r="M246" i="14814" s="1"/>
  <c r="W250" i="14814"/>
  <c r="X250" i="14814" s="1"/>
  <c r="L250" i="14814" s="1"/>
  <c r="M250" i="14814" s="1"/>
  <c r="W255" i="14814"/>
  <c r="X255" i="14814" s="1"/>
  <c r="L255" i="14814" s="1"/>
  <c r="M255" i="14814" s="1"/>
  <c r="W260" i="14814"/>
  <c r="X260" i="14814" s="1"/>
  <c r="L260" i="14814" s="1"/>
  <c r="M260" i="14814" s="1"/>
  <c r="W239" i="14814"/>
  <c r="X239" i="14814" s="1"/>
  <c r="L239" i="14814" s="1"/>
  <c r="M239" i="14814" s="1"/>
  <c r="W251" i="14814"/>
  <c r="X251" i="14814" s="1"/>
  <c r="L251" i="14814" s="1"/>
  <c r="M251" i="14814" s="1"/>
  <c r="W247" i="14814"/>
  <c r="X247" i="14814" s="1"/>
  <c r="L247" i="14814" s="1"/>
  <c r="M247" i="14814" s="1"/>
  <c r="W252" i="14814"/>
  <c r="X252" i="14814" s="1"/>
  <c r="L252" i="14814" s="1"/>
  <c r="M252" i="14814" s="1"/>
  <c r="W245" i="14814"/>
  <c r="X245" i="14814" s="1"/>
  <c r="L245" i="14814" s="1"/>
  <c r="M245" i="14814" s="1"/>
  <c r="W256" i="14814"/>
  <c r="X256" i="14814" s="1"/>
  <c r="L256" i="14814" s="1"/>
  <c r="M256" i="14814" s="1"/>
  <c r="W248" i="14814"/>
  <c r="X248" i="14814" s="1"/>
  <c r="L248" i="14814" s="1"/>
  <c r="M248" i="14814" s="1"/>
  <c r="W242" i="14814"/>
  <c r="X242" i="14814" s="1"/>
  <c r="L242" i="14814" s="1"/>
  <c r="M242" i="14814" s="1"/>
  <c r="W249" i="14814"/>
  <c r="X249" i="14814" s="1"/>
  <c r="L249" i="14814" s="1"/>
  <c r="M249" i="14814" s="1"/>
  <c r="W253" i="14814"/>
  <c r="X253" i="14814" s="1"/>
  <c r="L253" i="14814" s="1"/>
  <c r="M253" i="14814" s="1"/>
  <c r="W258" i="14814"/>
  <c r="X258" i="14814" s="1"/>
  <c r="L258" i="14814" s="1"/>
  <c r="M258" i="14814" s="1"/>
  <c r="W238" i="14814"/>
  <c r="X238" i="14814" s="1"/>
  <c r="W243" i="14814"/>
  <c r="X243" i="14814" s="1"/>
  <c r="L243" i="14814" s="1"/>
  <c r="M243" i="14814" s="1"/>
  <c r="W259" i="14814"/>
  <c r="X259" i="14814" s="1"/>
  <c r="L259" i="14814" s="1"/>
  <c r="M259" i="14814" s="1"/>
  <c r="I247" i="14814"/>
  <c r="I244" i="14814"/>
  <c r="I248" i="14814"/>
  <c r="I240" i="14814"/>
  <c r="I241" i="14814"/>
  <c r="I239" i="14814"/>
  <c r="I246" i="14814"/>
  <c r="I238" i="14814"/>
  <c r="I257" i="14814"/>
  <c r="I258" i="14814"/>
  <c r="I242" i="14814"/>
  <c r="I260" i="14814"/>
  <c r="I259" i="14814"/>
  <c r="I243" i="14814"/>
  <c r="I249" i="14814"/>
  <c r="I261" i="14814"/>
  <c r="I245" i="14814"/>
  <c r="D242" i="14814"/>
  <c r="D246" i="14814"/>
  <c r="D250" i="14814"/>
  <c r="D254" i="14814"/>
  <c r="D258" i="14814"/>
  <c r="D239" i="14814"/>
  <c r="D245" i="14814"/>
  <c r="D251" i="14814"/>
  <c r="D256" i="14814"/>
  <c r="D261" i="14814"/>
  <c r="D240" i="14814"/>
  <c r="D247" i="14814"/>
  <c r="D253" i="14814"/>
  <c r="D260" i="14814"/>
  <c r="D241" i="14814"/>
  <c r="D248" i="14814"/>
  <c r="D255" i="14814"/>
  <c r="D243" i="14814"/>
  <c r="D249" i="14814"/>
  <c r="D257" i="14814"/>
  <c r="D252" i="14814"/>
  <c r="D259" i="14814"/>
  <c r="D238" i="14814"/>
  <c r="D244" i="14814"/>
  <c r="D10" i="14847"/>
  <c r="E263" i="14814"/>
  <c r="E264" i="14814"/>
  <c r="D26" i="14847"/>
  <c r="D26" i="14848"/>
  <c r="E274" i="14852"/>
  <c r="F355" i="14814" l="1"/>
  <c r="G355" i="14814" s="1"/>
  <c r="AN355" i="14814" s="1"/>
  <c r="F351" i="14814"/>
  <c r="G351" i="14814" s="1"/>
  <c r="AN351" i="14814" s="1"/>
  <c r="K275" i="14852"/>
  <c r="F357" i="14814"/>
  <c r="G357" i="14814" s="1"/>
  <c r="AN357" i="14814" s="1"/>
  <c r="F339" i="14814"/>
  <c r="G339" i="14814" s="1"/>
  <c r="F345" i="14814"/>
  <c r="G345" i="14814" s="1"/>
  <c r="AN345" i="14814" s="1"/>
  <c r="P60" i="14814"/>
  <c r="R63" i="14814" s="1"/>
  <c r="F350" i="14814"/>
  <c r="G350" i="14814" s="1"/>
  <c r="AN350" i="14814" s="1"/>
  <c r="F361" i="14814"/>
  <c r="G361" i="14814" s="1"/>
  <c r="AN361" i="14814" s="1"/>
  <c r="D19" i="14848"/>
  <c r="M111" i="14852"/>
  <c r="M120" i="14852" s="1"/>
  <c r="F341" i="14814"/>
  <c r="G341" i="14814" s="1"/>
  <c r="AN341" i="14814" s="1"/>
  <c r="F340" i="14814"/>
  <c r="G340" i="14814" s="1"/>
  <c r="AN340" i="14814" s="1"/>
  <c r="F352" i="14814"/>
  <c r="G352" i="14814" s="1"/>
  <c r="AN352" i="14814" s="1"/>
  <c r="F347" i="14814"/>
  <c r="G347" i="14814" s="1"/>
  <c r="AN347" i="14814" s="1"/>
  <c r="F343" i="14814"/>
  <c r="G343" i="14814" s="1"/>
  <c r="AN343" i="14814" s="1"/>
  <c r="F356" i="14814"/>
  <c r="G356" i="14814" s="1"/>
  <c r="AN356" i="14814" s="1"/>
  <c r="F358" i="14814"/>
  <c r="G358" i="14814" s="1"/>
  <c r="AN358" i="14814" s="1"/>
  <c r="F362" i="14814"/>
  <c r="G362" i="14814" s="1"/>
  <c r="AN362" i="14814" s="1"/>
  <c r="F360" i="14814"/>
  <c r="G360" i="14814" s="1"/>
  <c r="AN360" i="14814" s="1"/>
  <c r="F344" i="14814"/>
  <c r="G344" i="14814" s="1"/>
  <c r="AN344" i="14814" s="1"/>
  <c r="F354" i="14814"/>
  <c r="G354" i="14814" s="1"/>
  <c r="AN354" i="14814" s="1"/>
  <c r="F346" i="14814"/>
  <c r="G346" i="14814" s="1"/>
  <c r="AN346" i="14814" s="1"/>
  <c r="F353" i="14814"/>
  <c r="G353" i="14814" s="1"/>
  <c r="AN353" i="14814" s="1"/>
  <c r="F342" i="14814"/>
  <c r="G342" i="14814" s="1"/>
  <c r="AN342" i="14814" s="1"/>
  <c r="F349" i="14814"/>
  <c r="G349" i="14814" s="1"/>
  <c r="AN349" i="14814" s="1"/>
  <c r="F359" i="14814"/>
  <c r="G359" i="14814" s="1"/>
  <c r="AN359" i="14814" s="1"/>
  <c r="F348" i="14814"/>
  <c r="G348" i="14814" s="1"/>
  <c r="AN348" i="14814" s="1"/>
  <c r="D356" i="14814"/>
  <c r="D351" i="14814"/>
  <c r="D358" i="14814"/>
  <c r="D342" i="14814"/>
  <c r="D349" i="14814"/>
  <c r="D352" i="14814"/>
  <c r="D339" i="14814"/>
  <c r="D347" i="14814"/>
  <c r="D354" i="14814"/>
  <c r="D361" i="14814"/>
  <c r="D345" i="14814"/>
  <c r="D348" i="14814"/>
  <c r="D359" i="14814"/>
  <c r="D343" i="14814"/>
  <c r="D350" i="14814"/>
  <c r="D357" i="14814"/>
  <c r="D341" i="14814"/>
  <c r="D344" i="14814"/>
  <c r="D355" i="14814"/>
  <c r="D362" i="14814"/>
  <c r="D346" i="14814"/>
  <c r="D353" i="14814"/>
  <c r="D360" i="14814"/>
  <c r="D340" i="14814"/>
  <c r="D20" i="14848"/>
  <c r="J275" i="14852"/>
  <c r="D17" i="14847"/>
  <c r="N111" i="14852"/>
  <c r="N120" i="14852" s="1"/>
  <c r="N123" i="14852" s="1"/>
  <c r="D18" i="14848"/>
  <c r="O109" i="14852"/>
  <c r="O119" i="14852" s="1"/>
  <c r="O124" i="14852" s="1"/>
  <c r="N173" i="14852"/>
  <c r="M109" i="14852"/>
  <c r="M119" i="14852" s="1"/>
  <c r="M124" i="14852" s="1"/>
  <c r="O111" i="14852"/>
  <c r="O120" i="14852" s="1"/>
  <c r="D18" i="14847"/>
  <c r="D19" i="14847"/>
  <c r="M173" i="14852"/>
  <c r="D20" i="14847"/>
  <c r="J235" i="14814"/>
  <c r="J253" i="14814" s="1"/>
  <c r="L93" i="14847"/>
  <c r="O173" i="14852"/>
  <c r="D17" i="14848"/>
  <c r="N109" i="14852"/>
  <c r="N119" i="14852" s="1"/>
  <c r="C242" i="14814"/>
  <c r="D10" i="14848"/>
  <c r="K274" i="14852"/>
  <c r="K123" i="14847"/>
  <c r="N155" i="14847"/>
  <c r="K93" i="14847"/>
  <c r="C246" i="14814"/>
  <c r="F155" i="14847"/>
  <c r="M185" i="14847"/>
  <c r="I123" i="14847"/>
  <c r="K155" i="14847"/>
  <c r="G155" i="14847"/>
  <c r="O123" i="14847"/>
  <c r="H185" i="14847"/>
  <c r="O93" i="14847"/>
  <c r="E185" i="14847"/>
  <c r="C245" i="14814"/>
  <c r="J155" i="14847"/>
  <c r="J185" i="14847"/>
  <c r="G123" i="14847"/>
  <c r="G93" i="14847"/>
  <c r="M123" i="14847"/>
  <c r="F185" i="14847"/>
  <c r="D185" i="14847"/>
  <c r="G185" i="14847"/>
  <c r="K185" i="14847"/>
  <c r="D93" i="14847"/>
  <c r="N185" i="14847"/>
  <c r="E93" i="14847"/>
  <c r="I155" i="14847"/>
  <c r="J93" i="14847"/>
  <c r="F123" i="14847"/>
  <c r="I93" i="14847"/>
  <c r="L123" i="14847"/>
  <c r="D155" i="14847"/>
  <c r="O155" i="14847"/>
  <c r="L155" i="14847"/>
  <c r="H155" i="14847"/>
  <c r="O185" i="14847"/>
  <c r="H123" i="14847"/>
  <c r="N123" i="14847"/>
  <c r="C258" i="14814"/>
  <c r="C240" i="14814"/>
  <c r="C249" i="14814"/>
  <c r="M155" i="14847"/>
  <c r="N93" i="14847"/>
  <c r="F93" i="14847"/>
  <c r="M93" i="14847"/>
  <c r="E155" i="14847"/>
  <c r="I185" i="14847"/>
  <c r="E123" i="14847"/>
  <c r="L185" i="14847"/>
  <c r="H93" i="14847"/>
  <c r="J123" i="14847"/>
  <c r="C239" i="14814"/>
  <c r="C256" i="14814"/>
  <c r="C244" i="14814"/>
  <c r="C259" i="14814"/>
  <c r="C260" i="14814"/>
  <c r="C248" i="14814"/>
  <c r="C255" i="14814"/>
  <c r="C250" i="14814"/>
  <c r="C243" i="14814"/>
  <c r="C238" i="14814"/>
  <c r="C257" i="14814"/>
  <c r="C241" i="14814"/>
  <c r="C253" i="14814"/>
  <c r="C252" i="14814"/>
  <c r="C251" i="14814"/>
  <c r="C261" i="14814"/>
  <c r="C254" i="14814"/>
  <c r="O244" i="14814"/>
  <c r="O254" i="14814"/>
  <c r="O245" i="14814"/>
  <c r="O240" i="14814"/>
  <c r="I123" i="14848"/>
  <c r="G93" i="14848"/>
  <c r="J123" i="14848"/>
  <c r="E93" i="14848"/>
  <c r="H93" i="14848"/>
  <c r="F93" i="14848"/>
  <c r="L155" i="14848"/>
  <c r="O155" i="14848"/>
  <c r="K155" i="14848"/>
  <c r="E185" i="14848"/>
  <c r="N185" i="14848"/>
  <c r="G185" i="14848"/>
  <c r="L93" i="14848"/>
  <c r="I93" i="14848"/>
  <c r="L123" i="14848"/>
  <c r="N155" i="14848"/>
  <c r="I155" i="14848"/>
  <c r="M155" i="14848"/>
  <c r="L185" i="14848"/>
  <c r="I185" i="14848"/>
  <c r="E123" i="14848"/>
  <c r="K93" i="14848"/>
  <c r="M93" i="14848"/>
  <c r="O123" i="14848"/>
  <c r="N123" i="14848"/>
  <c r="F123" i="14848"/>
  <c r="O93" i="14848"/>
  <c r="E155" i="14848"/>
  <c r="H185" i="14848"/>
  <c r="D93" i="14848"/>
  <c r="D123" i="14848"/>
  <c r="D155" i="14848"/>
  <c r="K123" i="14848"/>
  <c r="G123" i="14848"/>
  <c r="M123" i="14848"/>
  <c r="J155" i="14848"/>
  <c r="O185" i="14848"/>
  <c r="J93" i="14848"/>
  <c r="G155" i="14848"/>
  <c r="F185" i="14848"/>
  <c r="K185" i="14848"/>
  <c r="D185" i="14848"/>
  <c r="H155" i="14848"/>
  <c r="J185" i="14848"/>
  <c r="H123" i="14848"/>
  <c r="N93" i="14848"/>
  <c r="F155" i="14848"/>
  <c r="M185" i="14848"/>
  <c r="O259" i="14814"/>
  <c r="O253" i="14814"/>
  <c r="O93" i="14852"/>
  <c r="O121" i="14852" s="1"/>
  <c r="M121" i="14852"/>
  <c r="O250" i="14814"/>
  <c r="O251" i="14814"/>
  <c r="W264" i="14814"/>
  <c r="L238" i="14814"/>
  <c r="M238" i="14814" s="1"/>
  <c r="M264" i="14814" s="1"/>
  <c r="N122" i="14852"/>
  <c r="G269" i="14852"/>
  <c r="O252" i="14814"/>
  <c r="O260" i="14814"/>
  <c r="O246" i="14814"/>
  <c r="O257" i="14814"/>
  <c r="O249" i="14814"/>
  <c r="O241" i="14814"/>
  <c r="N145" i="14852"/>
  <c r="N274" i="14852" s="1"/>
  <c r="N269" i="14852"/>
  <c r="O261" i="14814"/>
  <c r="O256" i="14814"/>
  <c r="O239" i="14814"/>
  <c r="O243" i="14814"/>
  <c r="D263" i="14814"/>
  <c r="D264" i="14814"/>
  <c r="O248" i="14814"/>
  <c r="O258" i="14814"/>
  <c r="O242" i="14814"/>
  <c r="O255" i="14814"/>
  <c r="O247" i="14814"/>
  <c r="J238" i="14814" l="1"/>
  <c r="AA67" i="14814"/>
  <c r="AB67" i="14814" s="1"/>
  <c r="AC67" i="14814" s="1"/>
  <c r="S63" i="14814"/>
  <c r="V63" i="14814" s="1"/>
  <c r="N124" i="14852"/>
  <c r="G41" i="14847" s="1"/>
  <c r="R75" i="14814"/>
  <c r="S75" i="14814" s="1"/>
  <c r="T75" i="14814" s="1"/>
  <c r="AA80" i="14814"/>
  <c r="AB80" i="14814" s="1"/>
  <c r="AC80" i="14814" s="1"/>
  <c r="AA64" i="14814"/>
  <c r="AB64" i="14814" s="1"/>
  <c r="AC64" i="14814" s="1"/>
  <c r="AA85" i="14814"/>
  <c r="AB85" i="14814" s="1"/>
  <c r="AC85" i="14814" s="1"/>
  <c r="R73" i="14814"/>
  <c r="S73" i="14814" s="1"/>
  <c r="T73" i="14814" s="1"/>
  <c r="AA69" i="14814"/>
  <c r="AB69" i="14814" s="1"/>
  <c r="AC69" i="14814" s="1"/>
  <c r="AA68" i="14814"/>
  <c r="AB68" i="14814" s="1"/>
  <c r="AC68" i="14814" s="1"/>
  <c r="R69" i="14814"/>
  <c r="S69" i="14814" s="1"/>
  <c r="T69" i="14814" s="1"/>
  <c r="AA70" i="14814"/>
  <c r="AB70" i="14814" s="1"/>
  <c r="AC70" i="14814" s="1"/>
  <c r="R68" i="14814"/>
  <c r="S68" i="14814" s="1"/>
  <c r="V68" i="14814" s="1"/>
  <c r="AA84" i="14814"/>
  <c r="AB84" i="14814" s="1"/>
  <c r="AC84" i="14814" s="1"/>
  <c r="R85" i="14814"/>
  <c r="S85" i="14814" s="1"/>
  <c r="T85" i="14814" s="1"/>
  <c r="AA66" i="14814"/>
  <c r="AB66" i="14814" s="1"/>
  <c r="AC66" i="14814" s="1"/>
  <c r="AA86" i="14814"/>
  <c r="AB86" i="14814" s="1"/>
  <c r="AC86" i="14814" s="1"/>
  <c r="R64" i="14814"/>
  <c r="S64" i="14814" s="1"/>
  <c r="T64" i="14814" s="1"/>
  <c r="AA78" i="14814"/>
  <c r="AB78" i="14814" s="1"/>
  <c r="AC78" i="14814" s="1"/>
  <c r="AA81" i="14814"/>
  <c r="AB81" i="14814" s="1"/>
  <c r="AC81" i="14814" s="1"/>
  <c r="AA73" i="14814"/>
  <c r="AB73" i="14814" s="1"/>
  <c r="AC73" i="14814" s="1"/>
  <c r="R79" i="14814"/>
  <c r="S79" i="14814" s="1"/>
  <c r="T79" i="14814" s="1"/>
  <c r="R71" i="14814"/>
  <c r="S71" i="14814" s="1"/>
  <c r="T71" i="14814" s="1"/>
  <c r="R82" i="14814"/>
  <c r="S82" i="14814" s="1"/>
  <c r="T82" i="14814" s="1"/>
  <c r="R66" i="14814"/>
  <c r="S66" i="14814" s="1"/>
  <c r="T66" i="14814" s="1"/>
  <c r="R76" i="14814"/>
  <c r="S76" i="14814" s="1"/>
  <c r="V76" i="14814" s="1"/>
  <c r="R83" i="14814"/>
  <c r="S83" i="14814" s="1"/>
  <c r="T83" i="14814" s="1"/>
  <c r="AA76" i="14814"/>
  <c r="AB76" i="14814" s="1"/>
  <c r="AC76" i="14814" s="1"/>
  <c r="R77" i="14814"/>
  <c r="S77" i="14814" s="1"/>
  <c r="T77" i="14814" s="1"/>
  <c r="AA82" i="14814"/>
  <c r="AB82" i="14814" s="1"/>
  <c r="AC82" i="14814" s="1"/>
  <c r="R80" i="14814"/>
  <c r="S80" i="14814" s="1"/>
  <c r="V80" i="14814" s="1"/>
  <c r="R78" i="14814"/>
  <c r="S78" i="14814" s="1"/>
  <c r="T78" i="14814" s="1"/>
  <c r="R74" i="14814"/>
  <c r="S74" i="14814" s="1"/>
  <c r="V74" i="14814" s="1"/>
  <c r="AA63" i="14814"/>
  <c r="AB63" i="14814" s="1"/>
  <c r="AC63" i="14814" s="1"/>
  <c r="AA83" i="14814"/>
  <c r="AB83" i="14814" s="1"/>
  <c r="AC83" i="14814" s="1"/>
  <c r="R84" i="14814"/>
  <c r="S84" i="14814" s="1"/>
  <c r="T84" i="14814" s="1"/>
  <c r="AA77" i="14814"/>
  <c r="AB77" i="14814" s="1"/>
  <c r="AC77" i="14814" s="1"/>
  <c r="R67" i="14814"/>
  <c r="S67" i="14814" s="1"/>
  <c r="T67" i="14814" s="1"/>
  <c r="AA72" i="14814"/>
  <c r="AB72" i="14814" s="1"/>
  <c r="AC72" i="14814" s="1"/>
  <c r="R81" i="14814"/>
  <c r="S81" i="14814" s="1"/>
  <c r="V81" i="14814" s="1"/>
  <c r="R65" i="14814"/>
  <c r="S65" i="14814" s="1"/>
  <c r="T65" i="14814" s="1"/>
  <c r="AA74" i="14814"/>
  <c r="AB74" i="14814" s="1"/>
  <c r="AC74" i="14814" s="1"/>
  <c r="R72" i="14814"/>
  <c r="S72" i="14814" s="1"/>
  <c r="T72" i="14814" s="1"/>
  <c r="AA65" i="14814"/>
  <c r="AB65" i="14814" s="1"/>
  <c r="AC65" i="14814" s="1"/>
  <c r="R86" i="14814"/>
  <c r="S86" i="14814" s="1"/>
  <c r="V86" i="14814" s="1"/>
  <c r="R70" i="14814"/>
  <c r="S70" i="14814" s="1"/>
  <c r="V70" i="14814" s="1"/>
  <c r="AA79" i="14814"/>
  <c r="AB79" i="14814" s="1"/>
  <c r="AC79" i="14814" s="1"/>
  <c r="AA75" i="14814"/>
  <c r="AB75" i="14814" s="1"/>
  <c r="AC75" i="14814" s="1"/>
  <c r="AA71" i="14814"/>
  <c r="AB71" i="14814" s="1"/>
  <c r="AC71" i="14814" s="1"/>
  <c r="J259" i="14814"/>
  <c r="J251" i="14814"/>
  <c r="J260" i="14814"/>
  <c r="J247" i="14814"/>
  <c r="J245" i="14814"/>
  <c r="J250" i="14814"/>
  <c r="J243" i="14814"/>
  <c r="J256" i="14814"/>
  <c r="J258" i="14814"/>
  <c r="J255" i="14814"/>
  <c r="J261" i="14814"/>
  <c r="J241" i="14814"/>
  <c r="J254" i="14814"/>
  <c r="J244" i="14814"/>
  <c r="J252" i="14814"/>
  <c r="J242" i="14814"/>
  <c r="J240" i="14814"/>
  <c r="J246" i="14814"/>
  <c r="J257" i="14814"/>
  <c r="J248" i="14814"/>
  <c r="J239" i="14814"/>
  <c r="J249" i="14814"/>
  <c r="N175" i="14852"/>
  <c r="N176" i="14852" s="1"/>
  <c r="N177" i="14852" s="1"/>
  <c r="N181" i="14852" s="1"/>
  <c r="F366" i="14814"/>
  <c r="F365" i="14814"/>
  <c r="F367" i="14814"/>
  <c r="E340" i="14814"/>
  <c r="H340" i="14814" s="1"/>
  <c r="L340" i="14814"/>
  <c r="M340" i="14814" s="1"/>
  <c r="E362" i="14814"/>
  <c r="H362" i="14814" s="1"/>
  <c r="L362" i="14814"/>
  <c r="M362" i="14814" s="1"/>
  <c r="E357" i="14814"/>
  <c r="H357" i="14814" s="1"/>
  <c r="L357" i="14814"/>
  <c r="M357" i="14814" s="1"/>
  <c r="E348" i="14814"/>
  <c r="H348" i="14814" s="1"/>
  <c r="L348" i="14814"/>
  <c r="M348" i="14814" s="1"/>
  <c r="L347" i="14814"/>
  <c r="M347" i="14814" s="1"/>
  <c r="E347" i="14814"/>
  <c r="H347" i="14814" s="1"/>
  <c r="E342" i="14814"/>
  <c r="H342" i="14814" s="1"/>
  <c r="L342" i="14814"/>
  <c r="M342" i="14814" s="1"/>
  <c r="E360" i="14814"/>
  <c r="H360" i="14814" s="1"/>
  <c r="L360" i="14814"/>
  <c r="M360" i="14814" s="1"/>
  <c r="L355" i="14814"/>
  <c r="M355" i="14814" s="1"/>
  <c r="E355" i="14814"/>
  <c r="H355" i="14814" s="1"/>
  <c r="E350" i="14814"/>
  <c r="H350" i="14814" s="1"/>
  <c r="L350" i="14814"/>
  <c r="M350" i="14814" s="1"/>
  <c r="E345" i="14814"/>
  <c r="H345" i="14814" s="1"/>
  <c r="L345" i="14814"/>
  <c r="M345" i="14814" s="1"/>
  <c r="E339" i="14814"/>
  <c r="I339" i="14814" s="1"/>
  <c r="D366" i="14814"/>
  <c r="D365" i="14814"/>
  <c r="L339" i="14814"/>
  <c r="E358" i="14814"/>
  <c r="H358" i="14814" s="1"/>
  <c r="L358" i="14814"/>
  <c r="M358" i="14814" s="1"/>
  <c r="E353" i="14814"/>
  <c r="H353" i="14814" s="1"/>
  <c r="L353" i="14814"/>
  <c r="M353" i="14814" s="1"/>
  <c r="E344" i="14814"/>
  <c r="H344" i="14814" s="1"/>
  <c r="L344" i="14814"/>
  <c r="M344" i="14814" s="1"/>
  <c r="L343" i="14814"/>
  <c r="M343" i="14814" s="1"/>
  <c r="E343" i="14814"/>
  <c r="H343" i="14814" s="1"/>
  <c r="E361" i="14814"/>
  <c r="H361" i="14814" s="1"/>
  <c r="L361" i="14814"/>
  <c r="M361" i="14814" s="1"/>
  <c r="E352" i="14814"/>
  <c r="H352" i="14814" s="1"/>
  <c r="L352" i="14814"/>
  <c r="M352" i="14814" s="1"/>
  <c r="L351" i="14814"/>
  <c r="M351" i="14814" s="1"/>
  <c r="E351" i="14814"/>
  <c r="H351" i="14814" s="1"/>
  <c r="E346" i="14814"/>
  <c r="H346" i="14814" s="1"/>
  <c r="L346" i="14814"/>
  <c r="M346" i="14814" s="1"/>
  <c r="E341" i="14814"/>
  <c r="H341" i="14814" s="1"/>
  <c r="L341" i="14814"/>
  <c r="M341" i="14814" s="1"/>
  <c r="L359" i="14814"/>
  <c r="M359" i="14814" s="1"/>
  <c r="E359" i="14814"/>
  <c r="H359" i="14814" s="1"/>
  <c r="E354" i="14814"/>
  <c r="H354" i="14814" s="1"/>
  <c r="L354" i="14814"/>
  <c r="M354" i="14814" s="1"/>
  <c r="E349" i="14814"/>
  <c r="H349" i="14814" s="1"/>
  <c r="L349" i="14814"/>
  <c r="M349" i="14814" s="1"/>
  <c r="E356" i="14814"/>
  <c r="H356" i="14814" s="1"/>
  <c r="L356" i="14814"/>
  <c r="M356" i="14814" s="1"/>
  <c r="AN339" i="14814"/>
  <c r="G366" i="14814"/>
  <c r="G367" i="14814"/>
  <c r="G365" i="14814"/>
  <c r="M175" i="14852"/>
  <c r="M176" i="14852" s="1"/>
  <c r="M177" i="14852" s="1"/>
  <c r="M181" i="14852" s="1"/>
  <c r="P235" i="14814"/>
  <c r="P245" i="14814" s="1"/>
  <c r="D16" i="14847"/>
  <c r="D16" i="14848"/>
  <c r="O175" i="14852"/>
  <c r="O176" i="14852" s="1"/>
  <c r="O177" i="14852" s="1"/>
  <c r="O181" i="14852" s="1"/>
  <c r="O238" i="14814"/>
  <c r="O263" i="14814" s="1"/>
  <c r="P123" i="14847"/>
  <c r="S123" i="14847" s="1"/>
  <c r="P155" i="14847"/>
  <c r="P93" i="14847"/>
  <c r="P185" i="14847"/>
  <c r="C263" i="14814"/>
  <c r="C264" i="14814"/>
  <c r="N156" i="14852"/>
  <c r="P123" i="14848"/>
  <c r="S123" i="14848" s="1"/>
  <c r="G270" i="14852"/>
  <c r="M125" i="14852"/>
  <c r="M123" i="14852"/>
  <c r="M122" i="14852"/>
  <c r="M148" i="14852" s="1"/>
  <c r="P185" i="14848"/>
  <c r="P93" i="14848"/>
  <c r="O125" i="14852"/>
  <c r="G273" i="14852" s="1"/>
  <c r="O122" i="14852"/>
  <c r="O156" i="14852" s="1"/>
  <c r="G268" i="14852"/>
  <c r="O123" i="14852"/>
  <c r="P155" i="14848"/>
  <c r="V79" i="14814" l="1"/>
  <c r="I483" i="14814" s="1"/>
  <c r="V82" i="14814"/>
  <c r="I486" i="14814" s="1"/>
  <c r="V75" i="14814"/>
  <c r="I407" i="14814" s="1"/>
  <c r="N125" i="14852"/>
  <c r="G274" i="14852" s="1"/>
  <c r="F41" i="14847"/>
  <c r="O154" i="14847" s="1"/>
  <c r="O156" i="14847" s="1"/>
  <c r="V73" i="14814"/>
  <c r="I405" i="14814" s="1"/>
  <c r="V66" i="14814"/>
  <c r="I398" i="14814" s="1"/>
  <c r="O184" i="14847"/>
  <c r="O186" i="14847" s="1"/>
  <c r="F184" i="14847"/>
  <c r="F186" i="14847" s="1"/>
  <c r="L184" i="14847"/>
  <c r="L186" i="14847" s="1"/>
  <c r="E184" i="14847"/>
  <c r="E186" i="14847" s="1"/>
  <c r="K184" i="14847"/>
  <c r="K186" i="14847" s="1"/>
  <c r="I184" i="14847"/>
  <c r="I186" i="14847" s="1"/>
  <c r="M184" i="14847"/>
  <c r="M186" i="14847" s="1"/>
  <c r="H184" i="14847"/>
  <c r="H186" i="14847" s="1"/>
  <c r="G184" i="14847"/>
  <c r="G186" i="14847" s="1"/>
  <c r="D184" i="14847"/>
  <c r="D186" i="14847" s="1"/>
  <c r="J184" i="14847"/>
  <c r="J186" i="14847" s="1"/>
  <c r="N184" i="14847"/>
  <c r="N186" i="14847" s="1"/>
  <c r="T68" i="14814"/>
  <c r="F163" i="14814" s="1"/>
  <c r="V85" i="14814"/>
  <c r="I417" i="14814" s="1"/>
  <c r="V71" i="14814"/>
  <c r="I403" i="14814" s="1"/>
  <c r="V64" i="14814"/>
  <c r="I444" i="14814" s="1"/>
  <c r="T74" i="14814"/>
  <c r="F169" i="14814" s="1"/>
  <c r="V69" i="14814"/>
  <c r="I401" i="14814" s="1"/>
  <c r="V83" i="14814"/>
  <c r="I511" i="14814" s="1"/>
  <c r="V72" i="14814"/>
  <c r="I428" i="14814" s="1"/>
  <c r="V77" i="14814"/>
  <c r="I409" i="14814" s="1"/>
  <c r="V78" i="14814"/>
  <c r="I458" i="14814" s="1"/>
  <c r="T76" i="14814"/>
  <c r="H528" i="14814" s="1"/>
  <c r="T80" i="14814"/>
  <c r="F115" i="14814" s="1"/>
  <c r="V67" i="14814"/>
  <c r="I471" i="14814" s="1"/>
  <c r="T70" i="14814"/>
  <c r="H426" i="14814" s="1"/>
  <c r="T63" i="14814"/>
  <c r="V84" i="14814"/>
  <c r="I416" i="14814" s="1"/>
  <c r="T81" i="14814"/>
  <c r="F176" i="14814" s="1"/>
  <c r="V65" i="14814"/>
  <c r="I445" i="14814" s="1"/>
  <c r="T86" i="14814"/>
  <c r="F221" i="14814" s="1"/>
  <c r="F167" i="14814"/>
  <c r="F107" i="14814"/>
  <c r="F207" i="14814"/>
  <c r="H524" i="14814"/>
  <c r="H428" i="14814"/>
  <c r="H548" i="14814"/>
  <c r="H500" i="14814"/>
  <c r="H476" i="14814"/>
  <c r="H404" i="14814"/>
  <c r="H452" i="14814"/>
  <c r="H507" i="14814"/>
  <c r="F174" i="14814"/>
  <c r="F214" i="14814"/>
  <c r="H411" i="14814"/>
  <c r="H435" i="14814"/>
  <c r="F114" i="14814"/>
  <c r="H531" i="14814"/>
  <c r="H459" i="14814"/>
  <c r="H555" i="14814"/>
  <c r="H483" i="14814"/>
  <c r="F112" i="14814"/>
  <c r="F172" i="14814"/>
  <c r="H457" i="14814"/>
  <c r="F212" i="14814"/>
  <c r="H505" i="14814"/>
  <c r="H481" i="14814"/>
  <c r="H529" i="14814"/>
  <c r="H553" i="14814"/>
  <c r="H433" i="14814"/>
  <c r="H409" i="14814"/>
  <c r="I406" i="14814"/>
  <c r="I550" i="14814"/>
  <c r="I526" i="14814"/>
  <c r="I430" i="14814"/>
  <c r="I502" i="14814"/>
  <c r="I454" i="14814"/>
  <c r="I478" i="14814"/>
  <c r="F108" i="14814"/>
  <c r="H501" i="14814"/>
  <c r="H549" i="14814"/>
  <c r="H525" i="14814"/>
  <c r="H429" i="14814"/>
  <c r="F208" i="14814"/>
  <c r="H405" i="14814"/>
  <c r="F168" i="14814"/>
  <c r="H453" i="14814"/>
  <c r="H477" i="14814"/>
  <c r="H434" i="14814"/>
  <c r="H530" i="14814"/>
  <c r="F173" i="14814"/>
  <c r="F113" i="14814"/>
  <c r="H482" i="14814"/>
  <c r="H506" i="14814"/>
  <c r="H554" i="14814"/>
  <c r="H458" i="14814"/>
  <c r="F213" i="14814"/>
  <c r="H410" i="14814"/>
  <c r="H547" i="14814"/>
  <c r="H475" i="14814"/>
  <c r="F206" i="14814"/>
  <c r="H499" i="14814"/>
  <c r="H403" i="14814"/>
  <c r="H427" i="14814"/>
  <c r="F106" i="14814"/>
  <c r="H451" i="14814"/>
  <c r="F166" i="14814"/>
  <c r="H523" i="14814"/>
  <c r="H543" i="14814"/>
  <c r="F202" i="14814"/>
  <c r="H423" i="14814"/>
  <c r="H471" i="14814"/>
  <c r="H399" i="14814"/>
  <c r="H495" i="14814"/>
  <c r="H519" i="14814"/>
  <c r="F162" i="14814"/>
  <c r="H447" i="14814"/>
  <c r="F102" i="14814"/>
  <c r="H438" i="14814"/>
  <c r="F217" i="14814"/>
  <c r="F117" i="14814"/>
  <c r="H534" i="14814"/>
  <c r="H414" i="14814"/>
  <c r="H462" i="14814"/>
  <c r="H558" i="14814"/>
  <c r="F177" i="14814"/>
  <c r="H510" i="14814"/>
  <c r="H486" i="14814"/>
  <c r="I402" i="14814"/>
  <c r="I450" i="14814"/>
  <c r="I546" i="14814"/>
  <c r="I474" i="14814"/>
  <c r="I426" i="14814"/>
  <c r="I522" i="14814"/>
  <c r="I498" i="14814"/>
  <c r="H516" i="14814"/>
  <c r="F159" i="14814"/>
  <c r="H468" i="14814"/>
  <c r="H396" i="14814"/>
  <c r="H540" i="14814"/>
  <c r="H420" i="14814"/>
  <c r="F199" i="14814"/>
  <c r="H444" i="14814"/>
  <c r="H492" i="14814"/>
  <c r="F99" i="14814"/>
  <c r="H449" i="14814"/>
  <c r="H521" i="14814"/>
  <c r="H497" i="14814"/>
  <c r="H473" i="14814"/>
  <c r="H425" i="14814"/>
  <c r="F204" i="14814"/>
  <c r="H545" i="14814"/>
  <c r="F164" i="14814"/>
  <c r="H401" i="14814"/>
  <c r="F104" i="14814"/>
  <c r="I544" i="14814"/>
  <c r="I520" i="14814"/>
  <c r="I496" i="14814"/>
  <c r="I424" i="14814"/>
  <c r="I448" i="14814"/>
  <c r="I400" i="14814"/>
  <c r="I472" i="14814"/>
  <c r="H417" i="14814"/>
  <c r="F120" i="14814"/>
  <c r="H537" i="14814"/>
  <c r="H513" i="14814"/>
  <c r="H465" i="14814"/>
  <c r="H441" i="14814"/>
  <c r="F180" i="14814"/>
  <c r="H489" i="14814"/>
  <c r="F220" i="14814"/>
  <c r="H561" i="14814"/>
  <c r="I539" i="14814"/>
  <c r="I515" i="14814"/>
  <c r="I491" i="14814"/>
  <c r="I443" i="14814"/>
  <c r="I395" i="14814"/>
  <c r="I419" i="14814"/>
  <c r="I467" i="14814"/>
  <c r="H511" i="14814"/>
  <c r="H559" i="14814"/>
  <c r="H415" i="14814"/>
  <c r="H535" i="14814"/>
  <c r="F118" i="14814"/>
  <c r="F178" i="14814"/>
  <c r="H487" i="14814"/>
  <c r="F218" i="14814"/>
  <c r="H463" i="14814"/>
  <c r="H439" i="14814"/>
  <c r="H397" i="14814"/>
  <c r="H421" i="14814"/>
  <c r="F160" i="14814"/>
  <c r="H469" i="14814"/>
  <c r="H445" i="14814"/>
  <c r="H541" i="14814"/>
  <c r="H493" i="14814"/>
  <c r="H517" i="14814"/>
  <c r="F200" i="14814"/>
  <c r="F100" i="14814"/>
  <c r="H542" i="14814"/>
  <c r="H494" i="14814"/>
  <c r="H446" i="14814"/>
  <c r="H398" i="14814"/>
  <c r="F201" i="14814"/>
  <c r="H518" i="14814"/>
  <c r="H470" i="14814"/>
  <c r="H422" i="14814"/>
  <c r="F161" i="14814"/>
  <c r="F101" i="14814"/>
  <c r="I456" i="14814"/>
  <c r="I480" i="14814"/>
  <c r="I528" i="14814"/>
  <c r="I432" i="14814"/>
  <c r="I408" i="14814"/>
  <c r="I552" i="14814"/>
  <c r="I504" i="14814"/>
  <c r="I442" i="14814"/>
  <c r="I562" i="14814"/>
  <c r="I538" i="14814"/>
  <c r="I418" i="14814"/>
  <c r="I490" i="14814"/>
  <c r="I466" i="14814"/>
  <c r="I514" i="14814"/>
  <c r="I460" i="14814"/>
  <c r="I508" i="14814"/>
  <c r="I556" i="14814"/>
  <c r="I532" i="14814"/>
  <c r="I484" i="14814"/>
  <c r="I412" i="14814"/>
  <c r="I436" i="14814"/>
  <c r="F110" i="14814"/>
  <c r="H479" i="14814"/>
  <c r="H503" i="14814"/>
  <c r="H551" i="14814"/>
  <c r="H407" i="14814"/>
  <c r="H527" i="14814"/>
  <c r="H455" i="14814"/>
  <c r="H431" i="14814"/>
  <c r="F210" i="14814"/>
  <c r="F170" i="14814"/>
  <c r="H488" i="14814"/>
  <c r="F179" i="14814"/>
  <c r="H464" i="14814"/>
  <c r="H536" i="14814"/>
  <c r="F119" i="14814"/>
  <c r="H440" i="14814"/>
  <c r="H416" i="14814"/>
  <c r="F219" i="14814"/>
  <c r="H560" i="14814"/>
  <c r="H512" i="14814"/>
  <c r="I557" i="14814"/>
  <c r="I461" i="14814"/>
  <c r="I485" i="14814"/>
  <c r="I509" i="14814"/>
  <c r="I413" i="14814"/>
  <c r="I437" i="14814"/>
  <c r="I533" i="14814"/>
  <c r="M178" i="14852"/>
  <c r="M182" i="14852" s="1"/>
  <c r="I270" i="14852" s="1"/>
  <c r="N178" i="14852"/>
  <c r="N182" i="14852" s="1"/>
  <c r="H339" i="14814"/>
  <c r="H365" i="14814" s="1"/>
  <c r="N349" i="14814"/>
  <c r="N346" i="14814"/>
  <c r="N352" i="14814"/>
  <c r="N353" i="14814"/>
  <c r="M339" i="14814"/>
  <c r="L365" i="14814"/>
  <c r="L364" i="14814"/>
  <c r="L366" i="14814"/>
  <c r="L367" i="14814"/>
  <c r="N345" i="14814"/>
  <c r="N342" i="14814"/>
  <c r="N348" i="14814"/>
  <c r="N362" i="14814"/>
  <c r="N359" i="14814"/>
  <c r="N343" i="14814"/>
  <c r="N355" i="14814"/>
  <c r="N356" i="14814"/>
  <c r="N354" i="14814"/>
  <c r="N341" i="14814"/>
  <c r="N361" i="14814"/>
  <c r="N344" i="14814"/>
  <c r="N358" i="14814"/>
  <c r="N350" i="14814"/>
  <c r="N360" i="14814"/>
  <c r="N357" i="14814"/>
  <c r="N340" i="14814"/>
  <c r="N351" i="14814"/>
  <c r="E365" i="14814"/>
  <c r="E366" i="14814"/>
  <c r="N347" i="14814"/>
  <c r="I340" i="14814"/>
  <c r="I341" i="14814" s="1"/>
  <c r="I342" i="14814" s="1"/>
  <c r="I343" i="14814" s="1"/>
  <c r="I344" i="14814" s="1"/>
  <c r="I345" i="14814" s="1"/>
  <c r="I346" i="14814" s="1"/>
  <c r="I347" i="14814" s="1"/>
  <c r="I348" i="14814" s="1"/>
  <c r="I349" i="14814" s="1"/>
  <c r="I350" i="14814" s="1"/>
  <c r="I351" i="14814" s="1"/>
  <c r="I352" i="14814" s="1"/>
  <c r="I353" i="14814" s="1"/>
  <c r="I354" i="14814" s="1"/>
  <c r="I355" i="14814" s="1"/>
  <c r="I356" i="14814" s="1"/>
  <c r="I357" i="14814" s="1"/>
  <c r="I358" i="14814" s="1"/>
  <c r="I359" i="14814" s="1"/>
  <c r="I360" i="14814" s="1"/>
  <c r="I361" i="14814" s="1"/>
  <c r="I362" i="14814" s="1"/>
  <c r="J336" i="14814" s="1"/>
  <c r="J339" i="14814" s="1"/>
  <c r="J263" i="14814"/>
  <c r="J264" i="14814"/>
  <c r="P255" i="14814"/>
  <c r="P254" i="14814"/>
  <c r="P244" i="14814"/>
  <c r="P242" i="14814"/>
  <c r="P240" i="14814"/>
  <c r="P260" i="14814"/>
  <c r="P249" i="14814"/>
  <c r="P243" i="14814"/>
  <c r="P239" i="14814"/>
  <c r="P256" i="14814"/>
  <c r="P246" i="14814"/>
  <c r="P241" i="14814"/>
  <c r="P251" i="14814"/>
  <c r="P252" i="14814"/>
  <c r="P250" i="14814"/>
  <c r="P248" i="14814"/>
  <c r="P258" i="14814"/>
  <c r="P247" i="14814"/>
  <c r="P257" i="14814"/>
  <c r="P253" i="14814"/>
  <c r="P238" i="14814"/>
  <c r="P259" i="14814"/>
  <c r="P261" i="14814"/>
  <c r="D11" i="14848"/>
  <c r="D15" i="14847"/>
  <c r="D11" i="14847"/>
  <c r="D15" i="14848"/>
  <c r="D12" i="14848" s="1"/>
  <c r="O178" i="14852"/>
  <c r="O182" i="14852" s="1"/>
  <c r="I268" i="14852" s="1"/>
  <c r="O264" i="14814"/>
  <c r="F235" i="14814"/>
  <c r="F253" i="14814" s="1"/>
  <c r="G275" i="14852"/>
  <c r="D41" i="14848"/>
  <c r="D41" i="14847"/>
  <c r="I411" i="14814" l="1"/>
  <c r="I558" i="14814"/>
  <c r="I531" i="14814"/>
  <c r="I534" i="14814"/>
  <c r="I507" i="14814"/>
  <c r="I435" i="14814"/>
  <c r="I459" i="14814"/>
  <c r="I555" i="14814"/>
  <c r="I551" i="14814"/>
  <c r="I542" i="14814"/>
  <c r="I414" i="14814"/>
  <c r="I438" i="14814"/>
  <c r="I510" i="14814"/>
  <c r="I462" i="14814"/>
  <c r="I503" i="14814"/>
  <c r="I431" i="14814"/>
  <c r="I455" i="14814"/>
  <c r="I527" i="14814"/>
  <c r="I476" i="14814"/>
  <c r="I479" i="14814"/>
  <c r="H154" i="14847"/>
  <c r="H156" i="14847" s="1"/>
  <c r="H467" i="14814"/>
  <c r="F98" i="14814"/>
  <c r="G98" i="14814" s="1"/>
  <c r="J154" i="14847"/>
  <c r="J156" i="14847" s="1"/>
  <c r="I154" i="14847"/>
  <c r="I156" i="14847" s="1"/>
  <c r="L154" i="14847"/>
  <c r="L156" i="14847" s="1"/>
  <c r="D154" i="14847"/>
  <c r="D156" i="14847" s="1"/>
  <c r="F154" i="14847"/>
  <c r="F156" i="14847" s="1"/>
  <c r="K154" i="14847"/>
  <c r="K156" i="14847" s="1"/>
  <c r="G154" i="14847"/>
  <c r="G156" i="14847" s="1"/>
  <c r="E154" i="14847"/>
  <c r="E156" i="14847" s="1"/>
  <c r="N154" i="14847"/>
  <c r="N156" i="14847" s="1"/>
  <c r="M154" i="14847"/>
  <c r="M156" i="14847" s="1"/>
  <c r="I453" i="14814"/>
  <c r="G41" i="14848"/>
  <c r="I184" i="14848" s="1"/>
  <c r="I186" i="14848" s="1"/>
  <c r="F41" i="14848"/>
  <c r="I154" i="14848" s="1"/>
  <c r="I156" i="14848" s="1"/>
  <c r="I446" i="14814"/>
  <c r="I518" i="14814"/>
  <c r="I494" i="14814"/>
  <c r="I470" i="14814"/>
  <c r="I422" i="14814"/>
  <c r="I477" i="14814"/>
  <c r="I549" i="14814"/>
  <c r="I501" i="14814"/>
  <c r="I429" i="14814"/>
  <c r="I525" i="14814"/>
  <c r="I499" i="14814"/>
  <c r="H544" i="14814"/>
  <c r="H448" i="14814"/>
  <c r="H502" i="14814"/>
  <c r="F103" i="14814"/>
  <c r="Q103" i="14814" s="1"/>
  <c r="T103" i="14814" s="1"/>
  <c r="F203" i="14814"/>
  <c r="G203" i="14814" s="1"/>
  <c r="H520" i="14814"/>
  <c r="H472" i="14814"/>
  <c r="H496" i="14814"/>
  <c r="H424" i="14814"/>
  <c r="H400" i="14814"/>
  <c r="I489" i="14814"/>
  <c r="I513" i="14814"/>
  <c r="I465" i="14814"/>
  <c r="I441" i="14814"/>
  <c r="I561" i="14814"/>
  <c r="I537" i="14814"/>
  <c r="I475" i="14814"/>
  <c r="I468" i="14814"/>
  <c r="I427" i="14814"/>
  <c r="I451" i="14814"/>
  <c r="P186" i="14847"/>
  <c r="I547" i="14814"/>
  <c r="I492" i="14814"/>
  <c r="I523" i="14814"/>
  <c r="I396" i="14814"/>
  <c r="I540" i="14814"/>
  <c r="I516" i="14814"/>
  <c r="P184" i="14847"/>
  <c r="I420" i="14814"/>
  <c r="F209" i="14814"/>
  <c r="G209" i="14814" s="1"/>
  <c r="H526" i="14814"/>
  <c r="H550" i="14814"/>
  <c r="H478" i="14814"/>
  <c r="I497" i="14814"/>
  <c r="H454" i="14814"/>
  <c r="H430" i="14814"/>
  <c r="I473" i="14814"/>
  <c r="H406" i="14814"/>
  <c r="F109" i="14814"/>
  <c r="Q109" i="14814" s="1"/>
  <c r="T109" i="14814" s="1"/>
  <c r="H539" i="14814"/>
  <c r="I559" i="14814"/>
  <c r="I425" i="14814"/>
  <c r="I415" i="14814"/>
  <c r="I521" i="14814"/>
  <c r="I545" i="14814"/>
  <c r="I554" i="14814"/>
  <c r="I535" i="14814"/>
  <c r="I439" i="14814"/>
  <c r="I487" i="14814"/>
  <c r="I524" i="14814"/>
  <c r="I500" i="14814"/>
  <c r="I548" i="14814"/>
  <c r="I463" i="14814"/>
  <c r="H552" i="14814"/>
  <c r="I449" i="14814"/>
  <c r="I404" i="14814"/>
  <c r="I452" i="14814"/>
  <c r="F216" i="14814"/>
  <c r="R216" i="14814" s="1"/>
  <c r="U216" i="14814" s="1"/>
  <c r="I543" i="14814"/>
  <c r="I553" i="14814"/>
  <c r="I434" i="14814"/>
  <c r="I530" i="14814"/>
  <c r="I410" i="14814"/>
  <c r="I457" i="14814"/>
  <c r="I506" i="14814"/>
  <c r="I482" i="14814"/>
  <c r="I399" i="14814"/>
  <c r="I529" i="14814"/>
  <c r="I481" i="14814"/>
  <c r="I433" i="14814"/>
  <c r="H461" i="14814"/>
  <c r="F171" i="14814"/>
  <c r="Q171" i="14814" s="1"/>
  <c r="T171" i="14814" s="1"/>
  <c r="H408" i="14814"/>
  <c r="H480" i="14814"/>
  <c r="H504" i="14814"/>
  <c r="H432" i="14814"/>
  <c r="H515" i="14814"/>
  <c r="I505" i="14814"/>
  <c r="F175" i="14814"/>
  <c r="G175" i="14814" s="1"/>
  <c r="F215" i="14814"/>
  <c r="Q215" i="14814" s="1"/>
  <c r="T215" i="14814" s="1"/>
  <c r="I512" i="14814"/>
  <c r="H538" i="14814"/>
  <c r="F111" i="14814"/>
  <c r="Q111" i="14814" s="1"/>
  <c r="T111" i="14814" s="1"/>
  <c r="H456" i="14814"/>
  <c r="I464" i="14814"/>
  <c r="H508" i="14814"/>
  <c r="H562" i="14814"/>
  <c r="F211" i="14814"/>
  <c r="G211" i="14814" s="1"/>
  <c r="I560" i="14814"/>
  <c r="H484" i="14814"/>
  <c r="H436" i="14814"/>
  <c r="H532" i="14814"/>
  <c r="I536" i="14814"/>
  <c r="I440" i="14814"/>
  <c r="H556" i="14814"/>
  <c r="H460" i="14814"/>
  <c r="I488" i="14814"/>
  <c r="H412" i="14814"/>
  <c r="I447" i="14814"/>
  <c r="I495" i="14814"/>
  <c r="H533" i="14814"/>
  <c r="H413" i="14814"/>
  <c r="I519" i="14814"/>
  <c r="H557" i="14814"/>
  <c r="I423" i="14814"/>
  <c r="H522" i="14814"/>
  <c r="I517" i="14814"/>
  <c r="H546" i="14814"/>
  <c r="I541" i="14814"/>
  <c r="H498" i="14814"/>
  <c r="F105" i="14814"/>
  <c r="G105" i="14814" s="1"/>
  <c r="F205" i="14814"/>
  <c r="G205" i="14814" s="1"/>
  <c r="H474" i="14814"/>
  <c r="I421" i="14814"/>
  <c r="F165" i="14814"/>
  <c r="G165" i="14814" s="1"/>
  <c r="H402" i="14814"/>
  <c r="H450" i="14814"/>
  <c r="H442" i="14814"/>
  <c r="F198" i="14814"/>
  <c r="G198" i="14814" s="1"/>
  <c r="H419" i="14814"/>
  <c r="H443" i="14814"/>
  <c r="F158" i="14814"/>
  <c r="R158" i="14814" s="1"/>
  <c r="H491" i="14814"/>
  <c r="H395" i="14814"/>
  <c r="I397" i="14814"/>
  <c r="H509" i="14814"/>
  <c r="H485" i="14814"/>
  <c r="I493" i="14814"/>
  <c r="I469" i="14814"/>
  <c r="F116" i="14814"/>
  <c r="Q116" i="14814" s="1"/>
  <c r="T116" i="14814" s="1"/>
  <c r="H437" i="14814"/>
  <c r="H418" i="14814"/>
  <c r="H490" i="14814"/>
  <c r="F121" i="14814"/>
  <c r="Q121" i="14814" s="1"/>
  <c r="T121" i="14814" s="1"/>
  <c r="H466" i="14814"/>
  <c r="H514" i="14814"/>
  <c r="F181" i="14814"/>
  <c r="R181" i="14814" s="1"/>
  <c r="U181" i="14814" s="1"/>
  <c r="G113" i="14814"/>
  <c r="R113" i="14814"/>
  <c r="Q113" i="14814"/>
  <c r="T113" i="14814" s="1"/>
  <c r="G169" i="14814"/>
  <c r="R169" i="14814"/>
  <c r="U169" i="14814" s="1"/>
  <c r="Q169" i="14814"/>
  <c r="T169" i="14814" s="1"/>
  <c r="G168" i="14814"/>
  <c r="R168" i="14814"/>
  <c r="U168" i="14814" s="1"/>
  <c r="Q168" i="14814"/>
  <c r="T168" i="14814" s="1"/>
  <c r="G172" i="14814"/>
  <c r="R172" i="14814"/>
  <c r="U172" i="14814" s="1"/>
  <c r="Q172" i="14814"/>
  <c r="T172" i="14814" s="1"/>
  <c r="G214" i="14814"/>
  <c r="Q214" i="14814"/>
  <c r="T214" i="14814" s="1"/>
  <c r="R214" i="14814"/>
  <c r="U214" i="14814" s="1"/>
  <c r="G173" i="14814"/>
  <c r="Q173" i="14814"/>
  <c r="T173" i="14814" s="1"/>
  <c r="R173" i="14814"/>
  <c r="U173" i="14814" s="1"/>
  <c r="G112" i="14814"/>
  <c r="Q112" i="14814"/>
  <c r="T112" i="14814" s="1"/>
  <c r="R112" i="14814"/>
  <c r="G114" i="14814"/>
  <c r="R114" i="14814"/>
  <c r="Q114" i="14814"/>
  <c r="T114" i="14814" s="1"/>
  <c r="G174" i="14814"/>
  <c r="R174" i="14814"/>
  <c r="U174" i="14814" s="1"/>
  <c r="Q174" i="14814"/>
  <c r="T174" i="14814" s="1"/>
  <c r="G207" i="14814"/>
  <c r="Q207" i="14814"/>
  <c r="T207" i="14814" s="1"/>
  <c r="R207" i="14814"/>
  <c r="U207" i="14814" s="1"/>
  <c r="G208" i="14814"/>
  <c r="R208" i="14814"/>
  <c r="U208" i="14814" s="1"/>
  <c r="Q208" i="14814"/>
  <c r="T208" i="14814" s="1"/>
  <c r="G212" i="14814"/>
  <c r="Q212" i="14814"/>
  <c r="T212" i="14814" s="1"/>
  <c r="R212" i="14814"/>
  <c r="U212" i="14814" s="1"/>
  <c r="G107" i="14814"/>
  <c r="Q107" i="14814"/>
  <c r="T107" i="14814" s="1"/>
  <c r="R107" i="14814"/>
  <c r="G213" i="14814"/>
  <c r="Q213" i="14814"/>
  <c r="T213" i="14814" s="1"/>
  <c r="R213" i="14814"/>
  <c r="U213" i="14814" s="1"/>
  <c r="G108" i="14814"/>
  <c r="R108" i="14814"/>
  <c r="Q108" i="14814"/>
  <c r="T108" i="14814" s="1"/>
  <c r="G167" i="14814"/>
  <c r="Q167" i="14814"/>
  <c r="T167" i="14814" s="1"/>
  <c r="R167" i="14814"/>
  <c r="U167" i="14814" s="1"/>
  <c r="G106" i="14814"/>
  <c r="Q106" i="14814"/>
  <c r="T106" i="14814" s="1"/>
  <c r="R106" i="14814"/>
  <c r="G206" i="14814"/>
  <c r="Q206" i="14814"/>
  <c r="T206" i="14814" s="1"/>
  <c r="R206" i="14814"/>
  <c r="U206" i="14814" s="1"/>
  <c r="G166" i="14814"/>
  <c r="Q166" i="14814"/>
  <c r="T166" i="14814" s="1"/>
  <c r="R166" i="14814"/>
  <c r="U166" i="14814" s="1"/>
  <c r="G210" i="14814"/>
  <c r="R210" i="14814"/>
  <c r="U210" i="14814" s="1"/>
  <c r="Q210" i="14814"/>
  <c r="T210" i="14814" s="1"/>
  <c r="G110" i="14814"/>
  <c r="Q110" i="14814"/>
  <c r="T110" i="14814" s="1"/>
  <c r="R110" i="14814"/>
  <c r="Q100" i="14814"/>
  <c r="T100" i="14814" s="1"/>
  <c r="G100" i="14814"/>
  <c r="R100" i="14814"/>
  <c r="G218" i="14814"/>
  <c r="Q218" i="14814"/>
  <c r="T218" i="14814" s="1"/>
  <c r="R218" i="14814"/>
  <c r="U218" i="14814" s="1"/>
  <c r="G176" i="14814"/>
  <c r="Q176" i="14814"/>
  <c r="T176" i="14814" s="1"/>
  <c r="R176" i="14814"/>
  <c r="U176" i="14814" s="1"/>
  <c r="G220" i="14814"/>
  <c r="Q220" i="14814"/>
  <c r="T220" i="14814" s="1"/>
  <c r="R220" i="14814"/>
  <c r="U220" i="14814" s="1"/>
  <c r="G104" i="14814"/>
  <c r="Q104" i="14814"/>
  <c r="T104" i="14814" s="1"/>
  <c r="R104" i="14814"/>
  <c r="G204" i="14814"/>
  <c r="Q204" i="14814"/>
  <c r="T204" i="14814" s="1"/>
  <c r="R204" i="14814"/>
  <c r="U204" i="14814" s="1"/>
  <c r="G163" i="14814"/>
  <c r="Q163" i="14814"/>
  <c r="T163" i="14814" s="1"/>
  <c r="R163" i="14814"/>
  <c r="U163" i="14814" s="1"/>
  <c r="G162" i="14814"/>
  <c r="R162" i="14814"/>
  <c r="U162" i="14814" s="1"/>
  <c r="Q162" i="14814"/>
  <c r="T162" i="14814" s="1"/>
  <c r="G179" i="14814"/>
  <c r="R179" i="14814"/>
  <c r="U179" i="14814" s="1"/>
  <c r="Q179" i="14814"/>
  <c r="T179" i="14814" s="1"/>
  <c r="G200" i="14814"/>
  <c r="Q200" i="14814"/>
  <c r="T200" i="14814" s="1"/>
  <c r="R200" i="14814"/>
  <c r="U200" i="14814" s="1"/>
  <c r="G199" i="14814"/>
  <c r="R199" i="14814"/>
  <c r="U199" i="14814" s="1"/>
  <c r="Q199" i="14814"/>
  <c r="T199" i="14814" s="1"/>
  <c r="G177" i="14814"/>
  <c r="Q177" i="14814"/>
  <c r="T177" i="14814" s="1"/>
  <c r="R177" i="14814"/>
  <c r="U177" i="14814" s="1"/>
  <c r="G119" i="14814"/>
  <c r="Q119" i="14814"/>
  <c r="T119" i="14814" s="1"/>
  <c r="R119" i="14814"/>
  <c r="G101" i="14814"/>
  <c r="Q101" i="14814"/>
  <c r="T101" i="14814" s="1"/>
  <c r="R101" i="14814"/>
  <c r="G178" i="14814"/>
  <c r="R178" i="14814"/>
  <c r="U178" i="14814" s="1"/>
  <c r="Q178" i="14814"/>
  <c r="T178" i="14814" s="1"/>
  <c r="Q221" i="14814"/>
  <c r="T221" i="14814" s="1"/>
  <c r="G221" i="14814"/>
  <c r="R221" i="14814"/>
  <c r="U221" i="14814" s="1"/>
  <c r="G180" i="14814"/>
  <c r="Q180" i="14814"/>
  <c r="T180" i="14814" s="1"/>
  <c r="R180" i="14814"/>
  <c r="U180" i="14814" s="1"/>
  <c r="G164" i="14814"/>
  <c r="R164" i="14814"/>
  <c r="U164" i="14814" s="1"/>
  <c r="Q164" i="14814"/>
  <c r="T164" i="14814" s="1"/>
  <c r="G99" i="14814"/>
  <c r="R99" i="14814"/>
  <c r="Q99" i="14814"/>
  <c r="T99" i="14814" s="1"/>
  <c r="G159" i="14814"/>
  <c r="Q159" i="14814"/>
  <c r="T159" i="14814" s="1"/>
  <c r="R159" i="14814"/>
  <c r="U159" i="14814" s="1"/>
  <c r="G117" i="14814"/>
  <c r="R117" i="14814"/>
  <c r="Q117" i="14814"/>
  <c r="T117" i="14814" s="1"/>
  <c r="G102" i="14814"/>
  <c r="R102" i="14814"/>
  <c r="Q102" i="14814"/>
  <c r="T102" i="14814" s="1"/>
  <c r="G202" i="14814"/>
  <c r="R202" i="14814"/>
  <c r="U202" i="14814" s="1"/>
  <c r="Q202" i="14814"/>
  <c r="T202" i="14814" s="1"/>
  <c r="G219" i="14814"/>
  <c r="R219" i="14814"/>
  <c r="U219" i="14814" s="1"/>
  <c r="Q219" i="14814"/>
  <c r="T219" i="14814" s="1"/>
  <c r="G170" i="14814"/>
  <c r="R170" i="14814"/>
  <c r="U170" i="14814" s="1"/>
  <c r="Q170" i="14814"/>
  <c r="T170" i="14814" s="1"/>
  <c r="G161" i="14814"/>
  <c r="Q161" i="14814"/>
  <c r="T161" i="14814" s="1"/>
  <c r="R161" i="14814"/>
  <c r="U161" i="14814" s="1"/>
  <c r="G201" i="14814"/>
  <c r="R201" i="14814"/>
  <c r="U201" i="14814" s="1"/>
  <c r="Q201" i="14814"/>
  <c r="T201" i="14814" s="1"/>
  <c r="G160" i="14814"/>
  <c r="R160" i="14814"/>
  <c r="U160" i="14814" s="1"/>
  <c r="Q160" i="14814"/>
  <c r="T160" i="14814" s="1"/>
  <c r="G118" i="14814"/>
  <c r="R118" i="14814"/>
  <c r="Q118" i="14814"/>
  <c r="T118" i="14814" s="1"/>
  <c r="G115" i="14814"/>
  <c r="R115" i="14814"/>
  <c r="Q115" i="14814"/>
  <c r="T115" i="14814" s="1"/>
  <c r="G120" i="14814"/>
  <c r="R120" i="14814"/>
  <c r="Q120" i="14814"/>
  <c r="T120" i="14814" s="1"/>
  <c r="G217" i="14814"/>
  <c r="R217" i="14814"/>
  <c r="U217" i="14814" s="1"/>
  <c r="Q217" i="14814"/>
  <c r="T217" i="14814" s="1"/>
  <c r="I269" i="14852"/>
  <c r="H366" i="14814"/>
  <c r="H367" i="14814"/>
  <c r="N339" i="14814"/>
  <c r="M364" i="14814"/>
  <c r="M367" i="14814"/>
  <c r="M366" i="14814"/>
  <c r="M365" i="14814"/>
  <c r="I365" i="14814"/>
  <c r="I367" i="14814"/>
  <c r="J340" i="14814"/>
  <c r="J341" i="14814" s="1"/>
  <c r="J342" i="14814" s="1"/>
  <c r="J343" i="14814" s="1"/>
  <c r="J344" i="14814" s="1"/>
  <c r="J345" i="14814" s="1"/>
  <c r="J346" i="14814" s="1"/>
  <c r="J347" i="14814" s="1"/>
  <c r="J348" i="14814" s="1"/>
  <c r="J349" i="14814" s="1"/>
  <c r="J350" i="14814" s="1"/>
  <c r="J351" i="14814" s="1"/>
  <c r="J352" i="14814" s="1"/>
  <c r="J353" i="14814" s="1"/>
  <c r="J354" i="14814" s="1"/>
  <c r="J355" i="14814" s="1"/>
  <c r="J356" i="14814" s="1"/>
  <c r="J357" i="14814" s="1"/>
  <c r="J358" i="14814" s="1"/>
  <c r="J359" i="14814" s="1"/>
  <c r="J360" i="14814" s="1"/>
  <c r="J361" i="14814" s="1"/>
  <c r="J362" i="14814" s="1"/>
  <c r="I366" i="14814"/>
  <c r="P263" i="14814"/>
  <c r="P264" i="14814"/>
  <c r="W147" i="14852" s="1"/>
  <c r="D12" i="14847"/>
  <c r="K92" i="14848"/>
  <c r="K94" i="14848" s="1"/>
  <c r="M92" i="14848"/>
  <c r="M94" i="14848" s="1"/>
  <c r="O92" i="14848"/>
  <c r="O94" i="14848" s="1"/>
  <c r="J92" i="14848"/>
  <c r="J94" i="14848" s="1"/>
  <c r="L122" i="14848"/>
  <c r="L124" i="14848" s="1"/>
  <c r="D122" i="14848"/>
  <c r="K122" i="14848"/>
  <c r="K124" i="14848" s="1"/>
  <c r="G122" i="14848"/>
  <c r="G124" i="14848" s="1"/>
  <c r="G92" i="14848"/>
  <c r="G94" i="14848" s="1"/>
  <c r="E92" i="14848"/>
  <c r="E94" i="14848" s="1"/>
  <c r="H92" i="14848"/>
  <c r="H94" i="14848" s="1"/>
  <c r="M122" i="14848"/>
  <c r="M124" i="14848" s="1"/>
  <c r="F92" i="14848"/>
  <c r="F94" i="14848" s="1"/>
  <c r="H122" i="14848"/>
  <c r="H124" i="14848" s="1"/>
  <c r="I122" i="14848"/>
  <c r="I124" i="14848" s="1"/>
  <c r="J122" i="14848"/>
  <c r="J124" i="14848" s="1"/>
  <c r="N92" i="14848"/>
  <c r="N94" i="14848" s="1"/>
  <c r="D92" i="14848"/>
  <c r="E122" i="14848"/>
  <c r="E124" i="14848" s="1"/>
  <c r="L92" i="14848"/>
  <c r="L94" i="14848" s="1"/>
  <c r="N122" i="14848"/>
  <c r="N124" i="14848" s="1"/>
  <c r="F122" i="14848"/>
  <c r="F124" i="14848" s="1"/>
  <c r="O122" i="14848"/>
  <c r="O124" i="14848" s="1"/>
  <c r="I92" i="14848"/>
  <c r="I94" i="14848" s="1"/>
  <c r="F241" i="14814"/>
  <c r="F244" i="14814"/>
  <c r="F239" i="14814"/>
  <c r="F260" i="14814"/>
  <c r="F247" i="14814"/>
  <c r="F242" i="14814"/>
  <c r="F261" i="14814"/>
  <c r="F243" i="14814"/>
  <c r="F255" i="14814"/>
  <c r="F240" i="14814"/>
  <c r="F249" i="14814"/>
  <c r="F246" i="14814"/>
  <c r="F248" i="14814"/>
  <c r="F250" i="14814"/>
  <c r="F251" i="14814"/>
  <c r="F256" i="14814"/>
  <c r="F238" i="14814"/>
  <c r="F245" i="14814"/>
  <c r="F252" i="14814"/>
  <c r="F254" i="14814"/>
  <c r="F259" i="14814"/>
  <c r="F258" i="14814"/>
  <c r="F257" i="14814"/>
  <c r="K92" i="14847"/>
  <c r="K94" i="14847" s="1"/>
  <c r="O92" i="14847"/>
  <c r="O94" i="14847" s="1"/>
  <c r="M92" i="14847"/>
  <c r="M94" i="14847" s="1"/>
  <c r="I92" i="14847"/>
  <c r="I94" i="14847" s="1"/>
  <c r="H92" i="14847"/>
  <c r="H94" i="14847" s="1"/>
  <c r="L92" i="14847"/>
  <c r="L94" i="14847" s="1"/>
  <c r="E92" i="14847"/>
  <c r="E94" i="14847" s="1"/>
  <c r="J92" i="14847"/>
  <c r="J94" i="14847" s="1"/>
  <c r="D92" i="14847"/>
  <c r="G122" i="14847"/>
  <c r="M122" i="14847"/>
  <c r="F92" i="14847"/>
  <c r="F94" i="14847" s="1"/>
  <c r="N92" i="14847"/>
  <c r="N94" i="14847" s="1"/>
  <c r="D122" i="14847"/>
  <c r="O122" i="14847"/>
  <c r="J122" i="14847"/>
  <c r="G92" i="14847"/>
  <c r="G94" i="14847" s="1"/>
  <c r="E122" i="14847"/>
  <c r="N122" i="14847"/>
  <c r="F122" i="14847"/>
  <c r="I122" i="14847"/>
  <c r="H122" i="14847"/>
  <c r="K122" i="14847"/>
  <c r="L122" i="14847"/>
  <c r="M147" i="14852" l="1"/>
  <c r="M156" i="14852" s="1"/>
  <c r="G103" i="14814"/>
  <c r="H154" i="14848"/>
  <c r="H156" i="14848" s="1"/>
  <c r="D154" i="14848"/>
  <c r="D156" i="14848" s="1"/>
  <c r="N154" i="14848"/>
  <c r="N156" i="14848" s="1"/>
  <c r="F154" i="14848"/>
  <c r="F156" i="14848" s="1"/>
  <c r="G154" i="14848"/>
  <c r="G156" i="14848" s="1"/>
  <c r="M154" i="14848"/>
  <c r="M156" i="14848" s="1"/>
  <c r="O154" i="14848"/>
  <c r="O156" i="14848" s="1"/>
  <c r="L154" i="14848"/>
  <c r="L156" i="14848" s="1"/>
  <c r="K154" i="14848"/>
  <c r="K156" i="14848" s="1"/>
  <c r="J154" i="14848"/>
  <c r="J156" i="14848" s="1"/>
  <c r="E154" i="14848"/>
  <c r="E156" i="14848" s="1"/>
  <c r="P156" i="14847"/>
  <c r="F184" i="14848"/>
  <c r="F186" i="14848" s="1"/>
  <c r="P154" i="14847"/>
  <c r="K184" i="14848"/>
  <c r="K186" i="14848" s="1"/>
  <c r="D184" i="14848"/>
  <c r="D186" i="14848" s="1"/>
  <c r="J184" i="14848"/>
  <c r="J186" i="14848" s="1"/>
  <c r="E184" i="14848"/>
  <c r="E186" i="14848" s="1"/>
  <c r="L184" i="14848"/>
  <c r="L186" i="14848" s="1"/>
  <c r="N184" i="14848"/>
  <c r="N186" i="14848" s="1"/>
  <c r="G184" i="14848"/>
  <c r="G186" i="14848" s="1"/>
  <c r="H184" i="14848"/>
  <c r="H186" i="14848" s="1"/>
  <c r="M184" i="14848"/>
  <c r="M186" i="14848" s="1"/>
  <c r="O184" i="14848"/>
  <c r="O186" i="14848" s="1"/>
  <c r="R203" i="14814"/>
  <c r="U203" i="14814" s="1"/>
  <c r="R103" i="14814"/>
  <c r="AD103" i="14814" s="1"/>
  <c r="AE103" i="14814" s="1"/>
  <c r="Q203" i="14814"/>
  <c r="T203" i="14814" s="1"/>
  <c r="G216" i="14814"/>
  <c r="Q209" i="14814"/>
  <c r="T209" i="14814" s="1"/>
  <c r="R109" i="14814"/>
  <c r="AD109" i="14814" s="1"/>
  <c r="AE109" i="14814" s="1"/>
  <c r="G109" i="14814"/>
  <c r="R209" i="14814"/>
  <c r="U209" i="14814" s="1"/>
  <c r="Q216" i="14814"/>
  <c r="T216" i="14814" s="1"/>
  <c r="R211" i="14814"/>
  <c r="U211" i="14814" s="1"/>
  <c r="R171" i="14814"/>
  <c r="U171" i="14814" s="1"/>
  <c r="R175" i="14814"/>
  <c r="U175" i="14814" s="1"/>
  <c r="G171" i="14814"/>
  <c r="G215" i="14814"/>
  <c r="R111" i="14814"/>
  <c r="AD111" i="14814" s="1"/>
  <c r="AE111" i="14814" s="1"/>
  <c r="Q175" i="14814"/>
  <c r="T175" i="14814" s="1"/>
  <c r="Q165" i="14814"/>
  <c r="T165" i="14814" s="1"/>
  <c r="Q211" i="14814"/>
  <c r="T211" i="14814" s="1"/>
  <c r="R215" i="14814"/>
  <c r="U215" i="14814" s="1"/>
  <c r="G181" i="14814"/>
  <c r="G111" i="14814"/>
  <c r="R165" i="14814"/>
  <c r="U165" i="14814" s="1"/>
  <c r="Q181" i="14814"/>
  <c r="T181" i="14814" s="1"/>
  <c r="R105" i="14814"/>
  <c r="AD105" i="14814" s="1"/>
  <c r="AE105" i="14814" s="1"/>
  <c r="Q105" i="14814"/>
  <c r="T105" i="14814" s="1"/>
  <c r="F224" i="14814"/>
  <c r="G121" i="14814"/>
  <c r="F184" i="14814"/>
  <c r="R116" i="14814"/>
  <c r="AD116" i="14814" s="1"/>
  <c r="AE116" i="14814" s="1"/>
  <c r="R198" i="14814"/>
  <c r="Q158" i="14814"/>
  <c r="R205" i="14814"/>
  <c r="U205" i="14814" s="1"/>
  <c r="F223" i="14814"/>
  <c r="O149" i="14786" s="1"/>
  <c r="Q205" i="14814"/>
  <c r="T205" i="14814" s="1"/>
  <c r="G158" i="14814"/>
  <c r="F183" i="14814"/>
  <c r="N149" i="14786" s="1"/>
  <c r="Q198" i="14814"/>
  <c r="T198" i="14814" s="1"/>
  <c r="R121" i="14814"/>
  <c r="AD121" i="14814" s="1"/>
  <c r="AE121" i="14814" s="1"/>
  <c r="Q98" i="14814"/>
  <c r="T98" i="14814" s="1"/>
  <c r="R98" i="14814"/>
  <c r="U98" i="14814" s="1"/>
  <c r="F123" i="14814"/>
  <c r="M149" i="14786" s="1"/>
  <c r="F124" i="14814"/>
  <c r="G116" i="14814"/>
  <c r="U112" i="14814"/>
  <c r="AD112" i="14814"/>
  <c r="AE112" i="14814" s="1"/>
  <c r="AA112" i="14814"/>
  <c r="AB112" i="14814" s="1"/>
  <c r="U108" i="14814"/>
  <c r="AD108" i="14814"/>
  <c r="AE108" i="14814" s="1"/>
  <c r="AA108" i="14814"/>
  <c r="AB108" i="14814" s="1"/>
  <c r="AD113" i="14814"/>
  <c r="AE113" i="14814" s="1"/>
  <c r="U113" i="14814"/>
  <c r="AA113" i="14814"/>
  <c r="AB113" i="14814" s="1"/>
  <c r="AD107" i="14814"/>
  <c r="AE107" i="14814" s="1"/>
  <c r="U107" i="14814"/>
  <c r="AA107" i="14814"/>
  <c r="AB107" i="14814" s="1"/>
  <c r="AA114" i="14814"/>
  <c r="AB114" i="14814" s="1"/>
  <c r="U114" i="14814"/>
  <c r="AD114" i="14814"/>
  <c r="AE114" i="14814" s="1"/>
  <c r="AA106" i="14814"/>
  <c r="AB106" i="14814" s="1"/>
  <c r="U106" i="14814"/>
  <c r="AD106" i="14814"/>
  <c r="AE106" i="14814" s="1"/>
  <c r="AA120" i="14814"/>
  <c r="AB120" i="14814" s="1"/>
  <c r="U120" i="14814"/>
  <c r="AD120" i="14814"/>
  <c r="AE120" i="14814" s="1"/>
  <c r="AA117" i="14814"/>
  <c r="AB117" i="14814" s="1"/>
  <c r="U117" i="14814"/>
  <c r="AD117" i="14814"/>
  <c r="AE117" i="14814" s="1"/>
  <c r="U158" i="14814"/>
  <c r="AA118" i="14814"/>
  <c r="AB118" i="14814" s="1"/>
  <c r="AD118" i="14814"/>
  <c r="AE118" i="14814" s="1"/>
  <c r="U118" i="14814"/>
  <c r="AD119" i="14814"/>
  <c r="AE119" i="14814" s="1"/>
  <c r="U119" i="14814"/>
  <c r="AA119" i="14814"/>
  <c r="AB119" i="14814" s="1"/>
  <c r="U104" i="14814"/>
  <c r="AA104" i="14814"/>
  <c r="AB104" i="14814" s="1"/>
  <c r="AD104" i="14814"/>
  <c r="AE104" i="14814" s="1"/>
  <c r="U110" i="14814"/>
  <c r="AA110" i="14814"/>
  <c r="AB110" i="14814" s="1"/>
  <c r="AD110" i="14814"/>
  <c r="AE110" i="14814" s="1"/>
  <c r="U115" i="14814"/>
  <c r="AA115" i="14814"/>
  <c r="AB115" i="14814" s="1"/>
  <c r="AD115" i="14814"/>
  <c r="AE115" i="14814" s="1"/>
  <c r="AA102" i="14814"/>
  <c r="AB102" i="14814" s="1"/>
  <c r="U102" i="14814"/>
  <c r="AD102" i="14814"/>
  <c r="AE102" i="14814" s="1"/>
  <c r="AA99" i="14814"/>
  <c r="AB99" i="14814" s="1"/>
  <c r="U99" i="14814"/>
  <c r="AD99" i="14814"/>
  <c r="AE99" i="14814" s="1"/>
  <c r="AA101" i="14814"/>
  <c r="AB101" i="14814" s="1"/>
  <c r="AD101" i="14814"/>
  <c r="AE101" i="14814" s="1"/>
  <c r="U101" i="14814"/>
  <c r="AD100" i="14814"/>
  <c r="AE100" i="14814" s="1"/>
  <c r="U100" i="14814"/>
  <c r="AA100" i="14814"/>
  <c r="AB100" i="14814" s="1"/>
  <c r="N364" i="14814"/>
  <c r="N365" i="14814"/>
  <c r="N366" i="14814"/>
  <c r="N367" i="14814"/>
  <c r="J366" i="14814"/>
  <c r="J365" i="14814"/>
  <c r="J367" i="14814"/>
  <c r="R254" i="14814"/>
  <c r="G254" i="14814"/>
  <c r="Q254" i="14814"/>
  <c r="R253" i="14814"/>
  <c r="Q253" i="14814"/>
  <c r="G253" i="14814"/>
  <c r="K124" i="14847"/>
  <c r="N124" i="14847"/>
  <c r="O124" i="14847"/>
  <c r="M124" i="14847"/>
  <c r="Q257" i="14814"/>
  <c r="R257" i="14814"/>
  <c r="G257" i="14814"/>
  <c r="G252" i="14814"/>
  <c r="Q252" i="14814"/>
  <c r="R252" i="14814"/>
  <c r="Q251" i="14814"/>
  <c r="R251" i="14814"/>
  <c r="G251" i="14814"/>
  <c r="Q249" i="14814"/>
  <c r="G249" i="14814"/>
  <c r="R249" i="14814"/>
  <c r="G243" i="14814"/>
  <c r="R243" i="14814"/>
  <c r="Q243" i="14814"/>
  <c r="R260" i="14814"/>
  <c r="Q260" i="14814"/>
  <c r="G260" i="14814"/>
  <c r="F124" i="14847"/>
  <c r="J124" i="14847"/>
  <c r="R256" i="14814"/>
  <c r="G256" i="14814"/>
  <c r="Q256" i="14814"/>
  <c r="Q247" i="14814"/>
  <c r="G247" i="14814"/>
  <c r="R247" i="14814"/>
  <c r="H124" i="14847"/>
  <c r="E124" i="14847"/>
  <c r="D124" i="14847"/>
  <c r="G124" i="14847"/>
  <c r="R258" i="14814"/>
  <c r="G258" i="14814"/>
  <c r="Q258" i="14814"/>
  <c r="G245" i="14814"/>
  <c r="R245" i="14814"/>
  <c r="Q245" i="14814"/>
  <c r="G250" i="14814"/>
  <c r="Q250" i="14814"/>
  <c r="R250" i="14814"/>
  <c r="G240" i="14814"/>
  <c r="Q240" i="14814"/>
  <c r="R240" i="14814"/>
  <c r="R261" i="14814"/>
  <c r="Q261" i="14814"/>
  <c r="G261" i="14814"/>
  <c r="Q239" i="14814"/>
  <c r="G239" i="14814"/>
  <c r="R239" i="14814"/>
  <c r="L124" i="14847"/>
  <c r="Q246" i="14814"/>
  <c r="R246" i="14814"/>
  <c r="G246" i="14814"/>
  <c r="G241" i="14814"/>
  <c r="Q241" i="14814"/>
  <c r="R241" i="14814"/>
  <c r="I124" i="14847"/>
  <c r="P92" i="14847"/>
  <c r="D94" i="14847"/>
  <c r="R259" i="14814"/>
  <c r="G259" i="14814"/>
  <c r="Q259" i="14814"/>
  <c r="F264" i="14814"/>
  <c r="W148" i="14852" s="1"/>
  <c r="F263" i="14814"/>
  <c r="Q238" i="14814"/>
  <c r="R238" i="14814"/>
  <c r="G238" i="14814"/>
  <c r="G248" i="14814"/>
  <c r="Q248" i="14814"/>
  <c r="R248" i="14814"/>
  <c r="R255" i="14814"/>
  <c r="G255" i="14814"/>
  <c r="Q255" i="14814"/>
  <c r="R242" i="14814"/>
  <c r="Q242" i="14814"/>
  <c r="G242" i="14814"/>
  <c r="R244" i="14814"/>
  <c r="G244" i="14814"/>
  <c r="Q244" i="14814"/>
  <c r="P92" i="14848"/>
  <c r="D94" i="14848"/>
  <c r="P122" i="14848"/>
  <c r="S122" i="14848" s="1"/>
  <c r="D124" i="14848"/>
  <c r="AA103" i="14814" l="1"/>
  <c r="AB103" i="14814" s="1"/>
  <c r="AF103" i="14814" s="1"/>
  <c r="M155" i="14786"/>
  <c r="M153" i="14786"/>
  <c r="M154" i="14786"/>
  <c r="W149" i="14852"/>
  <c r="M149" i="14852"/>
  <c r="N155" i="14786"/>
  <c r="N154" i="14786"/>
  <c r="N153" i="14786"/>
  <c r="AC148" i="14786"/>
  <c r="O156" i="14786"/>
  <c r="AA148" i="14786"/>
  <c r="M156" i="14786"/>
  <c r="AF126" i="14814" s="1"/>
  <c r="AB148" i="14786"/>
  <c r="N156" i="14786"/>
  <c r="P154" i="14848"/>
  <c r="P156" i="14848"/>
  <c r="P184" i="14848"/>
  <c r="P186" i="14848"/>
  <c r="U103" i="14814"/>
  <c r="U109" i="14814"/>
  <c r="AA109" i="14814"/>
  <c r="AB109" i="14814" s="1"/>
  <c r="AF109" i="14814" s="1"/>
  <c r="G223" i="14814"/>
  <c r="U111" i="14814"/>
  <c r="AA98" i="14814"/>
  <c r="AB98" i="14814" s="1"/>
  <c r="G184" i="14814"/>
  <c r="Q184" i="14814"/>
  <c r="U105" i="14814"/>
  <c r="AA111" i="14814"/>
  <c r="AB111" i="14814" s="1"/>
  <c r="AF111" i="14814" s="1"/>
  <c r="G124" i="14814"/>
  <c r="R183" i="14814"/>
  <c r="R184" i="14814"/>
  <c r="R185" i="14814"/>
  <c r="T158" i="14814"/>
  <c r="T185" i="14814" s="1"/>
  <c r="AA105" i="14814"/>
  <c r="AB105" i="14814" s="1"/>
  <c r="AF105" i="14814" s="1"/>
  <c r="R224" i="14814"/>
  <c r="U198" i="14814"/>
  <c r="Q124" i="14814"/>
  <c r="Q225" i="14814"/>
  <c r="Q183" i="14814"/>
  <c r="G183" i="14814"/>
  <c r="Q185" i="14814"/>
  <c r="U121" i="14814"/>
  <c r="AA116" i="14814"/>
  <c r="AB116" i="14814" s="1"/>
  <c r="AF116" i="14814" s="1"/>
  <c r="R124" i="14814"/>
  <c r="AD98" i="14814"/>
  <c r="AE98" i="14814" s="1"/>
  <c r="AE124" i="14814" s="1"/>
  <c r="R223" i="14814"/>
  <c r="U116" i="14814"/>
  <c r="Q224" i="14814"/>
  <c r="R225" i="14814"/>
  <c r="Q123" i="14814"/>
  <c r="R123" i="14814"/>
  <c r="R125" i="14814"/>
  <c r="AA121" i="14814"/>
  <c r="AB121" i="14814" s="1"/>
  <c r="AF121" i="14814" s="1"/>
  <c r="G123" i="14814"/>
  <c r="Q223" i="14814"/>
  <c r="Q125" i="14814"/>
  <c r="AF100" i="14814"/>
  <c r="AF104" i="14814"/>
  <c r="AF114" i="14814"/>
  <c r="AF102" i="14814"/>
  <c r="AF113" i="14814"/>
  <c r="AF119" i="14814"/>
  <c r="AF117" i="14814"/>
  <c r="AF108" i="14814"/>
  <c r="AF107" i="14814"/>
  <c r="AF112" i="14814"/>
  <c r="AF99" i="14814"/>
  <c r="AF106" i="14814"/>
  <c r="AF101" i="14814"/>
  <c r="AF110" i="14814"/>
  <c r="AF118" i="14814"/>
  <c r="AF115" i="14814"/>
  <c r="T123" i="14814"/>
  <c r="T125" i="14814"/>
  <c r="T124" i="14814"/>
  <c r="U184" i="14814"/>
  <c r="U185" i="14814"/>
  <c r="U183" i="14814"/>
  <c r="AF120" i="14814"/>
  <c r="T223" i="14814"/>
  <c r="T224" i="14814"/>
  <c r="T225" i="14814"/>
  <c r="Z244" i="14814"/>
  <c r="U244" i="14814"/>
  <c r="Y238" i="14814"/>
  <c r="Q265" i="14814"/>
  <c r="T238" i="14814"/>
  <c r="Q263" i="14814"/>
  <c r="Q264" i="14814"/>
  <c r="U250" i="14814"/>
  <c r="Z250" i="14814"/>
  <c r="Z258" i="14814"/>
  <c r="U258" i="14814"/>
  <c r="T252" i="14814"/>
  <c r="Y252" i="14814"/>
  <c r="U241" i="14814"/>
  <c r="Z241" i="14814"/>
  <c r="Z246" i="14814"/>
  <c r="U246" i="14814"/>
  <c r="T239" i="14814"/>
  <c r="Y239" i="14814"/>
  <c r="U240" i="14814"/>
  <c r="Z240" i="14814"/>
  <c r="Y250" i="14814"/>
  <c r="T250" i="14814"/>
  <c r="Z256" i="14814"/>
  <c r="U256" i="14814"/>
  <c r="Z260" i="14814"/>
  <c r="U260" i="14814"/>
  <c r="U249" i="14814"/>
  <c r="Z249" i="14814"/>
  <c r="U251" i="14814"/>
  <c r="Z251" i="14814"/>
  <c r="Y248" i="14814"/>
  <c r="T248" i="14814"/>
  <c r="U261" i="14814"/>
  <c r="Z261" i="14814"/>
  <c r="U245" i="14814"/>
  <c r="Z245" i="14814"/>
  <c r="T254" i="14814"/>
  <c r="Y254" i="14814"/>
  <c r="U259" i="14814"/>
  <c r="Z259" i="14814"/>
  <c r="P94" i="14847"/>
  <c r="P94" i="14848"/>
  <c r="T244" i="14814"/>
  <c r="Y244" i="14814"/>
  <c r="Y242" i="14814"/>
  <c r="T242" i="14814"/>
  <c r="Z255" i="14814"/>
  <c r="U255" i="14814"/>
  <c r="G263" i="14814"/>
  <c r="T241" i="14814"/>
  <c r="Y241" i="14814"/>
  <c r="Y246" i="14814"/>
  <c r="T246" i="14814"/>
  <c r="T240" i="14814"/>
  <c r="Y240" i="14814"/>
  <c r="T258" i="14814"/>
  <c r="Y258" i="14814"/>
  <c r="Y247" i="14814"/>
  <c r="T247" i="14814"/>
  <c r="Y243" i="14814"/>
  <c r="T243" i="14814"/>
  <c r="Y251" i="14814"/>
  <c r="T251" i="14814"/>
  <c r="Y253" i="14814"/>
  <c r="T253" i="14814"/>
  <c r="Z254" i="14814"/>
  <c r="U254" i="14814"/>
  <c r="Y255" i="14814"/>
  <c r="T255" i="14814"/>
  <c r="U247" i="14814"/>
  <c r="Z247" i="14814"/>
  <c r="Y260" i="14814"/>
  <c r="T260" i="14814"/>
  <c r="Y257" i="14814"/>
  <c r="T257" i="14814"/>
  <c r="P124" i="14848"/>
  <c r="S124" i="14848" s="1"/>
  <c r="U242" i="14814"/>
  <c r="Z242" i="14814"/>
  <c r="Z248" i="14814"/>
  <c r="U248" i="14814"/>
  <c r="R265" i="14814"/>
  <c r="Z238" i="14814"/>
  <c r="R263" i="14814"/>
  <c r="U238" i="14814"/>
  <c r="R264" i="14814"/>
  <c r="Y259" i="14814"/>
  <c r="T259" i="14814"/>
  <c r="U239" i="14814"/>
  <c r="Z239" i="14814"/>
  <c r="Y261" i="14814"/>
  <c r="T261" i="14814"/>
  <c r="T245" i="14814"/>
  <c r="Y245" i="14814"/>
  <c r="P124" i="14847"/>
  <c r="S124" i="14847" s="1"/>
  <c r="Y256" i="14814"/>
  <c r="T256" i="14814"/>
  <c r="U243" i="14814"/>
  <c r="Z243" i="14814"/>
  <c r="Y249" i="14814"/>
  <c r="T249" i="14814"/>
  <c r="Z252" i="14814"/>
  <c r="U252" i="14814"/>
  <c r="U257" i="14814"/>
  <c r="Z257" i="14814"/>
  <c r="U253" i="14814"/>
  <c r="Z253" i="14814"/>
  <c r="M155" i="14852" l="1"/>
  <c r="M153" i="14852"/>
  <c r="M154" i="14852"/>
  <c r="B170" i="14814"/>
  <c r="B167" i="14814"/>
  <c r="B181" i="14814"/>
  <c r="B178" i="14814"/>
  <c r="B162" i="14814"/>
  <c r="B174" i="14814"/>
  <c r="B164" i="14814"/>
  <c r="B179" i="14814"/>
  <c r="B177" i="14814"/>
  <c r="B160" i="14814"/>
  <c r="B173" i="14814"/>
  <c r="B176" i="14814"/>
  <c r="B168" i="14814"/>
  <c r="B169" i="14814"/>
  <c r="B180" i="14814"/>
  <c r="B163" i="14814"/>
  <c r="B166" i="14814"/>
  <c r="B159" i="14814"/>
  <c r="B172" i="14814"/>
  <c r="B161" i="14814"/>
  <c r="B171" i="14814"/>
  <c r="B175" i="14814"/>
  <c r="B158" i="14814"/>
  <c r="B165" i="14814"/>
  <c r="U224" i="14814"/>
  <c r="T184" i="14814"/>
  <c r="U223" i="14814"/>
  <c r="U123" i="14814"/>
  <c r="AF128" i="14814" s="1"/>
  <c r="T183" i="14814"/>
  <c r="U124" i="14814"/>
  <c r="U225" i="14814"/>
  <c r="B198" i="14814" s="1"/>
  <c r="AD124" i="14814"/>
  <c r="U125" i="14814"/>
  <c r="B103" i="14814" s="1"/>
  <c r="AA124" i="14814"/>
  <c r="O158" i="14786"/>
  <c r="H268" i="14786" s="1"/>
  <c r="O158" i="14852"/>
  <c r="H268" i="14852" s="1"/>
  <c r="M158" i="14786"/>
  <c r="M158" i="14852"/>
  <c r="N158" i="14852"/>
  <c r="N158" i="14786"/>
  <c r="N157" i="14852"/>
  <c r="N157" i="14786"/>
  <c r="AF98" i="14814"/>
  <c r="AB124" i="14814"/>
  <c r="U265" i="14814"/>
  <c r="M157" i="14852" s="1"/>
  <c r="U264" i="14814"/>
  <c r="U263" i="14814"/>
  <c r="Y265" i="14814"/>
  <c r="Y263" i="14814"/>
  <c r="Y264" i="14814"/>
  <c r="Z265" i="14814"/>
  <c r="Z264" i="14814"/>
  <c r="Z263" i="14814"/>
  <c r="T263" i="14814"/>
  <c r="T265" i="14814"/>
  <c r="T264" i="14814"/>
  <c r="B241" i="14814" l="1"/>
  <c r="B258" i="14814"/>
  <c r="B250" i="14814"/>
  <c r="B259" i="14814"/>
  <c r="B252" i="14814"/>
  <c r="B248" i="14814"/>
  <c r="B109" i="14814"/>
  <c r="B253" i="14814"/>
  <c r="B116" i="14814"/>
  <c r="B240" i="14814"/>
  <c r="B257" i="14814"/>
  <c r="B251" i="14814"/>
  <c r="B260" i="14814"/>
  <c r="B238" i="14814"/>
  <c r="B249" i="14814"/>
  <c r="B216" i="14814"/>
  <c r="B201" i="14814"/>
  <c r="B210" i="14814"/>
  <c r="B217" i="14814"/>
  <c r="B200" i="14814"/>
  <c r="B212" i="14814"/>
  <c r="B202" i="14814"/>
  <c r="B214" i="14814"/>
  <c r="B206" i="14814"/>
  <c r="B220" i="14814"/>
  <c r="B204" i="14814"/>
  <c r="B208" i="14814"/>
  <c r="B199" i="14814"/>
  <c r="B219" i="14814"/>
  <c r="B213" i="14814"/>
  <c r="B218" i="14814"/>
  <c r="B221" i="14814"/>
  <c r="B207" i="14814"/>
  <c r="B205" i="14814"/>
  <c r="B215" i="14814"/>
  <c r="B211" i="14814"/>
  <c r="B203" i="14814"/>
  <c r="B209" i="14814"/>
  <c r="AF127" i="14814"/>
  <c r="B102" i="14814"/>
  <c r="B99" i="14814"/>
  <c r="B115" i="14814"/>
  <c r="B118" i="14814"/>
  <c r="B98" i="14814"/>
  <c r="B100" i="14814"/>
  <c r="B108" i="14814"/>
  <c r="B119" i="14814"/>
  <c r="B120" i="14814"/>
  <c r="B110" i="14814"/>
  <c r="B114" i="14814"/>
  <c r="B107" i="14814"/>
  <c r="B106" i="14814"/>
  <c r="B117" i="14814"/>
  <c r="B101" i="14814"/>
  <c r="B104" i="14814"/>
  <c r="B112" i="14814"/>
  <c r="B113" i="14814"/>
  <c r="B256" i="14814"/>
  <c r="B255" i="14814"/>
  <c r="B245" i="14814"/>
  <c r="B239" i="14814"/>
  <c r="B111" i="14814"/>
  <c r="B254" i="14814"/>
  <c r="B244" i="14814"/>
  <c r="B261" i="14814"/>
  <c r="AF147" i="14786"/>
  <c r="AF148" i="14786"/>
  <c r="B246" i="14814"/>
  <c r="B121" i="14814"/>
  <c r="B247" i="14814"/>
  <c r="B243" i="14814"/>
  <c r="B105" i="14814"/>
  <c r="B242" i="14814"/>
  <c r="M150" i="14786"/>
  <c r="M151" i="14786"/>
  <c r="M152" i="14786"/>
  <c r="N152" i="14786"/>
  <c r="N150" i="14786"/>
  <c r="N151" i="14786"/>
  <c r="M157" i="14786"/>
  <c r="H270" i="14852"/>
  <c r="M150" i="14852"/>
  <c r="M152" i="14852"/>
  <c r="M151" i="14852"/>
  <c r="AF123" i="14814"/>
  <c r="AF125" i="14814"/>
  <c r="AH98" i="14814"/>
  <c r="H270" i="14786"/>
  <c r="H269" i="14786"/>
  <c r="H269" i="14852"/>
  <c r="N152" i="14852"/>
  <c r="N151" i="14852"/>
  <c r="N150" i="14852"/>
  <c r="AF149" i="14786" l="1"/>
  <c r="AG147" i="14786"/>
  <c r="AE148" i="14786"/>
  <c r="AE147" i="14786"/>
  <c r="AG148" i="14786"/>
  <c r="Z99" i="14814"/>
  <c r="AG99" i="14814"/>
  <c r="AC99" i="14814"/>
  <c r="AI98" i="14814"/>
  <c r="AE149" i="14786" l="1"/>
  <c r="AH99" i="14814"/>
  <c r="AG100" i="14814" l="1"/>
  <c r="Z100" i="14814"/>
  <c r="AC100" i="14814"/>
  <c r="AI99" i="14814"/>
  <c r="AH100" i="14814" l="1"/>
  <c r="AI100" i="14814" l="1"/>
  <c r="Z101" i="14814"/>
  <c r="AG101" i="14814"/>
  <c r="AC101" i="14814"/>
  <c r="AH101" i="14814" l="1"/>
  <c r="AG102" i="14814" l="1"/>
  <c r="AC102" i="14814"/>
  <c r="Z102" i="14814"/>
  <c r="AI101" i="14814"/>
  <c r="AH102" i="14814" l="1"/>
  <c r="AG103" i="14814" l="1"/>
  <c r="Z103" i="14814"/>
  <c r="AC103" i="14814"/>
  <c r="AI102" i="14814"/>
  <c r="AH103" i="14814" l="1"/>
  <c r="AC104" i="14814" l="1"/>
  <c r="AI103" i="14814"/>
  <c r="AG104" i="14814"/>
  <c r="AH104" i="14814" s="1"/>
  <c r="Z104" i="14814"/>
  <c r="Z105" i="14814" l="1"/>
  <c r="AG105" i="14814"/>
  <c r="AH105" i="14814" s="1"/>
  <c r="AC105" i="14814"/>
  <c r="AI104" i="14814"/>
  <c r="AG106" i="14814" l="1"/>
  <c r="AH106" i="14814" s="1"/>
  <c r="AC106" i="14814"/>
  <c r="Z106" i="14814"/>
  <c r="AI105" i="14814"/>
  <c r="AI106" i="14814" l="1"/>
  <c r="Z107" i="14814"/>
  <c r="AG107" i="14814"/>
  <c r="AH107" i="14814" s="1"/>
  <c r="AC107" i="14814"/>
  <c r="Z108" i="14814" l="1"/>
  <c r="AG108" i="14814"/>
  <c r="AH108" i="14814" s="1"/>
  <c r="AI107" i="14814"/>
  <c r="AC108" i="14814"/>
  <c r="AI108" i="14814" l="1"/>
  <c r="AG109" i="14814"/>
  <c r="AH109" i="14814" s="1"/>
  <c r="Z109" i="14814"/>
  <c r="AC109" i="14814"/>
  <c r="AG110" i="14814" l="1"/>
  <c r="AH110" i="14814" s="1"/>
  <c r="AC110" i="14814"/>
  <c r="Z110" i="14814"/>
  <c r="AI109" i="14814"/>
  <c r="AC111" i="14814" l="1"/>
  <c r="Z111" i="14814"/>
  <c r="AI110" i="14814"/>
  <c r="AG111" i="14814"/>
  <c r="AH111" i="14814" s="1"/>
  <c r="AC112" i="14814" l="1"/>
  <c r="Z112" i="14814"/>
  <c r="AI111" i="14814"/>
  <c r="AG112" i="14814"/>
  <c r="AH112" i="14814" s="1"/>
  <c r="Z113" i="14814" l="1"/>
  <c r="AG113" i="14814"/>
  <c r="AH113" i="14814" s="1"/>
  <c r="AC113" i="14814"/>
  <c r="AI112" i="14814"/>
  <c r="Z114" i="14814" l="1"/>
  <c r="AG114" i="14814"/>
  <c r="AH114" i="14814" s="1"/>
  <c r="AC114" i="14814"/>
  <c r="AI113" i="14814"/>
  <c r="AI114" i="14814" l="1"/>
  <c r="AC115" i="14814"/>
  <c r="Z115" i="14814"/>
  <c r="AG115" i="14814"/>
  <c r="AH115" i="14814" s="1"/>
  <c r="AG116" i="14814" l="1"/>
  <c r="AH116" i="14814" s="1"/>
  <c r="AI115" i="14814"/>
  <c r="AC116" i="14814"/>
  <c r="Z116" i="14814"/>
  <c r="AG117" i="14814" l="1"/>
  <c r="AH117" i="14814" s="1"/>
  <c r="AC117" i="14814"/>
  <c r="Z117" i="14814"/>
  <c r="AI116" i="14814"/>
  <c r="AI117" i="14814" l="1"/>
  <c r="Z118" i="14814"/>
  <c r="AG118" i="14814"/>
  <c r="AH118" i="14814" s="1"/>
  <c r="AC118" i="14814"/>
  <c r="Z119" i="14814" l="1"/>
  <c r="AC119" i="14814"/>
  <c r="AI118" i="14814"/>
  <c r="AG119" i="14814"/>
  <c r="AH119" i="14814" s="1"/>
  <c r="AI119" i="14814" l="1"/>
  <c r="Z120" i="14814"/>
  <c r="AC120" i="14814"/>
  <c r="AG120" i="14814"/>
  <c r="AH120" i="14814" s="1"/>
  <c r="Z121" i="14814" l="1"/>
  <c r="Z124" i="14814" s="1"/>
  <c r="AI120" i="14814"/>
  <c r="AG121" i="14814"/>
  <c r="AC121" i="14814"/>
  <c r="AC124" i="14814" s="1"/>
  <c r="AH121" i="14814" l="1"/>
  <c r="AG124" i="14814"/>
  <c r="AI121" i="14814" l="1"/>
  <c r="AI124" i="14814" s="1"/>
  <c r="AH124" i="14814"/>
  <c r="V8" i="14838"/>
  <c r="R10" i="14838"/>
  <c r="W9" i="14838"/>
  <c r="Q10" i="14838"/>
  <c r="N6" i="14838"/>
  <c r="P9" i="14838"/>
  <c r="N10" i="14838"/>
  <c r="X2" i="14838"/>
  <c r="AJ70" i="14842" s="1"/>
  <c r="AE74" i="14842"/>
  <c r="S6" i="14838"/>
  <c r="K74" i="14847" s="1"/>
  <c r="U9" i="14838"/>
  <c r="S9" i="14838"/>
  <c r="N9" i="14838"/>
  <c r="X9" i="14838"/>
  <c r="R3" i="14838"/>
  <c r="V10" i="14838"/>
  <c r="R6" i="14838"/>
  <c r="J74" i="14848" s="1"/>
  <c r="AI75" i="14842"/>
  <c r="W7" i="14838"/>
  <c r="O75" i="14848" s="1"/>
  <c r="O75" i="14847"/>
  <c r="P10" i="14838"/>
  <c r="AJ71" i="14842"/>
  <c r="X3" i="14838"/>
  <c r="P71" i="14848" s="1"/>
  <c r="T10" i="14838"/>
  <c r="M3" i="14838"/>
  <c r="E71" i="14847" s="1"/>
  <c r="S10" i="14838"/>
  <c r="X6" i="14838"/>
  <c r="Q3" i="14838"/>
  <c r="AC71" i="14842"/>
  <c r="V3" i="14838"/>
  <c r="AH71" i="14842" s="1"/>
  <c r="V7" i="14838"/>
  <c r="N75" i="14847" s="1"/>
  <c r="X10" i="14838"/>
  <c r="Q7" i="14838"/>
  <c r="I75" i="14848" s="1"/>
  <c r="O7" i="14838"/>
  <c r="G75" i="14847" s="1"/>
  <c r="U3" i="14838"/>
  <c r="AG71" i="14842" s="1"/>
  <c r="AG74" i="14842"/>
  <c r="U6" i="14838"/>
  <c r="M74" i="14848" s="1"/>
  <c r="T3" i="14838"/>
  <c r="L71" i="14848" s="1"/>
  <c r="Q6" i="14838"/>
  <c r="P3" i="14838"/>
  <c r="H71" i="14847" s="1"/>
  <c r="W8" i="14838"/>
  <c r="L8" i="14838"/>
  <c r="S3" i="14838"/>
  <c r="K71" i="14847" s="1"/>
  <c r="P8" i="14838"/>
  <c r="O10" i="14838"/>
  <c r="L6" i="14838"/>
  <c r="D74" i="14848" s="1"/>
  <c r="W10" i="14838"/>
  <c r="T8" i="14838"/>
  <c r="O6" i="14838"/>
  <c r="G74" i="14847" s="1"/>
  <c r="U8" i="14838"/>
  <c r="T7" i="14838"/>
  <c r="M9" i="14838"/>
  <c r="N3" i="14838"/>
  <c r="Z71" i="14842" s="1"/>
  <c r="N7" i="14838"/>
  <c r="Z75" i="14842" s="1"/>
  <c r="AE75" i="14842"/>
  <c r="S7" i="14838"/>
  <c r="K75" i="14847" s="1"/>
  <c r="T6" i="14838"/>
  <c r="L74" i="14847" s="1"/>
  <c r="Q9" i="14838"/>
  <c r="X4" i="14838"/>
  <c r="P72" i="14847" s="1"/>
  <c r="M6" i="14838"/>
  <c r="R7" i="14838"/>
  <c r="J75" i="14847" s="1"/>
  <c r="N8" i="14838"/>
  <c r="O8" i="14838"/>
  <c r="L3" i="14838"/>
  <c r="X71" i="14842" s="1"/>
  <c r="S8" i="14838"/>
  <c r="P7" i="14838"/>
  <c r="P6" i="14838"/>
  <c r="AB74" i="14842" s="1"/>
  <c r="W6" i="14838"/>
  <c r="L7" i="14838"/>
  <c r="X75" i="14842" s="1"/>
  <c r="X5" i="14838"/>
  <c r="O3" i="14838"/>
  <c r="U10" i="14838"/>
  <c r="T9" i="14838"/>
  <c r="W3" i="14838"/>
  <c r="O71" i="14847" s="1"/>
  <c r="V9" i="14838"/>
  <c r="M8" i="14838"/>
  <c r="X8" i="14838"/>
  <c r="U7" i="14838"/>
  <c r="M75" i="14848" s="1"/>
  <c r="R8" i="14838"/>
  <c r="L10" i="14838"/>
  <c r="M7" i="14838"/>
  <c r="R9" i="14838"/>
  <c r="Q8" i="14838"/>
  <c r="V6" i="14838"/>
  <c r="N74" i="14848" s="1"/>
  <c r="AH74" i="14842"/>
  <c r="M10" i="14838"/>
  <c r="X7" i="14838"/>
  <c r="P75" i="14847" s="1"/>
  <c r="AJ75" i="14842"/>
  <c r="L9" i="14838"/>
  <c r="O9" i="14838"/>
  <c r="G82" i="14842"/>
  <c r="AV279" i="14814"/>
  <c r="G144" i="14822"/>
  <c r="E114" i="14822"/>
  <c r="G111" i="14842"/>
  <c r="AA111" i="14842" s="1"/>
  <c r="G141" i="14822"/>
  <c r="E109" i="14842"/>
  <c r="G112" i="14842"/>
  <c r="AA112" i="14842" s="1"/>
  <c r="G109" i="14842"/>
  <c r="AA109" i="14842" s="1"/>
  <c r="M109" i="14822"/>
  <c r="G109" i="14822"/>
  <c r="J109" i="14842"/>
  <c r="AD109" i="14842" s="1"/>
  <c r="Q5" i="14838"/>
  <c r="V5" i="14838"/>
  <c r="AH73" i="14842" s="1"/>
  <c r="U5" i="14838"/>
  <c r="M73" i="14848" s="1"/>
  <c r="N5" i="14838"/>
  <c r="F73" i="14847" s="1"/>
  <c r="R5" i="14838"/>
  <c r="J73" i="14847" s="1"/>
  <c r="P5" i="14838"/>
  <c r="O5" i="14838"/>
  <c r="G73" i="14848" s="1"/>
  <c r="W5" i="14838"/>
  <c r="AI73" i="14842" s="1"/>
  <c r="S5" i="14838"/>
  <c r="K73" i="14847" s="1"/>
  <c r="T5" i="14838"/>
  <c r="L73" i="14848" s="1"/>
  <c r="M5" i="14838"/>
  <c r="W2" i="14838"/>
  <c r="O70" i="14848" s="1"/>
  <c r="N2" i="14838"/>
  <c r="F70" i="14848" s="1"/>
  <c r="N4" i="14838"/>
  <c r="O4" i="14838"/>
  <c r="G72" i="14848" s="1"/>
  <c r="O2" i="14838"/>
  <c r="G82" i="14822" s="1"/>
  <c r="Q4" i="14838"/>
  <c r="Q2" i="14838"/>
  <c r="V4" i="14838"/>
  <c r="N72" i="14848" s="1"/>
  <c r="V2" i="14838"/>
  <c r="W4" i="14838"/>
  <c r="O72" i="14848" s="1"/>
  <c r="S4" i="14838"/>
  <c r="K72" i="14848" s="1"/>
  <c r="S2" i="14838"/>
  <c r="K70" i="14848" s="1"/>
  <c r="L5" i="14838"/>
  <c r="D73" i="14848" s="1"/>
  <c r="M4" i="14838"/>
  <c r="E72" i="14847" s="1"/>
  <c r="M2" i="14838"/>
  <c r="E70" i="14847" s="1"/>
  <c r="E144" i="14847" s="1"/>
  <c r="R2" i="14838"/>
  <c r="J70" i="14848" s="1"/>
  <c r="J109" i="14848" s="1"/>
  <c r="R4" i="14838"/>
  <c r="U2" i="14838"/>
  <c r="M70" i="14847" s="1"/>
  <c r="U4" i="14838"/>
  <c r="M72" i="14848" s="1"/>
  <c r="T4" i="14838"/>
  <c r="L72" i="14848" s="1"/>
  <c r="T2" i="14838"/>
  <c r="L70" i="14848" s="1"/>
  <c r="L141" i="14848" s="1"/>
  <c r="P4" i="14838"/>
  <c r="H72" i="14847" s="1"/>
  <c r="P2" i="14838"/>
  <c r="H70" i="14847" s="1"/>
  <c r="H143" i="14847" s="1"/>
  <c r="L4" i="14838"/>
  <c r="D72" i="14847" s="1"/>
  <c r="L2" i="14838"/>
  <c r="D70" i="14847" s="1"/>
  <c r="D83" i="14847" s="1"/>
  <c r="K73" i="14848" l="1"/>
  <c r="O71" i="14848"/>
  <c r="K72" i="14847"/>
  <c r="E83" i="14847"/>
  <c r="E112" i="14847"/>
  <c r="G70" i="14847"/>
  <c r="G109" i="14847" s="1"/>
  <c r="J73" i="14848"/>
  <c r="F75" i="14847"/>
  <c r="AS340" i="14814"/>
  <c r="N73" i="14848"/>
  <c r="F79" i="14848"/>
  <c r="F109" i="14848"/>
  <c r="G70" i="14848"/>
  <c r="G81" i="14848" s="1"/>
  <c r="M70" i="14848"/>
  <c r="M80" i="14848" s="1"/>
  <c r="N72" i="14847"/>
  <c r="O70" i="14847"/>
  <c r="O109" i="14847" s="1"/>
  <c r="L74" i="14848"/>
  <c r="E176" i="14847"/>
  <c r="G72" i="14847"/>
  <c r="O73" i="14848"/>
  <c r="E85" i="14847"/>
  <c r="M74" i="14847"/>
  <c r="M73" i="14847"/>
  <c r="E82" i="14847"/>
  <c r="H114" i="14847"/>
  <c r="P71" i="14847"/>
  <c r="D175" i="14847"/>
  <c r="H174" i="14847"/>
  <c r="K74" i="14848"/>
  <c r="O72" i="14847"/>
  <c r="H147" i="14847"/>
  <c r="F75" i="14848"/>
  <c r="E81" i="14847"/>
  <c r="E143" i="14847"/>
  <c r="D75" i="14847"/>
  <c r="D171" i="14847"/>
  <c r="E145" i="14847"/>
  <c r="D75" i="14848"/>
  <c r="E109" i="14847"/>
  <c r="E70" i="14848"/>
  <c r="E173" i="14848" s="1"/>
  <c r="E171" i="14847"/>
  <c r="E177" i="14847"/>
  <c r="E73" i="14848"/>
  <c r="E73" i="14847"/>
  <c r="M115" i="14847"/>
  <c r="M171" i="14847"/>
  <c r="M145" i="14847"/>
  <c r="M177" i="14847"/>
  <c r="M113" i="14847"/>
  <c r="M146" i="14847"/>
  <c r="M114" i="14847"/>
  <c r="M147" i="14847"/>
  <c r="M109" i="14847"/>
  <c r="M143" i="14847"/>
  <c r="M81" i="14847"/>
  <c r="D111" i="14822"/>
  <c r="D109" i="14822"/>
  <c r="D171" i="14822"/>
  <c r="D80" i="14822"/>
  <c r="H109" i="14822"/>
  <c r="H79" i="14822"/>
  <c r="H141" i="14822"/>
  <c r="D146" i="14847"/>
  <c r="D85" i="14847"/>
  <c r="L71" i="14847"/>
  <c r="D109" i="14847"/>
  <c r="D81" i="14847"/>
  <c r="D115" i="14847"/>
  <c r="H82" i="14847"/>
  <c r="E84" i="14842"/>
  <c r="D71" i="14848"/>
  <c r="D74" i="14847"/>
  <c r="Y71" i="14842"/>
  <c r="K125" i="14847"/>
  <c r="K126" i="14847" s="1"/>
  <c r="H177" i="14847"/>
  <c r="AF74" i="14842"/>
  <c r="F71" i="14847"/>
  <c r="AF71" i="14842"/>
  <c r="E71" i="14848"/>
  <c r="H70" i="14848"/>
  <c r="H145" i="14848" s="1"/>
  <c r="J85" i="14848"/>
  <c r="H144" i="14847"/>
  <c r="G171" i="14822"/>
  <c r="G113" i="14822"/>
  <c r="P73" i="14848"/>
  <c r="F71" i="14848"/>
  <c r="O73" i="14847"/>
  <c r="D173" i="14847"/>
  <c r="H145" i="14847"/>
  <c r="J84" i="14822"/>
  <c r="G174" i="14822"/>
  <c r="P75" i="14848"/>
  <c r="P73" i="14847"/>
  <c r="N75" i="14848"/>
  <c r="D70" i="14848"/>
  <c r="D80" i="14848" s="1"/>
  <c r="N73" i="14847"/>
  <c r="E141" i="14847"/>
  <c r="H85" i="14847"/>
  <c r="E114" i="14842"/>
  <c r="Y114" i="14842" s="1"/>
  <c r="D143" i="14842"/>
  <c r="D82" i="14847"/>
  <c r="D144" i="14847"/>
  <c r="H112" i="14847"/>
  <c r="D112" i="14847"/>
  <c r="G79" i="14842"/>
  <c r="I71" i="14847"/>
  <c r="J70" i="14847"/>
  <c r="J147" i="14847" s="1"/>
  <c r="H141" i="14847"/>
  <c r="D143" i="14847"/>
  <c r="D145" i="14847"/>
  <c r="H81" i="14847"/>
  <c r="G146" i="14842"/>
  <c r="N74" i="14847"/>
  <c r="AI71" i="14842"/>
  <c r="Y74" i="14842"/>
  <c r="AA74" i="14842"/>
  <c r="I71" i="14848"/>
  <c r="D111" i="14847"/>
  <c r="D113" i="14847"/>
  <c r="H173" i="14847"/>
  <c r="H109" i="14842"/>
  <c r="AB109" i="14842" s="1"/>
  <c r="G145" i="14842"/>
  <c r="O125" i="14822"/>
  <c r="E74" i="14848"/>
  <c r="G74" i="14848"/>
  <c r="AB71" i="14842"/>
  <c r="D73" i="14847"/>
  <c r="H79" i="14847"/>
  <c r="D84" i="14847"/>
  <c r="AA75" i="14842"/>
  <c r="N70" i="14848"/>
  <c r="K114" i="14848"/>
  <c r="K80" i="14848"/>
  <c r="K176" i="14848"/>
  <c r="K84" i="14848"/>
  <c r="K145" i="14848"/>
  <c r="K141" i="14848"/>
  <c r="K115" i="14848"/>
  <c r="K146" i="14848"/>
  <c r="K83" i="14848"/>
  <c r="K113" i="14848"/>
  <c r="K82" i="14848"/>
  <c r="K147" i="14848"/>
  <c r="K174" i="14848"/>
  <c r="K143" i="14848"/>
  <c r="K111" i="14848"/>
  <c r="K81" i="14848"/>
  <c r="K173" i="14848"/>
  <c r="K79" i="14848"/>
  <c r="K177" i="14848"/>
  <c r="K175" i="14848"/>
  <c r="K85" i="14848"/>
  <c r="K144" i="14848"/>
  <c r="K112" i="14848"/>
  <c r="I73" i="14847"/>
  <c r="I73" i="14848"/>
  <c r="O82" i="14848"/>
  <c r="O114" i="14848"/>
  <c r="O112" i="14848"/>
  <c r="O176" i="14848"/>
  <c r="O147" i="14848"/>
  <c r="O81" i="14848"/>
  <c r="O84" i="14848"/>
  <c r="O83" i="14848"/>
  <c r="O175" i="14848"/>
  <c r="O79" i="14848"/>
  <c r="O113" i="14848"/>
  <c r="O145" i="14848"/>
  <c r="O177" i="14848"/>
  <c r="O115" i="14848"/>
  <c r="O146" i="14848"/>
  <c r="O143" i="14848"/>
  <c r="O109" i="14848"/>
  <c r="O111" i="14848"/>
  <c r="O141" i="14848"/>
  <c r="O173" i="14848"/>
  <c r="O171" i="14848"/>
  <c r="O174" i="14848"/>
  <c r="O80" i="14848"/>
  <c r="O85" i="14848"/>
  <c r="O144" i="14848"/>
  <c r="M72" i="14847"/>
  <c r="K113" i="14822"/>
  <c r="K111" i="14822"/>
  <c r="K80" i="14822"/>
  <c r="K112" i="14822"/>
  <c r="K85" i="14822"/>
  <c r="K81" i="14822"/>
  <c r="K174" i="14822"/>
  <c r="K144" i="14822"/>
  <c r="K173" i="14822"/>
  <c r="K147" i="14822"/>
  <c r="K175" i="14822"/>
  <c r="K82" i="14822"/>
  <c r="K171" i="14822"/>
  <c r="K115" i="14822"/>
  <c r="K177" i="14822"/>
  <c r="K145" i="14822"/>
  <c r="K83" i="14822"/>
  <c r="K114" i="14822"/>
  <c r="K84" i="14822"/>
  <c r="K176" i="14822"/>
  <c r="AZ279" i="14814"/>
  <c r="K146" i="14822"/>
  <c r="K143" i="14822"/>
  <c r="K79" i="14822"/>
  <c r="K109" i="14822"/>
  <c r="K141" i="14822"/>
  <c r="Z72" i="14842"/>
  <c r="G95" i="14842"/>
  <c r="G96" i="14842" s="1"/>
  <c r="G73" i="14847"/>
  <c r="F82" i="14848"/>
  <c r="F171" i="14848"/>
  <c r="F146" i="14848"/>
  <c r="F85" i="14848"/>
  <c r="F81" i="14848"/>
  <c r="F112" i="14848"/>
  <c r="F111" i="14848"/>
  <c r="F144" i="14848"/>
  <c r="F147" i="14848"/>
  <c r="F177" i="14848"/>
  <c r="F174" i="14848"/>
  <c r="F113" i="14848"/>
  <c r="F175" i="14848"/>
  <c r="F176" i="14848"/>
  <c r="F84" i="14848"/>
  <c r="F141" i="14848"/>
  <c r="F114" i="14848"/>
  <c r="F143" i="14848"/>
  <c r="F115" i="14848"/>
  <c r="F80" i="14848"/>
  <c r="F145" i="14848"/>
  <c r="F173" i="14848"/>
  <c r="F83" i="14848"/>
  <c r="J144" i="14848"/>
  <c r="J113" i="14848"/>
  <c r="J176" i="14848"/>
  <c r="J171" i="14848"/>
  <c r="J114" i="14848"/>
  <c r="J83" i="14848"/>
  <c r="J177" i="14848"/>
  <c r="J79" i="14848"/>
  <c r="J115" i="14848"/>
  <c r="J112" i="14848"/>
  <c r="J81" i="14848"/>
  <c r="J175" i="14848"/>
  <c r="J82" i="14848"/>
  <c r="J80" i="14848"/>
  <c r="J147" i="14848"/>
  <c r="J146" i="14848"/>
  <c r="J84" i="14848"/>
  <c r="J143" i="14848"/>
  <c r="J173" i="14848"/>
  <c r="J111" i="14848"/>
  <c r="J141" i="14848"/>
  <c r="J174" i="14848"/>
  <c r="J145" i="14848"/>
  <c r="F70" i="14847"/>
  <c r="K157" i="14847"/>
  <c r="K158" i="14847" s="1"/>
  <c r="K95" i="14847"/>
  <c r="K96" i="14847" s="1"/>
  <c r="AS341" i="14814"/>
  <c r="AS342" i="14814" s="1"/>
  <c r="AS343" i="14814" s="1"/>
  <c r="H72" i="14848"/>
  <c r="L113" i="14848"/>
  <c r="L111" i="14848"/>
  <c r="L175" i="14848"/>
  <c r="L80" i="14848"/>
  <c r="L85" i="14848"/>
  <c r="L143" i="14848"/>
  <c r="L83" i="14848"/>
  <c r="L84" i="14848"/>
  <c r="L174" i="14848"/>
  <c r="L115" i="14848"/>
  <c r="L171" i="14848"/>
  <c r="L82" i="14848"/>
  <c r="L147" i="14848"/>
  <c r="L112" i="14848"/>
  <c r="L145" i="14848"/>
  <c r="L144" i="14848"/>
  <c r="L177" i="14848"/>
  <c r="L109" i="14848"/>
  <c r="L176" i="14848"/>
  <c r="L146" i="14848"/>
  <c r="L114" i="14848"/>
  <c r="L81" i="14848"/>
  <c r="L173" i="14848"/>
  <c r="L79" i="14848"/>
  <c r="L70" i="14847"/>
  <c r="N70" i="14847"/>
  <c r="K109" i="14848"/>
  <c r="K171" i="14848"/>
  <c r="I113" i="14822"/>
  <c r="AX279" i="14814"/>
  <c r="I177" i="14822"/>
  <c r="I147" i="14822"/>
  <c r="I176" i="14822"/>
  <c r="I85" i="14822"/>
  <c r="I144" i="14822"/>
  <c r="I114" i="14822"/>
  <c r="I146" i="14822"/>
  <c r="I84" i="14822"/>
  <c r="I173" i="14822"/>
  <c r="I111" i="14822"/>
  <c r="I145" i="14822"/>
  <c r="I143" i="14822"/>
  <c r="I175" i="14822"/>
  <c r="I83" i="14822"/>
  <c r="I80" i="14822"/>
  <c r="I112" i="14822"/>
  <c r="I81" i="14822"/>
  <c r="I115" i="14822"/>
  <c r="I174" i="14822"/>
  <c r="I82" i="14822"/>
  <c r="I171" i="14822"/>
  <c r="I79" i="14822"/>
  <c r="I141" i="14822"/>
  <c r="G71" i="14847"/>
  <c r="G71" i="14848"/>
  <c r="AA71" i="14842"/>
  <c r="AV340" i="14814"/>
  <c r="G83" i="14847"/>
  <c r="G81" i="14847"/>
  <c r="G85" i="14847"/>
  <c r="G84" i="14847"/>
  <c r="G115" i="14847"/>
  <c r="G143" i="14847"/>
  <c r="G112" i="14847"/>
  <c r="G144" i="14847"/>
  <c r="G177" i="14847"/>
  <c r="G80" i="14847"/>
  <c r="G141" i="14847"/>
  <c r="G175" i="14847"/>
  <c r="G171" i="14847"/>
  <c r="G82" i="14847"/>
  <c r="G145" i="14847"/>
  <c r="G174" i="14847"/>
  <c r="G147" i="14847"/>
  <c r="G113" i="14847"/>
  <c r="G146" i="14847"/>
  <c r="G176" i="14847"/>
  <c r="G79" i="14847"/>
  <c r="E187" i="14842"/>
  <c r="E188" i="14842" s="1"/>
  <c r="E72" i="14848"/>
  <c r="I70" i="14848"/>
  <c r="I70" i="14847"/>
  <c r="O95" i="14822"/>
  <c r="O96" i="14822" s="1"/>
  <c r="M145" i="14842"/>
  <c r="M175" i="14842"/>
  <c r="M85" i="14842"/>
  <c r="M177" i="14842"/>
  <c r="M83" i="14842"/>
  <c r="AG70" i="14842"/>
  <c r="M80" i="14842"/>
  <c r="M147" i="14842"/>
  <c r="M146" i="14842"/>
  <c r="M109" i="14842"/>
  <c r="M144" i="14842"/>
  <c r="M112" i="14842"/>
  <c r="AG112" i="14842" s="1"/>
  <c r="M82" i="14842"/>
  <c r="M111" i="14842"/>
  <c r="AG111" i="14842" s="1"/>
  <c r="M84" i="14842"/>
  <c r="M176" i="14842"/>
  <c r="M114" i="14842"/>
  <c r="AG114" i="14842" s="1"/>
  <c r="M141" i="14842"/>
  <c r="M113" i="14842"/>
  <c r="AG113" i="14842" s="1"/>
  <c r="M79" i="14842"/>
  <c r="M174" i="14842"/>
  <c r="M115" i="14842"/>
  <c r="AG115" i="14842" s="1"/>
  <c r="M171" i="14842"/>
  <c r="M143" i="14842"/>
  <c r="M81" i="14842"/>
  <c r="M173" i="14842"/>
  <c r="J72" i="14847"/>
  <c r="J72" i="14848"/>
  <c r="L73" i="14847"/>
  <c r="G173" i="14847"/>
  <c r="H115" i="14822"/>
  <c r="H113" i="14822"/>
  <c r="H145" i="14822"/>
  <c r="H85" i="14822"/>
  <c r="H147" i="14822"/>
  <c r="H174" i="14822"/>
  <c r="H114" i="14822"/>
  <c r="H80" i="14822"/>
  <c r="H144" i="14822"/>
  <c r="H84" i="14822"/>
  <c r="H146" i="14822"/>
  <c r="H176" i="14822"/>
  <c r="H173" i="14822"/>
  <c r="H111" i="14822"/>
  <c r="H83" i="14822"/>
  <c r="H143" i="14822"/>
  <c r="H81" i="14822"/>
  <c r="H171" i="14822"/>
  <c r="AW279" i="14814"/>
  <c r="H175" i="14822"/>
  <c r="H112" i="14822"/>
  <c r="H82" i="14822"/>
  <c r="H177" i="14822"/>
  <c r="Y109" i="14842"/>
  <c r="G111" i="14847"/>
  <c r="L72" i="14847"/>
  <c r="L187" i="14822"/>
  <c r="L188" i="14822" s="1"/>
  <c r="I72" i="14848"/>
  <c r="I72" i="14847"/>
  <c r="AA72" i="14842"/>
  <c r="F72" i="14848"/>
  <c r="F72" i="14847"/>
  <c r="K70" i="14847"/>
  <c r="F73" i="14848"/>
  <c r="G114" i="14847"/>
  <c r="O95" i="14842"/>
  <c r="O96" i="14842" s="1"/>
  <c r="AI72" i="14842"/>
  <c r="O125" i="14842"/>
  <c r="I109" i="14822"/>
  <c r="E112" i="14842"/>
  <c r="Y112" i="14842" s="1"/>
  <c r="E143" i="14842"/>
  <c r="E145" i="14842"/>
  <c r="E79" i="14842"/>
  <c r="Y70" i="14842"/>
  <c r="E80" i="14842"/>
  <c r="E147" i="14842"/>
  <c r="E176" i="14842"/>
  <c r="E177" i="14842"/>
  <c r="E146" i="14842"/>
  <c r="E85" i="14842"/>
  <c r="E81" i="14842"/>
  <c r="E111" i="14842"/>
  <c r="Y111" i="14842" s="1"/>
  <c r="E113" i="14842"/>
  <c r="Y113" i="14842" s="1"/>
  <c r="E173" i="14842"/>
  <c r="E175" i="14842"/>
  <c r="E141" i="14842"/>
  <c r="E144" i="14842"/>
  <c r="E82" i="14842"/>
  <c r="E115" i="14842"/>
  <c r="Y115" i="14842" s="1"/>
  <c r="E174" i="14842"/>
  <c r="E171" i="14842"/>
  <c r="E83" i="14842"/>
  <c r="D114" i="14847"/>
  <c r="D79" i="14847"/>
  <c r="D80" i="14847"/>
  <c r="D174" i="14847"/>
  <c r="H115" i="14847"/>
  <c r="H80" i="14847"/>
  <c r="H84" i="14847"/>
  <c r="H83" i="14847"/>
  <c r="H175" i="14847"/>
  <c r="H111" i="14847"/>
  <c r="H146" i="14847"/>
  <c r="H176" i="14847"/>
  <c r="H113" i="14847"/>
  <c r="H171" i="14847"/>
  <c r="H109" i="14847"/>
  <c r="AT340" i="14814"/>
  <c r="E113" i="14847"/>
  <c r="E111" i="14847"/>
  <c r="E114" i="14847"/>
  <c r="E146" i="14847"/>
  <c r="E84" i="14847"/>
  <c r="E80" i="14847"/>
  <c r="E175" i="14847"/>
  <c r="E174" i="14847"/>
  <c r="E173" i="14847"/>
  <c r="E79" i="14847"/>
  <c r="M83" i="14847"/>
  <c r="M111" i="14847"/>
  <c r="M112" i="14847"/>
  <c r="M173" i="14847"/>
  <c r="M82" i="14847"/>
  <c r="M144" i="14847"/>
  <c r="BB340" i="14814"/>
  <c r="M84" i="14847"/>
  <c r="M85" i="14847"/>
  <c r="M174" i="14847"/>
  <c r="M176" i="14847"/>
  <c r="M141" i="14847"/>
  <c r="D141" i="14847"/>
  <c r="H73" i="14848"/>
  <c r="H73" i="14847"/>
  <c r="AG73" i="14842"/>
  <c r="M79" i="14847"/>
  <c r="K187" i="14847"/>
  <c r="K188" i="14847" s="1"/>
  <c r="D176" i="14847"/>
  <c r="M80" i="14847"/>
  <c r="E115" i="14847"/>
  <c r="AW340" i="14814"/>
  <c r="AY279" i="14814"/>
  <c r="J115" i="14822"/>
  <c r="J82" i="14822"/>
  <c r="J81" i="14822"/>
  <c r="J174" i="14822"/>
  <c r="J111" i="14822"/>
  <c r="J173" i="14822"/>
  <c r="J144" i="14822"/>
  <c r="J85" i="14822"/>
  <c r="J83" i="14822"/>
  <c r="J80" i="14822"/>
  <c r="J147" i="14822"/>
  <c r="J175" i="14822"/>
  <c r="J176" i="14822"/>
  <c r="J79" i="14822"/>
  <c r="J112" i="14822"/>
  <c r="J141" i="14822"/>
  <c r="J146" i="14822"/>
  <c r="D72" i="14848"/>
  <c r="M175" i="14847"/>
  <c r="E147" i="14847"/>
  <c r="D146" i="14842"/>
  <c r="D141" i="14842"/>
  <c r="D79" i="14842"/>
  <c r="J145" i="14822"/>
  <c r="E174" i="14822"/>
  <c r="E111" i="14822"/>
  <c r="E83" i="14822"/>
  <c r="E84" i="14822"/>
  <c r="E144" i="14822"/>
  <c r="E173" i="14822"/>
  <c r="E85" i="14822"/>
  <c r="E147" i="14822"/>
  <c r="E177" i="14822"/>
  <c r="E80" i="14822"/>
  <c r="E176" i="14822"/>
  <c r="E146" i="14822"/>
  <c r="E81" i="14822"/>
  <c r="AT279" i="14814"/>
  <c r="E143" i="14822"/>
  <c r="E113" i="14822"/>
  <c r="E109" i="14822"/>
  <c r="E82" i="14822"/>
  <c r="E115" i="14822"/>
  <c r="E112" i="14822"/>
  <c r="E79" i="14822"/>
  <c r="E175" i="14822"/>
  <c r="E145" i="14822"/>
  <c r="H147" i="14842"/>
  <c r="H175" i="14842"/>
  <c r="H81" i="14842"/>
  <c r="H113" i="14842"/>
  <c r="AB113" i="14842" s="1"/>
  <c r="H82" i="14842"/>
  <c r="H83" i="14842"/>
  <c r="H177" i="14842"/>
  <c r="H85" i="14842"/>
  <c r="H141" i="14842"/>
  <c r="H115" i="14842"/>
  <c r="AB115" i="14842" s="1"/>
  <c r="H144" i="14842"/>
  <c r="H174" i="14842"/>
  <c r="H84" i="14842"/>
  <c r="AB70" i="14842"/>
  <c r="H79" i="14842"/>
  <c r="H171" i="14842"/>
  <c r="H111" i="14842"/>
  <c r="H145" i="14842"/>
  <c r="E171" i="14822"/>
  <c r="Y73" i="14842"/>
  <c r="M80" i="14822"/>
  <c r="M83" i="14822"/>
  <c r="M173" i="14822"/>
  <c r="M85" i="14822"/>
  <c r="M113" i="14822"/>
  <c r="M176" i="14822"/>
  <c r="BB279" i="14814"/>
  <c r="M114" i="14822"/>
  <c r="M175" i="14822"/>
  <c r="M143" i="14822"/>
  <c r="M82" i="14822"/>
  <c r="M146" i="14822"/>
  <c r="M84" i="14822"/>
  <c r="M81" i="14822"/>
  <c r="M111" i="14822"/>
  <c r="M147" i="14822"/>
  <c r="M171" i="14822"/>
  <c r="M145" i="14822"/>
  <c r="M174" i="14822"/>
  <c r="M141" i="14822"/>
  <c r="M79" i="14822"/>
  <c r="M112" i="14822"/>
  <c r="M177" i="14822"/>
  <c r="M115" i="14822"/>
  <c r="M144" i="14822"/>
  <c r="E141" i="14822"/>
  <c r="J145" i="14842"/>
  <c r="J176" i="14842"/>
  <c r="J174" i="14842"/>
  <c r="J81" i="14842"/>
  <c r="J79" i="14842"/>
  <c r="J173" i="14842"/>
  <c r="J80" i="14842"/>
  <c r="J85" i="14842"/>
  <c r="J177" i="14842"/>
  <c r="J115" i="14842"/>
  <c r="AD115" i="14842" s="1"/>
  <c r="J84" i="14842"/>
  <c r="J146" i="14842"/>
  <c r="AD70" i="14842"/>
  <c r="J143" i="14842"/>
  <c r="J144" i="14842"/>
  <c r="J175" i="14842"/>
  <c r="J112" i="14842"/>
  <c r="AD112" i="14842" s="1"/>
  <c r="J141" i="14842"/>
  <c r="J111" i="14842"/>
  <c r="J113" i="14842"/>
  <c r="AD113" i="14842" s="1"/>
  <c r="J147" i="14842"/>
  <c r="J171" i="14842"/>
  <c r="J83" i="14842"/>
  <c r="J82" i="14842"/>
  <c r="J114" i="14842"/>
  <c r="AD114" i="14842" s="1"/>
  <c r="AS279" i="14814"/>
  <c r="D83" i="14822"/>
  <c r="D79" i="14822"/>
  <c r="D175" i="14822"/>
  <c r="D113" i="14822"/>
  <c r="D114" i="14822"/>
  <c r="D115" i="14822"/>
  <c r="D81" i="14822"/>
  <c r="D144" i="14822"/>
  <c r="D173" i="14822"/>
  <c r="D145" i="14822"/>
  <c r="D143" i="14822"/>
  <c r="D174" i="14822"/>
  <c r="D112" i="14822"/>
  <c r="D146" i="14822"/>
  <c r="D141" i="14822"/>
  <c r="D176" i="14822"/>
  <c r="D85" i="14822"/>
  <c r="D84" i="14822"/>
  <c r="D82" i="14822"/>
  <c r="J71" i="14848"/>
  <c r="J71" i="14847"/>
  <c r="AD71" i="14842"/>
  <c r="O74" i="14848"/>
  <c r="O157" i="14848" s="1"/>
  <c r="O158" i="14848" s="1"/>
  <c r="AI74" i="14842"/>
  <c r="O74" i="14847"/>
  <c r="P74" i="14848"/>
  <c r="AJ74" i="14842"/>
  <c r="P74" i="14847"/>
  <c r="G115" i="14842"/>
  <c r="AA115" i="14842" s="1"/>
  <c r="G177" i="14842"/>
  <c r="G175" i="14842"/>
  <c r="G114" i="14842"/>
  <c r="AA114" i="14842" s="1"/>
  <c r="G83" i="14842"/>
  <c r="G143" i="14842"/>
  <c r="G84" i="14842"/>
  <c r="AA70" i="14842"/>
  <c r="G176" i="14842"/>
  <c r="G144" i="14842"/>
  <c r="G81" i="14842"/>
  <c r="G113" i="14842"/>
  <c r="G173" i="14842"/>
  <c r="G174" i="14842"/>
  <c r="G80" i="14842"/>
  <c r="G85" i="14842"/>
  <c r="G147" i="14842"/>
  <c r="G141" i="14842"/>
  <c r="G171" i="14842"/>
  <c r="AV280" i="14814"/>
  <c r="AV281" i="14814" s="1"/>
  <c r="AV282" i="14814" s="1"/>
  <c r="F74" i="14847"/>
  <c r="Z74" i="14842"/>
  <c r="F74" i="14848"/>
  <c r="M75" i="14847"/>
  <c r="H74" i="14848"/>
  <c r="H74" i="14847"/>
  <c r="AG75" i="14842"/>
  <c r="H75" i="14847"/>
  <c r="H75" i="14848"/>
  <c r="AB75" i="14842"/>
  <c r="AC74" i="14842"/>
  <c r="I74" i="14848"/>
  <c r="I74" i="14847"/>
  <c r="G175" i="14822"/>
  <c r="G173" i="14822"/>
  <c r="G112" i="14822"/>
  <c r="G115" i="14822"/>
  <c r="G85" i="14822"/>
  <c r="G147" i="14822"/>
  <c r="G114" i="14822"/>
  <c r="G146" i="14822"/>
  <c r="G80" i="14822"/>
  <c r="G81" i="14822"/>
  <c r="G79" i="14822"/>
  <c r="K157" i="14822"/>
  <c r="K158" i="14822" s="1"/>
  <c r="G111" i="14822"/>
  <c r="G143" i="14822"/>
  <c r="G84" i="14822"/>
  <c r="G176" i="14822"/>
  <c r="G83" i="14822"/>
  <c r="G177" i="14822"/>
  <c r="G145" i="14822"/>
  <c r="AD75" i="14842"/>
  <c r="J75" i="14848"/>
  <c r="K75" i="14848"/>
  <c r="AF75" i="14842"/>
  <c r="L75" i="14847"/>
  <c r="L75" i="14848"/>
  <c r="L125" i="14848" s="1"/>
  <c r="I75" i="14847"/>
  <c r="AC75" i="14842"/>
  <c r="AJ72" i="14842"/>
  <c r="AE71" i="14842"/>
  <c r="N71" i="14848"/>
  <c r="E75" i="14848"/>
  <c r="E75" i="14847"/>
  <c r="P72" i="14848"/>
  <c r="K71" i="14848"/>
  <c r="Y75" i="14842"/>
  <c r="K95" i="14822"/>
  <c r="K96" i="14822" s="1"/>
  <c r="M71" i="14847"/>
  <c r="M71" i="14848"/>
  <c r="M125" i="14848" s="1"/>
  <c r="N71" i="14847"/>
  <c r="AD74" i="14842"/>
  <c r="J74" i="14847"/>
  <c r="AJ73" i="14842"/>
  <c r="X74" i="14842"/>
  <c r="P70" i="14848"/>
  <c r="D71" i="14847"/>
  <c r="E74" i="14847"/>
  <c r="H71" i="14848"/>
  <c r="G75" i="14848"/>
  <c r="AH75" i="14842"/>
  <c r="P70" i="14847"/>
  <c r="H80" i="14848" l="1"/>
  <c r="H113" i="14848"/>
  <c r="M84" i="14848"/>
  <c r="M82" i="14848"/>
  <c r="M81" i="14848"/>
  <c r="M113" i="14848"/>
  <c r="G109" i="14848"/>
  <c r="M141" i="14848"/>
  <c r="G114" i="14848"/>
  <c r="M143" i="14848"/>
  <c r="M145" i="14848"/>
  <c r="M173" i="14848"/>
  <c r="G80" i="14848"/>
  <c r="E84" i="14848"/>
  <c r="M171" i="14848"/>
  <c r="M177" i="14848"/>
  <c r="G143" i="14848"/>
  <c r="H114" i="14848"/>
  <c r="M109" i="14848"/>
  <c r="O112" i="14847"/>
  <c r="G141" i="14848"/>
  <c r="G174" i="14848"/>
  <c r="M111" i="14848"/>
  <c r="M83" i="14848"/>
  <c r="G84" i="14848"/>
  <c r="M146" i="14848"/>
  <c r="M144" i="14848"/>
  <c r="E143" i="14848"/>
  <c r="M175" i="14848"/>
  <c r="G144" i="14848"/>
  <c r="M114" i="14848"/>
  <c r="M115" i="14848"/>
  <c r="E141" i="14848"/>
  <c r="G85" i="14848"/>
  <c r="M176" i="14848"/>
  <c r="E80" i="14848"/>
  <c r="G175" i="14848"/>
  <c r="M85" i="14848"/>
  <c r="G145" i="14848"/>
  <c r="M112" i="14848"/>
  <c r="E144" i="14848"/>
  <c r="G112" i="14848"/>
  <c r="G83" i="14848"/>
  <c r="M147" i="14848"/>
  <c r="E171" i="14848"/>
  <c r="M174" i="14848"/>
  <c r="G147" i="14848"/>
  <c r="H83" i="14848"/>
  <c r="O146" i="14847"/>
  <c r="E174" i="14848"/>
  <c r="H82" i="14848"/>
  <c r="E83" i="14848"/>
  <c r="O79" i="14847"/>
  <c r="G177" i="14848"/>
  <c r="G173" i="14848"/>
  <c r="G111" i="14848"/>
  <c r="H144" i="14848"/>
  <c r="O145" i="14847"/>
  <c r="E112" i="14848"/>
  <c r="G79" i="14848"/>
  <c r="G82" i="14848"/>
  <c r="G146" i="14848"/>
  <c r="H176" i="14848"/>
  <c r="O113" i="14847"/>
  <c r="O116" i="14847" s="1"/>
  <c r="E79" i="14848"/>
  <c r="E111" i="14848"/>
  <c r="H177" i="14848"/>
  <c r="O81" i="14847"/>
  <c r="O175" i="14847"/>
  <c r="E113" i="14848"/>
  <c r="H125" i="14847"/>
  <c r="H126" i="14847" s="1"/>
  <c r="G176" i="14848"/>
  <c r="O177" i="14847"/>
  <c r="E175" i="14848"/>
  <c r="G113" i="14848"/>
  <c r="H143" i="14848"/>
  <c r="O143" i="14847"/>
  <c r="E145" i="14848"/>
  <c r="E176" i="14848"/>
  <c r="H146" i="14848"/>
  <c r="O176" i="14847"/>
  <c r="E82" i="14848"/>
  <c r="E147" i="14848"/>
  <c r="O114" i="14847"/>
  <c r="O80" i="14847"/>
  <c r="E109" i="14848"/>
  <c r="E115" i="14848"/>
  <c r="O141" i="14847"/>
  <c r="H112" i="14848"/>
  <c r="H174" i="14848"/>
  <c r="O85" i="14847"/>
  <c r="E81" i="14848"/>
  <c r="O84" i="14847"/>
  <c r="BD340" i="14814"/>
  <c r="D175" i="14848"/>
  <c r="O115" i="14847"/>
  <c r="O147" i="14847"/>
  <c r="O171" i="14847"/>
  <c r="O83" i="14847"/>
  <c r="O144" i="14847"/>
  <c r="J145" i="14847"/>
  <c r="O174" i="14847"/>
  <c r="O111" i="14847"/>
  <c r="J81" i="14847"/>
  <c r="J173" i="14847"/>
  <c r="O82" i="14847"/>
  <c r="O173" i="14847"/>
  <c r="O95" i="14848"/>
  <c r="O96" i="14848" s="1"/>
  <c r="D125" i="14847"/>
  <c r="D126" i="14847" s="1"/>
  <c r="G115" i="14848"/>
  <c r="G171" i="14848"/>
  <c r="G95" i="14848"/>
  <c r="G96" i="14848" s="1"/>
  <c r="M79" i="14848"/>
  <c r="L178" i="14848"/>
  <c r="L180" i="14848" s="1"/>
  <c r="L182" i="14848" s="1"/>
  <c r="L190" i="14848" s="1"/>
  <c r="L191" i="14848" s="1"/>
  <c r="E157" i="14847"/>
  <c r="E158" i="14847" s="1"/>
  <c r="E187" i="14848"/>
  <c r="E188" i="14848" s="1"/>
  <c r="E178" i="14847"/>
  <c r="E180" i="14847" s="1"/>
  <c r="E182" i="14847" s="1"/>
  <c r="E190" i="14847" s="1"/>
  <c r="E191" i="14847" s="1"/>
  <c r="H148" i="14847"/>
  <c r="H150" i="14847" s="1"/>
  <c r="H152" i="14847" s="1"/>
  <c r="H160" i="14847" s="1"/>
  <c r="H161" i="14847" s="1"/>
  <c r="K116" i="14848"/>
  <c r="S596" i="14814" s="1"/>
  <c r="N95" i="14848"/>
  <c r="N96" i="14848" s="1"/>
  <c r="H81" i="14848"/>
  <c r="G95" i="14847"/>
  <c r="G96" i="14847" s="1"/>
  <c r="E146" i="14848"/>
  <c r="E114" i="14848"/>
  <c r="M95" i="14848"/>
  <c r="M96" i="14848" s="1"/>
  <c r="J143" i="14847"/>
  <c r="J171" i="14847"/>
  <c r="E85" i="14848"/>
  <c r="J112" i="14847"/>
  <c r="J84" i="14847"/>
  <c r="G125" i="14848"/>
  <c r="M592" i="14814" s="1"/>
  <c r="J175" i="14847"/>
  <c r="O187" i="14847"/>
  <c r="O188" i="14847" s="1"/>
  <c r="N187" i="14847"/>
  <c r="N188" i="14847" s="1"/>
  <c r="D113" i="14848"/>
  <c r="J144" i="14847"/>
  <c r="L187" i="14848"/>
  <c r="L188" i="14848" s="1"/>
  <c r="H173" i="14848"/>
  <c r="E177" i="14848"/>
  <c r="H86" i="14847"/>
  <c r="H88" i="14847" s="1"/>
  <c r="H90" i="14847" s="1"/>
  <c r="H98" i="14847" s="1"/>
  <c r="H99" i="14847" s="1"/>
  <c r="H178" i="14847"/>
  <c r="H180" i="14847" s="1"/>
  <c r="H182" i="14847" s="1"/>
  <c r="H190" i="14847" s="1"/>
  <c r="H191" i="14847" s="1"/>
  <c r="G178" i="14842"/>
  <c r="G180" i="14842" s="1"/>
  <c r="G182" i="14842" s="1"/>
  <c r="G190" i="14842" s="1"/>
  <c r="G191" i="14842" s="1"/>
  <c r="G116" i="14822"/>
  <c r="G118" i="14822" s="1"/>
  <c r="D116" i="14822"/>
  <c r="R569" i="14814" s="1"/>
  <c r="D81" i="14842"/>
  <c r="E95" i="14847"/>
  <c r="E96" i="14847" s="1"/>
  <c r="F86" i="14848"/>
  <c r="F88" i="14848" s="1"/>
  <c r="F90" i="14848" s="1"/>
  <c r="F98" i="14848" s="1"/>
  <c r="F99" i="14848" s="1"/>
  <c r="D174" i="14842"/>
  <c r="D115" i="14842"/>
  <c r="X115" i="14842" s="1"/>
  <c r="E187" i="14822"/>
  <c r="E188" i="14822" s="1"/>
  <c r="D176" i="14842"/>
  <c r="G116" i="14847"/>
  <c r="R592" i="14814" s="1"/>
  <c r="G157" i="14847"/>
  <c r="G158" i="14847" s="1"/>
  <c r="M148" i="14842"/>
  <c r="M150" i="14842" s="1"/>
  <c r="M152" i="14842" s="1"/>
  <c r="J109" i="14847"/>
  <c r="J79" i="14847"/>
  <c r="G86" i="14842"/>
  <c r="G88" i="14842" s="1"/>
  <c r="G90" i="14842" s="1"/>
  <c r="G97" i="14842" s="1"/>
  <c r="D175" i="14842"/>
  <c r="J176" i="14847"/>
  <c r="G178" i="14822"/>
  <c r="G180" i="14822" s="1"/>
  <c r="G182" i="14822" s="1"/>
  <c r="G190" i="14822" s="1"/>
  <c r="G191" i="14822" s="1"/>
  <c r="H114" i="14842"/>
  <c r="AB114" i="14842" s="1"/>
  <c r="H143" i="14842"/>
  <c r="D80" i="14842"/>
  <c r="J114" i="14847"/>
  <c r="J113" i="14847"/>
  <c r="L148" i="14848"/>
  <c r="L150" i="14848" s="1"/>
  <c r="L152" i="14848" s="1"/>
  <c r="H176" i="14842"/>
  <c r="H80" i="14842"/>
  <c r="H86" i="14842" s="1"/>
  <c r="H88" i="14842" s="1"/>
  <c r="H90" i="14842" s="1"/>
  <c r="J171" i="14822"/>
  <c r="D85" i="14842"/>
  <c r="H86" i="14822"/>
  <c r="H88" i="14822" s="1"/>
  <c r="H90" i="14822" s="1"/>
  <c r="H98" i="14822" s="1"/>
  <c r="H99" i="14822" s="1"/>
  <c r="H84" i="14848"/>
  <c r="J177" i="14847"/>
  <c r="J174" i="14847"/>
  <c r="J116" i="14848"/>
  <c r="J118" i="14848" s="1"/>
  <c r="D84" i="14848"/>
  <c r="D143" i="14848"/>
  <c r="D146" i="14848"/>
  <c r="D81" i="14848"/>
  <c r="D83" i="14848"/>
  <c r="D112" i="14848"/>
  <c r="D176" i="14848"/>
  <c r="D111" i="14848"/>
  <c r="D79" i="14848"/>
  <c r="D85" i="14848"/>
  <c r="D173" i="14848"/>
  <c r="D82" i="14848"/>
  <c r="D174" i="14848"/>
  <c r="D109" i="14848"/>
  <c r="D115" i="14848"/>
  <c r="D145" i="14848"/>
  <c r="D171" i="14848"/>
  <c r="D144" i="14848"/>
  <c r="D141" i="14848"/>
  <c r="D114" i="14848"/>
  <c r="J115" i="14847"/>
  <c r="J111" i="14847"/>
  <c r="J83" i="14847"/>
  <c r="J146" i="14847"/>
  <c r="L157" i="14848"/>
  <c r="L158" i="14848" s="1"/>
  <c r="G148" i="14842"/>
  <c r="G150" i="14842" s="1"/>
  <c r="G152" i="14842" s="1"/>
  <c r="G160" i="14842" s="1"/>
  <c r="G161" i="14842" s="1"/>
  <c r="D112" i="14842"/>
  <c r="X112" i="14842" s="1"/>
  <c r="D114" i="14842"/>
  <c r="X114" i="14842" s="1"/>
  <c r="H95" i="14847"/>
  <c r="H96" i="14847" s="1"/>
  <c r="D145" i="14842"/>
  <c r="D113" i="14842"/>
  <c r="X113" i="14842" s="1"/>
  <c r="M178" i="14847"/>
  <c r="M180" i="14847" s="1"/>
  <c r="M182" i="14847" s="1"/>
  <c r="M190" i="14847" s="1"/>
  <c r="M191" i="14847" s="1"/>
  <c r="O157" i="14822"/>
  <c r="O158" i="14822" s="1"/>
  <c r="L95" i="14848"/>
  <c r="L96" i="14848" s="1"/>
  <c r="O125" i="14847"/>
  <c r="O126" i="14847" s="1"/>
  <c r="M116" i="14822"/>
  <c r="M118" i="14822" s="1"/>
  <c r="D109" i="14842"/>
  <c r="X109" i="14842" s="1"/>
  <c r="D173" i="14842"/>
  <c r="D171" i="14842"/>
  <c r="D84" i="14842"/>
  <c r="M116" i="14847"/>
  <c r="M118" i="14847" s="1"/>
  <c r="AY340" i="14814"/>
  <c r="AY341" i="14814" s="1"/>
  <c r="AY342" i="14814" s="1"/>
  <c r="AY343" i="14814" s="1"/>
  <c r="D82" i="14842"/>
  <c r="J141" i="14847"/>
  <c r="G157" i="14848"/>
  <c r="G158" i="14848" s="1"/>
  <c r="E125" i="14847"/>
  <c r="D177" i="14847" s="1"/>
  <c r="D178" i="14847" s="1"/>
  <c r="D180" i="14847" s="1"/>
  <c r="H112" i="14842"/>
  <c r="AB112" i="14842" s="1"/>
  <c r="D111" i="14842"/>
  <c r="X111" i="14842" s="1"/>
  <c r="X70" i="14842"/>
  <c r="J82" i="14847"/>
  <c r="J80" i="14847"/>
  <c r="J114" i="14822"/>
  <c r="J143" i="14822"/>
  <c r="J148" i="14822" s="1"/>
  <c r="J150" i="14822" s="1"/>
  <c r="J152" i="14822" s="1"/>
  <c r="J109" i="14822"/>
  <c r="H79" i="14848"/>
  <c r="H141" i="14848"/>
  <c r="H171" i="14848"/>
  <c r="H147" i="14848"/>
  <c r="H175" i="14848"/>
  <c r="H85" i="14848"/>
  <c r="H111" i="14848"/>
  <c r="H109" i="14848"/>
  <c r="D157" i="14847"/>
  <c r="D158" i="14847" s="1"/>
  <c r="K125" i="14848"/>
  <c r="M596" i="14814" s="1"/>
  <c r="H173" i="14842"/>
  <c r="H146" i="14842"/>
  <c r="D83" i="14842"/>
  <c r="D144" i="14842"/>
  <c r="J113" i="14822"/>
  <c r="J177" i="14822"/>
  <c r="E86" i="14847"/>
  <c r="E88" i="14847" s="1"/>
  <c r="E90" i="14847" s="1"/>
  <c r="H148" i="14822"/>
  <c r="H150" i="14822" s="1"/>
  <c r="H152" i="14822" s="1"/>
  <c r="H160" i="14822" s="1"/>
  <c r="H161" i="14822" s="1"/>
  <c r="H115" i="14848"/>
  <c r="G148" i="14847"/>
  <c r="G150" i="14847" s="1"/>
  <c r="G152" i="14847" s="1"/>
  <c r="G160" i="14847" s="1"/>
  <c r="G161" i="14847" s="1"/>
  <c r="G187" i="14848"/>
  <c r="G188" i="14848" s="1"/>
  <c r="J85" i="14847"/>
  <c r="AE72" i="14842"/>
  <c r="K95" i="14842"/>
  <c r="K96" i="14842" s="1"/>
  <c r="K125" i="14842"/>
  <c r="K157" i="14842"/>
  <c r="K158" i="14842" s="1"/>
  <c r="F157" i="14847"/>
  <c r="F158" i="14847" s="1"/>
  <c r="F125" i="14847"/>
  <c r="F95" i="14847"/>
  <c r="F96" i="14847" s="1"/>
  <c r="L175" i="14822"/>
  <c r="L82" i="14822"/>
  <c r="L147" i="14822"/>
  <c r="L176" i="14822"/>
  <c r="L113" i="14822"/>
  <c r="L111" i="14822"/>
  <c r="L145" i="14822"/>
  <c r="L143" i="14822"/>
  <c r="L115" i="14822"/>
  <c r="L173" i="14822"/>
  <c r="L80" i="14822"/>
  <c r="L112" i="14822"/>
  <c r="L83" i="14822"/>
  <c r="L114" i="14822"/>
  <c r="L84" i="14822"/>
  <c r="L146" i="14822"/>
  <c r="L81" i="14822"/>
  <c r="L177" i="14822"/>
  <c r="L171" i="14822"/>
  <c r="L79" i="14822"/>
  <c r="BA279" i="14814"/>
  <c r="L174" i="14822"/>
  <c r="L144" i="14822"/>
  <c r="L85" i="14822"/>
  <c r="L109" i="14822"/>
  <c r="L141" i="14822"/>
  <c r="H157" i="14822"/>
  <c r="H158" i="14822" s="1"/>
  <c r="H125" i="14822"/>
  <c r="H95" i="14822"/>
  <c r="H96" i="14822" s="1"/>
  <c r="F125" i="14848"/>
  <c r="F95" i="14848"/>
  <c r="F96" i="14848" s="1"/>
  <c r="F157" i="14848"/>
  <c r="F158" i="14848" s="1"/>
  <c r="AZ280" i="14814"/>
  <c r="AZ281" i="14814" s="1"/>
  <c r="AZ282" i="14814" s="1"/>
  <c r="E178" i="14842"/>
  <c r="E180" i="14842" s="1"/>
  <c r="E182" i="14842" s="1"/>
  <c r="G125" i="14842"/>
  <c r="AU340" i="14814"/>
  <c r="F113" i="14847"/>
  <c r="F173" i="14847"/>
  <c r="F82" i="14847"/>
  <c r="F84" i="14847"/>
  <c r="F85" i="14847"/>
  <c r="F146" i="14847"/>
  <c r="F109" i="14847"/>
  <c r="F147" i="14847"/>
  <c r="F111" i="14847"/>
  <c r="F145" i="14847"/>
  <c r="F80" i="14847"/>
  <c r="F144" i="14847"/>
  <c r="F177" i="14847"/>
  <c r="F115" i="14847"/>
  <c r="F174" i="14847"/>
  <c r="F83" i="14847"/>
  <c r="F175" i="14847"/>
  <c r="F112" i="14847"/>
  <c r="F114" i="14847"/>
  <c r="F141" i="14847"/>
  <c r="F176" i="14847"/>
  <c r="F143" i="14847"/>
  <c r="F81" i="14847"/>
  <c r="F171" i="14847"/>
  <c r="F79" i="14847"/>
  <c r="F116" i="14848"/>
  <c r="M598" i="14814"/>
  <c r="M126" i="14848"/>
  <c r="K187" i="14848"/>
  <c r="K188" i="14848" s="1"/>
  <c r="E148" i="14822"/>
  <c r="E150" i="14822" s="1"/>
  <c r="E152" i="14822" s="1"/>
  <c r="M148" i="14847"/>
  <c r="M150" i="14847" s="1"/>
  <c r="M152" i="14847" s="1"/>
  <c r="G157" i="14842"/>
  <c r="G158" i="14842" s="1"/>
  <c r="AX340" i="14814"/>
  <c r="O336" i="14814" s="1"/>
  <c r="O339" i="14814" s="1"/>
  <c r="I114" i="14847"/>
  <c r="I176" i="14847"/>
  <c r="I115" i="14847"/>
  <c r="I81" i="14847"/>
  <c r="I83" i="14847"/>
  <c r="I144" i="14847"/>
  <c r="I141" i="14847"/>
  <c r="I177" i="14847"/>
  <c r="I145" i="14847"/>
  <c r="I80" i="14847"/>
  <c r="I109" i="14847"/>
  <c r="I171" i="14847"/>
  <c r="I79" i="14847"/>
  <c r="I113" i="14847"/>
  <c r="I85" i="14847"/>
  <c r="I174" i="14847"/>
  <c r="I175" i="14847"/>
  <c r="I82" i="14847"/>
  <c r="I112" i="14847"/>
  <c r="I147" i="14847"/>
  <c r="I146" i="14847"/>
  <c r="I84" i="14847"/>
  <c r="I111" i="14847"/>
  <c r="I143" i="14847"/>
  <c r="I173" i="14847"/>
  <c r="F85" i="14842"/>
  <c r="F82" i="14842"/>
  <c r="F143" i="14842"/>
  <c r="F175" i="14842"/>
  <c r="F81" i="14842"/>
  <c r="F177" i="14842"/>
  <c r="F115" i="14842"/>
  <c r="Z115" i="14842" s="1"/>
  <c r="F83" i="14842"/>
  <c r="F111" i="14842"/>
  <c r="Z111" i="14842" s="1"/>
  <c r="F113" i="14842"/>
  <c r="Z113" i="14842" s="1"/>
  <c r="F114" i="14842"/>
  <c r="Z114" i="14842" s="1"/>
  <c r="F146" i="14842"/>
  <c r="F176" i="14842"/>
  <c r="F84" i="14842"/>
  <c r="F173" i="14842"/>
  <c r="F112" i="14842"/>
  <c r="Z112" i="14842" s="1"/>
  <c r="F141" i="14842"/>
  <c r="F145" i="14842"/>
  <c r="F144" i="14842"/>
  <c r="F80" i="14842"/>
  <c r="F147" i="14842"/>
  <c r="F79" i="14842"/>
  <c r="Z70" i="14842"/>
  <c r="F174" i="14842"/>
  <c r="F171" i="14842"/>
  <c r="F109" i="14842"/>
  <c r="M187" i="14848"/>
  <c r="M188" i="14848" s="1"/>
  <c r="K86" i="14848"/>
  <c r="K88" i="14848" s="1"/>
  <c r="K90" i="14848" s="1"/>
  <c r="N187" i="14848"/>
  <c r="N188" i="14848" s="1"/>
  <c r="E187" i="14847"/>
  <c r="E188" i="14847" s="1"/>
  <c r="I145" i="14848"/>
  <c r="I146" i="14848"/>
  <c r="I174" i="14848"/>
  <c r="I112" i="14848"/>
  <c r="I81" i="14848"/>
  <c r="I115" i="14848"/>
  <c r="I80" i="14848"/>
  <c r="I143" i="14848"/>
  <c r="I83" i="14848"/>
  <c r="I82" i="14848"/>
  <c r="I175" i="14848"/>
  <c r="I177" i="14848"/>
  <c r="I176" i="14848"/>
  <c r="I114" i="14848"/>
  <c r="I84" i="14848"/>
  <c r="I79" i="14848"/>
  <c r="I173" i="14848"/>
  <c r="I171" i="14848"/>
  <c r="I111" i="14848"/>
  <c r="I113" i="14848"/>
  <c r="I147" i="14848"/>
  <c r="I85" i="14848"/>
  <c r="I144" i="14848"/>
  <c r="I141" i="14848"/>
  <c r="I109" i="14848"/>
  <c r="AX280" i="14814"/>
  <c r="AX281" i="14814" s="1"/>
  <c r="AX282" i="14814" s="1"/>
  <c r="F145" i="14822"/>
  <c r="F143" i="14822"/>
  <c r="F174" i="14822"/>
  <c r="F146" i="14822"/>
  <c r="F113" i="14822"/>
  <c r="F175" i="14822"/>
  <c r="F176" i="14822"/>
  <c r="F114" i="14822"/>
  <c r="F83" i="14822"/>
  <c r="F173" i="14822"/>
  <c r="F80" i="14822"/>
  <c r="F81" i="14822"/>
  <c r="F112" i="14822"/>
  <c r="F144" i="14822"/>
  <c r="F147" i="14822"/>
  <c r="F177" i="14822"/>
  <c r="F82" i="14822"/>
  <c r="F85" i="14822"/>
  <c r="F115" i="14822"/>
  <c r="F111" i="14822"/>
  <c r="F171" i="14822"/>
  <c r="F141" i="14822"/>
  <c r="F109" i="14822"/>
  <c r="AU279" i="14814"/>
  <c r="F79" i="14822"/>
  <c r="F84" i="14822"/>
  <c r="M157" i="14848"/>
  <c r="M158" i="14848" s="1"/>
  <c r="G148" i="14822"/>
  <c r="G150" i="14822" s="1"/>
  <c r="G152" i="14822" s="1"/>
  <c r="J178" i="14842"/>
  <c r="J180" i="14842" s="1"/>
  <c r="J182" i="14842" s="1"/>
  <c r="E178" i="14822"/>
  <c r="E180" i="14822" s="1"/>
  <c r="E182" i="14822" s="1"/>
  <c r="D125" i="14848"/>
  <c r="D95" i="14848"/>
  <c r="D157" i="14848"/>
  <c r="E116" i="14842"/>
  <c r="L187" i="14847"/>
  <c r="L188" i="14847" s="1"/>
  <c r="I112" i="14842"/>
  <c r="AC112" i="14842" s="1"/>
  <c r="I144" i="14842"/>
  <c r="I113" i="14842"/>
  <c r="AC113" i="14842" s="1"/>
  <c r="I174" i="14842"/>
  <c r="I115" i="14842"/>
  <c r="AC115" i="14842" s="1"/>
  <c r="I143" i="14842"/>
  <c r="I81" i="14842"/>
  <c r="I82" i="14842"/>
  <c r="I173" i="14842"/>
  <c r="I147" i="14842"/>
  <c r="I83" i="14842"/>
  <c r="I84" i="14842"/>
  <c r="I146" i="14842"/>
  <c r="I176" i="14842"/>
  <c r="I111" i="14842"/>
  <c r="AC111" i="14842" s="1"/>
  <c r="I114" i="14842"/>
  <c r="AC114" i="14842" s="1"/>
  <c r="I79" i="14842"/>
  <c r="AC70" i="14842"/>
  <c r="I177" i="14842"/>
  <c r="I109" i="14842"/>
  <c r="I85" i="14842"/>
  <c r="I80" i="14842"/>
  <c r="I175" i="14842"/>
  <c r="I145" i="14842"/>
  <c r="I141" i="14842"/>
  <c r="I171" i="14842"/>
  <c r="F125" i="14842"/>
  <c r="I187" i="14848"/>
  <c r="I188" i="14848" s="1"/>
  <c r="L126" i="14848"/>
  <c r="M597" i="14814"/>
  <c r="AA113" i="14842"/>
  <c r="G116" i="14842"/>
  <c r="E86" i="14822"/>
  <c r="E88" i="14822" s="1"/>
  <c r="E90" i="14822" s="1"/>
  <c r="D125" i="14822"/>
  <c r="D95" i="14822"/>
  <c r="D157" i="14822"/>
  <c r="E86" i="14842"/>
  <c r="E88" i="14842" s="1"/>
  <c r="E90" i="14842" s="1"/>
  <c r="Z73" i="14842"/>
  <c r="F187" i="14842"/>
  <c r="F188" i="14842" s="1"/>
  <c r="I95" i="14822"/>
  <c r="I96" i="14822" s="1"/>
  <c r="I125" i="14822"/>
  <c r="I157" i="14822"/>
  <c r="I158" i="14822" s="1"/>
  <c r="L187" i="14842"/>
  <c r="L188" i="14842" s="1"/>
  <c r="AF73" i="14842"/>
  <c r="N157" i="14848"/>
  <c r="N158" i="14848" s="1"/>
  <c r="E157" i="14848"/>
  <c r="E158" i="14848" s="1"/>
  <c r="E95" i="14848"/>
  <c r="E125" i="14848"/>
  <c r="G86" i="14847"/>
  <c r="G88" i="14847" s="1"/>
  <c r="G90" i="14847" s="1"/>
  <c r="BD341" i="14814"/>
  <c r="BD342" i="14814" s="1"/>
  <c r="BD343" i="14814" s="1"/>
  <c r="D187" i="14848"/>
  <c r="J86" i="14848"/>
  <c r="J88" i="14848" s="1"/>
  <c r="J90" i="14848" s="1"/>
  <c r="F157" i="14842"/>
  <c r="F158" i="14842" s="1"/>
  <c r="AC73" i="14842"/>
  <c r="I187" i="14842"/>
  <c r="I188" i="14842" s="1"/>
  <c r="O148" i="14848"/>
  <c r="O150" i="14848" s="1"/>
  <c r="O152" i="14848" s="1"/>
  <c r="O167" i="14848" s="1"/>
  <c r="H95" i="14848"/>
  <c r="H96" i="14848" s="1"/>
  <c r="H157" i="14848"/>
  <c r="H158" i="14848" s="1"/>
  <c r="H125" i="14848"/>
  <c r="G95" i="14822"/>
  <c r="G96" i="14822" s="1"/>
  <c r="G157" i="14822"/>
  <c r="G158" i="14822" s="1"/>
  <c r="G125" i="14822"/>
  <c r="L86" i="14848"/>
  <c r="L88" i="14848" s="1"/>
  <c r="L90" i="14848" s="1"/>
  <c r="X72" i="14842"/>
  <c r="D95" i="14842"/>
  <c r="D125" i="14842"/>
  <c r="D157" i="14842"/>
  <c r="M86" i="14847"/>
  <c r="M88" i="14847" s="1"/>
  <c r="M90" i="14847" s="1"/>
  <c r="E148" i="14847"/>
  <c r="E150" i="14847" s="1"/>
  <c r="E152" i="14847" s="1"/>
  <c r="E148" i="14842"/>
  <c r="E150" i="14842" s="1"/>
  <c r="E152" i="14842" s="1"/>
  <c r="F187" i="14848"/>
  <c r="F188" i="14848" s="1"/>
  <c r="I95" i="14842"/>
  <c r="I96" i="14842" s="1"/>
  <c r="I125" i="14842"/>
  <c r="AC72" i="14842"/>
  <c r="I157" i="14842"/>
  <c r="I158" i="14842" s="1"/>
  <c r="AG109" i="14842"/>
  <c r="M116" i="14842"/>
  <c r="N125" i="14848"/>
  <c r="E125" i="14822"/>
  <c r="E95" i="14822"/>
  <c r="E157" i="14822"/>
  <c r="E158" i="14822" s="1"/>
  <c r="J187" i="14822"/>
  <c r="J188" i="14822" s="1"/>
  <c r="H157" i="14847"/>
  <c r="H158" i="14847" s="1"/>
  <c r="J148" i="14848"/>
  <c r="J150" i="14848" s="1"/>
  <c r="J152" i="14848" s="1"/>
  <c r="F148" i="14848"/>
  <c r="F150" i="14848" s="1"/>
  <c r="F152" i="14848" s="1"/>
  <c r="F178" i="14848"/>
  <c r="F180" i="14848" s="1"/>
  <c r="F182" i="14848" s="1"/>
  <c r="F95" i="14842"/>
  <c r="F96" i="14842" s="1"/>
  <c r="I187" i="14822"/>
  <c r="I188" i="14822" s="1"/>
  <c r="N83" i="14848"/>
  <c r="N147" i="14848"/>
  <c r="N112" i="14848"/>
  <c r="N81" i="14848"/>
  <c r="N84" i="14848"/>
  <c r="N177" i="14848"/>
  <c r="N79" i="14848"/>
  <c r="N141" i="14848"/>
  <c r="N176" i="14848"/>
  <c r="N145" i="14848"/>
  <c r="N175" i="14848"/>
  <c r="N82" i="14848"/>
  <c r="N144" i="14848"/>
  <c r="N115" i="14848"/>
  <c r="N113" i="14848"/>
  <c r="N85" i="14848"/>
  <c r="N114" i="14848"/>
  <c r="N146" i="14848"/>
  <c r="N111" i="14848"/>
  <c r="N80" i="14848"/>
  <c r="N174" i="14848"/>
  <c r="N171" i="14848"/>
  <c r="N143" i="14848"/>
  <c r="N173" i="14848"/>
  <c r="N109" i="14848"/>
  <c r="N125" i="14842"/>
  <c r="AH72" i="14842"/>
  <c r="N95" i="14842"/>
  <c r="N96" i="14842" s="1"/>
  <c r="N187" i="14842"/>
  <c r="N188" i="14842" s="1"/>
  <c r="N157" i="14842"/>
  <c r="N158" i="14842" s="1"/>
  <c r="D86" i="14822"/>
  <c r="AD111" i="14842"/>
  <c r="J116" i="14842"/>
  <c r="J86" i="14842"/>
  <c r="J88" i="14842" s="1"/>
  <c r="J90" i="14842" s="1"/>
  <c r="AB111" i="14842"/>
  <c r="BB341" i="14814"/>
  <c r="BB342" i="14814" s="1"/>
  <c r="BB343" i="14814" s="1"/>
  <c r="F187" i="14822"/>
  <c r="F188" i="14822" s="1"/>
  <c r="I125" i="14847"/>
  <c r="I95" i="14847"/>
  <c r="I96" i="14847" s="1"/>
  <c r="I157" i="14847"/>
  <c r="I158" i="14847" s="1"/>
  <c r="M178" i="14842"/>
  <c r="M180" i="14842" s="1"/>
  <c r="M182" i="14842" s="1"/>
  <c r="O126" i="14822"/>
  <c r="E157" i="14842"/>
  <c r="E158" i="14842" s="1"/>
  <c r="Y72" i="14842"/>
  <c r="E125" i="14842"/>
  <c r="E95" i="14842"/>
  <c r="AD73" i="14842"/>
  <c r="J187" i="14842"/>
  <c r="J188" i="14842" s="1"/>
  <c r="L116" i="14848"/>
  <c r="O86" i="14848"/>
  <c r="O88" i="14848" s="1"/>
  <c r="O90" i="14848" s="1"/>
  <c r="I187" i="14847"/>
  <c r="I188" i="14847" s="1"/>
  <c r="N113" i="14822"/>
  <c r="N83" i="14822"/>
  <c r="N145" i="14822"/>
  <c r="N176" i="14822"/>
  <c r="N177" i="14822"/>
  <c r="N81" i="14822"/>
  <c r="N112" i="14822"/>
  <c r="N144" i="14822"/>
  <c r="N111" i="14822"/>
  <c r="N85" i="14822"/>
  <c r="N84" i="14822"/>
  <c r="N146" i="14822"/>
  <c r="N143" i="14822"/>
  <c r="N173" i="14822"/>
  <c r="BC279" i="14814"/>
  <c r="N80" i="14822"/>
  <c r="N115" i="14822"/>
  <c r="N82" i="14822"/>
  <c r="N175" i="14822"/>
  <c r="N114" i="14822"/>
  <c r="N171" i="14822"/>
  <c r="N109" i="14822"/>
  <c r="N79" i="14822"/>
  <c r="N141" i="14822"/>
  <c r="N174" i="14822"/>
  <c r="N147" i="14822"/>
  <c r="F157" i="14822"/>
  <c r="F158" i="14822" s="1"/>
  <c r="F125" i="14822"/>
  <c r="F95" i="14822"/>
  <c r="F96" i="14822" s="1"/>
  <c r="BC340" i="14814"/>
  <c r="N175" i="14847"/>
  <c r="N82" i="14847"/>
  <c r="N111" i="14847"/>
  <c r="N113" i="14847"/>
  <c r="N115" i="14847"/>
  <c r="N147" i="14847"/>
  <c r="N176" i="14847"/>
  <c r="N85" i="14847"/>
  <c r="N83" i="14847"/>
  <c r="N174" i="14847"/>
  <c r="N177" i="14847"/>
  <c r="N144" i="14847"/>
  <c r="N145" i="14847"/>
  <c r="N80" i="14847"/>
  <c r="N112" i="14847"/>
  <c r="N84" i="14847"/>
  <c r="N143" i="14847"/>
  <c r="N109" i="14847"/>
  <c r="N79" i="14847"/>
  <c r="N141" i="14847"/>
  <c r="N171" i="14847"/>
  <c r="N114" i="14847"/>
  <c r="N146" i="14847"/>
  <c r="N173" i="14847"/>
  <c r="N81" i="14847"/>
  <c r="AB72" i="14842"/>
  <c r="H157" i="14842"/>
  <c r="H158" i="14842" s="1"/>
  <c r="H95" i="14842"/>
  <c r="H96" i="14842" s="1"/>
  <c r="H125" i="14842"/>
  <c r="K148" i="14848"/>
  <c r="K150" i="14848" s="1"/>
  <c r="K152" i="14848" s="1"/>
  <c r="N157" i="14847"/>
  <c r="N158" i="14847" s="1"/>
  <c r="N125" i="14847"/>
  <c r="M86" i="14822"/>
  <c r="M88" i="14822" s="1"/>
  <c r="M90" i="14822" s="1"/>
  <c r="BB280" i="14814"/>
  <c r="BB281" i="14814" s="1"/>
  <c r="BB282" i="14814" s="1"/>
  <c r="M187" i="14842"/>
  <c r="M188" i="14842" s="1"/>
  <c r="AZ340" i="14814"/>
  <c r="K174" i="14847"/>
  <c r="K112" i="14847"/>
  <c r="K146" i="14847"/>
  <c r="K83" i="14847"/>
  <c r="K115" i="14847"/>
  <c r="K111" i="14847"/>
  <c r="K175" i="14847"/>
  <c r="K143" i="14847"/>
  <c r="K147" i="14847"/>
  <c r="K144" i="14847"/>
  <c r="K85" i="14847"/>
  <c r="K80" i="14847"/>
  <c r="K177" i="14847"/>
  <c r="K82" i="14847"/>
  <c r="K84" i="14847"/>
  <c r="K176" i="14847"/>
  <c r="K114" i="14847"/>
  <c r="K173" i="14847"/>
  <c r="K109" i="14847"/>
  <c r="K81" i="14847"/>
  <c r="K141" i="14847"/>
  <c r="K145" i="14847"/>
  <c r="K113" i="14847"/>
  <c r="K171" i="14847"/>
  <c r="K79" i="14847"/>
  <c r="I157" i="14848"/>
  <c r="I158" i="14848" s="1"/>
  <c r="I95" i="14848"/>
  <c r="I96" i="14848" s="1"/>
  <c r="I125" i="14848"/>
  <c r="AD72" i="14842"/>
  <c r="J157" i="14842"/>
  <c r="J158" i="14842" s="1"/>
  <c r="J125" i="14842"/>
  <c r="J95" i="14842"/>
  <c r="J96" i="14842" s="1"/>
  <c r="D95" i="14847"/>
  <c r="I148" i="14822"/>
  <c r="I150" i="14822" s="1"/>
  <c r="I152" i="14822" s="1"/>
  <c r="K178" i="14848"/>
  <c r="K180" i="14848" s="1"/>
  <c r="K182" i="14848" s="1"/>
  <c r="K95" i="14848"/>
  <c r="K96" i="14848" s="1"/>
  <c r="N95" i="14847"/>
  <c r="N96" i="14847" s="1"/>
  <c r="K178" i="14822"/>
  <c r="K180" i="14822" s="1"/>
  <c r="K182" i="14822" s="1"/>
  <c r="E116" i="14847"/>
  <c r="O157" i="14847"/>
  <c r="O158" i="14847" s="1"/>
  <c r="N175" i="14842"/>
  <c r="N114" i="14842"/>
  <c r="AH114" i="14842" s="1"/>
  <c r="N144" i="14842"/>
  <c r="N146" i="14842"/>
  <c r="N177" i="14842"/>
  <c r="N147" i="14842"/>
  <c r="N174" i="14842"/>
  <c r="N83" i="14842"/>
  <c r="N82" i="14842"/>
  <c r="N176" i="14842"/>
  <c r="N84" i="14842"/>
  <c r="N143" i="14842"/>
  <c r="N81" i="14842"/>
  <c r="AH70" i="14842"/>
  <c r="N173" i="14842"/>
  <c r="N111" i="14842"/>
  <c r="AH111" i="14842" s="1"/>
  <c r="N85" i="14842"/>
  <c r="N79" i="14842"/>
  <c r="N113" i="14842"/>
  <c r="AH113" i="14842" s="1"/>
  <c r="N115" i="14842"/>
  <c r="AH115" i="14842" s="1"/>
  <c r="N141" i="14842"/>
  <c r="N112" i="14842"/>
  <c r="AH112" i="14842" s="1"/>
  <c r="N80" i="14842"/>
  <c r="N171" i="14842"/>
  <c r="N145" i="14842"/>
  <c r="N109" i="14842"/>
  <c r="AY280" i="14814"/>
  <c r="AY281" i="14814" s="1"/>
  <c r="AY282" i="14814" s="1"/>
  <c r="AW341" i="14814"/>
  <c r="AW342" i="14814" s="1"/>
  <c r="AW343" i="14814" s="1"/>
  <c r="H116" i="14822"/>
  <c r="AE73" i="14842"/>
  <c r="K187" i="14842"/>
  <c r="K188" i="14842" s="1"/>
  <c r="G86" i="14822"/>
  <c r="G88" i="14822" s="1"/>
  <c r="G90" i="14822" s="1"/>
  <c r="E116" i="14822"/>
  <c r="F187" i="14847"/>
  <c r="F188" i="14847" s="1"/>
  <c r="O187" i="14842"/>
  <c r="O188" i="14842" s="1"/>
  <c r="I86" i="14822"/>
  <c r="I88" i="14822" s="1"/>
  <c r="I90" i="14822" s="1"/>
  <c r="K157" i="14848"/>
  <c r="K158" i="14848" s="1"/>
  <c r="J178" i="14848"/>
  <c r="J180" i="14848" s="1"/>
  <c r="J182" i="14848" s="1"/>
  <c r="G187" i="14847"/>
  <c r="G188" i="14847" s="1"/>
  <c r="G125" i="14847"/>
  <c r="K148" i="14822"/>
  <c r="K150" i="14822" s="1"/>
  <c r="K152" i="14822" s="1"/>
  <c r="M95" i="14847"/>
  <c r="M96" i="14847" s="1"/>
  <c r="M187" i="14847"/>
  <c r="M188" i="14847" s="1"/>
  <c r="M125" i="14847"/>
  <c r="M157" i="14847"/>
  <c r="M158" i="14847" s="1"/>
  <c r="O95" i="14847"/>
  <c r="O96" i="14847" s="1"/>
  <c r="N95" i="14822"/>
  <c r="N96" i="14822" s="1"/>
  <c r="N125" i="14822"/>
  <c r="N157" i="14822"/>
  <c r="N158" i="14822" s="1"/>
  <c r="J148" i="14842"/>
  <c r="J150" i="14842" s="1"/>
  <c r="J152" i="14842" s="1"/>
  <c r="AS280" i="14814"/>
  <c r="AS281" i="14814" s="1"/>
  <c r="AS282" i="14814" s="1"/>
  <c r="M148" i="14822"/>
  <c r="M150" i="14822" s="1"/>
  <c r="M152" i="14822" s="1"/>
  <c r="H187" i="14847"/>
  <c r="H188" i="14847" s="1"/>
  <c r="K85" i="14842"/>
  <c r="K174" i="14842"/>
  <c r="K143" i="14842"/>
  <c r="K145" i="14842"/>
  <c r="K175" i="14842"/>
  <c r="K79" i="14842"/>
  <c r="AE70" i="14842"/>
  <c r="K83" i="14842"/>
  <c r="K82" i="14842"/>
  <c r="K146" i="14842"/>
  <c r="K177" i="14842"/>
  <c r="K176" i="14842"/>
  <c r="K111" i="14842"/>
  <c r="AE111" i="14842" s="1"/>
  <c r="K114" i="14842"/>
  <c r="AE114" i="14842" s="1"/>
  <c r="K84" i="14842"/>
  <c r="K81" i="14842"/>
  <c r="K173" i="14842"/>
  <c r="K144" i="14842"/>
  <c r="K147" i="14842"/>
  <c r="K113" i="14842"/>
  <c r="AE113" i="14842" s="1"/>
  <c r="K112" i="14842"/>
  <c r="AE112" i="14842" s="1"/>
  <c r="K141" i="14842"/>
  <c r="K80" i="14842"/>
  <c r="K115" i="14842"/>
  <c r="AE115" i="14842" s="1"/>
  <c r="K171" i="14842"/>
  <c r="K109" i="14842"/>
  <c r="J157" i="14822"/>
  <c r="J158" i="14822" s="1"/>
  <c r="J95" i="14822"/>
  <c r="J96" i="14822" s="1"/>
  <c r="J125" i="14822"/>
  <c r="J86" i="14822"/>
  <c r="J88" i="14822" s="1"/>
  <c r="J90" i="14822" s="1"/>
  <c r="H187" i="14848"/>
  <c r="H188" i="14848" s="1"/>
  <c r="AT341" i="14814"/>
  <c r="AT342" i="14814" s="1"/>
  <c r="AT343" i="14814" s="1"/>
  <c r="D86" i="14847"/>
  <c r="I116" i="14822"/>
  <c r="X73" i="14842"/>
  <c r="D187" i="14842"/>
  <c r="L95" i="14822"/>
  <c r="L96" i="14822" s="1"/>
  <c r="L125" i="14822"/>
  <c r="L157" i="14822"/>
  <c r="L158" i="14822" s="1"/>
  <c r="AW280" i="14814"/>
  <c r="AW281" i="14814" s="1"/>
  <c r="AW282" i="14814" s="1"/>
  <c r="J157" i="14848"/>
  <c r="J158" i="14848" s="1"/>
  <c r="J95" i="14848"/>
  <c r="J96" i="14848" s="1"/>
  <c r="J187" i="14848"/>
  <c r="J188" i="14848" s="1"/>
  <c r="J125" i="14848"/>
  <c r="M86" i="14842"/>
  <c r="M88" i="14842" s="1"/>
  <c r="M90" i="14842" s="1"/>
  <c r="D187" i="14847"/>
  <c r="AV341" i="14814"/>
  <c r="AV342" i="14814" s="1"/>
  <c r="AV343" i="14814" s="1"/>
  <c r="I178" i="14822"/>
  <c r="I180" i="14822" s="1"/>
  <c r="I182" i="14822" s="1"/>
  <c r="O175" i="14822"/>
  <c r="O82" i="14822"/>
  <c r="O176" i="14822"/>
  <c r="O80" i="14822"/>
  <c r="O111" i="14822"/>
  <c r="O84" i="14822"/>
  <c r="O85" i="14822"/>
  <c r="O115" i="14822"/>
  <c r="O83" i="14822"/>
  <c r="O145" i="14822"/>
  <c r="O144" i="14822"/>
  <c r="O146" i="14822"/>
  <c r="O109" i="14822"/>
  <c r="O81" i="14822"/>
  <c r="O173" i="14822"/>
  <c r="BD279" i="14814"/>
  <c r="O177" i="14822"/>
  <c r="O114" i="14822"/>
  <c r="O113" i="14822"/>
  <c r="O112" i="14822"/>
  <c r="O147" i="14822"/>
  <c r="O174" i="14822"/>
  <c r="O143" i="14822"/>
  <c r="O171" i="14822"/>
  <c r="O79" i="14822"/>
  <c r="O141" i="14822"/>
  <c r="L113" i="14847"/>
  <c r="L85" i="14847"/>
  <c r="L173" i="14847"/>
  <c r="L145" i="14847"/>
  <c r="L111" i="14847"/>
  <c r="L177" i="14847"/>
  <c r="L81" i="14847"/>
  <c r="L83" i="14847"/>
  <c r="L144" i="14847"/>
  <c r="L112" i="14847"/>
  <c r="BA340" i="14814"/>
  <c r="L143" i="14847"/>
  <c r="L146" i="14847"/>
  <c r="L79" i="14847"/>
  <c r="L176" i="14847"/>
  <c r="L84" i="14847"/>
  <c r="L114" i="14847"/>
  <c r="L175" i="14847"/>
  <c r="L80" i="14847"/>
  <c r="L82" i="14847"/>
  <c r="L147" i="14847"/>
  <c r="L115" i="14847"/>
  <c r="L109" i="14847"/>
  <c r="L171" i="14847"/>
  <c r="L174" i="14847"/>
  <c r="L141" i="14847"/>
  <c r="AA73" i="14842"/>
  <c r="G187" i="14842"/>
  <c r="G188" i="14842" s="1"/>
  <c r="K116" i="14822"/>
  <c r="M157" i="14822"/>
  <c r="M158" i="14822" s="1"/>
  <c r="M95" i="14822"/>
  <c r="M96" i="14822" s="1"/>
  <c r="M187" i="14822"/>
  <c r="M188" i="14822" s="1"/>
  <c r="M125" i="14822"/>
  <c r="O178" i="14848"/>
  <c r="O180" i="14848" s="1"/>
  <c r="O182" i="14848" s="1"/>
  <c r="M178" i="14822"/>
  <c r="M180" i="14822" s="1"/>
  <c r="M182" i="14822" s="1"/>
  <c r="AT280" i="14814"/>
  <c r="AT281" i="14814" s="1"/>
  <c r="AT282" i="14814" s="1"/>
  <c r="AB73" i="14842"/>
  <c r="H187" i="14842"/>
  <c r="H188" i="14842" s="1"/>
  <c r="AI125" i="14842"/>
  <c r="M580" i="14814"/>
  <c r="G415" i="14786" s="1"/>
  <c r="O126" i="14842"/>
  <c r="L95" i="14842"/>
  <c r="L96" i="14842" s="1"/>
  <c r="AF72" i="14842"/>
  <c r="L125" i="14842"/>
  <c r="L157" i="14842"/>
  <c r="L158" i="14842" s="1"/>
  <c r="O116" i="14848"/>
  <c r="K187" i="14822"/>
  <c r="K188" i="14822" s="1"/>
  <c r="K125" i="14822"/>
  <c r="N187" i="14822"/>
  <c r="N188" i="14822" s="1"/>
  <c r="O125" i="14848"/>
  <c r="O187" i="14848"/>
  <c r="O188" i="14848" s="1"/>
  <c r="H187" i="14822"/>
  <c r="H188" i="14822" s="1"/>
  <c r="H116" i="14847"/>
  <c r="D116" i="14847"/>
  <c r="O157" i="14842"/>
  <c r="O158" i="14842" s="1"/>
  <c r="D187" i="14822"/>
  <c r="L95" i="14847"/>
  <c r="L96" i="14847" s="1"/>
  <c r="L157" i="14847"/>
  <c r="L158" i="14847" s="1"/>
  <c r="L125" i="14847"/>
  <c r="H178" i="14822"/>
  <c r="H180" i="14822" s="1"/>
  <c r="H182" i="14822" s="1"/>
  <c r="J95" i="14847"/>
  <c r="J96" i="14847" s="1"/>
  <c r="J125" i="14847"/>
  <c r="J157" i="14847"/>
  <c r="J158" i="14847" s="1"/>
  <c r="J187" i="14847"/>
  <c r="J188" i="14847" s="1"/>
  <c r="O187" i="14822"/>
  <c r="O188" i="14822" s="1"/>
  <c r="G178" i="14847"/>
  <c r="G180" i="14847" s="1"/>
  <c r="G182" i="14847" s="1"/>
  <c r="O115" i="14842"/>
  <c r="AI115" i="14842" s="1"/>
  <c r="O81" i="14842"/>
  <c r="O174" i="14842"/>
  <c r="O84" i="14842"/>
  <c r="O147" i="14842"/>
  <c r="O143" i="14842"/>
  <c r="O175" i="14842"/>
  <c r="O173" i="14842"/>
  <c r="O177" i="14842"/>
  <c r="O145" i="14842"/>
  <c r="O112" i="14842"/>
  <c r="AI112" i="14842" s="1"/>
  <c r="O111" i="14842"/>
  <c r="AI111" i="14842" s="1"/>
  <c r="O176" i="14842"/>
  <c r="O114" i="14842"/>
  <c r="AI114" i="14842" s="1"/>
  <c r="O146" i="14842"/>
  <c r="O79" i="14842"/>
  <c r="AI70" i="14842"/>
  <c r="O85" i="14842"/>
  <c r="O80" i="14842"/>
  <c r="O171" i="14842"/>
  <c r="O82" i="14842"/>
  <c r="O144" i="14842"/>
  <c r="O83" i="14842"/>
  <c r="O113" i="14842"/>
  <c r="AI113" i="14842" s="1"/>
  <c r="O109" i="14842"/>
  <c r="O141" i="14842"/>
  <c r="L80" i="14842"/>
  <c r="L85" i="14842"/>
  <c r="L111" i="14842"/>
  <c r="AF111" i="14842" s="1"/>
  <c r="AF70" i="14842"/>
  <c r="L177" i="14842"/>
  <c r="L79" i="14842"/>
  <c r="L83" i="14842"/>
  <c r="L176" i="14842"/>
  <c r="L113" i="14842"/>
  <c r="AF113" i="14842" s="1"/>
  <c r="L146" i="14842"/>
  <c r="L82" i="14842"/>
  <c r="L143" i="14842"/>
  <c r="L175" i="14842"/>
  <c r="L174" i="14842"/>
  <c r="L84" i="14842"/>
  <c r="L114" i="14842"/>
  <c r="AF114" i="14842" s="1"/>
  <c r="L81" i="14842"/>
  <c r="L173" i="14842"/>
  <c r="L109" i="14842"/>
  <c r="L147" i="14842"/>
  <c r="L144" i="14842"/>
  <c r="L141" i="14842"/>
  <c r="L145" i="14842"/>
  <c r="L112" i="14842"/>
  <c r="AF112" i="14842" s="1"/>
  <c r="L115" i="14842"/>
  <c r="AF115" i="14842" s="1"/>
  <c r="L171" i="14842"/>
  <c r="G187" i="14822"/>
  <c r="G188" i="14822" s="1"/>
  <c r="K86" i="14822"/>
  <c r="K88" i="14822" s="1"/>
  <c r="K90" i="14822" s="1"/>
  <c r="AG72" i="14842"/>
  <c r="M95" i="14842"/>
  <c r="M96" i="14842" s="1"/>
  <c r="M157" i="14842"/>
  <c r="M158" i="14842" s="1"/>
  <c r="M125" i="14842"/>
  <c r="M148" i="14848" l="1"/>
  <c r="M150" i="14848" s="1"/>
  <c r="M152" i="14848" s="1"/>
  <c r="M116" i="14848"/>
  <c r="O178" i="14847"/>
  <c r="O180" i="14847" s="1"/>
  <c r="O182" i="14847" s="1"/>
  <c r="G116" i="14848"/>
  <c r="G86" i="14848"/>
  <c r="G88" i="14848" s="1"/>
  <c r="G90" i="14848" s="1"/>
  <c r="M86" i="14848"/>
  <c r="M88" i="14848" s="1"/>
  <c r="M90" i="14848" s="1"/>
  <c r="M97" i="14848" s="1"/>
  <c r="O354" i="14814"/>
  <c r="O345" i="14814"/>
  <c r="O353" i="14814"/>
  <c r="O362" i="14814"/>
  <c r="O356" i="14814"/>
  <c r="O361" i="14814"/>
  <c r="O357" i="14814"/>
  <c r="AD357" i="14814" s="1"/>
  <c r="AE357" i="14814" s="1"/>
  <c r="O348" i="14814"/>
  <c r="AD348" i="14814" s="1"/>
  <c r="AE348" i="14814" s="1"/>
  <c r="O341" i="14814"/>
  <c r="Q341" i="14814" s="1"/>
  <c r="O352" i="14814"/>
  <c r="Q352" i="14814" s="1"/>
  <c r="Q339" i="14814"/>
  <c r="O347" i="14814"/>
  <c r="AD347" i="14814" s="1"/>
  <c r="AE347" i="14814" s="1"/>
  <c r="AD339" i="14814"/>
  <c r="AE339" i="14814" s="1"/>
  <c r="O359" i="14814"/>
  <c r="AA359" i="14814" s="1"/>
  <c r="O343" i="14814"/>
  <c r="O340" i="14814"/>
  <c r="O344" i="14814"/>
  <c r="O349" i="14814"/>
  <c r="O358" i="14814"/>
  <c r="O346" i="14814"/>
  <c r="O350" i="14814"/>
  <c r="O351" i="14814"/>
  <c r="AD351" i="14814" s="1"/>
  <c r="AE351" i="14814" s="1"/>
  <c r="AA339" i="14814"/>
  <c r="AB339" i="14814" s="1"/>
  <c r="O342" i="14814"/>
  <c r="AA342" i="14814" s="1"/>
  <c r="O355" i="14814"/>
  <c r="AA355" i="14814" s="1"/>
  <c r="O360" i="14814"/>
  <c r="AA360" i="14814" s="1"/>
  <c r="E86" i="14848"/>
  <c r="E88" i="14848" s="1"/>
  <c r="E90" i="14848" s="1"/>
  <c r="E98" i="14848" s="1"/>
  <c r="E99" i="14848" s="1"/>
  <c r="O148" i="14847"/>
  <c r="O150" i="14847" s="1"/>
  <c r="O152" i="14847" s="1"/>
  <c r="O159" i="14847" s="1"/>
  <c r="M178" i="14848"/>
  <c r="M180" i="14848" s="1"/>
  <c r="M182" i="14848" s="1"/>
  <c r="M190" i="14848" s="1"/>
  <c r="M191" i="14848" s="1"/>
  <c r="E148" i="14848"/>
  <c r="E150" i="14848" s="1"/>
  <c r="E152" i="14848" s="1"/>
  <c r="E167" i="14848" s="1"/>
  <c r="G148" i="14848"/>
  <c r="G150" i="14848" s="1"/>
  <c r="G152" i="14848" s="1"/>
  <c r="G160" i="14848" s="1"/>
  <c r="G161" i="14848" s="1"/>
  <c r="H189" i="14847"/>
  <c r="H192" i="14847" s="1"/>
  <c r="H193" i="14847" s="1"/>
  <c r="H195" i="14847" s="1"/>
  <c r="O86" i="14847"/>
  <c r="O88" i="14847" s="1"/>
  <c r="O90" i="14847" s="1"/>
  <c r="O98" i="14847" s="1"/>
  <c r="O99" i="14847" s="1"/>
  <c r="E178" i="14848"/>
  <c r="E180" i="14848" s="1"/>
  <c r="E182" i="14848" s="1"/>
  <c r="E197" i="14848" s="1"/>
  <c r="G178" i="14848"/>
  <c r="G180" i="14848" s="1"/>
  <c r="G182" i="14848" s="1"/>
  <c r="G197" i="14848" s="1"/>
  <c r="E116" i="14848"/>
  <c r="S590" i="14814" s="1"/>
  <c r="E189" i="14847"/>
  <c r="E192" i="14847" s="1"/>
  <c r="E193" i="14847" s="1"/>
  <c r="E195" i="14847" s="1"/>
  <c r="K118" i="14848"/>
  <c r="P596" i="14814" s="1"/>
  <c r="L197" i="14848"/>
  <c r="H159" i="14847"/>
  <c r="H162" i="14847" s="1"/>
  <c r="H163" i="14847" s="1"/>
  <c r="H165" i="14847" s="1"/>
  <c r="D118" i="14822"/>
  <c r="D120" i="14822" s="1"/>
  <c r="H148" i="14842"/>
  <c r="H150" i="14842" s="1"/>
  <c r="H152" i="14842" s="1"/>
  <c r="H159" i="14842" s="1"/>
  <c r="G126" i="14848"/>
  <c r="G136" i="14848" s="1"/>
  <c r="L189" i="14848"/>
  <c r="L192" i="14848" s="1"/>
  <c r="L193" i="14848" s="1"/>
  <c r="L195" i="14848" s="1"/>
  <c r="J148" i="14847"/>
  <c r="J150" i="14847" s="1"/>
  <c r="J152" i="14847" s="1"/>
  <c r="J160" i="14847" s="1"/>
  <c r="J161" i="14847" s="1"/>
  <c r="E97" i="14847"/>
  <c r="H97" i="14847"/>
  <c r="H100" i="14847" s="1"/>
  <c r="H101" i="14847" s="1"/>
  <c r="H103" i="14847" s="1"/>
  <c r="D147" i="14847"/>
  <c r="D148" i="14847" s="1"/>
  <c r="D150" i="14847" s="1"/>
  <c r="P84" i="14847"/>
  <c r="P174" i="14847"/>
  <c r="P111" i="14847"/>
  <c r="S111" i="14847" s="1"/>
  <c r="S595" i="14814"/>
  <c r="F97" i="14848"/>
  <c r="F100" i="14848" s="1"/>
  <c r="F101" i="14848" s="1"/>
  <c r="F103" i="14848" s="1"/>
  <c r="H97" i="14822"/>
  <c r="H100" i="14822" s="1"/>
  <c r="H101" i="14822" s="1"/>
  <c r="H103" i="14822" s="1"/>
  <c r="P176" i="14848"/>
  <c r="L159" i="14848"/>
  <c r="P115" i="14848"/>
  <c r="S115" i="14848" s="1"/>
  <c r="P84" i="14848"/>
  <c r="R598" i="14814"/>
  <c r="G189" i="14842"/>
  <c r="G192" i="14842" s="1"/>
  <c r="G193" i="14842" s="1"/>
  <c r="G195" i="14842" s="1"/>
  <c r="P174" i="14848"/>
  <c r="P80" i="14848"/>
  <c r="P173" i="14848"/>
  <c r="P111" i="14848"/>
  <c r="S111" i="14848" s="1"/>
  <c r="P79" i="14847"/>
  <c r="P175" i="14848"/>
  <c r="P113" i="14848"/>
  <c r="S113" i="14848" s="1"/>
  <c r="P82" i="14848"/>
  <c r="G159" i="14847"/>
  <c r="G162" i="14847" s="1"/>
  <c r="G163" i="14847" s="1"/>
  <c r="G165" i="14847" s="1"/>
  <c r="P144" i="14848"/>
  <c r="M189" i="14847"/>
  <c r="M192" i="14847" s="1"/>
  <c r="M193" i="14847" s="1"/>
  <c r="M195" i="14847" s="1"/>
  <c r="P85" i="14848"/>
  <c r="H86" i="14848"/>
  <c r="H88" i="14848" s="1"/>
  <c r="H90" i="14848" s="1"/>
  <c r="H98" i="14848" s="1"/>
  <c r="H99" i="14848" s="1"/>
  <c r="P109" i="14848"/>
  <c r="S109" i="14848" s="1"/>
  <c r="P141" i="14822"/>
  <c r="J178" i="14847"/>
  <c r="J180" i="14847" s="1"/>
  <c r="J182" i="14847" s="1"/>
  <c r="J190" i="14847" s="1"/>
  <c r="J191" i="14847" s="1"/>
  <c r="P173" i="14847"/>
  <c r="H178" i="14848"/>
  <c r="H180" i="14848" s="1"/>
  <c r="H182" i="14848" s="1"/>
  <c r="H197" i="14848" s="1"/>
  <c r="H148" i="14848"/>
  <c r="H150" i="14848" s="1"/>
  <c r="H152" i="14848" s="1"/>
  <c r="H160" i="14848" s="1"/>
  <c r="H161" i="14848" s="1"/>
  <c r="L167" i="14848"/>
  <c r="E126" i="14847"/>
  <c r="G118" i="14847"/>
  <c r="G120" i="14847" s="1"/>
  <c r="D86" i="14848"/>
  <c r="D88" i="14848" s="1"/>
  <c r="D116" i="14848"/>
  <c r="D118" i="14848" s="1"/>
  <c r="J116" i="14847"/>
  <c r="J118" i="14847" s="1"/>
  <c r="O595" i="14814" s="1"/>
  <c r="P146" i="14848"/>
  <c r="P81" i="14848"/>
  <c r="P114" i="14847"/>
  <c r="S114" i="14847" s="1"/>
  <c r="R578" i="14814"/>
  <c r="H116" i="14848"/>
  <c r="H118" i="14848" s="1"/>
  <c r="P112" i="14848"/>
  <c r="S112" i="14848" s="1"/>
  <c r="M159" i="14842"/>
  <c r="M160" i="14842"/>
  <c r="M161" i="14842" s="1"/>
  <c r="R572" i="14814"/>
  <c r="J178" i="14822"/>
  <c r="J180" i="14822" s="1"/>
  <c r="J182" i="14822" s="1"/>
  <c r="J190" i="14822" s="1"/>
  <c r="J191" i="14822" s="1"/>
  <c r="H116" i="14842"/>
  <c r="AB116" i="14842" s="1"/>
  <c r="P79" i="14822"/>
  <c r="D86" i="14842"/>
  <c r="D88" i="14842" s="1"/>
  <c r="P80" i="14822"/>
  <c r="J116" i="14822"/>
  <c r="J118" i="14822" s="1"/>
  <c r="O575" i="14814" s="1"/>
  <c r="I410" i="14786" s="1"/>
  <c r="P81" i="14822"/>
  <c r="P176" i="14822"/>
  <c r="P144" i="14822"/>
  <c r="G189" i="14822"/>
  <c r="G192" i="14822" s="1"/>
  <c r="G193" i="14822" s="1"/>
  <c r="G195" i="14822" s="1"/>
  <c r="P85" i="14822"/>
  <c r="P146" i="14822"/>
  <c r="P82" i="14822"/>
  <c r="P174" i="14822"/>
  <c r="P85" i="14842"/>
  <c r="P84" i="14842"/>
  <c r="H178" i="14842"/>
  <c r="H180" i="14842" s="1"/>
  <c r="H182" i="14842" s="1"/>
  <c r="H189" i="14842" s="1"/>
  <c r="K148" i="14842"/>
  <c r="K150" i="14842" s="1"/>
  <c r="K152" i="14842" s="1"/>
  <c r="K160" i="14842" s="1"/>
  <c r="K161" i="14842" s="1"/>
  <c r="P83" i="14842"/>
  <c r="D116" i="14842"/>
  <c r="S569" i="14814" s="1"/>
  <c r="M404" i="14786" s="1"/>
  <c r="P114" i="14848"/>
  <c r="S114" i="14848" s="1"/>
  <c r="P80" i="14842"/>
  <c r="P122" i="14847"/>
  <c r="S122" i="14847" s="1"/>
  <c r="P175" i="14842"/>
  <c r="P115" i="14842"/>
  <c r="S115" i="14842" s="1"/>
  <c r="P122" i="14822"/>
  <c r="S122" i="14822" s="1"/>
  <c r="P113" i="14822"/>
  <c r="S113" i="14822" s="1"/>
  <c r="P144" i="14842"/>
  <c r="P81" i="14842"/>
  <c r="P176" i="14847"/>
  <c r="L116" i="14822"/>
  <c r="R577" i="14814" s="1"/>
  <c r="P145" i="14822"/>
  <c r="P143" i="14822"/>
  <c r="P109" i="14842"/>
  <c r="S109" i="14842" s="1"/>
  <c r="P143" i="14848"/>
  <c r="L160" i="14848"/>
  <c r="L161" i="14848" s="1"/>
  <c r="P82" i="14842"/>
  <c r="P112" i="14822"/>
  <c r="S112" i="14822" s="1"/>
  <c r="P83" i="14847"/>
  <c r="J86" i="14847"/>
  <c r="J88" i="14847" s="1"/>
  <c r="J90" i="14847" s="1"/>
  <c r="J98" i="14847" s="1"/>
  <c r="J99" i="14847" s="1"/>
  <c r="P112" i="14842"/>
  <c r="S112" i="14842" s="1"/>
  <c r="P84" i="14822"/>
  <c r="G98" i="14842"/>
  <c r="G99" i="14842" s="1"/>
  <c r="G100" i="14842" s="1"/>
  <c r="G101" i="14842" s="1"/>
  <c r="G103" i="14842" s="1"/>
  <c r="P173" i="14822"/>
  <c r="P174" i="14842"/>
  <c r="P146" i="14847"/>
  <c r="P177" i="14847"/>
  <c r="K126" i="14848"/>
  <c r="K136" i="14848" s="1"/>
  <c r="M98" i="14848"/>
  <c r="M99" i="14848" s="1"/>
  <c r="P83" i="14848"/>
  <c r="E98" i="14847"/>
  <c r="E99" i="14847" s="1"/>
  <c r="N86" i="14842"/>
  <c r="N88" i="14842" s="1"/>
  <c r="N90" i="14842" s="1"/>
  <c r="N97" i="14842" s="1"/>
  <c r="P175" i="14822"/>
  <c r="P125" i="14847"/>
  <c r="S125" i="14847" s="1"/>
  <c r="P145" i="14842"/>
  <c r="P171" i="14842"/>
  <c r="L148" i="14847"/>
  <c r="L150" i="14847" s="1"/>
  <c r="L152" i="14847" s="1"/>
  <c r="L159" i="14847" s="1"/>
  <c r="O178" i="14822"/>
  <c r="O180" i="14822" s="1"/>
  <c r="O182" i="14822" s="1"/>
  <c r="O190" i="14822" s="1"/>
  <c r="O191" i="14822" s="1"/>
  <c r="P83" i="14822"/>
  <c r="P144" i="14847"/>
  <c r="N178" i="14822"/>
  <c r="N180" i="14822" s="1"/>
  <c r="N182" i="14822" s="1"/>
  <c r="N190" i="14822" s="1"/>
  <c r="N191" i="14822" s="1"/>
  <c r="P176" i="14842"/>
  <c r="P80" i="14847"/>
  <c r="P173" i="14842"/>
  <c r="P114" i="14822"/>
  <c r="S114" i="14822" s="1"/>
  <c r="P146" i="14842"/>
  <c r="P145" i="14848"/>
  <c r="H159" i="14822"/>
  <c r="H162" i="14822" s="1"/>
  <c r="H163" i="14822" s="1"/>
  <c r="H165" i="14822" s="1"/>
  <c r="E96" i="14842"/>
  <c r="E97" i="14842" s="1"/>
  <c r="D147" i="14842"/>
  <c r="P157" i="14842"/>
  <c r="D158" i="14842"/>
  <c r="M167" i="14848"/>
  <c r="X125" i="14842"/>
  <c r="D126" i="14842"/>
  <c r="M569" i="14814"/>
  <c r="G404" i="14786" s="1"/>
  <c r="P125" i="14842"/>
  <c r="K167" i="14848"/>
  <c r="M579" i="14814"/>
  <c r="G414" i="14786" s="1"/>
  <c r="AH125" i="14842"/>
  <c r="N126" i="14842"/>
  <c r="H189" i="14822"/>
  <c r="H190" i="14822"/>
  <c r="H191" i="14822" s="1"/>
  <c r="M97" i="14842"/>
  <c r="M98" i="14842"/>
  <c r="M99" i="14842" s="1"/>
  <c r="AD340" i="14814"/>
  <c r="AE340" i="14814" s="1"/>
  <c r="Q340" i="14814"/>
  <c r="AA340" i="14814"/>
  <c r="L126" i="14847"/>
  <c r="M595" i="14814"/>
  <c r="J126" i="14848"/>
  <c r="K190" i="14848"/>
  <c r="K191" i="14848" s="1"/>
  <c r="K189" i="14848"/>
  <c r="K148" i="14847"/>
  <c r="K150" i="14847" s="1"/>
  <c r="K152" i="14847" s="1"/>
  <c r="N126" i="14848"/>
  <c r="M599" i="14814"/>
  <c r="P95" i="14842"/>
  <c r="D96" i="14842"/>
  <c r="I178" i="14842"/>
  <c r="I180" i="14842" s="1"/>
  <c r="I182" i="14842" s="1"/>
  <c r="F86" i="14822"/>
  <c r="F88" i="14822" s="1"/>
  <c r="F90" i="14822" s="1"/>
  <c r="F86" i="14847"/>
  <c r="F88" i="14847" s="1"/>
  <c r="F90" i="14847" s="1"/>
  <c r="P187" i="14847"/>
  <c r="D188" i="14847"/>
  <c r="Y116" i="14842"/>
  <c r="S570" i="14814"/>
  <c r="M405" i="14786" s="1"/>
  <c r="E118" i="14842"/>
  <c r="Q343" i="14814"/>
  <c r="AD343" i="14814"/>
  <c r="AE343" i="14814" s="1"/>
  <c r="AA343" i="14814"/>
  <c r="F118" i="14848"/>
  <c r="S591" i="14814"/>
  <c r="D182" i="14847"/>
  <c r="L148" i="14842"/>
  <c r="L150" i="14842" s="1"/>
  <c r="L152" i="14842" s="1"/>
  <c r="L167" i="14842" s="1"/>
  <c r="O178" i="14842"/>
  <c r="O180" i="14842" s="1"/>
  <c r="O182" i="14842" s="1"/>
  <c r="O197" i="14842" s="1"/>
  <c r="P141" i="14842"/>
  <c r="M190" i="14822"/>
  <c r="M191" i="14822" s="1"/>
  <c r="M189" i="14822"/>
  <c r="L178" i="14847"/>
  <c r="L180" i="14847" s="1"/>
  <c r="L182" i="14847" s="1"/>
  <c r="F126" i="14822"/>
  <c r="P111" i="14842"/>
  <c r="M120" i="14822"/>
  <c r="O578" i="14814"/>
  <c r="I413" i="14786" s="1"/>
  <c r="F126" i="14847"/>
  <c r="L116" i="14847"/>
  <c r="J197" i="14848"/>
  <c r="K86" i="14842"/>
  <c r="K88" i="14842" s="1"/>
  <c r="K90" i="14842" s="1"/>
  <c r="J160" i="14842"/>
  <c r="J161" i="14842" s="1"/>
  <c r="J159" i="14842"/>
  <c r="I160" i="14822"/>
  <c r="I161" i="14822" s="1"/>
  <c r="I159" i="14822"/>
  <c r="E167" i="14842"/>
  <c r="AG116" i="14842"/>
  <c r="M118" i="14842"/>
  <c r="S578" i="14814"/>
  <c r="M413" i="14786" s="1"/>
  <c r="I148" i="14842"/>
  <c r="I150" i="14842" s="1"/>
  <c r="I152" i="14842" s="1"/>
  <c r="P157" i="14848"/>
  <c r="D158" i="14848"/>
  <c r="AU280" i="14814"/>
  <c r="AU281" i="14814" s="1"/>
  <c r="AU282" i="14814" s="1"/>
  <c r="P275" i="14814" s="1"/>
  <c r="P278" i="14814" s="1"/>
  <c r="O275" i="14814"/>
  <c r="O278" i="14814" s="1"/>
  <c r="P115" i="14822"/>
  <c r="S115" i="14822" s="1"/>
  <c r="F148" i="14842"/>
  <c r="F150" i="14842" s="1"/>
  <c r="F152" i="14842" s="1"/>
  <c r="F167" i="14842" s="1"/>
  <c r="P143" i="14842"/>
  <c r="F178" i="14847"/>
  <c r="P171" i="14847"/>
  <c r="P145" i="14847"/>
  <c r="M572" i="14814"/>
  <c r="G407" i="14786" s="1"/>
  <c r="AA125" i="14842"/>
  <c r="G126" i="14842"/>
  <c r="O598" i="14814"/>
  <c r="M120" i="14847"/>
  <c r="L86" i="14842"/>
  <c r="L88" i="14842" s="1"/>
  <c r="L90" i="14842" s="1"/>
  <c r="AF125" i="14842"/>
  <c r="M577" i="14814"/>
  <c r="G412" i="14786" s="1"/>
  <c r="L126" i="14842"/>
  <c r="M126" i="14847"/>
  <c r="R570" i="14814"/>
  <c r="E118" i="14822"/>
  <c r="P95" i="14847"/>
  <c r="D96" i="14847"/>
  <c r="K116" i="14847"/>
  <c r="M98" i="14822"/>
  <c r="M99" i="14822" s="1"/>
  <c r="M97" i="14822"/>
  <c r="S592" i="14814"/>
  <c r="G118" i="14848"/>
  <c r="F190" i="14848"/>
  <c r="F191" i="14848" s="1"/>
  <c r="F189" i="14848"/>
  <c r="J98" i="14848"/>
  <c r="J99" i="14848" s="1"/>
  <c r="J97" i="14848"/>
  <c r="I126" i="14822"/>
  <c r="E98" i="14822"/>
  <c r="E99" i="14822" s="1"/>
  <c r="P95" i="14848"/>
  <c r="D96" i="14848"/>
  <c r="F116" i="14822"/>
  <c r="P109" i="14822"/>
  <c r="S109" i="14822" s="1"/>
  <c r="AX341" i="14814"/>
  <c r="AX342" i="14814" s="1"/>
  <c r="AX343" i="14814" s="1"/>
  <c r="P336" i="14814" s="1"/>
  <c r="P339" i="14814" s="1"/>
  <c r="P81" i="14847"/>
  <c r="E190" i="14842"/>
  <c r="E191" i="14842" s="1"/>
  <c r="E189" i="14842"/>
  <c r="BA280" i="14814"/>
  <c r="BA281" i="14814" s="1"/>
  <c r="BA282" i="14814" s="1"/>
  <c r="AG125" i="14842"/>
  <c r="M578" i="14814"/>
  <c r="G413" i="14786" s="1"/>
  <c r="M126" i="14842"/>
  <c r="AF109" i="14842"/>
  <c r="L116" i="14842"/>
  <c r="P187" i="14822"/>
  <c r="D188" i="14822"/>
  <c r="O190" i="14848"/>
  <c r="O191" i="14848" s="1"/>
  <c r="O189" i="14848"/>
  <c r="J167" i="14848"/>
  <c r="J98" i="14822"/>
  <c r="J99" i="14822" s="1"/>
  <c r="J97" i="14822"/>
  <c r="N126" i="14822"/>
  <c r="G98" i="14822"/>
  <c r="G99" i="14822" s="1"/>
  <c r="G97" i="14822"/>
  <c r="J98" i="14842"/>
  <c r="J99" i="14842" s="1"/>
  <c r="J97" i="14842"/>
  <c r="N116" i="14848"/>
  <c r="F159" i="14848"/>
  <c r="F160" i="14848"/>
  <c r="F161" i="14848" s="1"/>
  <c r="G98" i="14848"/>
  <c r="G99" i="14848" s="1"/>
  <c r="G97" i="14848"/>
  <c r="P125" i="14848"/>
  <c r="S125" i="14848" s="1"/>
  <c r="D126" i="14848"/>
  <c r="M589" i="14814"/>
  <c r="F148" i="14822"/>
  <c r="F150" i="14822" s="1"/>
  <c r="F152" i="14822" s="1"/>
  <c r="I178" i="14848"/>
  <c r="I180" i="14848" s="1"/>
  <c r="I182" i="14848" s="1"/>
  <c r="I197" i="14848" s="1"/>
  <c r="P171" i="14848"/>
  <c r="I86" i="14847"/>
  <c r="I88" i="14847" s="1"/>
  <c r="I90" i="14847" s="1"/>
  <c r="G167" i="14842"/>
  <c r="P143" i="14847"/>
  <c r="L86" i="14822"/>
  <c r="L88" i="14822" s="1"/>
  <c r="L90" i="14822" s="1"/>
  <c r="AE125" i="14842"/>
  <c r="M576" i="14814"/>
  <c r="G411" i="14786" s="1"/>
  <c r="K126" i="14842"/>
  <c r="E197" i="14842"/>
  <c r="M167" i="14842"/>
  <c r="O86" i="14842"/>
  <c r="O88" i="14842" s="1"/>
  <c r="O90" i="14842" s="1"/>
  <c r="M126" i="14822"/>
  <c r="P158" i="14847"/>
  <c r="R590" i="14814"/>
  <c r="E118" i="14847"/>
  <c r="M575" i="14814"/>
  <c r="G410" i="14786" s="1"/>
  <c r="AD125" i="14842"/>
  <c r="J126" i="14842"/>
  <c r="G159" i="14842"/>
  <c r="G162" i="14842" s="1"/>
  <c r="G163" i="14842" s="1"/>
  <c r="G165" i="14842" s="1"/>
  <c r="BC280" i="14814"/>
  <c r="BC281" i="14814" s="1"/>
  <c r="BC282" i="14814" s="1"/>
  <c r="M190" i="14842"/>
  <c r="M191" i="14842" s="1"/>
  <c r="M189" i="14842"/>
  <c r="S575" i="14814"/>
  <c r="M410" i="14786" s="1"/>
  <c r="AD116" i="14842"/>
  <c r="J118" i="14842"/>
  <c r="J160" i="14848"/>
  <c r="J161" i="14848" s="1"/>
  <c r="J159" i="14848"/>
  <c r="D188" i="14848"/>
  <c r="P187" i="14848"/>
  <c r="F178" i="14822"/>
  <c r="F180" i="14822" s="1"/>
  <c r="F182" i="14822" s="1"/>
  <c r="P171" i="14822"/>
  <c r="K97" i="14848"/>
  <c r="K98" i="14848"/>
  <c r="K99" i="14848" s="1"/>
  <c r="I178" i="14847"/>
  <c r="I180" i="14847" s="1"/>
  <c r="I182" i="14847" s="1"/>
  <c r="M160" i="14847"/>
  <c r="M161" i="14847" s="1"/>
  <c r="M159" i="14847"/>
  <c r="F116" i="14847"/>
  <c r="P109" i="14847"/>
  <c r="S109" i="14847" s="1"/>
  <c r="L178" i="14822"/>
  <c r="L180" i="14822" s="1"/>
  <c r="L182" i="14822" s="1"/>
  <c r="R589" i="14814"/>
  <c r="D118" i="14847"/>
  <c r="O136" i="14842"/>
  <c r="AI136" i="14842" s="1"/>
  <c r="AI126" i="14842"/>
  <c r="J126" i="14822"/>
  <c r="K159" i="14822"/>
  <c r="K160" i="14822"/>
  <c r="K161" i="14822" s="1"/>
  <c r="P157" i="14847"/>
  <c r="AH109" i="14842"/>
  <c r="N116" i="14842"/>
  <c r="K190" i="14822"/>
  <c r="K191" i="14822" s="1"/>
  <c r="K189" i="14822"/>
  <c r="J167" i="14842"/>
  <c r="N178" i="14847"/>
  <c r="N180" i="14847" s="1"/>
  <c r="N182" i="14847" s="1"/>
  <c r="AA116" i="14842"/>
  <c r="G118" i="14842"/>
  <c r="S572" i="14814"/>
  <c r="M407" i="14786" s="1"/>
  <c r="P114" i="14842"/>
  <c r="P111" i="14822"/>
  <c r="S111" i="14822" s="1"/>
  <c r="I86" i="14848"/>
  <c r="I88" i="14848" s="1"/>
  <c r="I90" i="14848" s="1"/>
  <c r="P79" i="14848"/>
  <c r="AD361" i="14814"/>
  <c r="AE361" i="14814" s="1"/>
  <c r="Q361" i="14814"/>
  <c r="AA361" i="14814"/>
  <c r="Q356" i="14814"/>
  <c r="AD356" i="14814"/>
  <c r="AE356" i="14814" s="1"/>
  <c r="AA356" i="14814"/>
  <c r="I116" i="14847"/>
  <c r="F148" i="14847"/>
  <c r="F150" i="14847" s="1"/>
  <c r="F152" i="14847" s="1"/>
  <c r="D88" i="14822"/>
  <c r="N178" i="14848"/>
  <c r="N180" i="14848" s="1"/>
  <c r="N182" i="14848" s="1"/>
  <c r="N197" i="14848" s="1"/>
  <c r="N148" i="14848"/>
  <c r="N150" i="14848" s="1"/>
  <c r="N152" i="14848" s="1"/>
  <c r="N167" i="14848" s="1"/>
  <c r="M574" i="14814"/>
  <c r="G409" i="14786" s="1"/>
  <c r="AC125" i="14842"/>
  <c r="I126" i="14842"/>
  <c r="E98" i="14842"/>
  <c r="E99" i="14842" s="1"/>
  <c r="AC109" i="14842"/>
  <c r="I116" i="14842"/>
  <c r="Z109" i="14842"/>
  <c r="F116" i="14842"/>
  <c r="Q362" i="14814"/>
  <c r="AD362" i="14814"/>
  <c r="AE362" i="14814" s="1"/>
  <c r="AA362" i="14814"/>
  <c r="Q353" i="14814"/>
  <c r="AD353" i="14814"/>
  <c r="AE353" i="14814" s="1"/>
  <c r="AA353" i="14814"/>
  <c r="P85" i="14847"/>
  <c r="O572" i="14814"/>
  <c r="I407" i="14786" s="1"/>
  <c r="G120" i="14822"/>
  <c r="E96" i="14822"/>
  <c r="E97" i="14822" s="1"/>
  <c r="D147" i="14822"/>
  <c r="P113" i="14842"/>
  <c r="G189" i="14847"/>
  <c r="G190" i="14847"/>
  <c r="G191" i="14847" s="1"/>
  <c r="N126" i="14847"/>
  <c r="N178" i="14842"/>
  <c r="N180" i="14842" s="1"/>
  <c r="N182" i="14842" s="1"/>
  <c r="N197" i="14842" s="1"/>
  <c r="I126" i="14848"/>
  <c r="M594" i="14814"/>
  <c r="AZ341" i="14814"/>
  <c r="AZ342" i="14814" s="1"/>
  <c r="AZ343" i="14814" s="1"/>
  <c r="N86" i="14847"/>
  <c r="N88" i="14847" s="1"/>
  <c r="N90" i="14847" s="1"/>
  <c r="J120" i="14848"/>
  <c r="P595" i="14814"/>
  <c r="N86" i="14848"/>
  <c r="N88" i="14848" s="1"/>
  <c r="N90" i="14848" s="1"/>
  <c r="L98" i="14848"/>
  <c r="L99" i="14848" s="1"/>
  <c r="L97" i="14848"/>
  <c r="M593" i="14814"/>
  <c r="H126" i="14848"/>
  <c r="E189" i="14822"/>
  <c r="E190" i="14822"/>
  <c r="E191" i="14822" s="1"/>
  <c r="F178" i="14842"/>
  <c r="F180" i="14842" s="1"/>
  <c r="F182" i="14842" s="1"/>
  <c r="F197" i="14842" s="1"/>
  <c r="Q345" i="14814"/>
  <c r="AD345" i="14814"/>
  <c r="AE345" i="14814" s="1"/>
  <c r="AA345" i="14814"/>
  <c r="Q354" i="14814"/>
  <c r="AD354" i="14814"/>
  <c r="AE354" i="14814" s="1"/>
  <c r="AA354" i="14814"/>
  <c r="E159" i="14822"/>
  <c r="E160" i="14822"/>
  <c r="E161" i="14822" s="1"/>
  <c r="P112" i="14847"/>
  <c r="S112" i="14847" s="1"/>
  <c r="Q344" i="14814"/>
  <c r="AD344" i="14814"/>
  <c r="AE344" i="14814" s="1"/>
  <c r="AA344" i="14814"/>
  <c r="BA341" i="14814"/>
  <c r="BA342" i="14814" s="1"/>
  <c r="BA343" i="14814" s="1"/>
  <c r="I98" i="14822"/>
  <c r="I99" i="14822" s="1"/>
  <c r="I97" i="14822"/>
  <c r="M570" i="14814"/>
  <c r="G405" i="14786" s="1"/>
  <c r="Y125" i="14842"/>
  <c r="E126" i="14842"/>
  <c r="D177" i="14842"/>
  <c r="BD280" i="14814"/>
  <c r="BD281" i="14814" s="1"/>
  <c r="BD282" i="14814" s="1"/>
  <c r="R576" i="14814"/>
  <c r="K118" i="14822"/>
  <c r="I190" i="14822"/>
  <c r="I191" i="14822" s="1"/>
  <c r="I189" i="14822"/>
  <c r="P141" i="14847"/>
  <c r="J190" i="14848"/>
  <c r="J191" i="14848" s="1"/>
  <c r="J189" i="14848"/>
  <c r="H118" i="14822"/>
  <c r="R573" i="14814"/>
  <c r="K160" i="14848"/>
  <c r="K161" i="14848" s="1"/>
  <c r="K159" i="14848"/>
  <c r="N116" i="14847"/>
  <c r="I126" i="14847"/>
  <c r="F197" i="14848"/>
  <c r="G126" i="14822"/>
  <c r="G97" i="14847"/>
  <c r="G98" i="14847"/>
  <c r="G99" i="14847" s="1"/>
  <c r="D158" i="14822"/>
  <c r="P157" i="14822"/>
  <c r="L136" i="14848"/>
  <c r="J189" i="14842"/>
  <c r="J190" i="14842"/>
  <c r="J191" i="14842" s="1"/>
  <c r="Q350" i="14814"/>
  <c r="AD350" i="14814"/>
  <c r="AE350" i="14814" s="1"/>
  <c r="AA350" i="14814"/>
  <c r="P175" i="14847"/>
  <c r="P82" i="14847"/>
  <c r="BC341" i="14814"/>
  <c r="BC342" i="14814" s="1"/>
  <c r="BC343" i="14814" s="1"/>
  <c r="O118" i="14847"/>
  <c r="R600" i="14814"/>
  <c r="AI109" i="14842"/>
  <c r="O116" i="14842"/>
  <c r="G197" i="14842"/>
  <c r="O116" i="14822"/>
  <c r="P187" i="14842"/>
  <c r="D188" i="14842"/>
  <c r="K116" i="14842"/>
  <c r="AE109" i="14842"/>
  <c r="P79" i="14842"/>
  <c r="AB125" i="14842"/>
  <c r="M573" i="14814"/>
  <c r="G408" i="14786" s="1"/>
  <c r="H126" i="14842"/>
  <c r="N148" i="14822"/>
  <c r="N150" i="14822" s="1"/>
  <c r="N152" i="14822" s="1"/>
  <c r="S597" i="14814"/>
  <c r="L118" i="14848"/>
  <c r="E160" i="14842"/>
  <c r="E161" i="14842" s="1"/>
  <c r="E159" i="14842"/>
  <c r="E126" i="14848"/>
  <c r="D177" i="14848"/>
  <c r="M590" i="14814"/>
  <c r="P95" i="14822"/>
  <c r="D96" i="14822"/>
  <c r="I86" i="14842"/>
  <c r="I88" i="14842" s="1"/>
  <c r="I90" i="14842" s="1"/>
  <c r="I148" i="14847"/>
  <c r="I150" i="14847" s="1"/>
  <c r="I152" i="14847" s="1"/>
  <c r="K197" i="14848"/>
  <c r="F167" i="14848"/>
  <c r="H126" i="14822"/>
  <c r="O159" i="14848"/>
  <c r="O160" i="14848"/>
  <c r="O161" i="14848" s="1"/>
  <c r="E126" i="14822"/>
  <c r="D177" i="14822"/>
  <c r="G126" i="14847"/>
  <c r="N148" i="14847"/>
  <c r="N150" i="14847" s="1"/>
  <c r="N152" i="14847" s="1"/>
  <c r="O98" i="14848"/>
  <c r="O99" i="14848" s="1"/>
  <c r="O97" i="14848"/>
  <c r="R593" i="14814"/>
  <c r="H118" i="14847"/>
  <c r="L126" i="14822"/>
  <c r="O118" i="14848"/>
  <c r="S600" i="14814"/>
  <c r="N148" i="14842"/>
  <c r="N150" i="14842" s="1"/>
  <c r="N152" i="14842" s="1"/>
  <c r="N167" i="14842" s="1"/>
  <c r="O189" i="14847"/>
  <c r="O190" i="14847"/>
  <c r="O191" i="14847" s="1"/>
  <c r="M197" i="14842"/>
  <c r="E96" i="14848"/>
  <c r="D147" i="14848"/>
  <c r="M571" i="14814"/>
  <c r="G406" i="14786" s="1"/>
  <c r="Z125" i="14842"/>
  <c r="F126" i="14842"/>
  <c r="M136" i="14848"/>
  <c r="P113" i="14847"/>
  <c r="S113" i="14847" s="1"/>
  <c r="P141" i="14848"/>
  <c r="O197" i="14848"/>
  <c r="D88" i="14847"/>
  <c r="Q349" i="14814"/>
  <c r="AD349" i="14814"/>
  <c r="AE349" i="14814" s="1"/>
  <c r="AA349" i="14814"/>
  <c r="M600" i="14814"/>
  <c r="O126" i="14848"/>
  <c r="K98" i="14822"/>
  <c r="K99" i="14822" s="1"/>
  <c r="K97" i="14822"/>
  <c r="M160" i="14848"/>
  <c r="M161" i="14848" s="1"/>
  <c r="M159" i="14848"/>
  <c r="K126" i="14822"/>
  <c r="O148" i="14842"/>
  <c r="O150" i="14842" s="1"/>
  <c r="O152" i="14842" s="1"/>
  <c r="O167" i="14842" s="1"/>
  <c r="L178" i="14842"/>
  <c r="L180" i="14842" s="1"/>
  <c r="L182" i="14842" s="1"/>
  <c r="L197" i="14842" s="1"/>
  <c r="L86" i="14847"/>
  <c r="L88" i="14847" s="1"/>
  <c r="L90" i="14847" s="1"/>
  <c r="O148" i="14822"/>
  <c r="O150" i="14822" s="1"/>
  <c r="O152" i="14822" s="1"/>
  <c r="K178" i="14842"/>
  <c r="K180" i="14842" s="1"/>
  <c r="K182" i="14842" s="1"/>
  <c r="K197" i="14842" s="1"/>
  <c r="H98" i="14842"/>
  <c r="H99" i="14842" s="1"/>
  <c r="H97" i="14842"/>
  <c r="E189" i="14848"/>
  <c r="E190" i="14848"/>
  <c r="E191" i="14848" s="1"/>
  <c r="K86" i="14847"/>
  <c r="K88" i="14847" s="1"/>
  <c r="K90" i="14847" s="1"/>
  <c r="N86" i="14822"/>
  <c r="N88" i="14822" s="1"/>
  <c r="N90" i="14822" s="1"/>
  <c r="J197" i="14842"/>
  <c r="E159" i="14847"/>
  <c r="E160" i="14847"/>
  <c r="E161" i="14847" s="1"/>
  <c r="P125" i="14822"/>
  <c r="S125" i="14822" s="1"/>
  <c r="D126" i="14822"/>
  <c r="I116" i="14848"/>
  <c r="F86" i="14842"/>
  <c r="F88" i="14842" s="1"/>
  <c r="F90" i="14842" s="1"/>
  <c r="J126" i="14847"/>
  <c r="O86" i="14822"/>
  <c r="O88" i="14822" s="1"/>
  <c r="O90" i="14822" s="1"/>
  <c r="S598" i="14814"/>
  <c r="M118" i="14848"/>
  <c r="R574" i="14814"/>
  <c r="I118" i="14822"/>
  <c r="M160" i="14822"/>
  <c r="M161" i="14822" s="1"/>
  <c r="M159" i="14822"/>
  <c r="E159" i="14848"/>
  <c r="K178" i="14847"/>
  <c r="K180" i="14847" s="1"/>
  <c r="K182" i="14847" s="1"/>
  <c r="J159" i="14822"/>
  <c r="J160" i="14822"/>
  <c r="J161" i="14822" s="1"/>
  <c r="N116" i="14822"/>
  <c r="M97" i="14847"/>
  <c r="M98" i="14847"/>
  <c r="M99" i="14847" s="1"/>
  <c r="G160" i="14822"/>
  <c r="G161" i="14822" s="1"/>
  <c r="G159" i="14822"/>
  <c r="I148" i="14848"/>
  <c r="I150" i="14848" s="1"/>
  <c r="I152" i="14848" s="1"/>
  <c r="Q346" i="14814"/>
  <c r="AD346" i="14814"/>
  <c r="AE346" i="14814" s="1"/>
  <c r="AA346" i="14814"/>
  <c r="Q358" i="14814"/>
  <c r="AD358" i="14814"/>
  <c r="AE358" i="14814" s="1"/>
  <c r="AA358" i="14814"/>
  <c r="P115" i="14847"/>
  <c r="S115" i="14847" s="1"/>
  <c r="AU341" i="14814"/>
  <c r="AU342" i="14814" s="1"/>
  <c r="AU343" i="14814" s="1"/>
  <c r="M591" i="14814"/>
  <c r="F126" i="14848"/>
  <c r="L148" i="14822"/>
  <c r="L150" i="14822" s="1"/>
  <c r="L152" i="14822" s="1"/>
  <c r="M197" i="14848" l="1"/>
  <c r="O569" i="14814"/>
  <c r="I404" i="14786" s="1"/>
  <c r="E160" i="14848"/>
  <c r="E161" i="14848" s="1"/>
  <c r="M189" i="14848"/>
  <c r="M192" i="14848" s="1"/>
  <c r="M193" i="14848" s="1"/>
  <c r="M195" i="14848" s="1"/>
  <c r="O160" i="14847"/>
  <c r="O161" i="14847" s="1"/>
  <c r="O162" i="14847" s="1"/>
  <c r="O163" i="14847" s="1"/>
  <c r="O165" i="14847" s="1"/>
  <c r="E118" i="14848"/>
  <c r="K120" i="14848"/>
  <c r="K127" i="14848" s="1"/>
  <c r="O97" i="14847"/>
  <c r="AD360" i="14814"/>
  <c r="AE360" i="14814" s="1"/>
  <c r="Q357" i="14814"/>
  <c r="Q360" i="14814"/>
  <c r="AA341" i="14814"/>
  <c r="Q342" i="14814"/>
  <c r="AD342" i="14814"/>
  <c r="AE342" i="14814" s="1"/>
  <c r="AD341" i="14814"/>
  <c r="AE341" i="14814" s="1"/>
  <c r="AA347" i="14814"/>
  <c r="AB347" i="14814" s="1"/>
  <c r="AF347" i="14814" s="1"/>
  <c r="AI347" i="14814" s="1"/>
  <c r="AD359" i="14814"/>
  <c r="AE359" i="14814" s="1"/>
  <c r="AD355" i="14814"/>
  <c r="AE355" i="14814" s="1"/>
  <c r="Q347" i="14814"/>
  <c r="Q355" i="14814"/>
  <c r="AA357" i="14814"/>
  <c r="AB357" i="14814" s="1"/>
  <c r="AF357" i="14814" s="1"/>
  <c r="AI357" i="14814" s="1"/>
  <c r="AF339" i="14814"/>
  <c r="AI339" i="14814" s="1"/>
  <c r="AA348" i="14814"/>
  <c r="AA351" i="14814"/>
  <c r="AB351" i="14814" s="1"/>
  <c r="AF351" i="14814" s="1"/>
  <c r="AI351" i="14814" s="1"/>
  <c r="Q348" i="14814"/>
  <c r="AA352" i="14814"/>
  <c r="AB352" i="14814" s="1"/>
  <c r="Q359" i="14814"/>
  <c r="Q351" i="14814"/>
  <c r="AD352" i="14814"/>
  <c r="AE352" i="14814" s="1"/>
  <c r="R339" i="14814"/>
  <c r="S339" i="14814" s="1"/>
  <c r="G190" i="14848"/>
  <c r="G191" i="14848" s="1"/>
  <c r="G189" i="14848"/>
  <c r="AC339" i="14814"/>
  <c r="AG339" i="14814" s="1"/>
  <c r="AJ339" i="14814" s="1"/>
  <c r="AK339" i="14814" s="1"/>
  <c r="AL339" i="14814" s="1"/>
  <c r="P353" i="14814"/>
  <c r="AC353" i="14814" s="1"/>
  <c r="AG353" i="14814" s="1"/>
  <c r="AJ353" i="14814" s="1"/>
  <c r="AK353" i="14814" s="1"/>
  <c r="AL353" i="14814" s="1"/>
  <c r="P344" i="14814"/>
  <c r="R344" i="14814" s="1"/>
  <c r="S344" i="14814" s="1"/>
  <c r="T345" i="14814" s="1"/>
  <c r="P342" i="14814"/>
  <c r="AC342" i="14814" s="1"/>
  <c r="P349" i="14814"/>
  <c r="AC349" i="14814" s="1"/>
  <c r="AG349" i="14814" s="1"/>
  <c r="AJ349" i="14814" s="1"/>
  <c r="AK349" i="14814" s="1"/>
  <c r="AL349" i="14814" s="1"/>
  <c r="P357" i="14814"/>
  <c r="R357" i="14814" s="1"/>
  <c r="S357" i="14814" s="1"/>
  <c r="T358" i="14814" s="1"/>
  <c r="P362" i="14814"/>
  <c r="AC362" i="14814" s="1"/>
  <c r="AG362" i="14814" s="1"/>
  <c r="AJ362" i="14814" s="1"/>
  <c r="AK362" i="14814" s="1"/>
  <c r="AL362" i="14814" s="1"/>
  <c r="P358" i="14814"/>
  <c r="AC358" i="14814" s="1"/>
  <c r="AG358" i="14814" s="1"/>
  <c r="AJ358" i="14814" s="1"/>
  <c r="AK358" i="14814" s="1"/>
  <c r="AL358" i="14814" s="1"/>
  <c r="P348" i="14814"/>
  <c r="P341" i="14814"/>
  <c r="R341" i="14814" s="1"/>
  <c r="S341" i="14814" s="1"/>
  <c r="T342" i="14814" s="1"/>
  <c r="P350" i="14814"/>
  <c r="AC350" i="14814" s="1"/>
  <c r="AG350" i="14814" s="1"/>
  <c r="AJ350" i="14814" s="1"/>
  <c r="AK350" i="14814" s="1"/>
  <c r="AL350" i="14814" s="1"/>
  <c r="P351" i="14814"/>
  <c r="P340" i="14814"/>
  <c r="AC340" i="14814" s="1"/>
  <c r="AG340" i="14814" s="1"/>
  <c r="AJ340" i="14814" s="1"/>
  <c r="AK340" i="14814" s="1"/>
  <c r="AL340" i="14814" s="1"/>
  <c r="P356" i="14814"/>
  <c r="AC356" i="14814" s="1"/>
  <c r="AG356" i="14814" s="1"/>
  <c r="AJ356" i="14814" s="1"/>
  <c r="AK356" i="14814" s="1"/>
  <c r="AL356" i="14814" s="1"/>
  <c r="P355" i="14814"/>
  <c r="AC355" i="14814" s="1"/>
  <c r="P345" i="14814"/>
  <c r="AC345" i="14814" s="1"/>
  <c r="AG345" i="14814" s="1"/>
  <c r="AJ345" i="14814" s="1"/>
  <c r="AK345" i="14814" s="1"/>
  <c r="AL345" i="14814" s="1"/>
  <c r="P360" i="14814"/>
  <c r="AC360" i="14814" s="1"/>
  <c r="P347" i="14814"/>
  <c r="P352" i="14814"/>
  <c r="P361" i="14814"/>
  <c r="R361" i="14814" s="1"/>
  <c r="S361" i="14814" s="1"/>
  <c r="T362" i="14814" s="1"/>
  <c r="U336" i="14814" s="1"/>
  <c r="P346" i="14814"/>
  <c r="AC346" i="14814" s="1"/>
  <c r="AG346" i="14814" s="1"/>
  <c r="AJ346" i="14814" s="1"/>
  <c r="AK346" i="14814" s="1"/>
  <c r="AL346" i="14814" s="1"/>
  <c r="P359" i="14814"/>
  <c r="AC359" i="14814" s="1"/>
  <c r="P343" i="14814"/>
  <c r="R343" i="14814" s="1"/>
  <c r="S343" i="14814" s="1"/>
  <c r="T344" i="14814" s="1"/>
  <c r="P354" i="14814"/>
  <c r="R354" i="14814" s="1"/>
  <c r="S354" i="14814" s="1"/>
  <c r="T355" i="14814" s="1"/>
  <c r="G167" i="14848"/>
  <c r="G159" i="14848"/>
  <c r="G162" i="14848" s="1"/>
  <c r="G163" i="14848" s="1"/>
  <c r="G165" i="14848" s="1"/>
  <c r="H167" i="14842"/>
  <c r="J159" i="14847"/>
  <c r="J162" i="14847" s="1"/>
  <c r="J163" i="14847" s="1"/>
  <c r="J165" i="14847" s="1"/>
  <c r="H160" i="14842"/>
  <c r="H161" i="14842" s="1"/>
  <c r="H162" i="14842" s="1"/>
  <c r="H163" i="14842" s="1"/>
  <c r="H165" i="14842" s="1"/>
  <c r="K162" i="14848"/>
  <c r="K163" i="14848" s="1"/>
  <c r="K165" i="14848" s="1"/>
  <c r="M100" i="14848"/>
  <c r="M101" i="14848" s="1"/>
  <c r="M103" i="14848" s="1"/>
  <c r="P147" i="14847"/>
  <c r="K192" i="14848"/>
  <c r="K193" i="14848" s="1"/>
  <c r="K195" i="14848" s="1"/>
  <c r="K159" i="14842"/>
  <c r="K162" i="14842" s="1"/>
  <c r="K163" i="14842" s="1"/>
  <c r="K165" i="14842" s="1"/>
  <c r="E100" i="14847"/>
  <c r="E101" i="14847" s="1"/>
  <c r="E103" i="14847" s="1"/>
  <c r="X116" i="14842"/>
  <c r="L162" i="14848"/>
  <c r="L163" i="14848" s="1"/>
  <c r="L165" i="14848" s="1"/>
  <c r="H197" i="14842"/>
  <c r="R595" i="14814"/>
  <c r="H97" i="14848"/>
  <c r="H100" i="14848" s="1"/>
  <c r="H101" i="14848" s="1"/>
  <c r="H103" i="14848" s="1"/>
  <c r="AJ115" i="14842"/>
  <c r="M192" i="14842"/>
  <c r="M193" i="14842" s="1"/>
  <c r="M195" i="14842" s="1"/>
  <c r="H189" i="14848"/>
  <c r="H190" i="14848"/>
  <c r="H191" i="14848" s="1"/>
  <c r="M162" i="14847"/>
  <c r="M163" i="14847" s="1"/>
  <c r="M165" i="14847" s="1"/>
  <c r="L160" i="14847"/>
  <c r="L161" i="14847" s="1"/>
  <c r="L162" i="14847" s="1"/>
  <c r="L163" i="14847" s="1"/>
  <c r="L165" i="14847" s="1"/>
  <c r="J189" i="14847"/>
  <c r="J192" i="14847" s="1"/>
  <c r="J193" i="14847" s="1"/>
  <c r="J195" i="14847" s="1"/>
  <c r="H167" i="14848"/>
  <c r="M162" i="14842"/>
  <c r="M163" i="14842" s="1"/>
  <c r="M165" i="14842" s="1"/>
  <c r="P589" i="14814"/>
  <c r="D120" i="14848"/>
  <c r="D127" i="14848" s="1"/>
  <c r="H120" i="14848"/>
  <c r="H127" i="14848" s="1"/>
  <c r="P593" i="14814"/>
  <c r="S589" i="14814"/>
  <c r="O592" i="14814"/>
  <c r="H118" i="14842"/>
  <c r="AB118" i="14842" s="1"/>
  <c r="H159" i="14848"/>
  <c r="H162" i="14848" s="1"/>
  <c r="H163" i="14848" s="1"/>
  <c r="H165" i="14848" s="1"/>
  <c r="S573" i="14814"/>
  <c r="M408" i="14786" s="1"/>
  <c r="S593" i="14814"/>
  <c r="J97" i="14847"/>
  <c r="J100" i="14847" s="1"/>
  <c r="J101" i="14847" s="1"/>
  <c r="J103" i="14847" s="1"/>
  <c r="J189" i="14822"/>
  <c r="J192" i="14822" s="1"/>
  <c r="J193" i="14822" s="1"/>
  <c r="J195" i="14822" s="1"/>
  <c r="O100" i="14848"/>
  <c r="O101" i="14848" s="1"/>
  <c r="O103" i="14848" s="1"/>
  <c r="J120" i="14847"/>
  <c r="J127" i="14847" s="1"/>
  <c r="I192" i="14822"/>
  <c r="I193" i="14822" s="1"/>
  <c r="I195" i="14822" s="1"/>
  <c r="I162" i="14822"/>
  <c r="I163" i="14822" s="1"/>
  <c r="I165" i="14822" s="1"/>
  <c r="J162" i="14848"/>
  <c r="J163" i="14848" s="1"/>
  <c r="J165" i="14848" s="1"/>
  <c r="M162" i="14848"/>
  <c r="M163" i="14848" s="1"/>
  <c r="M165" i="14848" s="1"/>
  <c r="L100" i="14848"/>
  <c r="L101" i="14848" s="1"/>
  <c r="L103" i="14848" s="1"/>
  <c r="K167" i="14842"/>
  <c r="R575" i="14814"/>
  <c r="J100" i="14822"/>
  <c r="J101" i="14822" s="1"/>
  <c r="J103" i="14822" s="1"/>
  <c r="H190" i="14842"/>
  <c r="H191" i="14842" s="1"/>
  <c r="H192" i="14842" s="1"/>
  <c r="H193" i="14842" s="1"/>
  <c r="H195" i="14842" s="1"/>
  <c r="N98" i="14842"/>
  <c r="N99" i="14842" s="1"/>
  <c r="N100" i="14842" s="1"/>
  <c r="N101" i="14842" s="1"/>
  <c r="N103" i="14842" s="1"/>
  <c r="L118" i="14822"/>
  <c r="O577" i="14814" s="1"/>
  <c r="I412" i="14786" s="1"/>
  <c r="K100" i="14822"/>
  <c r="K101" i="14822" s="1"/>
  <c r="K103" i="14822" s="1"/>
  <c r="H192" i="14822"/>
  <c r="H193" i="14822" s="1"/>
  <c r="H195" i="14822" s="1"/>
  <c r="K192" i="14822"/>
  <c r="K193" i="14822" s="1"/>
  <c r="K195" i="14822" s="1"/>
  <c r="J120" i="14822"/>
  <c r="J128" i="14822" s="1"/>
  <c r="J129" i="14822" s="1"/>
  <c r="AJ112" i="14842"/>
  <c r="D118" i="14842"/>
  <c r="P569" i="14814" s="1"/>
  <c r="J404" i="14786" s="1"/>
  <c r="AB350" i="14814"/>
  <c r="AF350" i="14814" s="1"/>
  <c r="AI350" i="14814" s="1"/>
  <c r="O192" i="14848"/>
  <c r="O193" i="14848" s="1"/>
  <c r="O195" i="14848" s="1"/>
  <c r="G192" i="14847"/>
  <c r="G193" i="14847" s="1"/>
  <c r="G195" i="14847" s="1"/>
  <c r="AJ109" i="14842"/>
  <c r="AB342" i="14814"/>
  <c r="J192" i="14842"/>
  <c r="J193" i="14842" s="1"/>
  <c r="J195" i="14842" s="1"/>
  <c r="P116" i="14847"/>
  <c r="S116" i="14847" s="1"/>
  <c r="G100" i="14822"/>
  <c r="G101" i="14822" s="1"/>
  <c r="G103" i="14822" s="1"/>
  <c r="M100" i="14847"/>
  <c r="M101" i="14847" s="1"/>
  <c r="M103" i="14847" s="1"/>
  <c r="N189" i="14822"/>
  <c r="N192" i="14822" s="1"/>
  <c r="N193" i="14822" s="1"/>
  <c r="N195" i="14822" s="1"/>
  <c r="P116" i="14842"/>
  <c r="S116" i="14842" s="1"/>
  <c r="AB345" i="14814"/>
  <c r="AF345" i="14814" s="1"/>
  <c r="AI345" i="14814" s="1"/>
  <c r="O189" i="14822"/>
  <c r="O192" i="14822" s="1"/>
  <c r="O193" i="14822" s="1"/>
  <c r="O195" i="14822" s="1"/>
  <c r="P86" i="14822"/>
  <c r="E192" i="14848"/>
  <c r="E193" i="14848" s="1"/>
  <c r="E195" i="14848" s="1"/>
  <c r="K162" i="14822"/>
  <c r="K163" i="14822" s="1"/>
  <c r="K165" i="14822" s="1"/>
  <c r="M100" i="14842"/>
  <c r="M101" i="14842" s="1"/>
  <c r="M103" i="14842" s="1"/>
  <c r="AB358" i="14814"/>
  <c r="AF358" i="14814" s="1"/>
  <c r="AI358" i="14814" s="1"/>
  <c r="H100" i="14842"/>
  <c r="H101" i="14842" s="1"/>
  <c r="H103" i="14842" s="1"/>
  <c r="AB355" i="14814"/>
  <c r="G100" i="14848"/>
  <c r="G101" i="14848" s="1"/>
  <c r="G103" i="14848" s="1"/>
  <c r="J100" i="14848"/>
  <c r="J101" i="14848" s="1"/>
  <c r="J103" i="14848" s="1"/>
  <c r="P286" i="14814"/>
  <c r="P289" i="14814"/>
  <c r="P285" i="14814"/>
  <c r="P279" i="14814"/>
  <c r="P293" i="14814"/>
  <c r="P299" i="14814"/>
  <c r="P280" i="14814"/>
  <c r="P297" i="14814"/>
  <c r="P294" i="14814"/>
  <c r="P300" i="14814"/>
  <c r="P283" i="14814"/>
  <c r="P292" i="14814"/>
  <c r="P282" i="14814"/>
  <c r="P288" i="14814"/>
  <c r="P284" i="14814"/>
  <c r="P298" i="14814"/>
  <c r="P290" i="14814"/>
  <c r="P281" i="14814"/>
  <c r="P291" i="14814"/>
  <c r="P295" i="14814"/>
  <c r="P301" i="14814"/>
  <c r="P287" i="14814"/>
  <c r="P296" i="14814"/>
  <c r="P147" i="14848"/>
  <c r="D148" i="14848"/>
  <c r="E162" i="14822"/>
  <c r="E163" i="14822" s="1"/>
  <c r="E165" i="14822" s="1"/>
  <c r="D189" i="14847"/>
  <c r="D190" i="14847"/>
  <c r="D191" i="14847" s="1"/>
  <c r="D128" i="14822"/>
  <c r="D129" i="14822" s="1"/>
  <c r="D127" i="14822"/>
  <c r="P158" i="14822"/>
  <c r="E192" i="14822"/>
  <c r="E193" i="14822" s="1"/>
  <c r="E195" i="14822" s="1"/>
  <c r="O590" i="14814"/>
  <c r="E120" i="14847"/>
  <c r="R580" i="14814"/>
  <c r="O118" i="14822"/>
  <c r="P96" i="14822"/>
  <c r="S577" i="14814"/>
  <c r="M412" i="14786" s="1"/>
  <c r="L118" i="14842"/>
  <c r="AF116" i="14842"/>
  <c r="P96" i="14847"/>
  <c r="I98" i="14848"/>
  <c r="I99" i="14848" s="1"/>
  <c r="I97" i="14848"/>
  <c r="AB346" i="14814"/>
  <c r="AF346" i="14814" s="1"/>
  <c r="AI346" i="14814" s="1"/>
  <c r="P126" i="14822"/>
  <c r="S574" i="14814"/>
  <c r="M409" i="14786" s="1"/>
  <c r="AC116" i="14842"/>
  <c r="I118" i="14842"/>
  <c r="K118" i="14847"/>
  <c r="R596" i="14814"/>
  <c r="O574" i="14814"/>
  <c r="I409" i="14786" s="1"/>
  <c r="I120" i="14822"/>
  <c r="N118" i="14847"/>
  <c r="R599" i="14814"/>
  <c r="K100" i="14848"/>
  <c r="K101" i="14848" s="1"/>
  <c r="K103" i="14848" s="1"/>
  <c r="N136" i="14842"/>
  <c r="AH136" i="14842" s="1"/>
  <c r="AH126" i="14842"/>
  <c r="H120" i="14847"/>
  <c r="O593" i="14814"/>
  <c r="I160" i="14847"/>
  <c r="I161" i="14847" s="1"/>
  <c r="I159" i="14847"/>
  <c r="N159" i="14822"/>
  <c r="N160" i="14822"/>
  <c r="N161" i="14822" s="1"/>
  <c r="K120" i="14822"/>
  <c r="O576" i="14814"/>
  <c r="I411" i="14786" s="1"/>
  <c r="H136" i="14848"/>
  <c r="I189" i="14847"/>
  <c r="I190" i="14847"/>
  <c r="I191" i="14847" s="1"/>
  <c r="I159" i="14842"/>
  <c r="I160" i="14842"/>
  <c r="I161" i="14842" s="1"/>
  <c r="F120" i="14848"/>
  <c r="F137" i="14848" s="1"/>
  <c r="U591" i="14814" s="1"/>
  <c r="P591" i="14814"/>
  <c r="L98" i="14842"/>
  <c r="L99" i="14842" s="1"/>
  <c r="L97" i="14842"/>
  <c r="K135" i="14848"/>
  <c r="AB349" i="14814"/>
  <c r="AF349" i="14814" s="1"/>
  <c r="AI349" i="14814" s="1"/>
  <c r="AB126" i="14842"/>
  <c r="H136" i="14842"/>
  <c r="AB136" i="14842" s="1"/>
  <c r="AB344" i="14814"/>
  <c r="AF344" i="14814" s="1"/>
  <c r="AI344" i="14814" s="1"/>
  <c r="I136" i="14848"/>
  <c r="AB353" i="14814"/>
  <c r="AF353" i="14814" s="1"/>
  <c r="AI353" i="14814" s="1"/>
  <c r="E100" i="14842"/>
  <c r="E101" i="14842" s="1"/>
  <c r="E103" i="14842" s="1"/>
  <c r="F159" i="14847"/>
  <c r="F160" i="14847"/>
  <c r="F161" i="14847" s="1"/>
  <c r="AB341" i="14814"/>
  <c r="AF341" i="14814" s="1"/>
  <c r="AI341" i="14814" s="1"/>
  <c r="M136" i="14842"/>
  <c r="AG136" i="14842" s="1"/>
  <c r="AG126" i="14842"/>
  <c r="O570" i="14814"/>
  <c r="I405" i="14786" s="1"/>
  <c r="E120" i="14822"/>
  <c r="L160" i="14822"/>
  <c r="L161" i="14822" s="1"/>
  <c r="L159" i="14822"/>
  <c r="I160" i="14848"/>
  <c r="I161" i="14848" s="1"/>
  <c r="I159" i="14848"/>
  <c r="E162" i="14847"/>
  <c r="E163" i="14847" s="1"/>
  <c r="E165" i="14847" s="1"/>
  <c r="K190" i="14842"/>
  <c r="K191" i="14842" s="1"/>
  <c r="K189" i="14842"/>
  <c r="P88" i="14847"/>
  <c r="D90" i="14847"/>
  <c r="AB360" i="14814"/>
  <c r="AF360" i="14814" s="1"/>
  <c r="AI360" i="14814" s="1"/>
  <c r="P177" i="14848"/>
  <c r="D178" i="14848"/>
  <c r="G128" i="14847"/>
  <c r="G129" i="14847" s="1"/>
  <c r="G127" i="14847"/>
  <c r="G100" i="14847"/>
  <c r="G101" i="14847" s="1"/>
  <c r="G103" i="14847" s="1"/>
  <c r="AB354" i="14814"/>
  <c r="AF354" i="14814" s="1"/>
  <c r="AI354" i="14814" s="1"/>
  <c r="N189" i="14842"/>
  <c r="N190" i="14842"/>
  <c r="N191" i="14842" s="1"/>
  <c r="AJ113" i="14842"/>
  <c r="S113" i="14842"/>
  <c r="R594" i="14814"/>
  <c r="I118" i="14847"/>
  <c r="AH116" i="14842"/>
  <c r="S579" i="14814"/>
  <c r="M414" i="14786" s="1"/>
  <c r="N118" i="14842"/>
  <c r="K136" i="14842"/>
  <c r="AE136" i="14842" s="1"/>
  <c r="AE126" i="14842"/>
  <c r="AB343" i="14814"/>
  <c r="AF343" i="14814" s="1"/>
  <c r="AI343" i="14814" s="1"/>
  <c r="P158" i="14842"/>
  <c r="F136" i="14848"/>
  <c r="O98" i="14822"/>
  <c r="O99" i="14822" s="1"/>
  <c r="O97" i="14822"/>
  <c r="O159" i="14822"/>
  <c r="O160" i="14822"/>
  <c r="O161" i="14822" s="1"/>
  <c r="P86" i="14847"/>
  <c r="E136" i="14848"/>
  <c r="P147" i="14822"/>
  <c r="D148" i="14822"/>
  <c r="AC126" i="14842"/>
  <c r="I136" i="14842"/>
  <c r="AC136" i="14842" s="1"/>
  <c r="O589" i="14814"/>
  <c r="D120" i="14847"/>
  <c r="F162" i="14848"/>
  <c r="F163" i="14848" s="1"/>
  <c r="F165" i="14848" s="1"/>
  <c r="F97" i="14822"/>
  <c r="F98" i="14822"/>
  <c r="F99" i="14822" s="1"/>
  <c r="J137" i="14848"/>
  <c r="U595" i="14814" s="1"/>
  <c r="J136" i="14848"/>
  <c r="J162" i="14822"/>
  <c r="J163" i="14822" s="1"/>
  <c r="J165" i="14822" s="1"/>
  <c r="E120" i="14848"/>
  <c r="E137" i="14848" s="1"/>
  <c r="U590" i="14814" s="1"/>
  <c r="P590" i="14814"/>
  <c r="L97" i="14847"/>
  <c r="L98" i="14847"/>
  <c r="L99" i="14847" s="1"/>
  <c r="O162" i="14848"/>
  <c r="O163" i="14848" s="1"/>
  <c r="O165" i="14848" s="1"/>
  <c r="AB356" i="14814"/>
  <c r="AF356" i="14814" s="1"/>
  <c r="AI356" i="14814" s="1"/>
  <c r="S114" i="14842"/>
  <c r="AJ114" i="14842"/>
  <c r="F190" i="14822"/>
  <c r="F191" i="14822" s="1"/>
  <c r="F189" i="14822"/>
  <c r="I190" i="14848"/>
  <c r="I191" i="14848" s="1"/>
  <c r="I189" i="14848"/>
  <c r="N118" i="14848"/>
  <c r="S599" i="14814"/>
  <c r="M127" i="14847"/>
  <c r="M128" i="14847"/>
  <c r="M129" i="14847" s="1"/>
  <c r="L190" i="14847"/>
  <c r="L191" i="14847" s="1"/>
  <c r="L189" i="14847"/>
  <c r="I189" i="14842"/>
  <c r="I190" i="14842"/>
  <c r="I191" i="14842" s="1"/>
  <c r="I197" i="14842"/>
  <c r="P147" i="14842"/>
  <c r="D148" i="14842"/>
  <c r="G162" i="14822"/>
  <c r="G163" i="14822" s="1"/>
  <c r="G165" i="14822" s="1"/>
  <c r="K190" i="14847"/>
  <c r="K191" i="14847" s="1"/>
  <c r="K189" i="14847"/>
  <c r="O192" i="14847"/>
  <c r="O193" i="14847" s="1"/>
  <c r="O195" i="14847" s="1"/>
  <c r="N159" i="14847"/>
  <c r="N160" i="14847"/>
  <c r="N161" i="14847" s="1"/>
  <c r="I167" i="14848"/>
  <c r="O573" i="14814"/>
  <c r="I408" i="14786" s="1"/>
  <c r="H120" i="14822"/>
  <c r="P177" i="14842"/>
  <c r="D178" i="14842"/>
  <c r="AB362" i="14814"/>
  <c r="AF362" i="14814" s="1"/>
  <c r="AI362" i="14814" s="1"/>
  <c r="L98" i="14822"/>
  <c r="L99" i="14822" s="1"/>
  <c r="L97" i="14822"/>
  <c r="J100" i="14842"/>
  <c r="J101" i="14842" s="1"/>
  <c r="J103" i="14842" s="1"/>
  <c r="F192" i="14848"/>
  <c r="F193" i="14848" s="1"/>
  <c r="F195" i="14848" s="1"/>
  <c r="F160" i="14842"/>
  <c r="F161" i="14842" s="1"/>
  <c r="F159" i="14842"/>
  <c r="M120" i="14842"/>
  <c r="M137" i="14842" s="1"/>
  <c r="AG118" i="14842"/>
  <c r="P578" i="14814"/>
  <c r="J413" i="14786" s="1"/>
  <c r="P86" i="14842"/>
  <c r="F180" i="14847"/>
  <c r="P178" i="14847"/>
  <c r="P158" i="14848"/>
  <c r="K160" i="14847"/>
  <c r="K161" i="14847" s="1"/>
  <c r="K159" i="14847"/>
  <c r="R579" i="14814"/>
  <c r="N118" i="14822"/>
  <c r="P575" i="14814"/>
  <c r="J410" i="14786" s="1"/>
  <c r="AD118" i="14842"/>
  <c r="J120" i="14842"/>
  <c r="J137" i="14842" s="1"/>
  <c r="M120" i="14848"/>
  <c r="P598" i="14814"/>
  <c r="L190" i="14842"/>
  <c r="L191" i="14842" s="1"/>
  <c r="L189" i="14842"/>
  <c r="N159" i="14842"/>
  <c r="N160" i="14842"/>
  <c r="N161" i="14842" s="1"/>
  <c r="E162" i="14842"/>
  <c r="E163" i="14842" s="1"/>
  <c r="E165" i="14842" s="1"/>
  <c r="AI116" i="14842"/>
  <c r="S580" i="14814"/>
  <c r="M415" i="14786" s="1"/>
  <c r="O118" i="14842"/>
  <c r="J192" i="14848"/>
  <c r="J193" i="14848" s="1"/>
  <c r="J195" i="14848" s="1"/>
  <c r="Y126" i="14842"/>
  <c r="E136" i="14842"/>
  <c r="Y136" i="14842" s="1"/>
  <c r="N97" i="14848"/>
  <c r="N98" i="14848"/>
  <c r="N99" i="14848" s="1"/>
  <c r="P572" i="14814"/>
  <c r="J407" i="14786" s="1"/>
  <c r="AA118" i="14842"/>
  <c r="G120" i="14842"/>
  <c r="J162" i="14842"/>
  <c r="J163" i="14842" s="1"/>
  <c r="J165" i="14842" s="1"/>
  <c r="M127" i="14822"/>
  <c r="M128" i="14822"/>
  <c r="M129" i="14822" s="1"/>
  <c r="M192" i="14822"/>
  <c r="M193" i="14822" s="1"/>
  <c r="M195" i="14822" s="1"/>
  <c r="P126" i="14847"/>
  <c r="S125" i="14842"/>
  <c r="AJ125" i="14842"/>
  <c r="P150" i="14847"/>
  <c r="D152" i="14847"/>
  <c r="P88" i="14822"/>
  <c r="D90" i="14822"/>
  <c r="P597" i="14814"/>
  <c r="L120" i="14848"/>
  <c r="E97" i="14848"/>
  <c r="E100" i="14848" s="1"/>
  <c r="E101" i="14848" s="1"/>
  <c r="E103" i="14848" s="1"/>
  <c r="F159" i="14822"/>
  <c r="F160" i="14822"/>
  <c r="F161" i="14822" s="1"/>
  <c r="R571" i="14814"/>
  <c r="F118" i="14822"/>
  <c r="P116" i="14822"/>
  <c r="S116" i="14822" s="1"/>
  <c r="P592" i="14814"/>
  <c r="G120" i="14848"/>
  <c r="AA126" i="14842"/>
  <c r="G136" i="14842"/>
  <c r="AA136" i="14842" s="1"/>
  <c r="E120" i="14842"/>
  <c r="Y118" i="14842"/>
  <c r="P570" i="14814"/>
  <c r="J405" i="14786" s="1"/>
  <c r="P96" i="14842"/>
  <c r="G128" i="14822"/>
  <c r="G129" i="14822" s="1"/>
  <c r="G127" i="14822"/>
  <c r="Z116" i="14842"/>
  <c r="S571" i="14814"/>
  <c r="M406" i="14786" s="1"/>
  <c r="F118" i="14842"/>
  <c r="AB361" i="14814"/>
  <c r="AF361" i="14814" s="1"/>
  <c r="AI361" i="14814" s="1"/>
  <c r="P88" i="14848"/>
  <c r="D90" i="14848"/>
  <c r="L189" i="14822"/>
  <c r="L190" i="14822"/>
  <c r="L191" i="14822" s="1"/>
  <c r="P188" i="14848"/>
  <c r="K98" i="14842"/>
  <c r="K99" i="14842" s="1"/>
  <c r="K97" i="14842"/>
  <c r="P188" i="14847"/>
  <c r="P126" i="14842"/>
  <c r="D136" i="14842"/>
  <c r="X136" i="14842" s="1"/>
  <c r="X126" i="14842"/>
  <c r="F190" i="14842"/>
  <c r="F191" i="14842" s="1"/>
  <c r="F189" i="14842"/>
  <c r="E162" i="14848"/>
  <c r="E163" i="14848" s="1"/>
  <c r="E165" i="14848" s="1"/>
  <c r="O160" i="14842"/>
  <c r="O161" i="14842" s="1"/>
  <c r="O159" i="14842"/>
  <c r="P600" i="14814"/>
  <c r="O120" i="14848"/>
  <c r="O137" i="14848" s="1"/>
  <c r="U600" i="14814" s="1"/>
  <c r="P96" i="14848"/>
  <c r="S594" i="14814"/>
  <c r="I118" i="14848"/>
  <c r="K97" i="14847"/>
  <c r="K98" i="14847"/>
  <c r="K99" i="14847" s="1"/>
  <c r="Z126" i="14842"/>
  <c r="F136" i="14842"/>
  <c r="Z136" i="14842" s="1"/>
  <c r="P177" i="14822"/>
  <c r="D178" i="14822"/>
  <c r="AE116" i="14842"/>
  <c r="S576" i="14814"/>
  <c r="M411" i="14786" s="1"/>
  <c r="K118" i="14842"/>
  <c r="O120" i="14847"/>
  <c r="O600" i="14814"/>
  <c r="I100" i="14822"/>
  <c r="I101" i="14822" s="1"/>
  <c r="I103" i="14822" s="1"/>
  <c r="J128" i="14848"/>
  <c r="J129" i="14848" s="1"/>
  <c r="J127" i="14848"/>
  <c r="J135" i="14848"/>
  <c r="N160" i="14848"/>
  <c r="N161" i="14848" s="1"/>
  <c r="N159" i="14848"/>
  <c r="P86" i="14848"/>
  <c r="I98" i="14847"/>
  <c r="I99" i="14847" s="1"/>
  <c r="I97" i="14847"/>
  <c r="D136" i="14848"/>
  <c r="P126" i="14848"/>
  <c r="E192" i="14842"/>
  <c r="E193" i="14842" s="1"/>
  <c r="E195" i="14842" s="1"/>
  <c r="M100" i="14822"/>
  <c r="M101" i="14822" s="1"/>
  <c r="M103" i="14822" s="1"/>
  <c r="AF126" i="14842"/>
  <c r="L136" i="14842"/>
  <c r="AF136" i="14842" s="1"/>
  <c r="O190" i="14842"/>
  <c r="O191" i="14842" s="1"/>
  <c r="O189" i="14842"/>
  <c r="P116" i="14848"/>
  <c r="S116" i="14848" s="1"/>
  <c r="N98" i="14822"/>
  <c r="N99" i="14822" s="1"/>
  <c r="N97" i="14822"/>
  <c r="F97" i="14842"/>
  <c r="F98" i="14842"/>
  <c r="F99" i="14842" s="1"/>
  <c r="M162" i="14822"/>
  <c r="M163" i="14822" s="1"/>
  <c r="M165" i="14822" s="1"/>
  <c r="O136" i="14848"/>
  <c r="P148" i="14847"/>
  <c r="I98" i="14842"/>
  <c r="I99" i="14842" s="1"/>
  <c r="I97" i="14842"/>
  <c r="P188" i="14842"/>
  <c r="P88" i="14842"/>
  <c r="D90" i="14842"/>
  <c r="N98" i="14847"/>
  <c r="N99" i="14847" s="1"/>
  <c r="N97" i="14847"/>
  <c r="N189" i="14848"/>
  <c r="N190" i="14848"/>
  <c r="N191" i="14848" s="1"/>
  <c r="N189" i="14847"/>
  <c r="N190" i="14847"/>
  <c r="N191" i="14847" s="1"/>
  <c r="R591" i="14814"/>
  <c r="F118" i="14847"/>
  <c r="AB348" i="14814"/>
  <c r="AF348" i="14814" s="1"/>
  <c r="AI348" i="14814" s="1"/>
  <c r="I167" i="14842"/>
  <c r="J136" i="14842"/>
  <c r="AD136" i="14842" s="1"/>
  <c r="AD126" i="14842"/>
  <c r="O98" i="14842"/>
  <c r="O99" i="14842" s="1"/>
  <c r="O97" i="14842"/>
  <c r="O100" i="14847"/>
  <c r="O101" i="14847" s="1"/>
  <c r="O103" i="14847" s="1"/>
  <c r="E100" i="14822"/>
  <c r="E101" i="14822" s="1"/>
  <c r="E103" i="14822" s="1"/>
  <c r="Q278" i="14814"/>
  <c r="R278" i="14814" s="1"/>
  <c r="S278" i="14814" s="1"/>
  <c r="T278" i="14814" s="1"/>
  <c r="AA278" i="14814"/>
  <c r="AC278" i="14814" s="1"/>
  <c r="O293" i="14814"/>
  <c r="AB278" i="14814"/>
  <c r="O279" i="14814"/>
  <c r="O284" i="14814"/>
  <c r="O286" i="14814"/>
  <c r="O283" i="14814"/>
  <c r="O287" i="14814"/>
  <c r="O280" i="14814"/>
  <c r="O295" i="14814"/>
  <c r="O298" i="14814"/>
  <c r="O299" i="14814"/>
  <c r="O290" i="14814"/>
  <c r="O292" i="14814"/>
  <c r="O294" i="14814"/>
  <c r="AS270" i="14814"/>
  <c r="O297" i="14814"/>
  <c r="AD278" i="14814"/>
  <c r="AE278" i="14814" s="1"/>
  <c r="O281" i="14814"/>
  <c r="O289" i="14814"/>
  <c r="O291" i="14814"/>
  <c r="O285" i="14814"/>
  <c r="O300" i="14814"/>
  <c r="O296" i="14814"/>
  <c r="O288" i="14814"/>
  <c r="O282" i="14814"/>
  <c r="O301" i="14814"/>
  <c r="AB359" i="14814"/>
  <c r="L160" i="14842"/>
  <c r="L161" i="14842" s="1"/>
  <c r="L159" i="14842"/>
  <c r="N136" i="14848"/>
  <c r="AB340" i="14814"/>
  <c r="AF340" i="14814" s="1"/>
  <c r="AI340" i="14814" s="1"/>
  <c r="P188" i="14822"/>
  <c r="R597" i="14814"/>
  <c r="L118" i="14847"/>
  <c r="AJ111" i="14842"/>
  <c r="S111" i="14842"/>
  <c r="F97" i="14847"/>
  <c r="F98" i="14847"/>
  <c r="F99" i="14847" s="1"/>
  <c r="K128" i="14848" l="1"/>
  <c r="K129" i="14848" s="1"/>
  <c r="K137" i="14848"/>
  <c r="U596" i="14814" s="1"/>
  <c r="AG342" i="14814"/>
  <c r="AJ342" i="14814" s="1"/>
  <c r="AK342" i="14814" s="1"/>
  <c r="AL342" i="14814" s="1"/>
  <c r="AG360" i="14814"/>
  <c r="AJ360" i="14814" s="1"/>
  <c r="AK360" i="14814" s="1"/>
  <c r="AL360" i="14814" s="1"/>
  <c r="G192" i="14848"/>
  <c r="G193" i="14848" s="1"/>
  <c r="G195" i="14848" s="1"/>
  <c r="AF359" i="14814"/>
  <c r="AI359" i="14814" s="1"/>
  <c r="R345" i="14814"/>
  <c r="S345" i="14814" s="1"/>
  <c r="T346" i="14814" s="1"/>
  <c r="U339" i="14814"/>
  <c r="AF342" i="14814"/>
  <c r="AI342" i="14814" s="1"/>
  <c r="AC357" i="14814"/>
  <c r="AG357" i="14814" s="1"/>
  <c r="AJ357" i="14814" s="1"/>
  <c r="AK357" i="14814" s="1"/>
  <c r="AL357" i="14814" s="1"/>
  <c r="AM357" i="14814" s="1"/>
  <c r="AG355" i="14814"/>
  <c r="AJ355" i="14814" s="1"/>
  <c r="AK355" i="14814" s="1"/>
  <c r="AL355" i="14814" s="1"/>
  <c r="AC361" i="14814"/>
  <c r="AG361" i="14814" s="1"/>
  <c r="AJ361" i="14814" s="1"/>
  <c r="AK361" i="14814" s="1"/>
  <c r="AL361" i="14814" s="1"/>
  <c r="AM361" i="14814" s="1"/>
  <c r="R356" i="14814"/>
  <c r="S356" i="14814" s="1"/>
  <c r="T357" i="14814" s="1"/>
  <c r="R340" i="14814"/>
  <c r="S340" i="14814" s="1"/>
  <c r="T341" i="14814" s="1"/>
  <c r="AF355" i="14814"/>
  <c r="AI355" i="14814" s="1"/>
  <c r="AG359" i="14814"/>
  <c r="AJ359" i="14814" s="1"/>
  <c r="AK359" i="14814" s="1"/>
  <c r="AL359" i="14814" s="1"/>
  <c r="AF352" i="14814"/>
  <c r="AI352" i="14814" s="1"/>
  <c r="R351" i="14814"/>
  <c r="S351" i="14814" s="1"/>
  <c r="T352" i="14814" s="1"/>
  <c r="R353" i="14814"/>
  <c r="S353" i="14814" s="1"/>
  <c r="T354" i="14814" s="1"/>
  <c r="AC348" i="14814"/>
  <c r="AG348" i="14814" s="1"/>
  <c r="AJ348" i="14814" s="1"/>
  <c r="AK348" i="14814" s="1"/>
  <c r="AL348" i="14814" s="1"/>
  <c r="R350" i="14814"/>
  <c r="S350" i="14814" s="1"/>
  <c r="T351" i="14814" s="1"/>
  <c r="AC351" i="14814"/>
  <c r="AG351" i="14814" s="1"/>
  <c r="AJ351" i="14814" s="1"/>
  <c r="AK351" i="14814" s="1"/>
  <c r="AL351" i="14814" s="1"/>
  <c r="AC352" i="14814"/>
  <c r="AG352" i="14814" s="1"/>
  <c r="AJ352" i="14814" s="1"/>
  <c r="AK352" i="14814" s="1"/>
  <c r="AL352" i="14814" s="1"/>
  <c r="R347" i="14814"/>
  <c r="S347" i="14814" s="1"/>
  <c r="T348" i="14814" s="1"/>
  <c r="AC347" i="14814"/>
  <c r="AG347" i="14814" s="1"/>
  <c r="AJ347" i="14814" s="1"/>
  <c r="AK347" i="14814" s="1"/>
  <c r="AL347" i="14814" s="1"/>
  <c r="AC341" i="14814"/>
  <c r="AG341" i="14814" s="1"/>
  <c r="AJ341" i="14814" s="1"/>
  <c r="AK341" i="14814" s="1"/>
  <c r="AL341" i="14814" s="1"/>
  <c r="AM341" i="14814" s="1"/>
  <c r="AM339" i="14814"/>
  <c r="AC354" i="14814"/>
  <c r="AG354" i="14814" s="1"/>
  <c r="AJ354" i="14814" s="1"/>
  <c r="AK354" i="14814" s="1"/>
  <c r="AL354" i="14814" s="1"/>
  <c r="AM354" i="14814" s="1"/>
  <c r="R352" i="14814"/>
  <c r="S352" i="14814" s="1"/>
  <c r="T353" i="14814" s="1"/>
  <c r="R355" i="14814"/>
  <c r="S355" i="14814" s="1"/>
  <c r="T356" i="14814" s="1"/>
  <c r="R342" i="14814"/>
  <c r="S342" i="14814" s="1"/>
  <c r="T343" i="14814" s="1"/>
  <c r="AC343" i="14814"/>
  <c r="AG343" i="14814" s="1"/>
  <c r="AJ343" i="14814" s="1"/>
  <c r="AK343" i="14814" s="1"/>
  <c r="AL343" i="14814" s="1"/>
  <c r="AM343" i="14814" s="1"/>
  <c r="R349" i="14814"/>
  <c r="S349" i="14814" s="1"/>
  <c r="T350" i="14814" s="1"/>
  <c r="R346" i="14814"/>
  <c r="S346" i="14814" s="1"/>
  <c r="T347" i="14814" s="1"/>
  <c r="R359" i="14814"/>
  <c r="S359" i="14814" s="1"/>
  <c r="T360" i="14814" s="1"/>
  <c r="R358" i="14814"/>
  <c r="S358" i="14814" s="1"/>
  <c r="T359" i="14814" s="1"/>
  <c r="AC344" i="14814"/>
  <c r="AG344" i="14814" s="1"/>
  <c r="AJ344" i="14814" s="1"/>
  <c r="AK344" i="14814" s="1"/>
  <c r="AL344" i="14814" s="1"/>
  <c r="AM344" i="14814" s="1"/>
  <c r="R348" i="14814"/>
  <c r="S348" i="14814" s="1"/>
  <c r="T349" i="14814" s="1"/>
  <c r="R360" i="14814"/>
  <c r="S360" i="14814" s="1"/>
  <c r="T361" i="14814" s="1"/>
  <c r="T340" i="14814"/>
  <c r="T339" i="14814"/>
  <c r="R362" i="14814"/>
  <c r="S362" i="14814" s="1"/>
  <c r="AM362" i="14814" s="1"/>
  <c r="L162" i="14842"/>
  <c r="L163" i="14842" s="1"/>
  <c r="L165" i="14842" s="1"/>
  <c r="D130" i="14822"/>
  <c r="J569" i="14814" s="1"/>
  <c r="L569" i="14814" s="1"/>
  <c r="F404" i="14786" s="1"/>
  <c r="F192" i="14842"/>
  <c r="F193" i="14842" s="1"/>
  <c r="F195" i="14842" s="1"/>
  <c r="O100" i="14822"/>
  <c r="O101" i="14822" s="1"/>
  <c r="O103" i="14822" s="1"/>
  <c r="I162" i="14848"/>
  <c r="I163" i="14848" s="1"/>
  <c r="I165" i="14848" s="1"/>
  <c r="N100" i="14847"/>
  <c r="N101" i="14847" s="1"/>
  <c r="N103" i="14847" s="1"/>
  <c r="K100" i="14842"/>
  <c r="K101" i="14842" s="1"/>
  <c r="K103" i="14842" s="1"/>
  <c r="K162" i="14847"/>
  <c r="K163" i="14847" s="1"/>
  <c r="K165" i="14847" s="1"/>
  <c r="N100" i="14822"/>
  <c r="N101" i="14822" s="1"/>
  <c r="N103" i="14822" s="1"/>
  <c r="J130" i="14848"/>
  <c r="J131" i="14848" s="1"/>
  <c r="J133" i="14848" s="1"/>
  <c r="I162" i="14847"/>
  <c r="I163" i="14847" s="1"/>
  <c r="I165" i="14847" s="1"/>
  <c r="L100" i="14822"/>
  <c r="L101" i="14822" s="1"/>
  <c r="L103" i="14822" s="1"/>
  <c r="F192" i="14822"/>
  <c r="F193" i="14822" s="1"/>
  <c r="F195" i="14822" s="1"/>
  <c r="H192" i="14848"/>
  <c r="H193" i="14848" s="1"/>
  <c r="H195" i="14848" s="1"/>
  <c r="K192" i="14847"/>
  <c r="K193" i="14847" s="1"/>
  <c r="K195" i="14847" s="1"/>
  <c r="P573" i="14814"/>
  <c r="J408" i="14786" s="1"/>
  <c r="D137" i="14848"/>
  <c r="U589" i="14814" s="1"/>
  <c r="N162" i="14848"/>
  <c r="N163" i="14848" s="1"/>
  <c r="N165" i="14848" s="1"/>
  <c r="H120" i="14842"/>
  <c r="H137" i="14842" s="1"/>
  <c r="AB137" i="14842" s="1"/>
  <c r="D135" i="14848"/>
  <c r="J128" i="14847"/>
  <c r="J129" i="14847" s="1"/>
  <c r="J130" i="14847" s="1"/>
  <c r="H128" i="14848"/>
  <c r="H129" i="14848" s="1"/>
  <c r="H130" i="14848" s="1"/>
  <c r="H131" i="14848" s="1"/>
  <c r="H133" i="14848" s="1"/>
  <c r="J127" i="14822"/>
  <c r="J130" i="14822" s="1"/>
  <c r="J575" i="14814" s="1"/>
  <c r="D410" i="14786" s="1"/>
  <c r="G130" i="14822"/>
  <c r="J572" i="14814" s="1"/>
  <c r="D407" i="14786" s="1"/>
  <c r="O100" i="14842"/>
  <c r="O101" i="14842" s="1"/>
  <c r="O103" i="14842" s="1"/>
  <c r="D128" i="14848"/>
  <c r="D129" i="14848" s="1"/>
  <c r="D130" i="14848" s="1"/>
  <c r="D131" i="14848" s="1"/>
  <c r="D133" i="14848" s="1"/>
  <c r="F162" i="14842"/>
  <c r="F163" i="14842" s="1"/>
  <c r="F165" i="14842" s="1"/>
  <c r="N100" i="14848"/>
  <c r="N101" i="14848" s="1"/>
  <c r="N103" i="14848" s="1"/>
  <c r="H135" i="14848"/>
  <c r="I100" i="14847"/>
  <c r="I101" i="14847" s="1"/>
  <c r="I103" i="14847" s="1"/>
  <c r="O162" i="14842"/>
  <c r="O163" i="14842" s="1"/>
  <c r="O165" i="14842" s="1"/>
  <c r="H137" i="14848"/>
  <c r="U593" i="14814" s="1"/>
  <c r="Q593" i="14814" s="1"/>
  <c r="D120" i="14842"/>
  <c r="D135" i="14842" s="1"/>
  <c r="X135" i="14842" s="1"/>
  <c r="X118" i="14842"/>
  <c r="L162" i="14822"/>
  <c r="L163" i="14822" s="1"/>
  <c r="L165" i="14822" s="1"/>
  <c r="L120" i="14822"/>
  <c r="L128" i="14822" s="1"/>
  <c r="L129" i="14822" s="1"/>
  <c r="L192" i="14842"/>
  <c r="L193" i="14842" s="1"/>
  <c r="L195" i="14842" s="1"/>
  <c r="K192" i="14842"/>
  <c r="K193" i="14842" s="1"/>
  <c r="K195" i="14842" s="1"/>
  <c r="L100" i="14842"/>
  <c r="L101" i="14842" s="1"/>
  <c r="L103" i="14842" s="1"/>
  <c r="F162" i="14822"/>
  <c r="F163" i="14822" s="1"/>
  <c r="F165" i="14822" s="1"/>
  <c r="AJ116" i="14842"/>
  <c r="O192" i="14842"/>
  <c r="O193" i="14842" s="1"/>
  <c r="O195" i="14842" s="1"/>
  <c r="N162" i="14822"/>
  <c r="N163" i="14822" s="1"/>
  <c r="N165" i="14822" s="1"/>
  <c r="P118" i="14842"/>
  <c r="S118" i="14842" s="1"/>
  <c r="L192" i="14822"/>
  <c r="L193" i="14822" s="1"/>
  <c r="L195" i="14822" s="1"/>
  <c r="L100" i="14847"/>
  <c r="L101" i="14847" s="1"/>
  <c r="L103" i="14847" s="1"/>
  <c r="N192" i="14847"/>
  <c r="N193" i="14847" s="1"/>
  <c r="N195" i="14847" s="1"/>
  <c r="K130" i="14848"/>
  <c r="K131" i="14848" s="1"/>
  <c r="K133" i="14848" s="1"/>
  <c r="T591" i="14814"/>
  <c r="U575" i="14814"/>
  <c r="AD137" i="14842"/>
  <c r="Q590" i="14814"/>
  <c r="T590" i="14814"/>
  <c r="AG137" i="14842"/>
  <c r="U578" i="14814"/>
  <c r="I127" i="14822"/>
  <c r="I128" i="14822"/>
  <c r="I129" i="14822" s="1"/>
  <c r="P577" i="14814"/>
  <c r="J412" i="14786" s="1"/>
  <c r="L120" i="14842"/>
  <c r="AF118" i="14842"/>
  <c r="G130" i="14847"/>
  <c r="P152" i="14847"/>
  <c r="D159" i="14847"/>
  <c r="D160" i="14847"/>
  <c r="D161" i="14847" s="1"/>
  <c r="M130" i="14847"/>
  <c r="O128" i="14847"/>
  <c r="O129" i="14847" s="1"/>
  <c r="O127" i="14847"/>
  <c r="T595" i="14814"/>
  <c r="Q595" i="14814"/>
  <c r="AE118" i="14842"/>
  <c r="K120" i="14842"/>
  <c r="P576" i="14814"/>
  <c r="J411" i="14786" s="1"/>
  <c r="AA288" i="14814"/>
  <c r="AC288" i="14814" s="1"/>
  <c r="Q288" i="14814"/>
  <c r="R288" i="14814" s="1"/>
  <c r="S288" i="14814" s="1"/>
  <c r="T288" i="14814" s="1"/>
  <c r="AD288" i="14814"/>
  <c r="AE288" i="14814" s="1"/>
  <c r="N192" i="14848"/>
  <c r="N193" i="14848" s="1"/>
  <c r="N195" i="14848" s="1"/>
  <c r="G135" i="14842"/>
  <c r="AA135" i="14842" s="1"/>
  <c r="AA120" i="14842"/>
  <c r="G127" i="14842"/>
  <c r="G128" i="14842"/>
  <c r="F100" i="14822"/>
  <c r="F101" i="14822" s="1"/>
  <c r="F103" i="14822" s="1"/>
  <c r="AD300" i="14814"/>
  <c r="AE300" i="14814" s="1"/>
  <c r="Q300" i="14814"/>
  <c r="R300" i="14814" s="1"/>
  <c r="S300" i="14814" s="1"/>
  <c r="T300" i="14814" s="1"/>
  <c r="AA300" i="14814"/>
  <c r="AC300" i="14814" s="1"/>
  <c r="AD120" i="14842"/>
  <c r="J135" i="14842"/>
  <c r="AD135" i="14842" s="1"/>
  <c r="J128" i="14842"/>
  <c r="J127" i="14842"/>
  <c r="P178" i="14842"/>
  <c r="D180" i="14842"/>
  <c r="P579" i="14814"/>
  <c r="J414" i="14786" s="1"/>
  <c r="AH118" i="14842"/>
  <c r="N120" i="14842"/>
  <c r="AD285" i="14814"/>
  <c r="AE285" i="14814" s="1"/>
  <c r="AA285" i="14814"/>
  <c r="AC285" i="14814" s="1"/>
  <c r="AG285" i="14814" s="1"/>
  <c r="AJ285" i="14814" s="1"/>
  <c r="AK285" i="14814" s="1"/>
  <c r="AL285" i="14814" s="1"/>
  <c r="Q285" i="14814"/>
  <c r="R285" i="14814" s="1"/>
  <c r="S285" i="14814" s="1"/>
  <c r="T285" i="14814" s="1"/>
  <c r="AD287" i="14814"/>
  <c r="AE287" i="14814" s="1"/>
  <c r="AA287" i="14814"/>
  <c r="AC287" i="14814" s="1"/>
  <c r="AG287" i="14814" s="1"/>
  <c r="AJ287" i="14814" s="1"/>
  <c r="AK287" i="14814" s="1"/>
  <c r="AL287" i="14814" s="1"/>
  <c r="Q287" i="14814"/>
  <c r="R287" i="14814" s="1"/>
  <c r="S287" i="14814" s="1"/>
  <c r="T287" i="14814" s="1"/>
  <c r="AB287" i="14814"/>
  <c r="AF287" i="14814" s="1"/>
  <c r="AI287" i="14814" s="1"/>
  <c r="P178" i="14822"/>
  <c r="D180" i="14822"/>
  <c r="P594" i="14814"/>
  <c r="I120" i="14848"/>
  <c r="P118" i="14848"/>
  <c r="S118" i="14848" s="1"/>
  <c r="O571" i="14814"/>
  <c r="I406" i="14786" s="1"/>
  <c r="F120" i="14822"/>
  <c r="P118" i="14822"/>
  <c r="S118" i="14822" s="1"/>
  <c r="P148" i="14842"/>
  <c r="D150" i="14842"/>
  <c r="D180" i="14848"/>
  <c r="P178" i="14848"/>
  <c r="H127" i="14847"/>
  <c r="H128" i="14847"/>
  <c r="H129" i="14847" s="1"/>
  <c r="AD291" i="14814"/>
  <c r="AE291" i="14814" s="1"/>
  <c r="Q291" i="14814"/>
  <c r="R291" i="14814" s="1"/>
  <c r="S291" i="14814" s="1"/>
  <c r="T291" i="14814" s="1"/>
  <c r="AA291" i="14814"/>
  <c r="AC291" i="14814" s="1"/>
  <c r="AA283" i="14814"/>
  <c r="AC283" i="14814" s="1"/>
  <c r="AD283" i="14814"/>
  <c r="AE283" i="14814" s="1"/>
  <c r="Q283" i="14814"/>
  <c r="R283" i="14814" s="1"/>
  <c r="S283" i="14814" s="1"/>
  <c r="T283" i="14814" s="1"/>
  <c r="H128" i="14822"/>
  <c r="H129" i="14822" s="1"/>
  <c r="H127" i="14822"/>
  <c r="F162" i="14847"/>
  <c r="F163" i="14847" s="1"/>
  <c r="F165" i="14847" s="1"/>
  <c r="I192" i="14847"/>
  <c r="I193" i="14847" s="1"/>
  <c r="I195" i="14847" s="1"/>
  <c r="O120" i="14822"/>
  <c r="O580" i="14814"/>
  <c r="I415" i="14786" s="1"/>
  <c r="Q289" i="14814"/>
  <c r="R289" i="14814" s="1"/>
  <c r="S289" i="14814" s="1"/>
  <c r="T289" i="14814" s="1"/>
  <c r="AD289" i="14814"/>
  <c r="AE289" i="14814" s="1"/>
  <c r="AA289" i="14814"/>
  <c r="AC289" i="14814" s="1"/>
  <c r="Q286" i="14814"/>
  <c r="AD286" i="14814"/>
  <c r="AE286" i="14814" s="1"/>
  <c r="AA286" i="14814"/>
  <c r="AC286" i="14814" s="1"/>
  <c r="AG286" i="14814" s="1"/>
  <c r="AJ286" i="14814" s="1"/>
  <c r="AK286" i="14814" s="1"/>
  <c r="AL286" i="14814" s="1"/>
  <c r="O579" i="14814"/>
  <c r="I414" i="14786" s="1"/>
  <c r="N120" i="14822"/>
  <c r="P599" i="14814"/>
  <c r="N120" i="14848"/>
  <c r="O594" i="14814"/>
  <c r="I120" i="14847"/>
  <c r="I100" i="14848"/>
  <c r="I101" i="14848" s="1"/>
  <c r="I103" i="14848" s="1"/>
  <c r="Q281" i="14814"/>
  <c r="R281" i="14814" s="1"/>
  <c r="S281" i="14814" s="1"/>
  <c r="T281" i="14814" s="1"/>
  <c r="AD281" i="14814"/>
  <c r="AE281" i="14814" s="1"/>
  <c r="AA281" i="14814"/>
  <c r="AC281" i="14814" s="1"/>
  <c r="AG281" i="14814" s="1"/>
  <c r="AJ281" i="14814" s="1"/>
  <c r="AK281" i="14814" s="1"/>
  <c r="AL281" i="14814" s="1"/>
  <c r="Q284" i="14814"/>
  <c r="R284" i="14814" s="1"/>
  <c r="S284" i="14814" s="1"/>
  <c r="T284" i="14814" s="1"/>
  <c r="AD284" i="14814"/>
  <c r="AE284" i="14814" s="1"/>
  <c r="AA284" i="14814"/>
  <c r="AC284" i="14814" s="1"/>
  <c r="AG284" i="14814" s="1"/>
  <c r="AJ284" i="14814" s="1"/>
  <c r="AK284" i="14814" s="1"/>
  <c r="AL284" i="14814" s="1"/>
  <c r="D98" i="14842"/>
  <c r="D99" i="14842" s="1"/>
  <c r="D97" i="14842"/>
  <c r="P90" i="14842"/>
  <c r="F100" i="14842"/>
  <c r="F101" i="14842" s="1"/>
  <c r="F103" i="14842" s="1"/>
  <c r="S126" i="14842"/>
  <c r="AJ126" i="14842"/>
  <c r="P136" i="14842"/>
  <c r="AG120" i="14842"/>
  <c r="M135" i="14842"/>
  <c r="AG135" i="14842" s="1"/>
  <c r="M127" i="14842"/>
  <c r="M128" i="14842"/>
  <c r="I192" i="14848"/>
  <c r="I193" i="14848" s="1"/>
  <c r="I195" i="14848" s="1"/>
  <c r="D97" i="14847"/>
  <c r="D98" i="14847"/>
  <c r="D99" i="14847" s="1"/>
  <c r="P90" i="14847"/>
  <c r="O596" i="14814"/>
  <c r="Q596" i="14814" s="1"/>
  <c r="K120" i="14847"/>
  <c r="D192" i="14847"/>
  <c r="D193" i="14847" s="1"/>
  <c r="R298" i="14814"/>
  <c r="S298" i="14814" s="1"/>
  <c r="T298" i="14814" s="1"/>
  <c r="D127" i="14847"/>
  <c r="D128" i="14847"/>
  <c r="D129" i="14847" s="1"/>
  <c r="AC118" i="14842"/>
  <c r="P574" i="14814"/>
  <c r="J409" i="14786" s="1"/>
  <c r="I120" i="14842"/>
  <c r="AD301" i="14814"/>
  <c r="AE301" i="14814" s="1"/>
  <c r="AA301" i="14814"/>
  <c r="AC301" i="14814" s="1"/>
  <c r="AG301" i="14814" s="1"/>
  <c r="AJ301" i="14814" s="1"/>
  <c r="AK301" i="14814" s="1"/>
  <c r="AL301" i="14814" s="1"/>
  <c r="Q301" i="14814"/>
  <c r="D98" i="14822"/>
  <c r="D99" i="14822" s="1"/>
  <c r="D97" i="14822"/>
  <c r="P90" i="14822"/>
  <c r="R286" i="14814"/>
  <c r="S286" i="14814" s="1"/>
  <c r="T286" i="14814" s="1"/>
  <c r="F135" i="14848"/>
  <c r="F128" i="14848"/>
  <c r="F129" i="14848" s="1"/>
  <c r="F127" i="14848"/>
  <c r="AD298" i="14814"/>
  <c r="AE298" i="14814" s="1"/>
  <c r="AA298" i="14814"/>
  <c r="AC298" i="14814" s="1"/>
  <c r="AG298" i="14814" s="1"/>
  <c r="AJ298" i="14814" s="1"/>
  <c r="AK298" i="14814" s="1"/>
  <c r="AL298" i="14814" s="1"/>
  <c r="Q298" i="14814"/>
  <c r="P580" i="14814"/>
  <c r="J415" i="14786" s="1"/>
  <c r="AI118" i="14842"/>
  <c r="O120" i="14842"/>
  <c r="Q280" i="14814"/>
  <c r="R280" i="14814" s="1"/>
  <c r="S280" i="14814" s="1"/>
  <c r="T280" i="14814" s="1"/>
  <c r="AA280" i="14814"/>
  <c r="AC280" i="14814" s="1"/>
  <c r="AD280" i="14814"/>
  <c r="AE280" i="14814" s="1"/>
  <c r="E128" i="14847"/>
  <c r="E129" i="14847" s="1"/>
  <c r="E127" i="14847"/>
  <c r="F120" i="14847"/>
  <c r="O591" i="14814"/>
  <c r="Q591" i="14814" s="1"/>
  <c r="T596" i="14814"/>
  <c r="E135" i="14848"/>
  <c r="E127" i="14848"/>
  <c r="E128" i="14848"/>
  <c r="E129" i="14848" s="1"/>
  <c r="E127" i="14822"/>
  <c r="E128" i="14822"/>
  <c r="E129" i="14822" s="1"/>
  <c r="K127" i="14822"/>
  <c r="K128" i="14822"/>
  <c r="K129" i="14822" s="1"/>
  <c r="P148" i="14848"/>
  <c r="D150" i="14848"/>
  <c r="AD290" i="14814"/>
  <c r="AE290" i="14814" s="1"/>
  <c r="AA290" i="14814"/>
  <c r="AC290" i="14814" s="1"/>
  <c r="Q290" i="14814"/>
  <c r="R290" i="14814" s="1"/>
  <c r="S290" i="14814" s="1"/>
  <c r="T290" i="14814" s="1"/>
  <c r="AA282" i="14814"/>
  <c r="AC282" i="14814" s="1"/>
  <c r="AB282" i="14814"/>
  <c r="Q282" i="14814"/>
  <c r="R282" i="14814" s="1"/>
  <c r="S282" i="14814" s="1"/>
  <c r="T282" i="14814" s="1"/>
  <c r="AD282" i="14814"/>
  <c r="AE282" i="14814" s="1"/>
  <c r="F182" i="14847"/>
  <c r="P180" i="14847"/>
  <c r="T600" i="14814"/>
  <c r="Q600" i="14814"/>
  <c r="M127" i="14848"/>
  <c r="M135" i="14848"/>
  <c r="M128" i="14848"/>
  <c r="M129" i="14848" s="1"/>
  <c r="M137" i="14848"/>
  <c r="U598" i="14814" s="1"/>
  <c r="P148" i="14822"/>
  <c r="D150" i="14822"/>
  <c r="R301" i="14814"/>
  <c r="S301" i="14814" s="1"/>
  <c r="T301" i="14814" s="1"/>
  <c r="U275" i="14814" s="1"/>
  <c r="U278" i="14814" s="1"/>
  <c r="AD297" i="14814"/>
  <c r="AE297" i="14814" s="1"/>
  <c r="AA297" i="14814"/>
  <c r="AC297" i="14814" s="1"/>
  <c r="AG297" i="14814" s="1"/>
  <c r="AJ297" i="14814" s="1"/>
  <c r="AK297" i="14814" s="1"/>
  <c r="AL297" i="14814" s="1"/>
  <c r="Q297" i="14814"/>
  <c r="R297" i="14814" s="1"/>
  <c r="S297" i="14814" s="1"/>
  <c r="T297" i="14814" s="1"/>
  <c r="C98" i="14848"/>
  <c r="D97" i="14848"/>
  <c r="D98" i="14848"/>
  <c r="D99" i="14848" s="1"/>
  <c r="P90" i="14848"/>
  <c r="AD293" i="14814"/>
  <c r="AE293" i="14814" s="1"/>
  <c r="AA293" i="14814"/>
  <c r="AC293" i="14814" s="1"/>
  <c r="AG293" i="14814" s="1"/>
  <c r="AJ293" i="14814" s="1"/>
  <c r="AK293" i="14814" s="1"/>
  <c r="AL293" i="14814" s="1"/>
  <c r="Q293" i="14814"/>
  <c r="R293" i="14814" s="1"/>
  <c r="S293" i="14814" s="1"/>
  <c r="T293" i="14814" s="1"/>
  <c r="P136" i="14848"/>
  <c r="S136" i="14848" s="1"/>
  <c r="S126" i="14848"/>
  <c r="L192" i="14847"/>
  <c r="L193" i="14847" s="1"/>
  <c r="L195" i="14847" s="1"/>
  <c r="AD299" i="14814"/>
  <c r="AE299" i="14814" s="1"/>
  <c r="Q299" i="14814"/>
  <c r="R299" i="14814" s="1"/>
  <c r="S299" i="14814" s="1"/>
  <c r="T299" i="14814" s="1"/>
  <c r="AA299" i="14814"/>
  <c r="AC299" i="14814" s="1"/>
  <c r="O597" i="14814"/>
  <c r="L120" i="14847"/>
  <c r="G135" i="14848"/>
  <c r="G127" i="14848"/>
  <c r="G128" i="14848"/>
  <c r="G129" i="14848" s="1"/>
  <c r="G137" i="14848"/>
  <c r="U592" i="14814" s="1"/>
  <c r="AA296" i="14814"/>
  <c r="AC296" i="14814" s="1"/>
  <c r="Q296" i="14814"/>
  <c r="R296" i="14814" s="1"/>
  <c r="S296" i="14814" s="1"/>
  <c r="T296" i="14814" s="1"/>
  <c r="AD296" i="14814"/>
  <c r="AE296" i="14814" s="1"/>
  <c r="AB296" i="14814"/>
  <c r="AD295" i="14814"/>
  <c r="AE295" i="14814" s="1"/>
  <c r="Q295" i="14814"/>
  <c r="R295" i="14814" s="1"/>
  <c r="S295" i="14814" s="1"/>
  <c r="T295" i="14814" s="1"/>
  <c r="AA295" i="14814"/>
  <c r="AC295" i="14814" s="1"/>
  <c r="K100" i="14847"/>
  <c r="K101" i="14847" s="1"/>
  <c r="K103" i="14847" s="1"/>
  <c r="I162" i="14842"/>
  <c r="I163" i="14842" s="1"/>
  <c r="I165" i="14842" s="1"/>
  <c r="AS271" i="14814"/>
  <c r="AA279" i="14814"/>
  <c r="AC279" i="14814" s="1"/>
  <c r="AD279" i="14814"/>
  <c r="AE279" i="14814" s="1"/>
  <c r="Q279" i="14814"/>
  <c r="R279" i="14814" s="1"/>
  <c r="S279" i="14814" s="1"/>
  <c r="T279" i="14814" s="1"/>
  <c r="O128" i="14848"/>
  <c r="O129" i="14848" s="1"/>
  <c r="O127" i="14848"/>
  <c r="O135" i="14848"/>
  <c r="S126" i="14847"/>
  <c r="AF278" i="14814"/>
  <c r="AI278" i="14814" s="1"/>
  <c r="Y120" i="14842"/>
  <c r="E127" i="14842"/>
  <c r="E128" i="14842"/>
  <c r="E135" i="14842"/>
  <c r="Y135" i="14842" s="1"/>
  <c r="P118" i="14847"/>
  <c r="S118" i="14847" s="1"/>
  <c r="I192" i="14842"/>
  <c r="I193" i="14842" s="1"/>
  <c r="I195" i="14842" s="1"/>
  <c r="Q294" i="14814"/>
  <c r="R294" i="14814" s="1"/>
  <c r="S294" i="14814" s="1"/>
  <c r="T294" i="14814" s="1"/>
  <c r="AD294" i="14814"/>
  <c r="AE294" i="14814" s="1"/>
  <c r="AA294" i="14814"/>
  <c r="AC294" i="14814" s="1"/>
  <c r="AG294" i="14814" s="1"/>
  <c r="AJ294" i="14814" s="1"/>
  <c r="AK294" i="14814" s="1"/>
  <c r="AL294" i="14814" s="1"/>
  <c r="AG278" i="14814"/>
  <c r="AJ278" i="14814" s="1"/>
  <c r="AK278" i="14814" s="1"/>
  <c r="AL278" i="14814" s="1"/>
  <c r="AM278" i="14814" s="1"/>
  <c r="G137" i="14842"/>
  <c r="L135" i="14848"/>
  <c r="L127" i="14848"/>
  <c r="L128" i="14848"/>
  <c r="L129" i="14848" s="1"/>
  <c r="L137" i="14848"/>
  <c r="U597" i="14814" s="1"/>
  <c r="E137" i="14842"/>
  <c r="N162" i="14842"/>
  <c r="N163" i="14842" s="1"/>
  <c r="N165" i="14842" s="1"/>
  <c r="O162" i="14822"/>
  <c r="O163" i="14822" s="1"/>
  <c r="O165" i="14822" s="1"/>
  <c r="F100" i="14847"/>
  <c r="F101" i="14847" s="1"/>
  <c r="F103" i="14847" s="1"/>
  <c r="AA292" i="14814"/>
  <c r="AC292" i="14814" s="1"/>
  <c r="Q292" i="14814"/>
  <c r="R292" i="14814" s="1"/>
  <c r="S292" i="14814" s="1"/>
  <c r="T292" i="14814" s="1"/>
  <c r="AD292" i="14814"/>
  <c r="AE292" i="14814" s="1"/>
  <c r="I100" i="14842"/>
  <c r="I101" i="14842" s="1"/>
  <c r="I103" i="14842" s="1"/>
  <c r="F120" i="14842"/>
  <c r="P571" i="14814"/>
  <c r="J406" i="14786" s="1"/>
  <c r="Z118" i="14842"/>
  <c r="M130" i="14822"/>
  <c r="N162" i="14847"/>
  <c r="N163" i="14847" s="1"/>
  <c r="N165" i="14847" s="1"/>
  <c r="N192" i="14842"/>
  <c r="N193" i="14842" s="1"/>
  <c r="N195" i="14842" s="1"/>
  <c r="O599" i="14814"/>
  <c r="N120" i="14847"/>
  <c r="S126" i="14822"/>
  <c r="D131" i="14822" l="1"/>
  <c r="D133" i="14822" s="1"/>
  <c r="AM345" i="14814"/>
  <c r="AM347" i="14814"/>
  <c r="AM353" i="14814"/>
  <c r="AM340" i="14814"/>
  <c r="AM352" i="14814"/>
  <c r="AM356" i="14814"/>
  <c r="AM351" i="14814"/>
  <c r="U340" i="14814"/>
  <c r="U341" i="14814" s="1"/>
  <c r="U342" i="14814" s="1"/>
  <c r="U343" i="14814" s="1"/>
  <c r="U344" i="14814" s="1"/>
  <c r="U345" i="14814" s="1"/>
  <c r="U346" i="14814" s="1"/>
  <c r="U347" i="14814" s="1"/>
  <c r="U348" i="14814" s="1"/>
  <c r="U349" i="14814" s="1"/>
  <c r="U350" i="14814" s="1"/>
  <c r="U351" i="14814" s="1"/>
  <c r="U352" i="14814" s="1"/>
  <c r="U353" i="14814" s="1"/>
  <c r="U354" i="14814" s="1"/>
  <c r="U355" i="14814" s="1"/>
  <c r="U356" i="14814" s="1"/>
  <c r="U357" i="14814" s="1"/>
  <c r="U358" i="14814" s="1"/>
  <c r="U359" i="14814" s="1"/>
  <c r="U360" i="14814" s="1"/>
  <c r="U361" i="14814" s="1"/>
  <c r="U362" i="14814" s="1"/>
  <c r="V336" i="14814" s="1"/>
  <c r="V339" i="14814" s="1"/>
  <c r="AM355" i="14814"/>
  <c r="AM342" i="14814"/>
  <c r="AM350" i="14814"/>
  <c r="AM346" i="14814"/>
  <c r="AM360" i="14814"/>
  <c r="AM349" i="14814"/>
  <c r="AM358" i="14814"/>
  <c r="AM359" i="14814"/>
  <c r="AM348" i="14814"/>
  <c r="D404" i="14786"/>
  <c r="D100" i="14822"/>
  <c r="D101" i="14822" s="1"/>
  <c r="D103" i="14822" s="1"/>
  <c r="P103" i="14822" s="1"/>
  <c r="P104" i="14822" s="1"/>
  <c r="D137" i="14842"/>
  <c r="X137" i="14842" s="1"/>
  <c r="AB120" i="14842"/>
  <c r="U573" i="14814"/>
  <c r="Q573" i="14814" s="1"/>
  <c r="D100" i="14842"/>
  <c r="D101" i="14842" s="1"/>
  <c r="D103" i="14842" s="1"/>
  <c r="P103" i="14842" s="1"/>
  <c r="P104" i="14842" s="1"/>
  <c r="L572" i="14814"/>
  <c r="F407" i="14786" s="1"/>
  <c r="G131" i="14822"/>
  <c r="G133" i="14822" s="1"/>
  <c r="V572" i="14814" s="1"/>
  <c r="H135" i="14842"/>
  <c r="AB135" i="14842" s="1"/>
  <c r="H128" i="14842"/>
  <c r="AB128" i="14842" s="1"/>
  <c r="H127" i="14842"/>
  <c r="AB127" i="14842" s="1"/>
  <c r="P120" i="14847"/>
  <c r="S120" i="14847" s="1"/>
  <c r="E130" i="14847"/>
  <c r="E131" i="14847" s="1"/>
  <c r="E133" i="14847" s="1"/>
  <c r="V590" i="14814" s="1"/>
  <c r="F130" i="14848"/>
  <c r="F131" i="14848" s="1"/>
  <c r="F133" i="14848" s="1"/>
  <c r="T593" i="14814"/>
  <c r="L575" i="14814"/>
  <c r="F410" i="14786" s="1"/>
  <c r="J131" i="14822"/>
  <c r="J133" i="14822" s="1"/>
  <c r="V575" i="14814" s="1"/>
  <c r="P120" i="14848"/>
  <c r="S120" i="14848" s="1"/>
  <c r="D128" i="14842"/>
  <c r="X128" i="14842" s="1"/>
  <c r="X120" i="14842"/>
  <c r="D127" i="14842"/>
  <c r="X127" i="14842" s="1"/>
  <c r="L127" i="14822"/>
  <c r="L130" i="14822" s="1"/>
  <c r="J577" i="14814" s="1"/>
  <c r="AB300" i="14814"/>
  <c r="AF300" i="14814" s="1"/>
  <c r="AI300" i="14814" s="1"/>
  <c r="AG289" i="14814"/>
  <c r="AJ289" i="14814" s="1"/>
  <c r="AK289" i="14814" s="1"/>
  <c r="AL289" i="14814" s="1"/>
  <c r="AM289" i="14814" s="1"/>
  <c r="AB293" i="14814"/>
  <c r="AF293" i="14814" s="1"/>
  <c r="AI293" i="14814" s="1"/>
  <c r="AB280" i="14814"/>
  <c r="AF280" i="14814" s="1"/>
  <c r="AI280" i="14814" s="1"/>
  <c r="AB298" i="14814"/>
  <c r="AF298" i="14814" s="1"/>
  <c r="AI298" i="14814" s="1"/>
  <c r="AJ118" i="14842"/>
  <c r="O130" i="14848"/>
  <c r="O131" i="14848" s="1"/>
  <c r="O133" i="14848" s="1"/>
  <c r="P120" i="14842"/>
  <c r="S120" i="14842" s="1"/>
  <c r="AB279" i="14814"/>
  <c r="AF279" i="14814" s="1"/>
  <c r="AI279" i="14814" s="1"/>
  <c r="AB284" i="14814"/>
  <c r="AF284" i="14814" s="1"/>
  <c r="AI284" i="14814" s="1"/>
  <c r="D100" i="14848"/>
  <c r="D101" i="14848" s="1"/>
  <c r="P101" i="14848" s="1"/>
  <c r="P100" i="14848" s="1"/>
  <c r="AM286" i="14814"/>
  <c r="AG295" i="14814"/>
  <c r="AJ295" i="14814" s="1"/>
  <c r="AK295" i="14814" s="1"/>
  <c r="AL295" i="14814" s="1"/>
  <c r="AM295" i="14814" s="1"/>
  <c r="L130" i="14848"/>
  <c r="L131" i="14848" s="1"/>
  <c r="L133" i="14848" s="1"/>
  <c r="AG299" i="14814"/>
  <c r="AJ299" i="14814" s="1"/>
  <c r="AK299" i="14814" s="1"/>
  <c r="AL299" i="14814" s="1"/>
  <c r="AM299" i="14814" s="1"/>
  <c r="AG280" i="14814"/>
  <c r="AJ280" i="14814" s="1"/>
  <c r="AK280" i="14814" s="1"/>
  <c r="AL280" i="14814" s="1"/>
  <c r="AM280" i="14814" s="1"/>
  <c r="AG291" i="14814"/>
  <c r="AJ291" i="14814" s="1"/>
  <c r="AK291" i="14814" s="1"/>
  <c r="AL291" i="14814" s="1"/>
  <c r="AM291" i="14814" s="1"/>
  <c r="AG296" i="14814"/>
  <c r="AJ296" i="14814" s="1"/>
  <c r="AK296" i="14814" s="1"/>
  <c r="AL296" i="14814" s="1"/>
  <c r="AM296" i="14814" s="1"/>
  <c r="D130" i="14847"/>
  <c r="AG127" i="14842"/>
  <c r="P180" i="14848"/>
  <c r="D182" i="14848"/>
  <c r="AB292" i="14814"/>
  <c r="AF292" i="14814" s="1"/>
  <c r="AI292" i="14814" s="1"/>
  <c r="AM294" i="14814"/>
  <c r="G130" i="14848"/>
  <c r="G131" i="14848" s="1"/>
  <c r="G133" i="14848" s="1"/>
  <c r="U279" i="14814"/>
  <c r="U280" i="14814" s="1"/>
  <c r="U281" i="14814" s="1"/>
  <c r="U282" i="14814" s="1"/>
  <c r="U283" i="14814" s="1"/>
  <c r="U284" i="14814" s="1"/>
  <c r="U285" i="14814" s="1"/>
  <c r="U286" i="14814" s="1"/>
  <c r="U287" i="14814" s="1"/>
  <c r="U288" i="14814" s="1"/>
  <c r="U289" i="14814" s="1"/>
  <c r="U290" i="14814" s="1"/>
  <c r="U291" i="14814" s="1"/>
  <c r="U292" i="14814" s="1"/>
  <c r="U293" i="14814" s="1"/>
  <c r="U294" i="14814" s="1"/>
  <c r="U295" i="14814" s="1"/>
  <c r="U296" i="14814" s="1"/>
  <c r="U297" i="14814" s="1"/>
  <c r="U298" i="14814" s="1"/>
  <c r="U299" i="14814" s="1"/>
  <c r="U300" i="14814" s="1"/>
  <c r="U301" i="14814" s="1"/>
  <c r="V275" i="14814" s="1"/>
  <c r="V278" i="14814" s="1"/>
  <c r="F189" i="14847"/>
  <c r="F190" i="14847"/>
  <c r="F191" i="14847" s="1"/>
  <c r="P182" i="14847"/>
  <c r="AB289" i="14814"/>
  <c r="AF289" i="14814" s="1"/>
  <c r="AI289" i="14814" s="1"/>
  <c r="D162" i="14847"/>
  <c r="D163" i="14847" s="1"/>
  <c r="T578" i="14814"/>
  <c r="N413" i="14786" s="1"/>
  <c r="O413" i="14786"/>
  <c r="Q578" i="14814"/>
  <c r="P150" i="14822"/>
  <c r="D152" i="14822"/>
  <c r="K130" i="14822"/>
  <c r="AM281" i="14814"/>
  <c r="I128" i="14847"/>
  <c r="I129" i="14847" s="1"/>
  <c r="I127" i="14847"/>
  <c r="AG283" i="14814"/>
  <c r="AJ283" i="14814" s="1"/>
  <c r="AK283" i="14814" s="1"/>
  <c r="AL283" i="14814" s="1"/>
  <c r="AM283" i="14814" s="1"/>
  <c r="AD127" i="14842"/>
  <c r="AE120" i="14842"/>
  <c r="K135" i="14842"/>
  <c r="AE135" i="14842" s="1"/>
  <c r="K127" i="14842"/>
  <c r="K128" i="14842"/>
  <c r="K137" i="14842"/>
  <c r="N127" i="14847"/>
  <c r="N128" i="14847"/>
  <c r="N129" i="14847" s="1"/>
  <c r="AM301" i="14814"/>
  <c r="D195" i="14847"/>
  <c r="AJ136" i="14842"/>
  <c r="S136" i="14842"/>
  <c r="AB281" i="14814"/>
  <c r="AF281" i="14814" s="1"/>
  <c r="AI281" i="14814" s="1"/>
  <c r="AB283" i="14814"/>
  <c r="AF283" i="14814" s="1"/>
  <c r="AI283" i="14814" s="1"/>
  <c r="AM287" i="14814"/>
  <c r="AB294" i="14814"/>
  <c r="AF294" i="14814" s="1"/>
  <c r="AI294" i="14814" s="1"/>
  <c r="AM293" i="14814"/>
  <c r="T598" i="14814"/>
  <c r="Q598" i="14814"/>
  <c r="AF282" i="14814"/>
  <c r="AI282" i="14814" s="1"/>
  <c r="F127" i="14847"/>
  <c r="F128" i="14847"/>
  <c r="F129" i="14847" s="1"/>
  <c r="K128" i="14847"/>
  <c r="K129" i="14847" s="1"/>
  <c r="K127" i="14847"/>
  <c r="N128" i="14848"/>
  <c r="N129" i="14848" s="1"/>
  <c r="N135" i="14848"/>
  <c r="N127" i="14848"/>
  <c r="N137" i="14848"/>
  <c r="U599" i="14814" s="1"/>
  <c r="J129" i="14842"/>
  <c r="AD129" i="14842" s="1"/>
  <c r="AD128" i="14842"/>
  <c r="AG282" i="14814"/>
  <c r="AJ282" i="14814" s="1"/>
  <c r="AK282" i="14814" s="1"/>
  <c r="AL282" i="14814" s="1"/>
  <c r="AM282" i="14814" s="1"/>
  <c r="E130" i="14822"/>
  <c r="AM298" i="14814"/>
  <c r="AB301" i="14814"/>
  <c r="AF301" i="14814" s="1"/>
  <c r="AI301" i="14814" s="1"/>
  <c r="AB291" i="14814"/>
  <c r="AF291" i="14814" s="1"/>
  <c r="AI291" i="14814" s="1"/>
  <c r="P150" i="14842"/>
  <c r="D152" i="14842"/>
  <c r="AA128" i="14842"/>
  <c r="G129" i="14842"/>
  <c r="AA129" i="14842" s="1"/>
  <c r="Q589" i="14814"/>
  <c r="T589" i="14814"/>
  <c r="AB295" i="14814"/>
  <c r="AF295" i="14814" s="1"/>
  <c r="AI295" i="14814" s="1"/>
  <c r="L127" i="14847"/>
  <c r="L128" i="14847"/>
  <c r="L129" i="14847" s="1"/>
  <c r="J595" i="14814"/>
  <c r="J131" i="14847"/>
  <c r="J133" i="14847" s="1"/>
  <c r="V595" i="14814" s="1"/>
  <c r="N127" i="14822"/>
  <c r="N128" i="14822"/>
  <c r="N129" i="14822" s="1"/>
  <c r="AM285" i="14814"/>
  <c r="J592" i="14814"/>
  <c r="L592" i="14814" s="1"/>
  <c r="N592" i="14814" s="1"/>
  <c r="G131" i="14847"/>
  <c r="G133" i="14847" s="1"/>
  <c r="V592" i="14814" s="1"/>
  <c r="J578" i="14814"/>
  <c r="K578" i="14814" s="1"/>
  <c r="E413" i="14786" s="1"/>
  <c r="M131" i="14822"/>
  <c r="M133" i="14822" s="1"/>
  <c r="V578" i="14814" s="1"/>
  <c r="Y137" i="14842"/>
  <c r="U570" i="14814"/>
  <c r="M130" i="14848"/>
  <c r="M131" i="14848" s="1"/>
  <c r="M133" i="14848" s="1"/>
  <c r="AG290" i="14814"/>
  <c r="AJ290" i="14814" s="1"/>
  <c r="AK290" i="14814" s="1"/>
  <c r="AL290" i="14814" s="1"/>
  <c r="AM290" i="14814" s="1"/>
  <c r="O127" i="14822"/>
  <c r="O128" i="14822"/>
  <c r="O129" i="14822" s="1"/>
  <c r="AA127" i="14842"/>
  <c r="T575" i="14814"/>
  <c r="N410" i="14786" s="1"/>
  <c r="I575" i="14814"/>
  <c r="C410" i="14786" s="1"/>
  <c r="O410" i="14786"/>
  <c r="K575" i="14814"/>
  <c r="E410" i="14786" s="1"/>
  <c r="Q575" i="14814"/>
  <c r="T597" i="14814"/>
  <c r="Q597" i="14814"/>
  <c r="AB299" i="14814"/>
  <c r="AF299" i="14814" s="1"/>
  <c r="AI299" i="14814" s="1"/>
  <c r="AB290" i="14814"/>
  <c r="AF290" i="14814" s="1"/>
  <c r="AI290" i="14814" s="1"/>
  <c r="E130" i="14848"/>
  <c r="E131" i="14848" s="1"/>
  <c r="I135" i="14842"/>
  <c r="AC135" i="14842" s="1"/>
  <c r="I128" i="14842"/>
  <c r="AC120" i="14842"/>
  <c r="I127" i="14842"/>
  <c r="I137" i="14842"/>
  <c r="D100" i="14847"/>
  <c r="D101" i="14847" s="1"/>
  <c r="F127" i="14822"/>
  <c r="F128" i="14822"/>
  <c r="F129" i="14822" s="1"/>
  <c r="P120" i="14822"/>
  <c r="S120" i="14822" s="1"/>
  <c r="AB285" i="14814"/>
  <c r="AF285" i="14814" s="1"/>
  <c r="AI285" i="14814" s="1"/>
  <c r="AG300" i="14814"/>
  <c r="AJ300" i="14814" s="1"/>
  <c r="AK300" i="14814" s="1"/>
  <c r="AL300" i="14814" s="1"/>
  <c r="AM300" i="14814" s="1"/>
  <c r="AF296" i="14814"/>
  <c r="AI296" i="14814" s="1"/>
  <c r="O130" i="14847"/>
  <c r="F128" i="14842"/>
  <c r="Z120" i="14842"/>
  <c r="F135" i="14842"/>
  <c r="Z135" i="14842" s="1"/>
  <c r="F127" i="14842"/>
  <c r="F137" i="14842"/>
  <c r="L135" i="14842"/>
  <c r="AF135" i="14842" s="1"/>
  <c r="L127" i="14842"/>
  <c r="AF120" i="14842"/>
  <c r="L128" i="14842"/>
  <c r="L137" i="14842"/>
  <c r="E129" i="14842"/>
  <c r="Y129" i="14842" s="1"/>
  <c r="Y128" i="14842"/>
  <c r="Y127" i="14842"/>
  <c r="AG279" i="14814"/>
  <c r="AJ279" i="14814" s="1"/>
  <c r="AK279" i="14814" s="1"/>
  <c r="AL279" i="14814" s="1"/>
  <c r="AM279" i="14814" s="1"/>
  <c r="D152" i="14848"/>
  <c r="P150" i="14848"/>
  <c r="AB286" i="14814"/>
  <c r="AF286" i="14814" s="1"/>
  <c r="AI286" i="14814" s="1"/>
  <c r="H130" i="14822"/>
  <c r="I135" i="14848"/>
  <c r="I128" i="14848"/>
  <c r="I129" i="14848" s="1"/>
  <c r="I127" i="14848"/>
  <c r="I137" i="14848"/>
  <c r="U594" i="14814" s="1"/>
  <c r="N135" i="14842"/>
  <c r="AH135" i="14842" s="1"/>
  <c r="AH120" i="14842"/>
  <c r="N127" i="14842"/>
  <c r="N128" i="14842"/>
  <c r="N137" i="14842"/>
  <c r="AM297" i="14814"/>
  <c r="AM284" i="14814"/>
  <c r="H130" i="14847"/>
  <c r="AB288" i="14814"/>
  <c r="AF288" i="14814" s="1"/>
  <c r="AI288" i="14814" s="1"/>
  <c r="AA137" i="14842"/>
  <c r="U572" i="14814"/>
  <c r="Q592" i="14814"/>
  <c r="T592" i="14814"/>
  <c r="M129" i="14842"/>
  <c r="AG129" i="14842" s="1"/>
  <c r="AG128" i="14842"/>
  <c r="P180" i="14822"/>
  <c r="D182" i="14822"/>
  <c r="J598" i="14814"/>
  <c r="L598" i="14814" s="1"/>
  <c r="N598" i="14814" s="1"/>
  <c r="M131" i="14847"/>
  <c r="M133" i="14847" s="1"/>
  <c r="V598" i="14814" s="1"/>
  <c r="AG292" i="14814"/>
  <c r="AJ292" i="14814" s="1"/>
  <c r="AK292" i="14814" s="1"/>
  <c r="AL292" i="14814" s="1"/>
  <c r="AM292" i="14814" s="1"/>
  <c r="AB297" i="14814"/>
  <c r="AF297" i="14814" s="1"/>
  <c r="AI297" i="14814" s="1"/>
  <c r="O135" i="14842"/>
  <c r="AI135" i="14842" s="1"/>
  <c r="AI120" i="14842"/>
  <c r="O128" i="14842"/>
  <c r="O127" i="14842"/>
  <c r="O137" i="14842"/>
  <c r="P180" i="14842"/>
  <c r="D182" i="14842"/>
  <c r="AG288" i="14814"/>
  <c r="AJ288" i="14814" s="1"/>
  <c r="AK288" i="14814" s="1"/>
  <c r="AL288" i="14814" s="1"/>
  <c r="AM288" i="14814" s="1"/>
  <c r="I130" i="14822"/>
  <c r="Y339" i="14814" l="1"/>
  <c r="V340" i="14814"/>
  <c r="P101" i="14822"/>
  <c r="P100" i="14822" s="1"/>
  <c r="T573" i="14814"/>
  <c r="N408" i="14786" s="1"/>
  <c r="O408" i="14786"/>
  <c r="U569" i="14814"/>
  <c r="O404" i="14786" s="1"/>
  <c r="P101" i="14842"/>
  <c r="P100" i="14842" s="1"/>
  <c r="J590" i="14814"/>
  <c r="L590" i="14814" s="1"/>
  <c r="N590" i="14814" s="1"/>
  <c r="H129" i="14842"/>
  <c r="AB129" i="14842" s="1"/>
  <c r="I130" i="14848"/>
  <c r="I131" i="14848" s="1"/>
  <c r="I133" i="14848" s="1"/>
  <c r="I130" i="14847"/>
  <c r="J594" i="14814" s="1"/>
  <c r="L594" i="14814" s="1"/>
  <c r="N594" i="14814" s="1"/>
  <c r="N130" i="14848"/>
  <c r="N131" i="14848" s="1"/>
  <c r="N133" i="14848" s="1"/>
  <c r="L595" i="14814"/>
  <c r="N595" i="14814" s="1"/>
  <c r="K595" i="14814"/>
  <c r="I595" i="14814"/>
  <c r="N575" i="14814"/>
  <c r="H410" i="14786" s="1"/>
  <c r="P135" i="14848"/>
  <c r="S135" i="14848" s="1"/>
  <c r="K598" i="14814"/>
  <c r="D129" i="14842"/>
  <c r="X129" i="14842" s="1"/>
  <c r="L131" i="14822"/>
  <c r="L133" i="14822" s="1"/>
  <c r="V577" i="14814" s="1"/>
  <c r="P135" i="14842"/>
  <c r="S135" i="14842" s="1"/>
  <c r="AJ120" i="14842"/>
  <c r="I578" i="14814"/>
  <c r="C413" i="14786" s="1"/>
  <c r="M130" i="14842"/>
  <c r="AG130" i="14842" s="1"/>
  <c r="K592" i="14814"/>
  <c r="G130" i="14842"/>
  <c r="AA130" i="14842" s="1"/>
  <c r="E130" i="14842"/>
  <c r="Y130" i="14842" s="1"/>
  <c r="F192" i="14847"/>
  <c r="F193" i="14847" s="1"/>
  <c r="F195" i="14847" s="1"/>
  <c r="P195" i="14847" s="1"/>
  <c r="P196" i="14847" s="1"/>
  <c r="D103" i="14848"/>
  <c r="P103" i="14848" s="1"/>
  <c r="AI128" i="14842"/>
  <c r="O129" i="14842"/>
  <c r="AI129" i="14842" s="1"/>
  <c r="J576" i="14814"/>
  <c r="K131" i="14822"/>
  <c r="K133" i="14822" s="1"/>
  <c r="V576" i="14814" s="1"/>
  <c r="J593" i="14814"/>
  <c r="H131" i="14847"/>
  <c r="H133" i="14847" s="1"/>
  <c r="V593" i="14814" s="1"/>
  <c r="AE127" i="14842"/>
  <c r="D160" i="14822"/>
  <c r="D161" i="14822" s="1"/>
  <c r="P152" i="14822"/>
  <c r="D159" i="14822"/>
  <c r="E133" i="14848"/>
  <c r="AF127" i="14842"/>
  <c r="F130" i="14847"/>
  <c r="N572" i="14814"/>
  <c r="H407" i="14786" s="1"/>
  <c r="Q572" i="14814"/>
  <c r="I572" i="14814"/>
  <c r="C407" i="14786" s="1"/>
  <c r="K572" i="14814"/>
  <c r="E407" i="14786" s="1"/>
  <c r="T572" i="14814"/>
  <c r="N407" i="14786" s="1"/>
  <c r="O407" i="14786"/>
  <c r="J573" i="14814"/>
  <c r="H131" i="14822"/>
  <c r="H133" i="14822" s="1"/>
  <c r="V573" i="14814" s="1"/>
  <c r="N130" i="14822"/>
  <c r="P182" i="14848"/>
  <c r="D190" i="14848"/>
  <c r="D191" i="14848" s="1"/>
  <c r="D189" i="14848"/>
  <c r="D197" i="14848"/>
  <c r="P197" i="14848" s="1"/>
  <c r="J574" i="14814"/>
  <c r="I131" i="14822"/>
  <c r="I133" i="14822" s="1"/>
  <c r="V574" i="14814" s="1"/>
  <c r="U571" i="14814"/>
  <c r="Z137" i="14842"/>
  <c r="O130" i="14822"/>
  <c r="J130" i="14842"/>
  <c r="AH137" i="14842"/>
  <c r="U579" i="14814"/>
  <c r="P152" i="14848"/>
  <c r="D160" i="14848"/>
  <c r="D161" i="14848" s="1"/>
  <c r="D159" i="14848"/>
  <c r="D167" i="14848"/>
  <c r="P167" i="14848" s="1"/>
  <c r="Z127" i="14842"/>
  <c r="Q599" i="14814"/>
  <c r="T599" i="14814"/>
  <c r="D189" i="14822"/>
  <c r="D190" i="14822"/>
  <c r="D191" i="14822" s="1"/>
  <c r="P182" i="14822"/>
  <c r="AH128" i="14842"/>
  <c r="N129" i="14842"/>
  <c r="AH129" i="14842" s="1"/>
  <c r="F130" i="14822"/>
  <c r="P152" i="14842"/>
  <c r="D160" i="14842"/>
  <c r="D161" i="14842" s="1"/>
  <c r="D159" i="14842"/>
  <c r="D167" i="14842"/>
  <c r="P167" i="14842" s="1"/>
  <c r="I598" i="14814"/>
  <c r="D412" i="14786"/>
  <c r="L577" i="14814"/>
  <c r="F412" i="14786" s="1"/>
  <c r="AH127" i="14842"/>
  <c r="P101" i="14847"/>
  <c r="P100" i="14847" s="1"/>
  <c r="D103" i="14847"/>
  <c r="P103" i="14847" s="1"/>
  <c r="P104" i="14847" s="1"/>
  <c r="P137" i="14848"/>
  <c r="P163" i="14847"/>
  <c r="P162" i="14847" s="1"/>
  <c r="D165" i="14847"/>
  <c r="P165" i="14847" s="1"/>
  <c r="P166" i="14847" s="1"/>
  <c r="D189" i="14842"/>
  <c r="P182" i="14842"/>
  <c r="D190" i="14842"/>
  <c r="D191" i="14842" s="1"/>
  <c r="D197" i="14842"/>
  <c r="P197" i="14842" s="1"/>
  <c r="U574" i="14814"/>
  <c r="AC137" i="14842"/>
  <c r="T570" i="14814"/>
  <c r="N405" i="14786" s="1"/>
  <c r="Q570" i="14814"/>
  <c r="O405" i="14786"/>
  <c r="J589" i="14814"/>
  <c r="D131" i="14847"/>
  <c r="F129" i="14842"/>
  <c r="Z129" i="14842" s="1"/>
  <c r="Z128" i="14842"/>
  <c r="AC127" i="14842"/>
  <c r="N130" i="14847"/>
  <c r="P137" i="14842"/>
  <c r="U580" i="14814"/>
  <c r="AI137" i="14842"/>
  <c r="J600" i="14814"/>
  <c r="O131" i="14847"/>
  <c r="O133" i="14847" s="1"/>
  <c r="V600" i="14814" s="1"/>
  <c r="K130" i="14847"/>
  <c r="V569" i="14814"/>
  <c r="AI127" i="14842"/>
  <c r="T594" i="14814"/>
  <c r="Q594" i="14814"/>
  <c r="AF137" i="14842"/>
  <c r="U577" i="14814"/>
  <c r="AC128" i="14842"/>
  <c r="I129" i="14842"/>
  <c r="AC129" i="14842" s="1"/>
  <c r="D413" i="14786"/>
  <c r="L578" i="14814"/>
  <c r="L130" i="14847"/>
  <c r="J570" i="14814"/>
  <c r="I570" i="14814" s="1"/>
  <c r="C405" i="14786" s="1"/>
  <c r="E131" i="14822"/>
  <c r="U576" i="14814"/>
  <c r="AE137" i="14842"/>
  <c r="AE128" i="14842"/>
  <c r="K129" i="14842"/>
  <c r="AE129" i="14842" s="1"/>
  <c r="AF128" i="14842"/>
  <c r="L129" i="14842"/>
  <c r="AF129" i="14842" s="1"/>
  <c r="V279" i="14814"/>
  <c r="Y278" i="14814"/>
  <c r="I592" i="14814"/>
  <c r="V341" i="14814" l="1"/>
  <c r="Y340" i="14814"/>
  <c r="D162" i="14848"/>
  <c r="D163" i="14848" s="1"/>
  <c r="K569" i="14814"/>
  <c r="E404" i="14786" s="1"/>
  <c r="I569" i="14814"/>
  <c r="C404" i="14786" s="1"/>
  <c r="Q569" i="14814"/>
  <c r="K590" i="14814"/>
  <c r="I590" i="14814"/>
  <c r="H130" i="14842"/>
  <c r="AB130" i="14842" s="1"/>
  <c r="N569" i="14814"/>
  <c r="H404" i="14786" s="1"/>
  <c r="T569" i="14814"/>
  <c r="N404" i="14786" s="1"/>
  <c r="P131" i="14848"/>
  <c r="S131" i="14848" s="1"/>
  <c r="I131" i="14847"/>
  <c r="I133" i="14847" s="1"/>
  <c r="V594" i="14814" s="1"/>
  <c r="D130" i="14842"/>
  <c r="X130" i="14842" s="1"/>
  <c r="P133" i="14848"/>
  <c r="S133" i="14848" s="1"/>
  <c r="M131" i="14842"/>
  <c r="AG131" i="14842" s="1"/>
  <c r="I594" i="14814"/>
  <c r="AJ135" i="14842"/>
  <c r="K594" i="14814"/>
  <c r="G131" i="14842"/>
  <c r="AA131" i="14842" s="1"/>
  <c r="D162" i="14822"/>
  <c r="D163" i="14822" s="1"/>
  <c r="D162" i="14842"/>
  <c r="D163" i="14842" s="1"/>
  <c r="P163" i="14842" s="1"/>
  <c r="P162" i="14842" s="1"/>
  <c r="F130" i="14842"/>
  <c r="F131" i="14842" s="1"/>
  <c r="I130" i="14842"/>
  <c r="AC130" i="14842" s="1"/>
  <c r="E131" i="14842"/>
  <c r="Y131" i="14842" s="1"/>
  <c r="P193" i="14847"/>
  <c r="P192" i="14847" s="1"/>
  <c r="D133" i="14847"/>
  <c r="O160" i="14786"/>
  <c r="O157" i="14786" s="1"/>
  <c r="O159" i="14786" s="1"/>
  <c r="O160" i="14852"/>
  <c r="O157" i="14852" s="1"/>
  <c r="O159" i="14852" s="1"/>
  <c r="J591" i="14814"/>
  <c r="F131" i="14847"/>
  <c r="F133" i="14847" s="1"/>
  <c r="V591" i="14814" s="1"/>
  <c r="L589" i="14814"/>
  <c r="N589" i="14814" s="1"/>
  <c r="K589" i="14814"/>
  <c r="I589" i="14814"/>
  <c r="D192" i="14822"/>
  <c r="D193" i="14822" s="1"/>
  <c r="L593" i="14814"/>
  <c r="N593" i="14814" s="1"/>
  <c r="K593" i="14814"/>
  <c r="I593" i="14814"/>
  <c r="L130" i="14842"/>
  <c r="J596" i="14814"/>
  <c r="K131" i="14847"/>
  <c r="K133" i="14847" s="1"/>
  <c r="V596" i="14814" s="1"/>
  <c r="J579" i="14814"/>
  <c r="K579" i="14814" s="1"/>
  <c r="E414" i="14786" s="1"/>
  <c r="N131" i="14822"/>
  <c r="N133" i="14822" s="1"/>
  <c r="V579" i="14814" s="1"/>
  <c r="D411" i="14786"/>
  <c r="L576" i="14814"/>
  <c r="F411" i="14786" s="1"/>
  <c r="D192" i="14842"/>
  <c r="D193" i="14842" s="1"/>
  <c r="N160" i="14786"/>
  <c r="N159" i="14786" s="1"/>
  <c r="N160" i="14852"/>
  <c r="N159" i="14852" s="1"/>
  <c r="O414" i="14786"/>
  <c r="Q579" i="14814"/>
  <c r="T579" i="14814"/>
  <c r="N414" i="14786" s="1"/>
  <c r="O411" i="14786"/>
  <c r="T576" i="14814"/>
  <c r="N411" i="14786" s="1"/>
  <c r="I576" i="14814"/>
  <c r="C411" i="14786" s="1"/>
  <c r="K576" i="14814"/>
  <c r="E411" i="14786" s="1"/>
  <c r="Q576" i="14814"/>
  <c r="L600" i="14814"/>
  <c r="N600" i="14814" s="1"/>
  <c r="I600" i="14814"/>
  <c r="K600" i="14814"/>
  <c r="E133" i="14822"/>
  <c r="AD130" i="14842"/>
  <c r="J131" i="14842"/>
  <c r="D405" i="14786"/>
  <c r="L570" i="14814"/>
  <c r="Q580" i="14814"/>
  <c r="T580" i="14814"/>
  <c r="N415" i="14786" s="1"/>
  <c r="O415" i="14786"/>
  <c r="S137" i="14848"/>
  <c r="M160" i="14852"/>
  <c r="M159" i="14852" s="1"/>
  <c r="J580" i="14814"/>
  <c r="O131" i="14822"/>
  <c r="O133" i="14822" s="1"/>
  <c r="V580" i="14814" s="1"/>
  <c r="D408" i="14786"/>
  <c r="L573" i="14814"/>
  <c r="I573" i="14814"/>
  <c r="C408" i="14786" s="1"/>
  <c r="K573" i="14814"/>
  <c r="E408" i="14786" s="1"/>
  <c r="J597" i="14814"/>
  <c r="L131" i="14847"/>
  <c r="L133" i="14847" s="1"/>
  <c r="V597" i="14814" s="1"/>
  <c r="O130" i="14842"/>
  <c r="S137" i="14842"/>
  <c r="AJ137" i="14842"/>
  <c r="M160" i="14786"/>
  <c r="M159" i="14786" s="1"/>
  <c r="F413" i="14786"/>
  <c r="N578" i="14814"/>
  <c r="H413" i="14786" s="1"/>
  <c r="J599" i="14814"/>
  <c r="N131" i="14847"/>
  <c r="N133" i="14847" s="1"/>
  <c r="V599" i="14814" s="1"/>
  <c r="K570" i="14814"/>
  <c r="E405" i="14786" s="1"/>
  <c r="J571" i="14814"/>
  <c r="I571" i="14814" s="1"/>
  <c r="C406" i="14786" s="1"/>
  <c r="F131" i="14822"/>
  <c r="F133" i="14822" s="1"/>
  <c r="V571" i="14814" s="1"/>
  <c r="T571" i="14814"/>
  <c r="N406" i="14786" s="1"/>
  <c r="O406" i="14786"/>
  <c r="Q571" i="14814"/>
  <c r="O409" i="14786"/>
  <c r="K574" i="14814"/>
  <c r="E409" i="14786" s="1"/>
  <c r="Q574" i="14814"/>
  <c r="T574" i="14814"/>
  <c r="N409" i="14786" s="1"/>
  <c r="I574" i="14814"/>
  <c r="C409" i="14786" s="1"/>
  <c r="N130" i="14842"/>
  <c r="D409" i="14786"/>
  <c r="L574" i="14814"/>
  <c r="F409" i="14786" s="1"/>
  <c r="K130" i="14842"/>
  <c r="V280" i="14814"/>
  <c r="Y279" i="14814"/>
  <c r="K577" i="14814"/>
  <c r="E412" i="14786" s="1"/>
  <c r="N577" i="14814"/>
  <c r="H412" i="14786" s="1"/>
  <c r="O412" i="14786"/>
  <c r="Q577" i="14814"/>
  <c r="I577" i="14814"/>
  <c r="C412" i="14786" s="1"/>
  <c r="T577" i="14814"/>
  <c r="N412" i="14786" s="1"/>
  <c r="D192" i="14848"/>
  <c r="D193" i="14848" s="1"/>
  <c r="Y341" i="14814" l="1"/>
  <c r="V342" i="14814"/>
  <c r="P163" i="14848"/>
  <c r="P162" i="14848" s="1"/>
  <c r="D165" i="14848"/>
  <c r="P165" i="14848" s="1"/>
  <c r="H131" i="14842"/>
  <c r="AB131" i="14842" s="1"/>
  <c r="P130" i="14848"/>
  <c r="S130" i="14848" s="1"/>
  <c r="D131" i="14842"/>
  <c r="X131" i="14842" s="1"/>
  <c r="M133" i="14842"/>
  <c r="AG133" i="14842" s="1"/>
  <c r="N576" i="14814"/>
  <c r="H411" i="14786" s="1"/>
  <c r="L596" i="14814"/>
  <c r="N596" i="14814" s="1"/>
  <c r="K596" i="14814"/>
  <c r="I596" i="14814"/>
  <c r="N574" i="14814"/>
  <c r="H409" i="14786" s="1"/>
  <c r="Z130" i="14842"/>
  <c r="G133" i="14842"/>
  <c r="AA133" i="14842" s="1"/>
  <c r="D165" i="14842"/>
  <c r="P165" i="14842" s="1"/>
  <c r="P166" i="14842" s="1"/>
  <c r="P163" i="14822"/>
  <c r="P162" i="14822" s="1"/>
  <c r="D165" i="14822"/>
  <c r="P165" i="14822" s="1"/>
  <c r="K571" i="14814"/>
  <c r="E406" i="14786" s="1"/>
  <c r="E133" i="14842"/>
  <c r="Y133" i="14842" s="1"/>
  <c r="I131" i="14842"/>
  <c r="AC131" i="14842" s="1"/>
  <c r="P193" i="14848"/>
  <c r="P192" i="14848" s="1"/>
  <c r="D195" i="14848"/>
  <c r="P195" i="14848" s="1"/>
  <c r="D415" i="14786"/>
  <c r="L580" i="14814"/>
  <c r="L591" i="14814"/>
  <c r="N591" i="14814" s="1"/>
  <c r="I591" i="14814"/>
  <c r="K591" i="14814"/>
  <c r="Z131" i="14842"/>
  <c r="F133" i="14842"/>
  <c r="Z133" i="14842" s="1"/>
  <c r="P131" i="14822"/>
  <c r="V570" i="14814"/>
  <c r="P133" i="14822"/>
  <c r="D414" i="14786"/>
  <c r="L579" i="14814"/>
  <c r="AH130" i="14842"/>
  <c r="N131" i="14842"/>
  <c r="K580" i="14814"/>
  <c r="E415" i="14786" s="1"/>
  <c r="P133" i="14847"/>
  <c r="V589" i="14814"/>
  <c r="P131" i="14847"/>
  <c r="D406" i="14786"/>
  <c r="L571" i="14814"/>
  <c r="AF130" i="14842"/>
  <c r="L131" i="14842"/>
  <c r="AI130" i="14842"/>
  <c r="O131" i="14842"/>
  <c r="V281" i="14814"/>
  <c r="Y280" i="14814"/>
  <c r="I580" i="14814"/>
  <c r="C415" i="14786" s="1"/>
  <c r="I579" i="14814"/>
  <c r="C414" i="14786" s="1"/>
  <c r="AE130" i="14842"/>
  <c r="K131" i="14842"/>
  <c r="L599" i="14814"/>
  <c r="N599" i="14814" s="1"/>
  <c r="K599" i="14814"/>
  <c r="I599" i="14814"/>
  <c r="L597" i="14814"/>
  <c r="N597" i="14814" s="1"/>
  <c r="I597" i="14814"/>
  <c r="K597" i="14814"/>
  <c r="F405" i="14786"/>
  <c r="N570" i="14814"/>
  <c r="H405" i="14786" s="1"/>
  <c r="P193" i="14822"/>
  <c r="P192" i="14822" s="1"/>
  <c r="D195" i="14822"/>
  <c r="P195" i="14822" s="1"/>
  <c r="P193" i="14842"/>
  <c r="P192" i="14842" s="1"/>
  <c r="D195" i="14842"/>
  <c r="P195" i="14842" s="1"/>
  <c r="P196" i="14842" s="1"/>
  <c r="F408" i="14786"/>
  <c r="N573" i="14814"/>
  <c r="H408" i="14786" s="1"/>
  <c r="AD131" i="14842"/>
  <c r="J133" i="14842"/>
  <c r="AD133" i="14842" s="1"/>
  <c r="Y342" i="14814" l="1"/>
  <c r="V343" i="14814"/>
  <c r="H133" i="14842"/>
  <c r="AB133" i="14842" s="1"/>
  <c r="D133" i="14842"/>
  <c r="X133" i="14842" s="1"/>
  <c r="P166" i="14822"/>
  <c r="N188" i="14786"/>
  <c r="N188" i="14852"/>
  <c r="I133" i="14842"/>
  <c r="AC133" i="14842" s="1"/>
  <c r="P131" i="14842"/>
  <c r="AJ131" i="14842" s="1"/>
  <c r="S131" i="14822"/>
  <c r="P130" i="14822"/>
  <c r="S130" i="14822" s="1"/>
  <c r="F406" i="14786"/>
  <c r="N571" i="14814"/>
  <c r="H406" i="14786" s="1"/>
  <c r="AE131" i="14842"/>
  <c r="K133" i="14842"/>
  <c r="AE133" i="14842" s="1"/>
  <c r="S131" i="14847"/>
  <c r="P130" i="14847"/>
  <c r="S130" i="14847" s="1"/>
  <c r="P134" i="14847"/>
  <c r="M188" i="14852"/>
  <c r="S133" i="14847"/>
  <c r="F415" i="14786"/>
  <c r="N580" i="14814"/>
  <c r="H415" i="14786" s="1"/>
  <c r="P196" i="14822"/>
  <c r="O188" i="14852"/>
  <c r="O188" i="14786"/>
  <c r="AH131" i="14842"/>
  <c r="N133" i="14842"/>
  <c r="AH133" i="14842" s="1"/>
  <c r="Y281" i="14814"/>
  <c r="V282" i="14814"/>
  <c r="AI131" i="14842"/>
  <c r="O133" i="14842"/>
  <c r="AI133" i="14842" s="1"/>
  <c r="F414" i="14786"/>
  <c r="N579" i="14814"/>
  <c r="H414" i="14786" s="1"/>
  <c r="AF131" i="14842"/>
  <c r="L133" i="14842"/>
  <c r="AF133" i="14842" s="1"/>
  <c r="M188" i="14786"/>
  <c r="P134" i="14822"/>
  <c r="S133" i="14822"/>
  <c r="V344" i="14814" l="1"/>
  <c r="Y343" i="14814"/>
  <c r="I274" i="14786"/>
  <c r="N183" i="14786"/>
  <c r="N183" i="14852"/>
  <c r="I274" i="14852"/>
  <c r="P130" i="14842"/>
  <c r="S130" i="14842" s="1"/>
  <c r="S131" i="14842"/>
  <c r="O183" i="14852"/>
  <c r="I273" i="14852"/>
  <c r="M183" i="14786"/>
  <c r="I275" i="14786"/>
  <c r="M183" i="14852"/>
  <c r="I275" i="14852"/>
  <c r="V283" i="14814"/>
  <c r="Y282" i="14814"/>
  <c r="P133" i="14842"/>
  <c r="O183" i="14786"/>
  <c r="I273" i="14786"/>
  <c r="Y344" i="14814" l="1"/>
  <c r="V345" i="14814"/>
  <c r="AJ130" i="14842"/>
  <c r="P134" i="14842"/>
  <c r="AJ133" i="14842"/>
  <c r="S133" i="14842"/>
  <c r="Y283" i="14814"/>
  <c r="V284" i="14814"/>
  <c r="Y345" i="14814" l="1"/>
  <c r="V346" i="14814"/>
  <c r="V285" i="14814"/>
  <c r="Y284" i="14814"/>
  <c r="V347" i="14814" l="1"/>
  <c r="Y346" i="14814"/>
  <c r="Y285" i="14814"/>
  <c r="V286" i="14814"/>
  <c r="V348" i="14814" l="1"/>
  <c r="Y347" i="14814"/>
  <c r="Y286" i="14814"/>
  <c r="V287" i="14814"/>
  <c r="Y348" i="14814" l="1"/>
  <c r="V349" i="14814"/>
  <c r="Y287" i="14814"/>
  <c r="V288" i="14814"/>
  <c r="Y349" i="14814" l="1"/>
  <c r="V350" i="14814"/>
  <c r="Y288" i="14814"/>
  <c r="V289" i="14814"/>
  <c r="V351" i="14814" l="1"/>
  <c r="Y350" i="14814"/>
  <c r="Y289" i="14814"/>
  <c r="V290" i="14814"/>
  <c r="Y351" i="14814" l="1"/>
  <c r="V352" i="14814"/>
  <c r="V291" i="14814"/>
  <c r="Y290" i="14814"/>
  <c r="Y352" i="14814" l="1"/>
  <c r="V353" i="14814"/>
  <c r="Y291" i="14814"/>
  <c r="V292" i="14814"/>
  <c r="V354" i="14814" l="1"/>
  <c r="Y353" i="14814"/>
  <c r="V293" i="14814"/>
  <c r="Y292" i="14814"/>
  <c r="V355" i="14814" l="1"/>
  <c r="Y354" i="14814"/>
  <c r="Y293" i="14814"/>
  <c r="V294" i="14814"/>
  <c r="Y355" i="14814" l="1"/>
  <c r="V356" i="14814"/>
  <c r="V295" i="14814"/>
  <c r="Y294" i="14814"/>
  <c r="V357" i="14814" l="1"/>
  <c r="Y356" i="14814"/>
  <c r="Y295" i="14814"/>
  <c r="V296" i="14814"/>
  <c r="V358" i="14814" l="1"/>
  <c r="Y357" i="14814"/>
  <c r="Y296" i="14814"/>
  <c r="V297" i="14814"/>
  <c r="V359" i="14814" l="1"/>
  <c r="Y358" i="14814"/>
  <c r="Y297" i="14814"/>
  <c r="V298" i="14814"/>
  <c r="Y359" i="14814" l="1"/>
  <c r="V360" i="14814"/>
  <c r="V299" i="14814"/>
  <c r="Y298" i="14814"/>
  <c r="Y360" i="14814" l="1"/>
  <c r="V361" i="14814"/>
  <c r="Y299" i="14814"/>
  <c r="V300" i="14814"/>
  <c r="V362" i="14814" l="1"/>
  <c r="Y362" i="14814" s="1"/>
  <c r="Y361" i="14814"/>
  <c r="V301" i="14814"/>
  <c r="Y301" i="14814" s="1"/>
  <c r="Y300" i="148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tc={B2CA0806-C68E-4743-A32D-06441572E897}</author>
    <author>tc={C9FFAB5E-CFC7-4929-B194-989A5C324446}</author>
    <author>tc={799253A3-3E67-4E30-97DC-82F0F2DDEEF0}</author>
    <author>tc={4211E186-AA61-43C0-86A1-E722B44AA46E}</author>
  </authors>
  <commentList>
    <comment ref="D49" authorId="0" shapeId="0" xr:uid="{B2CA0806-C68E-4743-A32D-06441572E89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FWE: (selon SIA 2024 édition 2015, il n'y a pas de différence terminologique entre Wärmeeinträge et Wärmeeinträgeleistung)</t>
      </text>
    </comment>
    <comment ref="D100" authorId="1" shapeId="0" xr:uid="{C9FFAB5E-CFC7-4929-B194-989A5C3244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FWE: SIA 2021 1.3.2.12 pour la traduction + sensible</t>
      </text>
    </comment>
    <comment ref="D218" authorId="2" shapeId="0" xr:uid="{799253A3-3E67-4E30-97DC-82F0F2DDEEF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FWE: à partir de SIA 2056 1.1.2.6</t>
      </text>
    </comment>
    <comment ref="D418" authorId="3" shapeId="0" xr:uid="{4211E186-AA61-43C0-86A1-E722B44AA46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FWE: (traduction actuelle la SIA 2024 édition 2015 - pourrait être remplacé par profil de présence)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Schneider</author>
    <author>Martin Ménard</author>
  </authors>
  <commentList>
    <comment ref="IC6" authorId="0" shapeId="0" xr:uid="{00000000-0006-0000-0300-000001000000}">
      <text>
        <r>
          <rPr>
            <b/>
            <sz val="9"/>
            <color indexed="81"/>
            <rFont val="Tahoma"/>
            <family val="2"/>
          </rPr>
          <t>Christian Schneider:</t>
        </r>
        <r>
          <rPr>
            <sz val="9"/>
            <color indexed="81"/>
            <rFont val="Tahoma"/>
            <family val="2"/>
          </rPr>
          <t xml:space="preserve">
1 I:   Wohnen MFH
2 II:  Wohnen EFH
3 III: Verwaltung
4 IV:  Schulen
5 V:  Verkauf
6 VI:  Restaurants
7 VII: Versammlungslokale
8 VIII: Spitäler
9 IX:   Industrie
10 X:    Lager
11 XI:   Sportbauten
12 XII:  Hallenbäder</t>
        </r>
      </text>
    </comment>
    <comment ref="CT9" authorId="1" shapeId="0" xr:uid="{00000000-0006-0000-0300-000002000000}">
      <text>
        <r>
          <rPr>
            <b/>
            <sz val="9"/>
            <color indexed="81"/>
            <rFont val="Tahoma"/>
            <family val="2"/>
          </rPr>
          <t>Martin Ménard:</t>
        </r>
        <r>
          <rPr>
            <sz val="9"/>
            <color indexed="81"/>
            <rFont val="Tahoma"/>
            <family val="2"/>
          </rPr>
          <t xml:space="preserve">
bisher 0.340</t>
        </r>
      </text>
    </comment>
    <comment ref="CT10" authorId="1" shapeId="0" xr:uid="{00000000-0006-0000-0300-000003000000}">
      <text>
        <r>
          <rPr>
            <b/>
            <sz val="9"/>
            <color indexed="81"/>
            <rFont val="Tahoma"/>
            <family val="2"/>
          </rPr>
          <t>Martin Ménard:</t>
        </r>
        <r>
          <rPr>
            <sz val="9"/>
            <color indexed="81"/>
            <rFont val="Tahoma"/>
            <family val="2"/>
          </rPr>
          <t xml:space="preserve">
bisher 0.280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Martin Ménard</author>
    <author>Martin Ménard X</author>
  </authors>
  <commentList>
    <comment ref="F2" authorId="0" shapeId="0" xr:uid="{00000000-0006-0000-0400-000001000000}">
      <text>
        <r>
          <rPr>
            <b/>
            <sz val="9"/>
            <color indexed="81"/>
            <rFont val="Segoe UI"/>
            <family val="2"/>
          </rPr>
          <t>Martin Ménard:</t>
        </r>
        <r>
          <rPr>
            <sz val="9"/>
            <color indexed="81"/>
            <rFont val="Segoe UI"/>
            <family val="2"/>
          </rPr>
          <t xml:space="preserve">
Klimastation wirkt nur auf Projektwert Wärmeleistungsbilanz Sommer-Auslegungstag (ab Zeile 229);
alle übrigen Werte für Zürich SMA</t>
        </r>
      </text>
    </comment>
    <comment ref="Z98" authorId="0" shapeId="0" xr:uid="{00000000-0006-0000-0400-000003000000}">
      <text>
        <r>
          <rPr>
            <b/>
            <sz val="9"/>
            <color indexed="81"/>
            <rFont val="Tahoma"/>
            <family val="2"/>
          </rPr>
          <t>Martin Ménard:</t>
        </r>
        <r>
          <rPr>
            <sz val="9"/>
            <color indexed="81"/>
            <rFont val="Tahoma"/>
            <family val="2"/>
          </rPr>
          <t xml:space="preserve">
Startwertformel</t>
        </r>
      </text>
    </comment>
    <comment ref="AF125" authorId="0" shapeId="0" xr:uid="{00000000-0006-0000-0400-000004000000}">
      <text>
        <r>
          <rPr>
            <b/>
            <sz val="9"/>
            <color indexed="81"/>
            <rFont val="Segoe UI"/>
            <family val="2"/>
          </rPr>
          <t>Martin Ménard:</t>
        </r>
        <r>
          <rPr>
            <sz val="9"/>
            <color indexed="81"/>
            <rFont val="Segoe UI"/>
            <family val="2"/>
          </rPr>
          <t xml:space="preserve">
Knotenmodell Koschenz: falsch!</t>
        </r>
      </text>
    </comment>
    <comment ref="AF126" authorId="0" shapeId="0" xr:uid="{00000000-0006-0000-0400-000005000000}">
      <text>
        <r>
          <rPr>
            <b/>
            <sz val="9"/>
            <color indexed="81"/>
            <rFont val="Segoe UI"/>
            <family val="2"/>
          </rPr>
          <t>Martin Ménard:</t>
        </r>
        <r>
          <rPr>
            <sz val="9"/>
            <color indexed="81"/>
            <rFont val="Segoe UI"/>
            <family val="2"/>
          </rPr>
          <t xml:space="preserve">
Interne und externe Wärmeeintragsleistung x 0.7</t>
        </r>
      </text>
    </comment>
    <comment ref="AF127" authorId="0" shapeId="0" xr:uid="{00000000-0006-0000-0400-000006000000}">
      <text>
        <r>
          <rPr>
            <b/>
            <sz val="9"/>
            <color indexed="81"/>
            <rFont val="Segoe UI"/>
            <family val="2"/>
          </rPr>
          <t>Martin Ménard:</t>
        </r>
        <r>
          <rPr>
            <sz val="9"/>
            <color indexed="81"/>
            <rFont val="Segoe UI"/>
            <family val="2"/>
          </rPr>
          <t xml:space="preserve">
max. Wärmebilanz = Vorschlag neue Kennzahl ab 11.10.2020!</t>
        </r>
      </text>
    </comment>
    <comment ref="AF128" authorId="0" shapeId="0" xr:uid="{00000000-0006-0000-0400-000007000000}">
      <text>
        <r>
          <rPr>
            <b/>
            <sz val="9"/>
            <color indexed="81"/>
            <rFont val="Segoe UI"/>
            <family val="2"/>
          </rPr>
          <t>Martin Ménard:</t>
        </r>
        <r>
          <rPr>
            <sz val="9"/>
            <color indexed="81"/>
            <rFont val="Segoe UI"/>
            <family val="2"/>
          </rPr>
          <t xml:space="preserve">
24h-Mittelwert (Dauerleistung)</t>
        </r>
      </text>
    </comment>
    <comment ref="K233" authorId="0" shapeId="0" xr:uid="{00000000-0006-0000-0400-000008000000}">
      <text>
        <r>
          <rPr>
            <b/>
            <sz val="9"/>
            <color indexed="81"/>
            <rFont val="Segoe UI"/>
            <family val="2"/>
          </rPr>
          <t>Martin Ménard:</t>
        </r>
        <r>
          <rPr>
            <sz val="9"/>
            <color indexed="81"/>
            <rFont val="Segoe UI"/>
            <family val="2"/>
          </rPr>
          <t xml:space="preserve">
Ist das richtig Verknüpft???</t>
        </r>
      </text>
    </comment>
    <comment ref="C567" authorId="1" shapeId="0" xr:uid="{00000000-0006-0000-0400-00000A000000}">
      <text>
        <r>
          <rPr>
            <b/>
            <sz val="9"/>
            <color indexed="81"/>
            <rFont val="Tahoma"/>
            <family val="2"/>
          </rPr>
          <t>Martin Ménard X:</t>
        </r>
        <r>
          <rPr>
            <sz val="9"/>
            <color indexed="81"/>
            <rFont val="Tahoma"/>
            <family val="2"/>
          </rPr>
          <t xml:space="preserve">
nicht mehr verknüpft</t>
        </r>
      </text>
    </comment>
    <comment ref="F609" authorId="1" shapeId="0" xr:uid="{00000000-0006-0000-0400-00000B000000}">
      <text>
        <r>
          <rPr>
            <b/>
            <sz val="9"/>
            <color indexed="81"/>
            <rFont val="Tahoma"/>
            <family val="2"/>
          </rPr>
          <t>Martin Ménard X:</t>
        </r>
        <r>
          <rPr>
            <sz val="9"/>
            <color indexed="81"/>
            <rFont val="Tahoma"/>
            <family val="2"/>
          </rPr>
          <t xml:space="preserve">
nicht mehr verknüpft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Martin Ménard</author>
  </authors>
  <commentList>
    <comment ref="M181" authorId="0" shapeId="0" xr:uid="{00000000-0006-0000-0900-000001000000}">
      <text>
        <r>
          <rPr>
            <b/>
            <sz val="9"/>
            <color indexed="81"/>
            <rFont val="Tahoma"/>
            <family val="2"/>
          </rPr>
          <t>Martin Ménard:</t>
        </r>
        <r>
          <rPr>
            <sz val="9"/>
            <color indexed="81"/>
            <rFont val="Tahoma"/>
            <family val="2"/>
          </rPr>
          <t xml:space="preserve">
achtung: ist eigentlich von Höher über Meer abhängig</t>
        </r>
      </text>
    </comment>
    <comment ref="N181" authorId="0" shapeId="0" xr:uid="{00000000-0006-0000-0900-000002000000}">
      <text>
        <r>
          <rPr>
            <b/>
            <sz val="9"/>
            <color indexed="81"/>
            <rFont val="Tahoma"/>
            <family val="2"/>
          </rPr>
          <t>Martin Ménard:</t>
        </r>
        <r>
          <rPr>
            <sz val="9"/>
            <color indexed="81"/>
            <rFont val="Tahoma"/>
            <family val="2"/>
          </rPr>
          <t xml:space="preserve">
achtung: ist eigentlich von Höher über Meer abhängig</t>
        </r>
      </text>
    </comment>
    <comment ref="O181" authorId="0" shapeId="0" xr:uid="{00000000-0006-0000-0900-000003000000}">
      <text>
        <r>
          <rPr>
            <b/>
            <sz val="9"/>
            <color indexed="81"/>
            <rFont val="Tahoma"/>
            <family val="2"/>
          </rPr>
          <t>Martin Ménard:</t>
        </r>
        <r>
          <rPr>
            <sz val="9"/>
            <color indexed="81"/>
            <rFont val="Tahoma"/>
            <family val="2"/>
          </rPr>
          <t xml:space="preserve">
achtung: ist eigentlich von Höher über Meer abhängig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Martin Ménard</author>
  </authors>
  <commentList>
    <comment ref="M181" authorId="0" shapeId="0" xr:uid="{9B5CFFA7-18BB-4046-9C27-9975F67E30C3}">
      <text>
        <r>
          <rPr>
            <b/>
            <sz val="9"/>
            <color indexed="81"/>
            <rFont val="Tahoma"/>
            <family val="2"/>
          </rPr>
          <t>Martin Ménard:</t>
        </r>
        <r>
          <rPr>
            <sz val="9"/>
            <color indexed="81"/>
            <rFont val="Tahoma"/>
            <family val="2"/>
          </rPr>
          <t xml:space="preserve">
achtung: ist eigentlich von Höher über Meer abhängig</t>
        </r>
      </text>
    </comment>
    <comment ref="N181" authorId="0" shapeId="0" xr:uid="{E4698B55-1D15-4DE1-BFA8-E9B80CC61784}">
      <text>
        <r>
          <rPr>
            <b/>
            <sz val="9"/>
            <color indexed="81"/>
            <rFont val="Tahoma"/>
            <family val="2"/>
          </rPr>
          <t>Martin Ménard:</t>
        </r>
        <r>
          <rPr>
            <sz val="9"/>
            <color indexed="81"/>
            <rFont val="Tahoma"/>
            <family val="2"/>
          </rPr>
          <t xml:space="preserve">
achtung: ist eigentlich von Höher über Meer abhängig</t>
        </r>
      </text>
    </comment>
    <comment ref="O181" authorId="0" shapeId="0" xr:uid="{10D7930C-8FEA-46C4-9D46-3C1639C798F3}">
      <text>
        <r>
          <rPr>
            <b/>
            <sz val="9"/>
            <color indexed="81"/>
            <rFont val="Tahoma"/>
            <family val="2"/>
          </rPr>
          <t>Martin Ménard:</t>
        </r>
        <r>
          <rPr>
            <sz val="9"/>
            <color indexed="81"/>
            <rFont val="Tahoma"/>
            <family val="2"/>
          </rPr>
          <t xml:space="preserve">
achtung: ist eigentlich von Höher über Meer abhängig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Martin Ménard</author>
    <author>Martin Ménard X</author>
  </authors>
  <commentList>
    <comment ref="GZ8" authorId="0" shapeId="0" xr:uid="{00000000-0006-0000-0F00-000001000000}">
      <text>
        <r>
          <rPr>
            <b/>
            <sz val="9"/>
            <color indexed="81"/>
            <rFont val="Tahoma"/>
            <family val="2"/>
          </rPr>
          <t>Martin Ménard:</t>
        </r>
        <r>
          <rPr>
            <sz val="9"/>
            <color indexed="81"/>
            <rFont val="Tahoma"/>
            <family val="2"/>
          </rPr>
          <t xml:space="preserve">
Restaurant, Lingerie</t>
        </r>
      </text>
    </comment>
    <comment ref="HE8" authorId="0" shapeId="0" xr:uid="{00000000-0006-0000-0F00-000002000000}">
      <text>
        <r>
          <rPr>
            <b/>
            <sz val="9"/>
            <color indexed="81"/>
            <rFont val="Tahoma"/>
            <family val="2"/>
          </rPr>
          <t>Martin Ménard:</t>
        </r>
        <r>
          <rPr>
            <sz val="9"/>
            <color indexed="81"/>
            <rFont val="Tahoma"/>
            <family val="2"/>
          </rPr>
          <t xml:space="preserve">
z.B. Selbstbedinungsrestaurant, Rechenzentrum</t>
        </r>
      </text>
    </comment>
    <comment ref="HG8" authorId="0" shapeId="0" xr:uid="{00000000-0006-0000-0F00-000003000000}">
      <text>
        <r>
          <rPr>
            <b/>
            <sz val="9"/>
            <color indexed="81"/>
            <rFont val="Tahoma"/>
            <family val="2"/>
          </rPr>
          <t>Martin Ménard:</t>
        </r>
        <r>
          <rPr>
            <sz val="9"/>
            <color indexed="81"/>
            <rFont val="Tahoma"/>
            <family val="2"/>
          </rPr>
          <t xml:space="preserve">
Gewerbliche Kälte</t>
        </r>
      </text>
    </comment>
    <comment ref="HJ8" authorId="0" shapeId="0" xr:uid="{00000000-0006-0000-0F00-000004000000}">
      <text>
        <r>
          <rPr>
            <b/>
            <sz val="9"/>
            <color indexed="81"/>
            <rFont val="Tahoma"/>
            <family val="2"/>
          </rPr>
          <t>Martin Ménard:</t>
        </r>
        <r>
          <rPr>
            <sz val="9"/>
            <color indexed="81"/>
            <rFont val="Tahoma"/>
            <family val="2"/>
          </rPr>
          <t xml:space="preserve">
Fehlt: Gewerbliche Kälte, Produktionsküche</t>
        </r>
      </text>
    </comment>
    <comment ref="HM8" authorId="0" shapeId="0" xr:uid="{00000000-0006-0000-0F00-000005000000}">
      <text>
        <r>
          <rPr>
            <b/>
            <sz val="9"/>
            <color indexed="81"/>
            <rFont val="Tahoma"/>
            <family val="2"/>
          </rPr>
          <t>Martin Ménard:</t>
        </r>
        <r>
          <rPr>
            <sz val="9"/>
            <color indexed="81"/>
            <rFont val="Tahoma"/>
            <family val="2"/>
          </rPr>
          <t xml:space="preserve">
Kantine, Diagnostik</t>
        </r>
      </text>
    </comment>
    <comment ref="HN8" authorId="0" shapeId="0" xr:uid="{00000000-0006-0000-0F00-000006000000}">
      <text>
        <r>
          <rPr>
            <b/>
            <sz val="9"/>
            <color indexed="81"/>
            <rFont val="Tahoma"/>
            <family val="2"/>
          </rPr>
          <t>Martin Ménard:</t>
        </r>
        <r>
          <rPr>
            <sz val="9"/>
            <color indexed="81"/>
            <rFont val="Tahoma"/>
            <family val="2"/>
          </rPr>
          <t xml:space="preserve">
Kantine</t>
        </r>
      </text>
    </comment>
    <comment ref="HO8" authorId="0" shapeId="0" xr:uid="{00000000-0006-0000-0F00-000007000000}">
      <text>
        <r>
          <rPr>
            <b/>
            <sz val="9"/>
            <color indexed="81"/>
            <rFont val="Tahoma"/>
            <family val="2"/>
          </rPr>
          <t>Martin Ménard:</t>
        </r>
        <r>
          <rPr>
            <sz val="9"/>
            <color indexed="81"/>
            <rFont val="Tahoma"/>
            <family val="2"/>
          </rPr>
          <t xml:space="preserve">
Div. Idustrielle Prozessanlagen; Wert woher?</t>
        </r>
      </text>
    </comment>
    <comment ref="HR8" authorId="0" shapeId="0" xr:uid="{00000000-0006-0000-0F00-000008000000}">
      <text>
        <r>
          <rPr>
            <b/>
            <sz val="9"/>
            <color indexed="81"/>
            <rFont val="Tahoma"/>
            <family val="2"/>
          </rPr>
          <t>Martin Ménard:</t>
        </r>
        <r>
          <rPr>
            <sz val="9"/>
            <color indexed="81"/>
            <rFont val="Tahoma"/>
            <family val="2"/>
          </rPr>
          <t xml:space="preserve">
Badtechnik, Cafe, Restaurent</t>
        </r>
      </text>
    </comment>
    <comment ref="AC11" authorId="1" shapeId="0" xr:uid="{00000000-0006-0000-0F00-000009000000}">
      <text>
        <r>
          <rPr>
            <b/>
            <sz val="9"/>
            <color indexed="81"/>
            <rFont val="Tahoma"/>
            <family val="2"/>
          </rPr>
          <t>Martin Ménard X:</t>
        </r>
        <r>
          <rPr>
            <sz val="9"/>
            <color indexed="81"/>
            <rFont val="Tahoma"/>
            <family val="2"/>
          </rPr>
          <t xml:space="preserve">
gemäss SIA 2056:2019, Wohnen I und II gemäss Gasser Strommodell Zweckbauten April 2018</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Martin Ménard</author>
  </authors>
  <commentList>
    <comment ref="GZ8" authorId="0" shapeId="0" xr:uid="{00000000-0006-0000-1000-000001000000}">
      <text>
        <r>
          <rPr>
            <b/>
            <sz val="9"/>
            <color indexed="81"/>
            <rFont val="Tahoma"/>
            <family val="2"/>
          </rPr>
          <t>Martin Ménard:</t>
        </r>
        <r>
          <rPr>
            <sz val="9"/>
            <color indexed="81"/>
            <rFont val="Tahoma"/>
            <family val="2"/>
          </rPr>
          <t xml:space="preserve">
Restaurant, Lingerie</t>
        </r>
      </text>
    </comment>
    <comment ref="HE8" authorId="0" shapeId="0" xr:uid="{00000000-0006-0000-1000-000002000000}">
      <text>
        <r>
          <rPr>
            <b/>
            <sz val="9"/>
            <color indexed="81"/>
            <rFont val="Tahoma"/>
            <family val="2"/>
          </rPr>
          <t>Martin Ménard:</t>
        </r>
        <r>
          <rPr>
            <sz val="9"/>
            <color indexed="81"/>
            <rFont val="Tahoma"/>
            <family val="2"/>
          </rPr>
          <t xml:space="preserve">
z.B. Selbstbedinungsrestaurant, Rechenzentrum</t>
        </r>
      </text>
    </comment>
    <comment ref="HG8" authorId="0" shapeId="0" xr:uid="{00000000-0006-0000-1000-000003000000}">
      <text>
        <r>
          <rPr>
            <b/>
            <sz val="9"/>
            <color indexed="81"/>
            <rFont val="Tahoma"/>
            <family val="2"/>
          </rPr>
          <t>Martin Ménard:</t>
        </r>
        <r>
          <rPr>
            <sz val="9"/>
            <color indexed="81"/>
            <rFont val="Tahoma"/>
            <family val="2"/>
          </rPr>
          <t xml:space="preserve">
Gewerbliche Kälte</t>
        </r>
      </text>
    </comment>
    <comment ref="HJ8" authorId="0" shapeId="0" xr:uid="{00000000-0006-0000-1000-000004000000}">
      <text>
        <r>
          <rPr>
            <b/>
            <sz val="9"/>
            <color indexed="81"/>
            <rFont val="Tahoma"/>
            <family val="2"/>
          </rPr>
          <t>Martin Ménard:</t>
        </r>
        <r>
          <rPr>
            <sz val="9"/>
            <color indexed="81"/>
            <rFont val="Tahoma"/>
            <family val="2"/>
          </rPr>
          <t xml:space="preserve">
Fehlt: Gewerbliche Kälte, Produktionsküche</t>
        </r>
      </text>
    </comment>
    <comment ref="HM8" authorId="0" shapeId="0" xr:uid="{00000000-0006-0000-1000-000005000000}">
      <text>
        <r>
          <rPr>
            <b/>
            <sz val="9"/>
            <color indexed="81"/>
            <rFont val="Tahoma"/>
            <family val="2"/>
          </rPr>
          <t>Martin Ménard:</t>
        </r>
        <r>
          <rPr>
            <sz val="9"/>
            <color indexed="81"/>
            <rFont val="Tahoma"/>
            <family val="2"/>
          </rPr>
          <t xml:space="preserve">
Kantine, Diagnostik</t>
        </r>
      </text>
    </comment>
    <comment ref="HN8" authorId="0" shapeId="0" xr:uid="{00000000-0006-0000-1000-000006000000}">
      <text>
        <r>
          <rPr>
            <b/>
            <sz val="9"/>
            <color indexed="81"/>
            <rFont val="Tahoma"/>
            <family val="2"/>
          </rPr>
          <t>Martin Ménard:</t>
        </r>
        <r>
          <rPr>
            <sz val="9"/>
            <color indexed="81"/>
            <rFont val="Tahoma"/>
            <family val="2"/>
          </rPr>
          <t xml:space="preserve">
Kantine</t>
        </r>
      </text>
    </comment>
    <comment ref="HO8" authorId="0" shapeId="0" xr:uid="{00000000-0006-0000-1000-000007000000}">
      <text>
        <r>
          <rPr>
            <b/>
            <sz val="9"/>
            <color indexed="81"/>
            <rFont val="Tahoma"/>
            <family val="2"/>
          </rPr>
          <t>Martin Ménard:</t>
        </r>
        <r>
          <rPr>
            <sz val="9"/>
            <color indexed="81"/>
            <rFont val="Tahoma"/>
            <family val="2"/>
          </rPr>
          <t xml:space="preserve">
Div. Idustrielle Prozessanlagen; Wert woher?</t>
        </r>
      </text>
    </comment>
    <comment ref="HR8" authorId="0" shapeId="0" xr:uid="{00000000-0006-0000-1000-000008000000}">
      <text>
        <r>
          <rPr>
            <b/>
            <sz val="9"/>
            <color indexed="81"/>
            <rFont val="Tahoma"/>
            <family val="2"/>
          </rPr>
          <t>Martin Ménard:</t>
        </r>
        <r>
          <rPr>
            <sz val="9"/>
            <color indexed="81"/>
            <rFont val="Tahoma"/>
            <family val="2"/>
          </rPr>
          <t xml:space="preserve">
Badtechnik, Cafe, Restaurent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Martin Ménard</author>
    <author>Martin Ménard X</author>
  </authors>
  <commentList>
    <comment ref="GZ8" authorId="0" shapeId="0" xr:uid="{00000000-0006-0000-1100-000001000000}">
      <text>
        <r>
          <rPr>
            <b/>
            <sz val="9"/>
            <color indexed="81"/>
            <rFont val="Tahoma"/>
            <family val="2"/>
          </rPr>
          <t>Martin Ménard:</t>
        </r>
        <r>
          <rPr>
            <sz val="9"/>
            <color indexed="81"/>
            <rFont val="Tahoma"/>
            <family val="2"/>
          </rPr>
          <t xml:space="preserve">
Restaurant, Lingerie</t>
        </r>
      </text>
    </comment>
    <comment ref="HE8" authorId="0" shapeId="0" xr:uid="{00000000-0006-0000-1100-000002000000}">
      <text>
        <r>
          <rPr>
            <b/>
            <sz val="9"/>
            <color indexed="81"/>
            <rFont val="Tahoma"/>
            <family val="2"/>
          </rPr>
          <t>Martin Ménard:</t>
        </r>
        <r>
          <rPr>
            <sz val="9"/>
            <color indexed="81"/>
            <rFont val="Tahoma"/>
            <family val="2"/>
          </rPr>
          <t xml:space="preserve">
z.B. Selbstbedinungsrestaurant, Rechenzentrum</t>
        </r>
      </text>
    </comment>
    <comment ref="HG8" authorId="0" shapeId="0" xr:uid="{00000000-0006-0000-1100-000003000000}">
      <text>
        <r>
          <rPr>
            <b/>
            <sz val="9"/>
            <color indexed="81"/>
            <rFont val="Tahoma"/>
            <family val="2"/>
          </rPr>
          <t>Martin Ménard:</t>
        </r>
        <r>
          <rPr>
            <sz val="9"/>
            <color indexed="81"/>
            <rFont val="Tahoma"/>
            <family val="2"/>
          </rPr>
          <t xml:space="preserve">
Gewerbliche Kälte</t>
        </r>
      </text>
    </comment>
    <comment ref="HJ8" authorId="0" shapeId="0" xr:uid="{00000000-0006-0000-1100-000004000000}">
      <text>
        <r>
          <rPr>
            <b/>
            <sz val="9"/>
            <color indexed="81"/>
            <rFont val="Tahoma"/>
            <family val="2"/>
          </rPr>
          <t>Martin Ménard:</t>
        </r>
        <r>
          <rPr>
            <sz val="9"/>
            <color indexed="81"/>
            <rFont val="Tahoma"/>
            <family val="2"/>
          </rPr>
          <t xml:space="preserve">
Fehlt: Gewerbliche Kälte, Produktionsküche</t>
        </r>
      </text>
    </comment>
    <comment ref="HM8" authorId="0" shapeId="0" xr:uid="{00000000-0006-0000-1100-000005000000}">
      <text>
        <r>
          <rPr>
            <b/>
            <sz val="9"/>
            <color indexed="81"/>
            <rFont val="Tahoma"/>
            <family val="2"/>
          </rPr>
          <t>Martin Ménard:</t>
        </r>
        <r>
          <rPr>
            <sz val="9"/>
            <color indexed="81"/>
            <rFont val="Tahoma"/>
            <family val="2"/>
          </rPr>
          <t xml:space="preserve">
Kantine, Diagnostik</t>
        </r>
      </text>
    </comment>
    <comment ref="HN8" authorId="0" shapeId="0" xr:uid="{00000000-0006-0000-1100-000006000000}">
      <text>
        <r>
          <rPr>
            <b/>
            <sz val="9"/>
            <color indexed="81"/>
            <rFont val="Tahoma"/>
            <family val="2"/>
          </rPr>
          <t>Martin Ménard:</t>
        </r>
        <r>
          <rPr>
            <sz val="9"/>
            <color indexed="81"/>
            <rFont val="Tahoma"/>
            <family val="2"/>
          </rPr>
          <t xml:space="preserve">
Kantine</t>
        </r>
      </text>
    </comment>
    <comment ref="HO8" authorId="0" shapeId="0" xr:uid="{00000000-0006-0000-1100-000007000000}">
      <text>
        <r>
          <rPr>
            <b/>
            <sz val="9"/>
            <color indexed="81"/>
            <rFont val="Tahoma"/>
            <family val="2"/>
          </rPr>
          <t>Martin Ménard:</t>
        </r>
        <r>
          <rPr>
            <sz val="9"/>
            <color indexed="81"/>
            <rFont val="Tahoma"/>
            <family val="2"/>
          </rPr>
          <t xml:space="preserve">
Div. Idustrielle Prozessanlagen; Wert woher?</t>
        </r>
      </text>
    </comment>
    <comment ref="HR8" authorId="0" shapeId="0" xr:uid="{00000000-0006-0000-1100-000008000000}">
      <text>
        <r>
          <rPr>
            <b/>
            <sz val="9"/>
            <color indexed="81"/>
            <rFont val="Tahoma"/>
            <family val="2"/>
          </rPr>
          <t>Martin Ménard:</t>
        </r>
        <r>
          <rPr>
            <sz val="9"/>
            <color indexed="81"/>
            <rFont val="Tahoma"/>
            <family val="2"/>
          </rPr>
          <t xml:space="preserve">
Badtechnik, Cafe, Restaurent</t>
        </r>
      </text>
    </comment>
    <comment ref="AC11" authorId="1" shapeId="0" xr:uid="{00000000-0006-0000-1100-000009000000}">
      <text>
        <r>
          <rPr>
            <b/>
            <sz val="9"/>
            <color indexed="81"/>
            <rFont val="Tahoma"/>
            <family val="2"/>
          </rPr>
          <t>Martin Ménard X:</t>
        </r>
        <r>
          <rPr>
            <sz val="9"/>
            <color indexed="81"/>
            <rFont val="Tahoma"/>
            <family val="2"/>
          </rPr>
          <t xml:space="preserve">
gemäss SIA 2056:2019, Wohnen I und II gemäss Gasser Strommodell Zweckbauten April 2018</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Martin Ménard</author>
    <author>Martin Ménard X</author>
  </authors>
  <commentList>
    <comment ref="GZ8" authorId="0" shapeId="0" xr:uid="{00000000-0006-0000-1200-000001000000}">
      <text>
        <r>
          <rPr>
            <b/>
            <sz val="9"/>
            <color indexed="81"/>
            <rFont val="Tahoma"/>
            <family val="2"/>
          </rPr>
          <t>Martin Ménard:</t>
        </r>
        <r>
          <rPr>
            <sz val="9"/>
            <color indexed="81"/>
            <rFont val="Tahoma"/>
            <family val="2"/>
          </rPr>
          <t xml:space="preserve">
Restaurant, Lingerie</t>
        </r>
      </text>
    </comment>
    <comment ref="HE8" authorId="0" shapeId="0" xr:uid="{00000000-0006-0000-1200-000002000000}">
      <text>
        <r>
          <rPr>
            <b/>
            <sz val="9"/>
            <color indexed="81"/>
            <rFont val="Tahoma"/>
            <family val="2"/>
          </rPr>
          <t>Martin Ménard:</t>
        </r>
        <r>
          <rPr>
            <sz val="9"/>
            <color indexed="81"/>
            <rFont val="Tahoma"/>
            <family val="2"/>
          </rPr>
          <t xml:space="preserve">
z.B. Selbstbedinungsrestaurant, Rechenzentrum</t>
        </r>
      </text>
    </comment>
    <comment ref="HG8" authorId="0" shapeId="0" xr:uid="{00000000-0006-0000-1200-000003000000}">
      <text>
        <r>
          <rPr>
            <b/>
            <sz val="9"/>
            <color indexed="81"/>
            <rFont val="Tahoma"/>
            <family val="2"/>
          </rPr>
          <t>Martin Ménard:</t>
        </r>
        <r>
          <rPr>
            <sz val="9"/>
            <color indexed="81"/>
            <rFont val="Tahoma"/>
            <family val="2"/>
          </rPr>
          <t xml:space="preserve">
Gewerbliche Kälte</t>
        </r>
      </text>
    </comment>
    <comment ref="HJ8" authorId="0" shapeId="0" xr:uid="{00000000-0006-0000-1200-000004000000}">
      <text>
        <r>
          <rPr>
            <b/>
            <sz val="9"/>
            <color indexed="81"/>
            <rFont val="Tahoma"/>
            <family val="2"/>
          </rPr>
          <t>Martin Ménard:</t>
        </r>
        <r>
          <rPr>
            <sz val="9"/>
            <color indexed="81"/>
            <rFont val="Tahoma"/>
            <family val="2"/>
          </rPr>
          <t xml:space="preserve">
Fehlt: Gewerbliche Kälte, Produktionsküche</t>
        </r>
      </text>
    </comment>
    <comment ref="HM8" authorId="0" shapeId="0" xr:uid="{00000000-0006-0000-1200-000005000000}">
      <text>
        <r>
          <rPr>
            <b/>
            <sz val="9"/>
            <color indexed="81"/>
            <rFont val="Tahoma"/>
            <family val="2"/>
          </rPr>
          <t>Martin Ménard:</t>
        </r>
        <r>
          <rPr>
            <sz val="9"/>
            <color indexed="81"/>
            <rFont val="Tahoma"/>
            <family val="2"/>
          </rPr>
          <t xml:space="preserve">
Kantine, Diagnostik</t>
        </r>
      </text>
    </comment>
    <comment ref="HN8" authorId="0" shapeId="0" xr:uid="{00000000-0006-0000-1200-000006000000}">
      <text>
        <r>
          <rPr>
            <b/>
            <sz val="9"/>
            <color indexed="81"/>
            <rFont val="Tahoma"/>
            <family val="2"/>
          </rPr>
          <t>Martin Ménard:</t>
        </r>
        <r>
          <rPr>
            <sz val="9"/>
            <color indexed="81"/>
            <rFont val="Tahoma"/>
            <family val="2"/>
          </rPr>
          <t xml:space="preserve">
Kantine</t>
        </r>
      </text>
    </comment>
    <comment ref="HO8" authorId="0" shapeId="0" xr:uid="{00000000-0006-0000-1200-000007000000}">
      <text>
        <r>
          <rPr>
            <b/>
            <sz val="9"/>
            <color indexed="81"/>
            <rFont val="Tahoma"/>
            <family val="2"/>
          </rPr>
          <t>Martin Ménard:</t>
        </r>
        <r>
          <rPr>
            <sz val="9"/>
            <color indexed="81"/>
            <rFont val="Tahoma"/>
            <family val="2"/>
          </rPr>
          <t xml:space="preserve">
Div. Idustrielle Prozessanlagen; Wert woher?</t>
        </r>
      </text>
    </comment>
    <comment ref="HR8" authorId="0" shapeId="0" xr:uid="{00000000-0006-0000-1200-000008000000}">
      <text>
        <r>
          <rPr>
            <b/>
            <sz val="9"/>
            <color indexed="81"/>
            <rFont val="Tahoma"/>
            <family val="2"/>
          </rPr>
          <t>Martin Ménard:</t>
        </r>
        <r>
          <rPr>
            <sz val="9"/>
            <color indexed="81"/>
            <rFont val="Tahoma"/>
            <family val="2"/>
          </rPr>
          <t xml:space="preserve">
Badtechnik, Cafe, Restaurent</t>
        </r>
      </text>
    </comment>
    <comment ref="AC11" authorId="1" shapeId="0" xr:uid="{00000000-0006-0000-1200-000009000000}">
      <text>
        <r>
          <rPr>
            <b/>
            <sz val="9"/>
            <color indexed="81"/>
            <rFont val="Tahoma"/>
            <family val="2"/>
          </rPr>
          <t>Martin Ménard X:</t>
        </r>
        <r>
          <rPr>
            <sz val="9"/>
            <color indexed="81"/>
            <rFont val="Tahoma"/>
            <family val="2"/>
          </rPr>
          <t xml:space="preserve">
gemäss SIA 2056:2019, Wohnen I und II gemäss Gasser Strommodell Zweckbauten April 2018</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Lara Carisch</author>
  </authors>
  <commentList>
    <comment ref="A4" authorId="0" shapeId="0" xr:uid="{00000000-0006-0000-1300-000001000000}">
      <text>
        <r>
          <rPr>
            <b/>
            <sz val="9"/>
            <color indexed="81"/>
            <rFont val="Tahoma"/>
            <family val="2"/>
          </rPr>
          <t>Lara Carisch:</t>
        </r>
        <r>
          <rPr>
            <sz val="9"/>
            <color indexed="81"/>
            <rFont val="Tahoma"/>
            <family val="2"/>
          </rPr>
          <t xml:space="preserve">
Siehe "2010 Ist", Spalte 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Christian Schneider</author>
    <author>Martin Ménard X</author>
    <author>mme</author>
  </authors>
  <commentList>
    <comment ref="D36" authorId="0" shapeId="0" xr:uid="{00000000-0006-0000-1600-000002000000}">
      <text>
        <r>
          <rPr>
            <b/>
            <sz val="9"/>
            <color indexed="81"/>
            <rFont val="Tahoma"/>
            <family val="2"/>
          </rPr>
          <t>Christian Schneider:</t>
        </r>
        <r>
          <rPr>
            <sz val="9"/>
            <color indexed="81"/>
            <rFont val="Tahoma"/>
            <family val="2"/>
          </rPr>
          <t xml:space="preserve">
Räume ohne Personen bekommen 1000 m2/Pers. damit gerechnet wird. </t>
        </r>
      </text>
    </comment>
    <comment ref="D42" authorId="1" shapeId="0" xr:uid="{00000000-0006-0000-1600-000003000000}">
      <text>
        <r>
          <rPr>
            <b/>
            <sz val="9"/>
            <color indexed="81"/>
            <rFont val="Tahoma"/>
            <family val="2"/>
          </rPr>
          <t>Martin Ménard X:</t>
        </r>
        <r>
          <rPr>
            <sz val="9"/>
            <color indexed="81"/>
            <rFont val="Tahoma"/>
            <family val="2"/>
          </rPr>
          <t xml:space="preserve">
100% Ausnutzung der internen Wärmeeinträge aus Beleuchtung und Geräte, ohne Prozessanlagen</t>
        </r>
      </text>
    </comment>
    <comment ref="D44" authorId="2" shapeId="0" xr:uid="{00000000-0006-0000-1600-000004000000}">
      <text>
        <r>
          <rPr>
            <b/>
            <sz val="9"/>
            <color indexed="81"/>
            <rFont val="Tahoma"/>
            <family val="2"/>
          </rPr>
          <t>mme:</t>
        </r>
        <r>
          <rPr>
            <sz val="9"/>
            <color indexed="81"/>
            <rFont val="Tahoma"/>
            <family val="2"/>
          </rPr>
          <t xml:space="preserve">
seit SIA 380/1:2016
a0 = 1 für alle Geb.kat.</t>
        </r>
      </text>
    </comment>
    <comment ref="D45" authorId="1" shapeId="0" xr:uid="{00000000-0006-0000-1600-000005000000}">
      <text>
        <r>
          <rPr>
            <b/>
            <sz val="9"/>
            <color indexed="81"/>
            <rFont val="Tahoma"/>
            <family val="2"/>
          </rPr>
          <t>Martin Ménard X:</t>
        </r>
        <r>
          <rPr>
            <sz val="9"/>
            <color indexed="81"/>
            <rFont val="Tahoma"/>
            <family val="2"/>
          </rPr>
          <t xml:space="preserve">
seit SIA 380/1:2016
tau0 = 15 für alle Geb.kat.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Martin Ménard</author>
    <author>Christian Schneider</author>
    <author>mme</author>
  </authors>
  <commentList>
    <comment ref="E15" authorId="0" shapeId="0" xr:uid="{00000000-0006-0000-1800-000001000000}">
      <text>
        <r>
          <rPr>
            <b/>
            <sz val="9"/>
            <color indexed="81"/>
            <rFont val="Tahoma"/>
            <family val="2"/>
          </rPr>
          <t>Martin Ménard:</t>
        </r>
        <r>
          <rPr>
            <sz val="9"/>
            <color indexed="81"/>
            <rFont val="Tahoma"/>
            <family val="2"/>
          </rPr>
          <t xml:space="preserve">
inkl. 10% Wärmebrücken</t>
        </r>
      </text>
    </comment>
    <comment ref="D36" authorId="1" shapeId="0" xr:uid="{00000000-0006-0000-1800-000002000000}">
      <text>
        <r>
          <rPr>
            <b/>
            <sz val="9"/>
            <color indexed="81"/>
            <rFont val="Tahoma"/>
            <family val="2"/>
          </rPr>
          <t>Christian Schneider:</t>
        </r>
        <r>
          <rPr>
            <sz val="9"/>
            <color indexed="81"/>
            <rFont val="Tahoma"/>
            <family val="2"/>
          </rPr>
          <t xml:space="preserve">
Räume ohne Personen bekommen 1000 m2/Pers. damit gerechnet wird. </t>
        </r>
      </text>
    </comment>
    <comment ref="D44" authorId="2" shapeId="0" xr:uid="{00000000-0006-0000-1800-000003000000}">
      <text>
        <r>
          <rPr>
            <b/>
            <sz val="9"/>
            <color indexed="81"/>
            <rFont val="Tahoma"/>
            <family val="2"/>
          </rPr>
          <t>mme:</t>
        </r>
        <r>
          <rPr>
            <sz val="9"/>
            <color indexed="81"/>
            <rFont val="Tahoma"/>
            <family val="2"/>
          </rPr>
          <t xml:space="preserve">
seit SIA 380/1:2016
a0 = immer 1.0</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Christian Schneider</author>
    <author>Martin Ménard X</author>
    <author>mme</author>
  </authors>
  <commentList>
    <comment ref="D36" authorId="0" shapeId="0" xr:uid="{00000000-0006-0000-1700-000002000000}">
      <text>
        <r>
          <rPr>
            <b/>
            <sz val="9"/>
            <color indexed="81"/>
            <rFont val="Tahoma"/>
            <family val="2"/>
          </rPr>
          <t>Christian Schneider:</t>
        </r>
        <r>
          <rPr>
            <sz val="9"/>
            <color indexed="81"/>
            <rFont val="Tahoma"/>
            <family val="2"/>
          </rPr>
          <t xml:space="preserve">
Räume ohne Personen bekommen 1000 m2/Pers. damit gerechnet wird. </t>
        </r>
      </text>
    </comment>
    <comment ref="D42" authorId="1" shapeId="0" xr:uid="{00000000-0006-0000-1700-000003000000}">
      <text>
        <r>
          <rPr>
            <b/>
            <sz val="9"/>
            <color indexed="81"/>
            <rFont val="Tahoma"/>
            <family val="2"/>
          </rPr>
          <t>Martin Ménard X:</t>
        </r>
        <r>
          <rPr>
            <sz val="9"/>
            <color indexed="81"/>
            <rFont val="Tahoma"/>
            <family val="2"/>
          </rPr>
          <t xml:space="preserve">
100% Ausnutzung der internen Wärmeeinträge aus Beleuchtung und Geräte, ohne Prozessanlagen</t>
        </r>
      </text>
    </comment>
    <comment ref="D44" authorId="2" shapeId="0" xr:uid="{00000000-0006-0000-1700-000004000000}">
      <text>
        <r>
          <rPr>
            <b/>
            <sz val="9"/>
            <color indexed="81"/>
            <rFont val="Tahoma"/>
            <family val="2"/>
          </rPr>
          <t>mme:</t>
        </r>
        <r>
          <rPr>
            <sz val="9"/>
            <color indexed="81"/>
            <rFont val="Tahoma"/>
            <family val="2"/>
          </rPr>
          <t xml:space="preserve">
seit SIA 380/1:2016
a0 = 1 für alle Geb.kat.</t>
        </r>
      </text>
    </comment>
    <comment ref="D45" authorId="1" shapeId="0" xr:uid="{00000000-0006-0000-1700-000005000000}">
      <text>
        <r>
          <rPr>
            <b/>
            <sz val="9"/>
            <color indexed="81"/>
            <rFont val="Tahoma"/>
            <family val="2"/>
          </rPr>
          <t>Martin Ménard X:</t>
        </r>
        <r>
          <rPr>
            <sz val="9"/>
            <color indexed="81"/>
            <rFont val="Tahoma"/>
            <family val="2"/>
          </rPr>
          <t xml:space="preserve">
seit SIA 380/1:2016
tau0 = 15 für alle Geb.kat.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Christian Schneider</author>
    <author>mme</author>
  </authors>
  <commentList>
    <comment ref="D36" authorId="0" shapeId="0" xr:uid="{00000000-0006-0000-1900-000002000000}">
      <text>
        <r>
          <rPr>
            <b/>
            <sz val="9"/>
            <color indexed="81"/>
            <rFont val="Tahoma"/>
            <family val="2"/>
          </rPr>
          <t>Christian Schneider:</t>
        </r>
        <r>
          <rPr>
            <sz val="9"/>
            <color indexed="81"/>
            <rFont val="Tahoma"/>
            <family val="2"/>
          </rPr>
          <t xml:space="preserve">
Räume ohne Personen bekommen 1000 m2/Pers. damit gerechnet wird. </t>
        </r>
      </text>
    </comment>
    <comment ref="D44" authorId="1" shapeId="0" xr:uid="{00000000-0006-0000-1900-000003000000}">
      <text>
        <r>
          <rPr>
            <b/>
            <sz val="9"/>
            <color indexed="81"/>
            <rFont val="Tahoma"/>
            <family val="2"/>
          </rPr>
          <t>mme:</t>
        </r>
        <r>
          <rPr>
            <sz val="9"/>
            <color indexed="81"/>
            <rFont val="Tahoma"/>
            <family val="2"/>
          </rPr>
          <t xml:space="preserve">
seit SIA 380/1:2016
a0 = immer 1.0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<sst xmlns="http://schemas.openxmlformats.org/spreadsheetml/2006/main" count="11633" uniqueCount="2259">
  <si>
    <t>Raum</t>
  </si>
  <si>
    <t>Einheit</t>
  </si>
  <si>
    <t>Sommer</t>
  </si>
  <si>
    <t>°C</t>
  </si>
  <si>
    <t>Winter</t>
  </si>
  <si>
    <t>%</t>
  </si>
  <si>
    <t>m/s</t>
  </si>
  <si>
    <t>mittel</t>
  </si>
  <si>
    <t>T</t>
  </si>
  <si>
    <t>s</t>
  </si>
  <si>
    <t>Personen</t>
  </si>
  <si>
    <t>M</t>
  </si>
  <si>
    <t>met</t>
  </si>
  <si>
    <t>clo</t>
  </si>
  <si>
    <t>h/d</t>
  </si>
  <si>
    <t>h</t>
  </si>
  <si>
    <t>-</t>
  </si>
  <si>
    <t>Beleuchtung</t>
  </si>
  <si>
    <t>lx</t>
  </si>
  <si>
    <t>Lüftung</t>
  </si>
  <si>
    <t>Befeuchtung</t>
  </si>
  <si>
    <t>Heizung</t>
  </si>
  <si>
    <t>x</t>
  </si>
  <si>
    <t>Nutzungsstunden</t>
  </si>
  <si>
    <t>W/m2</t>
  </si>
  <si>
    <t>Standard</t>
  </si>
  <si>
    <t>Symbol</t>
  </si>
  <si>
    <t>g</t>
  </si>
  <si>
    <t>Stunde</t>
  </si>
  <si>
    <t>m</t>
  </si>
  <si>
    <t xml:space="preserve">für seitlich einfallendes Licht </t>
  </si>
  <si>
    <t>Korrekturfaktor Reflexionsgrad</t>
  </si>
  <si>
    <t>Korrekturfaktor Fenstersturz</t>
  </si>
  <si>
    <t>Korrekturfaktor Balkon</t>
  </si>
  <si>
    <t>Balkontiefe</t>
  </si>
  <si>
    <t>d</t>
  </si>
  <si>
    <t>ja</t>
  </si>
  <si>
    <t>Jan</t>
  </si>
  <si>
    <t>Feb</t>
  </si>
  <si>
    <t>Apr</t>
  </si>
  <si>
    <t>Mai</t>
  </si>
  <si>
    <t>Jun</t>
  </si>
  <si>
    <t>Jul</t>
  </si>
  <si>
    <t>Aug</t>
  </si>
  <si>
    <t>Sep</t>
  </si>
  <si>
    <t>Okt</t>
  </si>
  <si>
    <t>Nov</t>
  </si>
  <si>
    <t>Dez</t>
  </si>
  <si>
    <t>Standardwert</t>
  </si>
  <si>
    <t>W/K</t>
  </si>
  <si>
    <t>Zielwert</t>
  </si>
  <si>
    <t>Geräte</t>
  </si>
  <si>
    <t>W/m²</t>
  </si>
  <si>
    <r>
      <t>q</t>
    </r>
    <r>
      <rPr>
        <i/>
        <vertAlign val="subscript"/>
        <sz val="10"/>
        <color indexed="63"/>
        <rFont val="Arial"/>
        <family val="2"/>
      </rPr>
      <t>o</t>
    </r>
  </si>
  <si>
    <r>
      <t>W/m</t>
    </r>
    <r>
      <rPr>
        <vertAlign val="superscript"/>
        <sz val="10"/>
        <color indexed="63"/>
        <rFont val="Arial"/>
        <family val="2"/>
      </rPr>
      <t>2</t>
    </r>
  </si>
  <si>
    <t>mechanische Lüftung</t>
  </si>
  <si>
    <t xml:space="preserve"> </t>
  </si>
  <si>
    <t>Umrechnungsfaktor  Brutto- zu Nettofassadenfläche</t>
  </si>
  <si>
    <t>K</t>
  </si>
  <si>
    <t>Mrz</t>
  </si>
  <si>
    <t>Schulzimmer</t>
  </si>
  <si>
    <t>Verkauf</t>
  </si>
  <si>
    <r>
      <t>kWh/m</t>
    </r>
    <r>
      <rPr>
        <vertAlign val="superscript"/>
        <sz val="10"/>
        <color indexed="63"/>
        <rFont val="Arial"/>
        <family val="2"/>
      </rPr>
      <t>2</t>
    </r>
  </si>
  <si>
    <t>Total Zu- und Abluft</t>
  </si>
  <si>
    <t>gering</t>
  </si>
  <si>
    <t>Hörsaal</t>
  </si>
  <si>
    <t>Präsenzmelder</t>
  </si>
  <si>
    <t>nein</t>
  </si>
  <si>
    <r>
      <t>k</t>
    </r>
    <r>
      <rPr>
        <i/>
        <vertAlign val="subscript"/>
        <sz val="10"/>
        <color indexed="63"/>
        <rFont val="Arial"/>
        <family val="2"/>
      </rPr>
      <t>Re</t>
    </r>
  </si>
  <si>
    <r>
      <t>k</t>
    </r>
    <r>
      <rPr>
        <i/>
        <vertAlign val="subscript"/>
        <sz val="10"/>
        <color indexed="63"/>
        <rFont val="Arial"/>
        <family val="2"/>
      </rPr>
      <t>Pr</t>
    </r>
  </si>
  <si>
    <t>lm/W</t>
  </si>
  <si>
    <t>Nutzungstage</t>
  </si>
  <si>
    <t>h/a</t>
  </si>
  <si>
    <t>Volllaststunden</t>
  </si>
  <si>
    <t>Jahresgleichzeitigkeit</t>
  </si>
  <si>
    <t>Volllaststunden Ruhetag</t>
  </si>
  <si>
    <t>Ruhetage pro Woche</t>
  </si>
  <si>
    <t xml:space="preserve">Hotelzimmer </t>
  </si>
  <si>
    <t>Empfang/Lobby</t>
  </si>
  <si>
    <t>Grossraumbüro</t>
  </si>
  <si>
    <t>Sitzungszimmer</t>
  </si>
  <si>
    <t>Bibliothek</t>
  </si>
  <si>
    <t>Lebensmittelverkauf</t>
  </si>
  <si>
    <t>Restaurant</t>
  </si>
  <si>
    <t>Selbstbedienungsrestaurant</t>
  </si>
  <si>
    <t>Küche zu 6.1</t>
  </si>
  <si>
    <t>Küche zu 6.2</t>
  </si>
  <si>
    <t>Vorstellungsraum</t>
  </si>
  <si>
    <t>Mehrzweckhalle</t>
  </si>
  <si>
    <t xml:space="preserve">Bettenzimmer </t>
  </si>
  <si>
    <t xml:space="preserve">Stationszimmer </t>
  </si>
  <si>
    <t>Produktion (grobe Arbeit)</t>
  </si>
  <si>
    <t>Produktion (feine Arbeit)</t>
  </si>
  <si>
    <t>Lagerhalle</t>
  </si>
  <si>
    <t>Turnhalle</t>
  </si>
  <si>
    <t>Fitnessraum</t>
  </si>
  <si>
    <t>Schwimmhalle</t>
  </si>
  <si>
    <t>Verkehrsfläche</t>
  </si>
  <si>
    <t>WC</t>
  </si>
  <si>
    <t>Parkhaus</t>
  </si>
  <si>
    <t>Wasch- und Trockenraum</t>
  </si>
  <si>
    <t>Kühlraum</t>
  </si>
  <si>
    <t>Personenfläche</t>
  </si>
  <si>
    <t>m²/P</t>
  </si>
  <si>
    <t>Wohnen</t>
  </si>
  <si>
    <t>Nr.</t>
  </si>
  <si>
    <t>12</t>
  </si>
  <si>
    <t>1</t>
  </si>
  <si>
    <t>2</t>
  </si>
  <si>
    <t>6</t>
  </si>
  <si>
    <t>7</t>
  </si>
  <si>
    <t>5</t>
  </si>
  <si>
    <t>Raumabmessungen</t>
  </si>
  <si>
    <t>Lärmempfindlichkeit</t>
  </si>
  <si>
    <t>Aktivitätsgrad</t>
  </si>
  <si>
    <t>Ausstellungshalle</t>
  </si>
  <si>
    <t>Bauteile</t>
  </si>
  <si>
    <t>Tagesprofil-Typ</t>
  </si>
  <si>
    <t>Personen-Stunden</t>
  </si>
  <si>
    <t>Geräte-Stunden</t>
  </si>
  <si>
    <t>Nachhallzeit</t>
  </si>
  <si>
    <t>Bewertungsebene</t>
  </si>
  <si>
    <t>B</t>
  </si>
  <si>
    <t>Arbeit</t>
  </si>
  <si>
    <t>C</t>
  </si>
  <si>
    <t>Hotel</t>
  </si>
  <si>
    <t>Büro</t>
  </si>
  <si>
    <t>Sitzung</t>
  </si>
  <si>
    <t>Schule</t>
  </si>
  <si>
    <t>A</t>
  </si>
  <si>
    <t>Spital</t>
  </si>
  <si>
    <t>Industrie</t>
  </si>
  <si>
    <t>Sport</t>
  </si>
  <si>
    <t>Monatsprofil</t>
  </si>
  <si>
    <t>kWh/m2</t>
  </si>
  <si>
    <t>Monat</t>
  </si>
  <si>
    <t>Tagesgleichzeitigkeit</t>
  </si>
  <si>
    <t>Tagesgleichzeitigkeit (Arbeitstag)</t>
  </si>
  <si>
    <t>Tagesprofile</t>
  </si>
  <si>
    <t>X</t>
  </si>
  <si>
    <t>Volllaststunden (7-18h)</t>
  </si>
  <si>
    <t>Vollaststunden (18-7h)</t>
  </si>
  <si>
    <t>Kommentar 1</t>
  </si>
  <si>
    <t>Kommentar 2</t>
  </si>
  <si>
    <t>Kommentar 3</t>
  </si>
  <si>
    <t>Kommentar 4</t>
  </si>
  <si>
    <t>Kommentar 5</t>
  </si>
  <si>
    <t>Kommentar 6</t>
  </si>
  <si>
    <t>Kommentare</t>
  </si>
  <si>
    <r>
      <t>W/m</t>
    </r>
    <r>
      <rPr>
        <vertAlign val="superscript"/>
        <sz val="10"/>
        <rFont val="Arial"/>
        <family val="2"/>
      </rPr>
      <t>2</t>
    </r>
  </si>
  <si>
    <t>365 Tage</t>
  </si>
  <si>
    <t>mit 50% Volumenstrom berechnet</t>
  </si>
  <si>
    <t>Typ</t>
  </si>
  <si>
    <t>SIA</t>
  </si>
  <si>
    <r>
      <t>Wh/(m</t>
    </r>
    <r>
      <rPr>
        <vertAlign val="superscript"/>
        <sz val="10"/>
        <rFont val="Arial"/>
        <family val="2"/>
      </rPr>
      <t>2</t>
    </r>
    <r>
      <rPr>
        <sz val="10"/>
        <rFont val="Arial"/>
        <family val="2"/>
      </rPr>
      <t>K)</t>
    </r>
  </si>
  <si>
    <t>Bezeichnung</t>
  </si>
  <si>
    <t>Lehrerzimmer</t>
  </si>
  <si>
    <t>Selbst.restaurant</t>
  </si>
  <si>
    <t>SIA 181</t>
  </si>
  <si>
    <r>
      <t>k</t>
    </r>
    <r>
      <rPr>
        <i/>
        <vertAlign val="subscript"/>
        <sz val="10"/>
        <rFont val="Arial"/>
        <family val="2"/>
      </rPr>
      <t>R</t>
    </r>
  </si>
  <si>
    <t>z.B. Pflanzen</t>
  </si>
  <si>
    <r>
      <t>v</t>
    </r>
    <r>
      <rPr>
        <i/>
        <vertAlign val="subscript"/>
        <sz val="10"/>
        <color indexed="63"/>
        <rFont val="Arial"/>
        <family val="2"/>
      </rPr>
      <t>x</t>
    </r>
  </si>
  <si>
    <t>Jahresgleichzeitigkeit (berechnet)</t>
  </si>
  <si>
    <t>Monatsprofil (bisher)</t>
  </si>
  <si>
    <t>Norm Aussentemperatur</t>
  </si>
  <si>
    <t>Wärmebrückenzuschlag auf Gesamt-U-Wert Fassade</t>
  </si>
  <si>
    <r>
      <t>r</t>
    </r>
    <r>
      <rPr>
        <i/>
        <vertAlign val="subscript"/>
        <sz val="10"/>
        <color indexed="63"/>
        <rFont val="Arial"/>
        <family val="2"/>
      </rPr>
      <t>L</t>
    </r>
  </si>
  <si>
    <r>
      <t>kg/m</t>
    </r>
    <r>
      <rPr>
        <vertAlign val="superscript"/>
        <sz val="10"/>
        <color indexed="63"/>
        <rFont val="Arial"/>
        <family val="2"/>
      </rPr>
      <t>3</t>
    </r>
  </si>
  <si>
    <t>Auslegungstemperatur Winter</t>
  </si>
  <si>
    <r>
      <t>t</t>
    </r>
    <r>
      <rPr>
        <i/>
        <vertAlign val="subscript"/>
        <sz val="10"/>
        <rFont val="Arial"/>
        <family val="2"/>
      </rPr>
      <t>V</t>
    </r>
  </si>
  <si>
    <r>
      <t>v</t>
    </r>
    <r>
      <rPr>
        <i/>
        <vertAlign val="subscript"/>
        <sz val="10"/>
        <color indexed="63"/>
        <rFont val="Arial"/>
        <family val="2"/>
      </rPr>
      <t>i,min</t>
    </r>
  </si>
  <si>
    <r>
      <t>g/m</t>
    </r>
    <r>
      <rPr>
        <vertAlign val="superscript"/>
        <sz val="10"/>
        <color indexed="63"/>
        <rFont val="Arial"/>
        <family val="2"/>
      </rPr>
      <t>3</t>
    </r>
  </si>
  <si>
    <r>
      <t>v</t>
    </r>
    <r>
      <rPr>
        <i/>
        <vertAlign val="subscript"/>
        <sz val="10"/>
        <color indexed="63"/>
        <rFont val="Arial"/>
        <family val="2"/>
      </rPr>
      <t>e,min</t>
    </r>
  </si>
  <si>
    <r>
      <t>H</t>
    </r>
    <r>
      <rPr>
        <i/>
        <vertAlign val="subscript"/>
        <sz val="10"/>
        <rFont val="Arial"/>
        <family val="2"/>
      </rPr>
      <t>T</t>
    </r>
  </si>
  <si>
    <r>
      <t>H</t>
    </r>
    <r>
      <rPr>
        <i/>
        <vertAlign val="subscript"/>
        <sz val="10"/>
        <rFont val="Arial"/>
        <family val="2"/>
      </rPr>
      <t>V</t>
    </r>
  </si>
  <si>
    <t>t</t>
  </si>
  <si>
    <r>
      <t>Wh/(m</t>
    </r>
    <r>
      <rPr>
        <vertAlign val="superscript"/>
        <sz val="10"/>
        <rFont val="Arial"/>
        <family val="2"/>
      </rPr>
      <t>2</t>
    </r>
    <r>
      <rPr>
        <sz val="10"/>
        <rFont val="Symbol"/>
        <family val="1"/>
        <charset val="2"/>
      </rPr>
      <t>×</t>
    </r>
    <r>
      <rPr>
        <sz val="10"/>
        <rFont val="Arial"/>
        <family val="2"/>
      </rPr>
      <t>K)</t>
    </r>
  </si>
  <si>
    <r>
      <t>g/(h</t>
    </r>
    <r>
      <rPr>
        <sz val="10"/>
        <color indexed="63"/>
        <rFont val="Symbol"/>
        <family val="1"/>
        <charset val="2"/>
      </rPr>
      <t>×</t>
    </r>
    <r>
      <rPr>
        <sz val="10"/>
        <color indexed="63"/>
        <rFont val="Arial"/>
        <family val="2"/>
      </rPr>
      <t>m</t>
    </r>
    <r>
      <rPr>
        <vertAlign val="superscript"/>
        <sz val="10"/>
        <color indexed="63"/>
        <rFont val="Arial"/>
        <family val="2"/>
      </rPr>
      <t>2</t>
    </r>
    <r>
      <rPr>
        <sz val="10"/>
        <color indexed="63"/>
        <rFont val="Arial"/>
        <family val="2"/>
      </rPr>
      <t>)</t>
    </r>
  </si>
  <si>
    <r>
      <t>m</t>
    </r>
    <r>
      <rPr>
        <vertAlign val="superscript"/>
        <sz val="10"/>
        <color indexed="63"/>
        <rFont val="Arial"/>
        <family val="2"/>
      </rPr>
      <t>3</t>
    </r>
    <r>
      <rPr>
        <sz val="10"/>
        <color indexed="63"/>
        <rFont val="Arial"/>
        <family val="2"/>
      </rPr>
      <t>/(h</t>
    </r>
    <r>
      <rPr>
        <sz val="10"/>
        <color indexed="63"/>
        <rFont val="Symbol"/>
        <family val="1"/>
        <charset val="2"/>
      </rPr>
      <t>×</t>
    </r>
    <r>
      <rPr>
        <sz val="10"/>
        <color indexed="63"/>
        <rFont val="Arial"/>
        <family val="2"/>
      </rPr>
      <t>m</t>
    </r>
    <r>
      <rPr>
        <vertAlign val="superscript"/>
        <sz val="10"/>
        <color indexed="63"/>
        <rFont val="Arial"/>
        <family val="2"/>
      </rPr>
      <t>2</t>
    </r>
    <r>
      <rPr>
        <sz val="10"/>
        <color indexed="63"/>
        <rFont val="Arial"/>
        <family val="2"/>
      </rPr>
      <t>)</t>
    </r>
  </si>
  <si>
    <t>- Im Kindergarten Beleuchtungsstärke 300 lx</t>
  </si>
  <si>
    <t>- Im Musikzimmer erhöhter Schallschutz</t>
  </si>
  <si>
    <t>- Im Direktionsbüro erhöhter Schallschutz</t>
  </si>
  <si>
    <t>- Im Schlafzimmer erhöhter Schallschutz</t>
  </si>
  <si>
    <t>- Im Lesebereich Beleuchtungsstärke 500 lx</t>
  </si>
  <si>
    <t>- Bühnenbereich des Theaters mit speziellen Anforderungen</t>
  </si>
  <si>
    <t>- Für einfache Untersuchungen Beleuchtungsstärke 300 lx</t>
  </si>
  <si>
    <t>- Verpackungsbereich mit speziellen Anforderungen</t>
  </si>
  <si>
    <t>- Für Wettkampfsport Beleuchtungsstärke 500 lx und erhöhter Luftwechsel</t>
  </si>
  <si>
    <t>- Je nach Hauptnutzung unterschiedliche Luftwechsel</t>
  </si>
  <si>
    <r>
      <t>h</t>
    </r>
    <r>
      <rPr>
        <i/>
        <vertAlign val="subscript"/>
        <sz val="10"/>
        <color indexed="63"/>
        <rFont val="Arial"/>
        <family val="2"/>
      </rPr>
      <t>rec,</t>
    </r>
    <r>
      <rPr>
        <i/>
        <vertAlign val="subscript"/>
        <sz val="10"/>
        <color indexed="63"/>
        <rFont val="Symbol"/>
        <family val="1"/>
        <charset val="2"/>
      </rPr>
      <t>j</t>
    </r>
  </si>
  <si>
    <r>
      <t>h</t>
    </r>
    <r>
      <rPr>
        <i/>
        <vertAlign val="subscript"/>
        <sz val="10"/>
        <rFont val="Arial"/>
        <family val="2"/>
      </rPr>
      <t>rec,</t>
    </r>
    <r>
      <rPr>
        <i/>
        <vertAlign val="subscript"/>
        <sz val="10"/>
        <rFont val="Symbol"/>
        <family val="1"/>
        <charset val="2"/>
      </rPr>
      <t>q</t>
    </r>
  </si>
  <si>
    <t>stufenlos</t>
  </si>
  <si>
    <t>Anlagentyp</t>
  </si>
  <si>
    <t/>
  </si>
  <si>
    <t>Nutzung mit Klimatisierung</t>
  </si>
  <si>
    <t>Empfang, Lobby</t>
  </si>
  <si>
    <t>Einzel-, Gruppenbüro</t>
  </si>
  <si>
    <t>Schalterhalle, Empfang</t>
  </si>
  <si>
    <t>Küche zu Restaurant</t>
  </si>
  <si>
    <t>Küche zu Selbstbedienungsrest.</t>
  </si>
  <si>
    <t xml:space="preserve">WC, Bad, Dusche </t>
  </si>
  <si>
    <t>keine Lüftungsanlage</t>
  </si>
  <si>
    <t>24h</t>
  </si>
  <si>
    <t>Stationszimmer</t>
  </si>
  <si>
    <t>23</t>
  </si>
  <si>
    <t>Raumklima</t>
  </si>
  <si>
    <r>
      <t>g/(h·m</t>
    </r>
    <r>
      <rPr>
        <vertAlign val="superscript"/>
        <sz val="10"/>
        <rFont val="Arial"/>
        <family val="2"/>
      </rPr>
      <t>2</t>
    </r>
    <r>
      <rPr>
        <sz val="10"/>
        <rFont val="Arial"/>
        <family val="2"/>
      </rPr>
      <t>)</t>
    </r>
  </si>
  <si>
    <r>
      <t>z</t>
    </r>
    <r>
      <rPr>
        <i/>
        <vertAlign val="subscript"/>
        <sz val="10"/>
        <rFont val="Arial"/>
        <family val="2"/>
      </rPr>
      <t>g</t>
    </r>
  </si>
  <si>
    <t>–</t>
  </si>
  <si>
    <t>m2</t>
  </si>
  <si>
    <t>Küche, Teeküche</t>
  </si>
  <si>
    <t>Vol.Strom/Elektr.</t>
  </si>
  <si>
    <t>Vol.Strom</t>
  </si>
  <si>
    <t>Elektr.</t>
  </si>
  <si>
    <t>MFH</t>
  </si>
  <si>
    <t>Verwaltung</t>
  </si>
  <si>
    <t>Lager</t>
  </si>
  <si>
    <t>Arbeitstag</t>
  </si>
  <si>
    <t>Woche</t>
  </si>
  <si>
    <t>Jahr (bisher)</t>
  </si>
  <si>
    <t>Jahr (neu)</t>
  </si>
  <si>
    <t>Monatsgleichzeitigkeit</t>
  </si>
  <si>
    <t>Solarstrahlung</t>
  </si>
  <si>
    <t>Wochenprofile</t>
  </si>
  <si>
    <t>Arbeitstage pro Woche</t>
  </si>
  <si>
    <t>Stand-by</t>
  </si>
  <si>
    <t>Achsbeschr</t>
  </si>
  <si>
    <t>Wochentag</t>
  </si>
  <si>
    <t>Jahresprofile</t>
  </si>
  <si>
    <t>neues Monatsprofil</t>
  </si>
  <si>
    <t>Monatstag</t>
  </si>
  <si>
    <t>Jahrestag</t>
  </si>
  <si>
    <t>Monatsgleich.</t>
  </si>
  <si>
    <t xml:space="preserve">1-stufig </t>
  </si>
  <si>
    <t>Produkt</t>
  </si>
  <si>
    <t>Wochenprofil (1. Tag Samstag)</t>
  </si>
  <si>
    <t>Sa</t>
  </si>
  <si>
    <t>So</t>
  </si>
  <si>
    <t>Mo</t>
  </si>
  <si>
    <t>Di</t>
  </si>
  <si>
    <t>Mi</t>
  </si>
  <si>
    <t>Do</t>
  </si>
  <si>
    <t>Fr</t>
  </si>
  <si>
    <t>Neu</t>
  </si>
  <si>
    <t>Bisher</t>
  </si>
  <si>
    <t>Wochenprofil (Anwesenheit)</t>
  </si>
  <si>
    <t>bisheriges</t>
  </si>
  <si>
    <t>für Grafik</t>
  </si>
  <si>
    <t>Elektrisch</t>
  </si>
  <si>
    <t xml:space="preserve">2-stufig </t>
  </si>
  <si>
    <t>Volllast-Std.</t>
  </si>
  <si>
    <t>SIA 380/1 Systemanforderungen</t>
  </si>
  <si>
    <t>Qh,li0</t>
  </si>
  <si>
    <t>dQh,li</t>
  </si>
  <si>
    <t>MJ/m2</t>
  </si>
  <si>
    <t>Verkehrsfläche 24 h</t>
  </si>
  <si>
    <t>m3/m2.h</t>
  </si>
  <si>
    <r>
      <t xml:space="preserve"> V/A</t>
    </r>
    <r>
      <rPr>
        <i/>
        <vertAlign val="subscript"/>
        <sz val="10"/>
        <rFont val="Arial"/>
        <family val="2"/>
      </rPr>
      <t>E</t>
    </r>
  </si>
  <si>
    <t>Heizwärmebedarf Basiswert SIA 380/1</t>
  </si>
  <si>
    <t>Steigungsfaktor Grenzwert Heizwärmebedarf SIA 380/1</t>
  </si>
  <si>
    <t>Bestand</t>
  </si>
  <si>
    <t>aus Daten in Tabelle "Profil"</t>
  </si>
  <si>
    <t>Einfache Lüftungsanlage</t>
  </si>
  <si>
    <t>Einfache Klimaanlage</t>
  </si>
  <si>
    <t>Einfache Abluftanlage</t>
  </si>
  <si>
    <t>Raumkühlung</t>
  </si>
  <si>
    <t>Raumheizung</t>
  </si>
  <si>
    <t>Energie- und Leistungsbedarf</t>
  </si>
  <si>
    <t>Warmwasser</t>
  </si>
  <si>
    <t>Nettogeschossfläche</t>
  </si>
  <si>
    <t>Personenprofil (Nutzungstag)</t>
  </si>
  <si>
    <t>Eingabe</t>
  </si>
  <si>
    <t>Ergebnisse</t>
  </si>
  <si>
    <t>Gebäudekategorie</t>
  </si>
  <si>
    <t>GebKat</t>
  </si>
  <si>
    <t>Energetisches Standard</t>
  </si>
  <si>
    <t xml:space="preserve">thermische Gebäudehüllfläche </t>
  </si>
  <si>
    <t>Gebäudehüllzahl</t>
  </si>
  <si>
    <t>Verhältnis Fenster-/Türflächen zur GF beheizt</t>
  </si>
  <si>
    <t xml:space="preserve">Fenster/GF </t>
  </si>
  <si>
    <t>Verhältnis Fenster-/Türfläche zu Fassadenfläche</t>
  </si>
  <si>
    <t>Fenster/AW</t>
  </si>
  <si>
    <t>Fläche</t>
  </si>
  <si>
    <t>Aussenwand zu Erdreich</t>
  </si>
  <si>
    <t>E3beheizt</t>
  </si>
  <si>
    <t>Aussenwand zu Aussenluft</t>
  </si>
  <si>
    <t>E4beheizt</t>
  </si>
  <si>
    <t>Fenster gesamt</t>
  </si>
  <si>
    <t>E5total</t>
  </si>
  <si>
    <t>Fenster Nord</t>
  </si>
  <si>
    <t>Fenster Ost</t>
  </si>
  <si>
    <t>Fenster Süd</t>
  </si>
  <si>
    <t>Fenster West</t>
  </si>
  <si>
    <t>Dachfenster</t>
  </si>
  <si>
    <t>Dach</t>
  </si>
  <si>
    <t>DAFbeheizt</t>
  </si>
  <si>
    <t>Boden gegen Erdreich und unbeheizt</t>
  </si>
  <si>
    <t>BodenErdeF</t>
  </si>
  <si>
    <t>Eingabe Parameter</t>
  </si>
  <si>
    <t>Th. Wirk.r Aussenluftvo.strom mechanisch</t>
  </si>
  <si>
    <t>V'/EBF mech</t>
  </si>
  <si>
    <t>m3/m2h</t>
  </si>
  <si>
    <t>Bauweise: Wärmespeicherfähigkeit pro EBF</t>
  </si>
  <si>
    <t>CEBF</t>
  </si>
  <si>
    <t>MJ/(m2*K)</t>
  </si>
  <si>
    <t>Abminderungsfaktoren für Fensterrahmen</t>
  </si>
  <si>
    <t>G-Wert Fenster</t>
  </si>
  <si>
    <t>G_E5</t>
  </si>
  <si>
    <t>Wärmebrückenzuschlag:</t>
  </si>
  <si>
    <t>WBZuschlag</t>
  </si>
  <si>
    <t>Kennwerte abhängig von Gebäudekategorie</t>
  </si>
  <si>
    <t>thermisch wirksamer Aussenluft-Volumenstrom natürlich</t>
  </si>
  <si>
    <t>V'/EBF nat</t>
  </si>
  <si>
    <t>Innentemperatur</t>
  </si>
  <si>
    <t>AP</t>
  </si>
  <si>
    <t>m2/P</t>
  </si>
  <si>
    <t>Transmissionswärmeverlust QT:</t>
  </si>
  <si>
    <t>Wärmeabgabe</t>
  </si>
  <si>
    <t>QP</t>
  </si>
  <si>
    <t>W/P</t>
  </si>
  <si>
    <t>Lüftungswärmeverlust QV:</t>
  </si>
  <si>
    <t>Präsenzzeit pro Tag</t>
  </si>
  <si>
    <t>tP</t>
  </si>
  <si>
    <t>Genutzte Wärmegewinne Qug:</t>
  </si>
  <si>
    <t>QE</t>
  </si>
  <si>
    <t>Heizwärmebedarf Qh inkl. WB Zuschlag:</t>
  </si>
  <si>
    <t>Reduktionsfaktor Elektrizitätsverbrauch</t>
  </si>
  <si>
    <t>fE</t>
  </si>
  <si>
    <t>Konstante (für Ausnutzung Wärmegewinne)</t>
  </si>
  <si>
    <t>a0</t>
  </si>
  <si>
    <t>Konstante t0 (für Ausnutzung Wärmegewinne)</t>
  </si>
  <si>
    <t>tau0</t>
  </si>
  <si>
    <t>Legende</t>
  </si>
  <si>
    <t>Aus Flächentabelle</t>
  </si>
  <si>
    <t>Randbedingungen, Gebäude Kategorie</t>
  </si>
  <si>
    <t>Randbedingungen, Gebäude Standard</t>
  </si>
  <si>
    <t>feste Paramter</t>
  </si>
  <si>
    <t>Sonstiges</t>
  </si>
  <si>
    <t>Reduktionsfaktor Boden gegen Erdreich</t>
  </si>
  <si>
    <t xml:space="preserve">Reduktionsfaktor Boden g. Unbeheizt </t>
  </si>
  <si>
    <t>b</t>
  </si>
  <si>
    <t>Reduktionsfaktor Wand gegen Erdreich</t>
  </si>
  <si>
    <t>korrig. Raumtemp. (Raumtemp. qi  + Regelungszuschlag Dqi )</t>
  </si>
  <si>
    <t>Thetai</t>
  </si>
  <si>
    <t>(Innen-) Temperaturzuschlag wegen Bodenheizung</t>
  </si>
  <si>
    <t>deltaThetahmax</t>
  </si>
  <si>
    <t>Höhenlage in Meter über Meer</t>
  </si>
  <si>
    <t>HueM</t>
  </si>
  <si>
    <t>Horizont (Topographie + andere Gebäude)</t>
  </si>
  <si>
    <t>Maximale Vorlauftemperatur Bodenheizung</t>
  </si>
  <si>
    <t>Regelungszuschlag</t>
  </si>
  <si>
    <t>Mär</t>
  </si>
  <si>
    <t>Jahr</t>
  </si>
  <si>
    <t>Tage im Monat :</t>
  </si>
  <si>
    <t>Tage</t>
  </si>
  <si>
    <t>I:   Wohnen MFH</t>
  </si>
  <si>
    <t>Mitteltemp. Heizperiode Thetae :</t>
  </si>
  <si>
    <t>II:  Wohnen EFH</t>
  </si>
  <si>
    <t>Globalstrahlung horizontal :</t>
  </si>
  <si>
    <t>MJ/m2a</t>
  </si>
  <si>
    <t>III: Verwaltung</t>
  </si>
  <si>
    <t>Globalstrahlung Süd:</t>
  </si>
  <si>
    <t>IV:  Schulen</t>
  </si>
  <si>
    <t>Globalstrahlung Ost:</t>
  </si>
  <si>
    <t>V:  Verkauf</t>
  </si>
  <si>
    <t>Globalstrahlung West:</t>
  </si>
  <si>
    <t>VI:  Restaurants</t>
  </si>
  <si>
    <t>Globalstrahlung Nord :</t>
  </si>
  <si>
    <t>VII: Versammlungslokale</t>
  </si>
  <si>
    <t>VIII: Spitäler</t>
  </si>
  <si>
    <t>IX:   Industrie</t>
  </si>
  <si>
    <t>F: Transmissionswärmeverlust:</t>
  </si>
  <si>
    <t>X:    Lager</t>
  </si>
  <si>
    <t>Dach gegen aussen :</t>
  </si>
  <si>
    <t>XI:   Sportbauten</t>
  </si>
  <si>
    <t>Wand gegen Erdreich:</t>
  </si>
  <si>
    <t>XII:  Hallenbäder</t>
  </si>
  <si>
    <t>Wand gegen aussen :</t>
  </si>
  <si>
    <t>Boden gegen Erdreich und unbeheizt :</t>
  </si>
  <si>
    <t>I</t>
  </si>
  <si>
    <t>II</t>
  </si>
  <si>
    <t>III</t>
  </si>
  <si>
    <t>IV</t>
  </si>
  <si>
    <t>V</t>
  </si>
  <si>
    <t>VI</t>
  </si>
  <si>
    <t>VII</t>
  </si>
  <si>
    <t>VIII</t>
  </si>
  <si>
    <t>IX</t>
  </si>
  <si>
    <t>XI</t>
  </si>
  <si>
    <t>XII</t>
  </si>
  <si>
    <t>Decken gegen aussen (in Dach beinhaltet)</t>
  </si>
  <si>
    <t>Fenster:</t>
  </si>
  <si>
    <t>Boden gegen unbeheizt (in Boden gegen Erdreich und unbeheizt zusammengefasst)</t>
  </si>
  <si>
    <t>G: Lüftungswärmeverlust:</t>
  </si>
  <si>
    <t>H: Gesamtwärmeverlust:</t>
  </si>
  <si>
    <t>Gesamtwärmeverlust Qt:</t>
  </si>
  <si>
    <t>I: Wärmegewinn:</t>
  </si>
  <si>
    <t>Wärmegewinn Elektrizität QiE:</t>
  </si>
  <si>
    <t>Aussenluft-Volumenstrom</t>
  </si>
  <si>
    <t>Wärmegewinn Personen QiP:</t>
  </si>
  <si>
    <t>Interne Wärmegewinne Qi:</t>
  </si>
  <si>
    <t>Solarer Wärmegewinn total Qs:</t>
  </si>
  <si>
    <t>Wärmegewinne total Qg:</t>
  </si>
  <si>
    <t>a:</t>
  </si>
  <si>
    <t>K: Heizwärmebedarf:</t>
  </si>
  <si>
    <t>Energiebilanz mit mechanischer Lüftung</t>
  </si>
  <si>
    <t>Boden gegen Erdreich :</t>
  </si>
  <si>
    <t>Decken gegen aussen: (in Dach beinhaltet)</t>
  </si>
  <si>
    <t>Boden gegen unbeheizt (in Boden gegen Erdreich beinhaltet)</t>
  </si>
  <si>
    <t>Heizwärmebedarf Qh, eff mit Wärmebrückenzuschlag:</t>
  </si>
  <si>
    <t>Berechnung Heizwärmebedarf nach SIA 380/1</t>
  </si>
  <si>
    <t>Wärmegewinn-/Verlust-Verhältnis g:</t>
  </si>
  <si>
    <t>Zeitkonstante t:</t>
  </si>
  <si>
    <t>Ausnutzungsgrad f. Wärmegew. hg:</t>
  </si>
  <si>
    <r>
      <t xml:space="preserve"> F</t>
    </r>
    <r>
      <rPr>
        <vertAlign val="subscript"/>
        <sz val="10"/>
        <rFont val="Arial"/>
        <family val="2"/>
      </rPr>
      <t>F</t>
    </r>
  </si>
  <si>
    <r>
      <t>b</t>
    </r>
    <r>
      <rPr>
        <vertAlign val="subscript"/>
        <sz val="10"/>
        <rFont val="Arial"/>
        <family val="2"/>
      </rPr>
      <t>GF</t>
    </r>
  </si>
  <si>
    <r>
      <t>b</t>
    </r>
    <r>
      <rPr>
        <vertAlign val="subscript"/>
        <sz val="10"/>
        <rFont val="Arial"/>
        <family val="2"/>
      </rPr>
      <t>GW</t>
    </r>
  </si>
  <si>
    <r>
      <t>F</t>
    </r>
    <r>
      <rPr>
        <vertAlign val="subscript"/>
        <sz val="10"/>
        <rFont val="Arial"/>
        <family val="2"/>
      </rPr>
      <t>S1</t>
    </r>
  </si>
  <si>
    <r>
      <t>q</t>
    </r>
    <r>
      <rPr>
        <vertAlign val="subscript"/>
        <sz val="10"/>
        <rFont val="Arial"/>
        <family val="2"/>
      </rPr>
      <t>h,max</t>
    </r>
  </si>
  <si>
    <r>
      <t>Dq</t>
    </r>
    <r>
      <rPr>
        <vertAlign val="subscript"/>
        <sz val="10"/>
        <rFont val="Arial"/>
        <family val="2"/>
      </rPr>
      <t>i,g</t>
    </r>
  </si>
  <si>
    <t>SIA 380/1</t>
  </si>
  <si>
    <t>Gebäudekategorie nach SIA 380/1</t>
  </si>
  <si>
    <t>Verkauf lange</t>
  </si>
  <si>
    <t>Werte aus dem Datenblatt übernommen, gültig für Standard, Zielwert und Bestand</t>
  </si>
  <si>
    <t>Auf diesem Blatt berechnete Werte</t>
  </si>
  <si>
    <t>Werte aus dem Datenblatt übernommen, variabel für Standard, Zielwert und Bestand</t>
  </si>
  <si>
    <t>Werte ohne Einfluss auf Berechnung des Heizwärmebedarfs</t>
  </si>
  <si>
    <t>LEGENDE</t>
  </si>
  <si>
    <t>Laborraum</t>
  </si>
  <si>
    <t>Energiebilanz mit Standard-Lüftung</t>
  </si>
  <si>
    <t>Treppenhaus</t>
  </si>
  <si>
    <t>Thermische Gebäudehüllfläche</t>
  </si>
  <si>
    <t>Standard, Zielwert</t>
  </si>
  <si>
    <t>Verkauf Möbel, Bau, Garten</t>
  </si>
  <si>
    <t>Fachgeschäft</t>
  </si>
  <si>
    <t>Behandlungsraum</t>
  </si>
  <si>
    <t>Nebenraum</t>
  </si>
  <si>
    <t>Garderobe, Dusche</t>
  </si>
  <si>
    <r>
      <t>W/(m</t>
    </r>
    <r>
      <rPr>
        <vertAlign val="superscript"/>
        <sz val="10"/>
        <rFont val="Arial"/>
        <family val="2"/>
      </rPr>
      <t>2</t>
    </r>
    <r>
      <rPr>
        <sz val="10"/>
        <rFont val="Symbol"/>
        <family val="1"/>
        <charset val="2"/>
      </rPr>
      <t>×</t>
    </r>
    <r>
      <rPr>
        <sz val="10"/>
        <rFont val="Arial"/>
        <family val="2"/>
      </rPr>
      <t>K)</t>
    </r>
  </si>
  <si>
    <r>
      <t>m</t>
    </r>
    <r>
      <rPr>
        <vertAlign val="superscript"/>
        <sz val="10"/>
        <rFont val="Arial"/>
        <family val="2"/>
      </rPr>
      <t>2</t>
    </r>
  </si>
  <si>
    <r>
      <t>g/(hm</t>
    </r>
    <r>
      <rPr>
        <vertAlign val="superscript"/>
        <sz val="10"/>
        <rFont val="Arial"/>
        <family val="2"/>
      </rPr>
      <t>2</t>
    </r>
    <r>
      <rPr>
        <sz val="10"/>
        <rFont val="Arial"/>
        <family val="2"/>
      </rPr>
      <t>)</t>
    </r>
  </si>
  <si>
    <r>
      <t>kWh/m</t>
    </r>
    <r>
      <rPr>
        <vertAlign val="superscript"/>
        <sz val="10"/>
        <rFont val="Arial"/>
        <family val="2"/>
      </rPr>
      <t>2</t>
    </r>
  </si>
  <si>
    <r>
      <t>A</t>
    </r>
    <r>
      <rPr>
        <vertAlign val="subscript"/>
        <sz val="10"/>
        <rFont val="Arial"/>
        <family val="2"/>
      </rPr>
      <t>NGF</t>
    </r>
  </si>
  <si>
    <r>
      <t>A</t>
    </r>
    <r>
      <rPr>
        <vertAlign val="subscript"/>
        <sz val="10"/>
        <rFont val="Arial"/>
        <family val="2"/>
      </rPr>
      <t>th</t>
    </r>
  </si>
  <si>
    <t>Pfad/Datei:</t>
  </si>
  <si>
    <t>\20596_SIA_2024_Update\07_Berechnungen\Excel_Tool\Raumnutzung</t>
  </si>
  <si>
    <t>Serverraum</t>
  </si>
  <si>
    <r>
      <t>t</t>
    </r>
    <r>
      <rPr>
        <i/>
        <vertAlign val="subscript"/>
        <sz val="10"/>
        <rFont val="Arial"/>
        <family val="2"/>
      </rPr>
      <t>L</t>
    </r>
  </si>
  <si>
    <r>
      <t>p</t>
    </r>
    <r>
      <rPr>
        <i/>
        <vertAlign val="subscript"/>
        <sz val="10"/>
        <rFont val="Arial"/>
        <family val="2"/>
      </rPr>
      <t>L</t>
    </r>
  </si>
  <si>
    <r>
      <t>Q</t>
    </r>
    <r>
      <rPr>
        <i/>
        <vertAlign val="subscript"/>
        <sz val="10"/>
        <rFont val="Arial"/>
        <family val="2"/>
      </rPr>
      <t>W</t>
    </r>
  </si>
  <si>
    <r>
      <t>q</t>
    </r>
    <r>
      <rPr>
        <i/>
        <vertAlign val="subscript"/>
        <sz val="10"/>
        <rFont val="Arial"/>
        <family val="2"/>
      </rPr>
      <t>V,e,P</t>
    </r>
  </si>
  <si>
    <r>
      <t>t</t>
    </r>
    <r>
      <rPr>
        <i/>
        <vertAlign val="subscript"/>
        <sz val="10"/>
        <rFont val="Arial"/>
        <family val="2"/>
      </rPr>
      <t>bV</t>
    </r>
  </si>
  <si>
    <r>
      <t>v</t>
    </r>
    <r>
      <rPr>
        <i/>
        <vertAlign val="subscript"/>
        <sz val="10"/>
        <color indexed="63"/>
        <rFont val="Arial"/>
        <family val="2"/>
      </rPr>
      <t>Hu</t>
    </r>
  </si>
  <si>
    <r>
      <t>p</t>
    </r>
    <r>
      <rPr>
        <i/>
        <vertAlign val="subscript"/>
        <sz val="10"/>
        <rFont val="Arial"/>
        <family val="2"/>
      </rPr>
      <t>Hu</t>
    </r>
  </si>
  <si>
    <r>
      <t>t</t>
    </r>
    <r>
      <rPr>
        <i/>
        <vertAlign val="subscript"/>
        <sz val="10"/>
        <rFont val="Arial"/>
        <family val="2"/>
      </rPr>
      <t>Hu</t>
    </r>
  </si>
  <si>
    <r>
      <t>Q</t>
    </r>
    <r>
      <rPr>
        <i/>
        <vertAlign val="subscript"/>
        <sz val="10"/>
        <rFont val="Arial"/>
        <family val="2"/>
      </rPr>
      <t>hu</t>
    </r>
  </si>
  <si>
    <r>
      <t>Q</t>
    </r>
    <r>
      <rPr>
        <vertAlign val="subscript"/>
        <sz val="10"/>
        <rFont val="Arial"/>
        <family val="2"/>
      </rPr>
      <t>H,li0</t>
    </r>
  </si>
  <si>
    <r>
      <rPr>
        <i/>
        <sz val="10"/>
        <rFont val="Symbol"/>
        <family val="1"/>
        <charset val="2"/>
      </rPr>
      <t>D</t>
    </r>
    <r>
      <rPr>
        <i/>
        <sz val="10"/>
        <rFont val="Arial"/>
        <family val="2"/>
      </rPr>
      <t>Q</t>
    </r>
    <r>
      <rPr>
        <vertAlign val="subscript"/>
        <sz val="10"/>
        <rFont val="Arial"/>
        <family val="2"/>
      </rPr>
      <t>H,li</t>
    </r>
    <r>
      <rPr>
        <sz val="11"/>
        <color theme="1"/>
        <rFont val="Calibri"/>
        <family val="2"/>
        <scheme val="minor"/>
      </rPr>
      <t/>
    </r>
  </si>
  <si>
    <r>
      <t>Q</t>
    </r>
    <r>
      <rPr>
        <i/>
        <vertAlign val="subscript"/>
        <sz val="10"/>
        <rFont val="Arial"/>
        <family val="2"/>
      </rPr>
      <t>H,eff</t>
    </r>
  </si>
  <si>
    <t>Standardwerte</t>
  </si>
  <si>
    <t>Zielwerte</t>
  </si>
  <si>
    <t>Werte Bestand</t>
  </si>
  <si>
    <t>Raumnutzung (SIA 2024)</t>
  </si>
  <si>
    <t>Klimakälte</t>
  </si>
  <si>
    <t>Heizwärme</t>
  </si>
  <si>
    <t xml:space="preserve">Elektrischer und thermischer Leistungsbedarf </t>
  </si>
  <si>
    <t>Elektrischer und thermischer Energiebedarf</t>
  </si>
  <si>
    <t>Energiekennzahlen für Standard, Zielwert und Bestand</t>
  </si>
  <si>
    <t>Leistungskennzahlen für Standard, Zielwert und Bestand</t>
  </si>
  <si>
    <t>Interne Wärmeeinträge pro Jahr</t>
  </si>
  <si>
    <r>
      <t>Wh/m</t>
    </r>
    <r>
      <rPr>
        <vertAlign val="superscript"/>
        <sz val="10"/>
        <rFont val="Arial"/>
        <family val="2"/>
      </rPr>
      <t>2</t>
    </r>
    <r>
      <rPr>
        <sz val="10"/>
        <rFont val="Arial"/>
        <family val="2"/>
      </rPr>
      <t>d</t>
    </r>
  </si>
  <si>
    <t>Maximaler Stundenwert</t>
  </si>
  <si>
    <t>Bauphysikalische Eigenschaften</t>
  </si>
  <si>
    <t>Jahresprofil</t>
  </si>
  <si>
    <t>70%</t>
  </si>
  <si>
    <t>SWKI 95/3</t>
  </si>
  <si>
    <t>SIA 2024</t>
  </si>
  <si>
    <t>- Berechnung Klimakältebedarf: negative Wärmeeinträge durch Kühlmöbel (Standard: -10, Zielwert: -8, Bestand: -12 W/m2)</t>
  </si>
  <si>
    <r>
      <t>q</t>
    </r>
    <r>
      <rPr>
        <i/>
        <vertAlign val="subscript"/>
        <sz val="10"/>
        <rFont val="Arial"/>
        <family val="2"/>
      </rPr>
      <t>th</t>
    </r>
  </si>
  <si>
    <t>Aussen-/Innenlärm, Trittschall</t>
  </si>
  <si>
    <r>
      <t>q</t>
    </r>
    <r>
      <rPr>
        <i/>
        <vertAlign val="subscript"/>
        <sz val="10"/>
        <rFont val="Arial"/>
        <family val="2"/>
      </rPr>
      <t>V,inf</t>
    </r>
  </si>
  <si>
    <t>Raumlänge</t>
  </si>
  <si>
    <t>Raumtiefe</t>
  </si>
  <si>
    <t>Raumhöhe</t>
  </si>
  <si>
    <t>Glasanteil</t>
  </si>
  <si>
    <t>U-Wert Fenster</t>
  </si>
  <si>
    <t>U-Wert opake Bauteile</t>
  </si>
  <si>
    <t>Reduktionsfaktor solare Wärmeeinträge</t>
  </si>
  <si>
    <t>Wärmeeintragsleistung Personen</t>
  </si>
  <si>
    <t>Feuchtequellen (exklusive Personen)</t>
  </si>
  <si>
    <t>Glasflächenzahl</t>
  </si>
  <si>
    <t>Raumindex</t>
  </si>
  <si>
    <t>Leuchten-Lichtausbeute</t>
  </si>
  <si>
    <t>Raumwirkungsgrad</t>
  </si>
  <si>
    <t>Jährlicher Elektrizitätsbedarf Beleuchtung</t>
  </si>
  <si>
    <t>Interne Wärmeeinträge pro Tag</t>
  </si>
  <si>
    <t>Notwendigkeit einer Kühlung</t>
  </si>
  <si>
    <t>Klimakälteleistungsbedarf</t>
  </si>
  <si>
    <t>Jährliche Volllaststunden</t>
  </si>
  <si>
    <t>Jährlicher Klimakältebedarf</t>
  </si>
  <si>
    <t>Zeitkonstante</t>
  </si>
  <si>
    <t>Norm-Heizwärmeleistungsbedarf</t>
  </si>
  <si>
    <t>Jährlicher Wärmebedarf für Warmwasser</t>
  </si>
  <si>
    <t>Gesamtenergiedurchlassgrad Verglasung</t>
  </si>
  <si>
    <t>Gesamtenergiedurchlassgrad Verglasung und Sonnenschutz</t>
  </si>
  <si>
    <t>Lichttransmissionsgrad</t>
  </si>
  <si>
    <t>Leistung ausserhalb der Nutzungszeit</t>
  </si>
  <si>
    <t>Feuchteproduktion Personen</t>
  </si>
  <si>
    <t>18-7 h</t>
  </si>
  <si>
    <t>7-18 h</t>
  </si>
  <si>
    <t>Feuchtegehalt-Änderungsgrad der Lüftungsanlage</t>
  </si>
  <si>
    <t>Minimale Feuchte der Raumluft</t>
  </si>
  <si>
    <t>Minimale Feuchte der Aussenluft</t>
  </si>
  <si>
    <t>Dichte der Raumluft</t>
  </si>
  <si>
    <t>Feuchtebedarf</t>
  </si>
  <si>
    <t>Spez. Wärmeleistungsbedarf für Befeuchtung</t>
  </si>
  <si>
    <t>Jährlicher spez. Wärmebedarf für Befeuchtung</t>
  </si>
  <si>
    <t>Elektrizitätsbedarf</t>
  </si>
  <si>
    <t>Elektrische Leistung Beleuchtung</t>
  </si>
  <si>
    <t>Wasser</t>
  </si>
  <si>
    <t>Glasfläche</t>
  </si>
  <si>
    <t>Fensterfläche</t>
  </si>
  <si>
    <t>Opake Gebäudehüllfläche</t>
  </si>
  <si>
    <t>Aop</t>
  </si>
  <si>
    <t>Qh,lim</t>
  </si>
  <si>
    <t>Hüllzahl</t>
  </si>
  <si>
    <t>Nachts aus</t>
  </si>
  <si>
    <t>erwünscht</t>
  </si>
  <si>
    <t>notwendig</t>
  </si>
  <si>
    <t>Wh/m2d</t>
  </si>
  <si>
    <r>
      <t>E'</t>
    </r>
    <r>
      <rPr>
        <i/>
        <vertAlign val="subscript"/>
        <sz val="10"/>
        <rFont val="Arial"/>
        <family val="2"/>
      </rPr>
      <t>L</t>
    </r>
  </si>
  <si>
    <t>Res</t>
  </si>
  <si>
    <t>Anzeige</t>
  </si>
  <si>
    <t>Int. Wärme</t>
  </si>
  <si>
    <r>
      <t>Q</t>
    </r>
    <r>
      <rPr>
        <i/>
        <vertAlign val="subscript"/>
        <sz val="10"/>
        <color indexed="63"/>
        <rFont val="Arial"/>
        <family val="2"/>
      </rPr>
      <t>iA</t>
    </r>
  </si>
  <si>
    <r>
      <t>Wh/m</t>
    </r>
    <r>
      <rPr>
        <vertAlign val="superscript"/>
        <sz val="10"/>
        <color indexed="63"/>
        <rFont val="Arial"/>
        <family val="2"/>
      </rPr>
      <t>2</t>
    </r>
    <r>
      <rPr>
        <sz val="10"/>
        <color indexed="63"/>
        <rFont val="Arial"/>
        <family val="2"/>
      </rPr>
      <t>d</t>
    </r>
  </si>
  <si>
    <t>Interne Wärmeeinträge Personen pro Tag</t>
  </si>
  <si>
    <r>
      <t>Q</t>
    </r>
    <r>
      <rPr>
        <i/>
        <vertAlign val="subscript"/>
        <sz val="10"/>
        <color indexed="63"/>
        <rFont val="Arial"/>
        <family val="2"/>
      </rPr>
      <t>iL</t>
    </r>
  </si>
  <si>
    <r>
      <rPr>
        <i/>
        <sz val="10"/>
        <color indexed="63"/>
        <rFont val="Arial"/>
        <family val="2"/>
      </rPr>
      <t>t</t>
    </r>
    <r>
      <rPr>
        <i/>
        <vertAlign val="subscript"/>
        <sz val="10"/>
        <color indexed="63"/>
        <rFont val="Arial"/>
        <family val="2"/>
      </rPr>
      <t>L,11</t>
    </r>
  </si>
  <si>
    <t>Raumnutzung</t>
  </si>
  <si>
    <t>Geräteprofil (Nutzungstag)</t>
  </si>
  <si>
    <r>
      <t>Wh/m</t>
    </r>
    <r>
      <rPr>
        <vertAlign val="superscript"/>
        <sz val="10"/>
        <color indexed="63"/>
        <rFont val="Arial"/>
        <family val="2"/>
      </rPr>
      <t>2</t>
    </r>
  </si>
  <si>
    <t>Wasserbedarf pro Person</t>
  </si>
  <si>
    <t>Warmwasserbedarf pro Person</t>
  </si>
  <si>
    <t>l/d</t>
  </si>
  <si>
    <t>m²</t>
  </si>
  <si>
    <r>
      <t>m</t>
    </r>
    <r>
      <rPr>
        <vertAlign val="superscript"/>
        <sz val="10"/>
        <rFont val="Arial"/>
        <family val="2"/>
      </rPr>
      <t>3</t>
    </r>
    <r>
      <rPr>
        <sz val="10"/>
        <rFont val="Arial"/>
        <family val="2"/>
      </rPr>
      <t>/h</t>
    </r>
  </si>
  <si>
    <t>Nettogeschossfläche pro Person</t>
  </si>
  <si>
    <t>Wärmedämmwert der Bekleidung</t>
  </si>
  <si>
    <t>Feuchtequellen (ohne Personen)</t>
  </si>
  <si>
    <r>
      <t>t</t>
    </r>
    <r>
      <rPr>
        <i/>
        <vertAlign val="subscript"/>
        <sz val="10"/>
        <color indexed="63"/>
        <rFont val="Arial"/>
        <family val="2"/>
      </rPr>
      <t>Li,min</t>
    </r>
  </si>
  <si>
    <t>tLi,min,Sommer</t>
  </si>
  <si>
    <r>
      <t>t</t>
    </r>
    <r>
      <rPr>
        <i/>
        <vertAlign val="subscript"/>
        <sz val="10"/>
        <color indexed="63"/>
        <rFont val="Arial"/>
        <family val="2"/>
      </rPr>
      <t>Li,min,su</t>
    </r>
  </si>
  <si>
    <t>Vollaststunden pro 11h Sommertag</t>
  </si>
  <si>
    <r>
      <rPr>
        <i/>
        <sz val="10"/>
        <color indexed="63"/>
        <rFont val="Arial"/>
        <family val="2"/>
      </rPr>
      <t>t</t>
    </r>
    <r>
      <rPr>
        <i/>
        <vertAlign val="subscript"/>
        <sz val="10"/>
        <color indexed="63"/>
        <rFont val="Arial"/>
        <family val="2"/>
      </rPr>
      <t>L,11,su</t>
    </r>
  </si>
  <si>
    <r>
      <t>t</t>
    </r>
    <r>
      <rPr>
        <i/>
        <vertAlign val="subscript"/>
        <sz val="10"/>
        <color indexed="63"/>
        <rFont val="Arial"/>
        <family val="2"/>
      </rPr>
      <t>L,su</t>
    </r>
  </si>
  <si>
    <t>Externe Wärmeeintragsleistung</t>
  </si>
  <si>
    <t>Interne Wärmeeintragsleistung</t>
  </si>
  <si>
    <t>Personen, Geräte, Beleuchtung</t>
  </si>
  <si>
    <t>Solar, Transmission, Lüftung</t>
  </si>
  <si>
    <t>- Wasser- und Warmwasserbedarf sind in den Raumnutzungen 3.1 und 3.2 enthalten</t>
  </si>
  <si>
    <t>SIA 385/2</t>
  </si>
  <si>
    <t>Person</t>
  </si>
  <si>
    <t>Bett</t>
  </si>
  <si>
    <t>Sitzplatz</t>
  </si>
  <si>
    <t>Warm- und Kaltwasser</t>
  </si>
  <si>
    <t>- Wasser- und Warmwasserbedarf sind in der Raumnutzung 2.1 enthalten</t>
  </si>
  <si>
    <t>- Wasser- und Warmwasserbedarf sind in der Raumnutzung 4.1 enthalten</t>
  </si>
  <si>
    <t>- Wasser- und Warmwasserbedarf pro Dusche für Sportanlagen</t>
  </si>
  <si>
    <t>- Wasser- und Warmwasserbedarf pro Dusche ohne Badewasserbedarf</t>
  </si>
  <si>
    <t>- Beurteilungspegel für Dauergeräusche von Haustechnikanlagen in Abhängigkeit der zugehörigen Hauptnutzung</t>
  </si>
  <si>
    <t>- Wasser- und Warmwasserbedarf werden durch die Hauptnutzung bestimmt</t>
  </si>
  <si>
    <t>Wohnen MFH</t>
  </si>
  <si>
    <t>Wohnen EFH</t>
  </si>
  <si>
    <t>nicht notwend.</t>
  </si>
  <si>
    <t>80%</t>
  </si>
  <si>
    <t>Abminderungsfaktor für Fensterrahmen</t>
  </si>
  <si>
    <t>SIA 382/1</t>
  </si>
  <si>
    <t>Nutzungsstunden pro Tag</t>
  </si>
  <si>
    <t>Volllaststunden pro Tag</t>
  </si>
  <si>
    <t>Nutzungstage pro Jahr</t>
  </si>
  <si>
    <t>- Die Raumlufttemperatur Winter (Auslegung Heizung) richtet sich nach der zugehörigen Hauptnutzung</t>
  </si>
  <si>
    <r>
      <t>V</t>
    </r>
    <r>
      <rPr>
        <i/>
        <vertAlign val="subscript"/>
        <sz val="10"/>
        <rFont val="Arial"/>
        <family val="2"/>
      </rPr>
      <t>W</t>
    </r>
  </si>
  <si>
    <r>
      <t>V</t>
    </r>
    <r>
      <rPr>
        <i/>
        <vertAlign val="subscript"/>
        <sz val="10"/>
        <rFont val="Arial"/>
        <family val="2"/>
      </rPr>
      <t>w</t>
    </r>
  </si>
  <si>
    <r>
      <t>V</t>
    </r>
    <r>
      <rPr>
        <i/>
        <vertAlign val="subscript"/>
        <sz val="10"/>
        <rFont val="Arial"/>
        <family val="2"/>
      </rPr>
      <t>W,u</t>
    </r>
  </si>
  <si>
    <r>
      <t>q</t>
    </r>
    <r>
      <rPr>
        <i/>
        <vertAlign val="subscript"/>
        <sz val="10"/>
        <rFont val="Arial"/>
        <family val="2"/>
      </rPr>
      <t>V,e</t>
    </r>
  </si>
  <si>
    <t>- Keine Lüftungsanlage im Bestand</t>
  </si>
  <si>
    <t>Verkehr</t>
  </si>
  <si>
    <t>Küche</t>
  </si>
  <si>
    <t>WC, Bad, Dusche</t>
  </si>
  <si>
    <t>Server</t>
  </si>
  <si>
    <t>kWh</t>
  </si>
  <si>
    <t>W</t>
  </si>
  <si>
    <t>Auslegung Dauergeräusche</t>
  </si>
  <si>
    <r>
      <t>t</t>
    </r>
    <r>
      <rPr>
        <i/>
        <vertAlign val="subscript"/>
        <sz val="10"/>
        <color indexed="63"/>
        <rFont val="Arial"/>
        <family val="2"/>
      </rPr>
      <t>L,d</t>
    </r>
  </si>
  <si>
    <r>
      <t>H</t>
    </r>
    <r>
      <rPr>
        <i/>
        <vertAlign val="subscript"/>
        <sz val="10"/>
        <rFont val="Arial"/>
        <family val="2"/>
      </rPr>
      <t>H</t>
    </r>
  </si>
  <si>
    <t>Wärmetransferkoeffizient</t>
  </si>
  <si>
    <t>Bezugseinheit</t>
  </si>
  <si>
    <t>- Wasser- und Warmwasserbedarf pro Person</t>
  </si>
  <si>
    <t>- Wasser- und Warmwasserbedarf für Restaurants inkl. Küche pro Sitzplatz</t>
  </si>
  <si>
    <t>Dusche</t>
  </si>
  <si>
    <t>Anzahl Bezugseinheiten pro Person</t>
  </si>
  <si>
    <t>Standard, Bestand</t>
  </si>
  <si>
    <t>Wasser und Warmwasser</t>
  </si>
  <si>
    <t>Temperatur-Änderungsgrad der Wärmerückgewinnung</t>
  </si>
  <si>
    <t>SIA 2024 - Resultate Zielwert</t>
  </si>
  <si>
    <t>SIA 2024 - Resultate Standard</t>
  </si>
  <si>
    <t>SIA 2024 - Resultate Bestand</t>
  </si>
  <si>
    <t>SIA 2024 - Eingabedaten</t>
  </si>
  <si>
    <t>Nutzwarmwasserbedarf pro Bezugseinheit</t>
  </si>
  <si>
    <t>- Wasser- und Warmwasserbedarf pro Bett, ohne Küche und Wäscherei</t>
  </si>
  <si>
    <t>- Wasser- und Warmwasserbedarf pro Person, ohne Personalrestaurant</t>
  </si>
  <si>
    <t>- Wasser- und Warmwasserbedarf pro Person (Schüler), ohne Mensa und Sportanlagen</t>
  </si>
  <si>
    <t>- Wasser- und Warmwasserbedarf pro Person (Kunden)</t>
  </si>
  <si>
    <t>- Wasser- und Warmwasserbedarf sind in der Raumnutzung 6.1 enthalten</t>
  </si>
  <si>
    <t>- Wasser- und Warmwasserbedarf pro Person (Besucher)</t>
  </si>
  <si>
    <t>- Wasser- und Warmwasserbedarf pro Bett, ohne Restaurant</t>
  </si>
  <si>
    <t>- Wasser- und Warmwasserbedarf sind in der Raumnutzung 8.1 enthalten</t>
  </si>
  <si>
    <t>W/(m²K)</t>
  </si>
  <si>
    <r>
      <t>m</t>
    </r>
    <r>
      <rPr>
        <vertAlign val="superscript"/>
        <sz val="10"/>
        <rFont val="Arial"/>
        <family val="2"/>
      </rPr>
      <t>3</t>
    </r>
    <r>
      <rPr>
        <sz val="10"/>
        <rFont val="Arial"/>
        <family val="2"/>
      </rPr>
      <t>/(hm</t>
    </r>
    <r>
      <rPr>
        <vertAlign val="superscript"/>
        <sz val="10"/>
        <rFont val="Arial"/>
        <family val="2"/>
      </rPr>
      <t>2</t>
    </r>
    <r>
      <rPr>
        <sz val="10"/>
        <rFont val="Arial"/>
        <family val="2"/>
      </rPr>
      <t>)</t>
    </r>
  </si>
  <si>
    <t>Auslegung Kühlung</t>
  </si>
  <si>
    <t>Auslegung Heizung</t>
  </si>
  <si>
    <t>Ziffer</t>
  </si>
  <si>
    <t>Deutsch</t>
  </si>
  <si>
    <t>Französisch</t>
  </si>
  <si>
    <t>Italienisch</t>
  </si>
  <si>
    <t>Quote-part vitrée des fenêtres</t>
  </si>
  <si>
    <t>Activité métabolique</t>
  </si>
  <si>
    <t>Type d’installation</t>
  </si>
  <si>
    <t>Tipo d‘impianto</t>
  </si>
  <si>
    <t>Débit d’air neuf</t>
  </si>
  <si>
    <t>Aussenluft-Volumenstrom durch Infiltration</t>
  </si>
  <si>
    <t>Débit d’air par infiltration</t>
  </si>
  <si>
    <t>Surface des éléments de construction</t>
  </si>
  <si>
    <t>Superficie degli elementi costruttivi</t>
  </si>
  <si>
    <t>Beleuchtungsstärke</t>
  </si>
  <si>
    <t>Éclairement lumineux</t>
  </si>
  <si>
    <t>Plan utile</t>
  </si>
  <si>
    <t>Piano di valutazione</t>
  </si>
  <si>
    <t>Unité de consommation</t>
  </si>
  <si>
    <t>Elektrische Leistung der Akzentbeleuchtung</t>
  </si>
  <si>
    <t>Elektrische Leistung der Raumbeleuchtung</t>
  </si>
  <si>
    <t xml:space="preserve">Puissance électrique de l’éclairage </t>
  </si>
  <si>
    <t>Elektrische Leistung der Geräte</t>
  </si>
  <si>
    <t>Potenza elettrica degli apparecchi</t>
  </si>
  <si>
    <t>Elektrische Leistung der Lüftung</t>
  </si>
  <si>
    <t xml:space="preserve">Puissance électrique de la ventilation </t>
  </si>
  <si>
    <t>Potenza elettrica della ventilazione</t>
  </si>
  <si>
    <t>Apports de chaleur externes</t>
  </si>
  <si>
    <t>Production d'humidité par personne</t>
  </si>
  <si>
    <t>Sources d'humidité (personnes exceptées)</t>
  </si>
  <si>
    <t>Gesamtenergiedurchlassgrad</t>
  </si>
  <si>
    <t>Taux de surface vitrée</t>
  </si>
  <si>
    <t>Apports de chaleur internes</t>
  </si>
  <si>
    <t>Simultanéité annuelle</t>
  </si>
  <si>
    <t>Profil annuel</t>
  </si>
  <si>
    <t>Profilo annuale</t>
  </si>
  <si>
    <t xml:space="preserve">Jährliche Volllaststunden der Raumbeleuchtung </t>
  </si>
  <si>
    <t xml:space="preserve">Jährliche Volllaststunden der Akzentbeleuchtung </t>
  </si>
  <si>
    <t>Demande annuelle en électricité de l’éclairage</t>
  </si>
  <si>
    <t>Jährlicher Elektrizitätsbedarf der Geräte</t>
  </si>
  <si>
    <t>Jährlicher Elektrizitätsbedarf für die Lüftung</t>
  </si>
  <si>
    <t>Demande annuelle en électricité de la ventilation</t>
  </si>
  <si>
    <t xml:space="preserve">Jährlicher Heizwärmebedarf </t>
  </si>
  <si>
    <t>Demande en puissance de refroidissement</t>
  </si>
  <si>
    <t>Korrekturfaktor für Präsenzregelung</t>
  </si>
  <si>
    <t>Facteur de correction pour détecteur de présence</t>
  </si>
  <si>
    <t>Fattore di correzione per la regolazione di presenza</t>
  </si>
  <si>
    <t xml:space="preserve">Sensibilité au bruit </t>
  </si>
  <si>
    <t>Sensibilità al rumore</t>
  </si>
  <si>
    <t>Efficacité lumineuse des luminaires</t>
  </si>
  <si>
    <t>Efficienza luminosa dei corpi illuminanti</t>
  </si>
  <si>
    <t>Facteur de transmission solaire et lumineuse</t>
  </si>
  <si>
    <t>Fattore di trasmissione luminosa</t>
  </si>
  <si>
    <t>Lüftungs-Wärmetransferkoeffizient</t>
  </si>
  <si>
    <t>Coefficient de transfert thermique par ventilation</t>
  </si>
  <si>
    <t>Temps de réverbération</t>
  </si>
  <si>
    <t>Tempo di riverbero</t>
  </si>
  <si>
    <t>Necessità di raffredamento</t>
  </si>
  <si>
    <t>Heures d'utilisation par jour</t>
  </si>
  <si>
    <t>Nutzungsstunden Tag und Nacht</t>
  </si>
  <si>
    <t>Heures d'utilisation pour le jour et pour la nuit</t>
  </si>
  <si>
    <t>Besoins en eau chaude utile par unité de consommation</t>
  </si>
  <si>
    <t>Surface par personne</t>
  </si>
  <si>
    <t>Superficie per persona</t>
  </si>
  <si>
    <t>Personenprofil</t>
  </si>
  <si>
    <t>Indice del locale</t>
  </si>
  <si>
    <t>Utilance</t>
  </si>
  <si>
    <t>Fattore di riduzione degli apporti termici solari</t>
  </si>
  <si>
    <t>Jours non ouvrables par semaine</t>
  </si>
  <si>
    <t>Giorni di riposo settimanali</t>
  </si>
  <si>
    <t>Strahlungsleistung für Betätigung Sonnenschutz</t>
  </si>
  <si>
    <t>Puissance rayonnée pour l’actionnement de la protection solaire</t>
  </si>
  <si>
    <t>Potenza d’irraggiamento per l'azionamento della protezione solare</t>
  </si>
  <si>
    <t>Coefficiente di variabilità della temperatura del recuperatore di calore</t>
  </si>
  <si>
    <t>Temperaturkorrektur</t>
  </si>
  <si>
    <t>Correction de température</t>
  </si>
  <si>
    <t>Correzione di temperatura</t>
  </si>
  <si>
    <t>Thermisch wirksamer Aussenluft-Volumenstrom</t>
  </si>
  <si>
    <t>Débit d’air thermiquement actif</t>
  </si>
  <si>
    <t>Surface de l’enveloppe thermique</t>
  </si>
  <si>
    <t>Volllaststunden pro Jahr</t>
  </si>
  <si>
    <t>Heures à pleine charge par an</t>
  </si>
  <si>
    <t>Heures à pleine charge par jour</t>
  </si>
  <si>
    <t>Wärmeabgabeleistung Personen</t>
  </si>
  <si>
    <t xml:space="preserve">Résistance thermique de l‘habillement </t>
  </si>
  <si>
    <t>Wärmedurchgangskoeffizient</t>
  </si>
  <si>
    <t>Coefficient de transmission thermique</t>
  </si>
  <si>
    <t>Coefficiente di trasmissione termica</t>
  </si>
  <si>
    <t>Coefficient de transfert thermique</t>
  </si>
  <si>
    <t xml:space="preserve">Besoin en eau chaude utile par personne </t>
  </si>
  <si>
    <t>Besoin en eau par personne</t>
  </si>
  <si>
    <t>Constante de temps</t>
  </si>
  <si>
    <t>Costante di tempo</t>
  </si>
  <si>
    <t>Variabilité de la température dans les installations de récupération de chaleur</t>
  </si>
  <si>
    <t>Jährliche Geräte-Volllaststunden</t>
  </si>
  <si>
    <t>Wartungswert</t>
  </si>
  <si>
    <t>Aussenluft-Volumenstrom pro Person</t>
  </si>
  <si>
    <t>Nutzungsstunden pro Nacht</t>
  </si>
  <si>
    <t>Transmissions-Wärmetransferkoeffizient</t>
  </si>
  <si>
    <t>Cible</t>
  </si>
  <si>
    <t>Existant</t>
  </si>
  <si>
    <t>Standard, cible</t>
  </si>
  <si>
    <t>Standard, existant</t>
  </si>
  <si>
    <t>Mirato</t>
  </si>
  <si>
    <t>Ausgewählt</t>
  </si>
  <si>
    <r>
      <t>t</t>
    </r>
    <r>
      <rPr>
        <i/>
        <vertAlign val="subscript"/>
        <sz val="10"/>
        <rFont val="Arial"/>
        <family val="2"/>
      </rPr>
      <t>A,d</t>
    </r>
  </si>
  <si>
    <r>
      <t>f</t>
    </r>
    <r>
      <rPr>
        <i/>
        <vertAlign val="subscript"/>
        <sz val="10"/>
        <rFont val="Arial"/>
        <family val="2"/>
      </rPr>
      <t>A,St</t>
    </r>
  </si>
  <si>
    <t>Höhe = 0.75 m oder 0.05 m</t>
  </si>
  <si>
    <t>berechnet!</t>
  </si>
  <si>
    <t xml:space="preserve">Elektrischer Energiebedarf                              </t>
  </si>
  <si>
    <t xml:space="preserve">Thermischer Energiebedarf                              </t>
  </si>
  <si>
    <t xml:space="preserve">Elektrischer Leistungsbedarf                              </t>
  </si>
  <si>
    <t xml:space="preserve">Thermischer Leistungsbedarf                              </t>
  </si>
  <si>
    <t>Chambre d'hôtel</t>
  </si>
  <si>
    <t>Réception, zone d'accueil</t>
  </si>
  <si>
    <t>Bureau individuel, collectif</t>
  </si>
  <si>
    <t>Bureau paysagé</t>
  </si>
  <si>
    <t>Salle de réunion</t>
  </si>
  <si>
    <t>Hall des guichets, zone clientèle</t>
  </si>
  <si>
    <t>Salle d'école</t>
  </si>
  <si>
    <t>Salle des maîtres</t>
  </si>
  <si>
    <t>Bibliothèque</t>
  </si>
  <si>
    <t>Auditoire</t>
  </si>
  <si>
    <t>Magasin d'alimentation</t>
  </si>
  <si>
    <t>Magasin grande surface</t>
  </si>
  <si>
    <t>Restaurant self-service</t>
  </si>
  <si>
    <t>Cuisine de restaurant</t>
  </si>
  <si>
    <t>Cuisine de restaurant self-service</t>
  </si>
  <si>
    <t>Salle de spectacles</t>
  </si>
  <si>
    <t>Halle d'exposition</t>
  </si>
  <si>
    <t>Chambre d'hôpital</t>
  </si>
  <si>
    <t>Bureau de service hospitalier</t>
  </si>
  <si>
    <t>Locaux médicaux</t>
  </si>
  <si>
    <t>Production (travail lourd)</t>
  </si>
  <si>
    <t>Production (travail fin)</t>
  </si>
  <si>
    <t>Entrepôt</t>
  </si>
  <si>
    <t>Salle de gymnastique</t>
  </si>
  <si>
    <t>Salle de fitness</t>
  </si>
  <si>
    <t>Piscine couverte</t>
  </si>
  <si>
    <t>Surface de dégagement</t>
  </si>
  <si>
    <t>WC, salle de bain, douche</t>
  </si>
  <si>
    <t>Garage collectif</t>
  </si>
  <si>
    <t>Buanderie, séchoir</t>
  </si>
  <si>
    <t>Chambre froide</t>
  </si>
  <si>
    <t>Salle de serveurs</t>
  </si>
  <si>
    <t>Surface de dégagement 24h</t>
  </si>
  <si>
    <t>Habitat individuel</t>
  </si>
  <si>
    <t>Habitat collectif</t>
  </si>
  <si>
    <t>Utilisation avec climatisation</t>
  </si>
  <si>
    <t>Désignation</t>
  </si>
  <si>
    <t>Utilisation du local</t>
  </si>
  <si>
    <t>Dimensions du local</t>
  </si>
  <si>
    <t>Climat du local</t>
  </si>
  <si>
    <t>Personnes</t>
  </si>
  <si>
    <t>Appareils</t>
  </si>
  <si>
    <t>Ventilation</t>
  </si>
  <si>
    <t>Climatisation</t>
  </si>
  <si>
    <t>Chauffage</t>
  </si>
  <si>
    <t>Eau chaude</t>
  </si>
  <si>
    <t>moyen</t>
  </si>
  <si>
    <t>faible</t>
  </si>
  <si>
    <t>Installation d'extraction simple flux (ARS)</t>
  </si>
  <si>
    <t>sans installation de ventilation</t>
  </si>
  <si>
    <t>nécessaire</t>
  </si>
  <si>
    <t>souhaité</t>
  </si>
  <si>
    <t>Lit</t>
  </si>
  <si>
    <t>Douche</t>
  </si>
  <si>
    <t>Symbole</t>
  </si>
  <si>
    <t>Unité</t>
  </si>
  <si>
    <t>Local</t>
  </si>
  <si>
    <t>Eau</t>
  </si>
  <si>
    <t>Demande en énergie électrique et thermique</t>
  </si>
  <si>
    <t>Demande en puissance électrique et thermique</t>
  </si>
  <si>
    <t>Demande en énergie électrique</t>
  </si>
  <si>
    <t>Demande en énergie thermique</t>
  </si>
  <si>
    <t>Demande en puissance électrique</t>
  </si>
  <si>
    <t>Demande en puissance thermique</t>
  </si>
  <si>
    <t>Vestiaire, douche</t>
  </si>
  <si>
    <t>Puissance électrique de l'éclairage</t>
  </si>
  <si>
    <t>Heures d'utilisation par nuit</t>
  </si>
  <si>
    <t>Commentaires</t>
  </si>
  <si>
    <t>Jährliche Volllaststunden der Lüftung</t>
  </si>
  <si>
    <t>Jährliche Volllaststunden der Geräte</t>
  </si>
  <si>
    <t>Jährliche Volllaststunden der Raumkühlung</t>
  </si>
  <si>
    <t>Jährliche Volllaststunden der Raumheizung</t>
  </si>
  <si>
    <t>Eau chaude et froide</t>
  </si>
  <si>
    <t>Solaire, transmission, ventilation</t>
  </si>
  <si>
    <t>Demande en électricité</t>
  </si>
  <si>
    <t>Personnes, appareils, éclairage</t>
  </si>
  <si>
    <t>Heures à pleine charge par an de la ventilation</t>
  </si>
  <si>
    <t>Heures à pleine charge par an de la climatisation</t>
  </si>
  <si>
    <t>SIA 2024 - Résultats standard</t>
  </si>
  <si>
    <t>SIA 2024 - Résultats valeur cible</t>
  </si>
  <si>
    <t>SIA 2024 - Résultats existant</t>
  </si>
  <si>
    <t>Camera d'albergo</t>
  </si>
  <si>
    <t>Sala riunioni</t>
  </si>
  <si>
    <t>Biblioteca</t>
  </si>
  <si>
    <t>Auditorio</t>
  </si>
  <si>
    <t>Ristorante</t>
  </si>
  <si>
    <t>Ristorante self-service</t>
  </si>
  <si>
    <t>Palestra</t>
  </si>
  <si>
    <t>Locale fitness</t>
  </si>
  <si>
    <t>Piscina coperta</t>
  </si>
  <si>
    <t>Superficie di circolazione</t>
  </si>
  <si>
    <t>WC, bagno, doccia</t>
  </si>
  <si>
    <t>Locale server</t>
  </si>
  <si>
    <t>Laboratorio</t>
  </si>
  <si>
    <t>Superficie di circolazione 24h</t>
  </si>
  <si>
    <t>Abitazione plurifamiliare</t>
  </si>
  <si>
    <t>Abitazione monofamiliare</t>
  </si>
  <si>
    <t>Locale</t>
  </si>
  <si>
    <t>Persone</t>
  </si>
  <si>
    <t>Apparecchi</t>
  </si>
  <si>
    <t>Illuminazione</t>
  </si>
  <si>
    <t>Ventilazione</t>
  </si>
  <si>
    <t>Acqua</t>
  </si>
  <si>
    <t>Impianto di ventilazione con riscaldamento dell'aria</t>
  </si>
  <si>
    <t>senza impianto di ventilazione</t>
  </si>
  <si>
    <t>non necessario</t>
  </si>
  <si>
    <t>desiderato</t>
  </si>
  <si>
    <t>necessario</t>
  </si>
  <si>
    <t>Projektwert</t>
  </si>
  <si>
    <t>Valeur projet</t>
  </si>
  <si>
    <t>Valore standard</t>
  </si>
  <si>
    <t>Simbolo</t>
  </si>
  <si>
    <t>Unità</t>
  </si>
  <si>
    <t>SIA 2024 - Risultati valore mirato</t>
  </si>
  <si>
    <t>Maximale Luftgeschwindigkeit Sommer</t>
  </si>
  <si>
    <t>Maximale Luftgeschwindigkeit Winter</t>
  </si>
  <si>
    <t>Notwendigkeit einer Kühlung mit Fensterlüftung Tag und Nacht</t>
  </si>
  <si>
    <t>Notwendigkeit einer Kühlung mit Fensterlüftung bei Belegung</t>
  </si>
  <si>
    <t>Notwendigkeit einer Kühlung ohne Fensterlüftung</t>
  </si>
  <si>
    <t>g/(hm2)</t>
  </si>
  <si>
    <t>m3/(hm2)</t>
  </si>
  <si>
    <t>l/(dP)</t>
  </si>
  <si>
    <t>m3/(h×m2)</t>
  </si>
  <si>
    <t>Fev</t>
  </si>
  <si>
    <t>Mar</t>
  </si>
  <si>
    <t>Avr</t>
  </si>
  <si>
    <t>Jui</t>
  </si>
  <si>
    <t>Oct</t>
  </si>
  <si>
    <t>Dec</t>
  </si>
  <si>
    <t>Gen</t>
  </si>
  <si>
    <t>Mag</t>
  </si>
  <si>
    <t>Giu</t>
  </si>
  <si>
    <t>Lug</t>
  </si>
  <si>
    <t>Ago</t>
  </si>
  <si>
    <t>Set</t>
  </si>
  <si>
    <t>Ott</t>
  </si>
  <si>
    <t>Dic</t>
  </si>
  <si>
    <t>Aou</t>
  </si>
  <si>
    <t>Jährlicher Elektrizitätsbedarf pro Person</t>
  </si>
  <si>
    <t>Heures à pleine charge par an du chauffage</t>
  </si>
  <si>
    <t>Besoins de chaleur pour le chauffage par an</t>
  </si>
  <si>
    <t>Besoins de chaleur pour l'eau chaude sanitaire par an</t>
  </si>
  <si>
    <t>Rendimento del locale</t>
  </si>
  <si>
    <t xml:space="preserve">Relative Raumluftfeuchte </t>
  </si>
  <si>
    <t>Spezifische Ventilatorleistung</t>
  </si>
  <si>
    <t>Puissance spécifique du ventilateur</t>
  </si>
  <si>
    <t>Potenza specifica del ventilatore</t>
  </si>
  <si>
    <t>Schulfachraum (Spezialraum)</t>
  </si>
  <si>
    <t>Cage d'escalier</t>
  </si>
  <si>
    <t>Fensteranteil, Bruttofassade</t>
  </si>
  <si>
    <t>Taux des fenêtres, faҫade nette</t>
  </si>
  <si>
    <t>Utilizzo con climatizzazione</t>
  </si>
  <si>
    <t>Débit d’air neuf par personne</t>
  </si>
  <si>
    <t>Taux d’occupation (Jours d'utilisation)</t>
  </si>
  <si>
    <t>Profil de puissance des appareils (Jours d'utilisation)</t>
  </si>
  <si>
    <t>Jour d'utilisation</t>
  </si>
  <si>
    <t>Siège</t>
  </si>
  <si>
    <t xml:space="preserve">- Wasser- und Warmwasserbedarf pro Person, ohne Prozesswasser </t>
  </si>
  <si>
    <t>Fabbisogno energetico elettrico</t>
  </si>
  <si>
    <t>Fabbisogno di potenza termica</t>
  </si>
  <si>
    <t>Leistungsbedarf, W/m2</t>
  </si>
  <si>
    <t>Energiebedarf, kWh/m2</t>
  </si>
  <si>
    <t>Kontrolle Resultate vorangehende Version</t>
  </si>
  <si>
    <t>Valeur standard</t>
  </si>
  <si>
    <t>Puissance électrique des appareils</t>
  </si>
  <si>
    <t>Attività metabolica</t>
  </si>
  <si>
    <t>Intensità luminosa</t>
  </si>
  <si>
    <t>Quota di superficie vetrata</t>
  </si>
  <si>
    <t>Facteur de surface vitrée</t>
  </si>
  <si>
    <t>Apports de chaleur internes par jour</t>
  </si>
  <si>
    <t>Apporti termici interni giornalieri</t>
  </si>
  <si>
    <t>Jours d'utilisation par an</t>
  </si>
  <si>
    <t>Indice du local</t>
  </si>
  <si>
    <t>Steuerung und Regelung des Luftvolumenstroms (einstufig, zweistufig, stufenlos)</t>
  </si>
  <si>
    <t>Capacité thermique spécifique du local</t>
  </si>
  <si>
    <t>Magazzino</t>
  </si>
  <si>
    <t>Dimensioni del locale</t>
  </si>
  <si>
    <t>Humidification</t>
  </si>
  <si>
    <t>Umidificazione</t>
  </si>
  <si>
    <t>Eau et eau chaude</t>
  </si>
  <si>
    <t>Type de profil journalier</t>
  </si>
  <si>
    <t>Tipo di profilo giornaliero</t>
  </si>
  <si>
    <t>Commenti</t>
  </si>
  <si>
    <t>Esistente</t>
  </si>
  <si>
    <t>Personne</t>
  </si>
  <si>
    <t>Persona</t>
  </si>
  <si>
    <t>Letto</t>
  </si>
  <si>
    <t>Doccia</t>
  </si>
  <si>
    <t>Dimensionnement bruits continus</t>
  </si>
  <si>
    <t>Fabbisogno energetico elettrico e termico</t>
  </si>
  <si>
    <t>Fabbisogno di potenza elettrica e termica</t>
  </si>
  <si>
    <t>Fabbisogno energetico termico</t>
  </si>
  <si>
    <t>Fabbisogno di potenza elettrica</t>
  </si>
  <si>
    <t>Salle polyvalente</t>
  </si>
  <si>
    <t>deutsch/français</t>
  </si>
  <si>
    <t>deutsch</t>
  </si>
  <si>
    <t>français</t>
  </si>
  <si>
    <t>Lizenzieren</t>
  </si>
  <si>
    <t>Anleitung</t>
  </si>
  <si>
    <t>Eingabedaten</t>
  </si>
  <si>
    <t>Datenblatt</t>
  </si>
  <si>
    <t>Resultate Bestand</t>
  </si>
  <si>
    <t>Resultate Zielwert</t>
  </si>
  <si>
    <t>Resultate Standard</t>
  </si>
  <si>
    <r>
      <t>l</t>
    </r>
    <r>
      <rPr>
        <i/>
        <vertAlign val="subscript"/>
        <sz val="10"/>
        <rFont val="Arial"/>
        <family val="2"/>
      </rPr>
      <t>R</t>
    </r>
  </si>
  <si>
    <r>
      <t>h</t>
    </r>
    <r>
      <rPr>
        <i/>
        <vertAlign val="subscript"/>
        <sz val="10"/>
        <rFont val="Arial"/>
        <family val="2"/>
      </rPr>
      <t>R</t>
    </r>
  </si>
  <si>
    <r>
      <t>A</t>
    </r>
    <r>
      <rPr>
        <i/>
        <vertAlign val="subscript"/>
        <sz val="10"/>
        <rFont val="Arial"/>
        <family val="2"/>
      </rPr>
      <t>th</t>
    </r>
  </si>
  <si>
    <r>
      <t>U</t>
    </r>
    <r>
      <rPr>
        <i/>
        <vertAlign val="subscript"/>
        <sz val="10"/>
        <rFont val="Arial"/>
        <family val="2"/>
      </rPr>
      <t>op</t>
    </r>
  </si>
  <si>
    <r>
      <t>U</t>
    </r>
    <r>
      <rPr>
        <i/>
        <vertAlign val="subscript"/>
        <sz val="10"/>
        <rFont val="Arial"/>
        <family val="2"/>
      </rPr>
      <t>w</t>
    </r>
  </si>
  <si>
    <r>
      <t>F</t>
    </r>
    <r>
      <rPr>
        <i/>
        <vertAlign val="subscript"/>
        <sz val="10"/>
        <rFont val="Arial"/>
        <family val="2"/>
      </rPr>
      <t>F</t>
    </r>
  </si>
  <si>
    <r>
      <t>f</t>
    </r>
    <r>
      <rPr>
        <i/>
        <vertAlign val="subscript"/>
        <sz val="10"/>
        <rFont val="Arial"/>
        <family val="2"/>
      </rPr>
      <t>g</t>
    </r>
  </si>
  <si>
    <r>
      <t>g</t>
    </r>
    <r>
      <rPr>
        <i/>
        <vertAlign val="subscript"/>
        <sz val="10"/>
        <rFont val="Arial"/>
        <family val="2"/>
      </rPr>
      <t>tot</t>
    </r>
  </si>
  <si>
    <r>
      <t>C</t>
    </r>
    <r>
      <rPr>
        <i/>
        <vertAlign val="subscript"/>
        <sz val="10"/>
        <rFont val="Arial"/>
        <family val="2"/>
      </rPr>
      <t>m</t>
    </r>
  </si>
  <si>
    <r>
      <t>t</t>
    </r>
    <r>
      <rPr>
        <i/>
        <vertAlign val="subscript"/>
        <sz val="10"/>
        <rFont val="Arial"/>
        <family val="2"/>
      </rPr>
      <t>P,d,max</t>
    </r>
  </si>
  <si>
    <r>
      <t>t</t>
    </r>
    <r>
      <rPr>
        <i/>
        <vertAlign val="subscript"/>
        <sz val="10"/>
        <rFont val="Arial"/>
        <family val="2"/>
      </rPr>
      <t>P,d</t>
    </r>
  </si>
  <si>
    <r>
      <t>d</t>
    </r>
    <r>
      <rPr>
        <i/>
        <vertAlign val="subscript"/>
        <sz val="10"/>
        <rFont val="Arial"/>
        <family val="2"/>
      </rPr>
      <t>Pr,w</t>
    </r>
  </si>
  <si>
    <r>
      <t>d</t>
    </r>
    <r>
      <rPr>
        <i/>
        <vertAlign val="subscript"/>
        <sz val="10"/>
        <rFont val="Arial"/>
        <family val="2"/>
      </rPr>
      <t>P</t>
    </r>
  </si>
  <si>
    <r>
      <t>f</t>
    </r>
    <r>
      <rPr>
        <i/>
        <vertAlign val="subscript"/>
        <sz val="10"/>
        <rFont val="Arial"/>
        <family val="2"/>
      </rPr>
      <t>P</t>
    </r>
  </si>
  <si>
    <r>
      <t>t</t>
    </r>
    <r>
      <rPr>
        <i/>
        <vertAlign val="subscript"/>
        <sz val="10"/>
        <rFont val="Arial"/>
        <family val="2"/>
      </rPr>
      <t>P</t>
    </r>
  </si>
  <si>
    <r>
      <t>A</t>
    </r>
    <r>
      <rPr>
        <i/>
        <vertAlign val="subscript"/>
        <sz val="10"/>
        <rFont val="Arial"/>
        <family val="2"/>
      </rPr>
      <t>P,NGF</t>
    </r>
  </si>
  <si>
    <r>
      <t>g/(h</t>
    </r>
    <r>
      <rPr>
        <sz val="10"/>
        <rFont val="Symbol"/>
        <family val="1"/>
        <charset val="2"/>
      </rPr>
      <t>×</t>
    </r>
    <r>
      <rPr>
        <sz val="10"/>
        <rFont val="Arial"/>
        <family val="2"/>
      </rPr>
      <t>m</t>
    </r>
    <r>
      <rPr>
        <vertAlign val="superscript"/>
        <sz val="10"/>
        <rFont val="Arial"/>
        <family val="2"/>
      </rPr>
      <t>2</t>
    </r>
    <r>
      <rPr>
        <sz val="10"/>
        <rFont val="Arial"/>
        <family val="2"/>
      </rPr>
      <t>)</t>
    </r>
  </si>
  <si>
    <r>
      <t>g</t>
    </r>
    <r>
      <rPr>
        <i/>
        <vertAlign val="subscript"/>
        <sz val="10"/>
        <rFont val="Arial"/>
        <family val="2"/>
      </rPr>
      <t>a</t>
    </r>
  </si>
  <si>
    <r>
      <t>p</t>
    </r>
    <r>
      <rPr>
        <i/>
        <vertAlign val="subscript"/>
        <sz val="10"/>
        <rFont val="Arial"/>
        <family val="2"/>
      </rPr>
      <t>A</t>
    </r>
  </si>
  <si>
    <r>
      <t>E</t>
    </r>
    <r>
      <rPr>
        <i/>
        <vertAlign val="subscript"/>
        <sz val="10"/>
        <rFont val="Arial"/>
        <family val="2"/>
      </rPr>
      <t>A</t>
    </r>
  </si>
  <si>
    <r>
      <t>E</t>
    </r>
    <r>
      <rPr>
        <i/>
        <vertAlign val="subscript"/>
        <sz val="10"/>
        <rFont val="Arial"/>
        <family val="2"/>
      </rPr>
      <t>vm</t>
    </r>
  </si>
  <si>
    <r>
      <t>h</t>
    </r>
    <r>
      <rPr>
        <i/>
        <vertAlign val="subscript"/>
        <sz val="10"/>
        <rFont val="Arial"/>
        <family val="2"/>
      </rPr>
      <t>v</t>
    </r>
  </si>
  <si>
    <r>
      <t>h</t>
    </r>
    <r>
      <rPr>
        <i/>
        <vertAlign val="subscript"/>
        <sz val="10"/>
        <rFont val="Arial"/>
        <family val="2"/>
      </rPr>
      <t>v,Lo</t>
    </r>
  </si>
  <si>
    <r>
      <t>h</t>
    </r>
    <r>
      <rPr>
        <i/>
        <vertAlign val="subscript"/>
        <sz val="11"/>
        <rFont val="Arial"/>
        <family val="2"/>
      </rPr>
      <t>R</t>
    </r>
  </si>
  <si>
    <r>
      <t>t</t>
    </r>
    <r>
      <rPr>
        <i/>
        <vertAlign val="subscript"/>
        <sz val="10"/>
        <rFont val="Arial"/>
        <family val="2"/>
      </rPr>
      <t>ud</t>
    </r>
  </si>
  <si>
    <r>
      <t>t</t>
    </r>
    <r>
      <rPr>
        <i/>
        <vertAlign val="subscript"/>
        <sz val="10"/>
        <rFont val="Arial"/>
        <family val="2"/>
      </rPr>
      <t>un</t>
    </r>
  </si>
  <si>
    <r>
      <t>k</t>
    </r>
    <r>
      <rPr>
        <i/>
        <vertAlign val="subscript"/>
        <sz val="10"/>
        <rFont val="Arial"/>
        <family val="2"/>
      </rPr>
      <t>Pr</t>
    </r>
  </si>
  <si>
    <r>
      <t>F</t>
    </r>
    <r>
      <rPr>
        <i/>
        <vertAlign val="subscript"/>
        <sz val="10"/>
        <rFont val="Arial"/>
        <family val="2"/>
      </rPr>
      <t>L</t>
    </r>
  </si>
  <si>
    <r>
      <t>W/(m</t>
    </r>
    <r>
      <rPr>
        <vertAlign val="superscript"/>
        <sz val="10"/>
        <rFont val="Arial"/>
        <family val="2"/>
      </rPr>
      <t>3</t>
    </r>
    <r>
      <rPr>
        <sz val="10"/>
        <rFont val="Arial"/>
        <family val="2"/>
      </rPr>
      <t>/h)</t>
    </r>
  </si>
  <si>
    <r>
      <t>F</t>
    </r>
    <r>
      <rPr>
        <i/>
        <vertAlign val="subscript"/>
        <sz val="10"/>
        <rFont val="Arial"/>
        <family val="2"/>
      </rPr>
      <t>e</t>
    </r>
  </si>
  <si>
    <r>
      <t>F</t>
    </r>
    <r>
      <rPr>
        <i/>
        <vertAlign val="subscript"/>
        <sz val="10"/>
        <rFont val="Arial"/>
        <family val="2"/>
      </rPr>
      <t>i</t>
    </r>
  </si>
  <si>
    <r>
      <t>Q</t>
    </r>
    <r>
      <rPr>
        <i/>
        <vertAlign val="subscript"/>
        <sz val="10"/>
        <rFont val="Arial"/>
        <family val="2"/>
      </rPr>
      <t>i</t>
    </r>
  </si>
  <si>
    <r>
      <t>Wh/m</t>
    </r>
    <r>
      <rPr>
        <vertAlign val="superscript"/>
        <sz val="10"/>
        <rFont val="Arial"/>
        <family val="2"/>
      </rPr>
      <t>2</t>
    </r>
  </si>
  <si>
    <r>
      <t>F</t>
    </r>
    <r>
      <rPr>
        <i/>
        <vertAlign val="subscript"/>
        <sz val="10"/>
        <rFont val="Arial"/>
        <family val="2"/>
      </rPr>
      <t>C</t>
    </r>
  </si>
  <si>
    <r>
      <t>t</t>
    </r>
    <r>
      <rPr>
        <i/>
        <vertAlign val="subscript"/>
        <sz val="10"/>
        <rFont val="Arial"/>
        <family val="2"/>
      </rPr>
      <t>C</t>
    </r>
  </si>
  <si>
    <r>
      <t>Q</t>
    </r>
    <r>
      <rPr>
        <i/>
        <vertAlign val="subscript"/>
        <sz val="10"/>
        <rFont val="Arial"/>
        <family val="2"/>
      </rPr>
      <t>C</t>
    </r>
  </si>
  <si>
    <t>Éclairage</t>
  </si>
  <si>
    <t>1 vitesse</t>
  </si>
  <si>
    <t>2 vitesses</t>
  </si>
  <si>
    <t>variable vitesse</t>
  </si>
  <si>
    <r>
      <t>q</t>
    </r>
    <r>
      <rPr>
        <i/>
        <vertAlign val="subscript"/>
        <sz val="10"/>
        <rFont val="Arial"/>
        <family val="2"/>
      </rPr>
      <t>cor</t>
    </r>
  </si>
  <si>
    <r>
      <t>t</t>
    </r>
    <r>
      <rPr>
        <i/>
        <vertAlign val="subscript"/>
        <sz val="10"/>
        <rFont val="Arial"/>
        <family val="2"/>
      </rPr>
      <t>H</t>
    </r>
  </si>
  <si>
    <r>
      <t>m</t>
    </r>
    <r>
      <rPr>
        <vertAlign val="superscript"/>
        <sz val="10"/>
        <rFont val="Arial"/>
        <family val="2"/>
      </rPr>
      <t>3</t>
    </r>
    <r>
      <rPr>
        <sz val="10"/>
        <rFont val="Arial"/>
        <family val="2"/>
      </rPr>
      <t>/(m</t>
    </r>
    <r>
      <rPr>
        <vertAlign val="superscript"/>
        <sz val="10"/>
        <rFont val="Arial"/>
        <family val="2"/>
      </rPr>
      <t>2</t>
    </r>
    <r>
      <rPr>
        <sz val="10"/>
        <rFont val="Symbol"/>
        <family val="1"/>
        <charset val="2"/>
      </rPr>
      <t>×</t>
    </r>
    <r>
      <rPr>
        <sz val="10"/>
        <rFont val="Arial"/>
        <family val="2"/>
      </rPr>
      <t>h)</t>
    </r>
  </si>
  <si>
    <t>Résultats valeur cible</t>
  </si>
  <si>
    <t>Résultats standard</t>
  </si>
  <si>
    <t>Licence</t>
  </si>
  <si>
    <t>Données d'entrés</t>
  </si>
  <si>
    <t>Licenza</t>
  </si>
  <si>
    <t>Scheda tecnica</t>
  </si>
  <si>
    <t>Risultati standard</t>
  </si>
  <si>
    <t>Risultati esistente</t>
  </si>
  <si>
    <t>SIA 2024 - Données d'entrée</t>
  </si>
  <si>
    <t>Demande énergie et puissance</t>
  </si>
  <si>
    <t>Status</t>
  </si>
  <si>
    <t>Lizenzierung</t>
  </si>
  <si>
    <t>Bevor Sie mit diesem Tool arbeiten können, müssen Sie eine Lizenz erwerben. Geben Sie Ihren Firmennamen ein und klicken Sie auf «Lizenz bestellen». Sie gelangen zum Bestellformular. Sobald Sie dieses ausgefüllt haben, erhalten Sie den Freigabeschlüssel per E-Mail. Bitte geben Sie diesen unten ein und klicken «Lizenzieren».</t>
  </si>
  <si>
    <t>Firmenname</t>
  </si>
  <si>
    <t>Bitte geben Sie den per E-Mail erhaltenen Freigabeschlüssel ein und klicken auf «Lizenzieren».</t>
  </si>
  <si>
    <t>Freigabeschlüssel</t>
  </si>
  <si>
    <t>Hinweis: Das Tool wird weiterentwickelt. Updates sind auf der Website www.energytools.ch erhältlich.</t>
  </si>
  <si>
    <t>Sprache</t>
  </si>
  <si>
    <t>italiano</t>
  </si>
  <si>
    <t>Langue</t>
  </si>
  <si>
    <t>Unità di consumo</t>
  </si>
  <si>
    <t>Facteur de transmission énergétique solaire totale</t>
  </si>
  <si>
    <t>Demande annuelle en électricité des appareils</t>
  </si>
  <si>
    <t>Ore d’utilizzo giornaliere</t>
  </si>
  <si>
    <t>Fabbisogno di acqua calda utile per unità di consumo</t>
  </si>
  <si>
    <t xml:space="preserve">Taux d’occupation </t>
  </si>
  <si>
    <t>Ufficio individuale, collettivo</t>
  </si>
  <si>
    <t>Open space</t>
  </si>
  <si>
    <t>Sala sportelli, accoglienza</t>
  </si>
  <si>
    <t>Sala docenti</t>
  </si>
  <si>
    <t>Aula speciale</t>
  </si>
  <si>
    <t>Negozio alimentare</t>
  </si>
  <si>
    <t>Negozio specializzato</t>
  </si>
  <si>
    <t>Cucina da ristorante</t>
  </si>
  <si>
    <t>Cucina da ristorante self-service</t>
  </si>
  <si>
    <t>Sala spettacoli</t>
  </si>
  <si>
    <t>Sala multiuso</t>
  </si>
  <si>
    <t>Padiglione d’esposizione</t>
  </si>
  <si>
    <t>Camera d'ospedale</t>
  </si>
  <si>
    <t>Camera di reparto</t>
  </si>
  <si>
    <t>Ambulatorio</t>
  </si>
  <si>
    <t>Produzione (lavoro pesante)</t>
  </si>
  <si>
    <t>Produzione (lavoro fine)</t>
  </si>
  <si>
    <t>Vano scala</t>
  </si>
  <si>
    <t>Locale secondario</t>
  </si>
  <si>
    <t>Cucina, piano cottura</t>
  </si>
  <si>
    <t>Vestiario, doccia</t>
  </si>
  <si>
    <t>Autorimessa</t>
  </si>
  <si>
    <t>Lavanderia e stenditoio</t>
  </si>
  <si>
    <t>Cella frigorifera</t>
  </si>
  <si>
    <t>Longueur du local</t>
  </si>
  <si>
    <t>Lunghezza del locale</t>
  </si>
  <si>
    <t>Profondeur du local</t>
  </si>
  <si>
    <t>Profondità del locale</t>
  </si>
  <si>
    <t>Hauteur du local</t>
  </si>
  <si>
    <t>Altezza del locale</t>
  </si>
  <si>
    <t>Surface nette de plancher</t>
  </si>
  <si>
    <t>Facteur de transmission énergétique solaire totale vitrage</t>
  </si>
  <si>
    <t>Facteur de transmission énergétique solaire totale vitrage et protection solaire</t>
  </si>
  <si>
    <t>Denominazione</t>
  </si>
  <si>
    <t xml:space="preserve">Clima del locale </t>
  </si>
  <si>
    <t>media</t>
  </si>
  <si>
    <t>ridotta</t>
  </si>
  <si>
    <t>1 velocità</t>
  </si>
  <si>
    <t>2 velocità</t>
  </si>
  <si>
    <t>a velocità variabile</t>
  </si>
  <si>
    <t>Impianto di climatizzazione semplice</t>
  </si>
  <si>
    <t>Impianto di climatizzazione con umidificazione e deumidificazione dell'aria</t>
  </si>
  <si>
    <t xml:space="preserve">Posto a sedere </t>
  </si>
  <si>
    <t>Potenza elettrica dell’illuminazione</t>
  </si>
  <si>
    <t>Valore di progetto</t>
  </si>
  <si>
    <t>Fabbisogno di energia e di potenza</t>
  </si>
  <si>
    <t>Demande en puissance, W/m2</t>
  </si>
  <si>
    <t>Fabbisogno di potenza, W/m2</t>
  </si>
  <si>
    <t>Demande en énergie,  kWh/m2</t>
  </si>
  <si>
    <t>Fabbisogno energetico, kWh/m2</t>
  </si>
  <si>
    <t>SIA 2024 - Risultati valore standard</t>
  </si>
  <si>
    <t>Total</t>
  </si>
  <si>
    <t>Wärmeabgabe pro Person</t>
  </si>
  <si>
    <t>Raumtemperatur Auslegung</t>
  </si>
  <si>
    <t>m3/(m2h)</t>
  </si>
  <si>
    <t>SIA 387/4</t>
  </si>
  <si>
    <t>Korrekturfaktor Gleichzeitigkeit</t>
  </si>
  <si>
    <t>Referenzbeleuchtungsstärke</t>
  </si>
  <si>
    <t>NP</t>
  </si>
  <si>
    <t>DP</t>
  </si>
  <si>
    <t>SP</t>
  </si>
  <si>
    <r>
      <t>E</t>
    </r>
    <r>
      <rPr>
        <i/>
        <vertAlign val="subscript"/>
        <sz val="10"/>
        <rFont val="Arial"/>
        <family val="2"/>
      </rPr>
      <t>0</t>
    </r>
  </si>
  <si>
    <t>Wartungswert Beleuchtung</t>
  </si>
  <si>
    <t>MF</t>
  </si>
  <si>
    <t>Volllaststunden pro Tag für eine Nutungszeit von 11 h</t>
  </si>
  <si>
    <t>Volllaststunden für allgemeine Nutzungszeiten</t>
  </si>
  <si>
    <t>Glasflächenzahl oberhalb welcher keine weitere Reduktion der Volllaststunden eintritt</t>
  </si>
  <si>
    <r>
      <t>z</t>
    </r>
    <r>
      <rPr>
        <i/>
        <vertAlign val="subscript"/>
        <sz val="10"/>
        <rFont val="Arial"/>
        <family val="2"/>
      </rPr>
      <t>g0</t>
    </r>
  </si>
  <si>
    <t>Korrekturfaktor Beleuchtungssteuerung nach Tageslicht</t>
  </si>
  <si>
    <r>
      <t>k</t>
    </r>
    <r>
      <rPr>
        <i/>
        <vertAlign val="subscript"/>
        <sz val="10"/>
        <color indexed="63"/>
        <rFont val="Arial"/>
        <family val="2"/>
      </rPr>
      <t>c</t>
    </r>
  </si>
  <si>
    <t>Korrekturfaktor Transmissionsgrad</t>
  </si>
  <si>
    <r>
      <t>k</t>
    </r>
    <r>
      <rPr>
        <i/>
        <vertAlign val="subscript"/>
        <sz val="10"/>
        <color indexed="63"/>
        <rFont val="Arial"/>
        <family val="2"/>
      </rPr>
      <t>T</t>
    </r>
  </si>
  <si>
    <r>
      <t>k</t>
    </r>
    <r>
      <rPr>
        <i/>
        <vertAlign val="subscript"/>
        <sz val="10"/>
        <color indexed="63"/>
        <rFont val="Arial"/>
        <family val="2"/>
      </rPr>
      <t>li</t>
    </r>
  </si>
  <si>
    <t>Minimale Volllaststundenzahl</t>
  </si>
  <si>
    <r>
      <t>k</t>
    </r>
    <r>
      <rPr>
        <i/>
        <vertAlign val="subscript"/>
        <sz val="10"/>
        <color indexed="63"/>
        <rFont val="Arial"/>
        <family val="2"/>
      </rPr>
      <t>B</t>
    </r>
  </si>
  <si>
    <t>Korrekturfaktor Horrizontverschattung</t>
  </si>
  <si>
    <r>
      <t>k</t>
    </r>
    <r>
      <rPr>
        <i/>
        <vertAlign val="subscript"/>
        <sz val="10"/>
        <color indexed="63"/>
        <rFont val="Arial"/>
        <family val="2"/>
      </rPr>
      <t>sur</t>
    </r>
  </si>
  <si>
    <r>
      <t>a</t>
    </r>
    <r>
      <rPr>
        <i/>
        <vertAlign val="subscript"/>
        <sz val="10"/>
        <color indexed="63"/>
        <rFont val="Arial"/>
        <family val="2"/>
      </rPr>
      <t>B</t>
    </r>
  </si>
  <si>
    <t>Höhe Fenstersturz</t>
  </si>
  <si>
    <r>
      <t>h</t>
    </r>
    <r>
      <rPr>
        <i/>
        <vertAlign val="subscript"/>
        <sz val="10"/>
        <color indexed="63"/>
        <rFont val="Arial"/>
        <family val="2"/>
      </rPr>
      <t>St</t>
    </r>
  </si>
  <si>
    <t>Korrekturfaktor Art des Sonnenschutzes</t>
  </si>
  <si>
    <r>
      <t>k</t>
    </r>
    <r>
      <rPr>
        <i/>
        <vertAlign val="subscript"/>
        <sz val="10"/>
        <color indexed="63"/>
        <rFont val="Arial"/>
        <family val="2"/>
      </rPr>
      <t>sp1</t>
    </r>
  </si>
  <si>
    <r>
      <t>k</t>
    </r>
    <r>
      <rPr>
        <i/>
        <vertAlign val="subscript"/>
        <sz val="10"/>
        <color indexed="63"/>
        <rFont val="Arial"/>
        <family val="2"/>
      </rPr>
      <t>sp2</t>
    </r>
  </si>
  <si>
    <t>Korrekturfaktor Beleuchtungssteuerung für die Sonnenschutzsteuerung</t>
  </si>
  <si>
    <r>
      <t>k</t>
    </r>
    <r>
      <rPr>
        <i/>
        <vertAlign val="subscript"/>
        <sz val="10"/>
        <rFont val="Arial"/>
        <family val="2"/>
      </rPr>
      <t>si</t>
    </r>
  </si>
  <si>
    <t xml:space="preserve">Jährliche Volllaststunden der Beleuchtung </t>
  </si>
  <si>
    <t>Elektrische Leistung der Beleuchtung</t>
  </si>
  <si>
    <t>Volllaststunden pro 11h Tag</t>
  </si>
  <si>
    <t>Elektrische Energie</t>
  </si>
  <si>
    <t>SIA 2040</t>
  </si>
  <si>
    <t>Differenz zu SIA 2024</t>
  </si>
  <si>
    <t>Raumtemperatur</t>
  </si>
  <si>
    <t>Reduktionsfaktor Elektrizitätsbedarf</t>
  </si>
  <si>
    <t>Wärmebedarf Warmwasser</t>
  </si>
  <si>
    <t>kWh/m²</t>
  </si>
  <si>
    <t xml:space="preserve">m3/(h·m²) </t>
  </si>
  <si>
    <t>Versammlungslokal</t>
  </si>
  <si>
    <t>Sportbaute</t>
  </si>
  <si>
    <t>Hallenbad</t>
  </si>
  <si>
    <t>SIA 2024:2017</t>
  </si>
  <si>
    <t>I.1</t>
  </si>
  <si>
    <t>V.1</t>
  </si>
  <si>
    <t>V.2</t>
  </si>
  <si>
    <t>V.3</t>
  </si>
  <si>
    <t>XIII</t>
  </si>
  <si>
    <t>Parking</t>
  </si>
  <si>
    <t>Total Wärme (H+W)</t>
  </si>
  <si>
    <t>Allgemeine Gebäudetechnik</t>
  </si>
  <si>
    <t>Aussenluftvolumenstrom ohne WRG</t>
  </si>
  <si>
    <t>Aussenluftvolumenstrom mit WRG</t>
  </si>
  <si>
    <t>Interne Wärmeeinträge Personen pro Jahr</t>
  </si>
  <si>
    <r>
      <t>Q</t>
    </r>
    <r>
      <rPr>
        <i/>
        <vertAlign val="subscript"/>
        <sz val="10"/>
        <color indexed="63"/>
        <rFont val="Arial"/>
        <family val="2"/>
      </rPr>
      <t>iP,d</t>
    </r>
  </si>
  <si>
    <r>
      <t>Q</t>
    </r>
    <r>
      <rPr>
        <i/>
        <vertAlign val="subscript"/>
        <sz val="10"/>
        <color indexed="63"/>
        <rFont val="Arial"/>
        <family val="2"/>
      </rPr>
      <t>iP,a</t>
    </r>
  </si>
  <si>
    <r>
      <t>Q</t>
    </r>
    <r>
      <rPr>
        <i/>
        <vertAlign val="subscript"/>
        <sz val="10"/>
        <color indexed="63"/>
        <rFont val="Arial"/>
        <family val="2"/>
      </rPr>
      <t>iA,a</t>
    </r>
  </si>
  <si>
    <t>Wärmeeinträge Personen</t>
  </si>
  <si>
    <t>Wärmeeinträge Elektrizität</t>
  </si>
  <si>
    <t>Personendichte</t>
  </si>
  <si>
    <r>
      <t xml:space="preserve">SIA 2024        </t>
    </r>
    <r>
      <rPr>
        <sz val="9"/>
        <rFont val="Arial"/>
        <family val="2"/>
      </rPr>
      <t>Umrechnung NGF / EBF:</t>
    </r>
  </si>
  <si>
    <r>
      <t xml:space="preserve">SIA 380/1 </t>
    </r>
    <r>
      <rPr>
        <sz val="9"/>
        <rFont val="Arial"/>
        <family val="2"/>
      </rPr>
      <t>Tabelle 27</t>
    </r>
  </si>
  <si>
    <t>Vorschlag harmonisierte Standardwerte</t>
  </si>
  <si>
    <t>Präsenzzeit pro Tag (Volllaststd/365)</t>
  </si>
  <si>
    <t>Personenfläche SIA 2040</t>
  </si>
  <si>
    <t>Personenfläche SIA 2024</t>
  </si>
  <si>
    <t>abgeleitet aus SIA 2024, Anhang E
gerundete Werte</t>
  </si>
  <si>
    <t>kWh/P</t>
  </si>
  <si>
    <t>Wärmebedarf Warmwasser inkl. Verluste</t>
  </si>
  <si>
    <t>Wärmeabgabe pro Person gerundet</t>
  </si>
  <si>
    <t>&gt;&gt; Personenfläche SIA 2040 zu SIA 2024 erklären!!</t>
  </si>
  <si>
    <t>Warmwasser "pro Person"</t>
  </si>
  <si>
    <t>Hochschule</t>
  </si>
  <si>
    <t>Volksschule</t>
  </si>
  <si>
    <t>IV.1</t>
  </si>
  <si>
    <t>IV.2</t>
  </si>
  <si>
    <t>I.2</t>
  </si>
  <si>
    <t>Lebensmittelgeschäft</t>
  </si>
  <si>
    <t>m3/(Ph)</t>
  </si>
  <si>
    <t>Allgemeine GT</t>
  </si>
  <si>
    <t>Heizung, Lüftung</t>
  </si>
  <si>
    <t>Warmwassser</t>
  </si>
  <si>
    <t>Grenzwert</t>
  </si>
  <si>
    <t>Einsparung</t>
  </si>
  <si>
    <t>Gewichtete Energie</t>
  </si>
  <si>
    <t>Differenz zu SIA 380/1</t>
  </si>
  <si>
    <t>Elektrizitätsbedarf Total</t>
  </si>
  <si>
    <t>Minergie Grenzwert</t>
  </si>
  <si>
    <t>Verhältnis mit / ohne WRG</t>
  </si>
  <si>
    <t>inkl qvinf</t>
  </si>
  <si>
    <t>Wärmebedarf Warmwasser exkl. Verluste</t>
  </si>
  <si>
    <t>VIII.1</t>
  </si>
  <si>
    <t>VIII.2</t>
  </si>
  <si>
    <t>Pflege</t>
  </si>
  <si>
    <t>I.1 MFH, Alterswohungen, Ferienhäuser</t>
  </si>
  <si>
    <t>I.2 Hotels, Heime, Kasernen, etc.</t>
  </si>
  <si>
    <t>IV.1 Schule (bis Maturstufe)</t>
  </si>
  <si>
    <t>IV.2 Hochschule</t>
  </si>
  <si>
    <t>V.1 Lebensmittelgeschäft</t>
  </si>
  <si>
    <t>V.2 Fachgeschäft</t>
  </si>
  <si>
    <t>VIII.1 Spital</t>
  </si>
  <si>
    <t>VIII.2 Pflege</t>
  </si>
  <si>
    <t>Subsubsektor Gebäudeparkmodell</t>
  </si>
  <si>
    <t>2,3,15</t>
  </si>
  <si>
    <t>10,11,12,13,18,19,30,32,33</t>
  </si>
  <si>
    <t>20,21</t>
  </si>
  <si>
    <t>22, 23</t>
  </si>
  <si>
    <t>6,7</t>
  </si>
  <si>
    <t>8, 9</t>
  </si>
  <si>
    <t>16,17</t>
  </si>
  <si>
    <t>25,26,27,28,29</t>
  </si>
  <si>
    <t>35,36,37,38,39,40,41,42,43,44</t>
  </si>
  <si>
    <t>4,5</t>
  </si>
  <si>
    <t>EBF</t>
  </si>
  <si>
    <t>Modell 2010</t>
  </si>
  <si>
    <t>1000m2</t>
  </si>
  <si>
    <t>Neubau 2010 Endenergie</t>
  </si>
  <si>
    <t>Prozessanlagen</t>
  </si>
  <si>
    <t>Lüftung / Klimatisierung</t>
  </si>
  <si>
    <t>Neubau 2010 Nutzenergie</t>
  </si>
  <si>
    <t>Unterkategorie</t>
  </si>
  <si>
    <t>Total Elektrizität (G,(P), B,L)</t>
  </si>
  <si>
    <t>Total Elektrizität (G, B,L, K/3)</t>
  </si>
  <si>
    <t>GEPAMOD</t>
  </si>
  <si>
    <t>Warmwasser inkl. Verluste</t>
  </si>
  <si>
    <t>Kühlung, Entfeuchtung</t>
  </si>
  <si>
    <t>Minergie Total</t>
  </si>
  <si>
    <t>Nutzungstag</t>
  </si>
  <si>
    <t>Lüftung - Volumenstrom</t>
  </si>
  <si>
    <t>Energiebedarf</t>
  </si>
  <si>
    <t>Elektrische Energie
(Heizung mit WP, JAZ 4.0;
Warmwasser mit WP, JAZ 3.0
Kühlung mit KM, ESEER 3.0)</t>
  </si>
  <si>
    <t>interne Wärmeeiträge durch Personen</t>
  </si>
  <si>
    <t>interne Wärmeeiträge durch Elektrizität</t>
  </si>
  <si>
    <r>
      <t>m</t>
    </r>
    <r>
      <rPr>
        <vertAlign val="superscript"/>
        <sz val="9"/>
        <rFont val="Arial"/>
        <family val="2"/>
      </rPr>
      <t>3</t>
    </r>
    <r>
      <rPr>
        <sz val="9"/>
        <rFont val="Arial"/>
        <family val="2"/>
      </rPr>
      <t xml:space="preserve">/(h·m²) </t>
    </r>
  </si>
  <si>
    <r>
      <t>m</t>
    </r>
    <r>
      <rPr>
        <vertAlign val="superscript"/>
        <sz val="9"/>
        <rFont val="Arial"/>
        <family val="2"/>
      </rPr>
      <t>3</t>
    </r>
    <r>
      <rPr>
        <sz val="9"/>
        <rFont val="Arial"/>
        <family val="2"/>
      </rPr>
      <t xml:space="preserve">/(h·P) </t>
    </r>
  </si>
  <si>
    <t>Hygienischer Aussenluft-Volumenstrom</t>
  </si>
  <si>
    <t>Wärmeabgabe durch Personen</t>
  </si>
  <si>
    <t>Differenz gerundet zu ungerundet</t>
  </si>
  <si>
    <t>Differenz (Total - GW)</t>
  </si>
  <si>
    <t>Grenzwert (GW)</t>
  </si>
  <si>
    <t>(umgerechnet in
elektrische Energie)</t>
  </si>
  <si>
    <t>Adelboden</t>
  </si>
  <si>
    <t>Lufttemperatur, Mittelwert</t>
  </si>
  <si>
    <r>
      <t>MJ/m</t>
    </r>
    <r>
      <rPr>
        <vertAlign val="superscript"/>
        <sz val="10"/>
        <rFont val="Arial"/>
        <family val="2"/>
      </rPr>
      <t>2</t>
    </r>
  </si>
  <si>
    <t>horizontal</t>
  </si>
  <si>
    <t>E</t>
  </si>
  <si>
    <t>Globalstrahlung, Summe</t>
  </si>
  <si>
    <t>S</t>
  </si>
  <si>
    <t>N</t>
  </si>
  <si>
    <t>Niederschlag, Summe</t>
  </si>
  <si>
    <t>mm</t>
  </si>
  <si>
    <t>Mischungsverhältnis, Mittelwert</t>
  </si>
  <si>
    <t>g/kg</t>
  </si>
  <si>
    <t>Absolute Feuchtigkeit, Mittelwert</t>
  </si>
  <si>
    <r>
      <t>g/m</t>
    </r>
    <r>
      <rPr>
        <vertAlign val="superscript"/>
        <sz val="10"/>
        <rFont val="Arial"/>
        <family val="2"/>
      </rPr>
      <t>3</t>
    </r>
  </si>
  <si>
    <t>Aigle</t>
  </si>
  <si>
    <t>Altdorf</t>
  </si>
  <si>
    <t>Basel-Binningen</t>
  </si>
  <si>
    <t>Bern Liebefeld</t>
  </si>
  <si>
    <t>Buchs-Aarau</t>
  </si>
  <si>
    <t>Chur</t>
  </si>
  <si>
    <t>Davos</t>
  </si>
  <si>
    <t>Disentis</t>
  </si>
  <si>
    <t>Engelberg</t>
  </si>
  <si>
    <t>Genève-Cointrin</t>
  </si>
  <si>
    <t>Glarus</t>
  </si>
  <si>
    <t>Grand-St-Bernard</t>
  </si>
  <si>
    <t>Güttingen</t>
  </si>
  <si>
    <t>Interlaken</t>
  </si>
  <si>
    <t>La Chaux-de-Fonds</t>
  </si>
  <si>
    <t>La Frétaz</t>
  </si>
  <si>
    <t>Locarno-Monti</t>
  </si>
  <si>
    <t>Lugano</t>
  </si>
  <si>
    <t>Luzern</t>
  </si>
  <si>
    <t>Magadino</t>
  </si>
  <si>
    <t>Montana</t>
  </si>
  <si>
    <t>Neuchâtel</t>
  </si>
  <si>
    <t>Payerne</t>
  </si>
  <si>
    <t>Piotta</t>
  </si>
  <si>
    <t>Pully</t>
  </si>
  <si>
    <t>Robbia</t>
  </si>
  <si>
    <t>Rünenberg</t>
  </si>
  <si>
    <t>Samedan</t>
  </si>
  <si>
    <t>San Bernardino</t>
  </si>
  <si>
    <t>St. Gallen</t>
  </si>
  <si>
    <t>Schaffhausen</t>
  </si>
  <si>
    <t>Scuol</t>
  </si>
  <si>
    <t>Sion</t>
  </si>
  <si>
    <t>Ulrichen</t>
  </si>
  <si>
    <t>Vaduz</t>
  </si>
  <si>
    <t>Wynau</t>
  </si>
  <si>
    <t>Zermatt</t>
  </si>
  <si>
    <t>Zürich-Kloten</t>
  </si>
  <si>
    <t>Zürich-MeteoSchweiz</t>
  </si>
  <si>
    <t>kalt</t>
  </si>
  <si>
    <t>trüb</t>
  </si>
  <si>
    <t>1 Stunde</t>
  </si>
  <si>
    <t>Tempe-</t>
  </si>
  <si>
    <t>Mittelwert Globalstrahlung</t>
  </si>
  <si>
    <t xml:space="preserve">Wind- </t>
  </si>
  <si>
    <t>Windrichtg. 30°-Sektor</t>
  </si>
  <si>
    <t>minimale</t>
  </si>
  <si>
    <t>Feuchte-</t>
  </si>
  <si>
    <t>zugeh.</t>
  </si>
  <si>
    <t>ratur</t>
  </si>
  <si>
    <t>geschw.</t>
  </si>
  <si>
    <t>Temperatur</t>
  </si>
  <si>
    <t>gehalt</t>
  </si>
  <si>
    <t>Temp.</t>
  </si>
  <si>
    <t>Station</t>
  </si>
  <si>
    <t xml:space="preserve"> °C</t>
  </si>
  <si>
    <t>Horizontal</t>
  </si>
  <si>
    <t xml:space="preserve"> m/s</t>
  </si>
  <si>
    <t>g / kg TL</t>
  </si>
  <si>
    <t>61-90</t>
  </si>
  <si>
    <t>181-210</t>
  </si>
  <si>
    <t>NA</t>
  </si>
  <si>
    <t>151-180</t>
  </si>
  <si>
    <t>331-360</t>
  </si>
  <si>
    <t>121-150</t>
  </si>
  <si>
    <t>91-120</t>
  </si>
  <si>
    <t>301-330</t>
  </si>
  <si>
    <t>Bern-Liebefeld</t>
  </si>
  <si>
    <t>31-60</t>
  </si>
  <si>
    <t>1-30</t>
  </si>
  <si>
    <t>271-300</t>
  </si>
  <si>
    <t>211-240</t>
  </si>
  <si>
    <t>241-270</t>
  </si>
  <si>
    <t>Norm Lufttemperatur Kühlerauslegung</t>
  </si>
  <si>
    <t>Norm Feuchtkugeltemperatur Kühlerauslegung</t>
  </si>
  <si>
    <t>Minergie 2017</t>
  </si>
  <si>
    <t>Minergie 2017 Kennzahlen</t>
  </si>
  <si>
    <t>Minergie Strommodell Zweckbauten</t>
  </si>
  <si>
    <t>Lüftung/Klima</t>
  </si>
  <si>
    <t>Prozesse</t>
  </si>
  <si>
    <t>Differenz zu SIA 2024 exkl. HWW</t>
  </si>
  <si>
    <t>SIA 2024:2018</t>
  </si>
  <si>
    <t>Begriffe Resultate</t>
  </si>
  <si>
    <t>Begriffe Anleitung</t>
  </si>
  <si>
    <t>Nombre d'unités de consommation par personne</t>
  </si>
  <si>
    <t>Numero di unità di consumo per persona</t>
  </si>
  <si>
    <t>Ore a pieno carico annuali</t>
  </si>
  <si>
    <t>Ore a pieno carico giornaliere</t>
  </si>
  <si>
    <t>Valeur U de la fenêtre</t>
  </si>
  <si>
    <t>Valeur U des parties opaques</t>
  </si>
  <si>
    <t>Propriétés physiques constructives</t>
  </si>
  <si>
    <t>Installation de ventilation simple</t>
  </si>
  <si>
    <t>Impianto di ventilazione semplice</t>
  </si>
  <si>
    <t>Climatisation simple</t>
  </si>
  <si>
    <t>Lüftungsanlage mit Lufterwärmung</t>
  </si>
  <si>
    <t>Ventilation avec chauffage de l'air</t>
  </si>
  <si>
    <t>Klimaanlage mit Luftbefeuchtung und -entfeuchtung</t>
  </si>
  <si>
    <t>Climatisation avec humidification et déshumidification de l'air</t>
  </si>
  <si>
    <t>nicht notwendig</t>
  </si>
  <si>
    <t>pas nécessaire</t>
  </si>
  <si>
    <t xml:space="preserve">- Protection accrue contre le bruit dans la chambre à coucher </t>
  </si>
  <si>
    <t xml:space="preserve">- Protection accrue contre le bruit dans le bureau de la direction </t>
  </si>
  <si>
    <t xml:space="preserve">- Éclairement lumineux de 300lx dans le jardin d'enfants </t>
  </si>
  <si>
    <t>- Éclairement lumineux de 500lx dans la zone de lecture</t>
  </si>
  <si>
    <t>- Protection accrue contre le bruit dans la salle de musique</t>
  </si>
  <si>
    <t>- Espace scénique du théâtre avec exigences particulières</t>
  </si>
  <si>
    <t>- Palcoscenico teatrale con esigenze particolari</t>
  </si>
  <si>
    <t>- Éclairement lumineux de 300lx pour examens simples</t>
  </si>
  <si>
    <t>- Zone de conditionnement avec exigences particulières</t>
  </si>
  <si>
    <t>- Zone di confezionamento con esigenze particolari</t>
  </si>
  <si>
    <t>- Éclairement lumineux de 500lx et renouvellement d'air accru pour sport de compétition</t>
  </si>
  <si>
    <t>- La température de l'air intérieur en hiver (dimensionnement du chauffage) est fonction de l'utilisation principale</t>
  </si>
  <si>
    <t>- La temperatura del locale in inverno (dimensionamento riscaldamento) é riferita all'utilizzo principale</t>
  </si>
  <si>
    <t>- Renouvellement de l'air variable suivant l'utilisation principale</t>
  </si>
  <si>
    <t>- Ricambio d'aria differenziato a seconda dell'utilizzo principale</t>
  </si>
  <si>
    <t>- Calcul du besoin de froid pour le refroidissement: apports thermiques négatifs des meubles frigorifiques (standard: -10, valeur cible: -8, existant: -12W/m2)</t>
  </si>
  <si>
    <t>- Niveau d'évaluation du bruit continu des installations du bâtiment en fonction de l'utilisation principale</t>
  </si>
  <si>
    <t>- Sans installation de ventilation dans le bâtiment existant</t>
  </si>
  <si>
    <t xml:space="preserve">- Besoin en eau et en eau chaude utile par personne </t>
  </si>
  <si>
    <t>- Besoin en eau et en eau chaude utile par lit, sans cuisine et buanderie</t>
  </si>
  <si>
    <t>- Besoin en eau et en eau chaude utile sont inclus dans la utilisation du local (2.1)</t>
  </si>
  <si>
    <t>- Besoin en eau et en eau chaude utile par personne, sans restaurant du personnel</t>
  </si>
  <si>
    <t>- Besoin en eau et en eau chaude utile sont inclus dans l'utilisation du local (3.1 et 3.2)</t>
  </si>
  <si>
    <t>- Besoin en eau et en eau chaude utile par personne (écolier), sans restaurant universitaire et complexe sportif</t>
  </si>
  <si>
    <t>- Besoin en eau et en eau chaude utile sont inclus dans l'utilisation du local (4.1)</t>
  </si>
  <si>
    <t>- Besoin en eau et en eau chaude utile par personne (clients)</t>
  </si>
  <si>
    <t>- Besoin en eau et en eau chaude utile pour les restaurants cuisine incluse, par siège</t>
  </si>
  <si>
    <t>- Besoin en eau et en eau chaude utile sont inclus dans l'utilisation du local (6.1)</t>
  </si>
  <si>
    <t>- Besoin en eau et en eau chaude utile sont inclus dans l'utilisation du local (6.2)</t>
  </si>
  <si>
    <t>- Besoin en eau et en eau chaude utile par personne (visiteur)</t>
  </si>
  <si>
    <t>- Besoin en eau et en eau chaude utile par lit, sans restaurant</t>
  </si>
  <si>
    <t>- Besoin en eau et en eau chaude utile sont inclus dans l'utilisation du local (8.1)</t>
  </si>
  <si>
    <t>- Besoin en eau et en eau chaude utile par personne sans eau industrielle</t>
  </si>
  <si>
    <t>- Besoin en eau et en eau chaude utile par douche pour salle de sport</t>
  </si>
  <si>
    <t>- Besoin en eau et en eau chaude utile par douche sans besoin en eau du bain</t>
  </si>
  <si>
    <t>- Besoin en eau et en eau chaude utile sont déterminéspar l'utilisation principale</t>
  </si>
  <si>
    <t>Lingua</t>
  </si>
  <si>
    <t>Anleitung - SIA 2024 Raumdatenblätter</t>
  </si>
  <si>
    <t>Instructions - SIA 2024 fiches techniques des locaux</t>
  </si>
  <si>
    <t>Istruzioni - SIA 2024 schede tecniche dei locali</t>
  </si>
  <si>
    <t>Cet outil Excel permet d'afficher et d'imprimer les fiches techniques des locaux en conformité avec SIA 2024. Il est impératif de tenir compte des spécifications de SIA 2024 lors de l'utilisation des fiches techniques des locaux.</t>
  </si>
  <si>
    <t>SIA 2024 dient der Vereinheitlichung von Annahmen über die Raumnutzungen. Diese Annahmen werden bei den Berechnungen und Nachweisen nach den Normen der Energie- und Gebäudetechnik verwendet, solange keine genaueren Angaben vorliegen. Spätestens im Bauprojekt müssen die projektspezifischen Gebäudedaten, die Nutzungsbedigungen und die Bemessungskriterien festgelegt und für die Dimensionierung der Anlagen verwendet werden.</t>
  </si>
  <si>
    <t xml:space="preserve">SIA 2024 définit les hypothèses de calcul correspondantes aux différents locaux types. Ces hypothèses entrent dans les calculs normalisés (prédictifs ou justificatifs) pour la demande en énergie et les installations du bâtiment lorsque l'on ne dispose pas de données plus précises. Au plus tard au moment du projet de l'ouvrage les données du bâtiment spécifiques au projet, les conditions d'utilisation et les paramètres de dimensionnement doivent être définis et utilisés pour le dimensionnement des installations. </t>
  </si>
  <si>
    <t xml:space="preserve">Für die Abschätzung des Leistungs- und Energiebedarfs von Gebäuden in der frühen Planungsphase steht unter www.energytools.ch das SIA 2024 Gebäude-Tool zur Verfügung. </t>
  </si>
  <si>
    <t xml:space="preserve">L'outil d'évaluation de la demande en puissance et énergie des bâtiments SIA 2024 disponible sur www.energytools.ch constitue une aide à la réalisation de cette évaluation dans les premières phases d'étude. </t>
  </si>
  <si>
    <t xml:space="preserve">Hinweis: In Excel müssen die Makros aktiviert werden. Weitere Informationen finden Sie in der Hilfe Ihres Office-Programms. </t>
  </si>
  <si>
    <t>Instructions</t>
  </si>
  <si>
    <t>Istruzioni</t>
  </si>
  <si>
    <t>Fiche technique</t>
  </si>
  <si>
    <t>Risultati valore mirato</t>
  </si>
  <si>
    <t>SIA 2024 Raum-Datenblätter</t>
  </si>
  <si>
    <t>SIA 2024 fiches techniques des locaux</t>
  </si>
  <si>
    <t>Begriffe Profile</t>
  </si>
  <si>
    <t>Begriffe Datenblatt</t>
  </si>
  <si>
    <t>Begriffe Blatt Eingabedaten</t>
  </si>
  <si>
    <t>Raumnutzungen</t>
  </si>
  <si>
    <t>Wärmeeintragsleistung der Beleuchtung</t>
  </si>
  <si>
    <t>Auslegung</t>
  </si>
  <si>
    <t>Dimensionamento</t>
  </si>
  <si>
    <t>Demande en énergie</t>
  </si>
  <si>
    <t>Fabbisogno energetico</t>
  </si>
  <si>
    <t>Geräte und Prozessanlagen</t>
  </si>
  <si>
    <t>Elektrische Leistung der Prozessanlagen</t>
  </si>
  <si>
    <t>Potenza elettrica degli impianti di processo</t>
  </si>
  <si>
    <t>Potenza elettrica dell'illuminazione</t>
  </si>
  <si>
    <t>Jährlicher Elektrizitätsbedarf der Lüftung</t>
  </si>
  <si>
    <t>Jährlicher Elektrizitätsbedarf der Prozessanlagen</t>
  </si>
  <si>
    <t>Puissance électrique des installations de process</t>
  </si>
  <si>
    <t>Demande annuelle en électricité des installations de process</t>
  </si>
  <si>
    <t>Heures à pleine charge par an des appareils et des installations de process</t>
  </si>
  <si>
    <t>Jährliche Volllaststunden der Geräte und Prozessanlagen</t>
  </si>
  <si>
    <t>Klimakältebedarf Qc</t>
  </si>
  <si>
    <t>Fattore di correzione di simultaneità</t>
  </si>
  <si>
    <t>Begriffe Tabellenblätter - Makro!</t>
  </si>
  <si>
    <t>Begriffe - Kopf und Fusszeilen - Makro!</t>
  </si>
  <si>
    <t>Begriffe Datenblatt - Makro!</t>
  </si>
  <si>
    <r>
      <t>d</t>
    </r>
    <r>
      <rPr>
        <i/>
        <vertAlign val="subscript"/>
        <sz val="10"/>
        <rFont val="Arial"/>
        <family val="2"/>
      </rPr>
      <t>R</t>
    </r>
  </si>
  <si>
    <t>SIA 2024:2018 (Bel. + Ger. + Lüf. + Allg. GT)</t>
  </si>
  <si>
    <t>SIA 2024:2018 (Bel. + Ger.)</t>
  </si>
  <si>
    <t>SIA 2024:2018 inkl. Verluste</t>
  </si>
  <si>
    <t>SIA 2024:2018 exkl. Verluste</t>
  </si>
  <si>
    <t>SIA 2024:2018 (Auslegung)</t>
  </si>
  <si>
    <t>SIA 2024:2018 (Hygiene)</t>
  </si>
  <si>
    <t>Total elektrische Energie (Bel.+Ger.+Lüf.)</t>
  </si>
  <si>
    <t>Elektrizitätsbedarf (Bel.+Ger.+Lüf.+All.GT)</t>
  </si>
  <si>
    <t>int. Wärmeeintr. durch Elektrizität (Bel.+Ger.)</t>
  </si>
  <si>
    <t>interne Wärmeeinträge durch Personen</t>
  </si>
  <si>
    <t>Aussenluft-Volumenstrom (Auslegung über 24h)</t>
  </si>
  <si>
    <t>SIA 2024:2018 (Hygiene inkl. Infiltration)</t>
  </si>
  <si>
    <t>Total exkl. Prozessanl.</t>
  </si>
  <si>
    <t>Verhältnis Wasserbedarf zu Warmwasserbedarf</t>
  </si>
  <si>
    <t>g-Wert Fenster und Sonnenschutz</t>
  </si>
  <si>
    <t>g-Wert Fenster</t>
  </si>
  <si>
    <t>Berechnung Klimakältebedarf in Anlehnung an SIA 380/1</t>
  </si>
  <si>
    <t>Wärmeeintragsleistung der Geräte</t>
  </si>
  <si>
    <t>Interne Wärmeeinträge der Geräte pro Tag</t>
  </si>
  <si>
    <t>Interne Wärmeeinträge der Geräte pro Jahr</t>
  </si>
  <si>
    <t>Interne Wärmeeinträge der Beleuchtung pro Tag</t>
  </si>
  <si>
    <t>Kategorie der Raumluftqualität</t>
  </si>
  <si>
    <t>Tag</t>
  </si>
  <si>
    <t>Nacht</t>
  </si>
  <si>
    <t>Prozessbedingter Aussenluft-Volumenstrom</t>
  </si>
  <si>
    <t>Betriebsleistung</t>
  </si>
  <si>
    <t>Verhältnis Betriebsleistung zur Leistung Geräte und Prozessanlagen</t>
  </si>
  <si>
    <t>Volllaststunden pro Tag mit Präsenzmelder</t>
  </si>
  <si>
    <t>Volllaststunden Sommertag mit Präsenzmelder</t>
  </si>
  <si>
    <r>
      <t>p</t>
    </r>
    <r>
      <rPr>
        <i/>
        <vertAlign val="subscript"/>
        <sz val="10"/>
        <rFont val="Arial"/>
        <family val="2"/>
      </rPr>
      <t>Ps</t>
    </r>
  </si>
  <si>
    <r>
      <t>t</t>
    </r>
    <r>
      <rPr>
        <i/>
        <vertAlign val="subscript"/>
        <sz val="10"/>
        <rFont val="Arial"/>
        <family val="2"/>
      </rPr>
      <t>A,Ps</t>
    </r>
  </si>
  <si>
    <r>
      <t>E</t>
    </r>
    <r>
      <rPr>
        <i/>
        <vertAlign val="subscript"/>
        <sz val="10"/>
        <rFont val="Arial"/>
        <family val="2"/>
      </rPr>
      <t>Ps</t>
    </r>
  </si>
  <si>
    <r>
      <t>F</t>
    </r>
    <r>
      <rPr>
        <i/>
        <vertAlign val="subscript"/>
        <sz val="10"/>
        <rFont val="Arial"/>
        <family val="2"/>
      </rPr>
      <t>A</t>
    </r>
  </si>
  <si>
    <r>
      <t>q</t>
    </r>
    <r>
      <rPr>
        <i/>
        <vertAlign val="subscript"/>
        <sz val="10"/>
        <rFont val="Arial"/>
        <family val="2"/>
      </rPr>
      <t>V,e,Ps</t>
    </r>
  </si>
  <si>
    <t>Nutzungsstunden pro Jahr</t>
  </si>
  <si>
    <t>Spezifische Ventilatorleistung Vorschlag Revision 2019 / nicht angewendet!!</t>
  </si>
  <si>
    <t>Wärmeeintrag</t>
  </si>
  <si>
    <t>Total int. Wärme</t>
  </si>
  <si>
    <t>Volumenstrom</t>
  </si>
  <si>
    <t>Aussentemp.</t>
  </si>
  <si>
    <t>Raumtemp.</t>
  </si>
  <si>
    <t>Differenz</t>
  </si>
  <si>
    <t>By-pass</t>
  </si>
  <si>
    <t>1 = offen</t>
  </si>
  <si>
    <t>Zulufttemp.</t>
  </si>
  <si>
    <t>Infiltration</t>
  </si>
  <si>
    <t>Transmission</t>
  </si>
  <si>
    <t>Wärmetransf.</t>
  </si>
  <si>
    <t>West-Fassade</t>
  </si>
  <si>
    <t>Wärmebilanz</t>
  </si>
  <si>
    <t>g-Wert</t>
  </si>
  <si>
    <t>Massetemp.</t>
  </si>
  <si>
    <t>Sprungantwort</t>
  </si>
  <si>
    <t>Frei schwingend</t>
  </si>
  <si>
    <t>R-Wert</t>
  </si>
  <si>
    <t>m2K/W</t>
  </si>
  <si>
    <t>t-1</t>
  </si>
  <si>
    <t>Effektiv</t>
  </si>
  <si>
    <t>Raumtemp. (approx.)</t>
  </si>
  <si>
    <t>Nutzungsstunden Beleuchtung pro Jahr</t>
  </si>
  <si>
    <t>Sommer-Auslegungstag Stundenmodell TEC-Tool 2015!</t>
  </si>
  <si>
    <t>TEC</t>
  </si>
  <si>
    <t>Max</t>
  </si>
  <si>
    <t>Min</t>
  </si>
  <si>
    <t>Thermisch wirksame Mindest-Luftwechselrate</t>
  </si>
  <si>
    <r>
      <t>h</t>
    </r>
    <r>
      <rPr>
        <vertAlign val="superscript"/>
        <sz val="10"/>
        <rFont val="Arial"/>
        <family val="2"/>
      </rPr>
      <t>-1</t>
    </r>
  </si>
  <si>
    <t>n,min</t>
  </si>
  <si>
    <t>Thermisch wirksamer Mindest-Luftvolumenstrom</t>
  </si>
  <si>
    <r>
      <t>q</t>
    </r>
    <r>
      <rPr>
        <i/>
        <vertAlign val="subscript"/>
        <sz val="10"/>
        <rFont val="Arial"/>
        <family val="2"/>
      </rPr>
      <t>v,min,i</t>
    </r>
  </si>
  <si>
    <r>
      <t>F</t>
    </r>
    <r>
      <rPr>
        <i/>
        <vertAlign val="subscript"/>
        <sz val="10"/>
        <rFont val="Arial"/>
        <family val="2"/>
      </rPr>
      <t>V,i</t>
    </r>
  </si>
  <si>
    <t>SIA 384/2</t>
  </si>
  <si>
    <t>Norm-Lüftungswärmeverlust</t>
  </si>
  <si>
    <t>Norm-Transmissionswärmeverlust</t>
  </si>
  <si>
    <t>Norm-Heizlast</t>
  </si>
  <si>
    <t>Jährliche Betriebsstunden (Vol.Strom)</t>
  </si>
  <si>
    <r>
      <t>p</t>
    </r>
    <r>
      <rPr>
        <i/>
        <vertAlign val="subscript"/>
        <sz val="10"/>
        <color theme="0" tint="-0.34998626667073579"/>
        <rFont val="Arial"/>
        <family val="2"/>
      </rPr>
      <t>SFP</t>
    </r>
  </si>
  <si>
    <r>
      <t>W/(m</t>
    </r>
    <r>
      <rPr>
        <vertAlign val="superscript"/>
        <sz val="10"/>
        <color theme="0" tint="-0.34998626667073579"/>
        <rFont val="Arial"/>
        <family val="2"/>
      </rPr>
      <t>3</t>
    </r>
    <r>
      <rPr>
        <sz val="10"/>
        <color theme="0" tint="-0.34998626667073579"/>
        <rFont val="Arial"/>
        <family val="2"/>
      </rPr>
      <t>/h)</t>
    </r>
  </si>
  <si>
    <r>
      <t>p</t>
    </r>
    <r>
      <rPr>
        <i/>
        <vertAlign val="subscript"/>
        <sz val="10"/>
        <color theme="0" tint="-0.34998626667073579"/>
        <rFont val="Arial"/>
        <family val="2"/>
      </rPr>
      <t>V</t>
    </r>
  </si>
  <si>
    <r>
      <t>W/m</t>
    </r>
    <r>
      <rPr>
        <vertAlign val="superscript"/>
        <sz val="10"/>
        <color theme="0" tint="-0.34998626667073579"/>
        <rFont val="Arial"/>
        <family val="2"/>
      </rPr>
      <t>2</t>
    </r>
  </si>
  <si>
    <r>
      <t>t</t>
    </r>
    <r>
      <rPr>
        <i/>
        <vertAlign val="subscript"/>
        <sz val="10"/>
        <color theme="0" tint="-0.34998626667073579"/>
        <rFont val="Arial"/>
        <family val="2"/>
      </rPr>
      <t>V,e</t>
    </r>
  </si>
  <si>
    <r>
      <t>E</t>
    </r>
    <r>
      <rPr>
        <i/>
        <vertAlign val="subscript"/>
        <sz val="10"/>
        <color theme="0" tint="-0.34998626667073579"/>
        <rFont val="Arial"/>
        <family val="2"/>
      </rPr>
      <t>V</t>
    </r>
  </si>
  <si>
    <r>
      <t>kWh/m</t>
    </r>
    <r>
      <rPr>
        <vertAlign val="superscript"/>
        <sz val="10"/>
        <color theme="0" tint="-0.34998626667073579"/>
        <rFont val="Arial"/>
        <family val="2"/>
      </rPr>
      <t>2</t>
    </r>
  </si>
  <si>
    <t>SIA 2024 - Resultate - Volllaststunden Lüftung</t>
  </si>
  <si>
    <t>2-stufig / 1-stufig</t>
  </si>
  <si>
    <t>Durchschnitt</t>
  </si>
  <si>
    <t>Zugeordnete Raumnutzung (Vorschlag mme)</t>
  </si>
  <si>
    <t>Mit Gebäudekategiorie nicht abgedeckt, eventuell noch ergänzen?</t>
  </si>
  <si>
    <t>Stundenmodell TEC-Tool 2015!</t>
  </si>
  <si>
    <t>In Anlehnung an SIA 380/1</t>
  </si>
  <si>
    <t>Interne und externe Wärmeeintragsleistung x 0.7</t>
  </si>
  <si>
    <t>keine</t>
  </si>
  <si>
    <t>nessuna</t>
  </si>
  <si>
    <t>Einzelgeräusche, Funktionsgeräusche</t>
  </si>
  <si>
    <t>dB</t>
  </si>
  <si>
    <t>Einzelgeräusche, Benutzungsgeräusche</t>
  </si>
  <si>
    <t>dP</t>
  </si>
  <si>
    <t>Energetischer Standard</t>
  </si>
  <si>
    <t>Nutzungstage pro Jahr x Jahresgleichzeitigkeit</t>
  </si>
  <si>
    <t>Vol. Str. 67%</t>
  </si>
  <si>
    <t>Vol. Str. 100%</t>
  </si>
  <si>
    <t>Vol. Str. 20%</t>
  </si>
  <si>
    <t>Vol. Str. 40%</t>
  </si>
  <si>
    <t>Vol. Str. 50%</t>
  </si>
  <si>
    <t>Vol. Str. 60%</t>
  </si>
  <si>
    <t>Vol. Str. 80%</t>
  </si>
  <si>
    <t>Volllaststd. Vol.Strom</t>
  </si>
  <si>
    <t>Volllaststd. Elektrisch</t>
  </si>
  <si>
    <t>Betriebsstd. Vol.Strom 67%</t>
  </si>
  <si>
    <t>Betriebsstd. Vol.Strom 100%</t>
  </si>
  <si>
    <t>Betriebsstd. Vol.Strom 25%</t>
  </si>
  <si>
    <t>Betriebsstd. Vol.Strom 40%</t>
  </si>
  <si>
    <t>Betriebsstd. Vol.Strom 50%</t>
  </si>
  <si>
    <t>Betriebsstd. Vol.Strom 60%</t>
  </si>
  <si>
    <t>Betriebsstd. Vol.Strom 80%</t>
  </si>
  <si>
    <t>stufenlos / 1-stufig</t>
  </si>
  <si>
    <t>Gebädekat. EnDK</t>
  </si>
  <si>
    <t>Raumnutzung Vorschlag BO-Tool</t>
  </si>
  <si>
    <t>Versammlung</t>
  </si>
  <si>
    <t>Sportbau</t>
  </si>
  <si>
    <r>
      <t>L</t>
    </r>
    <r>
      <rPr>
        <i/>
        <vertAlign val="subscript"/>
        <sz val="10"/>
        <rFont val="Arial"/>
        <family val="2"/>
      </rPr>
      <t>H</t>
    </r>
  </si>
  <si>
    <t>Débit d’air neuf hygiénique</t>
  </si>
  <si>
    <r>
      <t>F</t>
    </r>
    <r>
      <rPr>
        <i/>
        <vertAlign val="subscript"/>
        <sz val="10"/>
        <rFont val="Arial"/>
        <family val="2"/>
      </rPr>
      <t>T,i</t>
    </r>
  </si>
  <si>
    <t>neu nach SIA 384/2:2019</t>
  </si>
  <si>
    <r>
      <t>m</t>
    </r>
    <r>
      <rPr>
        <vertAlign val="superscript"/>
        <sz val="10"/>
        <rFont val="Arial"/>
        <family val="2"/>
      </rPr>
      <t>3</t>
    </r>
    <r>
      <rPr>
        <sz val="10"/>
        <rFont val="Arial"/>
        <family val="2"/>
      </rPr>
      <t>/(h</t>
    </r>
    <r>
      <rPr>
        <sz val="10"/>
        <rFont val="Symbol"/>
        <family val="1"/>
        <charset val="2"/>
      </rPr>
      <t>×</t>
    </r>
    <r>
      <rPr>
        <sz val="10"/>
        <rFont val="Arial"/>
        <family val="2"/>
      </rPr>
      <t>m</t>
    </r>
    <r>
      <rPr>
        <vertAlign val="superscript"/>
        <sz val="10"/>
        <rFont val="Arial"/>
        <family val="2"/>
      </rPr>
      <t>2</t>
    </r>
    <r>
      <rPr>
        <sz val="10"/>
        <rFont val="Arial"/>
        <family val="2"/>
      </rPr>
      <t>)</t>
    </r>
  </si>
  <si>
    <t>kWh/m²a</t>
  </si>
  <si>
    <t>einstufig</t>
  </si>
  <si>
    <t>zweistufig</t>
  </si>
  <si>
    <t xml:space="preserve">einstufig </t>
  </si>
  <si>
    <t xml:space="preserve">zweistufig </t>
  </si>
  <si>
    <t>Jährliche Volumenstrom-Volllaststunden</t>
  </si>
  <si>
    <t>Heures à pleine charge par an du débit d'air</t>
  </si>
  <si>
    <t>Hygienelüftung</t>
  </si>
  <si>
    <t>Standard-Aussenluft-Volumenstrom SIA 380/1</t>
  </si>
  <si>
    <t>nur für SIA 380/1 Standard Aussenluft-Vol. relevant</t>
  </si>
  <si>
    <t>Jährlicher Heizwärmebedarf , SIA 380/1:2009: tau0 abhängig vom Gebäudetyp!</t>
  </si>
  <si>
    <t>Allgemeine Gebäudetechnik pro NGF</t>
  </si>
  <si>
    <r>
      <t xml:space="preserve">SIA 2024 Standardwerte    </t>
    </r>
    <r>
      <rPr>
        <sz val="9"/>
        <rFont val="Arial"/>
        <family val="2"/>
      </rPr>
      <t xml:space="preserve"> NGF / EBF:</t>
    </r>
  </si>
  <si>
    <t>SIA 2024  Zielwerte</t>
  </si>
  <si>
    <t>SIA 2024  Bestand</t>
  </si>
  <si>
    <r>
      <t>A</t>
    </r>
    <r>
      <rPr>
        <i/>
        <vertAlign val="subscript"/>
        <sz val="10"/>
        <rFont val="Arial"/>
        <family val="2"/>
      </rPr>
      <t>NGF</t>
    </r>
  </si>
  <si>
    <t>Auslegung Entfeuchtung</t>
  </si>
  <si>
    <t>Auslegung Befeuchtung</t>
  </si>
  <si>
    <t>SIA 2024:2019 (Bel. + Ger. + Lüf. + Allg. GT)</t>
  </si>
  <si>
    <t>SIA 2024:2019</t>
  </si>
  <si>
    <t>SIA 2024:2019 (Bel. + Ger.)</t>
  </si>
  <si>
    <t>SIA 2024:2019 inkl. Verluste</t>
  </si>
  <si>
    <t>SIA 2024:2019 exkl. Verluste</t>
  </si>
  <si>
    <t>SIA 2024:2019 (Auslegung)</t>
  </si>
  <si>
    <t>SIA 2024:2019 (Hygiene)</t>
  </si>
  <si>
    <t>Aussenluft-Volumenstrom Auslegung</t>
  </si>
  <si>
    <t>SIA 2024:2019 (jährlicher Durchschnitt)</t>
  </si>
  <si>
    <t>SIA 2024:2019 (hygienischer Bedarf)</t>
  </si>
  <si>
    <t>SIA 2024:2018 (hyg. Bedarf + Infiltration)</t>
  </si>
  <si>
    <t>Durchschn. Präsenzzeit pro Tag (Volllaststd/365)</t>
  </si>
  <si>
    <t>Aussenluft-Volumenstrom, hygienischer Bedarf</t>
  </si>
  <si>
    <t>Aussenluft-Volumenstrom, Durchschnitt</t>
  </si>
  <si>
    <t>Wärmebedarf Warmwasser inkl. 50% Verluste</t>
  </si>
  <si>
    <t>abgeleitet aus SIA 2024:2019, Anhang E
gerundete Werte</t>
  </si>
  <si>
    <t>Geräte + Beleuchtung</t>
  </si>
  <si>
    <t>Geräte, Beleuchtung und Allgemeine Gebäudetechnik der Gebäude(haupt)kategorien gemäss Minergie Anwendungshilfe, Gebäudenutzungen gemäss Strommodell Zweckbauten vom Arpil 2018</t>
  </si>
  <si>
    <t>GEPAMOD ohne Prozessanlagen</t>
  </si>
  <si>
    <t>SIA 2024:2019 ohne Prozessanlagen</t>
  </si>
  <si>
    <t>Therm. wirksamer Aussenluft-Volumenstrom</t>
  </si>
  <si>
    <t>Durchschnittlicher Aussenluft-Volumenstrom</t>
  </si>
  <si>
    <t>Wärmebedarf Warmwasser (Nutzwarmwasser)</t>
  </si>
  <si>
    <r>
      <t>l</t>
    </r>
    <r>
      <rPr>
        <i/>
        <vertAlign val="subscript"/>
        <sz val="11"/>
        <rFont val="Arial"/>
        <family val="2"/>
      </rPr>
      <t>cl,C</t>
    </r>
  </si>
  <si>
    <r>
      <t>l</t>
    </r>
    <r>
      <rPr>
        <i/>
        <vertAlign val="subscript"/>
        <sz val="11"/>
        <rFont val="Arial"/>
        <family val="2"/>
      </rPr>
      <t>cl,H</t>
    </r>
  </si>
  <si>
    <t>Schallschutz</t>
  </si>
  <si>
    <t>Protection contre le bruit</t>
  </si>
  <si>
    <t>Protezione dal rumore</t>
  </si>
  <si>
    <t>minTemp</t>
  </si>
  <si>
    <t>maxTemp</t>
  </si>
  <si>
    <t>minRelFeucht</t>
  </si>
  <si>
    <t>maxRelFeucht</t>
  </si>
  <si>
    <t>Jahresstunden</t>
  </si>
  <si>
    <t>Wochen</t>
  </si>
  <si>
    <t>Tagesstunden</t>
  </si>
  <si>
    <t>Monate</t>
  </si>
  <si>
    <t>Aussenlufttemp.</t>
  </si>
  <si>
    <t>rel.Luftfeuchte</t>
  </si>
  <si>
    <t>Globalstr. W</t>
  </si>
  <si>
    <t>Kloten</t>
  </si>
  <si>
    <t>% r.F.</t>
  </si>
  <si>
    <t>Wh/(m2K)</t>
  </si>
  <si>
    <t>W/(m2K)</t>
  </si>
  <si>
    <t>für Diagr.</t>
  </si>
  <si>
    <t>mit Proz.</t>
  </si>
  <si>
    <t>ohne Proz.</t>
  </si>
  <si>
    <t>Geräte+Bel.</t>
  </si>
  <si>
    <t>Monatsprofil für Wärmebilanz Diagramm</t>
  </si>
  <si>
    <t>Lüftung Qh</t>
  </si>
  <si>
    <t>Lüftung Qc</t>
  </si>
  <si>
    <t>Transm. Qh</t>
  </si>
  <si>
    <t>Transm. Qc</t>
  </si>
  <si>
    <t>Solar Qh</t>
  </si>
  <si>
    <t>Solar Qc</t>
  </si>
  <si>
    <t>CO2</t>
  </si>
  <si>
    <t>Sommer-Auslegungstag max. Wert der Wärmebilanz</t>
  </si>
  <si>
    <t>x 0.7</t>
  </si>
  <si>
    <t>Die Knotenmodell-Berechnung ist fehlerhaft: korrigieren oder löschen!</t>
  </si>
  <si>
    <t>Wärmebilanz - Sommertag - Standard</t>
  </si>
  <si>
    <t>Wärmebilanz - Sommertag - Zielwert</t>
  </si>
  <si>
    <t>Wärmebilanz - Sommertag - Bestand</t>
  </si>
  <si>
    <t>(Sommertag)</t>
  </si>
  <si>
    <t>Verknüpft mit Blatt Eigene Nutzung!</t>
  </si>
  <si>
    <t>(Datenblatt)</t>
  </si>
  <si>
    <t>Meteo Schweiz</t>
  </si>
  <si>
    <t>Designday August</t>
  </si>
  <si>
    <r>
      <t>Wärmebilanz - Sommertag -</t>
    </r>
    <r>
      <rPr>
        <b/>
        <sz val="12"/>
        <color rgb="FFFF0000"/>
        <rFont val="Arial"/>
        <family val="2"/>
      </rPr>
      <t xml:space="preserve"> Projektwert</t>
    </r>
  </si>
  <si>
    <t>Geräteprofil (Arbeitstag)</t>
  </si>
  <si>
    <t>Geräteprofil (freier Tag)</t>
  </si>
  <si>
    <t>K vorhanden</t>
  </si>
  <si>
    <t>H vorhanden?</t>
  </si>
  <si>
    <t>Lastprofil</t>
  </si>
  <si>
    <t>Profil de charge</t>
  </si>
  <si>
    <t>NGF</t>
  </si>
  <si>
    <t>Stk</t>
  </si>
  <si>
    <t>Emission</t>
  </si>
  <si>
    <t>cm3/h</t>
  </si>
  <si>
    <t>l/Ph</t>
  </si>
  <si>
    <t>m3/h</t>
  </si>
  <si>
    <t>Raumvolumen</t>
  </si>
  <si>
    <t>m3</t>
  </si>
  <si>
    <t>CO2-Konzentr.</t>
  </si>
  <si>
    <t>ppm</t>
  </si>
  <si>
    <t>Gl. (9)</t>
  </si>
  <si>
    <t>Gl. (8)</t>
  </si>
  <si>
    <t>Cral(0)</t>
  </si>
  <si>
    <t>Gl. (8) t+24h</t>
  </si>
  <si>
    <t>CO2-Konzentration</t>
  </si>
  <si>
    <t>Feuchte</t>
  </si>
  <si>
    <t>pv,sat</t>
  </si>
  <si>
    <t>Pa</t>
  </si>
  <si>
    <t>teta,si</t>
  </si>
  <si>
    <t>pv,sat(teat,si)</t>
  </si>
  <si>
    <t>fRSi</t>
  </si>
  <si>
    <t>teta,a,i</t>
  </si>
  <si>
    <t>G Emission</t>
  </si>
  <si>
    <t>g/h</t>
  </si>
  <si>
    <t>andere Quellen</t>
  </si>
  <si>
    <t>teta,e,ausl</t>
  </si>
  <si>
    <t>ve</t>
  </si>
  <si>
    <t>xe</t>
  </si>
  <si>
    <t>g/m3</t>
  </si>
  <si>
    <t>Stoffbilanzbilanz - Arbeitstag</t>
  </si>
  <si>
    <t>pv,e,STD</t>
  </si>
  <si>
    <t>pv,e,eff</t>
  </si>
  <si>
    <t>phi,e</t>
  </si>
  <si>
    <t>Feuchte - Vermeidung von Oberflächenkondensat und Schimmel, SIA 180, 6.2</t>
  </si>
  <si>
    <t>pv,sat(teat,i)</t>
  </si>
  <si>
    <t>rho</t>
  </si>
  <si>
    <t>kg/m3</t>
  </si>
  <si>
    <t>pi,max,STD</t>
  </si>
  <si>
    <t>pi,max,eff</t>
  </si>
  <si>
    <t>phi,i,max,STD</t>
  </si>
  <si>
    <t>phi,i,max,eff</t>
  </si>
  <si>
    <t>Aussenluftfeuchte (phi,e)</t>
  </si>
  <si>
    <t>Wasserdampfsättigungsdruck (pvsat,e)</t>
  </si>
  <si>
    <t>Aussenluft-Partialdruck (p,e)</t>
  </si>
  <si>
    <t>SIA 2024:2021</t>
  </si>
  <si>
    <t>Strommodell für Zweckbauten</t>
  </si>
  <si>
    <t>Abweichung Geräte</t>
  </si>
  <si>
    <t>kWh/m2a</t>
  </si>
  <si>
    <t>g/(Ph)</t>
  </si>
  <si>
    <t>Mittelwert</t>
  </si>
  <si>
    <t>Monatsmittelwerte gemäss SIA 2028</t>
  </si>
  <si>
    <t>vi</t>
  </si>
  <si>
    <t>xi,max</t>
  </si>
  <si>
    <t>vi,max</t>
  </si>
  <si>
    <t>qv</t>
  </si>
  <si>
    <t>qv,min</t>
  </si>
  <si>
    <t>vi(0)</t>
  </si>
  <si>
    <t>Profil Sommer</t>
  </si>
  <si>
    <t>Profil Jahr</t>
  </si>
  <si>
    <t>Beleuchtung Sommer</t>
  </si>
  <si>
    <t>Beleuchtung Jahr</t>
  </si>
  <si>
    <t>Tageslicht ohne SSch</t>
  </si>
  <si>
    <t>lm/m2</t>
  </si>
  <si>
    <t>Tageslicht mit SSch</t>
  </si>
  <si>
    <t>Max. zulässige Raumluftfeuchte</t>
  </si>
  <si>
    <t>Wärmebilanz pro Monat (exkl. Prozessanlagen)</t>
  </si>
  <si>
    <t>Ausnutzungsgrad WG</t>
  </si>
  <si>
    <t>- Der prozessbedingte Aussenluftvolumenstrom ist in den Diagrammen nicht berücksichtigt</t>
  </si>
  <si>
    <t>- Gewerbliche Kälte ist unter Prozessanlagen verbucht</t>
  </si>
  <si>
    <t>- Il freddo industriale è computato sotto gli impianti di processo</t>
  </si>
  <si>
    <t>- Küchengeräte inkl. Ablufthauben sind unter Prozessanlagen verbucht</t>
  </si>
  <si>
    <t>- Diagnose- und Behandlungsgeräte sind unter Prozessanlagen verbucht</t>
  </si>
  <si>
    <t>- Produktionsanlagen sind unter Prozessanlagen verbucht</t>
  </si>
  <si>
    <t>- Laboranlagen inkl. Reinraumlüftung sind unter Prozessanlagen verbucht</t>
  </si>
  <si>
    <t>- Badtechnik inkl. Hallenlüftung und Luftentfeuchtung sind unter Prozessanlagen verbucht</t>
  </si>
  <si>
    <t>- Serveranlagen inkl. Umluftkühler und Kälteerzeugung sind unter Prozessanlagen verbucht</t>
  </si>
  <si>
    <t>- Die Wärmeeinträge von Prozessanlagen sind beim Klimakälte- und Heizwärmebedarf nicht berücksichtigt</t>
  </si>
  <si>
    <t>Kälte</t>
  </si>
  <si>
    <t>Prozesskälte, -wärme</t>
  </si>
  <si>
    <t>Allg.</t>
  </si>
  <si>
    <t>- Grosse Verkaufsflächen mit geringer Personendichte</t>
  </si>
  <si>
    <t>- Verkaufsflächen mit einem Foodanteil &gt; 80%</t>
  </si>
  <si>
    <t>- Verkaufsflächen mit einem Foodanteil &lt; 20%</t>
  </si>
  <si>
    <t>- Wasser- und Warmwasserbedarf sind in der Raumnutzung 6.2 enthalten</t>
  </si>
  <si>
    <t>- Öffentliche Parkhäuser mit erhöhtem Aussenluft-Volumenstrom: 6 m3/m2h</t>
  </si>
  <si>
    <t>- Pluskälte 2°C</t>
  </si>
  <si>
    <t>- Chambre frigorifique 2°C</t>
  </si>
  <si>
    <t>Sensible Wärmeeintragsleistung Personen</t>
  </si>
  <si>
    <t>Auslegetemp.</t>
  </si>
  <si>
    <t>Kanton</t>
  </si>
  <si>
    <t>Höhe m ü.M.</t>
  </si>
  <si>
    <t>Luftdruck mbar</t>
  </si>
  <si>
    <t>Heizgradtage</t>
  </si>
  <si>
    <t>BE</t>
  </si>
  <si>
    <t>VD</t>
  </si>
  <si>
    <t>UR</t>
  </si>
  <si>
    <t>BL</t>
  </si>
  <si>
    <t>AG</t>
  </si>
  <si>
    <t>GR</t>
  </si>
  <si>
    <t>OW</t>
  </si>
  <si>
    <t>GE</t>
  </si>
  <si>
    <t>GL</t>
  </si>
  <si>
    <t>VS</t>
  </si>
  <si>
    <t>TG</t>
  </si>
  <si>
    <t>NE</t>
  </si>
  <si>
    <t>TI</t>
  </si>
  <si>
    <t>LU</t>
  </si>
  <si>
    <t>SG</t>
  </si>
  <si>
    <t>SH</t>
  </si>
  <si>
    <t>BS</t>
  </si>
  <si>
    <t>FL</t>
  </si>
  <si>
    <t>ZH</t>
  </si>
  <si>
    <t>Spez. Ventilatorleistung (SIA 2024:2015)</t>
  </si>
  <si>
    <t>Wh/m3</t>
  </si>
  <si>
    <t>Ventilatorregelung  Standard</t>
  </si>
  <si>
    <t>Elektrischer Energieedarf</t>
  </si>
  <si>
    <t>Volllaststunden elektrische Energie</t>
  </si>
  <si>
    <t>prSIA 2024:2021
(25 m3/h pro Person)</t>
  </si>
  <si>
    <t>SIA 2024:2015
(36 m3/h pro Person)</t>
  </si>
  <si>
    <t>Gebäudenutzung</t>
  </si>
  <si>
    <t>EnDK-Tool</t>
  </si>
  <si>
    <t>Vergleich zu SIA 2024:2015</t>
  </si>
  <si>
    <t>Volllast-stunden Volumen-strom</t>
  </si>
  <si>
    <t>SIA 2024:2015 vs
 SIA 2024:2021</t>
  </si>
  <si>
    <t>Vergleich elektrische Energie; Verschärfung = rot; Erleichterung = blau</t>
  </si>
  <si>
    <t>Vergleich Volllaststunden elektrische Energie; Verschärfung = rot; Erleichterung = blau</t>
  </si>
  <si>
    <t>Abweichung  absolut; Verschärfung = rot; Erleichterung = blau</t>
  </si>
  <si>
    <t>Raumtemperatur-Auslegungswert</t>
  </si>
  <si>
    <t>Kühlfall</t>
  </si>
  <si>
    <t>Heizfall</t>
  </si>
  <si>
    <t>Jährlicher Heizwärmebedarf</t>
  </si>
  <si>
    <t>Anforderungswert an Dauergeräusche gebäudetech. Anlagen</t>
  </si>
  <si>
    <r>
      <t>F</t>
    </r>
    <r>
      <rPr>
        <i/>
        <vertAlign val="subscript"/>
        <sz val="10"/>
        <rFont val="Arial"/>
        <family val="2"/>
      </rPr>
      <t>P,C</t>
    </r>
  </si>
  <si>
    <r>
      <t>F</t>
    </r>
    <r>
      <rPr>
        <i/>
        <vertAlign val="subscript"/>
        <sz val="10"/>
        <rFont val="Arial"/>
        <family val="2"/>
      </rPr>
      <t>P,H</t>
    </r>
  </si>
  <si>
    <r>
      <t>g</t>
    </r>
    <r>
      <rPr>
        <i/>
        <vertAlign val="subscript"/>
        <sz val="10"/>
        <rFont val="Arial"/>
        <family val="2"/>
      </rPr>
      <t>P</t>
    </r>
    <r>
      <rPr>
        <i/>
        <sz val="10"/>
        <rFont val="Arial"/>
        <family val="2"/>
      </rPr>
      <t>,</t>
    </r>
    <r>
      <rPr>
        <i/>
        <vertAlign val="subscript"/>
        <sz val="10"/>
        <rFont val="Arial"/>
        <family val="2"/>
      </rPr>
      <t>C</t>
    </r>
  </si>
  <si>
    <r>
      <t>g</t>
    </r>
    <r>
      <rPr>
        <i/>
        <vertAlign val="subscript"/>
        <sz val="10"/>
        <rFont val="Arial"/>
        <family val="2"/>
      </rPr>
      <t>P</t>
    </r>
    <r>
      <rPr>
        <i/>
        <sz val="10"/>
        <rFont val="Arial"/>
        <family val="2"/>
      </rPr>
      <t>,</t>
    </r>
    <r>
      <rPr>
        <i/>
        <vertAlign val="subscript"/>
        <sz val="10"/>
        <rFont val="Arial"/>
        <family val="2"/>
      </rPr>
      <t>H</t>
    </r>
  </si>
  <si>
    <r>
      <t>q</t>
    </r>
    <r>
      <rPr>
        <i/>
        <vertAlign val="subscript"/>
        <sz val="10"/>
        <rFont val="Arial"/>
        <family val="2"/>
      </rPr>
      <t>i,des,C</t>
    </r>
  </si>
  <si>
    <r>
      <t>q</t>
    </r>
    <r>
      <rPr>
        <i/>
        <vertAlign val="subscript"/>
        <sz val="10"/>
        <rFont val="Arial"/>
        <family val="2"/>
      </rPr>
      <t>i,des,H</t>
    </r>
  </si>
  <si>
    <t>Vergleich zu prSIA 2024:2021</t>
  </si>
  <si>
    <t>Mittlere Raumtemperatur</t>
  </si>
  <si>
    <t>Mittlere Luftgeschwindigkeit</t>
  </si>
  <si>
    <t>Vitesse moyenne de l'air</t>
  </si>
  <si>
    <t>Velocità media dell’aria</t>
  </si>
  <si>
    <r>
      <t>j</t>
    </r>
    <r>
      <rPr>
        <i/>
        <vertAlign val="subscript"/>
        <sz val="10"/>
        <rFont val="Arial"/>
        <family val="2"/>
      </rPr>
      <t>i,des,C</t>
    </r>
  </si>
  <si>
    <r>
      <t>j</t>
    </r>
    <r>
      <rPr>
        <i/>
        <vertAlign val="subscript"/>
        <sz val="10"/>
        <rFont val="Arial"/>
        <family val="2"/>
      </rPr>
      <t>i,des,H</t>
    </r>
  </si>
  <si>
    <r>
      <t>v</t>
    </r>
    <r>
      <rPr>
        <i/>
        <vertAlign val="subscript"/>
        <sz val="10"/>
        <rFont val="Arial"/>
        <family val="2"/>
      </rPr>
      <t>a,des,C</t>
    </r>
  </si>
  <si>
    <r>
      <t>v</t>
    </r>
    <r>
      <rPr>
        <i/>
        <vertAlign val="subscript"/>
        <sz val="10"/>
        <rFont val="Arial"/>
        <family val="2"/>
      </rPr>
      <t>a,des,H</t>
    </r>
  </si>
  <si>
    <t>1.1.1.4</t>
  </si>
  <si>
    <t>1.1.2.10</t>
  </si>
  <si>
    <t>1.1.8.3</t>
  </si>
  <si>
    <t>1.1.5.1</t>
  </si>
  <si>
    <t>1.1.5.4</t>
  </si>
  <si>
    <t>1.1.1.5</t>
  </si>
  <si>
    <t>1.1.4.1</t>
  </si>
  <si>
    <t>1.1.4.4</t>
  </si>
  <si>
    <t>1.1.8.1</t>
  </si>
  <si>
    <t>1.1.9.3</t>
  </si>
  <si>
    <t>1.1.4.10</t>
  </si>
  <si>
    <t>1.1.3.3</t>
  </si>
  <si>
    <t>1.1.3.4</t>
  </si>
  <si>
    <t>1.1.6.1</t>
  </si>
  <si>
    <t>1.1.2.14</t>
  </si>
  <si>
    <t>1.1.2.15</t>
  </si>
  <si>
    <t>1.1.1.7</t>
  </si>
  <si>
    <t>1.1.1.3</t>
  </si>
  <si>
    <t>1.1.4.3</t>
  </si>
  <si>
    <t>1.1.5.2</t>
  </si>
  <si>
    <t>1.1.6.3</t>
  </si>
  <si>
    <t>1.1.6.2</t>
  </si>
  <si>
    <t>1.1.2.7</t>
  </si>
  <si>
    <t>1.1.5.7</t>
  </si>
  <si>
    <t>1.1.2.6</t>
  </si>
  <si>
    <t>1.1.3.7</t>
  </si>
  <si>
    <t>1.1.4.12</t>
  </si>
  <si>
    <t>1.1.5.8</t>
  </si>
  <si>
    <t>1.1.7.7</t>
  </si>
  <si>
    <t>1.1.6.6</t>
  </si>
  <si>
    <t>1.1.4.13</t>
  </si>
  <si>
    <t>1.1.3.8</t>
  </si>
  <si>
    <t>1.1.3.9</t>
  </si>
  <si>
    <t>1.1.7.9</t>
  </si>
  <si>
    <t>1.1.6.7</t>
  </si>
  <si>
    <t>1.1.8.7</t>
  </si>
  <si>
    <t>1.1.6.5</t>
  </si>
  <si>
    <t>1.1.4.9</t>
  </si>
  <si>
    <t>1.1.1.16</t>
  </si>
  <si>
    <t>1.1.3.1</t>
  </si>
  <si>
    <t>1.1.3.5</t>
  </si>
  <si>
    <t>1.1.4.6</t>
  </si>
  <si>
    <t>1.1.1.8</t>
  </si>
  <si>
    <t>1.1.7.2</t>
  </si>
  <si>
    <t>1.1.1.15</t>
  </si>
  <si>
    <t>1.1.1.13</t>
  </si>
  <si>
    <t>1.1.7.6</t>
  </si>
  <si>
    <t>1.1.6.4</t>
  </si>
  <si>
    <t>1.1.2.2</t>
  </si>
  <si>
    <t>1.1.4.8</t>
  </si>
  <si>
    <t>1.1.2.5</t>
  </si>
  <si>
    <t>1.1.8.2</t>
  </si>
  <si>
    <t>1.1.2.9</t>
  </si>
  <si>
    <t>1.1.2.1</t>
  </si>
  <si>
    <t>1.1.5.3</t>
  </si>
  <si>
    <t>1.1.1.1</t>
  </si>
  <si>
    <t>1.1.4.5</t>
  </si>
  <si>
    <t>1.1.1.12</t>
  </si>
  <si>
    <t>1.1.4.7</t>
  </si>
  <si>
    <t>1.1.1.9</t>
  </si>
  <si>
    <t>1.1.4.2</t>
  </si>
  <si>
    <t>1.1.1.14</t>
  </si>
  <si>
    <t>1.1.9.4</t>
  </si>
  <si>
    <t>1.1.2.4</t>
  </si>
  <si>
    <t>1.1.2.12</t>
  </si>
  <si>
    <t>1.1.2.13</t>
  </si>
  <si>
    <t>1.1.5.5</t>
  </si>
  <si>
    <t>1.1.1.10</t>
  </si>
  <si>
    <t>1.1.5.6</t>
  </si>
  <si>
    <t>1.1.7.5</t>
  </si>
  <si>
    <t>1.1.7.8</t>
  </si>
  <si>
    <t>1.1.1.2</t>
  </si>
  <si>
    <t>1.1.7.1</t>
  </si>
  <si>
    <t>1.1.8.5</t>
  </si>
  <si>
    <t>1.1.2.8</t>
  </si>
  <si>
    <t>1.1.2.3</t>
  </si>
  <si>
    <t>1.1.3.2</t>
  </si>
  <si>
    <t>1.1.9.1</t>
  </si>
  <si>
    <t>1.1.2.11</t>
  </si>
  <si>
    <t>1.1.1.6</t>
  </si>
  <si>
    <t>1.1.3.6</t>
  </si>
  <si>
    <t>1.1.4.11</t>
  </si>
  <si>
    <t>1.1.9.2</t>
  </si>
  <si>
    <t>1.1.1.11</t>
  </si>
  <si>
    <t>1.1.7.3</t>
  </si>
  <si>
    <t>1.1.8.4</t>
  </si>
  <si>
    <t>1.1.8.6</t>
  </si>
  <si>
    <t>1.1.7.4</t>
  </si>
  <si>
    <t>Begriffe aus Anhang H, Verzeichnis der Begriffe</t>
  </si>
  <si>
    <t>Begriffe Blatt Eingabedaten - Kommentare</t>
  </si>
  <si>
    <t>Personenprofil, -
Aussenluft-Volumenstrom, m3/m2h</t>
  </si>
  <si>
    <t>CO2-Konzentration, ppm</t>
  </si>
  <si>
    <t>Relative Raumluftfeuchte, % r.F.</t>
  </si>
  <si>
    <t>Appar.+Eclair.</t>
  </si>
  <si>
    <t>Impianti di processo</t>
  </si>
  <si>
    <t>Trasmissione</t>
  </si>
  <si>
    <t>Luftdruck</t>
  </si>
  <si>
    <t>hPa</t>
  </si>
  <si>
    <t>Info: Sättigungswasserdampfdruck</t>
  </si>
  <si>
    <t>Wiki: Formel nach Magnus</t>
  </si>
  <si>
    <r>
      <t xml:space="preserve">Stoffbilanzbilanz - Arbeitstag - </t>
    </r>
    <r>
      <rPr>
        <b/>
        <sz val="12"/>
        <color rgb="FFFF0000"/>
        <rFont val="Arial"/>
        <family val="2"/>
      </rPr>
      <t>Eigene Nutzung</t>
    </r>
  </si>
  <si>
    <t>Eigene Nutzung</t>
  </si>
  <si>
    <t>Utilisation propre</t>
  </si>
  <si>
    <t>Utilizzo proprio</t>
  </si>
  <si>
    <r>
      <t>A</t>
    </r>
    <r>
      <rPr>
        <i/>
        <vertAlign val="subscript"/>
        <sz val="10"/>
        <color rgb="FF333333"/>
        <rFont val="Arial"/>
        <family val="2"/>
      </rPr>
      <t>g</t>
    </r>
  </si>
  <si>
    <r>
      <t>A</t>
    </r>
    <r>
      <rPr>
        <i/>
        <vertAlign val="subscript"/>
        <sz val="10"/>
        <color rgb="FF333333"/>
        <rFont val="Arial"/>
        <family val="2"/>
      </rPr>
      <t>w</t>
    </r>
  </si>
  <si>
    <r>
      <t>q</t>
    </r>
    <r>
      <rPr>
        <i/>
        <vertAlign val="subscript"/>
        <sz val="10"/>
        <rFont val="Arial"/>
        <family val="2"/>
      </rPr>
      <t>i,ave,C</t>
    </r>
  </si>
  <si>
    <r>
      <t>q</t>
    </r>
    <r>
      <rPr>
        <i/>
        <vertAlign val="subscript"/>
        <sz val="10"/>
        <rFont val="Arial"/>
        <family val="2"/>
      </rPr>
      <t>i,ave,H</t>
    </r>
  </si>
  <si>
    <r>
      <t>F</t>
    </r>
    <r>
      <rPr>
        <i/>
        <vertAlign val="subscript"/>
        <sz val="10"/>
        <rFont val="Arial"/>
        <family val="2"/>
      </rPr>
      <t>HL</t>
    </r>
  </si>
  <si>
    <t>Anlagennutzungsgrad der Wärmerückgewinnung</t>
  </si>
  <si>
    <r>
      <t>h</t>
    </r>
    <r>
      <rPr>
        <i/>
        <vertAlign val="subscript"/>
        <sz val="10"/>
        <rFont val="Arial"/>
        <family val="2"/>
      </rPr>
      <t>V</t>
    </r>
  </si>
  <si>
    <t>60 °C</t>
  </si>
  <si>
    <t>10 °C  -&gt;  60 °C</t>
  </si>
  <si>
    <t>Wärmeleistungsbilanz am August-Auslegungstag  (exkl. Prozessanlagen)</t>
  </si>
  <si>
    <t>- Richtwerte für den Abluft-Volumenstrom sind in SIA 382/1 definiert</t>
  </si>
  <si>
    <t>Résultats existant</t>
  </si>
  <si>
    <t>Hygienebedingter Aussenluft-Volumenstrom</t>
  </si>
  <si>
    <t>Apports de chaleur internes des appareils, par an</t>
  </si>
  <si>
    <t>Rendement de la récupération de chaleur</t>
  </si>
  <si>
    <t>Heures à pleine charge par an de l’éclairage</t>
  </si>
  <si>
    <t>Besoins de froid pour le refroidissement par an</t>
  </si>
  <si>
    <t>Facteur de correction pour la simultanéité</t>
  </si>
  <si>
    <t>Puissance en dehors du temps d'utilisation</t>
  </si>
  <si>
    <t>Nombre minimal d'heures à pleine charge</t>
  </si>
  <si>
    <t>Température ambiante moyenne</t>
  </si>
  <si>
    <t>Charge thermique nominale</t>
  </si>
  <si>
    <t xml:space="preserve">Nécessité du refroidissement </t>
  </si>
  <si>
    <t>Präsenzart</t>
  </si>
  <si>
    <t>Type de présence</t>
  </si>
  <si>
    <t>Débit d’air neuf pour les process</t>
  </si>
  <si>
    <t>Dimensions du local type</t>
  </si>
  <si>
    <t>Température ambiante de dimensionnement</t>
  </si>
  <si>
    <t>Facteur de réduction des apports thermiques solaires</t>
  </si>
  <si>
    <t>Eclairement lumineux de référence</t>
  </si>
  <si>
    <t>Taux d'humidité relative de l’air intérieur</t>
  </si>
  <si>
    <t>Relative Raumluftfeuchte am Nutzungstag (März)</t>
  </si>
  <si>
    <t>Taux d'humidité relative de l'air intérieur au jour d'utilisation (mars)</t>
  </si>
  <si>
    <t>Sensible Wärmeabgabeleistung Pers.</t>
  </si>
  <si>
    <t>Dégagement de chaleur sensible par personne</t>
  </si>
  <si>
    <t>Puissance de charge interne sensible par personne</t>
  </si>
  <si>
    <t>Commande et régulation du ventilateur (1 vitesse, 2 vitesses, vitesse variable)</t>
  </si>
  <si>
    <t>Taux minimal de renouvellement d'air thermiquement efficace</t>
  </si>
  <si>
    <t>Coefficient de transfert thermique par transmission</t>
  </si>
  <si>
    <t>Rapport entre besoin en eau et besoin en eau chaude sanitaire</t>
  </si>
  <si>
    <t>Heures à pleine charge par 11h/jour</t>
  </si>
  <si>
    <t>Dégagement de chaleur par personne</t>
  </si>
  <si>
    <t>Puissance de charge thermique des appareils</t>
  </si>
  <si>
    <t>Puissance de charge thermique de l’éclairage</t>
  </si>
  <si>
    <t>Bilan thermique par mois (sauf installations de process)</t>
  </si>
  <si>
    <t>Wärmespeicherfähigkeit des Raumes</t>
  </si>
  <si>
    <t>Local d'enseignement spécialisé</t>
  </si>
  <si>
    <t>Laboratoire</t>
  </si>
  <si>
    <t>Local secondaires</t>
  </si>
  <si>
    <t>Cuisine, kitchenette</t>
  </si>
  <si>
    <t>Heures d'utilisation</t>
  </si>
  <si>
    <t>Heures à pleine charge</t>
  </si>
  <si>
    <t>Heures à pleine charge (7-18h)</t>
  </si>
  <si>
    <t>Heures à pleine charge (18-7h)</t>
  </si>
  <si>
    <t>Puissance d'utilisation</t>
  </si>
  <si>
    <t>Dimensionnement</t>
  </si>
  <si>
    <t>Mode froid</t>
  </si>
  <si>
    <t>Mode chaud</t>
  </si>
  <si>
    <t>aucun</t>
  </si>
  <si>
    <t>- Surfaces de vente avec rayon alimentaire &gt; 80%</t>
  </si>
  <si>
    <t>- Surfaces de vente avec rayon alimentaire &lt; 20%</t>
  </si>
  <si>
    <t>- Grandes surfaces de vente à faible densité de clientèle</t>
  </si>
  <si>
    <t>- Le débit volumique d'air neuf lié au process n'est pas pris en compte dans les diagrammes.</t>
  </si>
  <si>
    <t>- La production de froid industriel est comptabilisée sous installations de process</t>
  </si>
  <si>
    <t>- Les appareils de cuisine y c. hottes d'extraction sont comptabilisés sous installations de process</t>
  </si>
  <si>
    <t>- Les appareils de diagnostic et de traitement sont comptabilisés sous installations de process</t>
  </si>
  <si>
    <t>- Les installations de production sont comptabilisées sous installations de process</t>
  </si>
  <si>
    <t>- Les installations de laboratoire y c. ventilation des salles blanches sont comptabilisées sous installations de process</t>
  </si>
  <si>
    <t>- Les installations spécifiques des piscines, y c. ventilation de la halle et déshumidification sont comptabilisées sous installations de process</t>
  </si>
  <si>
    <t>- Les apports thermiques des installations de process ne sont pas pris en compte dans le calcul du besoin de refroidissement et de chauffage.</t>
  </si>
  <si>
    <t>- Débit d'air spécifique accru pour garage collectif: 6 m3/m2h</t>
  </si>
  <si>
    <t>Besoin annuel de refroidissement</t>
  </si>
  <si>
    <t>Besoin annuel de chauffage</t>
  </si>
  <si>
    <t>Ventilation hygiénique</t>
  </si>
  <si>
    <t>installations de process</t>
  </si>
  <si>
    <t>Rayonnement solaire</t>
  </si>
  <si>
    <t>Refroidissement</t>
  </si>
  <si>
    <t>Raffreddamento</t>
  </si>
  <si>
    <t>Riscaldamento</t>
  </si>
  <si>
    <r>
      <t>Concentration de CO</t>
    </r>
    <r>
      <rPr>
        <vertAlign val="subscript"/>
        <sz val="10"/>
        <color theme="1"/>
        <rFont val="Arial"/>
        <family val="2"/>
      </rPr>
      <t>2</t>
    </r>
  </si>
  <si>
    <r>
      <t>Concentration de CO</t>
    </r>
    <r>
      <rPr>
        <vertAlign val="subscript"/>
        <sz val="10"/>
        <color theme="1"/>
        <rFont val="Arial"/>
        <family val="2"/>
      </rPr>
      <t>2</t>
    </r>
    <r>
      <rPr>
        <sz val="10"/>
        <color theme="1"/>
        <rFont val="Arial"/>
        <family val="2"/>
      </rPr>
      <t>, ppm</t>
    </r>
  </si>
  <si>
    <t>Taux d'humidité maximal admissible de l'air intérieur</t>
  </si>
  <si>
    <t>Taux d'occupation -
débit volumique d'air neuf, m3/m2h</t>
  </si>
  <si>
    <t>1.1.1.17</t>
  </si>
  <si>
    <t>Bauteilfläche</t>
  </si>
  <si>
    <t>Exigence pour le bruit en provenance des installations techniques</t>
  </si>
  <si>
    <t>Dimensionnement refroidisse.</t>
  </si>
  <si>
    <t>Dimensionnement chauffage</t>
  </si>
  <si>
    <t>Dimensionnement déshumidi.</t>
  </si>
  <si>
    <t>Dimensionnement humidific.</t>
  </si>
  <si>
    <t>Bilan de puissance de chauffage - jour de référence en août (sauf inst. de process)</t>
  </si>
  <si>
    <t>Concentrazione di CO2, ppm</t>
  </si>
  <si>
    <t>Wärmebilanz, kWh/m2</t>
  </si>
  <si>
    <t>Bilan thermique, kWh/m2</t>
  </si>
  <si>
    <t>Bilancio termico, kWh/m2</t>
  </si>
  <si>
    <t>Wärmeleistungsbilanz, W/m2</t>
  </si>
  <si>
    <t>Bilan thermique, W/m2</t>
  </si>
  <si>
    <t>Bilancio termico, W/m2</t>
  </si>
  <si>
    <t>Taux d'humidité relative de l'air intérieur, %</t>
  </si>
  <si>
    <t>- Les serveurs y c. les refroidisseurs à air recirculé et la production de froid sont comptabilisés sous installations de process</t>
  </si>
  <si>
    <t>Appareils et inst. de process</t>
  </si>
  <si>
    <t>Apparecchi e imp. di processo</t>
  </si>
  <si>
    <t>SIA 2040:2017</t>
  </si>
  <si>
    <t>Differenz zu SIA 2040:2017</t>
  </si>
  <si>
    <t>SIA 390:2021</t>
  </si>
  <si>
    <t>Jour</t>
  </si>
  <si>
    <t>Nuit</t>
  </si>
  <si>
    <t>Giorno</t>
  </si>
  <si>
    <t>Notte</t>
  </si>
  <si>
    <t>Bruits de fonctionnement de courte durée</t>
  </si>
  <si>
    <t>Bruits provoqués par l'utilisateur de courte durée</t>
  </si>
  <si>
    <t>Rumori singoli causati dall'utente</t>
  </si>
  <si>
    <t>Rumori singoli generati dal funzionamento di impianti</t>
  </si>
  <si>
    <r>
      <t>A</t>
    </r>
    <r>
      <rPr>
        <i/>
        <vertAlign val="subscript"/>
        <sz val="10"/>
        <rFont val="Arial"/>
        <family val="2"/>
      </rPr>
      <t>SN</t>
    </r>
  </si>
  <si>
    <t>Fattore di correzione k0</t>
  </si>
  <si>
    <t>Facteur de correction k0</t>
  </si>
  <si>
    <t>Korrekturfaktor k0</t>
  </si>
  <si>
    <t>PP</t>
  </si>
  <si>
    <t>PN</t>
  </si>
  <si>
    <t>PS</t>
  </si>
  <si>
    <t xml:space="preserve">Catégorie d'air intérieur </t>
  </si>
  <si>
    <t>Categoria della qualità dell'aria interna</t>
  </si>
  <si>
    <t>Volllaststunden Volumenstrom</t>
  </si>
  <si>
    <t>Verhältnis Volllaststunden Volumenstrom</t>
  </si>
  <si>
    <t>Betriebsstunden Volumenstrom 67%</t>
  </si>
  <si>
    <t>Betriebsstunden Volumenstrom 100%</t>
  </si>
  <si>
    <t>Betriebsstunden Volumenstrom 25%</t>
  </si>
  <si>
    <t>Betriebsstunden Volumenstrom 40%</t>
  </si>
  <si>
    <t>Betriebsstunden Volumenstrom 50%</t>
  </si>
  <si>
    <t>Betriebsstunden Volumenstrom 60%</t>
  </si>
  <si>
    <t>Betriebsstunden Volumenstrom 80%</t>
  </si>
  <si>
    <t>ps,e</t>
  </si>
  <si>
    <t>pv,sat,e</t>
  </si>
  <si>
    <t>pv,sat,i</t>
  </si>
  <si>
    <t>SIA 180</t>
  </si>
  <si>
    <t>graue Werte/Spalten: werden nicht verwendet, können gelöscht werden!</t>
  </si>
  <si>
    <t>Aussenluftfeuchte (phi,e,eff) (SIA 2028, DRY, SMA)</t>
  </si>
  <si>
    <t>SIA 2024:2021 (Bel. + Ger. + Lüf. + Allg. GT)</t>
  </si>
  <si>
    <t>SIA 2024:2021 (Bel. + Ger.)</t>
  </si>
  <si>
    <t>Datenblätter drucken</t>
  </si>
  <si>
    <t>Imprimer fiches techniques</t>
  </si>
  <si>
    <t>Stampare schede tecniche</t>
  </si>
  <si>
    <t>Als PDF speichern</t>
  </si>
  <si>
    <t>Sauvegarder au format pdf</t>
  </si>
  <si>
    <t>Salvare in formato pdf</t>
  </si>
  <si>
    <r>
      <t>A</t>
    </r>
    <r>
      <rPr>
        <vertAlign val="subscript"/>
        <sz val="10"/>
        <rFont val="Arial"/>
        <family val="2"/>
      </rPr>
      <t>th</t>
    </r>
    <r>
      <rPr>
        <sz val="10"/>
        <rFont val="Arial"/>
        <family val="2"/>
      </rPr>
      <t>/A</t>
    </r>
    <r>
      <rPr>
        <vertAlign val="subscript"/>
        <sz val="10"/>
        <rFont val="Arial"/>
        <family val="2"/>
      </rPr>
      <t>E</t>
    </r>
  </si>
  <si>
    <t>Begriffe Eigene Nutzung</t>
  </si>
  <si>
    <t>Relative Raumluftfeuchte am Nutzungstag</t>
  </si>
  <si>
    <t>21CCFMMP</t>
  </si>
  <si>
    <t>Das Tool wurde erfolgreich lizenziert.</t>
  </si>
  <si>
    <t>SIA 2024 schede tecniche dei locali</t>
  </si>
  <si>
    <t>Dati d’ingresso</t>
  </si>
  <si>
    <t>Fattore di riduzione per il telaio della finestra</t>
  </si>
  <si>
    <t>Valore richiesto per rumori di impianti tecnici</t>
  </si>
  <si>
    <t>Potenza degli apporti termici esterni</t>
  </si>
  <si>
    <r>
      <t xml:space="preserve">Produzione </t>
    </r>
    <r>
      <rPr>
        <sz val="10"/>
        <color rgb="FFFF0000"/>
        <rFont val="Arial"/>
        <family val="2"/>
      </rPr>
      <t>di</t>
    </r>
    <r>
      <rPr>
        <sz val="10"/>
        <color theme="1"/>
        <rFont val="Arial"/>
        <family val="2"/>
      </rPr>
      <t xml:space="preserve"> umidità delle </t>
    </r>
    <r>
      <rPr>
        <sz val="10"/>
        <color rgb="FFFF0000"/>
        <rFont val="Arial"/>
        <family val="2"/>
      </rPr>
      <t>persone</t>
    </r>
  </si>
  <si>
    <r>
      <t xml:space="preserve">Fonti di umidità (persone </t>
    </r>
    <r>
      <rPr>
        <sz val="10"/>
        <color rgb="FFFF0000"/>
        <rFont val="Arial"/>
        <family val="2"/>
      </rPr>
      <t>escluse</t>
    </r>
    <r>
      <rPr>
        <sz val="10"/>
        <color theme="1"/>
        <rFont val="Arial"/>
        <family val="2"/>
      </rPr>
      <t>)</t>
    </r>
  </si>
  <si>
    <r>
      <rPr>
        <sz val="10"/>
        <color rgb="FFFF0000"/>
        <rFont val="Arial"/>
        <family val="2"/>
      </rPr>
      <t>Fattore</t>
    </r>
    <r>
      <rPr>
        <sz val="10"/>
        <color rgb="FF000000"/>
        <rFont val="Arial"/>
        <family val="2"/>
      </rPr>
      <t xml:space="preserve"> di trasmissione </t>
    </r>
    <r>
      <rPr>
        <sz val="10"/>
        <color rgb="FFFF0000"/>
        <rFont val="Arial"/>
        <family val="2"/>
      </rPr>
      <t>totale di energia</t>
    </r>
  </si>
  <si>
    <r>
      <rPr>
        <sz val="10"/>
        <color rgb="FFFF0000"/>
        <rFont val="Arial"/>
        <family val="2"/>
      </rPr>
      <t>Fattore</t>
    </r>
    <r>
      <rPr>
        <sz val="10"/>
        <color theme="1"/>
        <rFont val="Arial"/>
        <family val="2"/>
      </rPr>
      <t xml:space="preserve"> di superficie vetrata</t>
    </r>
  </si>
  <si>
    <r>
      <rPr>
        <sz val="10"/>
        <color rgb="FFFF0000"/>
        <rFont val="Arial"/>
        <family val="2"/>
      </rPr>
      <t>Potenza degli a</t>
    </r>
    <r>
      <rPr>
        <sz val="10"/>
        <color theme="1"/>
        <rFont val="Arial"/>
        <family val="2"/>
      </rPr>
      <t>pporti termici interni</t>
    </r>
  </si>
  <si>
    <t>Apporti termici interni annuali degli apparecchi</t>
  </si>
  <si>
    <r>
      <rPr>
        <sz val="10"/>
        <color rgb="FFFF0000"/>
        <rFont val="Arial"/>
        <family val="2"/>
      </rPr>
      <t>Simultaneità</t>
    </r>
    <r>
      <rPr>
        <sz val="10"/>
        <color rgb="FF000000"/>
        <rFont val="Arial"/>
        <family val="2"/>
      </rPr>
      <t xml:space="preserve"> annuale</t>
    </r>
  </si>
  <si>
    <t>Grado di rendimento annuo del recuperatore di calore</t>
  </si>
  <si>
    <r>
      <t xml:space="preserve">Ore </t>
    </r>
    <r>
      <rPr>
        <sz val="10"/>
        <color rgb="FFFF0000"/>
        <rFont val="Arial"/>
        <family val="2"/>
      </rPr>
      <t>a pieno carico annuali</t>
    </r>
    <r>
      <rPr>
        <sz val="10"/>
        <color theme="1"/>
        <rFont val="Arial"/>
        <family val="2"/>
      </rPr>
      <t xml:space="preserve"> dell’illuminazione</t>
    </r>
  </si>
  <si>
    <t>Ore a pieno carico annuali degli apparecchi e degli impianti di processo</t>
  </si>
  <si>
    <r>
      <t xml:space="preserve">Ore a pieno carico </t>
    </r>
    <r>
      <rPr>
        <sz val="10"/>
        <color rgb="FFFF0000"/>
        <rFont val="Arial"/>
        <family val="2"/>
      </rPr>
      <t>annuali</t>
    </r>
    <r>
      <rPr>
        <sz val="10"/>
        <color theme="1"/>
        <rFont val="Arial"/>
        <family val="2"/>
      </rPr>
      <t xml:space="preserve"> della ventilazione</t>
    </r>
  </si>
  <si>
    <t>Ore a pieno carico annuali dalla portata d'aria</t>
  </si>
  <si>
    <t>Ore a pieno carico annuali del riscaldamento</t>
  </si>
  <si>
    <r>
      <t xml:space="preserve">Ore a pieno carico annuali </t>
    </r>
    <r>
      <rPr>
        <sz val="10"/>
        <color rgb="FFFF0000"/>
        <rFont val="Arial"/>
        <family val="2"/>
      </rPr>
      <t>del raffreddamento</t>
    </r>
  </si>
  <si>
    <r>
      <t xml:space="preserve">Fabbisogno elettrico </t>
    </r>
    <r>
      <rPr>
        <sz val="10"/>
        <color rgb="FFFF0000"/>
        <rFont val="Arial"/>
        <family val="2"/>
      </rPr>
      <t>annuo</t>
    </r>
    <r>
      <rPr>
        <sz val="10"/>
        <color theme="1"/>
        <rFont val="Arial"/>
        <family val="2"/>
      </rPr>
      <t xml:space="preserve"> dell’illuminazione</t>
    </r>
  </si>
  <si>
    <t>Fabbisogno elettrico annuo degli apparecchi</t>
  </si>
  <si>
    <t>Fabbisogno elettrico annuo della ventilazione</t>
  </si>
  <si>
    <t>Fabbisogno elettrico annuo degli impianti di processo</t>
  </si>
  <si>
    <r>
      <t>Fabbisogno</t>
    </r>
    <r>
      <rPr>
        <sz val="10"/>
        <color rgb="FFFF0000"/>
        <rFont val="Arial"/>
        <family val="2"/>
      </rPr>
      <t xml:space="preserve"> termico annuo </t>
    </r>
    <r>
      <rPr>
        <sz val="10"/>
        <color theme="1"/>
        <rFont val="Arial"/>
        <family val="2"/>
      </rPr>
      <t>per il riscaldamento</t>
    </r>
  </si>
  <si>
    <r>
      <t xml:space="preserve">Fabbisogno termico annuo per </t>
    </r>
    <r>
      <rPr>
        <sz val="10"/>
        <color rgb="FFFF0000"/>
        <rFont val="Arial"/>
        <family val="2"/>
      </rPr>
      <t>il raffreddamento</t>
    </r>
  </si>
  <si>
    <t>Fabbisogno termico annuo per l’acqua calda</t>
  </si>
  <si>
    <r>
      <t xml:space="preserve">Fabbisogno di potenza di </t>
    </r>
    <r>
      <rPr>
        <sz val="10"/>
        <color rgb="FFFF0000"/>
        <rFont val="Arial"/>
        <family val="2"/>
      </rPr>
      <t>raffreddamento</t>
    </r>
  </si>
  <si>
    <t>Profilo di carico</t>
  </si>
  <si>
    <t>Potenza al di fuori dei tempi di utilizzo</t>
  </si>
  <si>
    <r>
      <t xml:space="preserve">Coefficiente di </t>
    </r>
    <r>
      <rPr>
        <sz val="10"/>
        <color rgb="FFFF0000"/>
        <rFont val="Arial"/>
        <family val="2"/>
      </rPr>
      <t xml:space="preserve">scambio termico </t>
    </r>
    <r>
      <rPr>
        <sz val="10"/>
        <color rgb="FF000000"/>
        <rFont val="Arial"/>
        <family val="2"/>
      </rPr>
      <t>per ventilazione</t>
    </r>
  </si>
  <si>
    <t>Ore a pieno carico minime</t>
  </si>
  <si>
    <t>Temperatura interna media</t>
  </si>
  <si>
    <t>Carico termico di dimensionamento</t>
  </si>
  <si>
    <r>
      <t xml:space="preserve">Ore di utilizzo </t>
    </r>
    <r>
      <rPr>
        <sz val="10"/>
        <color rgb="FFFF0000"/>
        <rFont val="Arial"/>
        <family val="2"/>
      </rPr>
      <t>giorno e notte</t>
    </r>
  </si>
  <si>
    <t>Giorni di utlilizzo annuali</t>
  </si>
  <si>
    <r>
      <rPr>
        <sz val="10"/>
        <color rgb="FFFF0000"/>
        <rFont val="Arial"/>
        <family val="2"/>
      </rPr>
      <t>Profilo</t>
    </r>
    <r>
      <rPr>
        <sz val="10"/>
        <color theme="1"/>
        <rFont val="Arial"/>
        <family val="2"/>
      </rPr>
      <t xml:space="preserve"> di occupazione</t>
    </r>
  </si>
  <si>
    <t>Tipo di presenza</t>
  </si>
  <si>
    <t>Flusso d’aria esterna relativo al processo</t>
  </si>
  <si>
    <r>
      <rPr>
        <sz val="10"/>
        <color rgb="FFFF0000"/>
        <rFont val="Arial"/>
        <family val="2"/>
      </rPr>
      <t>Dimensioni</t>
    </r>
    <r>
      <rPr>
        <sz val="10"/>
        <color rgb="FF000000"/>
        <rFont val="Arial"/>
        <family val="2"/>
      </rPr>
      <t xml:space="preserve"> del locale</t>
    </r>
  </si>
  <si>
    <t>Temperatura interna di dimensionamento</t>
  </si>
  <si>
    <t>Illuminamento di riferimento</t>
  </si>
  <si>
    <r>
      <t xml:space="preserve">Umidità relativa dell'aria </t>
    </r>
    <r>
      <rPr>
        <sz val="10"/>
        <color rgb="FFFF0000"/>
        <rFont val="Arial"/>
        <family val="2"/>
      </rPr>
      <t>interna</t>
    </r>
  </si>
  <si>
    <t>Umidità relativa dell’aria interna al giorno di utilizzo (marzo)</t>
  </si>
  <si>
    <t>Potenza termica sensibile emessa delle persone</t>
  </si>
  <si>
    <t>Potenza degli apporti termici sensibili delle persone</t>
  </si>
  <si>
    <t>Controllo e regolazione del flusso d'aria (1 velocità, 2 velocità, a velocità variabile)</t>
  </si>
  <si>
    <t>Tasso minimo di ricambio d'aria termicamente utile</t>
  </si>
  <si>
    <r>
      <rPr>
        <sz val="10"/>
        <color rgb="FFFF0000"/>
        <rFont val="Arial"/>
        <family val="2"/>
      </rPr>
      <t>Flusso</t>
    </r>
    <r>
      <rPr>
        <sz val="10"/>
        <color theme="1"/>
        <rFont val="Arial"/>
        <family val="2"/>
      </rPr>
      <t xml:space="preserve"> d’aria esterna termicamente utile</t>
    </r>
  </si>
  <si>
    <r>
      <t xml:space="preserve">Superficie dell’involucro termico </t>
    </r>
    <r>
      <rPr>
        <sz val="10"/>
        <rFont val="Arial"/>
        <family val="2"/>
      </rPr>
      <t>dell’edificio</t>
    </r>
  </si>
  <si>
    <r>
      <t>Coefficiente di scambi</t>
    </r>
    <r>
      <rPr>
        <sz val="10"/>
        <color rgb="FFFF0000"/>
        <rFont val="Arial"/>
        <family val="2"/>
      </rPr>
      <t>o</t>
    </r>
    <r>
      <rPr>
        <sz val="10"/>
        <color theme="1"/>
        <rFont val="Arial"/>
        <family val="2"/>
      </rPr>
      <t xml:space="preserve"> termico per trasmissione</t>
    </r>
  </si>
  <si>
    <t>Rapporto tra fabbisogno di acqua e fabbisogno di acqua calda</t>
  </si>
  <si>
    <t>Ore a pieno carico per giorno di 11h</t>
  </si>
  <si>
    <r>
      <t xml:space="preserve">Potenza termica </t>
    </r>
    <r>
      <rPr>
        <sz val="10"/>
        <color rgb="FFFF0000"/>
        <rFont val="Arial"/>
        <family val="2"/>
      </rPr>
      <t xml:space="preserve">emessa delle </t>
    </r>
    <r>
      <rPr>
        <sz val="10"/>
        <color rgb="FF000000"/>
        <rFont val="Arial"/>
        <family val="2"/>
      </rPr>
      <t xml:space="preserve">persone </t>
    </r>
  </si>
  <si>
    <t>Bilancio termico mensile (esclusi gli impianti di processo)</t>
  </si>
  <si>
    <r>
      <rPr>
        <sz val="10"/>
        <rFont val="Arial"/>
        <family val="2"/>
      </rPr>
      <t>Re</t>
    </r>
    <r>
      <rPr>
        <sz val="10"/>
        <color theme="1"/>
        <rFont val="Arial"/>
        <family val="2"/>
      </rPr>
      <t>sistenza termica dell’abbigliamento</t>
    </r>
  </si>
  <si>
    <r>
      <t xml:space="preserve">Potenza </t>
    </r>
    <r>
      <rPr>
        <sz val="10"/>
        <color rgb="FFFF0000"/>
        <rFont val="Arial"/>
        <family val="2"/>
      </rPr>
      <t xml:space="preserve">degli apporti termici </t>
    </r>
    <r>
      <rPr>
        <sz val="10"/>
        <rFont val="Arial"/>
        <family val="2"/>
      </rPr>
      <t>degli apparecchi</t>
    </r>
  </si>
  <si>
    <r>
      <t xml:space="preserve">Potenza </t>
    </r>
    <r>
      <rPr>
        <sz val="10"/>
        <color rgb="FFFF0000"/>
        <rFont val="Arial"/>
        <family val="2"/>
      </rPr>
      <t>degli apporti termici</t>
    </r>
    <r>
      <rPr>
        <sz val="10"/>
        <color theme="1"/>
        <rFont val="Arial"/>
        <family val="2"/>
      </rPr>
      <t xml:space="preserve"> dell'illuminazione</t>
    </r>
  </si>
  <si>
    <t>Capacità termica del locale</t>
  </si>
  <si>
    <r>
      <t xml:space="preserve">Coefficiente </t>
    </r>
    <r>
      <rPr>
        <sz val="10"/>
        <color rgb="FFFF0000"/>
        <rFont val="Arial"/>
        <family val="2"/>
      </rPr>
      <t>di scambio termico</t>
    </r>
  </si>
  <si>
    <t>Fabbisogno di acqua calda per persona</t>
  </si>
  <si>
    <t>Fabbisogno di acqua per persona</t>
  </si>
  <si>
    <t>Aula scolastica</t>
  </si>
  <si>
    <r>
      <t xml:space="preserve">Ricezione, </t>
    </r>
    <r>
      <rPr>
        <sz val="10"/>
        <color rgb="FFFF0000"/>
        <rFont val="Arial"/>
        <family val="2"/>
      </rPr>
      <t>lobby</t>
    </r>
  </si>
  <si>
    <r>
      <t>SIA 2024 - Dati d</t>
    </r>
    <r>
      <rPr>
        <sz val="10"/>
        <color rgb="FFFF0000"/>
        <rFont val="Arial"/>
        <family val="2"/>
      </rPr>
      <t>’ingresso</t>
    </r>
  </si>
  <si>
    <t>Tipologia di utilizzo</t>
  </si>
  <si>
    <t>Superficie netta</t>
  </si>
  <si>
    <t>Quota delle finestre, facciata lorda</t>
  </si>
  <si>
    <t>Proprietà della fisica della costruzione</t>
  </si>
  <si>
    <t>Coefficiente U della finestra</t>
  </si>
  <si>
    <t>Coefficiente U degli elementi costruttivi opachi</t>
  </si>
  <si>
    <r>
      <rPr>
        <sz val="10"/>
        <color rgb="FFFF0000"/>
        <rFont val="Arial"/>
        <family val="2"/>
      </rPr>
      <t>Fattore</t>
    </r>
    <r>
      <rPr>
        <sz val="10"/>
        <color theme="1"/>
        <rFont val="Arial"/>
        <family val="2"/>
      </rPr>
      <t xml:space="preserve"> di trasmissione </t>
    </r>
    <r>
      <rPr>
        <sz val="10"/>
        <color rgb="FFFF0000"/>
        <rFont val="Arial"/>
        <family val="2"/>
      </rPr>
      <t>totale</t>
    </r>
    <r>
      <rPr>
        <sz val="10"/>
        <color theme="1"/>
        <rFont val="Arial"/>
        <family val="2"/>
      </rPr>
      <t xml:space="preserve"> </t>
    </r>
    <r>
      <rPr>
        <sz val="10"/>
        <color rgb="FFFF0000"/>
        <rFont val="Arial"/>
        <family val="2"/>
      </rPr>
      <t>di</t>
    </r>
    <r>
      <rPr>
        <sz val="10"/>
        <color theme="1"/>
        <rFont val="Arial"/>
        <family val="2"/>
      </rPr>
      <t xml:space="preserve"> energia </t>
    </r>
    <r>
      <rPr>
        <sz val="10"/>
        <color rgb="FFFF0000"/>
        <rFont val="Arial"/>
        <family val="2"/>
      </rPr>
      <t>del vetro</t>
    </r>
  </si>
  <si>
    <r>
      <rPr>
        <sz val="10"/>
        <color rgb="FFFF0000"/>
        <rFont val="Arial"/>
        <family val="2"/>
      </rPr>
      <t>Fattore</t>
    </r>
    <r>
      <rPr>
        <sz val="10"/>
        <color theme="1"/>
        <rFont val="Arial"/>
        <family val="2"/>
      </rPr>
      <t xml:space="preserve"> di trasmissione totale </t>
    </r>
    <r>
      <rPr>
        <sz val="10"/>
        <color rgb="FFFF0000"/>
        <rFont val="Arial"/>
        <family val="2"/>
      </rPr>
      <t>di</t>
    </r>
    <r>
      <rPr>
        <sz val="10"/>
        <color theme="1"/>
        <rFont val="Arial"/>
        <family val="2"/>
      </rPr>
      <t xml:space="preserve"> energia del </t>
    </r>
    <r>
      <rPr>
        <sz val="10"/>
        <color rgb="FFFF0000"/>
        <rFont val="Arial"/>
        <family val="2"/>
      </rPr>
      <t>vetro</t>
    </r>
    <r>
      <rPr>
        <sz val="10"/>
        <color theme="1"/>
        <rFont val="Arial"/>
        <family val="2"/>
      </rPr>
      <t xml:space="preserve"> e protezione solare</t>
    </r>
  </si>
  <si>
    <t>Ore di utilizzo notturne</t>
  </si>
  <si>
    <t>Ore di utilizzo</t>
  </si>
  <si>
    <t>Ore a pieno carico</t>
  </si>
  <si>
    <t>Ore a pieno carico (7-18h)</t>
  </si>
  <si>
    <t>Ore a pieno carico (18-7h)</t>
  </si>
  <si>
    <t>Potenza d'esercizio</t>
  </si>
  <si>
    <t>Acqua calda</t>
  </si>
  <si>
    <t>Acqua e acqua calda</t>
  </si>
  <si>
    <r>
      <rPr>
        <sz val="10"/>
        <color rgb="FFFF0000"/>
        <rFont val="Arial"/>
        <family val="2"/>
      </rPr>
      <t>Profilo</t>
    </r>
    <r>
      <rPr>
        <sz val="10"/>
        <color theme="1"/>
        <rFont val="Arial"/>
        <family val="2"/>
      </rPr>
      <t xml:space="preserve"> di occupazione (giorno di utilizzo)</t>
    </r>
  </si>
  <si>
    <r>
      <rPr>
        <sz val="10"/>
        <color rgb="FFFF0000"/>
        <rFont val="Arial"/>
        <family val="2"/>
      </rPr>
      <t>Profilo</t>
    </r>
    <r>
      <rPr>
        <sz val="10"/>
        <color rgb="FF000000"/>
        <rFont val="Arial"/>
        <family val="2"/>
      </rPr>
      <t xml:space="preserve"> degli apparecchi (giorno di utilizzo)</t>
    </r>
  </si>
  <si>
    <t>Giorni di utilizzo</t>
  </si>
  <si>
    <t>Standard, mirato</t>
  </si>
  <si>
    <t>Standard, esistente</t>
  </si>
  <si>
    <t>Impianto d'aspirazione semplice</t>
  </si>
  <si>
    <t>Ore a pieno carico al giorno di riposo</t>
  </si>
  <si>
    <t>Ore a pieno carico annuali degli apparecchi</t>
  </si>
  <si>
    <r>
      <t xml:space="preserve">- Protezione </t>
    </r>
    <r>
      <rPr>
        <sz val="10"/>
        <color rgb="FFFF0000"/>
        <rFont val="Arial"/>
        <family val="2"/>
      </rPr>
      <t xml:space="preserve">dal rumore </t>
    </r>
    <r>
      <rPr>
        <sz val="10"/>
        <color theme="1"/>
        <rFont val="Arial"/>
        <family val="2"/>
      </rPr>
      <t>maggiorata nella camera da letto</t>
    </r>
  </si>
  <si>
    <r>
      <t xml:space="preserve">- Protezione </t>
    </r>
    <r>
      <rPr>
        <sz val="10"/>
        <color rgb="FFFF0000"/>
        <rFont val="Arial"/>
        <family val="2"/>
      </rPr>
      <t>dal rumore</t>
    </r>
    <r>
      <rPr>
        <sz val="10"/>
        <color theme="1"/>
        <rFont val="Arial"/>
        <family val="2"/>
      </rPr>
      <t xml:space="preserve"> maggiorata nell'ufficio di direzione</t>
    </r>
  </si>
  <si>
    <r>
      <t xml:space="preserve">- </t>
    </r>
    <r>
      <rPr>
        <sz val="10"/>
        <color rgb="FFFF0000"/>
        <rFont val="Arial"/>
        <family val="2"/>
      </rPr>
      <t>Illuminamento</t>
    </r>
    <r>
      <rPr>
        <sz val="10"/>
        <rFont val="Arial"/>
        <family val="2"/>
      </rPr>
      <t xml:space="preserve"> 300lx nella scuola dell'infanzia</t>
    </r>
  </si>
  <si>
    <r>
      <t xml:space="preserve">- </t>
    </r>
    <r>
      <rPr>
        <sz val="10"/>
        <color rgb="FFFF0000"/>
        <rFont val="Arial"/>
        <family val="2"/>
      </rPr>
      <t>Illuminamento</t>
    </r>
    <r>
      <rPr>
        <sz val="10"/>
        <color theme="1"/>
        <rFont val="Arial"/>
        <family val="2"/>
      </rPr>
      <t xml:space="preserve"> 500lx nella zona di lettura</t>
    </r>
  </si>
  <si>
    <r>
      <t xml:space="preserve">- Protezione </t>
    </r>
    <r>
      <rPr>
        <sz val="10"/>
        <color rgb="FFFF0000"/>
        <rFont val="Arial"/>
        <family val="2"/>
      </rPr>
      <t>dal rumore</t>
    </r>
    <r>
      <rPr>
        <sz val="10"/>
        <color theme="1"/>
        <rFont val="Arial"/>
        <family val="2"/>
      </rPr>
      <t xml:space="preserve"> maggiorata nell'aula di musica</t>
    </r>
  </si>
  <si>
    <t>- Superfici di vendita con una quota di alimentari &gt; 80%</t>
  </si>
  <si>
    <t>- Superfici di vendita con una quota di alimentari &lt; 20%</t>
  </si>
  <si>
    <t>- Grandi superfici di vendita con bassa densità di persone</t>
  </si>
  <si>
    <t>- Il flusso d'aria esterna dovuto agli impianti di processo non è considerato nei diagrammi</t>
  </si>
  <si>
    <t>- Gli apparacchi da cucina, incluse le cappe d'aspirazione, sono computati sotto gli impianti di processo</t>
  </si>
  <si>
    <t>- Gli apparacchi di diagnostica e di trattamento/cura sono computati sotto gli impianti di processo</t>
  </si>
  <si>
    <t>- Gli impianti di produzione sono computati sotto gli impianti di processo</t>
  </si>
  <si>
    <t>- Gli impianti da laboratorio, inclusa la ventilazione della camera bianca/sterile, sono computati sotto gli impianti di processo</t>
  </si>
  <si>
    <t>- Gli impianti tecnici della piscina, inclusa la ventilazione e la deumidificazione, sono computati sotto gli impianti di processo</t>
  </si>
  <si>
    <t>- Gli impianti server, inclusi i raffreddatori a ricircolo d'aria e la produzione di freddo, sono computati sotto gli impianti di processo</t>
  </si>
  <si>
    <t>- Gli apporti termici interni degli impianti di processo non sono considerati nel fabbisogno di freddo per il raffreddamento/climatizzazione e nel fabbisogno di calore per il riscaldamento</t>
  </si>
  <si>
    <r>
      <t xml:space="preserve">- </t>
    </r>
    <r>
      <rPr>
        <sz val="10"/>
        <color rgb="FFFF0000"/>
        <rFont val="Arial"/>
        <family val="2"/>
      </rPr>
      <t>Illuminamento</t>
    </r>
    <r>
      <rPr>
        <sz val="10"/>
        <color theme="1"/>
        <rFont val="Arial"/>
        <family val="2"/>
      </rPr>
      <t xml:space="preserve"> 300lx per visite semplici</t>
    </r>
  </si>
  <si>
    <r>
      <t xml:space="preserve">- </t>
    </r>
    <r>
      <rPr>
        <sz val="10"/>
        <color rgb="FFFF0000"/>
        <rFont val="Arial"/>
        <family val="2"/>
      </rPr>
      <t>Illuminamento</t>
    </r>
    <r>
      <rPr>
        <sz val="10"/>
        <color theme="1"/>
        <rFont val="Arial"/>
        <family val="2"/>
      </rPr>
      <t xml:space="preserve"> 500lx e ricambio d'aria accresciuto per sport di competizione</t>
    </r>
  </si>
  <si>
    <t>- Cella frigorifera 2°C</t>
  </si>
  <si>
    <r>
      <t xml:space="preserve">- Calcolo </t>
    </r>
    <r>
      <rPr>
        <sz val="10"/>
        <color rgb="FFFF0000"/>
        <rFont val="Arial"/>
        <family val="2"/>
      </rPr>
      <t xml:space="preserve">del </t>
    </r>
    <r>
      <rPr>
        <sz val="10"/>
        <color theme="1"/>
        <rFont val="Arial"/>
        <family val="2"/>
      </rPr>
      <t xml:space="preserve">fabbisogno </t>
    </r>
    <r>
      <rPr>
        <sz val="10"/>
        <color rgb="FFFF0000"/>
        <rFont val="Arial"/>
        <family val="2"/>
      </rPr>
      <t>termico</t>
    </r>
    <r>
      <rPr>
        <sz val="10"/>
        <color theme="1"/>
        <rFont val="Arial"/>
        <family val="2"/>
      </rPr>
      <t xml:space="preserve"> </t>
    </r>
    <r>
      <rPr>
        <sz val="10"/>
        <color rgb="FFFF0000"/>
        <rFont val="Arial"/>
        <family val="2"/>
      </rPr>
      <t>di</t>
    </r>
    <r>
      <rPr>
        <sz val="10"/>
        <color theme="1"/>
        <rFont val="Arial"/>
        <family val="2"/>
      </rPr>
      <t xml:space="preserve"> raffreddamento: apporti termici negativi da </t>
    </r>
    <r>
      <rPr>
        <sz val="10"/>
        <color rgb="FFFF0000"/>
        <rFont val="Arial"/>
        <family val="2"/>
      </rPr>
      <t>frigoriferi mobili</t>
    </r>
    <r>
      <rPr>
        <sz val="10"/>
        <color theme="1"/>
        <rFont val="Arial"/>
        <family val="2"/>
      </rPr>
      <t xml:space="preserve"> (</t>
    </r>
    <r>
      <rPr>
        <sz val="10"/>
        <color rgb="FFFF0000"/>
        <rFont val="Arial"/>
        <family val="2"/>
      </rPr>
      <t>Valore</t>
    </r>
    <r>
      <rPr>
        <sz val="10"/>
        <color theme="1"/>
        <rFont val="Arial"/>
        <family val="2"/>
      </rPr>
      <t xml:space="preserve"> Standard: -10, Valore mirato: -8, Esistente: -12 W/m2)</t>
    </r>
  </si>
  <si>
    <r>
      <t xml:space="preserve">- Livello sonoro di valutazione per rumori continui di impianti tecnici di edifici in relazione al loro </t>
    </r>
    <r>
      <rPr>
        <sz val="10"/>
        <color rgb="FFFF0000"/>
        <rFont val="Arial"/>
        <family val="2"/>
      </rPr>
      <t>utilizzo</t>
    </r>
    <r>
      <rPr>
        <sz val="10"/>
        <color theme="1"/>
        <rFont val="Arial"/>
        <family val="2"/>
      </rPr>
      <t xml:space="preserve"> principale</t>
    </r>
  </si>
  <si>
    <r>
      <t xml:space="preserve">- </t>
    </r>
    <r>
      <rPr>
        <sz val="10"/>
        <color rgb="FFFF0000"/>
        <rFont val="Arial"/>
        <family val="2"/>
      </rPr>
      <t>Nessun</t>
    </r>
    <r>
      <rPr>
        <sz val="10"/>
        <color theme="1"/>
        <rFont val="Arial"/>
        <family val="2"/>
      </rPr>
      <t xml:space="preserve"> impianto di ventilazione nella costruzione esistente</t>
    </r>
  </si>
  <si>
    <t>- Autorimessa con flusso d’aria esterna maggiorato: 6m3/m2h</t>
  </si>
  <si>
    <t>- Fabbisogno di acqua e di acqua calda per persona</t>
  </si>
  <si>
    <t>- Fabbisogno di acqua e di acqua calda per posto letto, senza cucina e lavanderia</t>
  </si>
  <si>
    <t>- Fabbisogno di acqua e di acqua calda incluso nella tipologia di utilizzo 2.1</t>
  </si>
  <si>
    <t>- Fabbisogno di acqua e di acqua calda per persona, senza ristorante aziendale</t>
  </si>
  <si>
    <t>- Fabbisogno di acqua e di acqua calda incluso nella tipologia di utilizzo 3.1 e 3.2</t>
  </si>
  <si>
    <t>- Fabbisogno di acqua e di acqua calda per persona (allievo), senza mensa e impianto sportivo</t>
  </si>
  <si>
    <t>- Fabbisogno di acqua e di acqua calda incluso nella tipologia di utilizzo 4.1</t>
  </si>
  <si>
    <t>- Fabbisogno di acqua e di acqua calda per persona (clienti)</t>
  </si>
  <si>
    <t>- Fabbisogno di acqua e di acqua calda per i ristoranti, inclusa la cucina, per posto a sedere</t>
  </si>
  <si>
    <t>- Fabbisogno di acqua e di acqua calda incluso nella tipologia di utilizzo 6.1</t>
  </si>
  <si>
    <t>- Fabbisogno di acqua e di acqua calda per persona (visitatore)</t>
  </si>
  <si>
    <t>- Fabbisogno di acqua e di acqua calda per posto letto, senza ristorante</t>
  </si>
  <si>
    <t>- Fabbisogno di acqua e di acqua calda incluso nella tipologia di utilizzo 8.1</t>
  </si>
  <si>
    <t>- Fabbisogno di acqua e di acqua calda  per persona, senza acqua industriale</t>
  </si>
  <si>
    <t>- Fabbisogno di acqua e di acqua calda per persona, senza acqua industriale</t>
  </si>
  <si>
    <t>- Fabbisogno di acqua e di acqua calda per unità doccia negli impianti sportivi</t>
  </si>
  <si>
    <t>- Fabbisogno di acqua e di acqua calda per unità doccia, senza fabbisogno di acqua di balneatione</t>
  </si>
  <si>
    <t>- Fabbisogno di acqua e di acqua calda determinati dall'utilizzo principale</t>
  </si>
  <si>
    <t>Fabbisogno termico annuo per il raffreddamento</t>
  </si>
  <si>
    <t>Fabbisogno termico annuo per il riscaldamento</t>
  </si>
  <si>
    <t>Valore orario massimo</t>
  </si>
  <si>
    <t>Valore di manutenzione</t>
  </si>
  <si>
    <t>Appar.+Illum.</t>
  </si>
  <si>
    <t>Irraggiamento solare</t>
  </si>
  <si>
    <t>Concentrazione di CO2</t>
  </si>
  <si>
    <t>Umidità relativa dell'aria interna massima ammissibile</t>
  </si>
  <si>
    <t>Umidità relativa dell'aria interna, % r.h.</t>
  </si>
  <si>
    <t>Profilo di occupazione, - portata d'aria esterna, m3/m2h</t>
  </si>
  <si>
    <r>
      <t xml:space="preserve">Questo strumento Excel consente la visualizzazione e la stampa delle schede tecniche dei locali </t>
    </r>
    <r>
      <rPr>
        <sz val="10"/>
        <color rgb="FFFF0000"/>
        <rFont val="Arial"/>
        <family val="2"/>
      </rPr>
      <t>secondo</t>
    </r>
    <r>
      <rPr>
        <sz val="10"/>
        <color theme="1"/>
        <rFont val="Arial"/>
        <family val="2"/>
      </rPr>
      <t xml:space="preserve"> SIA 2024. Quando si utilizzano le schede tecniche dei locali</t>
    </r>
    <r>
      <rPr>
        <sz val="10"/>
        <color rgb="FFFF0000"/>
        <rFont val="Arial"/>
        <family val="2"/>
      </rPr>
      <t xml:space="preserve">, è indispensabile prendere in considerazione le specificazioni di </t>
    </r>
    <r>
      <rPr>
        <sz val="10"/>
        <color theme="1"/>
        <rFont val="Arial"/>
        <family val="2"/>
      </rPr>
      <t>SIA 2024.</t>
    </r>
  </si>
  <si>
    <r>
      <t>SIA 2024 serve</t>
    </r>
    <r>
      <rPr>
        <sz val="10"/>
        <color rgb="FFFF0000"/>
        <rFont val="Arial"/>
        <family val="2"/>
      </rPr>
      <t xml:space="preserve"> ad armonizzare </t>
    </r>
    <r>
      <rPr>
        <sz val="10"/>
        <rFont val="Arial"/>
        <family val="2"/>
      </rPr>
      <t>l</t>
    </r>
    <r>
      <rPr>
        <sz val="10"/>
        <color theme="1"/>
        <rFont val="Arial"/>
        <family val="2"/>
      </rPr>
      <t xml:space="preserve">e ipotesi </t>
    </r>
    <r>
      <rPr>
        <sz val="10"/>
        <color rgb="FFFF0000"/>
        <rFont val="Arial"/>
        <family val="2"/>
      </rPr>
      <t>sulle tipologie d'utilizzo</t>
    </r>
    <r>
      <rPr>
        <sz val="10"/>
        <color theme="1"/>
        <rFont val="Arial"/>
        <family val="2"/>
      </rPr>
      <t xml:space="preserve">. Queste ipotesi </t>
    </r>
    <r>
      <rPr>
        <sz val="10"/>
        <color rgb="FFFF0000"/>
        <rFont val="Arial"/>
        <family val="2"/>
      </rPr>
      <t>sono da utilizzare per i</t>
    </r>
    <r>
      <rPr>
        <sz val="10"/>
        <color theme="1"/>
        <rFont val="Arial"/>
        <family val="2"/>
      </rPr>
      <t xml:space="preserve"> calcoli </t>
    </r>
    <r>
      <rPr>
        <sz val="10"/>
        <color rgb="FFFF0000"/>
        <rFont val="Arial"/>
        <family val="2"/>
      </rPr>
      <t>e le</t>
    </r>
    <r>
      <rPr>
        <sz val="10"/>
        <color theme="1"/>
        <rFont val="Arial"/>
        <family val="2"/>
      </rPr>
      <t xml:space="preserve"> verifiche secondo </t>
    </r>
    <r>
      <rPr>
        <sz val="10"/>
        <color rgb="FFFF0000"/>
        <rFont val="Arial"/>
        <family val="2"/>
      </rPr>
      <t>le norme</t>
    </r>
    <r>
      <rPr>
        <sz val="10"/>
        <color theme="1"/>
        <rFont val="Arial"/>
        <family val="2"/>
      </rPr>
      <t xml:space="preserve"> sull'energia e </t>
    </r>
    <r>
      <rPr>
        <sz val="10"/>
        <color rgb="FFFF0000"/>
        <rFont val="Arial"/>
        <family val="2"/>
      </rPr>
      <t>l'impiantistica</t>
    </r>
    <r>
      <rPr>
        <sz val="10"/>
        <color theme="1"/>
        <rFont val="Arial"/>
        <family val="2"/>
      </rPr>
      <t>,</t>
    </r>
    <r>
      <rPr>
        <sz val="10"/>
        <color rgb="FFFF0000"/>
        <rFont val="Arial"/>
        <family val="2"/>
      </rPr>
      <t xml:space="preserve"> fino a</t>
    </r>
    <r>
      <rPr>
        <sz val="10"/>
        <color theme="1"/>
        <rFont val="Arial"/>
        <family val="2"/>
      </rPr>
      <t xml:space="preserve"> quando non sono disponibili informazioni più dettagliate. Al più tardi nel progetto definitivo i dati </t>
    </r>
    <r>
      <rPr>
        <sz val="10"/>
        <color rgb="FFFF0000"/>
        <rFont val="Arial"/>
        <family val="2"/>
      </rPr>
      <t>dell'edificio</t>
    </r>
    <r>
      <rPr>
        <sz val="10"/>
        <color theme="1"/>
        <rFont val="Arial"/>
        <family val="2"/>
      </rPr>
      <t xml:space="preserve"> specifici del progetto, le condizioni di utilizzo e i criteri di </t>
    </r>
    <r>
      <rPr>
        <sz val="10"/>
        <color rgb="FFFF0000"/>
        <rFont val="Arial"/>
        <family val="2"/>
      </rPr>
      <t>dimensionamento</t>
    </r>
    <r>
      <rPr>
        <sz val="10"/>
        <color theme="1"/>
        <rFont val="Arial"/>
        <family val="2"/>
      </rPr>
      <t xml:space="preserve"> devono essere definiti e utilizzati per il dimensionamento degli impianti.</t>
    </r>
  </si>
  <si>
    <r>
      <t xml:space="preserve">Lo strumento di costruzione SIA 2024 per stimare </t>
    </r>
    <r>
      <rPr>
        <sz val="10"/>
        <color rgb="FFFF0000"/>
        <rFont val="Arial"/>
        <family val="2"/>
      </rPr>
      <t>il fabbisogno</t>
    </r>
    <r>
      <rPr>
        <sz val="10"/>
        <color theme="1"/>
        <rFont val="Arial"/>
        <family val="2"/>
      </rPr>
      <t xml:space="preserve"> di potenza </t>
    </r>
    <r>
      <rPr>
        <sz val="10"/>
        <color rgb="FFFF0000"/>
        <rFont val="Arial"/>
        <family val="2"/>
      </rPr>
      <t>e di</t>
    </r>
    <r>
      <rPr>
        <sz val="10"/>
        <color theme="1"/>
        <rFont val="Arial"/>
        <family val="2"/>
      </rPr>
      <t xml:space="preserve"> energia degli edifici nella fase di </t>
    </r>
    <r>
      <rPr>
        <sz val="10"/>
        <color rgb="FFFF0000"/>
        <rFont val="Arial"/>
        <family val="2"/>
      </rPr>
      <t>progettazione</t>
    </r>
    <r>
      <rPr>
        <sz val="10"/>
        <color theme="1"/>
        <rFont val="Arial"/>
        <family val="2"/>
      </rPr>
      <t xml:space="preserve"> iniziale è disponibile </t>
    </r>
    <r>
      <rPr>
        <sz val="10"/>
        <color rgb="FFFF0000"/>
        <rFont val="Arial"/>
        <family val="2"/>
      </rPr>
      <t>sul sito</t>
    </r>
    <r>
      <rPr>
        <sz val="10"/>
        <color theme="1"/>
        <rFont val="Arial"/>
        <family val="2"/>
      </rPr>
      <t xml:space="preserve"> www.energytools.ch.</t>
    </r>
  </si>
  <si>
    <t>Nota: in Excel, le macro devono essere attivate. Per ulteriori informazioni, consultare la guida del programma Office.</t>
  </si>
  <si>
    <r>
      <t xml:space="preserve">Vendita mobili, </t>
    </r>
    <r>
      <rPr>
        <sz val="10"/>
        <color theme="9"/>
        <rFont val="Arial"/>
        <family val="2"/>
      </rPr>
      <t>fai da te</t>
    </r>
    <r>
      <rPr>
        <sz val="10"/>
        <color theme="1"/>
        <rFont val="Arial"/>
        <family val="2"/>
      </rPr>
      <t xml:space="preserve"> e giardinaggio</t>
    </r>
  </si>
  <si>
    <r>
      <t xml:space="preserve">SIA 2024 - Risultati </t>
    </r>
    <r>
      <rPr>
        <sz val="10"/>
        <color theme="9"/>
        <rFont val="Arial"/>
        <family val="2"/>
      </rPr>
      <t>edifici</t>
    </r>
    <r>
      <rPr>
        <sz val="10"/>
        <color theme="1"/>
        <rFont val="Arial"/>
        <family val="2"/>
      </rPr>
      <t xml:space="preserve"> esistenti</t>
    </r>
  </si>
  <si>
    <t>- Des valeurs indicatives pour le débit d'air extrait sont définies dans la norme SIA 382/1</t>
  </si>
  <si>
    <t>Umidità relativa dell’aria interna al giorno di utilizzo</t>
  </si>
  <si>
    <t>Caso di raffreddam.</t>
  </si>
  <si>
    <t>Caso di riscaldam.</t>
  </si>
  <si>
    <t>Orientato a ovest</t>
  </si>
  <si>
    <t>Rumore esterno/rumore interno, rumore per calpestio</t>
  </si>
  <si>
    <t>Dimensionamento per rumori continui</t>
  </si>
  <si>
    <t>Ammobiliato</t>
  </si>
  <si>
    <t xml:space="preserve">Superficie netta per persona </t>
  </si>
  <si>
    <t>Altezza = 0.75 m o 0.05 m</t>
  </si>
  <si>
    <t>Con ventilazione di supporto tramite le finestre</t>
  </si>
  <si>
    <t>Per superficie netta</t>
  </si>
  <si>
    <t>Totale dell'aria immessa e aspirata</t>
  </si>
  <si>
    <t>In relazione a</t>
  </si>
  <si>
    <t xml:space="preserve">Fabbisogno elettrico </t>
  </si>
  <si>
    <t>Solare, trasmissione, ventilazione</t>
  </si>
  <si>
    <t>Persone, apparecchi, illuminazione</t>
  </si>
  <si>
    <t>Senza ventilazione tramite le finestre</t>
  </si>
  <si>
    <t>Acqua calda e fredda</t>
  </si>
  <si>
    <t>Nessun impianto</t>
  </si>
  <si>
    <t>Ventilazione igienica</t>
  </si>
  <si>
    <t>Orientation ouest</t>
  </si>
  <si>
    <t>Bruit provenant de l'extérieur, de l'intér., bruit de choc</t>
  </si>
  <si>
    <t>Avec le mobilier</t>
  </si>
  <si>
    <t>Surface nette de plancher par personne</t>
  </si>
  <si>
    <t>Sous peine de</t>
  </si>
  <si>
    <t>Valeur horaire maximale</t>
  </si>
  <si>
    <t>Indice de maintenance</t>
  </si>
  <si>
    <t>Hauteur = 0.75 m où 0.05 m</t>
  </si>
  <si>
    <t>Avec aération complémentaire par les fenêtres</t>
  </si>
  <si>
    <t xml:space="preserve">Par surface nette de plancher </t>
  </si>
  <si>
    <t>Total air fourni et air repris</t>
  </si>
  <si>
    <t>Avec aération complém. par les fenêtres jour et nuit</t>
  </si>
  <si>
    <t>Avec aération complém. par les fenêtres lors de l'occ.</t>
  </si>
  <si>
    <t>Sans aération par les fenêtres</t>
  </si>
  <si>
    <t>Aucune installation</t>
  </si>
  <si>
    <t>Sans aération par les fenêtres, sans inst. de process</t>
  </si>
  <si>
    <t>Nach Westen orientiert</t>
  </si>
  <si>
    <t>Mit Möblierung</t>
  </si>
  <si>
    <t>Bei</t>
  </si>
  <si>
    <t>Mit unterstützender Fensterlüftung</t>
  </si>
  <si>
    <t>Pro Nettogeschossfläche</t>
  </si>
  <si>
    <r>
      <t xml:space="preserve">Mit </t>
    </r>
    <r>
      <rPr>
        <sz val="10"/>
        <color rgb="FFFF0000"/>
        <rFont val="Arial"/>
        <family val="2"/>
      </rPr>
      <t>unterstützender</t>
    </r>
    <r>
      <rPr>
        <sz val="10"/>
        <color theme="1"/>
        <rFont val="Arial"/>
        <family val="2"/>
      </rPr>
      <t xml:space="preserve"> Fensterlüftung Tag und Nacht</t>
    </r>
  </si>
  <si>
    <r>
      <t xml:space="preserve">Mit </t>
    </r>
    <r>
      <rPr>
        <sz val="10"/>
        <color rgb="FFFF0000"/>
        <rFont val="Arial"/>
        <family val="2"/>
      </rPr>
      <t>unterstützender</t>
    </r>
    <r>
      <rPr>
        <sz val="10"/>
        <color theme="1"/>
        <rFont val="Arial"/>
        <family val="2"/>
      </rPr>
      <t xml:space="preserve"> Fensterlüftung bei Belegung</t>
    </r>
  </si>
  <si>
    <t>Ohne Fensterlüftung</t>
  </si>
  <si>
    <t>Keine Anlagen</t>
  </si>
  <si>
    <t>Ohne Fensterlüftung, ohne Prozessanlagen</t>
  </si>
  <si>
    <t>Persone-ore</t>
  </si>
  <si>
    <t>Apparecchi-ore</t>
  </si>
  <si>
    <t>Personnes-heures</t>
  </si>
  <si>
    <t>Appareils-heures</t>
  </si>
  <si>
    <t>Con ventilazione di supp. tramite finestre giorno e notte</t>
  </si>
  <si>
    <t>Senza ventil. tramite finestre, senza imp. di processo</t>
  </si>
  <si>
    <t>Bilancio della potenza termica al giorno di dimens. di agosto (esclusi gli imp. di processo)</t>
  </si>
  <si>
    <r>
      <t>Concentrazione di CO</t>
    </r>
    <r>
      <rPr>
        <b/>
        <vertAlign val="subscript"/>
        <sz val="10"/>
        <rFont val="Arial"/>
        <family val="2"/>
      </rPr>
      <t>2</t>
    </r>
    <r>
      <rPr>
        <b/>
        <sz val="10"/>
        <rFont val="Arial"/>
        <family val="2"/>
      </rPr>
      <t xml:space="preserve"> al giorno di utilizzo</t>
    </r>
  </si>
  <si>
    <r>
      <t>CO</t>
    </r>
    <r>
      <rPr>
        <b/>
        <vertAlign val="subscript"/>
        <sz val="10"/>
        <rFont val="Arial"/>
        <family val="2"/>
      </rPr>
      <t>2</t>
    </r>
    <r>
      <rPr>
        <b/>
        <sz val="10"/>
        <rFont val="Arial"/>
        <family val="2"/>
      </rPr>
      <t>-Konzentration am Nutzungstag</t>
    </r>
  </si>
  <si>
    <r>
      <t>Concentration en CO</t>
    </r>
    <r>
      <rPr>
        <b/>
        <vertAlign val="subscript"/>
        <sz val="10"/>
        <rFont val="Arial"/>
        <family val="2"/>
      </rPr>
      <t>2</t>
    </r>
    <r>
      <rPr>
        <b/>
        <sz val="10"/>
        <rFont val="Arial"/>
        <family val="2"/>
      </rPr>
      <t xml:space="preserve"> au jour d'utilisation</t>
    </r>
  </si>
  <si>
    <t>Magasin de meubles, bricol. et horticulture</t>
  </si>
  <si>
    <t>- Der Klimakälteleistungsbedarf und der jährliche Klimakältebedarf gelten für Räume ohne unterstützende Fensterlüftung</t>
  </si>
  <si>
    <t>- La demande en puissance de refroidissement et le besoin annuel de refroidissement s'appliquent aux locaux sans aération complémentaire par les fenêtres.</t>
  </si>
  <si>
    <t>- Il fabbisogno di potenza termica di raffreddamento e il fabbisogno annuo di freddo per il raffreddamento valgono solo per i locali senza ventilazione di supporto tramite le finestre</t>
  </si>
  <si>
    <t>Taux d'humidité relative de l'air intérieur au jour d'utilisa.</t>
  </si>
  <si>
    <t>Remarque: En Excel les macros doivent être activées. Vous trouverez d'autres informations dans l'aide du programme Office.</t>
  </si>
  <si>
    <r>
      <rPr>
        <sz val="10"/>
        <color rgb="FFFF0000"/>
        <rFont val="Arial"/>
        <family val="2"/>
      </rPr>
      <t>Flusso</t>
    </r>
    <r>
      <rPr>
        <sz val="10"/>
        <color theme="1"/>
        <rFont val="Arial"/>
        <family val="2"/>
      </rPr>
      <t xml:space="preserve"> d’aria esterna</t>
    </r>
  </si>
  <si>
    <r>
      <rPr>
        <sz val="10"/>
        <color rgb="FFFF0000"/>
        <rFont val="Arial"/>
        <family val="2"/>
      </rPr>
      <t>Flusso</t>
    </r>
    <r>
      <rPr>
        <sz val="10"/>
        <color theme="1"/>
        <rFont val="Arial"/>
        <family val="2"/>
      </rPr>
      <t xml:space="preserve"> d’aria esterna per persona</t>
    </r>
  </si>
  <si>
    <r>
      <rPr>
        <sz val="10"/>
        <color rgb="FFFF0000"/>
        <rFont val="Arial"/>
        <family val="2"/>
      </rPr>
      <t>Flusso</t>
    </r>
    <r>
      <rPr>
        <sz val="10"/>
        <color theme="1"/>
        <rFont val="Arial"/>
        <family val="2"/>
      </rPr>
      <t xml:space="preserve"> d’aria esterna per infiltrazione</t>
    </r>
  </si>
  <si>
    <t>Flusso d’aria esterna igenica</t>
  </si>
  <si>
    <t>- Valori indicativi per il flusso dell'aria aspirata sono definiti nella norma SIA 382/1</t>
  </si>
  <si>
    <t>Dieses Excel Tool ermöglicht die Anzeige und den Ausdruck der Raumdatenblätter gemäss SIA 2024. Bei der Anwendung der Raumdatenblätter sind zwingend die Festlegungen in SIA 2024 zu berücksichtigen.</t>
  </si>
  <si>
    <t>Dimens. del raffreddamento</t>
  </si>
  <si>
    <t>Dimens. del riscaldamento</t>
  </si>
  <si>
    <t>Dimens. della deumidificazione</t>
  </si>
  <si>
    <t>Dimens. dell'umidificazione</t>
  </si>
  <si>
    <t>P.es. piante</t>
  </si>
  <si>
    <t>P.ex. des plantes</t>
  </si>
  <si>
    <t>Z.B. Pflanzen</t>
  </si>
  <si>
    <t>Con vent. di supp. tramite finestre nel periodo di occup.</t>
  </si>
  <si>
    <t>Wärmebilanz mit Prozessanlagen - Kühlleistung gem. Wärmebilanz (Cm = 0 Wh/(m2K))</t>
  </si>
  <si>
    <t>Wärmebilanz ohne Prozessanlagen - Kühlleistung gem. Wärmebilanz (Cm = 0 Wh/(m2K))</t>
  </si>
  <si>
    <t>Die verbleibende Lizenzdauer beträgt noch 172 Tage.</t>
  </si>
  <si>
    <t>Lichttransm.</t>
  </si>
  <si>
    <t>gtot-Wert</t>
  </si>
  <si>
    <t>Lichtausbeute</t>
  </si>
  <si>
    <t>Schwellwert SSch</t>
  </si>
  <si>
    <t>Redukt.faktor</t>
  </si>
  <si>
    <t>Berechnung SIA 2024:2021</t>
  </si>
  <si>
    <t>Max. Wärmelast</t>
  </si>
  <si>
    <t>Max. Profil gleichzeitig PhiC</t>
  </si>
  <si>
    <t>Max. Profil pro Tag</t>
  </si>
  <si>
    <t>Phis</t>
  </si>
  <si>
    <t>PhiTop</t>
  </si>
  <si>
    <t>Phiv</t>
  </si>
  <si>
    <r>
      <t xml:space="preserve">Wärmebilanz ohne Prozessanlagen - Kühlleistung gem. Knotenmodell </t>
    </r>
    <r>
      <rPr>
        <b/>
        <sz val="10"/>
        <color rgb="FFFF0000"/>
        <rFont val="Arial"/>
        <family val="2"/>
      </rPr>
      <t>(fehlerhaft!)</t>
    </r>
  </si>
  <si>
    <r>
      <t xml:space="preserve">Wärmebilanz mit Prozessanlagen - Kühlleistung gem. Knotenmodell </t>
    </r>
    <r>
      <rPr>
        <b/>
        <sz val="10"/>
        <color rgb="FFFF0000"/>
        <rFont val="Arial"/>
        <family val="2"/>
      </rPr>
      <t>(fehlerhaft!)</t>
    </r>
  </si>
  <si>
    <t>Heizwärmebedarf Qh,eff mit Wärmebrückenzuschlag</t>
  </si>
  <si>
    <t>L: Klimakältebedarf:</t>
  </si>
  <si>
    <t>SIA 2024 - Resultate - Raumheizung und Raumkühlen je Klimastation</t>
  </si>
  <si>
    <t>Qhc</t>
  </si>
  <si>
    <t>prSIA 2024-C1:2024 *
(29 m3/h pro Person)</t>
  </si>
  <si>
    <t>SIA 2024:2015 vs
prSIA 2024-C1:2024 *</t>
  </si>
  <si>
    <r>
      <rPr>
        <b/>
        <sz val="10"/>
        <rFont val="Arial"/>
        <family val="2"/>
      </rPr>
      <t>Hinweis</t>
    </r>
    <r>
      <rPr>
        <sz val="10"/>
        <rFont val="Arial"/>
        <family val="2"/>
      </rPr>
      <t xml:space="preserve">: </t>
    </r>
    <r>
      <rPr>
        <sz val="10"/>
        <color rgb="FFFF0000"/>
        <rFont val="Arial"/>
        <family val="2"/>
      </rPr>
      <t>rot</t>
    </r>
    <r>
      <rPr>
        <sz val="10"/>
        <rFont val="Arial"/>
        <family val="2"/>
      </rPr>
      <t>/</t>
    </r>
    <r>
      <rPr>
        <sz val="10"/>
        <color rgb="FF0070C0"/>
        <rFont val="Arial"/>
        <family val="2"/>
      </rPr>
      <t>blaue</t>
    </r>
    <r>
      <rPr>
        <sz val="10"/>
        <rFont val="Arial"/>
        <family val="2"/>
      </rPr>
      <t xml:space="preserve"> Werte: sofern ein Klimakältebedarf besteht, wird mit den Werten für Qc, sonst mit den Werten für Qh gerechnet, bei Qh inkl. Ausnutzungsgrad für Wärmeeinträge</t>
    </r>
  </si>
  <si>
    <r>
      <rPr>
        <b/>
        <sz val="10"/>
        <color rgb="FFFF0000"/>
        <rFont val="Arial"/>
        <family val="2"/>
      </rPr>
      <t>Hinweis</t>
    </r>
    <r>
      <rPr>
        <sz val="10"/>
        <color theme="0"/>
        <rFont val="Arial"/>
        <family val="2"/>
      </rPr>
      <t>: Die Steuerung Klimastation ist hier nicht verknüft, die Klimastation wir von 'Eigene Nutzung' übernommen; das 'Datenblatt' rechnet immer mit Zürich-MeteoSchweiz</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</si>
</sst>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_);_(* \(#,##0.00\);_(* &quot;-&quot;??_);_(@_)"/>
    <numFmt numFmtId="165" formatCode="0.0"/>
    <numFmt numFmtId="166" formatCode="&quot;Höhe &quot;0.0&quot; m&quot;"/>
    <numFmt numFmtId="167" formatCode="&quot;  Nutzungsstunden&quot;\ 0.0&quot; h/d&quot;"/>
    <numFmt numFmtId="168" formatCode="&quot;≤ &quot;0"/>
    <numFmt numFmtId="169" formatCode="_-* #,##0.00\ [$€-1]_-;\-* #,##0.00\ [$€-1]_-;_-* &quot;-&quot;??\ [$€-1]_-"/>
    <numFmt numFmtId="170" formatCode="&quot;Volllaststunden&quot;\ 0.0&quot; h/d &quot;"/>
    <numFmt numFmtId="171" formatCode="_ * #,##0.0_ ;_ * \-#,##0.0_ ;_ * &quot;-&quot;??_ ;_ @_ "/>
    <numFmt numFmtId="172" formatCode="0.00000"/>
    <numFmt numFmtId="173" formatCode="0.000"/>
    <numFmt numFmtId="174" formatCode="&quot;Länge &quot;0&quot; m&quot;"/>
    <numFmt numFmtId="175" formatCode="&quot;Tiefe &quot;0&quot; m&quot;"/>
    <numFmt numFmtId="176" formatCode="_-* #,##0.00_-;\-* #,##0.00_-;_-* &quot;-&quot;??_-;_-@_-"/>
    <numFmt numFmtId="177" formatCode="#,##0.0"/>
    <numFmt numFmtId="178" formatCode="0.0000000000000"/>
    <numFmt numFmtId="179" formatCode="&quot;  Nutzungsstunden pro Tag&quot;\ 0.0&quot; h&quot;"/>
    <numFmt numFmtId="180" formatCode="&quot;Volllaststunden pro Tag&quot;\ 0.0&quot; h&quot;"/>
    <numFmt numFmtId="181" formatCode="&quot;Nutzungstage &quot;\ 0&quot; d&quot;"/>
    <numFmt numFmtId="182" formatCode="&quot;-&gt;   &quot;0&quot; W&quot;"/>
    <numFmt numFmtId="183" formatCode="&quot;-&gt;   &quot;0&quot; g/h&quot;"/>
    <numFmt numFmtId="184" formatCode="0.000000000"/>
    <numFmt numFmtId="185" formatCode="0.0&quot;°C&quot;"/>
    <numFmt numFmtId="186" formatCode="[&gt;=10]##.#;[&lt;10]#.#0;General"/>
    <numFmt numFmtId="187" formatCode="[&gt;=10]##.0;[&lt;10]#.00;General"/>
    <numFmt numFmtId="188" formatCode="[&gt;=10]##.0;[&lt;10]#.#0;General"/>
    <numFmt numFmtId="189" formatCode="###0;###0"/>
    <numFmt numFmtId="190" formatCode="0.0000"/>
    <numFmt numFmtId="191" formatCode="_(* #,##0_);_(* \(#,##0\);_(* &quot;-&quot;??_);_(@_)"/>
  </numFmts>
  <fonts count="13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4"/>
      <name val="Futura Light"/>
    </font>
    <font>
      <sz val="10"/>
      <name val="Arial"/>
      <family val="2"/>
    </font>
    <font>
      <sz val="11"/>
      <name val="Arial"/>
      <family val="2"/>
    </font>
    <font>
      <sz val="10"/>
      <name val="Futura Light"/>
    </font>
    <font>
      <b/>
      <sz val="12"/>
      <name val="Arial"/>
      <family val="2"/>
    </font>
    <font>
      <sz val="12"/>
      <name val="Futura Light"/>
    </font>
    <font>
      <b/>
      <sz val="10"/>
      <name val="Arial"/>
      <family val="2"/>
    </font>
    <font>
      <sz val="10"/>
      <color indexed="10"/>
      <name val="Arial"/>
      <family val="2"/>
    </font>
    <font>
      <sz val="10"/>
      <color indexed="17"/>
      <name val="Arial"/>
      <family val="2"/>
    </font>
    <font>
      <sz val="10"/>
      <color indexed="48"/>
      <name val="Arial"/>
      <family val="2"/>
    </font>
    <font>
      <sz val="8"/>
      <name val="Arial"/>
      <family val="2"/>
    </font>
    <font>
      <sz val="8"/>
      <color indexed="10"/>
      <name val="Arial"/>
      <family val="2"/>
    </font>
    <font>
      <i/>
      <sz val="10"/>
      <name val="Arial"/>
      <family val="2"/>
    </font>
    <font>
      <sz val="10"/>
      <color indexed="23"/>
      <name val="Arial"/>
      <family val="2"/>
    </font>
    <font>
      <sz val="11"/>
      <color indexed="63"/>
      <name val="Arial"/>
      <family val="2"/>
    </font>
    <font>
      <sz val="10"/>
      <color indexed="63"/>
      <name val="Arial"/>
      <family val="2"/>
    </font>
    <font>
      <i/>
      <vertAlign val="subscript"/>
      <sz val="10"/>
      <color indexed="63"/>
      <name val="Arial"/>
      <family val="2"/>
    </font>
    <font>
      <i/>
      <sz val="10"/>
      <color indexed="63"/>
      <name val="Arial"/>
      <family val="2"/>
    </font>
    <font>
      <vertAlign val="superscript"/>
      <sz val="10"/>
      <color indexed="63"/>
      <name val="Arial"/>
      <family val="2"/>
    </font>
    <font>
      <sz val="12"/>
      <color indexed="63"/>
      <name val="Arial"/>
      <family val="2"/>
    </font>
    <font>
      <sz val="8"/>
      <color indexed="63"/>
      <name val="Arial"/>
      <family val="2"/>
    </font>
    <font>
      <b/>
      <sz val="10"/>
      <color indexed="63"/>
      <name val="Arial"/>
      <family val="2"/>
    </font>
    <font>
      <b/>
      <sz val="12"/>
      <color indexed="9"/>
      <name val="Arial"/>
      <family val="2"/>
    </font>
    <font>
      <b/>
      <sz val="14"/>
      <color indexed="9"/>
      <name val="Arial"/>
      <family val="2"/>
    </font>
    <font>
      <b/>
      <sz val="16"/>
      <color indexed="9"/>
      <name val="Arial"/>
      <family val="2"/>
    </font>
    <font>
      <sz val="14"/>
      <color indexed="9"/>
      <name val="Arial"/>
      <family val="2"/>
    </font>
    <font>
      <sz val="10"/>
      <name val="Arial"/>
      <family val="2"/>
    </font>
    <font>
      <sz val="12"/>
      <name val="Arial"/>
      <family val="2"/>
    </font>
    <font>
      <sz val="10"/>
      <color indexed="22"/>
      <name val="Arial"/>
      <family val="2"/>
    </font>
    <font>
      <sz val="10"/>
      <color indexed="10"/>
      <name val="Arial"/>
      <family val="2"/>
    </font>
    <font>
      <i/>
      <sz val="14"/>
      <color indexed="9"/>
      <name val="Arial"/>
      <family val="2"/>
    </font>
    <font>
      <sz val="10"/>
      <color indexed="52"/>
      <name val="Arial"/>
      <family val="2"/>
    </font>
    <font>
      <sz val="6"/>
      <name val="Arial"/>
      <family val="2"/>
    </font>
    <font>
      <i/>
      <vertAlign val="subscript"/>
      <sz val="10"/>
      <name val="Arial"/>
      <family val="2"/>
    </font>
    <font>
      <vertAlign val="superscript"/>
      <sz val="10"/>
      <name val="Arial"/>
      <family val="2"/>
    </font>
    <font>
      <sz val="8"/>
      <color indexed="10"/>
      <name val="Futura Light"/>
    </font>
    <font>
      <sz val="14"/>
      <color indexed="10"/>
      <name val="Futura Light"/>
    </font>
    <font>
      <sz val="10"/>
      <color indexed="10"/>
      <name val="Futura Light"/>
    </font>
    <font>
      <sz val="12"/>
      <color indexed="10"/>
      <name val="Futura Light"/>
    </font>
    <font>
      <sz val="8"/>
      <color indexed="10"/>
      <name val="Arial"/>
      <family val="2"/>
    </font>
    <font>
      <sz val="6"/>
      <name val="Arial"/>
      <family val="2"/>
    </font>
    <font>
      <b/>
      <sz val="8"/>
      <name val="Arial"/>
      <family val="2"/>
    </font>
    <font>
      <sz val="8"/>
      <name val="Futura Light"/>
    </font>
    <font>
      <sz val="8"/>
      <name val="Arial"/>
      <family val="2"/>
    </font>
    <font>
      <strike/>
      <sz val="10"/>
      <name val="Arial"/>
      <family val="2"/>
    </font>
    <font>
      <sz val="10"/>
      <color indexed="9"/>
      <name val="Futura Light"/>
    </font>
    <font>
      <sz val="10"/>
      <color indexed="9"/>
      <name val="Arial"/>
      <family val="2"/>
    </font>
    <font>
      <sz val="10"/>
      <color indexed="23"/>
      <name val="Futura Light"/>
    </font>
    <font>
      <i/>
      <sz val="10"/>
      <color indexed="63"/>
      <name val="Symbol"/>
      <family val="1"/>
      <charset val="2"/>
    </font>
    <font>
      <i/>
      <sz val="11"/>
      <name val="Arial"/>
      <family val="2"/>
    </font>
    <font>
      <i/>
      <vertAlign val="subscript"/>
      <sz val="11"/>
      <name val="Arial"/>
      <family val="2"/>
    </font>
    <font>
      <i/>
      <sz val="10"/>
      <name val="Symbol"/>
      <family val="1"/>
      <charset val="2"/>
    </font>
    <font>
      <sz val="10"/>
      <name val="Symbol"/>
      <family val="1"/>
      <charset val="2"/>
    </font>
    <font>
      <sz val="10"/>
      <color indexed="63"/>
      <name val="Symbol"/>
      <family val="1"/>
      <charset val="2"/>
    </font>
    <font>
      <i/>
      <vertAlign val="subscript"/>
      <sz val="10"/>
      <color indexed="63"/>
      <name val="Symbol"/>
      <family val="1"/>
      <charset val="2"/>
    </font>
    <font>
      <i/>
      <vertAlign val="subscript"/>
      <sz val="10"/>
      <name val="Symbol"/>
      <family val="1"/>
      <charset val="2"/>
    </font>
    <font>
      <i/>
      <sz val="10"/>
      <color indexed="9"/>
      <name val="Arial"/>
      <family val="2"/>
    </font>
    <font>
      <vertAlign val="subscript"/>
      <sz val="10"/>
      <name val="Arial"/>
      <family val="2"/>
    </font>
    <font>
      <sz val="10"/>
      <color rgb="FF000000"/>
      <name val="Arial"/>
      <family val="2"/>
    </font>
    <font>
      <sz val="9"/>
      <name val="Arial"/>
      <family val="2"/>
    </font>
    <font>
      <sz val="9"/>
      <color indexed="81"/>
      <name val="Tahoma"/>
      <family val="2"/>
    </font>
    <font>
      <b/>
      <sz val="9"/>
      <color indexed="81"/>
      <name val="Tahoma"/>
      <family val="2"/>
    </font>
    <font>
      <sz val="10"/>
      <name val="Arial"/>
      <family val="2"/>
    </font>
    <font>
      <b/>
      <sz val="12"/>
      <color theme="0"/>
      <name val="Arial"/>
      <family val="2"/>
    </font>
    <font>
      <b/>
      <sz val="11"/>
      <color theme="1"/>
      <name val="Arial"/>
      <family val="2"/>
    </font>
    <font>
      <sz val="10"/>
      <color theme="2" tint="-0.249977111117893"/>
      <name val="Arial"/>
      <family val="2"/>
    </font>
    <font>
      <b/>
      <sz val="9"/>
      <name val="Arial"/>
      <family val="2"/>
    </font>
    <font>
      <b/>
      <sz val="14"/>
      <name val="Arial"/>
      <family val="2"/>
    </font>
    <font>
      <sz val="11"/>
      <color indexed="8"/>
      <name val="Calibri"/>
      <family val="2"/>
    </font>
    <font>
      <sz val="11"/>
      <color indexed="9"/>
      <name val="Calibri"/>
      <family val="2"/>
    </font>
    <font>
      <u/>
      <sz val="10"/>
      <color indexed="12"/>
      <name val="Arial"/>
      <family val="2"/>
    </font>
    <font>
      <sz val="10"/>
      <name val="Verdana"/>
      <family val="2"/>
    </font>
    <font>
      <sz val="36"/>
      <name val="Arial"/>
      <family val="2"/>
    </font>
    <font>
      <sz val="14"/>
      <name val="Arial"/>
      <family val="2"/>
    </font>
    <font>
      <sz val="10"/>
      <name val="Cambria"/>
      <family val="1"/>
      <scheme val="major"/>
    </font>
    <font>
      <sz val="10"/>
      <color theme="1"/>
      <name val="Arial"/>
      <family val="2"/>
    </font>
    <font>
      <b/>
      <sz val="10"/>
      <color theme="0"/>
      <name val="Arial"/>
      <family val="2"/>
    </font>
    <font>
      <sz val="10"/>
      <color theme="0"/>
      <name val="Arial"/>
      <family val="2"/>
    </font>
    <font>
      <b/>
      <sz val="10"/>
      <color theme="1"/>
      <name val="Arial"/>
      <family val="2"/>
    </font>
    <font>
      <sz val="10"/>
      <color rgb="FFFF0000"/>
      <name val="Arial"/>
      <family val="2"/>
    </font>
    <font>
      <sz val="11"/>
      <color rgb="FF000000"/>
      <name val="Arial"/>
      <family val="2"/>
    </font>
    <font>
      <b/>
      <sz val="10"/>
      <color rgb="FF000000"/>
      <name val="Arial"/>
      <family val="2"/>
    </font>
    <font>
      <b/>
      <sz val="14"/>
      <color theme="0" tint="-0.499984740745262"/>
      <name val="Arial"/>
      <family val="2"/>
    </font>
    <font>
      <b/>
      <sz val="14"/>
      <color theme="0" tint="-0.34998626667073579"/>
      <name val="Arial"/>
      <family val="2"/>
    </font>
    <font>
      <sz val="10"/>
      <color theme="0" tint="-0.34998626667073579"/>
      <name val="Arial"/>
      <family val="2"/>
    </font>
    <font>
      <b/>
      <sz val="10"/>
      <color theme="0" tint="-0.34998626667073579"/>
      <name val="Arial"/>
      <family val="2"/>
    </font>
    <font>
      <b/>
      <sz val="22"/>
      <color indexed="9"/>
      <name val="Arial"/>
      <family val="2"/>
    </font>
    <font>
      <b/>
      <sz val="11"/>
      <color theme="1"/>
      <name val="Calibri"/>
      <family val="2"/>
      <scheme val="minor"/>
    </font>
    <font>
      <sz val="11"/>
      <color theme="0"/>
      <name val="Calibri"/>
      <family val="2"/>
      <scheme val="minor"/>
    </font>
    <font>
      <u/>
      <sz val="11"/>
      <color theme="10"/>
      <name val="Calibri"/>
      <family val="2"/>
      <scheme val="minor"/>
    </font>
    <font>
      <i/>
      <sz val="11"/>
      <name val="Symbol"/>
      <family val="1"/>
      <charset val="2"/>
    </font>
    <font>
      <b/>
      <sz val="9"/>
      <color rgb="FFFF0000"/>
      <name val="Arial"/>
      <family val="2"/>
    </font>
    <font>
      <sz val="9"/>
      <color rgb="FFFF0000"/>
      <name val="Arial"/>
      <family val="2"/>
    </font>
    <font>
      <sz val="11"/>
      <color rgb="FF3F3F76"/>
      <name val="Calibri"/>
      <family val="2"/>
      <scheme val="minor"/>
    </font>
    <font>
      <sz val="9"/>
      <color theme="1"/>
      <name val="Arial"/>
      <family val="2"/>
    </font>
    <font>
      <vertAlign val="superscript"/>
      <sz val="9"/>
      <name val="Arial"/>
      <family val="2"/>
    </font>
    <font>
      <sz val="10"/>
      <color rgb="FF0070C0"/>
      <name val="Arial"/>
      <family val="2"/>
    </font>
    <font>
      <b/>
      <sz val="11"/>
      <color rgb="FFFF0000"/>
      <name val="Arial"/>
      <family val="2"/>
    </font>
    <font>
      <sz val="9"/>
      <color theme="0"/>
      <name val="Arial"/>
      <family val="2"/>
    </font>
    <font>
      <sz val="11"/>
      <color theme="0" tint="-0.34998626667073579"/>
      <name val="Arial"/>
      <family val="2"/>
    </font>
    <font>
      <i/>
      <sz val="10"/>
      <color theme="0" tint="-0.34998626667073579"/>
      <name val="Arial"/>
      <family val="2"/>
    </font>
    <font>
      <i/>
      <vertAlign val="subscript"/>
      <sz val="10"/>
      <color theme="0" tint="-0.34998626667073579"/>
      <name val="Arial"/>
      <family val="2"/>
    </font>
    <font>
      <vertAlign val="superscript"/>
      <sz val="10"/>
      <color theme="0" tint="-0.34998626667073579"/>
      <name val="Arial"/>
      <family val="2"/>
    </font>
    <font>
      <sz val="10"/>
      <color theme="0" tint="-0.249977111117893"/>
      <name val="Arial"/>
      <family val="2"/>
    </font>
    <font>
      <b/>
      <sz val="8"/>
      <color theme="0" tint="-0.249977111117893"/>
      <name val="Arial"/>
      <family val="2"/>
    </font>
    <font>
      <sz val="10"/>
      <color rgb="FFFF0000"/>
      <name val="Cambria"/>
      <family val="1"/>
      <scheme val="major"/>
    </font>
    <font>
      <b/>
      <sz val="10"/>
      <color rgb="FFFF0000"/>
      <name val="Arial"/>
      <family val="2"/>
    </font>
    <font>
      <sz val="9"/>
      <color indexed="81"/>
      <name val="Segoe UI"/>
      <family val="2"/>
    </font>
    <font>
      <b/>
      <sz val="9"/>
      <color indexed="81"/>
      <name val="Segoe UI"/>
      <family val="2"/>
    </font>
    <font>
      <b/>
      <sz val="12"/>
      <color rgb="FFFF0000"/>
      <name val="Arial"/>
      <family val="2"/>
    </font>
    <font>
      <b/>
      <sz val="11"/>
      <color theme="9"/>
      <name val="Arial"/>
      <family val="2"/>
    </font>
    <font>
      <b/>
      <sz val="10"/>
      <color theme="4"/>
      <name val="Arial"/>
      <family val="2"/>
    </font>
    <font>
      <i/>
      <vertAlign val="subscript"/>
      <sz val="10"/>
      <color rgb="FF333333"/>
      <name val="Arial"/>
      <family val="2"/>
    </font>
    <font>
      <sz val="10"/>
      <color theme="5"/>
      <name val="Arial"/>
      <family val="2"/>
    </font>
    <font>
      <vertAlign val="subscript"/>
      <sz val="10"/>
      <color theme="1"/>
      <name val="Arial"/>
      <family val="2"/>
    </font>
    <font>
      <sz val="10"/>
      <color theme="9"/>
      <name val="Arial"/>
      <family val="2"/>
    </font>
    <font>
      <sz val="9"/>
      <color theme="0" tint="-0.34998626667073579"/>
      <name val="Arial"/>
      <family val="2"/>
    </font>
    <font>
      <b/>
      <sz val="14"/>
      <color rgb="FFFF0000"/>
      <name val="Arial"/>
      <family val="2"/>
    </font>
    <font>
      <b/>
      <vertAlign val="subscript"/>
      <sz val="10"/>
      <name val="Arial"/>
      <family val="2"/>
    </font>
    <font>
      <sz val="10"/>
      <color theme="4"/>
      <name val="Arial"/>
      <family val="2"/>
    </font>
  </fonts>
  <fills count="5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55"/>
        <bgColor indexed="64"/>
      </patternFill>
    </fill>
    <fill>
      <patternFill patternType="solid">
        <fgColor indexed="9"/>
        <bgColor indexed="64"/>
      </patternFill>
    </fill>
    <fill>
      <patternFill patternType="solid">
        <fgColor indexed="23"/>
        <bgColor indexed="64"/>
      </patternFill>
    </fill>
    <fill>
      <patternFill patternType="solid">
        <fgColor indexed="2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theme="2" tint="0.59999389629810485"/>
        <bgColor indexed="64"/>
      </patternFill>
    </fill>
    <fill>
      <patternFill patternType="solid">
        <fgColor theme="2"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theme="6" tint="0.59999389629810485"/>
        <bgColor indexed="64"/>
      </patternFill>
    </fill>
    <fill>
      <patternFill patternType="solid">
        <fgColor theme="0" tint="-0.34998626667073579"/>
        <bgColor indexed="64"/>
      </patternFill>
    </fill>
    <fill>
      <patternFill patternType="solid">
        <fgColor theme="6"/>
        <bgColor indexed="64"/>
      </patternFill>
    </fill>
    <fill>
      <patternFill patternType="solid">
        <fgColor rgb="FFCCFFFF"/>
        <bgColor indexed="64"/>
      </patternFill>
    </fill>
    <fill>
      <patternFill patternType="solid">
        <fgColor theme="3" tint="0.59999389629810485"/>
        <bgColor indexed="64"/>
      </patternFill>
    </fill>
    <fill>
      <patternFill patternType="solid">
        <fgColor theme="4"/>
        <bgColor indexed="64"/>
      </patternFill>
    </fill>
    <fill>
      <patternFill patternType="solid">
        <fgColor theme="7"/>
        <bgColor indexed="64"/>
      </patternFill>
    </fill>
    <fill>
      <patternFill patternType="solid">
        <fgColor rgb="FFFFFF99"/>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FFCC99"/>
      </patternFill>
    </fill>
    <fill>
      <patternFill patternType="solid">
        <fgColor rgb="FFFFFFFF"/>
        <bgColor indexed="64"/>
      </patternFill>
    </fill>
    <fill>
      <patternFill patternType="solid">
        <fgColor rgb="FFFFFFFF"/>
        <bgColor rgb="FF000000"/>
      </patternFill>
    </fill>
    <fill>
      <patternFill patternType="solid">
        <fgColor rgb="FFFFFF00"/>
        <bgColor rgb="FF000000"/>
      </patternFill>
    </fill>
    <fill>
      <patternFill patternType="solid">
        <fgColor theme="0" tint="-4.9989318521683403E-2"/>
        <bgColor indexed="64"/>
      </patternFill>
    </fill>
    <fill>
      <patternFill patternType="solid">
        <fgColor rgb="FFFFC000"/>
        <bgColor indexed="64"/>
      </patternFill>
    </fill>
  </fills>
  <borders count="187">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22"/>
      </right>
      <top/>
      <bottom/>
      <diagonal/>
    </border>
    <border>
      <left/>
      <right/>
      <top style="thin">
        <color indexed="9"/>
      </top>
      <bottom style="thin">
        <color indexed="9"/>
      </bottom>
      <diagonal/>
    </border>
    <border>
      <left/>
      <right/>
      <top/>
      <bottom style="thin">
        <color indexed="9"/>
      </bottom>
      <diagonal/>
    </border>
    <border>
      <left style="thin">
        <color indexed="22"/>
      </left>
      <right style="thin">
        <color indexed="22"/>
      </right>
      <top style="thin">
        <color indexed="9"/>
      </top>
      <bottom/>
      <diagonal/>
    </border>
    <border>
      <left style="thin">
        <color indexed="22"/>
      </left>
      <right style="thin">
        <color indexed="22"/>
      </right>
      <top/>
      <bottom style="thin">
        <color indexed="9"/>
      </bottom>
      <diagonal/>
    </border>
    <border>
      <left/>
      <right style="thin">
        <color indexed="9"/>
      </right>
      <top/>
      <bottom/>
      <diagonal/>
    </border>
    <border>
      <left style="thin">
        <color indexed="9"/>
      </left>
      <right style="thin">
        <color indexed="9"/>
      </right>
      <top/>
      <bottom/>
      <diagonal/>
    </border>
    <border>
      <left style="thin">
        <color indexed="9"/>
      </left>
      <right style="thin">
        <color indexed="22"/>
      </right>
      <top/>
      <bottom/>
      <diagonal/>
    </border>
    <border>
      <left style="thin">
        <color indexed="9"/>
      </left>
      <right style="thin">
        <color indexed="22"/>
      </right>
      <top/>
      <bottom style="thin">
        <color indexed="9"/>
      </bottom>
      <diagonal/>
    </border>
    <border>
      <left/>
      <right/>
      <top style="thin">
        <color indexed="9"/>
      </top>
      <bottom/>
      <diagonal/>
    </border>
    <border>
      <left/>
      <right style="thin">
        <color indexed="22"/>
      </right>
      <top style="thin">
        <color indexed="9"/>
      </top>
      <bottom/>
      <diagonal/>
    </border>
    <border>
      <left/>
      <right style="thin">
        <color indexed="22"/>
      </right>
      <top/>
      <bottom style="thin">
        <color indexed="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22"/>
      </left>
      <right style="thin">
        <color indexed="22"/>
      </right>
      <top style="thin">
        <color indexed="9"/>
      </top>
      <bottom style="thin">
        <color indexed="9"/>
      </bottom>
      <diagonal/>
    </border>
    <border>
      <left style="thin">
        <color indexed="64"/>
      </left>
      <right style="thin">
        <color indexed="64"/>
      </right>
      <top style="thin">
        <color indexed="64"/>
      </top>
      <bottom style="thin">
        <color indexed="64"/>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top/>
      <bottom style="thin">
        <color indexed="22"/>
      </bottom>
      <diagonal/>
    </border>
    <border>
      <left/>
      <right/>
      <top/>
      <bottom style="thin">
        <color indexed="22"/>
      </bottom>
      <diagonal/>
    </border>
    <border>
      <left/>
      <right style="thin">
        <color indexed="64"/>
      </right>
      <top/>
      <bottom style="thin">
        <color indexed="22"/>
      </bottom>
      <diagonal/>
    </border>
    <border>
      <left style="thin">
        <color indexed="64"/>
      </left>
      <right style="thin">
        <color indexed="64"/>
      </right>
      <top/>
      <bottom style="thin">
        <color indexed="22"/>
      </bottom>
      <diagonal/>
    </border>
    <border>
      <left/>
      <right style="thin">
        <color indexed="22"/>
      </right>
      <top style="thin">
        <color indexed="22"/>
      </top>
      <bottom/>
      <diagonal/>
    </border>
    <border>
      <left/>
      <right style="thin">
        <color indexed="22"/>
      </right>
      <top style="thin">
        <color indexed="22"/>
      </top>
      <bottom style="thin">
        <color indexed="22"/>
      </bottom>
      <diagonal/>
    </border>
    <border>
      <left/>
      <right style="thin">
        <color indexed="22"/>
      </right>
      <top/>
      <bottom style="thin">
        <color indexed="64"/>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style="thin">
        <color indexed="22"/>
      </left>
      <right/>
      <top/>
      <bottom style="thin">
        <color indexed="64"/>
      </bottom>
      <diagonal/>
    </border>
    <border>
      <left style="thin">
        <color indexed="22"/>
      </left>
      <right/>
      <top style="thin">
        <color indexed="64"/>
      </top>
      <bottom/>
      <diagonal/>
    </border>
    <border>
      <left style="thin">
        <color indexed="22"/>
      </left>
      <right/>
      <top/>
      <bottom/>
      <diagonal/>
    </border>
    <border>
      <left style="thin">
        <color indexed="22"/>
      </left>
      <right/>
      <top style="thin">
        <color indexed="64"/>
      </top>
      <bottom style="thin">
        <color indexed="64"/>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bottom style="thin">
        <color indexed="64"/>
      </bottom>
      <diagonal/>
    </border>
    <border>
      <left style="thin">
        <color indexed="64"/>
      </left>
      <right style="thin">
        <color indexed="22"/>
      </right>
      <top style="thin">
        <color indexed="64"/>
      </top>
      <bottom/>
      <diagonal/>
    </border>
    <border>
      <left style="thin">
        <color indexed="64"/>
      </left>
      <right style="thin">
        <color indexed="22"/>
      </right>
      <top/>
      <bottom/>
      <diagonal/>
    </border>
    <border>
      <left/>
      <right/>
      <top style="thin">
        <color indexed="22"/>
      </top>
      <bottom/>
      <diagonal/>
    </border>
    <border>
      <left/>
      <right style="thin">
        <color indexed="22"/>
      </right>
      <top style="thin">
        <color indexed="64"/>
      </top>
      <bottom/>
      <diagonal/>
    </border>
    <border>
      <left/>
      <right style="thin">
        <color indexed="22"/>
      </right>
      <top style="thin">
        <color indexed="64"/>
      </top>
      <bottom style="thin">
        <color indexed="64"/>
      </bottom>
      <diagonal/>
    </border>
    <border>
      <left/>
      <right style="thin">
        <color indexed="22"/>
      </right>
      <top style="thin">
        <color indexed="9"/>
      </top>
      <bottom style="thin">
        <color indexed="9"/>
      </bottom>
      <diagonal/>
    </border>
    <border>
      <left style="thin">
        <color indexed="9"/>
      </left>
      <right/>
      <top/>
      <bottom/>
      <diagonal/>
    </border>
    <border>
      <left style="thin">
        <color indexed="64"/>
      </left>
      <right/>
      <top style="thin">
        <color indexed="64"/>
      </top>
      <bottom style="thin">
        <color indexed="22"/>
      </bottom>
      <diagonal/>
    </border>
    <border>
      <left/>
      <right/>
      <top style="thin">
        <color indexed="64"/>
      </top>
      <bottom style="thin">
        <color indexed="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top style="thin">
        <color indexed="22"/>
      </top>
      <bottom/>
      <diagonal/>
    </border>
    <border>
      <left style="thin">
        <color indexed="64"/>
      </left>
      <right style="thin">
        <color indexed="22"/>
      </right>
      <top style="thin">
        <color indexed="9"/>
      </top>
      <bottom style="thin">
        <color indexed="64"/>
      </bottom>
      <diagonal/>
    </border>
    <border>
      <left style="thin">
        <color indexed="64"/>
      </left>
      <right/>
      <top style="thin">
        <color indexed="22"/>
      </top>
      <bottom style="thin">
        <color indexed="64"/>
      </bottom>
      <diagonal/>
    </border>
    <border>
      <left/>
      <right/>
      <top style="thin">
        <color indexed="22"/>
      </top>
      <bottom style="thin">
        <color indexed="64"/>
      </bottom>
      <diagonal/>
    </border>
    <border>
      <left/>
      <right style="thin">
        <color indexed="64"/>
      </right>
      <top style="thin">
        <color indexed="22"/>
      </top>
      <bottom/>
      <diagonal/>
    </border>
    <border>
      <left/>
      <right style="thin">
        <color indexed="22"/>
      </right>
      <top/>
      <bottom style="thin">
        <color indexed="22"/>
      </bottom>
      <diagonal/>
    </border>
    <border>
      <left/>
      <right style="thin">
        <color theme="0" tint="-0.24994659260841701"/>
      </right>
      <top/>
      <bottom/>
      <diagonal/>
    </border>
    <border>
      <left style="thin">
        <color theme="0" tint="-0.24994659260841701"/>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diagonal/>
    </border>
    <border>
      <left style="double">
        <color indexed="64"/>
      </left>
      <right style="medium">
        <color indexed="64"/>
      </right>
      <top style="thin">
        <color indexed="64"/>
      </top>
      <bottom/>
      <diagonal/>
    </border>
    <border>
      <left style="double">
        <color indexed="64"/>
      </left>
      <right style="thin">
        <color indexed="64"/>
      </right>
      <top style="thin">
        <color indexed="64"/>
      </top>
      <bottom/>
      <diagonal/>
    </border>
    <border>
      <left style="double">
        <color indexed="64"/>
      </left>
      <right style="medium">
        <color indexed="64"/>
      </right>
      <top/>
      <bottom/>
      <diagonal/>
    </border>
    <border>
      <left style="double">
        <color indexed="64"/>
      </left>
      <right style="thin">
        <color indexed="64"/>
      </right>
      <top/>
      <bottom/>
      <diagonal/>
    </border>
    <border>
      <left style="double">
        <color indexed="64"/>
      </left>
      <right/>
      <top/>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top/>
      <bottom style="thin">
        <color indexed="64"/>
      </bottom>
      <diagonal/>
    </border>
    <border>
      <left style="medium">
        <color indexed="64"/>
      </left>
      <right style="thin">
        <color indexed="64"/>
      </right>
      <top/>
      <bottom/>
      <diagonal/>
    </border>
    <border>
      <left/>
      <right style="thin">
        <color indexed="64"/>
      </right>
      <top style="thin">
        <color indexed="22"/>
      </top>
      <bottom style="thin">
        <color indexed="64"/>
      </bottom>
      <diagonal/>
    </border>
    <border>
      <left/>
      <right/>
      <top style="thin">
        <color indexed="22"/>
      </top>
      <bottom style="thin">
        <color theme="0" tint="-0.24994659260841701"/>
      </bottom>
      <diagonal/>
    </border>
    <border>
      <left/>
      <right style="thin">
        <color indexed="64"/>
      </right>
      <top style="thin">
        <color indexed="22"/>
      </top>
      <bottom style="thin">
        <color theme="0" tint="-0.24994659260841701"/>
      </bottom>
      <diagonal/>
    </border>
    <border>
      <left style="thin">
        <color indexed="22"/>
      </left>
      <right style="thin">
        <color theme="0" tint="-0.24994659260841701"/>
      </right>
      <top/>
      <bottom/>
      <diagonal/>
    </border>
    <border>
      <left style="thin">
        <color theme="0" tint="-0.24994659260841701"/>
      </left>
      <right style="thin">
        <color indexed="22"/>
      </right>
      <top/>
      <bottom/>
      <diagonal/>
    </border>
    <border>
      <left style="thin">
        <color theme="0" tint="-0.24994659260841701"/>
      </left>
      <right/>
      <top/>
      <bottom/>
      <diagonal/>
    </border>
    <border>
      <left style="thin">
        <color indexed="22"/>
      </left>
      <right style="thin">
        <color theme="0" tint="-0.24994659260841701"/>
      </right>
      <top style="thin">
        <color indexed="9"/>
      </top>
      <bottom style="thin">
        <color indexed="9"/>
      </bottom>
      <diagonal/>
    </border>
    <border>
      <left style="thin">
        <color theme="0" tint="-0.24994659260841701"/>
      </left>
      <right style="thin">
        <color indexed="22"/>
      </right>
      <top style="thin">
        <color indexed="9"/>
      </top>
      <bottom style="thin">
        <color indexed="9"/>
      </bottom>
      <diagonal/>
    </border>
    <border>
      <left/>
      <right style="thin">
        <color theme="0" tint="-0.24994659260841701"/>
      </right>
      <top/>
      <bottom style="thin">
        <color indexed="9"/>
      </bottom>
      <diagonal/>
    </border>
    <border>
      <left style="thin">
        <color theme="0" tint="-0.24994659260841701"/>
      </left>
      <right/>
      <top/>
      <bottom style="thin">
        <color indexed="9"/>
      </bottom>
      <diagonal/>
    </border>
    <border>
      <left/>
      <right style="thin">
        <color indexed="64"/>
      </right>
      <top style="thin">
        <color indexed="64"/>
      </top>
      <bottom style="thin">
        <color indexed="22"/>
      </bottom>
      <diagonal/>
    </border>
    <border>
      <left style="thin">
        <color rgb="FFC0C0C0"/>
      </left>
      <right/>
      <top/>
      <bottom/>
      <diagonal/>
    </border>
    <border>
      <left style="thick">
        <color theme="0"/>
      </left>
      <right style="thick">
        <color theme="0"/>
      </right>
      <top style="thin">
        <color auto="1"/>
      </top>
      <bottom style="thin">
        <color auto="1"/>
      </bottom>
      <diagonal/>
    </border>
    <border>
      <left style="thick">
        <color theme="0"/>
      </left>
      <right/>
      <top style="thin">
        <color auto="1"/>
      </top>
      <bottom style="thin">
        <color auto="1"/>
      </bottom>
      <diagonal/>
    </border>
    <border>
      <left/>
      <right style="thick">
        <color theme="0"/>
      </right>
      <top style="thin">
        <color auto="1"/>
      </top>
      <bottom style="thin">
        <color auto="1"/>
      </bottom>
      <diagonal/>
    </border>
    <border>
      <left style="thin">
        <color indexed="64"/>
      </left>
      <right style="thin">
        <color indexed="22"/>
      </right>
      <top/>
      <bottom style="thin">
        <color indexed="22"/>
      </bottom>
      <diagonal/>
    </border>
    <border>
      <left/>
      <right/>
      <top style="thin">
        <color indexed="64"/>
      </top>
      <bottom/>
      <diagonal/>
    </border>
    <border>
      <left style="thin">
        <color indexed="22"/>
      </left>
      <right/>
      <top style="thin">
        <color indexed="64"/>
      </top>
      <bottom/>
      <diagonal/>
    </border>
    <border>
      <left/>
      <right style="thin">
        <color indexed="22"/>
      </right>
      <top style="thin">
        <color indexed="64"/>
      </top>
      <bottom/>
      <diagonal/>
    </border>
    <border>
      <left/>
      <right/>
      <top style="thin">
        <color indexed="22"/>
      </top>
      <bottom style="thin">
        <color indexed="22"/>
      </bottom>
      <diagonal/>
    </border>
    <border>
      <left/>
      <right/>
      <top style="thin">
        <color indexed="2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9"/>
      </top>
      <bottom/>
      <diagonal/>
    </border>
    <border>
      <left/>
      <right/>
      <top style="thin">
        <color indexed="9"/>
      </top>
      <bottom/>
      <diagonal/>
    </border>
    <border>
      <left style="thin">
        <color indexed="64"/>
      </left>
      <right/>
      <top style="thin">
        <color indexed="22"/>
      </top>
      <bottom style="thin">
        <color indexed="64"/>
      </bottom>
      <diagonal/>
    </border>
    <border>
      <left/>
      <right/>
      <top style="thin">
        <color indexed="22"/>
      </top>
      <bottom style="thin">
        <color indexed="64"/>
      </bottom>
      <diagonal/>
    </border>
    <border>
      <left style="thin">
        <color indexed="64"/>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right style="thin">
        <color theme="0" tint="-0.499984740745262"/>
      </right>
      <top/>
      <bottom/>
      <diagonal/>
    </border>
    <border>
      <left/>
      <right style="thin">
        <color indexed="22"/>
      </right>
      <top style="thin">
        <color indexed="9"/>
      </top>
      <bottom/>
      <diagonal/>
    </border>
    <border>
      <left/>
      <right/>
      <top style="thin">
        <color indexed="9"/>
      </top>
      <bottom style="thin">
        <color indexed="9"/>
      </bottom>
      <diagonal/>
    </border>
    <border>
      <left/>
      <right style="thin">
        <color indexed="22"/>
      </right>
      <top style="thin">
        <color indexed="9"/>
      </top>
      <bottom style="thin">
        <color indexed="9"/>
      </bottom>
      <diagonal/>
    </border>
    <border>
      <left style="thin">
        <color indexed="22"/>
      </left>
      <right style="thin">
        <color theme="0" tint="-0.499984740745262"/>
      </right>
      <top/>
      <bottom/>
      <diagonal/>
    </border>
    <border>
      <left/>
      <right style="thin">
        <color theme="0" tint="-0.499984740745262"/>
      </right>
      <top style="thin">
        <color indexed="9"/>
      </top>
      <bottom style="thin">
        <color indexed="9"/>
      </bottom>
      <diagonal/>
    </border>
    <border>
      <left style="thin">
        <color indexed="9"/>
      </left>
      <right style="thin">
        <color theme="0" tint="-0.499984740745262"/>
      </right>
      <top/>
      <bottom/>
      <diagonal/>
    </border>
    <border>
      <left style="thin">
        <color indexed="9"/>
      </left>
      <right style="thin">
        <color theme="0" tint="-0.499984740745262"/>
      </right>
      <top/>
      <bottom style="thin">
        <color indexed="9"/>
      </bottom>
      <diagonal/>
    </border>
    <border>
      <left style="thin">
        <color indexed="22"/>
      </left>
      <right style="thin">
        <color theme="0" tint="-0.499984740745262"/>
      </right>
      <top style="thin">
        <color indexed="9"/>
      </top>
      <bottom style="thin">
        <color indexed="9"/>
      </bottom>
      <diagonal/>
    </border>
    <border>
      <left/>
      <right style="thin">
        <color theme="0" tint="-0.499984740745262"/>
      </right>
      <top/>
      <bottom style="thin">
        <color indexed="9"/>
      </bottom>
      <diagonal/>
    </border>
    <border>
      <left style="thin">
        <color indexed="22"/>
      </left>
      <right style="thin">
        <color theme="0" tint="-0.499984740745262"/>
      </right>
      <top style="thin">
        <color indexed="9"/>
      </top>
      <bottom/>
      <diagonal/>
    </border>
    <border>
      <left style="thin">
        <color indexed="22"/>
      </left>
      <right style="thin">
        <color theme="0" tint="-0.499984740745262"/>
      </right>
      <top/>
      <bottom style="thin">
        <color indexed="9"/>
      </bottom>
      <diagonal/>
    </border>
    <border>
      <left/>
      <right/>
      <top style="thin">
        <color indexed="64"/>
      </top>
      <bottom style="thin">
        <color indexed="64"/>
      </bottom>
      <diagonal/>
    </border>
    <border>
      <left/>
      <right/>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64"/>
      </right>
      <top/>
      <bottom style="thin">
        <color indexed="9"/>
      </bottom>
      <diagonal/>
    </border>
    <border>
      <left/>
      <right style="thin">
        <color indexed="64"/>
      </right>
      <top/>
      <bottom/>
      <diagonal/>
    </border>
    <border>
      <left style="thin">
        <color auto="1"/>
      </left>
      <right/>
      <top/>
      <bottom style="thin">
        <color indexed="64"/>
      </bottom>
      <diagonal/>
    </border>
  </borders>
  <cellStyleXfs count="41">
    <xf numFmtId="0" fontId="0" fillId="0" borderId="0"/>
    <xf numFmtId="169" fontId="13" fillId="0" borderId="0" applyFont="0" applyFill="0" applyBorder="0" applyAlignment="0" applyProtection="0"/>
    <xf numFmtId="164" fontId="13" fillId="0" borderId="0" applyFont="0" applyFill="0" applyBorder="0" applyAlignment="0" applyProtection="0"/>
    <xf numFmtId="0" fontId="13" fillId="0" borderId="0"/>
    <xf numFmtId="0" fontId="12" fillId="0" borderId="0"/>
    <xf numFmtId="9" fontId="76" fillId="0" borderId="0" applyFont="0" applyFill="0" applyBorder="0" applyAlignment="0" applyProtection="0"/>
    <xf numFmtId="0" fontId="11" fillId="0" borderId="0"/>
    <xf numFmtId="9" fontId="13" fillId="0" borderId="0" applyFont="0" applyFill="0" applyBorder="0" applyAlignment="0" applyProtection="0"/>
    <xf numFmtId="0" fontId="82" fillId="22" borderId="0" applyNumberFormat="0" applyBorder="0" applyAlignment="0" applyProtection="0"/>
    <xf numFmtId="0" fontId="82" fillId="23" borderId="0" applyNumberFormat="0" applyBorder="0" applyAlignment="0" applyProtection="0"/>
    <xf numFmtId="0" fontId="82" fillId="24" borderId="0" applyNumberFormat="0" applyBorder="0" applyAlignment="0" applyProtection="0"/>
    <xf numFmtId="0" fontId="82" fillId="25" borderId="0" applyNumberFormat="0" applyBorder="0" applyAlignment="0" applyProtection="0"/>
    <xf numFmtId="0" fontId="82" fillId="26" borderId="0" applyNumberFormat="0" applyBorder="0" applyAlignment="0" applyProtection="0"/>
    <xf numFmtId="0" fontId="82" fillId="27" borderId="0" applyNumberFormat="0" applyBorder="0" applyAlignment="0" applyProtection="0"/>
    <xf numFmtId="0" fontId="82" fillId="28" borderId="0" applyNumberFormat="0" applyBorder="0" applyAlignment="0" applyProtection="0"/>
    <xf numFmtId="0" fontId="82" fillId="29" borderId="0" applyNumberFormat="0" applyBorder="0" applyAlignment="0" applyProtection="0"/>
    <xf numFmtId="0" fontId="82" fillId="30" borderId="0" applyNumberFormat="0" applyBorder="0" applyAlignment="0" applyProtection="0"/>
    <xf numFmtId="0" fontId="82" fillId="25" borderId="0" applyNumberFormat="0" applyBorder="0" applyAlignment="0" applyProtection="0"/>
    <xf numFmtId="0" fontId="82" fillId="28" borderId="0" applyNumberFormat="0" applyBorder="0" applyAlignment="0" applyProtection="0"/>
    <xf numFmtId="0" fontId="82" fillId="31" borderId="0" applyNumberFormat="0" applyBorder="0" applyAlignment="0" applyProtection="0"/>
    <xf numFmtId="0" fontId="83" fillId="32" borderId="0" applyNumberFormat="0" applyBorder="0" applyAlignment="0" applyProtection="0"/>
    <xf numFmtId="0" fontId="83" fillId="29" borderId="0" applyNumberFormat="0" applyBorder="0" applyAlignment="0" applyProtection="0"/>
    <xf numFmtId="0" fontId="83" fillId="30" borderId="0" applyNumberFormat="0" applyBorder="0" applyAlignment="0" applyProtection="0"/>
    <xf numFmtId="0" fontId="83" fillId="33" borderId="0" applyNumberFormat="0" applyBorder="0" applyAlignment="0" applyProtection="0"/>
    <xf numFmtId="0" fontId="83" fillId="34" borderId="0" applyNumberFormat="0" applyBorder="0" applyAlignment="0" applyProtection="0"/>
    <xf numFmtId="0" fontId="83" fillId="35" borderId="0" applyNumberFormat="0" applyBorder="0" applyAlignment="0" applyProtection="0"/>
    <xf numFmtId="0" fontId="84" fillId="0" borderId="0" applyNumberFormat="0" applyFill="0" applyBorder="0" applyAlignment="0" applyProtection="0">
      <alignment vertical="top"/>
      <protection locked="0"/>
    </xf>
    <xf numFmtId="164" fontId="13" fillId="0" borderId="0" applyFont="0" applyFill="0" applyBorder="0" applyAlignment="0" applyProtection="0"/>
    <xf numFmtId="176" fontId="85" fillId="0" borderId="0" applyFont="0" applyFill="0" applyBorder="0" applyAlignment="0" applyProtection="0"/>
    <xf numFmtId="0" fontId="13" fillId="36" borderId="1" applyNumberFormat="0" applyFont="0" applyAlignment="0" applyProtection="0"/>
    <xf numFmtId="9" fontId="85" fillId="0" borderId="0" applyFont="0" applyFill="0" applyBorder="0" applyAlignment="0" applyProtection="0"/>
    <xf numFmtId="0" fontId="10" fillId="0" borderId="0"/>
    <xf numFmtId="0" fontId="9" fillId="0" borderId="0"/>
    <xf numFmtId="0" fontId="8" fillId="0" borderId="0"/>
    <xf numFmtId="0" fontId="7" fillId="0" borderId="0"/>
    <xf numFmtId="0" fontId="13" fillId="0" borderId="0"/>
    <xf numFmtId="0" fontId="6" fillId="0" borderId="0"/>
    <xf numFmtId="0" fontId="103" fillId="0" borderId="0" applyNumberFormat="0" applyFill="0" applyBorder="0" applyAlignment="0" applyProtection="0"/>
    <xf numFmtId="0" fontId="5" fillId="0" borderId="0"/>
    <xf numFmtId="0" fontId="4" fillId="0" borderId="0"/>
    <xf numFmtId="0" fontId="107" fillId="47" borderId="80" applyNumberFormat="0" applyAlignment="0" applyProtection="0"/>
  </cellStyleXfs>
  <cellXfs count="2004">
    <xf numFmtId="0" fontId="0" fillId="0" borderId="0" xfId="0"/>
    <xf numFmtId="0" fontId="15" fillId="0" borderId="0" xfId="0" applyFont="1"/>
    <xf numFmtId="0" fontId="19" fillId="0" borderId="0" xfId="0" applyFont="1"/>
    <xf numFmtId="0" fontId="16" fillId="0" borderId="0" xfId="0" applyFont="1"/>
    <xf numFmtId="0" fontId="24" fillId="0" borderId="0" xfId="0" applyFont="1" applyAlignment="1">
      <alignment horizontal="left"/>
    </xf>
    <xf numFmtId="0" fontId="17" fillId="0" borderId="0" xfId="0" applyFont="1"/>
    <xf numFmtId="165" fontId="16" fillId="0" borderId="0" xfId="0" applyNumberFormat="1" applyFont="1"/>
    <xf numFmtId="0" fontId="15"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165" fontId="29" fillId="0" borderId="0" xfId="0" applyNumberFormat="1" applyFont="1" applyAlignment="1">
      <alignment vertical="center"/>
    </xf>
    <xf numFmtId="0" fontId="19" fillId="0" borderId="0" xfId="0" applyFont="1" applyAlignment="1">
      <alignment vertical="center"/>
    </xf>
    <xf numFmtId="0" fontId="23" fillId="0" borderId="0" xfId="0" applyFont="1" applyAlignment="1">
      <alignment vertical="center"/>
    </xf>
    <xf numFmtId="0" fontId="29" fillId="0" borderId="0" xfId="0" applyFont="1" applyAlignment="1">
      <alignment vertical="center"/>
    </xf>
    <xf numFmtId="0" fontId="13" fillId="0" borderId="0" xfId="0" applyFont="1" applyAlignment="1">
      <alignment vertical="center"/>
    </xf>
    <xf numFmtId="0" fontId="14" fillId="0" borderId="0" xfId="0" applyFont="1" applyAlignment="1">
      <alignment vertical="center"/>
    </xf>
    <xf numFmtId="165" fontId="15" fillId="2" borderId="2" xfId="0" applyNumberFormat="1" applyFont="1" applyFill="1" applyBorder="1" applyAlignment="1">
      <alignment horizontal="right" vertical="center"/>
    </xf>
    <xf numFmtId="0" fontId="29" fillId="2" borderId="0" xfId="0" applyFont="1" applyFill="1" applyAlignment="1">
      <alignment vertical="center"/>
    </xf>
    <xf numFmtId="165" fontId="31" fillId="2" borderId="2" xfId="0" applyNumberFormat="1" applyFont="1" applyFill="1" applyBorder="1" applyAlignment="1">
      <alignment vertical="center"/>
    </xf>
    <xf numFmtId="165" fontId="29" fillId="2" borderId="2" xfId="0" applyNumberFormat="1" applyFont="1" applyFill="1" applyBorder="1" applyAlignment="1">
      <alignment horizontal="right" vertical="center"/>
    </xf>
    <xf numFmtId="1" fontId="29" fillId="2" borderId="2" xfId="0" applyNumberFormat="1" applyFont="1" applyFill="1" applyBorder="1" applyAlignment="1">
      <alignment horizontal="right" vertical="center"/>
    </xf>
    <xf numFmtId="0" fontId="15" fillId="2" borderId="0" xfId="0" applyFont="1" applyFill="1" applyAlignment="1">
      <alignment vertical="center"/>
    </xf>
    <xf numFmtId="165" fontId="26" fillId="2" borderId="2" xfId="0" applyNumberFormat="1" applyFont="1" applyFill="1" applyBorder="1" applyAlignment="1">
      <alignment vertical="center"/>
    </xf>
    <xf numFmtId="0" fontId="33" fillId="2" borderId="0" xfId="0" applyFont="1" applyFill="1" applyAlignment="1">
      <alignment vertical="center"/>
    </xf>
    <xf numFmtId="165" fontId="29" fillId="2" borderId="2" xfId="0" applyNumberFormat="1" applyFont="1" applyFill="1" applyBorder="1" applyAlignment="1">
      <alignment vertical="center"/>
    </xf>
    <xf numFmtId="0" fontId="15" fillId="0" borderId="0" xfId="0" applyFont="1" applyAlignment="1">
      <alignment horizontal="center"/>
    </xf>
    <xf numFmtId="0" fontId="18" fillId="4" borderId="0" xfId="0" applyFont="1" applyFill="1" applyAlignment="1">
      <alignment horizontal="left"/>
    </xf>
    <xf numFmtId="165" fontId="15" fillId="0" borderId="0" xfId="0" applyNumberFormat="1" applyFont="1" applyAlignment="1">
      <alignment horizontal="center"/>
    </xf>
    <xf numFmtId="0" fontId="20" fillId="0" borderId="0" xfId="0" applyFont="1"/>
    <xf numFmtId="0" fontId="0" fillId="0" borderId="0" xfId="0" applyAlignment="1">
      <alignment horizontal="center"/>
    </xf>
    <xf numFmtId="0" fontId="22" fillId="0" borderId="0" xfId="0" applyFont="1" applyAlignment="1">
      <alignment vertical="center"/>
    </xf>
    <xf numFmtId="0" fontId="0" fillId="0" borderId="7" xfId="0" applyBorder="1"/>
    <xf numFmtId="0" fontId="20" fillId="0" borderId="4" xfId="0" applyFont="1" applyBorder="1"/>
    <xf numFmtId="0" fontId="20" fillId="0" borderId="3" xfId="0" applyFont="1" applyBorder="1" applyAlignment="1">
      <alignment vertical="top"/>
    </xf>
    <xf numFmtId="0" fontId="20" fillId="0" borderId="3" xfId="0" applyFont="1" applyBorder="1"/>
    <xf numFmtId="0" fontId="17" fillId="2" borderId="0" xfId="0" applyFont="1" applyFill="1" applyAlignment="1">
      <alignment vertical="center"/>
    </xf>
    <xf numFmtId="165" fontId="15" fillId="0" borderId="0" xfId="0" applyNumberFormat="1" applyFont="1"/>
    <xf numFmtId="0" fontId="15" fillId="2" borderId="0" xfId="0" applyFont="1" applyFill="1" applyAlignment="1">
      <alignment horizontal="left"/>
    </xf>
    <xf numFmtId="0" fontId="46" fillId="0" borderId="0" xfId="0" applyFont="1" applyAlignment="1">
      <alignment horizontal="right"/>
    </xf>
    <xf numFmtId="165" fontId="15" fillId="0" borderId="0" xfId="0" applyNumberFormat="1" applyFont="1" applyAlignment="1">
      <alignment horizontal="right"/>
    </xf>
    <xf numFmtId="0" fontId="21" fillId="0" borderId="0" xfId="0" applyFont="1" applyAlignment="1">
      <alignment vertical="center"/>
    </xf>
    <xf numFmtId="165" fontId="25" fillId="0" borderId="0" xfId="0" applyNumberFormat="1" applyFont="1" applyAlignment="1">
      <alignment vertical="center"/>
    </xf>
    <xf numFmtId="165" fontId="49" fillId="0" borderId="0" xfId="0" applyNumberFormat="1" applyFont="1" applyAlignment="1">
      <alignment vertical="center"/>
    </xf>
    <xf numFmtId="2" fontId="49" fillId="0" borderId="0" xfId="0" applyNumberFormat="1" applyFont="1" applyAlignment="1">
      <alignment vertical="center"/>
    </xf>
    <xf numFmtId="0" fontId="50" fillId="0" borderId="0" xfId="0" applyFont="1" applyAlignment="1">
      <alignment vertical="center"/>
    </xf>
    <xf numFmtId="165" fontId="21" fillId="0" borderId="0" xfId="0" applyNumberFormat="1" applyFont="1" applyAlignment="1">
      <alignment vertical="center"/>
    </xf>
    <xf numFmtId="0" fontId="51" fillId="0" borderId="0" xfId="0" applyFont="1" applyAlignment="1">
      <alignment vertical="center"/>
    </xf>
    <xf numFmtId="0" fontId="52" fillId="0" borderId="0" xfId="0" applyFont="1" applyAlignment="1">
      <alignment vertical="center"/>
    </xf>
    <xf numFmtId="165" fontId="53" fillId="0" borderId="0" xfId="0" applyNumberFormat="1" applyFont="1" applyAlignment="1">
      <alignment vertical="center"/>
    </xf>
    <xf numFmtId="2" fontId="53" fillId="0" borderId="0" xfId="0" applyNumberFormat="1" applyFont="1" applyAlignment="1">
      <alignment vertical="center"/>
    </xf>
    <xf numFmtId="0" fontId="43" fillId="0" borderId="0" xfId="0" applyFont="1" applyAlignment="1">
      <alignment vertical="center"/>
    </xf>
    <xf numFmtId="2" fontId="25" fillId="0" borderId="0" xfId="0" applyNumberFormat="1" applyFont="1" applyAlignment="1">
      <alignment vertical="center"/>
    </xf>
    <xf numFmtId="2" fontId="21" fillId="0" borderId="0" xfId="0" applyNumberFormat="1" applyFont="1" applyAlignment="1">
      <alignment vertical="center"/>
    </xf>
    <xf numFmtId="0" fontId="51" fillId="0" borderId="0" xfId="0" applyFont="1"/>
    <xf numFmtId="165" fontId="49" fillId="0" borderId="0" xfId="0" applyNumberFormat="1" applyFont="1"/>
    <xf numFmtId="2" fontId="49" fillId="0" borderId="0" xfId="0" applyNumberFormat="1" applyFont="1"/>
    <xf numFmtId="0" fontId="52" fillId="0" borderId="0" xfId="0" applyFont="1"/>
    <xf numFmtId="165" fontId="53" fillId="0" borderId="0" xfId="0" applyNumberFormat="1" applyFont="1"/>
    <xf numFmtId="2" fontId="53" fillId="0" borderId="0" xfId="0" applyNumberFormat="1" applyFont="1"/>
    <xf numFmtId="0" fontId="43" fillId="0" borderId="0" xfId="0" applyFont="1"/>
    <xf numFmtId="0" fontId="15" fillId="0" borderId="0" xfId="0" applyFont="1" applyAlignment="1">
      <alignment horizontal="left"/>
    </xf>
    <xf numFmtId="165" fontId="15" fillId="0" borderId="0" xfId="0" applyNumberFormat="1" applyFont="1" applyAlignment="1">
      <alignment horizontal="left"/>
    </xf>
    <xf numFmtId="0" fontId="35" fillId="0" borderId="0" xfId="0" applyFont="1" applyAlignment="1">
      <alignment horizontal="center" vertical="center" textRotation="90"/>
    </xf>
    <xf numFmtId="0" fontId="15" fillId="0" borderId="0" xfId="0" applyFont="1" applyAlignment="1">
      <alignment horizontal="center" vertical="center"/>
    </xf>
    <xf numFmtId="165" fontId="15" fillId="0" borderId="0" xfId="0" applyNumberFormat="1" applyFont="1" applyAlignment="1">
      <alignment horizontal="center" vertical="center"/>
    </xf>
    <xf numFmtId="165" fontId="15" fillId="0" borderId="0" xfId="0" applyNumberFormat="1" applyFont="1" applyAlignment="1">
      <alignment vertical="center"/>
    </xf>
    <xf numFmtId="165" fontId="24" fillId="0" borderId="0" xfId="0" applyNumberFormat="1" applyFont="1" applyAlignment="1">
      <alignment vertical="center"/>
    </xf>
    <xf numFmtId="1" fontId="15" fillId="0" borderId="0" xfId="0" applyNumberFormat="1" applyFont="1" applyAlignment="1">
      <alignment horizontal="right" vertical="center"/>
    </xf>
    <xf numFmtId="0" fontId="18" fillId="0" borderId="0" xfId="0" applyFont="1" applyAlignment="1">
      <alignment horizontal="left"/>
    </xf>
    <xf numFmtId="1" fontId="15" fillId="0" borderId="0" xfId="0" applyNumberFormat="1" applyFont="1" applyAlignment="1">
      <alignment horizontal="left"/>
    </xf>
    <xf numFmtId="0" fontId="16" fillId="4" borderId="0" xfId="0" applyFont="1" applyFill="1" applyAlignment="1">
      <alignment horizontal="left"/>
    </xf>
    <xf numFmtId="165" fontId="16" fillId="4" borderId="0" xfId="0" applyNumberFormat="1" applyFont="1" applyFill="1" applyAlignment="1">
      <alignment horizontal="left"/>
    </xf>
    <xf numFmtId="165" fontId="0" fillId="4" borderId="0" xfId="0" applyNumberFormat="1" applyFill="1" applyAlignment="1">
      <alignment horizontal="left"/>
    </xf>
    <xf numFmtId="0" fontId="54" fillId="4" borderId="0" xfId="0" applyFont="1" applyFill="1" applyAlignment="1">
      <alignment horizontal="left"/>
    </xf>
    <xf numFmtId="165" fontId="24" fillId="0" borderId="0" xfId="0" applyNumberFormat="1" applyFont="1" applyAlignment="1">
      <alignment horizontal="left"/>
    </xf>
    <xf numFmtId="0" fontId="0" fillId="0" borderId="0" xfId="0" applyAlignment="1">
      <alignment horizontal="left"/>
    </xf>
    <xf numFmtId="0" fontId="16" fillId="0" borderId="0" xfId="0" applyFont="1" applyAlignment="1">
      <alignment horizontal="left"/>
    </xf>
    <xf numFmtId="0" fontId="18" fillId="0" borderId="0" xfId="0" applyFont="1"/>
    <xf numFmtId="165" fontId="24" fillId="0" borderId="0" xfId="0" applyNumberFormat="1" applyFont="1" applyAlignment="1" applyProtection="1">
      <alignment horizontal="left"/>
      <protection hidden="1"/>
    </xf>
    <xf numFmtId="165" fontId="24" fillId="0" borderId="0" xfId="0" applyNumberFormat="1" applyFont="1" applyProtection="1">
      <protection hidden="1"/>
    </xf>
    <xf numFmtId="165" fontId="55" fillId="0" borderId="0" xfId="0" applyNumberFormat="1" applyFont="1" applyAlignment="1">
      <alignment horizontal="center"/>
    </xf>
    <xf numFmtId="165" fontId="56" fillId="0" borderId="0" xfId="0" applyNumberFormat="1" applyFont="1" applyAlignment="1">
      <alignment vertical="center"/>
    </xf>
    <xf numFmtId="165" fontId="57" fillId="0" borderId="0" xfId="0" applyNumberFormat="1" applyFont="1" applyAlignment="1">
      <alignment vertical="center"/>
    </xf>
    <xf numFmtId="0" fontId="40" fillId="0" borderId="0" xfId="0" applyFont="1" applyAlignment="1">
      <alignment vertical="center"/>
    </xf>
    <xf numFmtId="165" fontId="24" fillId="0" borderId="0" xfId="0" applyNumberFormat="1" applyFont="1"/>
    <xf numFmtId="165" fontId="56" fillId="0" borderId="0" xfId="0" applyNumberFormat="1" applyFont="1"/>
    <xf numFmtId="0" fontId="41" fillId="0" borderId="0" xfId="0" applyFont="1"/>
    <xf numFmtId="0" fontId="41" fillId="0" borderId="0" xfId="0" applyFont="1" applyAlignment="1">
      <alignment vertical="center"/>
    </xf>
    <xf numFmtId="0" fontId="15" fillId="5" borderId="0" xfId="0" applyFont="1" applyFill="1" applyAlignment="1">
      <alignment vertical="center"/>
    </xf>
    <xf numFmtId="1" fontId="15" fillId="0" borderId="0" xfId="0" applyNumberFormat="1" applyFont="1" applyAlignment="1">
      <alignment vertical="center"/>
    </xf>
    <xf numFmtId="165" fontId="57" fillId="0" borderId="0" xfId="0" applyNumberFormat="1" applyFont="1"/>
    <xf numFmtId="0" fontId="45" fillId="2" borderId="0" xfId="0" applyFont="1" applyFill="1" applyAlignment="1">
      <alignment vertical="center"/>
    </xf>
    <xf numFmtId="0" fontId="35" fillId="6" borderId="0" xfId="0" applyFont="1" applyFill="1" applyAlignment="1">
      <alignment horizontal="center" vertical="center" textRotation="90"/>
    </xf>
    <xf numFmtId="165" fontId="15" fillId="0" borderId="2" xfId="0" applyNumberFormat="1" applyFont="1" applyBorder="1" applyAlignment="1">
      <alignment vertical="center"/>
    </xf>
    <xf numFmtId="0" fontId="0" fillId="0" borderId="10" xfId="0" applyBorder="1"/>
    <xf numFmtId="0" fontId="35" fillId="0" borderId="0" xfId="0" applyFont="1" applyAlignment="1">
      <alignment vertical="center"/>
    </xf>
    <xf numFmtId="165" fontId="31" fillId="0" borderId="2" xfId="0" applyNumberFormat="1" applyFont="1" applyBorder="1" applyAlignment="1">
      <alignment vertical="center"/>
    </xf>
    <xf numFmtId="0" fontId="28" fillId="0" borderId="0" xfId="0" applyFont="1" applyAlignment="1">
      <alignment vertical="center"/>
    </xf>
    <xf numFmtId="165" fontId="26" fillId="0" borderId="2" xfId="0" applyNumberFormat="1" applyFont="1" applyBorder="1" applyAlignment="1">
      <alignment vertical="center"/>
    </xf>
    <xf numFmtId="165" fontId="15" fillId="0" borderId="2" xfId="0" applyNumberFormat="1" applyFont="1" applyBorder="1" applyAlignment="1">
      <alignment horizontal="right" vertical="center"/>
    </xf>
    <xf numFmtId="165" fontId="29" fillId="0" borderId="2" xfId="0" applyNumberFormat="1" applyFont="1" applyBorder="1" applyAlignment="1">
      <alignment horizontal="right" vertical="center"/>
    </xf>
    <xf numFmtId="0" fontId="20" fillId="0" borderId="0" xfId="0" applyFont="1" applyAlignment="1">
      <alignment horizontal="left" vertical="center" textRotation="90" wrapText="1"/>
    </xf>
    <xf numFmtId="1" fontId="29" fillId="0" borderId="2" xfId="0" applyNumberFormat="1" applyFont="1" applyBorder="1" applyAlignment="1">
      <alignment horizontal="right" vertical="center"/>
    </xf>
    <xf numFmtId="165" fontId="29" fillId="0" borderId="2" xfId="0" applyNumberFormat="1" applyFont="1" applyBorder="1" applyAlignment="1">
      <alignment vertical="center"/>
    </xf>
    <xf numFmtId="0" fontId="37" fillId="6" borderId="0" xfId="0" applyFont="1" applyFill="1" applyAlignment="1">
      <alignment vertical="center"/>
    </xf>
    <xf numFmtId="165" fontId="44" fillId="6" borderId="0" xfId="0" applyNumberFormat="1" applyFont="1" applyFill="1" applyAlignment="1">
      <alignment vertical="center"/>
    </xf>
    <xf numFmtId="165" fontId="39" fillId="6" borderId="0" xfId="0" applyNumberFormat="1" applyFont="1" applyFill="1" applyAlignment="1">
      <alignment vertical="center"/>
    </xf>
    <xf numFmtId="165" fontId="39" fillId="6" borderId="0" xfId="0" applyNumberFormat="1" applyFont="1" applyFill="1" applyAlignment="1">
      <alignment horizontal="right" vertical="center"/>
    </xf>
    <xf numFmtId="0" fontId="39" fillId="6" borderId="0" xfId="0" applyFont="1" applyFill="1" applyAlignment="1">
      <alignment horizontal="right" vertical="center"/>
    </xf>
    <xf numFmtId="0" fontId="37" fillId="6" borderId="0" xfId="0" applyFont="1" applyFill="1" applyAlignment="1">
      <alignment horizontal="right" vertical="center"/>
    </xf>
    <xf numFmtId="0" fontId="36" fillId="6" borderId="0" xfId="0" applyFont="1" applyFill="1" applyAlignment="1">
      <alignment vertical="center"/>
    </xf>
    <xf numFmtId="0" fontId="29" fillId="0" borderId="11" xfId="0" applyFont="1" applyBorder="1" applyAlignment="1">
      <alignment vertical="center"/>
    </xf>
    <xf numFmtId="165" fontId="37" fillId="6" borderId="0" xfId="0" applyNumberFormat="1" applyFont="1" applyFill="1" applyAlignment="1">
      <alignment vertical="center"/>
    </xf>
    <xf numFmtId="0" fontId="17" fillId="6" borderId="12" xfId="0" applyFont="1" applyFill="1" applyBorder="1"/>
    <xf numFmtId="0" fontId="15" fillId="6" borderId="12" xfId="0" applyFont="1" applyFill="1" applyBorder="1"/>
    <xf numFmtId="165" fontId="27" fillId="6" borderId="12" xfId="0" applyNumberFormat="1" applyFont="1" applyFill="1" applyBorder="1"/>
    <xf numFmtId="165" fontId="27" fillId="6" borderId="12" xfId="0" applyNumberFormat="1" applyFont="1" applyFill="1" applyBorder="1" applyAlignment="1">
      <alignment horizontal="right"/>
    </xf>
    <xf numFmtId="0" fontId="59" fillId="6" borderId="12" xfId="0" applyFont="1" applyFill="1" applyBorder="1" applyAlignment="1">
      <alignment vertical="center"/>
    </xf>
    <xf numFmtId="0" fontId="60" fillId="6" borderId="12" xfId="0" applyFont="1" applyFill="1" applyBorder="1" applyAlignment="1">
      <alignment vertical="center"/>
    </xf>
    <xf numFmtId="165" fontId="60" fillId="6" borderId="12" xfId="0" applyNumberFormat="1" applyFont="1" applyFill="1" applyBorder="1" applyAlignment="1">
      <alignment vertical="center"/>
    </xf>
    <xf numFmtId="165" fontId="27" fillId="6" borderId="13" xfId="0" applyNumberFormat="1" applyFont="1" applyFill="1" applyBorder="1"/>
    <xf numFmtId="0" fontId="15" fillId="6" borderId="13" xfId="0" applyFont="1" applyFill="1" applyBorder="1"/>
    <xf numFmtId="165" fontId="27" fillId="6" borderId="13" xfId="0" applyNumberFormat="1" applyFont="1" applyFill="1" applyBorder="1" applyAlignment="1">
      <alignment horizontal="right"/>
    </xf>
    <xf numFmtId="165" fontId="31" fillId="0" borderId="14" xfId="0" applyNumberFormat="1" applyFont="1" applyBorder="1" applyAlignment="1">
      <alignment vertical="center"/>
    </xf>
    <xf numFmtId="165" fontId="15" fillId="2" borderId="2" xfId="0" applyNumberFormat="1" applyFont="1" applyFill="1" applyBorder="1" applyAlignment="1">
      <alignment horizontal="right"/>
    </xf>
    <xf numFmtId="165" fontId="21" fillId="0" borderId="15" xfId="0" applyNumberFormat="1" applyFont="1" applyBorder="1" applyAlignment="1">
      <alignment horizontal="right" vertical="center"/>
    </xf>
    <xf numFmtId="165" fontId="26" fillId="0" borderId="15" xfId="0" applyNumberFormat="1" applyFont="1" applyBorder="1" applyAlignment="1">
      <alignment vertical="center"/>
    </xf>
    <xf numFmtId="165" fontId="20" fillId="0" borderId="18" xfId="0" applyNumberFormat="1" applyFont="1" applyBorder="1" applyAlignment="1">
      <alignment wrapText="1"/>
    </xf>
    <xf numFmtId="165" fontId="20" fillId="0" borderId="19" xfId="0" applyNumberFormat="1" applyFont="1" applyBorder="1" applyAlignment="1">
      <alignment wrapText="1"/>
    </xf>
    <xf numFmtId="0" fontId="37" fillId="6" borderId="23" xfId="0" applyFont="1" applyFill="1" applyBorder="1" applyAlignment="1">
      <alignment vertical="center"/>
    </xf>
    <xf numFmtId="0" fontId="38" fillId="6" borderId="24" xfId="0" applyFont="1" applyFill="1" applyBorder="1" applyAlignment="1" applyProtection="1">
      <alignment vertical="center"/>
      <protection locked="0"/>
    </xf>
    <xf numFmtId="0" fontId="37" fillId="6" borderId="24" xfId="0" applyFont="1" applyFill="1" applyBorder="1" applyAlignment="1">
      <alignment vertical="center"/>
    </xf>
    <xf numFmtId="165" fontId="37" fillId="6" borderId="24" xfId="0" applyNumberFormat="1" applyFont="1" applyFill="1" applyBorder="1" applyAlignment="1">
      <alignment vertical="center"/>
    </xf>
    <xf numFmtId="165" fontId="39" fillId="6" borderId="24" xfId="0" applyNumberFormat="1" applyFont="1" applyFill="1" applyBorder="1" applyAlignment="1">
      <alignment vertical="center"/>
    </xf>
    <xf numFmtId="165" fontId="39" fillId="6" borderId="24" xfId="0" applyNumberFormat="1" applyFont="1" applyFill="1" applyBorder="1" applyAlignment="1">
      <alignment horizontal="right" vertical="center"/>
    </xf>
    <xf numFmtId="0" fontId="39" fillId="6" borderId="24" xfId="0" applyFont="1" applyFill="1" applyBorder="1" applyAlignment="1">
      <alignment horizontal="right" vertical="center"/>
    </xf>
    <xf numFmtId="0" fontId="27" fillId="6" borderId="12" xfId="0" applyFont="1" applyFill="1" applyBorder="1"/>
    <xf numFmtId="0" fontId="46" fillId="4" borderId="0" xfId="0" applyFont="1" applyFill="1" applyAlignment="1">
      <alignment horizontal="left"/>
    </xf>
    <xf numFmtId="1" fontId="15" fillId="0" borderId="0" xfId="0" applyNumberFormat="1" applyFont="1" applyAlignment="1">
      <alignment horizontal="center"/>
    </xf>
    <xf numFmtId="0" fontId="17" fillId="6" borderId="0" xfId="0" applyFont="1" applyFill="1"/>
    <xf numFmtId="0" fontId="27" fillId="6" borderId="0" xfId="0" applyFont="1" applyFill="1"/>
    <xf numFmtId="0" fontId="15" fillId="6" borderId="0" xfId="0" applyFont="1" applyFill="1"/>
    <xf numFmtId="165" fontId="27" fillId="6" borderId="0" xfId="0" applyNumberFormat="1" applyFont="1" applyFill="1"/>
    <xf numFmtId="165" fontId="27" fillId="6" borderId="0" xfId="0" applyNumberFormat="1" applyFont="1" applyFill="1" applyAlignment="1">
      <alignment horizontal="right"/>
    </xf>
    <xf numFmtId="0" fontId="27" fillId="6" borderId="0" xfId="0" applyFont="1" applyFill="1" applyAlignment="1">
      <alignment horizontal="center"/>
    </xf>
    <xf numFmtId="0" fontId="61" fillId="6" borderId="0" xfId="0" applyFont="1" applyFill="1"/>
    <xf numFmtId="49" fontId="0" fillId="0" borderId="0" xfId="0" applyNumberFormat="1" applyAlignment="1">
      <alignment horizontal="center"/>
    </xf>
    <xf numFmtId="1" fontId="15" fillId="0" borderId="0" xfId="0" applyNumberFormat="1" applyFont="1"/>
    <xf numFmtId="165" fontId="20" fillId="0" borderId="2" xfId="0" applyNumberFormat="1" applyFont="1" applyBorder="1" applyAlignment="1">
      <alignment horizontal="right" vertical="center"/>
    </xf>
    <xf numFmtId="1" fontId="20" fillId="0" borderId="2" xfId="0" applyNumberFormat="1" applyFont="1" applyBorder="1" applyAlignment="1">
      <alignment horizontal="right" vertical="center"/>
    </xf>
    <xf numFmtId="165" fontId="40" fillId="4" borderId="0" xfId="0" applyNumberFormat="1" applyFont="1" applyFill="1" applyAlignment="1">
      <alignment horizontal="left"/>
    </xf>
    <xf numFmtId="165" fontId="20" fillId="0" borderId="2" xfId="0" applyNumberFormat="1" applyFont="1" applyBorder="1" applyAlignment="1">
      <alignment wrapText="1"/>
    </xf>
    <xf numFmtId="165" fontId="63" fillId="0" borderId="2" xfId="0" applyNumberFormat="1" applyFont="1" applyBorder="1" applyAlignment="1">
      <alignment vertical="center"/>
    </xf>
    <xf numFmtId="172" fontId="55" fillId="0" borderId="0" xfId="0" applyNumberFormat="1" applyFont="1" applyAlignment="1">
      <alignment horizontal="center"/>
    </xf>
    <xf numFmtId="165" fontId="15" fillId="6" borderId="13" xfId="0" applyNumberFormat="1" applyFont="1" applyFill="1" applyBorder="1"/>
    <xf numFmtId="165" fontId="65" fillId="0" borderId="14" xfId="0" applyNumberFormat="1" applyFont="1" applyBorder="1" applyAlignment="1">
      <alignment vertical="center"/>
    </xf>
    <xf numFmtId="0" fontId="20" fillId="0" borderId="4" xfId="0" applyFont="1" applyBorder="1" applyAlignment="1">
      <alignment vertical="top" wrapText="1"/>
    </xf>
    <xf numFmtId="1" fontId="29" fillId="2" borderId="0" xfId="0" applyNumberFormat="1" applyFont="1" applyFill="1" applyAlignment="1">
      <alignment vertical="center"/>
    </xf>
    <xf numFmtId="1" fontId="15" fillId="0" borderId="0" xfId="0" applyNumberFormat="1" applyFont="1" applyAlignment="1">
      <alignment horizontal="center" vertical="center"/>
    </xf>
    <xf numFmtId="1" fontId="19" fillId="0" borderId="0" xfId="0" applyNumberFormat="1" applyFont="1" applyAlignment="1">
      <alignment vertical="center"/>
    </xf>
    <xf numFmtId="1" fontId="17" fillId="0" borderId="0" xfId="0" applyNumberFormat="1" applyFont="1"/>
    <xf numFmtId="1" fontId="19" fillId="0" borderId="0" xfId="0" applyNumberFormat="1" applyFont="1"/>
    <xf numFmtId="1" fontId="20" fillId="0" borderId="0" xfId="0" applyNumberFormat="1" applyFont="1"/>
    <xf numFmtId="1" fontId="15" fillId="0" borderId="0" xfId="0" applyNumberFormat="1" applyFont="1" applyAlignment="1">
      <alignment horizontal="center" textRotation="90"/>
    </xf>
    <xf numFmtId="1" fontId="15" fillId="0" borderId="0" xfId="0" applyNumberFormat="1" applyFont="1" applyAlignment="1">
      <alignment horizontal="center" vertical="center" textRotation="90"/>
    </xf>
    <xf numFmtId="165" fontId="33" fillId="2" borderId="0" xfId="0" applyNumberFormat="1" applyFont="1" applyFill="1" applyAlignment="1">
      <alignment vertical="center"/>
    </xf>
    <xf numFmtId="165" fontId="19" fillId="0" borderId="0" xfId="0" applyNumberFormat="1" applyFont="1" applyAlignment="1">
      <alignment vertical="center"/>
    </xf>
    <xf numFmtId="165" fontId="17" fillId="0" borderId="0" xfId="0" applyNumberFormat="1" applyFont="1"/>
    <xf numFmtId="165" fontId="19" fillId="0" borderId="0" xfId="0" applyNumberFormat="1" applyFont="1"/>
    <xf numFmtId="2" fontId="29" fillId="0" borderId="2" xfId="0" applyNumberFormat="1" applyFont="1" applyBorder="1" applyAlignment="1">
      <alignment horizontal="right" vertical="center"/>
    </xf>
    <xf numFmtId="165" fontId="21" fillId="0" borderId="14" xfId="0" applyNumberFormat="1" applyFont="1" applyBorder="1" applyAlignment="1">
      <alignment horizontal="right" vertical="center"/>
    </xf>
    <xf numFmtId="174" fontId="20" fillId="0" borderId="0" xfId="0" applyNumberFormat="1" applyFont="1" applyAlignment="1">
      <alignment horizontal="right" vertical="center"/>
    </xf>
    <xf numFmtId="175" fontId="20" fillId="0" borderId="0" xfId="0" applyNumberFormat="1" applyFont="1" applyAlignment="1">
      <alignment horizontal="right" vertical="center"/>
    </xf>
    <xf numFmtId="166" fontId="20" fillId="0" borderId="0" xfId="0" applyNumberFormat="1" applyFont="1" applyAlignment="1">
      <alignment horizontal="center" vertical="center"/>
    </xf>
    <xf numFmtId="0" fontId="15" fillId="0" borderId="2" xfId="0" applyFont="1" applyBorder="1" applyAlignment="1">
      <alignment vertical="center"/>
    </xf>
    <xf numFmtId="0" fontId="21" fillId="0" borderId="2" xfId="0" applyFont="1" applyBorder="1" applyAlignment="1">
      <alignment vertical="center"/>
    </xf>
    <xf numFmtId="0" fontId="21" fillId="0" borderId="15" xfId="0" applyFont="1" applyBorder="1" applyAlignment="1">
      <alignment horizontal="right" vertical="center"/>
    </xf>
    <xf numFmtId="0" fontId="21" fillId="0" borderId="15" xfId="0" applyFont="1" applyBorder="1" applyAlignment="1">
      <alignment horizontal="left" vertical="center"/>
    </xf>
    <xf numFmtId="0" fontId="29" fillId="0" borderId="2" xfId="0" applyFont="1" applyBorder="1" applyAlignment="1">
      <alignment horizontal="right" vertical="center"/>
    </xf>
    <xf numFmtId="0" fontId="29" fillId="0" borderId="2" xfId="0" applyFont="1" applyBorder="1" applyAlignment="1">
      <alignment horizontal="left" vertical="center"/>
    </xf>
    <xf numFmtId="0" fontId="23" fillId="0" borderId="2" xfId="0" applyFont="1" applyBorder="1" applyAlignment="1">
      <alignment horizontal="right" vertical="center"/>
    </xf>
    <xf numFmtId="0" fontId="23" fillId="0" borderId="2" xfId="0" applyFont="1" applyBorder="1" applyAlignment="1">
      <alignment horizontal="left" vertical="center"/>
    </xf>
    <xf numFmtId="0" fontId="16" fillId="0" borderId="0" xfId="0" applyFont="1" applyAlignment="1">
      <alignment vertical="center"/>
    </xf>
    <xf numFmtId="0" fontId="15" fillId="0" borderId="0" xfId="0" applyFont="1" applyAlignment="1">
      <alignment horizontal="right"/>
    </xf>
    <xf numFmtId="165" fontId="20" fillId="0" borderId="0" xfId="0" applyNumberFormat="1" applyFont="1" applyAlignment="1">
      <alignment wrapText="1"/>
    </xf>
    <xf numFmtId="0" fontId="15" fillId="0" borderId="17" xfId="0" applyFont="1" applyBorder="1"/>
    <xf numFmtId="0" fontId="15" fillId="0" borderId="17" xfId="0" applyFont="1" applyBorder="1" applyAlignment="1">
      <alignment horizontal="right"/>
    </xf>
    <xf numFmtId="0" fontId="41" fillId="0" borderId="17" xfId="0" applyFont="1" applyBorder="1"/>
    <xf numFmtId="0" fontId="20" fillId="0" borderId="31" xfId="0" applyFont="1" applyBorder="1" applyAlignment="1">
      <alignment horizontal="center" vertical="top" textRotation="90"/>
    </xf>
    <xf numFmtId="0" fontId="15" fillId="0" borderId="32" xfId="0" applyFont="1" applyBorder="1"/>
    <xf numFmtId="0" fontId="15" fillId="0" borderId="32" xfId="0" applyFont="1" applyBorder="1" applyAlignment="1">
      <alignment horizontal="right"/>
    </xf>
    <xf numFmtId="0" fontId="41" fillId="0" borderId="32" xfId="0" applyFont="1" applyBorder="1"/>
    <xf numFmtId="0" fontId="41" fillId="0" borderId="2" xfId="0" applyFont="1" applyBorder="1"/>
    <xf numFmtId="0" fontId="15" fillId="0" borderId="2" xfId="0" applyFont="1" applyBorder="1"/>
    <xf numFmtId="0" fontId="15" fillId="0" borderId="2" xfId="0" applyFont="1" applyBorder="1" applyAlignment="1">
      <alignment horizontal="right"/>
    </xf>
    <xf numFmtId="165" fontId="27" fillId="0" borderId="2" xfId="0" applyNumberFormat="1" applyFont="1" applyBorder="1" applyAlignment="1">
      <alignment horizontal="right" vertical="center"/>
    </xf>
    <xf numFmtId="0" fontId="28" fillId="2" borderId="0" xfId="0" applyFont="1" applyFill="1" applyAlignment="1">
      <alignment vertical="center"/>
    </xf>
    <xf numFmtId="2" fontId="29" fillId="2" borderId="2" xfId="0" applyNumberFormat="1" applyFont="1" applyFill="1" applyBorder="1" applyAlignment="1">
      <alignment horizontal="right" vertical="center"/>
    </xf>
    <xf numFmtId="165" fontId="22" fillId="2" borderId="2" xfId="0" applyNumberFormat="1" applyFont="1" applyFill="1" applyBorder="1" applyAlignment="1">
      <alignment horizontal="right" vertical="center"/>
    </xf>
    <xf numFmtId="2" fontId="15" fillId="2" borderId="2" xfId="0" applyNumberFormat="1" applyFont="1" applyFill="1" applyBorder="1" applyAlignment="1">
      <alignment horizontal="right" vertical="center"/>
    </xf>
    <xf numFmtId="165" fontId="70" fillId="6" borderId="12" xfId="0" applyNumberFormat="1" applyFont="1" applyFill="1" applyBorder="1" applyAlignment="1">
      <alignment vertical="center"/>
    </xf>
    <xf numFmtId="0" fontId="13" fillId="0" borderId="2" xfId="0" applyFont="1" applyBorder="1" applyAlignment="1">
      <alignment vertical="center"/>
    </xf>
    <xf numFmtId="0" fontId="13" fillId="2" borderId="2" xfId="0" applyFont="1" applyFill="1" applyBorder="1" applyAlignment="1">
      <alignment vertical="center"/>
    </xf>
    <xf numFmtId="0" fontId="15" fillId="2" borderId="2" xfId="0" applyFont="1" applyFill="1" applyBorder="1"/>
    <xf numFmtId="0" fontId="13" fillId="2" borderId="0" xfId="0" applyFont="1" applyFill="1" applyAlignment="1">
      <alignment vertical="center"/>
    </xf>
    <xf numFmtId="1" fontId="13" fillId="0" borderId="0" xfId="0" applyNumberFormat="1" applyFont="1"/>
    <xf numFmtId="0" fontId="29" fillId="10" borderId="0" xfId="0" applyFont="1" applyFill="1" applyAlignment="1">
      <alignment vertical="center"/>
    </xf>
    <xf numFmtId="2" fontId="29" fillId="0" borderId="0" xfId="0" applyNumberFormat="1" applyFont="1" applyAlignment="1">
      <alignment vertical="center"/>
    </xf>
    <xf numFmtId="0" fontId="13" fillId="0" borderId="7" xfId="0" applyFont="1" applyBorder="1" applyAlignment="1">
      <alignment horizontal="center" textRotation="90" wrapText="1"/>
    </xf>
    <xf numFmtId="0" fontId="13" fillId="0" borderId="6" xfId="0" applyFont="1" applyBorder="1" applyAlignment="1">
      <alignment horizontal="center" textRotation="90" wrapText="1"/>
    </xf>
    <xf numFmtId="0" fontId="13" fillId="0" borderId="0" xfId="3"/>
    <xf numFmtId="0" fontId="20" fillId="0" borderId="0" xfId="3" applyFont="1"/>
    <xf numFmtId="0" fontId="13" fillId="0" borderId="0" xfId="3" applyAlignment="1">
      <alignment horizontal="left"/>
    </xf>
    <xf numFmtId="0" fontId="73" fillId="0" borderId="0" xfId="3" applyFont="1" applyAlignment="1">
      <alignment horizontal="right"/>
    </xf>
    <xf numFmtId="173" fontId="73" fillId="0" borderId="0" xfId="3" applyNumberFormat="1" applyFont="1" applyAlignment="1">
      <alignment horizontal="center"/>
    </xf>
    <xf numFmtId="165" fontId="13" fillId="0" borderId="0" xfId="3" applyNumberFormat="1" applyAlignment="1">
      <alignment horizontal="center"/>
    </xf>
    <xf numFmtId="165" fontId="55" fillId="0" borderId="0" xfId="3" applyNumberFormat="1" applyFont="1" applyAlignment="1">
      <alignment horizontal="center"/>
    </xf>
    <xf numFmtId="0" fontId="13" fillId="0" borderId="0" xfId="3" applyAlignment="1">
      <alignment vertical="top" wrapText="1"/>
    </xf>
    <xf numFmtId="165" fontId="13" fillId="3" borderId="0" xfId="3" applyNumberFormat="1" applyFill="1" applyAlignment="1">
      <alignment horizontal="center" vertical="center"/>
    </xf>
    <xf numFmtId="0" fontId="13" fillId="3" borderId="0" xfId="3" applyFill="1" applyAlignment="1">
      <alignment horizontal="center"/>
    </xf>
    <xf numFmtId="165" fontId="13" fillId="0" borderId="0" xfId="3" applyNumberFormat="1"/>
    <xf numFmtId="0" fontId="24" fillId="0" borderId="0" xfId="3" applyFont="1" applyAlignment="1">
      <alignment horizontal="left"/>
    </xf>
    <xf numFmtId="0" fontId="18" fillId="4" borderId="0" xfId="3" applyFont="1" applyFill="1"/>
    <xf numFmtId="0" fontId="18" fillId="4" borderId="0" xfId="3" applyFont="1" applyFill="1" applyAlignment="1">
      <alignment horizontal="right"/>
    </xf>
    <xf numFmtId="172" fontId="55" fillId="0" borderId="0" xfId="3" applyNumberFormat="1" applyFont="1" applyAlignment="1">
      <alignment horizontal="center"/>
    </xf>
    <xf numFmtId="1" fontId="24" fillId="0" borderId="0" xfId="3" applyNumberFormat="1" applyFont="1" applyAlignment="1">
      <alignment horizontal="left"/>
    </xf>
    <xf numFmtId="0" fontId="13" fillId="7" borderId="0" xfId="3" applyFill="1" applyAlignment="1">
      <alignment horizontal="center"/>
    </xf>
    <xf numFmtId="165" fontId="13" fillId="0" borderId="0" xfId="3" applyNumberFormat="1" applyAlignment="1">
      <alignment horizontal="center" wrapText="1"/>
    </xf>
    <xf numFmtId="0" fontId="29" fillId="0" borderId="0" xfId="0" applyFont="1" applyAlignment="1">
      <alignment vertical="center" wrapText="1"/>
    </xf>
    <xf numFmtId="0" fontId="15" fillId="0" borderId="0" xfId="0" applyFont="1" applyAlignment="1">
      <alignment horizontal="left" wrapText="1"/>
    </xf>
    <xf numFmtId="0" fontId="13" fillId="10" borderId="0" xfId="3" applyFill="1"/>
    <xf numFmtId="0" fontId="18" fillId="0" borderId="0" xfId="3" applyFont="1" applyAlignment="1">
      <alignment horizontal="left"/>
    </xf>
    <xf numFmtId="0" fontId="13" fillId="4" borderId="0" xfId="3" applyFill="1"/>
    <xf numFmtId="165" fontId="13" fillId="10" borderId="0" xfId="3" applyNumberFormat="1" applyFill="1"/>
    <xf numFmtId="0" fontId="20" fillId="4" borderId="0" xfId="3" applyFont="1" applyFill="1"/>
    <xf numFmtId="0" fontId="20" fillId="7" borderId="0" xfId="3" applyFont="1" applyFill="1" applyAlignment="1">
      <alignment horizontal="center"/>
    </xf>
    <xf numFmtId="1" fontId="13" fillId="3" borderId="0" xfId="3" applyNumberFormat="1" applyFill="1" applyAlignment="1">
      <alignment horizontal="center" vertical="center"/>
    </xf>
    <xf numFmtId="1" fontId="13" fillId="0" borderId="0" xfId="3" applyNumberFormat="1" applyAlignment="1">
      <alignment horizontal="center"/>
    </xf>
    <xf numFmtId="0" fontId="13" fillId="0" borderId="0" xfId="3" applyAlignment="1">
      <alignment horizontal="center"/>
    </xf>
    <xf numFmtId="0" fontId="20" fillId="0" borderId="23" xfId="3" applyFont="1" applyBorder="1"/>
    <xf numFmtId="1" fontId="20" fillId="10" borderId="24" xfId="3" applyNumberFormat="1" applyFont="1" applyFill="1" applyBorder="1"/>
    <xf numFmtId="1" fontId="20" fillId="0" borderId="24" xfId="3" applyNumberFormat="1" applyFont="1" applyBorder="1"/>
    <xf numFmtId="1" fontId="20" fillId="0" borderId="24" xfId="3" applyNumberFormat="1" applyFont="1" applyBorder="1" applyAlignment="1">
      <alignment horizontal="center"/>
    </xf>
    <xf numFmtId="165" fontId="13" fillId="0" borderId="0" xfId="0" applyNumberFormat="1" applyFont="1" applyAlignment="1">
      <alignment vertical="center"/>
    </xf>
    <xf numFmtId="0" fontId="13" fillId="17" borderId="0" xfId="3" applyFill="1"/>
    <xf numFmtId="0" fontId="37" fillId="17" borderId="0" xfId="0" applyFont="1" applyFill="1" applyAlignment="1">
      <alignment vertical="center"/>
    </xf>
    <xf numFmtId="0" fontId="38" fillId="17" borderId="0" xfId="0" applyFont="1" applyFill="1" applyAlignment="1" applyProtection="1">
      <alignment vertical="center"/>
      <protection locked="0"/>
    </xf>
    <xf numFmtId="0" fontId="18" fillId="17" borderId="0" xfId="3" applyFont="1" applyFill="1"/>
    <xf numFmtId="0" fontId="77" fillId="17" borderId="0" xfId="3" applyFont="1" applyFill="1"/>
    <xf numFmtId="0" fontId="77" fillId="0" borderId="0" xfId="3" applyFont="1"/>
    <xf numFmtId="0" fontId="13" fillId="0" borderId="35" xfId="0" applyFont="1" applyBorder="1" applyAlignment="1">
      <alignment horizontal="center" textRotation="90" wrapText="1"/>
    </xf>
    <xf numFmtId="0" fontId="13" fillId="0" borderId="33" xfId="0" applyFont="1" applyBorder="1" applyAlignment="1">
      <alignment horizontal="center" textRotation="90" wrapText="1"/>
    </xf>
    <xf numFmtId="0" fontId="13" fillId="0" borderId="34" xfId="0" applyFont="1" applyBorder="1" applyAlignment="1">
      <alignment horizontal="center" textRotation="90" wrapText="1"/>
    </xf>
    <xf numFmtId="0" fontId="20" fillId="0" borderId="3" xfId="0" applyFont="1" applyBorder="1" applyAlignment="1">
      <alignment vertical="center"/>
    </xf>
    <xf numFmtId="0" fontId="20" fillId="0" borderId="4" xfId="0" applyFont="1" applyBorder="1" applyAlignment="1">
      <alignment vertical="center"/>
    </xf>
    <xf numFmtId="0" fontId="20" fillId="0" borderId="5" xfId="0" applyFont="1" applyBorder="1" applyAlignment="1">
      <alignment vertical="center"/>
    </xf>
    <xf numFmtId="0" fontId="13" fillId="2" borderId="0" xfId="0" applyFont="1" applyFill="1" applyAlignment="1">
      <alignment horizontal="left"/>
    </xf>
    <xf numFmtId="0" fontId="13" fillId="0" borderId="9" xfId="0" applyFont="1" applyBorder="1" applyAlignment="1">
      <alignment horizontal="center" textRotation="90" wrapText="1"/>
    </xf>
    <xf numFmtId="0" fontId="13" fillId="7" borderId="0" xfId="3" applyFill="1"/>
    <xf numFmtId="165" fontId="13" fillId="0" borderId="0" xfId="3" applyNumberFormat="1" applyAlignment="1">
      <alignment horizontal="center" vertical="top" wrapText="1"/>
    </xf>
    <xf numFmtId="0" fontId="13" fillId="0" borderId="0" xfId="0" applyFont="1" applyAlignment="1">
      <alignment vertical="top"/>
    </xf>
    <xf numFmtId="0" fontId="13" fillId="0" borderId="0" xfId="3" applyAlignment="1">
      <alignment vertical="top"/>
    </xf>
    <xf numFmtId="0" fontId="13" fillId="0" borderId="0" xfId="3" applyAlignment="1">
      <alignment horizontal="center" vertical="top"/>
    </xf>
    <xf numFmtId="0" fontId="18" fillId="7" borderId="0" xfId="3" applyFont="1" applyFill="1"/>
    <xf numFmtId="1" fontId="13" fillId="0" borderId="0" xfId="3" applyNumberFormat="1" applyAlignment="1">
      <alignment vertical="top"/>
    </xf>
    <xf numFmtId="0" fontId="13" fillId="0" borderId="0" xfId="0" applyFont="1" applyAlignment="1">
      <alignment horizontal="left"/>
    </xf>
    <xf numFmtId="165" fontId="60" fillId="6" borderId="12" xfId="0" applyNumberFormat="1" applyFont="1" applyFill="1" applyBorder="1" applyAlignment="1">
      <alignment horizontal="center" vertical="center"/>
    </xf>
    <xf numFmtId="165" fontId="13" fillId="0" borderId="0" xfId="0" applyNumberFormat="1" applyFont="1" applyAlignment="1">
      <alignment horizontal="left"/>
    </xf>
    <xf numFmtId="0" fontId="15" fillId="0" borderId="2" xfId="0" applyFont="1" applyBorder="1" applyAlignment="1">
      <alignment horizontal="right" vertical="center"/>
    </xf>
    <xf numFmtId="0" fontId="15" fillId="0" borderId="2" xfId="0" applyFont="1" applyBorder="1" applyAlignment="1">
      <alignment horizontal="left" vertical="center"/>
    </xf>
    <xf numFmtId="0" fontId="13" fillId="5" borderId="0" xfId="3" applyFill="1"/>
    <xf numFmtId="0" fontId="13" fillId="18" borderId="0" xfId="3" applyFill="1"/>
    <xf numFmtId="165" fontId="13" fillId="5" borderId="0" xfId="3" applyNumberFormat="1" applyFill="1"/>
    <xf numFmtId="0" fontId="13" fillId="5" borderId="9" xfId="3" applyFill="1" applyBorder="1"/>
    <xf numFmtId="165" fontId="13" fillId="5" borderId="9" xfId="3" applyNumberFormat="1" applyFill="1" applyBorder="1"/>
    <xf numFmtId="0" fontId="79" fillId="5" borderId="0" xfId="3" applyFont="1" applyFill="1" applyAlignment="1">
      <alignment horizontal="left"/>
    </xf>
    <xf numFmtId="0" fontId="79" fillId="5" borderId="0" xfId="3" applyFont="1" applyFill="1"/>
    <xf numFmtId="0" fontId="79" fillId="19" borderId="0" xfId="3" applyFont="1" applyFill="1" applyAlignment="1">
      <alignment horizontal="center"/>
    </xf>
    <xf numFmtId="2" fontId="79" fillId="0" borderId="0" xfId="3" applyNumberFormat="1" applyFont="1" applyAlignment="1">
      <alignment horizontal="center"/>
    </xf>
    <xf numFmtId="0" fontId="80" fillId="7" borderId="61" xfId="3" applyFont="1" applyFill="1" applyBorder="1" applyAlignment="1">
      <alignment horizontal="left"/>
    </xf>
    <xf numFmtId="0" fontId="20" fillId="7" borderId="61" xfId="3" applyFont="1" applyFill="1" applyBorder="1"/>
    <xf numFmtId="0" fontId="20" fillId="7" borderId="62" xfId="3" applyFont="1" applyFill="1" applyBorder="1"/>
    <xf numFmtId="0" fontId="20" fillId="19" borderId="66" xfId="3" applyFont="1" applyFill="1" applyBorder="1"/>
    <xf numFmtId="0" fontId="13" fillId="0" borderId="64" xfId="3" applyBorder="1"/>
    <xf numFmtId="0" fontId="13" fillId="5" borderId="64" xfId="3" applyFill="1" applyBorder="1"/>
    <xf numFmtId="0" fontId="79" fillId="5" borderId="64" xfId="3" applyFont="1" applyFill="1" applyBorder="1"/>
    <xf numFmtId="0" fontId="79" fillId="0" borderId="64" xfId="3" applyFont="1" applyBorder="1"/>
    <xf numFmtId="0" fontId="20" fillId="18" borderId="64" xfId="3" applyFont="1" applyFill="1" applyBorder="1"/>
    <xf numFmtId="0" fontId="20" fillId="5" borderId="64" xfId="3" applyFont="1" applyFill="1" applyBorder="1"/>
    <xf numFmtId="0" fontId="20" fillId="19" borderId="64" xfId="3" applyFont="1" applyFill="1" applyBorder="1"/>
    <xf numFmtId="165" fontId="13" fillId="18" borderId="64" xfId="3" applyNumberFormat="1" applyFill="1" applyBorder="1" applyAlignment="1">
      <alignment horizontal="center"/>
    </xf>
    <xf numFmtId="0" fontId="20" fillId="5" borderId="68" xfId="3" applyFont="1" applyFill="1" applyBorder="1"/>
    <xf numFmtId="0" fontId="13" fillId="18" borderId="61" xfId="3" applyFill="1" applyBorder="1"/>
    <xf numFmtId="0" fontId="18" fillId="0" borderId="0" xfId="3" applyFont="1"/>
    <xf numFmtId="0" fontId="20" fillId="5" borderId="66" xfId="3" applyFont="1" applyFill="1" applyBorder="1"/>
    <xf numFmtId="0" fontId="20" fillId="21" borderId="64" xfId="3" applyFont="1" applyFill="1" applyBorder="1"/>
    <xf numFmtId="165" fontId="13" fillId="21" borderId="64" xfId="3" applyNumberFormat="1" applyFill="1" applyBorder="1" applyAlignment="1">
      <alignment horizontal="center"/>
    </xf>
    <xf numFmtId="0" fontId="21" fillId="5" borderId="0" xfId="3" applyFont="1" applyFill="1"/>
    <xf numFmtId="0" fontId="21" fillId="5" borderId="0" xfId="3" applyFont="1" applyFill="1" applyAlignment="1">
      <alignment horizontal="center"/>
    </xf>
    <xf numFmtId="0" fontId="21" fillId="5" borderId="65" xfId="3" applyFont="1" applyFill="1" applyBorder="1" applyAlignment="1">
      <alignment horizontal="center"/>
    </xf>
    <xf numFmtId="165" fontId="21" fillId="5" borderId="64" xfId="3" applyNumberFormat="1" applyFont="1" applyFill="1" applyBorder="1" applyAlignment="1">
      <alignment horizontal="center"/>
    </xf>
    <xf numFmtId="0" fontId="21" fillId="5" borderId="65" xfId="3" applyFont="1" applyFill="1" applyBorder="1"/>
    <xf numFmtId="0" fontId="13" fillId="21" borderId="64" xfId="3" applyFill="1" applyBorder="1"/>
    <xf numFmtId="165" fontId="13" fillId="5" borderId="0" xfId="3" applyNumberFormat="1" applyFill="1" applyAlignment="1">
      <alignment horizontal="center"/>
    </xf>
    <xf numFmtId="0" fontId="13" fillId="5" borderId="65" xfId="3" applyFill="1" applyBorder="1"/>
    <xf numFmtId="0" fontId="13" fillId="21" borderId="61" xfId="3" applyFill="1" applyBorder="1"/>
    <xf numFmtId="0" fontId="81" fillId="5" borderId="0" xfId="3" applyFont="1" applyFill="1"/>
    <xf numFmtId="0" fontId="86" fillId="5" borderId="0" xfId="3" applyFont="1" applyFill="1"/>
    <xf numFmtId="0" fontId="13" fillId="19" borderId="0" xfId="3" applyFill="1"/>
    <xf numFmtId="0" fontId="87" fillId="5" borderId="9" xfId="3" applyFont="1" applyFill="1" applyBorder="1"/>
    <xf numFmtId="0" fontId="13" fillId="19" borderId="9" xfId="3" applyFill="1" applyBorder="1"/>
    <xf numFmtId="0" fontId="13" fillId="5" borderId="0" xfId="3" applyFill="1" applyAlignment="1">
      <alignment horizontal="left"/>
    </xf>
    <xf numFmtId="0" fontId="13" fillId="19" borderId="0" xfId="3" applyFill="1" applyAlignment="1">
      <alignment horizontal="center"/>
    </xf>
    <xf numFmtId="0" fontId="41" fillId="5" borderId="0" xfId="3" applyFont="1" applyFill="1"/>
    <xf numFmtId="0" fontId="41" fillId="5" borderId="0" xfId="3" applyFont="1" applyFill="1" applyAlignment="1">
      <alignment horizontal="left"/>
    </xf>
    <xf numFmtId="0" fontId="41" fillId="5" borderId="0" xfId="3" applyFont="1" applyFill="1" applyAlignment="1">
      <alignment horizontal="center"/>
    </xf>
    <xf numFmtId="0" fontId="13" fillId="5" borderId="0" xfId="3" applyFill="1" applyAlignment="1">
      <alignment horizontal="center"/>
    </xf>
    <xf numFmtId="2" fontId="13" fillId="5" borderId="0" xfId="3" applyNumberFormat="1" applyFill="1" applyAlignment="1">
      <alignment horizontal="center"/>
    </xf>
    <xf numFmtId="0" fontId="16" fillId="5" borderId="0" xfId="3" applyFont="1" applyFill="1" applyAlignment="1">
      <alignment horizontal="left"/>
    </xf>
    <xf numFmtId="0" fontId="13" fillId="20" borderId="0" xfId="3" applyFill="1" applyAlignment="1">
      <alignment horizontal="center"/>
    </xf>
    <xf numFmtId="0" fontId="16" fillId="5" borderId="0" xfId="3" applyFont="1" applyFill="1"/>
    <xf numFmtId="0" fontId="13" fillId="11" borderId="0" xfId="3" applyFill="1"/>
    <xf numFmtId="0" fontId="13" fillId="20" borderId="0" xfId="3" applyFill="1"/>
    <xf numFmtId="0" fontId="13" fillId="5" borderId="9" xfId="3" applyFill="1" applyBorder="1" applyAlignment="1">
      <alignment horizontal="left"/>
    </xf>
    <xf numFmtId="0" fontId="13" fillId="19" borderId="9" xfId="3" applyFill="1" applyBorder="1" applyAlignment="1">
      <alignment horizontal="center"/>
    </xf>
    <xf numFmtId="0" fontId="13" fillId="7" borderId="62" xfId="3" applyFill="1" applyBorder="1"/>
    <xf numFmtId="0" fontId="13" fillId="7" borderId="62" xfId="3" applyFill="1" applyBorder="1" applyAlignment="1">
      <alignment horizontal="center"/>
    </xf>
    <xf numFmtId="0" fontId="13" fillId="7" borderId="63" xfId="3" applyFill="1" applyBorder="1" applyAlignment="1">
      <alignment horizontal="center"/>
    </xf>
    <xf numFmtId="0" fontId="13" fillId="7" borderId="63" xfId="3" applyFill="1" applyBorder="1"/>
    <xf numFmtId="0" fontId="13" fillId="5" borderId="65" xfId="3" applyFill="1" applyBorder="1" applyAlignment="1">
      <alignment horizontal="center"/>
    </xf>
    <xf numFmtId="0" fontId="13" fillId="5" borderId="66" xfId="3" applyFill="1" applyBorder="1"/>
    <xf numFmtId="0" fontId="13" fillId="5" borderId="67" xfId="3" applyFill="1" applyBorder="1"/>
    <xf numFmtId="0" fontId="13" fillId="5" borderId="64" xfId="3" applyFill="1" applyBorder="1" applyAlignment="1">
      <alignment horizontal="left"/>
    </xf>
    <xf numFmtId="0" fontId="13" fillId="5" borderId="64" xfId="3" applyFill="1" applyBorder="1" applyAlignment="1">
      <alignment horizontal="center"/>
    </xf>
    <xf numFmtId="0" fontId="13" fillId="5" borderId="68" xfId="3" applyFill="1" applyBorder="1" applyAlignment="1">
      <alignment horizontal="left"/>
    </xf>
    <xf numFmtId="0" fontId="13" fillId="5" borderId="69" xfId="3" applyFill="1" applyBorder="1"/>
    <xf numFmtId="0" fontId="13" fillId="5" borderId="69" xfId="3" applyFill="1" applyBorder="1" applyAlignment="1">
      <alignment horizontal="center"/>
    </xf>
    <xf numFmtId="0" fontId="13" fillId="5" borderId="70" xfId="3" applyFill="1" applyBorder="1" applyAlignment="1">
      <alignment horizontal="center"/>
    </xf>
    <xf numFmtId="0" fontId="13" fillId="5" borderId="68" xfId="3" applyFill="1" applyBorder="1" applyAlignment="1">
      <alignment horizontal="center"/>
    </xf>
    <xf numFmtId="0" fontId="13" fillId="5" borderId="70" xfId="3" applyFill="1" applyBorder="1"/>
    <xf numFmtId="0" fontId="13" fillId="5" borderId="71" xfId="3" applyFill="1" applyBorder="1"/>
    <xf numFmtId="165" fontId="13" fillId="5" borderId="64" xfId="3" applyNumberFormat="1" applyFill="1" applyBorder="1" applyAlignment="1">
      <alignment horizontal="center"/>
    </xf>
    <xf numFmtId="0" fontId="13" fillId="18" borderId="64" xfId="3" applyFill="1" applyBorder="1"/>
    <xf numFmtId="165" fontId="13" fillId="0" borderId="64" xfId="3" applyNumberFormat="1" applyBorder="1" applyAlignment="1">
      <alignment horizontal="center"/>
    </xf>
    <xf numFmtId="2" fontId="13" fillId="5" borderId="64" xfId="3" applyNumberFormat="1" applyFill="1" applyBorder="1" applyAlignment="1">
      <alignment horizontal="center"/>
    </xf>
    <xf numFmtId="165" fontId="13" fillId="5" borderId="69" xfId="3" applyNumberFormat="1" applyFill="1" applyBorder="1" applyAlignment="1">
      <alignment horizontal="center"/>
    </xf>
    <xf numFmtId="165" fontId="13" fillId="5" borderId="70" xfId="3" applyNumberFormat="1" applyFill="1" applyBorder="1" applyAlignment="1">
      <alignment horizontal="center"/>
    </xf>
    <xf numFmtId="1" fontId="13" fillId="5" borderId="68" xfId="3" applyNumberFormat="1" applyFill="1" applyBorder="1" applyAlignment="1">
      <alignment horizontal="center"/>
    </xf>
    <xf numFmtId="0" fontId="13" fillId="5" borderId="62" xfId="3" applyFill="1" applyBorder="1"/>
    <xf numFmtId="165" fontId="13" fillId="5" borderId="62" xfId="3" applyNumberFormat="1" applyFill="1" applyBorder="1" applyAlignment="1">
      <alignment horizontal="center"/>
    </xf>
    <xf numFmtId="1" fontId="13" fillId="18" borderId="61" xfId="3" applyNumberFormat="1" applyFill="1" applyBorder="1" applyAlignment="1">
      <alignment horizontal="center"/>
    </xf>
    <xf numFmtId="0" fontId="13" fillId="5" borderId="63" xfId="3" applyFill="1" applyBorder="1"/>
    <xf numFmtId="3" fontId="13" fillId="38" borderId="0" xfId="3" applyNumberFormat="1" applyFill="1" applyAlignment="1">
      <alignment horizontal="center"/>
    </xf>
    <xf numFmtId="2" fontId="13" fillId="37" borderId="0" xfId="3" applyNumberFormat="1" applyFill="1" applyAlignment="1">
      <alignment horizontal="center"/>
    </xf>
    <xf numFmtId="177" fontId="13" fillId="37" borderId="0" xfId="3" applyNumberFormat="1" applyFill="1" applyAlignment="1">
      <alignment horizontal="center"/>
    </xf>
    <xf numFmtId="0" fontId="13" fillId="38" borderId="0" xfId="3" applyFill="1" applyAlignment="1">
      <alignment horizontal="center"/>
    </xf>
    <xf numFmtId="0" fontId="13" fillId="39" borderId="0" xfId="3" applyFill="1" applyAlignment="1">
      <alignment horizontal="center"/>
    </xf>
    <xf numFmtId="165" fontId="13" fillId="39" borderId="0" xfId="3" applyNumberFormat="1" applyFill="1" applyAlignment="1">
      <alignment horizontal="center"/>
    </xf>
    <xf numFmtId="177" fontId="13" fillId="39" borderId="0" xfId="3" applyNumberFormat="1" applyFill="1" applyAlignment="1">
      <alignment horizontal="center"/>
    </xf>
    <xf numFmtId="2" fontId="13" fillId="13" borderId="0" xfId="3" applyNumberFormat="1" applyFill="1" applyAlignment="1">
      <alignment horizontal="center"/>
    </xf>
    <xf numFmtId="0" fontId="13" fillId="0" borderId="0" xfId="0" applyFont="1" applyAlignment="1">
      <alignment horizontal="center" textRotation="90" wrapText="1"/>
    </xf>
    <xf numFmtId="1" fontId="13" fillId="19" borderId="0" xfId="3" applyNumberFormat="1" applyFill="1" applyAlignment="1">
      <alignment horizontal="center"/>
    </xf>
    <xf numFmtId="165" fontId="13" fillId="13" borderId="0" xfId="3" applyNumberFormat="1" applyFill="1" applyAlignment="1">
      <alignment horizontal="center"/>
    </xf>
    <xf numFmtId="0" fontId="13" fillId="37" borderId="0" xfId="3" applyFill="1" applyAlignment="1">
      <alignment horizontal="center"/>
    </xf>
    <xf numFmtId="0" fontId="13" fillId="13" borderId="0" xfId="3" applyFill="1"/>
    <xf numFmtId="0" fontId="13" fillId="39" borderId="0" xfId="3" applyFill="1"/>
    <xf numFmtId="0" fontId="13" fillId="37" borderId="0" xfId="3" applyFill="1"/>
    <xf numFmtId="0" fontId="13" fillId="38" borderId="0" xfId="3" applyFill="1"/>
    <xf numFmtId="0" fontId="20" fillId="8" borderId="0" xfId="3" applyFont="1" applyFill="1"/>
    <xf numFmtId="165" fontId="20" fillId="8" borderId="0" xfId="3" applyNumberFormat="1" applyFont="1" applyFill="1"/>
    <xf numFmtId="0" fontId="20" fillId="11" borderId="61" xfId="3" applyFont="1" applyFill="1" applyBorder="1"/>
    <xf numFmtId="2" fontId="13" fillId="13" borderId="0" xfId="3" applyNumberFormat="1" applyFill="1" applyAlignment="1">
      <alignment horizontal="left"/>
    </xf>
    <xf numFmtId="0" fontId="20" fillId="13" borderId="62" xfId="3" applyFont="1" applyFill="1" applyBorder="1"/>
    <xf numFmtId="1" fontId="13" fillId="13" borderId="61" xfId="3" applyNumberFormat="1" applyFill="1" applyBorder="1" applyAlignment="1">
      <alignment horizontal="center"/>
    </xf>
    <xf numFmtId="0" fontId="20" fillId="13" borderId="0" xfId="3" applyFont="1" applyFill="1" applyAlignment="1">
      <alignment horizontal="left"/>
    </xf>
    <xf numFmtId="1" fontId="13" fillId="13" borderId="0" xfId="3" applyNumberFormat="1" applyFill="1" applyAlignment="1">
      <alignment horizontal="center"/>
    </xf>
    <xf numFmtId="0" fontId="18" fillId="0" borderId="0" xfId="0" applyFont="1" applyAlignment="1">
      <alignment horizontal="right"/>
    </xf>
    <xf numFmtId="165" fontId="13" fillId="0" borderId="2" xfId="0" applyNumberFormat="1" applyFont="1" applyBorder="1" applyAlignment="1">
      <alignment vertical="center"/>
    </xf>
    <xf numFmtId="165" fontId="13" fillId="0" borderId="0" xfId="0" applyNumberFormat="1" applyFont="1" applyAlignment="1">
      <alignment horizontal="right" vertical="center"/>
    </xf>
    <xf numFmtId="0" fontId="13" fillId="0" borderId="0" xfId="0" applyFont="1"/>
    <xf numFmtId="0" fontId="13" fillId="0" borderId="4" xfId="0" applyFont="1" applyBorder="1" applyAlignment="1">
      <alignment vertical="center"/>
    </xf>
    <xf numFmtId="0" fontId="13" fillId="0" borderId="50" xfId="0" applyFont="1" applyBorder="1" applyAlignment="1">
      <alignment horizontal="center" textRotation="90" wrapText="1"/>
    </xf>
    <xf numFmtId="0" fontId="13" fillId="0" borderId="33" xfId="0" applyFont="1" applyBorder="1" applyAlignment="1">
      <alignment horizontal="center" textRotation="90"/>
    </xf>
    <xf numFmtId="0" fontId="13" fillId="0" borderId="35" xfId="0" applyFont="1" applyBorder="1" applyAlignment="1">
      <alignment horizontal="center" textRotation="90"/>
    </xf>
    <xf numFmtId="0" fontId="13" fillId="0" borderId="4" xfId="0" applyFont="1" applyBorder="1" applyAlignment="1">
      <alignment vertical="top" wrapText="1"/>
    </xf>
    <xf numFmtId="0" fontId="13" fillId="0" borderId="9" xfId="0" applyFont="1" applyBorder="1" applyAlignment="1">
      <alignment vertical="top" wrapText="1"/>
    </xf>
    <xf numFmtId="0" fontId="13" fillId="0" borderId="4" xfId="0" applyFont="1" applyBorder="1"/>
    <xf numFmtId="0" fontId="13" fillId="0" borderId="9" xfId="0" applyFont="1" applyBorder="1"/>
    <xf numFmtId="0" fontId="13" fillId="0" borderId="5" xfId="0" applyFont="1" applyBorder="1"/>
    <xf numFmtId="0" fontId="89" fillId="0" borderId="9" xfId="4" applyFont="1" applyBorder="1"/>
    <xf numFmtId="0" fontId="13" fillId="0" borderId="0" xfId="0" applyFont="1" applyAlignment="1">
      <alignment vertical="top" wrapText="1"/>
    </xf>
    <xf numFmtId="0" fontId="13" fillId="0" borderId="51" xfId="0" applyFont="1" applyBorder="1" applyAlignment="1">
      <alignment horizontal="center" textRotation="90" wrapText="1"/>
    </xf>
    <xf numFmtId="1" fontId="13" fillId="0" borderId="0" xfId="0" applyNumberFormat="1" applyFont="1" applyAlignment="1">
      <alignment vertical="center"/>
    </xf>
    <xf numFmtId="0" fontId="13" fillId="5" borderId="0" xfId="0" applyFont="1" applyFill="1" applyAlignment="1">
      <alignment vertical="center"/>
    </xf>
    <xf numFmtId="165" fontId="13" fillId="0" borderId="2" xfId="0" applyNumberFormat="1" applyFont="1" applyBorder="1" applyAlignment="1">
      <alignment horizontal="right" vertical="center"/>
    </xf>
    <xf numFmtId="0" fontId="29" fillId="40" borderId="0" xfId="0" applyFont="1" applyFill="1" applyAlignment="1">
      <alignment vertical="center"/>
    </xf>
    <xf numFmtId="165" fontId="31" fillId="40" borderId="2" xfId="0" applyNumberFormat="1" applyFont="1" applyFill="1" applyBorder="1" applyAlignment="1">
      <alignment vertical="center"/>
    </xf>
    <xf numFmtId="165" fontId="29" fillId="40" borderId="2" xfId="0" applyNumberFormat="1" applyFont="1" applyFill="1" applyBorder="1" applyAlignment="1">
      <alignment vertical="center"/>
    </xf>
    <xf numFmtId="165" fontId="29" fillId="40" borderId="2" xfId="0" applyNumberFormat="1" applyFont="1" applyFill="1" applyBorder="1" applyAlignment="1">
      <alignment horizontal="right" vertical="center"/>
    </xf>
    <xf numFmtId="165" fontId="20" fillId="40" borderId="2" xfId="0" applyNumberFormat="1" applyFont="1" applyFill="1" applyBorder="1" applyAlignment="1">
      <alignment horizontal="right" vertical="center"/>
    </xf>
    <xf numFmtId="165" fontId="62" fillId="40" borderId="14" xfId="0" applyNumberFormat="1" applyFont="1" applyFill="1" applyBorder="1" applyAlignment="1">
      <alignment vertical="center"/>
    </xf>
    <xf numFmtId="165" fontId="15" fillId="40" borderId="2" xfId="0" applyNumberFormat="1" applyFont="1" applyFill="1" applyBorder="1" applyAlignment="1">
      <alignment horizontal="right" vertical="center"/>
    </xf>
    <xf numFmtId="0" fontId="15" fillId="40" borderId="0" xfId="0" applyFont="1" applyFill="1" applyAlignment="1">
      <alignment horizontal="left" vertical="center"/>
    </xf>
    <xf numFmtId="0" fontId="24" fillId="40" borderId="0" xfId="0" applyFont="1" applyFill="1" applyAlignment="1">
      <alignment horizontal="left" vertical="center"/>
    </xf>
    <xf numFmtId="0" fontId="15" fillId="40" borderId="0" xfId="0" applyFont="1" applyFill="1" applyAlignment="1">
      <alignment vertical="center"/>
    </xf>
    <xf numFmtId="0" fontId="13" fillId="40" borderId="2" xfId="0" applyFont="1" applyFill="1" applyBorder="1" applyAlignment="1">
      <alignment vertical="center"/>
    </xf>
    <xf numFmtId="165" fontId="60" fillId="40" borderId="2" xfId="0" applyNumberFormat="1" applyFont="1" applyFill="1" applyBorder="1" applyAlignment="1">
      <alignment horizontal="right" vertical="center"/>
    </xf>
    <xf numFmtId="2" fontId="15" fillId="40" borderId="2" xfId="0" applyNumberFormat="1" applyFont="1" applyFill="1" applyBorder="1" applyAlignment="1">
      <alignment horizontal="right" vertical="center"/>
    </xf>
    <xf numFmtId="165" fontId="62" fillId="40" borderId="2" xfId="0" applyNumberFormat="1" applyFont="1" applyFill="1" applyBorder="1" applyAlignment="1">
      <alignment vertical="center"/>
    </xf>
    <xf numFmtId="0" fontId="28" fillId="40" borderId="0" xfId="0" applyFont="1" applyFill="1" applyAlignment="1">
      <alignment vertical="center"/>
    </xf>
    <xf numFmtId="165" fontId="26" fillId="40" borderId="2" xfId="0" applyNumberFormat="1" applyFont="1" applyFill="1" applyBorder="1" applyAlignment="1">
      <alignment vertical="center"/>
    </xf>
    <xf numFmtId="1" fontId="29" fillId="40" borderId="2" xfId="0" applyNumberFormat="1" applyFont="1" applyFill="1" applyBorder="1" applyAlignment="1">
      <alignment horizontal="right" vertical="center"/>
    </xf>
    <xf numFmtId="165" fontId="26" fillId="40" borderId="15" xfId="0" applyNumberFormat="1" applyFont="1" applyFill="1" applyBorder="1" applyAlignment="1">
      <alignment vertical="center"/>
    </xf>
    <xf numFmtId="165" fontId="29" fillId="40" borderId="15" xfId="0" applyNumberFormat="1" applyFont="1" applyFill="1" applyBorder="1" applyAlignment="1">
      <alignment vertical="center"/>
    </xf>
    <xf numFmtId="165" fontId="15" fillId="40" borderId="15" xfId="0" applyNumberFormat="1" applyFont="1" applyFill="1" applyBorder="1" applyAlignment="1">
      <alignment horizontal="right" vertical="center"/>
    </xf>
    <xf numFmtId="1" fontId="29" fillId="40" borderId="15" xfId="0" applyNumberFormat="1" applyFont="1" applyFill="1" applyBorder="1" applyAlignment="1">
      <alignment horizontal="right" vertical="center"/>
    </xf>
    <xf numFmtId="0" fontId="81" fillId="38" borderId="0" xfId="3" applyFont="1" applyFill="1"/>
    <xf numFmtId="0" fontId="81" fillId="38" borderId="0" xfId="3" applyFont="1" applyFill="1" applyAlignment="1">
      <alignment horizontal="center"/>
    </xf>
    <xf numFmtId="0" fontId="81" fillId="41" borderId="0" xfId="3" applyFont="1" applyFill="1"/>
    <xf numFmtId="0" fontId="81" fillId="41" borderId="0" xfId="3" applyFont="1" applyFill="1" applyAlignment="1">
      <alignment horizontal="center"/>
    </xf>
    <xf numFmtId="0" fontId="13" fillId="0" borderId="23" xfId="3" applyBorder="1"/>
    <xf numFmtId="0" fontId="13" fillId="0" borderId="25" xfId="3" applyBorder="1"/>
    <xf numFmtId="0" fontId="20" fillId="39" borderId="23" xfId="3" applyFont="1" applyFill="1" applyBorder="1" applyAlignment="1">
      <alignment horizontal="left"/>
    </xf>
    <xf numFmtId="0" fontId="20" fillId="39" borderId="24" xfId="3" applyFont="1" applyFill="1" applyBorder="1" applyAlignment="1">
      <alignment horizontal="left"/>
    </xf>
    <xf numFmtId="0" fontId="20" fillId="39" borderId="25" xfId="3" applyFont="1" applyFill="1" applyBorder="1" applyAlignment="1">
      <alignment horizontal="left"/>
    </xf>
    <xf numFmtId="0" fontId="20" fillId="42" borderId="23" xfId="3" applyFont="1" applyFill="1" applyBorder="1" applyAlignment="1">
      <alignment horizontal="left"/>
    </xf>
    <xf numFmtId="0" fontId="20" fillId="42" borderId="24" xfId="3" applyFont="1" applyFill="1" applyBorder="1" applyAlignment="1">
      <alignment horizontal="left"/>
    </xf>
    <xf numFmtId="0" fontId="20" fillId="42" borderId="25" xfId="3" applyFont="1" applyFill="1" applyBorder="1" applyAlignment="1">
      <alignment horizontal="left"/>
    </xf>
    <xf numFmtId="0" fontId="20" fillId="43" borderId="23" xfId="3" applyFont="1" applyFill="1" applyBorder="1" applyAlignment="1">
      <alignment horizontal="left"/>
    </xf>
    <xf numFmtId="0" fontId="20" fillId="37" borderId="23" xfId="3" applyFont="1" applyFill="1" applyBorder="1" applyAlignment="1">
      <alignment horizontal="left"/>
    </xf>
    <xf numFmtId="0" fontId="20" fillId="37" borderId="24" xfId="3" applyFont="1" applyFill="1" applyBorder="1" applyAlignment="1">
      <alignment horizontal="left"/>
    </xf>
    <xf numFmtId="0" fontId="20" fillId="14" borderId="23" xfId="3" applyFont="1" applyFill="1" applyBorder="1" applyAlignment="1">
      <alignment horizontal="left"/>
    </xf>
    <xf numFmtId="0" fontId="20" fillId="14" borderId="24" xfId="3" applyFont="1" applyFill="1" applyBorder="1" applyAlignment="1">
      <alignment horizontal="left"/>
    </xf>
    <xf numFmtId="0" fontId="13" fillId="41" borderId="0" xfId="3" applyFill="1"/>
    <xf numFmtId="0" fontId="20" fillId="12" borderId="23" xfId="3" applyFont="1" applyFill="1" applyBorder="1" applyAlignment="1">
      <alignment horizontal="left"/>
    </xf>
    <xf numFmtId="0" fontId="13" fillId="0" borderId="30" xfId="3" applyBorder="1"/>
    <xf numFmtId="0" fontId="13" fillId="0" borderId="30" xfId="3" applyBorder="1" applyAlignment="1">
      <alignment horizontal="center" textRotation="90"/>
    </xf>
    <xf numFmtId="0" fontId="13" fillId="0" borderId="30" xfId="3" applyBorder="1" applyAlignment="1">
      <alignment horizontal="center"/>
    </xf>
    <xf numFmtId="165" fontId="13" fillId="0" borderId="30" xfId="3" applyNumberFormat="1" applyBorder="1"/>
    <xf numFmtId="165" fontId="13" fillId="0" borderId="30" xfId="3" applyNumberFormat="1" applyBorder="1" applyAlignment="1">
      <alignment horizontal="center"/>
    </xf>
    <xf numFmtId="165" fontId="13" fillId="4" borderId="30" xfId="3" applyNumberFormat="1" applyFill="1" applyBorder="1" applyAlignment="1">
      <alignment horizontal="center"/>
    </xf>
    <xf numFmtId="165" fontId="13" fillId="0" borderId="14" xfId="0" applyNumberFormat="1" applyFont="1" applyBorder="1" applyAlignment="1">
      <alignment horizontal="right" vertical="center"/>
    </xf>
    <xf numFmtId="1" fontId="13" fillId="0" borderId="14" xfId="0" applyNumberFormat="1" applyFont="1" applyBorder="1" applyAlignment="1">
      <alignment horizontal="right" vertical="center"/>
    </xf>
    <xf numFmtId="1" fontId="13" fillId="0" borderId="2" xfId="0" applyNumberFormat="1" applyFont="1" applyBorder="1" applyAlignment="1">
      <alignment horizontal="right" vertical="center"/>
    </xf>
    <xf numFmtId="2" fontId="13" fillId="0" borderId="2" xfId="0" applyNumberFormat="1" applyFont="1" applyBorder="1" applyAlignment="1">
      <alignment horizontal="right" vertical="center"/>
    </xf>
    <xf numFmtId="1" fontId="90" fillId="0" borderId="2" xfId="0" applyNumberFormat="1" applyFont="1" applyBorder="1" applyAlignment="1">
      <alignment horizontal="right" vertical="center"/>
    </xf>
    <xf numFmtId="0" fontId="24" fillId="0" borderId="0" xfId="0" applyFont="1"/>
    <xf numFmtId="0" fontId="13" fillId="5" borderId="0" xfId="0" applyFont="1" applyFill="1"/>
    <xf numFmtId="0" fontId="13" fillId="0" borderId="0" xfId="0" applyFont="1" applyAlignment="1">
      <alignment horizontal="center" vertical="center"/>
    </xf>
    <xf numFmtId="1" fontId="13" fillId="5" borderId="0" xfId="0" applyNumberFormat="1" applyFont="1" applyFill="1" applyAlignment="1">
      <alignment vertical="center"/>
    </xf>
    <xf numFmtId="1" fontId="13" fillId="5" borderId="0" xfId="0" applyNumberFormat="1" applyFont="1" applyFill="1"/>
    <xf numFmtId="1" fontId="58" fillId="0" borderId="0" xfId="0" applyNumberFormat="1" applyFont="1" applyAlignment="1">
      <alignment vertical="center"/>
    </xf>
    <xf numFmtId="0" fontId="27" fillId="6" borderId="57" xfId="0" applyFont="1" applyFill="1" applyBorder="1"/>
    <xf numFmtId="0" fontId="13" fillId="12" borderId="24" xfId="3" applyFill="1" applyBorder="1"/>
    <xf numFmtId="0" fontId="13" fillId="43" borderId="24" xfId="3" applyFill="1" applyBorder="1"/>
    <xf numFmtId="0" fontId="13" fillId="43" borderId="25" xfId="3" applyFill="1" applyBorder="1"/>
    <xf numFmtId="165" fontId="89" fillId="0" borderId="30" xfId="4" applyNumberFormat="1" applyFont="1" applyBorder="1" applyAlignment="1">
      <alignment horizontal="center"/>
    </xf>
    <xf numFmtId="165" fontId="13" fillId="0" borderId="30" xfId="0" applyNumberFormat="1" applyFont="1" applyBorder="1" applyAlignment="1">
      <alignment horizontal="center" vertical="center"/>
    </xf>
    <xf numFmtId="9" fontId="13" fillId="39" borderId="0" xfId="7" applyFont="1" applyFill="1" applyBorder="1" applyAlignment="1" applyProtection="1">
      <alignment horizontal="center"/>
    </xf>
    <xf numFmtId="9" fontId="13" fillId="39" borderId="0" xfId="3" applyNumberFormat="1" applyFill="1" applyAlignment="1">
      <alignment horizontal="center"/>
    </xf>
    <xf numFmtId="2" fontId="13" fillId="39" borderId="0" xfId="3" applyNumberFormat="1" applyFill="1" applyAlignment="1">
      <alignment horizontal="center"/>
    </xf>
    <xf numFmtId="9" fontId="13" fillId="37" borderId="0" xfId="5" applyFont="1" applyFill="1" applyBorder="1" applyAlignment="1">
      <alignment horizontal="center"/>
    </xf>
    <xf numFmtId="2" fontId="45" fillId="0" borderId="2" xfId="0" applyNumberFormat="1" applyFont="1" applyBorder="1" applyAlignment="1">
      <alignment horizontal="right" vertical="center"/>
    </xf>
    <xf numFmtId="0" fontId="13" fillId="0" borderId="7" xfId="0" applyFont="1" applyBorder="1"/>
    <xf numFmtId="165" fontId="91" fillId="0" borderId="2" xfId="0" applyNumberFormat="1" applyFont="1" applyBorder="1" applyAlignment="1">
      <alignment horizontal="right" vertical="center"/>
    </xf>
    <xf numFmtId="0" fontId="13" fillId="0" borderId="14" xfId="0" applyFont="1" applyBorder="1" applyAlignment="1">
      <alignment horizontal="right" vertical="center"/>
    </xf>
    <xf numFmtId="0" fontId="41" fillId="0" borderId="2" xfId="0" applyFont="1" applyBorder="1" applyAlignment="1">
      <alignment vertical="center"/>
    </xf>
    <xf numFmtId="168" fontId="13" fillId="0" borderId="14" xfId="0" applyNumberFormat="1" applyFont="1" applyBorder="1" applyAlignment="1">
      <alignment horizontal="right" vertical="center"/>
    </xf>
    <xf numFmtId="168" fontId="13" fillId="0" borderId="14" xfId="0" applyNumberFormat="1" applyFont="1" applyBorder="1" applyAlignment="1">
      <alignment vertical="center"/>
    </xf>
    <xf numFmtId="2" fontId="13" fillId="2" borderId="2" xfId="0" applyNumberFormat="1" applyFont="1" applyFill="1" applyBorder="1" applyAlignment="1">
      <alignment horizontal="right" vertical="center"/>
    </xf>
    <xf numFmtId="165" fontId="13" fillId="2" borderId="2" xfId="0" applyNumberFormat="1" applyFont="1" applyFill="1" applyBorder="1" applyAlignment="1">
      <alignment horizontal="right" vertical="center"/>
    </xf>
    <xf numFmtId="0" fontId="13" fillId="40" borderId="0" xfId="0" applyFont="1" applyFill="1" applyAlignment="1">
      <alignment vertical="center"/>
    </xf>
    <xf numFmtId="165" fontId="13" fillId="40" borderId="0" xfId="0" applyNumberFormat="1" applyFont="1" applyFill="1" applyAlignment="1">
      <alignment horizontal="left" vertical="center"/>
    </xf>
    <xf numFmtId="0" fontId="33" fillId="40" borderId="0" xfId="0" applyFont="1" applyFill="1" applyAlignment="1">
      <alignment vertical="center"/>
    </xf>
    <xf numFmtId="165" fontId="23" fillId="40" borderId="2" xfId="0" applyNumberFormat="1" applyFont="1" applyFill="1" applyBorder="1" applyAlignment="1">
      <alignment horizontal="right" vertical="center"/>
    </xf>
    <xf numFmtId="171" fontId="15" fillId="40" borderId="2" xfId="2" applyNumberFormat="1" applyFont="1" applyFill="1" applyBorder="1" applyAlignment="1">
      <alignment horizontal="right" vertical="center"/>
    </xf>
    <xf numFmtId="2" fontId="13" fillId="40" borderId="2" xfId="0" applyNumberFormat="1" applyFont="1" applyFill="1" applyBorder="1" applyAlignment="1">
      <alignment horizontal="right" vertical="center"/>
    </xf>
    <xf numFmtId="178" fontId="15" fillId="2" borderId="0" xfId="0" applyNumberFormat="1" applyFont="1" applyFill="1" applyAlignment="1">
      <alignment vertical="center"/>
    </xf>
    <xf numFmtId="0" fontId="13" fillId="0" borderId="37" xfId="0" applyFont="1" applyBorder="1" applyAlignment="1">
      <alignment horizontal="center" textRotation="90" wrapText="1"/>
    </xf>
    <xf numFmtId="0" fontId="13" fillId="0" borderId="40" xfId="0" applyFont="1" applyBorder="1" applyAlignment="1">
      <alignment horizontal="center" textRotation="90" wrapText="1"/>
    </xf>
    <xf numFmtId="1" fontId="89" fillId="0" borderId="28" xfId="4" applyNumberFormat="1" applyFont="1" applyBorder="1" applyAlignment="1">
      <alignment horizontal="center"/>
    </xf>
    <xf numFmtId="165" fontId="30" fillId="2" borderId="2" xfId="0" applyNumberFormat="1" applyFont="1" applyFill="1" applyBorder="1" applyAlignment="1">
      <alignment vertical="center"/>
    </xf>
    <xf numFmtId="165" fontId="31" fillId="40" borderId="14" xfId="0" applyNumberFormat="1" applyFont="1" applyFill="1" applyBorder="1" applyAlignment="1">
      <alignment vertical="center"/>
    </xf>
    <xf numFmtId="165" fontId="27" fillId="40" borderId="2" xfId="0" applyNumberFormat="1" applyFont="1" applyFill="1" applyBorder="1" applyAlignment="1">
      <alignment horizontal="right" vertical="center"/>
    </xf>
    <xf numFmtId="165" fontId="13" fillId="40" borderId="2" xfId="0" applyNumberFormat="1" applyFont="1" applyFill="1" applyBorder="1" applyAlignment="1">
      <alignment horizontal="right" vertical="center"/>
    </xf>
    <xf numFmtId="9" fontId="13" fillId="40" borderId="2" xfId="0" applyNumberFormat="1" applyFont="1" applyFill="1" applyBorder="1" applyAlignment="1">
      <alignment horizontal="right" vertical="center"/>
    </xf>
    <xf numFmtId="0" fontId="94" fillId="0" borderId="0" xfId="0" applyFont="1"/>
    <xf numFmtId="170" fontId="24" fillId="0" borderId="0" xfId="0" applyNumberFormat="1" applyFont="1" applyAlignment="1">
      <alignment horizontal="center"/>
    </xf>
    <xf numFmtId="181" fontId="24" fillId="0" borderId="0" xfId="0" applyNumberFormat="1" applyFont="1" applyAlignment="1">
      <alignment horizontal="left"/>
    </xf>
    <xf numFmtId="0" fontId="89" fillId="0" borderId="0" xfId="33" applyFont="1"/>
    <xf numFmtId="0" fontId="37" fillId="6" borderId="0" xfId="0" applyFont="1" applyFill="1" applyAlignment="1">
      <alignment horizontal="left" vertical="center"/>
    </xf>
    <xf numFmtId="0" fontId="37" fillId="6" borderId="0" xfId="0" applyFont="1" applyFill="1" applyAlignment="1">
      <alignment horizontal="center" vertical="center"/>
    </xf>
    <xf numFmtId="0" fontId="89" fillId="0" borderId="0" xfId="33" applyFont="1" applyAlignment="1">
      <alignment horizontal="center"/>
    </xf>
    <xf numFmtId="0" fontId="13" fillId="6" borderId="24" xfId="0" applyFont="1" applyFill="1" applyBorder="1" applyAlignment="1">
      <alignment vertical="center"/>
    </xf>
    <xf numFmtId="0" fontId="13" fillId="6" borderId="0" xfId="0" applyFont="1" applyFill="1" applyAlignment="1">
      <alignment vertical="center"/>
    </xf>
    <xf numFmtId="0" fontId="13" fillId="6" borderId="12" xfId="0" applyFont="1" applyFill="1" applyBorder="1"/>
    <xf numFmtId="0" fontId="13" fillId="6" borderId="12" xfId="0" applyFont="1" applyFill="1" applyBorder="1" applyAlignment="1">
      <alignment vertical="center"/>
    </xf>
    <xf numFmtId="0" fontId="13" fillId="6" borderId="0" xfId="0" applyFont="1" applyFill="1"/>
    <xf numFmtId="167" fontId="24" fillId="0" borderId="0" xfId="0" applyNumberFormat="1" applyFont="1" applyAlignment="1">
      <alignment horizontal="left"/>
    </xf>
    <xf numFmtId="0" fontId="13" fillId="0" borderId="2" xfId="0" applyFont="1" applyBorder="1"/>
    <xf numFmtId="0" fontId="13" fillId="0" borderId="0" xfId="0" applyFont="1" applyAlignment="1">
      <alignment horizontal="left" vertical="center"/>
    </xf>
    <xf numFmtId="2" fontId="13" fillId="0" borderId="0" xfId="0" applyNumberFormat="1" applyFont="1" applyAlignment="1">
      <alignment horizontal="left" vertical="center"/>
    </xf>
    <xf numFmtId="0" fontId="26" fillId="0" borderId="2" xfId="0" applyFont="1" applyBorder="1"/>
    <xf numFmtId="0" fontId="34" fillId="0" borderId="0" xfId="0" applyFont="1" applyAlignment="1">
      <alignment vertical="center"/>
    </xf>
    <xf numFmtId="0" fontId="34" fillId="0" borderId="0" xfId="0" applyFont="1" applyAlignment="1">
      <alignment horizontal="center" vertical="center"/>
    </xf>
    <xf numFmtId="1" fontId="13" fillId="0" borderId="0" xfId="0" applyNumberFormat="1" applyFont="1" applyAlignment="1">
      <alignment horizontal="right" vertical="center"/>
    </xf>
    <xf numFmtId="2" fontId="13" fillId="0" borderId="0" xfId="0" applyNumberFormat="1" applyFont="1" applyAlignment="1">
      <alignment horizontal="right" vertical="center"/>
    </xf>
    <xf numFmtId="1" fontId="13" fillId="0" borderId="2" xfId="0" applyNumberFormat="1" applyFont="1" applyBorder="1" applyAlignment="1">
      <alignment vertical="center"/>
    </xf>
    <xf numFmtId="1" fontId="13" fillId="44" borderId="2" xfId="0" applyNumberFormat="1" applyFont="1" applyFill="1" applyBorder="1" applyAlignment="1">
      <alignment horizontal="right" vertical="center"/>
    </xf>
    <xf numFmtId="165" fontId="29" fillId="44" borderId="2" xfId="0" applyNumberFormat="1" applyFont="1" applyFill="1" applyBorder="1" applyAlignment="1">
      <alignment horizontal="right" vertical="center"/>
    </xf>
    <xf numFmtId="165" fontId="13" fillId="44" borderId="2" xfId="0" applyNumberFormat="1" applyFont="1" applyFill="1" applyBorder="1" applyAlignment="1">
      <alignment vertical="center"/>
    </xf>
    <xf numFmtId="165" fontId="23" fillId="0" borderId="2" xfId="0" applyNumberFormat="1" applyFont="1" applyBorder="1" applyAlignment="1">
      <alignment vertical="center"/>
    </xf>
    <xf numFmtId="1" fontId="13" fillId="44" borderId="2" xfId="0" applyNumberFormat="1" applyFont="1" applyFill="1" applyBorder="1" applyAlignment="1">
      <alignment vertical="center"/>
    </xf>
    <xf numFmtId="2" fontId="13" fillId="44" borderId="2" xfId="0" applyNumberFormat="1" applyFont="1" applyFill="1" applyBorder="1" applyAlignment="1">
      <alignment vertical="center"/>
    </xf>
    <xf numFmtId="165" fontId="27" fillId="0" borderId="2" xfId="0" applyNumberFormat="1" applyFont="1" applyBorder="1" applyAlignment="1">
      <alignment vertical="center"/>
    </xf>
    <xf numFmtId="1" fontId="29" fillId="0" borderId="2" xfId="0" applyNumberFormat="1" applyFont="1" applyBorder="1" applyAlignment="1">
      <alignment vertical="center"/>
    </xf>
    <xf numFmtId="165" fontId="29" fillId="44" borderId="2" xfId="0" applyNumberFormat="1" applyFont="1" applyFill="1" applyBorder="1" applyAlignment="1">
      <alignment vertical="center"/>
    </xf>
    <xf numFmtId="165" fontId="15" fillId="44" borderId="2" xfId="0" applyNumberFormat="1" applyFont="1" applyFill="1" applyBorder="1" applyAlignment="1">
      <alignment vertical="center"/>
    </xf>
    <xf numFmtId="1" fontId="15" fillId="44" borderId="2" xfId="0" applyNumberFormat="1" applyFont="1" applyFill="1" applyBorder="1" applyAlignment="1">
      <alignment vertical="center"/>
    </xf>
    <xf numFmtId="165" fontId="15" fillId="44" borderId="2" xfId="0" applyNumberFormat="1" applyFont="1" applyFill="1" applyBorder="1" applyAlignment="1">
      <alignment horizontal="right" vertical="center"/>
    </xf>
    <xf numFmtId="2" fontId="15" fillId="44" borderId="2" xfId="0" applyNumberFormat="1" applyFont="1" applyFill="1" applyBorder="1" applyAlignment="1">
      <alignment horizontal="right" vertical="center"/>
    </xf>
    <xf numFmtId="1" fontId="29" fillId="44" borderId="2" xfId="0" applyNumberFormat="1" applyFont="1" applyFill="1" applyBorder="1" applyAlignment="1">
      <alignment horizontal="right" vertical="center"/>
    </xf>
    <xf numFmtId="165" fontId="15" fillId="44" borderId="15" xfId="0" applyNumberFormat="1" applyFont="1" applyFill="1" applyBorder="1" applyAlignment="1">
      <alignment horizontal="right" vertical="center"/>
    </xf>
    <xf numFmtId="179" fontId="24" fillId="0" borderId="21" xfId="0" applyNumberFormat="1" applyFont="1" applyBorder="1"/>
    <xf numFmtId="180" fontId="24" fillId="0" borderId="11" xfId="0" applyNumberFormat="1" applyFont="1" applyBorder="1"/>
    <xf numFmtId="170" fontId="24" fillId="0" borderId="11" xfId="0" applyNumberFormat="1" applyFont="1" applyBorder="1"/>
    <xf numFmtId="181" fontId="13" fillId="0" borderId="11" xfId="0" applyNumberFormat="1" applyFont="1" applyBorder="1"/>
    <xf numFmtId="0" fontId="93" fillId="40" borderId="0" xfId="0" applyFont="1" applyFill="1" applyAlignment="1">
      <alignment vertical="center"/>
    </xf>
    <xf numFmtId="0" fontId="89" fillId="0" borderId="0" xfId="34" applyFont="1"/>
    <xf numFmtId="0" fontId="89" fillId="0" borderId="0" xfId="34" applyFont="1" applyAlignment="1">
      <alignment horizontal="center"/>
    </xf>
    <xf numFmtId="0" fontId="78" fillId="0" borderId="0" xfId="34" applyFont="1"/>
    <xf numFmtId="0" fontId="92" fillId="0" borderId="0" xfId="34" applyFont="1"/>
    <xf numFmtId="0" fontId="95" fillId="0" borderId="0" xfId="34" applyFont="1" applyAlignment="1">
      <alignment horizontal="center" wrapText="1"/>
    </xf>
    <xf numFmtId="0" fontId="89" fillId="0" borderId="0" xfId="35" applyFont="1" applyAlignment="1">
      <alignment vertical="top" wrapText="1"/>
    </xf>
    <xf numFmtId="165" fontId="60" fillId="6" borderId="12" xfId="0" applyNumberFormat="1" applyFont="1" applyFill="1" applyBorder="1" applyAlignment="1">
      <alignment horizontal="left" vertical="center"/>
    </xf>
    <xf numFmtId="0" fontId="60" fillId="6" borderId="12" xfId="0" applyFont="1" applyFill="1" applyBorder="1" applyAlignment="1">
      <alignment horizontal="left" vertical="center"/>
    </xf>
    <xf numFmtId="0" fontId="42" fillId="0" borderId="0" xfId="0" applyFont="1" applyAlignment="1">
      <alignment horizontal="center"/>
    </xf>
    <xf numFmtId="0" fontId="42" fillId="0" borderId="0" xfId="0" applyFont="1"/>
    <xf numFmtId="0" fontId="0" fillId="0" borderId="0" xfId="2" applyNumberFormat="1" applyFont="1" applyFill="1"/>
    <xf numFmtId="49" fontId="13" fillId="0" borderId="0" xfId="0" applyNumberFormat="1" applyFont="1" applyAlignment="1">
      <alignment horizontal="center"/>
    </xf>
    <xf numFmtId="0" fontId="13" fillId="0" borderId="0" xfId="0" applyFont="1" applyAlignment="1">
      <alignment horizontal="center"/>
    </xf>
    <xf numFmtId="0" fontId="13" fillId="0" borderId="0" xfId="2" applyNumberFormat="1" applyFont="1" applyFill="1"/>
    <xf numFmtId="0" fontId="20" fillId="0" borderId="4" xfId="0" applyFont="1" applyBorder="1" applyAlignment="1">
      <alignment horizontal="center" vertical="top"/>
    </xf>
    <xf numFmtId="0" fontId="20" fillId="0" borderId="4" xfId="0" applyFont="1" applyBorder="1" applyAlignment="1">
      <alignment vertical="top"/>
    </xf>
    <xf numFmtId="0" fontId="20" fillId="0" borderId="5" xfId="0" applyFont="1" applyBorder="1" applyAlignment="1">
      <alignment vertical="top"/>
    </xf>
    <xf numFmtId="0" fontId="20" fillId="0" borderId="5" xfId="0" applyFont="1" applyBorder="1"/>
    <xf numFmtId="0" fontId="20" fillId="0" borderId="26" xfId="0" applyFont="1" applyBorder="1"/>
    <xf numFmtId="0" fontId="20" fillId="0" borderId="0" xfId="2" applyNumberFormat="1" applyFont="1" applyFill="1"/>
    <xf numFmtId="49" fontId="13" fillId="0" borderId="38" xfId="0" applyNumberFormat="1" applyFont="1" applyBorder="1" applyAlignment="1">
      <alignment horizontal="center" vertical="top" wrapText="1"/>
    </xf>
    <xf numFmtId="0" fontId="13" fillId="0" borderId="38" xfId="0" applyFont="1" applyBorder="1"/>
    <xf numFmtId="0" fontId="13" fillId="0" borderId="37" xfId="0" applyFont="1" applyBorder="1" applyAlignment="1">
      <alignment vertical="top"/>
    </xf>
    <xf numFmtId="0" fontId="13" fillId="0" borderId="38" xfId="0" applyFont="1" applyBorder="1" applyAlignment="1">
      <alignment horizontal="center" vertical="top"/>
    </xf>
    <xf numFmtId="0" fontId="13" fillId="0" borderId="37" xfId="0" applyFont="1" applyBorder="1"/>
    <xf numFmtId="0" fontId="13" fillId="0" borderId="44" xfId="0" applyFont="1" applyBorder="1" applyAlignment="1">
      <alignment horizontal="center" textRotation="90" wrapText="1"/>
    </xf>
    <xf numFmtId="0" fontId="13" fillId="0" borderId="72" xfId="0" applyFont="1" applyBorder="1" applyAlignment="1">
      <alignment horizontal="center" textRotation="90" wrapText="1"/>
    </xf>
    <xf numFmtId="0" fontId="13" fillId="0" borderId="54" xfId="0" applyFont="1" applyBorder="1" applyAlignment="1">
      <alignment horizontal="center" textRotation="90" wrapText="1"/>
    </xf>
    <xf numFmtId="0" fontId="13" fillId="0" borderId="76" xfId="0" applyFont="1" applyBorder="1" applyAlignment="1">
      <alignment horizontal="center" textRotation="90" wrapText="1"/>
    </xf>
    <xf numFmtId="165" fontId="13" fillId="0" borderId="6" xfId="0" applyNumberFormat="1" applyFont="1" applyBorder="1" applyAlignment="1">
      <alignment horizontal="center" textRotation="90" wrapText="1"/>
    </xf>
    <xf numFmtId="165" fontId="13" fillId="0" borderId="7" xfId="0" applyNumberFormat="1" applyFont="1" applyBorder="1" applyAlignment="1">
      <alignment horizontal="center" textRotation="90" wrapText="1"/>
    </xf>
    <xf numFmtId="165" fontId="13" fillId="0" borderId="0" xfId="0" applyNumberFormat="1" applyFont="1" applyAlignment="1">
      <alignment horizontal="center" textRotation="90" wrapText="1"/>
    </xf>
    <xf numFmtId="0" fontId="13" fillId="0" borderId="45" xfId="0" applyFont="1" applyBorder="1" applyAlignment="1">
      <alignment horizontal="center" textRotation="90" wrapText="1"/>
    </xf>
    <xf numFmtId="0" fontId="13" fillId="0" borderId="8" xfId="0" applyFont="1" applyBorder="1" applyAlignment="1">
      <alignment horizontal="center" textRotation="90" wrapText="1"/>
    </xf>
    <xf numFmtId="0" fontId="13" fillId="0" borderId="10" xfId="0" applyFont="1" applyBorder="1" applyAlignment="1">
      <alignment horizontal="center" textRotation="90" wrapText="1"/>
    </xf>
    <xf numFmtId="0" fontId="13" fillId="0" borderId="9" xfId="0" quotePrefix="1" applyFont="1" applyBorder="1" applyAlignment="1">
      <alignment horizontal="center" textRotation="90" wrapText="1"/>
    </xf>
    <xf numFmtId="165" fontId="13" fillId="0" borderId="8" xfId="0" applyNumberFormat="1" applyFont="1" applyBorder="1" applyAlignment="1">
      <alignment horizontal="center" textRotation="90" wrapText="1"/>
    </xf>
    <xf numFmtId="165" fontId="13" fillId="0" borderId="10" xfId="0" applyNumberFormat="1" applyFont="1" applyBorder="1" applyAlignment="1">
      <alignment horizontal="center" textRotation="90" wrapText="1"/>
    </xf>
    <xf numFmtId="0" fontId="13" fillId="0" borderId="5" xfId="0" applyFont="1" applyBorder="1" applyAlignment="1">
      <alignment vertical="top" wrapText="1"/>
    </xf>
    <xf numFmtId="173" fontId="13" fillId="0" borderId="4" xfId="0" applyNumberFormat="1" applyFont="1" applyBorder="1" applyAlignment="1">
      <alignment vertical="top"/>
    </xf>
    <xf numFmtId="0" fontId="13" fillId="0" borderId="3" xfId="0" applyFont="1" applyBorder="1" applyAlignment="1">
      <alignment vertical="top" wrapText="1"/>
    </xf>
    <xf numFmtId="165" fontId="13" fillId="0" borderId="3" xfId="0" quotePrefix="1" applyNumberFormat="1" applyFont="1" applyBorder="1"/>
    <xf numFmtId="1" fontId="13" fillId="0" borderId="3" xfId="0" applyNumberFormat="1" applyFont="1" applyBorder="1" applyAlignment="1">
      <alignment horizontal="center" vertical="top" wrapText="1"/>
    </xf>
    <xf numFmtId="0" fontId="13" fillId="0" borderId="4" xfId="0" quotePrefix="1" applyFont="1" applyBorder="1" applyAlignment="1">
      <alignment vertical="top"/>
    </xf>
    <xf numFmtId="0" fontId="13" fillId="0" borderId="10" xfId="0" applyFont="1" applyBorder="1" applyAlignment="1">
      <alignment vertical="top" wrapText="1"/>
    </xf>
    <xf numFmtId="173" fontId="13" fillId="0" borderId="9" xfId="0" applyNumberFormat="1" applyFont="1" applyBorder="1" applyAlignment="1">
      <alignment vertical="top"/>
    </xf>
    <xf numFmtId="0" fontId="13" fillId="0" borderId="8" xfId="0" applyFont="1" applyBorder="1" applyAlignment="1">
      <alignment vertical="top" wrapText="1"/>
    </xf>
    <xf numFmtId="165" fontId="13" fillId="0" borderId="8" xfId="0" quotePrefix="1" applyNumberFormat="1" applyFont="1" applyBorder="1"/>
    <xf numFmtId="1" fontId="13" fillId="0" borderId="8" xfId="0" applyNumberFormat="1" applyFont="1" applyBorder="1" applyAlignment="1">
      <alignment horizontal="center" vertical="top" wrapText="1"/>
    </xf>
    <xf numFmtId="0" fontId="13" fillId="0" borderId="9" xfId="0" quotePrefix="1" applyFont="1" applyBorder="1" applyAlignment="1">
      <alignment vertical="top"/>
    </xf>
    <xf numFmtId="165" fontId="13" fillId="0" borderId="0" xfId="0" applyNumberFormat="1" applyFont="1" applyAlignment="1">
      <alignment horizontal="center" vertical="top" wrapText="1"/>
    </xf>
    <xf numFmtId="173" fontId="13" fillId="0" borderId="0" xfId="0" applyNumberFormat="1" applyFont="1" applyAlignment="1">
      <alignment vertical="top"/>
    </xf>
    <xf numFmtId="0" fontId="13" fillId="0" borderId="6" xfId="0" applyFont="1" applyBorder="1" applyAlignment="1">
      <alignment vertical="top" wrapText="1"/>
    </xf>
    <xf numFmtId="165" fontId="13" fillId="0" borderId="6" xfId="0" quotePrefix="1" applyNumberFormat="1" applyFont="1" applyBorder="1"/>
    <xf numFmtId="1" fontId="13" fillId="0" borderId="6" xfId="0" applyNumberFormat="1" applyFont="1" applyBorder="1" applyAlignment="1">
      <alignment horizontal="center" vertical="top" wrapText="1"/>
    </xf>
    <xf numFmtId="0" fontId="13" fillId="0" borderId="0" xfId="0" quotePrefix="1" applyFont="1" applyAlignment="1">
      <alignment vertical="top"/>
    </xf>
    <xf numFmtId="165" fontId="13" fillId="0" borderId="4" xfId="0" applyNumberFormat="1" applyFont="1" applyBorder="1" applyAlignment="1">
      <alignment horizontal="center" vertical="top" wrapText="1"/>
    </xf>
    <xf numFmtId="1" fontId="13" fillId="0" borderId="3" xfId="0" applyNumberFormat="1" applyFont="1" applyBorder="1" applyAlignment="1">
      <alignment horizontal="center"/>
    </xf>
    <xf numFmtId="173" fontId="13" fillId="0" borderId="0" xfId="0" applyNumberFormat="1" applyFont="1"/>
    <xf numFmtId="1" fontId="13" fillId="0" borderId="6" xfId="0" applyNumberFormat="1" applyFont="1" applyBorder="1" applyAlignment="1">
      <alignment horizontal="center"/>
    </xf>
    <xf numFmtId="165" fontId="13" fillId="0" borderId="9" xfId="0" applyNumberFormat="1" applyFont="1" applyBorder="1" applyAlignment="1">
      <alignment horizontal="center" vertical="top" wrapText="1"/>
    </xf>
    <xf numFmtId="173" fontId="13" fillId="0" borderId="9" xfId="0" applyNumberFormat="1" applyFont="1" applyBorder="1"/>
    <xf numFmtId="0" fontId="13" fillId="0" borderId="28" xfId="0" applyFont="1" applyBorder="1"/>
    <xf numFmtId="1" fontId="13" fillId="0" borderId="8" xfId="0" applyNumberFormat="1" applyFont="1" applyBorder="1" applyAlignment="1">
      <alignment horizontal="center"/>
    </xf>
    <xf numFmtId="0" fontId="13" fillId="0" borderId="10" xfId="0" applyFont="1" applyBorder="1"/>
    <xf numFmtId="0" fontId="13" fillId="0" borderId="27" xfId="0" applyFont="1" applyBorder="1" applyAlignment="1">
      <alignment vertical="top" wrapText="1"/>
    </xf>
    <xf numFmtId="0" fontId="13" fillId="0" borderId="0" xfId="0" quotePrefix="1" applyFont="1"/>
    <xf numFmtId="165" fontId="13" fillId="0" borderId="0" xfId="0" applyNumberFormat="1" applyFont="1" applyAlignment="1">
      <alignment vertical="top" wrapText="1"/>
    </xf>
    <xf numFmtId="173" fontId="13" fillId="0" borderId="4" xfId="0" applyNumberFormat="1" applyFont="1" applyBorder="1"/>
    <xf numFmtId="1" fontId="13" fillId="0" borderId="4" xfId="0" applyNumberFormat="1" applyFont="1" applyBorder="1" applyAlignment="1">
      <alignment vertical="top" wrapText="1"/>
    </xf>
    <xf numFmtId="1" fontId="13" fillId="0" borderId="0" xfId="0" applyNumberFormat="1" applyFont="1" applyAlignment="1">
      <alignment vertical="top" wrapText="1"/>
    </xf>
    <xf numFmtId="165" fontId="13" fillId="0" borderId="4" xfId="0" applyNumberFormat="1" applyFont="1" applyBorder="1" applyAlignment="1">
      <alignment vertical="top" wrapText="1"/>
    </xf>
    <xf numFmtId="0" fontId="13" fillId="0" borderId="0" xfId="2" applyNumberFormat="1" applyFont="1" applyFill="1" applyBorder="1" applyAlignment="1">
      <alignment vertical="top" wrapText="1"/>
    </xf>
    <xf numFmtId="165" fontId="13" fillId="0" borderId="9" xfId="0" applyNumberFormat="1" applyFont="1" applyBorder="1" applyAlignment="1">
      <alignment vertical="top" wrapText="1"/>
    </xf>
    <xf numFmtId="1" fontId="13" fillId="0" borderId="9" xfId="0" applyNumberFormat="1" applyFont="1" applyBorder="1" applyAlignment="1">
      <alignment vertical="top" wrapText="1"/>
    </xf>
    <xf numFmtId="0" fontId="13" fillId="0" borderId="28" xfId="0" applyFont="1" applyBorder="1" applyAlignment="1">
      <alignment vertical="top" wrapText="1"/>
    </xf>
    <xf numFmtId="165" fontId="13" fillId="0" borderId="8" xfId="0" applyNumberFormat="1" applyFont="1" applyBorder="1"/>
    <xf numFmtId="0" fontId="13" fillId="0" borderId="23" xfId="0" applyFont="1" applyBorder="1" applyAlignment="1">
      <alignment vertical="top" wrapText="1"/>
    </xf>
    <xf numFmtId="165" fontId="13" fillId="0" borderId="24" xfId="0" applyNumberFormat="1" applyFont="1" applyBorder="1" applyAlignment="1">
      <alignment vertical="top" wrapText="1"/>
    </xf>
    <xf numFmtId="0" fontId="13" fillId="0" borderId="24" xfId="0" applyFont="1" applyBorder="1" applyAlignment="1">
      <alignment vertical="top" wrapText="1"/>
    </xf>
    <xf numFmtId="1" fontId="13" fillId="0" borderId="23" xfId="0" applyNumberFormat="1" applyFont="1" applyBorder="1" applyAlignment="1">
      <alignment horizontal="center"/>
    </xf>
    <xf numFmtId="0" fontId="13" fillId="0" borderId="8" xfId="0" applyFont="1" applyBorder="1" applyAlignment="1">
      <alignment vertical="center" wrapText="1"/>
    </xf>
    <xf numFmtId="1" fontId="13" fillId="0" borderId="8" xfId="0" applyNumberFormat="1" applyFont="1" applyBorder="1" applyAlignment="1">
      <alignment horizontal="center" vertical="center"/>
    </xf>
    <xf numFmtId="0" fontId="13" fillId="0" borderId="0" xfId="0" quotePrefix="1" applyFont="1" applyAlignment="1">
      <alignment vertical="center"/>
    </xf>
    <xf numFmtId="0" fontId="13" fillId="0" borderId="0" xfId="2" applyNumberFormat="1" applyFont="1" applyFill="1" applyBorder="1" applyAlignment="1">
      <alignment vertical="center" wrapText="1"/>
    </xf>
    <xf numFmtId="1" fontId="13" fillId="0" borderId="7" xfId="0" applyNumberFormat="1" applyFont="1" applyBorder="1"/>
    <xf numFmtId="1" fontId="13" fillId="0" borderId="6" xfId="0" applyNumberFormat="1" applyFont="1" applyBorder="1"/>
    <xf numFmtId="1" fontId="13" fillId="0" borderId="48" xfId="0" applyNumberFormat="1" applyFont="1" applyBorder="1"/>
    <xf numFmtId="1" fontId="13" fillId="0" borderId="11" xfId="0" applyNumberFormat="1" applyFont="1" applyBorder="1"/>
    <xf numFmtId="165" fontId="13" fillId="0" borderId="11" xfId="0" applyNumberFormat="1" applyFont="1" applyBorder="1"/>
    <xf numFmtId="165" fontId="13" fillId="0" borderId="0" xfId="0" applyNumberFormat="1" applyFont="1"/>
    <xf numFmtId="1" fontId="13" fillId="0" borderId="4" xfId="0" applyNumberFormat="1" applyFont="1" applyBorder="1"/>
    <xf numFmtId="165" fontId="13" fillId="0" borderId="6" xfId="0" applyNumberFormat="1" applyFont="1" applyBorder="1"/>
    <xf numFmtId="165" fontId="13" fillId="0" borderId="48" xfId="0" applyNumberFormat="1" applyFont="1" applyBorder="1"/>
    <xf numFmtId="165" fontId="13" fillId="0" borderId="7" xfId="0" applyNumberFormat="1" applyFont="1" applyBorder="1"/>
    <xf numFmtId="1" fontId="13" fillId="0" borderId="5" xfId="0" applyNumberFormat="1" applyFont="1" applyBorder="1"/>
    <xf numFmtId="165" fontId="13" fillId="0" borderId="3" xfId="0" applyNumberFormat="1" applyFont="1" applyBorder="1"/>
    <xf numFmtId="165" fontId="13" fillId="0" borderId="4" xfId="0" applyNumberFormat="1" applyFont="1" applyBorder="1"/>
    <xf numFmtId="2" fontId="13" fillId="0" borderId="4" xfId="0" applyNumberFormat="1" applyFont="1" applyBorder="1"/>
    <xf numFmtId="2" fontId="13" fillId="0" borderId="0" xfId="0" applyNumberFormat="1" applyFont="1"/>
    <xf numFmtId="0" fontId="13" fillId="0" borderId="7" xfId="0" applyFont="1" applyBorder="1" applyAlignment="1">
      <alignment vertical="top" wrapText="1"/>
    </xf>
    <xf numFmtId="1" fontId="13" fillId="0" borderId="7" xfId="0" applyNumberFormat="1" applyFont="1" applyBorder="1" applyAlignment="1">
      <alignment vertical="top" wrapText="1"/>
    </xf>
    <xf numFmtId="165" fontId="13" fillId="0" borderId="6" xfId="0" applyNumberFormat="1" applyFont="1" applyBorder="1" applyAlignment="1">
      <alignment vertical="top" wrapText="1"/>
    </xf>
    <xf numFmtId="165" fontId="13" fillId="0" borderId="78" xfId="0" applyNumberFormat="1" applyFont="1" applyBorder="1" applyAlignment="1">
      <alignment vertical="top" wrapText="1"/>
    </xf>
    <xf numFmtId="165" fontId="13" fillId="0" borderId="7" xfId="0" applyNumberFormat="1" applyFont="1" applyBorder="1" applyAlignment="1">
      <alignment vertical="top" wrapText="1"/>
    </xf>
    <xf numFmtId="2" fontId="13" fillId="0" borderId="53" xfId="0" quotePrefix="1" applyNumberFormat="1" applyFont="1" applyBorder="1" applyAlignment="1">
      <alignment horizontal="center"/>
    </xf>
    <xf numFmtId="2" fontId="13" fillId="0" borderId="53" xfId="0" applyNumberFormat="1" applyFont="1" applyBorder="1" applyAlignment="1">
      <alignment horizontal="center"/>
    </xf>
    <xf numFmtId="0" fontId="13" fillId="0" borderId="27" xfId="0" applyFont="1" applyBorder="1"/>
    <xf numFmtId="165" fontId="13" fillId="0" borderId="78" xfId="0" applyNumberFormat="1" applyFont="1" applyBorder="1"/>
    <xf numFmtId="0" fontId="13" fillId="0" borderId="6" xfId="0" applyFont="1" applyBorder="1"/>
    <xf numFmtId="2" fontId="13" fillId="0" borderId="51" xfId="0" applyNumberFormat="1" applyFont="1" applyBorder="1" applyAlignment="1">
      <alignment horizontal="center"/>
    </xf>
    <xf numFmtId="1" fontId="13" fillId="0" borderId="9" xfId="0" applyNumberFormat="1" applyFont="1" applyBorder="1" applyAlignment="1">
      <alignment horizontal="center" vertical="top" wrapText="1"/>
    </xf>
    <xf numFmtId="1" fontId="13" fillId="0" borderId="10" xfId="0" applyNumberFormat="1" applyFont="1" applyBorder="1"/>
    <xf numFmtId="1" fontId="13" fillId="0" borderId="9" xfId="0" applyNumberFormat="1" applyFont="1" applyBorder="1"/>
    <xf numFmtId="165" fontId="13" fillId="0" borderId="9" xfId="0" applyNumberFormat="1" applyFont="1" applyBorder="1"/>
    <xf numFmtId="1" fontId="13" fillId="0" borderId="43" xfId="0" applyNumberFormat="1" applyFont="1" applyBorder="1"/>
    <xf numFmtId="165" fontId="13" fillId="0" borderId="46" xfId="0" applyNumberFormat="1" applyFont="1" applyBorder="1"/>
    <xf numFmtId="165" fontId="13" fillId="0" borderId="43" xfId="0" applyNumberFormat="1" applyFont="1" applyBorder="1"/>
    <xf numFmtId="165" fontId="13" fillId="0" borderId="10" xfId="0" applyNumberFormat="1" applyFont="1" applyBorder="1"/>
    <xf numFmtId="165" fontId="13" fillId="0" borderId="9" xfId="0" applyNumberFormat="1" applyFont="1" applyBorder="1" applyAlignment="1">
      <alignment horizontal="center"/>
    </xf>
    <xf numFmtId="2" fontId="13" fillId="0" borderId="9" xfId="0" applyNumberFormat="1" applyFont="1" applyBorder="1"/>
    <xf numFmtId="2" fontId="15" fillId="0" borderId="0" xfId="0" applyNumberFormat="1" applyFont="1"/>
    <xf numFmtId="184" fontId="0" fillId="0" borderId="0" xfId="0" applyNumberFormat="1"/>
    <xf numFmtId="0" fontId="20" fillId="0" borderId="5" xfId="0" applyFont="1" applyBorder="1" applyAlignment="1">
      <alignment vertical="top" wrapText="1"/>
    </xf>
    <xf numFmtId="0" fontId="13" fillId="0" borderId="5" xfId="0" applyFont="1" applyBorder="1" applyAlignment="1">
      <alignment vertical="center"/>
    </xf>
    <xf numFmtId="0" fontId="13" fillId="0" borderId="3" xfId="0" applyFont="1" applyBorder="1"/>
    <xf numFmtId="0" fontId="13" fillId="0" borderId="8" xfId="0" applyFont="1" applyBorder="1"/>
    <xf numFmtId="0" fontId="13" fillId="0" borderId="79" xfId="0" applyFont="1" applyBorder="1"/>
    <xf numFmtId="2" fontId="13" fillId="0" borderId="53" xfId="0" quotePrefix="1" applyNumberFormat="1" applyFont="1" applyBorder="1" applyAlignment="1">
      <alignment horizontal="center" vertical="top" wrapText="1"/>
    </xf>
    <xf numFmtId="2" fontId="13" fillId="0" borderId="51" xfId="0" quotePrefix="1" applyNumberFormat="1" applyFont="1" applyBorder="1" applyAlignment="1">
      <alignment horizontal="center"/>
    </xf>
    <xf numFmtId="0" fontId="100" fillId="6" borderId="0" xfId="35" applyFont="1" applyFill="1" applyAlignment="1">
      <alignment horizontal="left" vertical="center"/>
    </xf>
    <xf numFmtId="0" fontId="37" fillId="6" borderId="0" xfId="35" applyFont="1" applyFill="1" applyAlignment="1">
      <alignment horizontal="center" vertical="center"/>
    </xf>
    <xf numFmtId="0" fontId="37" fillId="6" borderId="0" xfId="35" applyFont="1" applyFill="1" applyAlignment="1">
      <alignment vertical="center"/>
    </xf>
    <xf numFmtId="0" fontId="96" fillId="6" borderId="0" xfId="35" applyFont="1" applyFill="1" applyAlignment="1">
      <alignment horizontal="left" vertical="center"/>
    </xf>
    <xf numFmtId="0" fontId="97" fillId="6" borderId="0" xfId="35" applyFont="1" applyFill="1" applyAlignment="1">
      <alignment vertical="top"/>
    </xf>
    <xf numFmtId="0" fontId="6" fillId="0" borderId="0" xfId="36"/>
    <xf numFmtId="0" fontId="101" fillId="0" borderId="0" xfId="36" applyFont="1"/>
    <xf numFmtId="14" fontId="102" fillId="0" borderId="0" xfId="36" applyNumberFormat="1" applyFont="1"/>
    <xf numFmtId="14" fontId="6" fillId="0" borderId="0" xfId="36" applyNumberFormat="1"/>
    <xf numFmtId="0" fontId="102" fillId="0" borderId="0" xfId="36" applyFont="1"/>
    <xf numFmtId="0" fontId="6" fillId="0" borderId="0" xfId="36" applyAlignment="1">
      <alignment wrapText="1"/>
    </xf>
    <xf numFmtId="0" fontId="103" fillId="0" borderId="0" xfId="37"/>
    <xf numFmtId="0" fontId="87" fillId="6" borderId="25" xfId="0" applyFont="1" applyFill="1" applyBorder="1" applyAlignment="1">
      <alignment horizontal="right" vertical="center"/>
    </xf>
    <xf numFmtId="0" fontId="20" fillId="0" borderId="0" xfId="0" applyFont="1" applyAlignment="1">
      <alignment vertical="center"/>
    </xf>
    <xf numFmtId="165" fontId="26" fillId="0" borderId="14" xfId="0" applyNumberFormat="1" applyFont="1" applyBorder="1" applyAlignment="1">
      <alignment vertical="center"/>
    </xf>
    <xf numFmtId="165" fontId="20" fillId="0" borderId="0" xfId="0" applyNumberFormat="1" applyFont="1" applyAlignment="1">
      <alignment horizontal="center" vertical="center"/>
    </xf>
    <xf numFmtId="0" fontId="41" fillId="0" borderId="0" xfId="0" applyFont="1" applyAlignment="1">
      <alignment horizontal="left" vertical="center"/>
    </xf>
    <xf numFmtId="165" fontId="65" fillId="0" borderId="2" xfId="0" applyNumberFormat="1" applyFont="1" applyBorder="1" applyAlignment="1">
      <alignment vertical="center"/>
    </xf>
    <xf numFmtId="165" fontId="104" fillId="0" borderId="2" xfId="0" applyNumberFormat="1" applyFont="1" applyBorder="1" applyAlignment="1">
      <alignment vertical="center"/>
    </xf>
    <xf numFmtId="165" fontId="13" fillId="0" borderId="15" xfId="0" applyNumberFormat="1" applyFont="1" applyBorder="1" applyAlignment="1">
      <alignment vertical="center"/>
    </xf>
    <xf numFmtId="165" fontId="13" fillId="0" borderId="14" xfId="0" applyNumberFormat="1" applyFont="1" applyBorder="1" applyAlignment="1">
      <alignment vertical="center"/>
    </xf>
    <xf numFmtId="171" fontId="13" fillId="0" borderId="2" xfId="2" applyNumberFormat="1" applyFont="1" applyFill="1" applyBorder="1" applyAlignment="1">
      <alignment horizontal="right" vertical="center"/>
    </xf>
    <xf numFmtId="182" fontId="13" fillId="0" borderId="0" xfId="0" applyNumberFormat="1" applyFont="1" applyAlignment="1">
      <alignment horizontal="left" vertical="center"/>
    </xf>
    <xf numFmtId="185" fontId="13" fillId="0" borderId="0" xfId="0" applyNumberFormat="1" applyFont="1" applyAlignment="1">
      <alignment horizontal="left" vertical="center"/>
    </xf>
    <xf numFmtId="2" fontId="13" fillId="0" borderId="58" xfId="0" applyNumberFormat="1" applyFont="1" applyBorder="1" applyAlignment="1">
      <alignment vertical="center"/>
    </xf>
    <xf numFmtId="165" fontId="13" fillId="0" borderId="29" xfId="0" applyNumberFormat="1" applyFont="1" applyBorder="1" applyAlignment="1">
      <alignment vertical="center"/>
    </xf>
    <xf numFmtId="165" fontId="13" fillId="0" borderId="29" xfId="0" applyNumberFormat="1" applyFont="1" applyBorder="1" applyAlignment="1">
      <alignment horizontal="right" vertical="center"/>
    </xf>
    <xf numFmtId="0" fontId="13" fillId="0" borderId="0" xfId="0" applyFont="1" applyAlignment="1">
      <alignment horizontal="right"/>
    </xf>
    <xf numFmtId="0" fontId="13" fillId="0" borderId="2" xfId="0" applyFont="1" applyBorder="1" applyAlignment="1">
      <alignment horizontal="right"/>
    </xf>
    <xf numFmtId="2" fontId="24" fillId="0" borderId="2" xfId="0" applyNumberFormat="1" applyFont="1" applyBorder="1" applyAlignment="1">
      <alignment horizontal="right" vertical="center"/>
    </xf>
    <xf numFmtId="0" fontId="16" fillId="0" borderId="11" xfId="0" applyFont="1" applyBorder="1" applyAlignment="1">
      <alignment vertical="center"/>
    </xf>
    <xf numFmtId="165" fontId="26" fillId="0" borderId="29" xfId="0" applyNumberFormat="1" applyFont="1" applyBorder="1" applyAlignment="1">
      <alignment vertical="center"/>
    </xf>
    <xf numFmtId="1" fontId="20" fillId="0" borderId="29" xfId="0" applyNumberFormat="1" applyFont="1" applyBorder="1" applyAlignment="1">
      <alignment horizontal="right" vertical="center"/>
    </xf>
    <xf numFmtId="165" fontId="13" fillId="6" borderId="12" xfId="0" applyNumberFormat="1" applyFont="1" applyFill="1" applyBorder="1"/>
    <xf numFmtId="165" fontId="13" fillId="6" borderId="12" xfId="0" applyNumberFormat="1" applyFont="1" applyFill="1" applyBorder="1" applyAlignment="1">
      <alignment horizontal="right"/>
    </xf>
    <xf numFmtId="165" fontId="13" fillId="6" borderId="13" xfId="0" applyNumberFormat="1" applyFont="1" applyFill="1" applyBorder="1"/>
    <xf numFmtId="0" fontId="13" fillId="6" borderId="13" xfId="0" applyFont="1" applyFill="1" applyBorder="1"/>
    <xf numFmtId="165" fontId="20" fillId="0" borderId="15" xfId="0" applyNumberFormat="1" applyFont="1" applyBorder="1" applyAlignment="1">
      <alignment horizontal="right" vertical="center"/>
    </xf>
    <xf numFmtId="165" fontId="13" fillId="6" borderId="13" xfId="0" applyNumberFormat="1" applyFont="1" applyFill="1" applyBorder="1" applyAlignment="1">
      <alignment horizontal="right"/>
    </xf>
    <xf numFmtId="165" fontId="13" fillId="0" borderId="2" xfId="0" applyNumberFormat="1" applyFont="1" applyBorder="1" applyAlignment="1">
      <alignment horizontal="right"/>
    </xf>
    <xf numFmtId="1" fontId="13" fillId="0" borderId="2" xfId="0" applyNumberFormat="1" applyFont="1" applyBorder="1" applyAlignment="1">
      <alignment horizontal="right"/>
    </xf>
    <xf numFmtId="165" fontId="20" fillId="0" borderId="0" xfId="0" applyNumberFormat="1" applyFont="1" applyAlignment="1">
      <alignment vertical="center"/>
    </xf>
    <xf numFmtId="2" fontId="20" fillId="0" borderId="15" xfId="0" applyNumberFormat="1" applyFont="1" applyBorder="1" applyAlignment="1">
      <alignment vertical="center"/>
    </xf>
    <xf numFmtId="165" fontId="20" fillId="0" borderId="15" xfId="0" applyNumberFormat="1" applyFont="1" applyBorder="1" applyAlignment="1">
      <alignment vertical="center"/>
    </xf>
    <xf numFmtId="165" fontId="20" fillId="0" borderId="14" xfId="0" applyNumberFormat="1" applyFont="1" applyBorder="1" applyAlignment="1">
      <alignment horizontal="right" vertical="center"/>
    </xf>
    <xf numFmtId="0" fontId="13" fillId="0" borderId="21" xfId="0" applyFont="1" applyBorder="1" applyAlignment="1">
      <alignment vertical="center"/>
    </xf>
    <xf numFmtId="0" fontId="13" fillId="0" borderId="11" xfId="0" applyFont="1" applyBorder="1" applyAlignment="1">
      <alignment vertical="center"/>
    </xf>
    <xf numFmtId="0" fontId="13" fillId="0" borderId="22" xfId="0" applyFont="1" applyBorder="1" applyAlignment="1">
      <alignment vertical="center"/>
    </xf>
    <xf numFmtId="0" fontId="24" fillId="0" borderId="0" xfId="0" applyFont="1" applyAlignment="1">
      <alignment vertical="center"/>
    </xf>
    <xf numFmtId="0" fontId="24" fillId="0" borderId="0" xfId="0" applyFont="1" applyAlignment="1">
      <alignment horizontal="left" vertical="center"/>
    </xf>
    <xf numFmtId="0" fontId="89" fillId="0" borderId="0" xfId="34" applyFont="1" applyAlignment="1">
      <alignment horizontal="center" wrapText="1"/>
    </xf>
    <xf numFmtId="165" fontId="89" fillId="0" borderId="0" xfId="34" applyNumberFormat="1" applyFont="1" applyAlignment="1">
      <alignment horizontal="center"/>
    </xf>
    <xf numFmtId="165" fontId="89" fillId="0" borderId="0" xfId="34" quotePrefix="1" applyNumberFormat="1" applyFont="1" applyAlignment="1">
      <alignment horizontal="center"/>
    </xf>
    <xf numFmtId="2" fontId="89" fillId="0" borderId="0" xfId="34" applyNumberFormat="1" applyFont="1" applyAlignment="1">
      <alignment horizontal="center"/>
    </xf>
    <xf numFmtId="0" fontId="3" fillId="0" borderId="0" xfId="36" applyFont="1" applyAlignment="1">
      <alignment wrapText="1"/>
    </xf>
    <xf numFmtId="0" fontId="91" fillId="0" borderId="0" xfId="0" applyFont="1"/>
    <xf numFmtId="0" fontId="13" fillId="0" borderId="24" xfId="0" applyFont="1" applyBorder="1"/>
    <xf numFmtId="0" fontId="13" fillId="0" borderId="9" xfId="0" applyFont="1" applyBorder="1" applyAlignment="1">
      <alignment vertical="center"/>
    </xf>
    <xf numFmtId="0" fontId="13" fillId="0" borderId="2" xfId="0" applyFont="1" applyBorder="1" applyAlignment="1">
      <alignment horizontal="right" vertical="center"/>
    </xf>
    <xf numFmtId="0" fontId="16" fillId="40" borderId="0" xfId="0" applyFont="1" applyFill="1" applyAlignment="1">
      <alignment vertical="center"/>
    </xf>
    <xf numFmtId="165" fontId="104" fillId="40" borderId="2" xfId="0" applyNumberFormat="1" applyFont="1" applyFill="1" applyBorder="1" applyAlignment="1">
      <alignment vertical="center"/>
    </xf>
    <xf numFmtId="165" fontId="13" fillId="40" borderId="2" xfId="0" applyNumberFormat="1" applyFont="1" applyFill="1" applyBorder="1" applyAlignment="1">
      <alignment vertical="center"/>
    </xf>
    <xf numFmtId="165" fontId="15" fillId="40" borderId="2" xfId="0" applyNumberFormat="1" applyFont="1" applyFill="1" applyBorder="1" applyAlignment="1">
      <alignment vertical="center"/>
    </xf>
    <xf numFmtId="0" fontId="20" fillId="40" borderId="0" xfId="0" applyFont="1" applyFill="1" applyAlignment="1">
      <alignment vertical="center"/>
    </xf>
    <xf numFmtId="165" fontId="30" fillId="0" borderId="2" xfId="0" applyNumberFormat="1" applyFont="1" applyBorder="1" applyAlignment="1">
      <alignment vertical="center"/>
    </xf>
    <xf numFmtId="0" fontId="73" fillId="0" borderId="0" xfId="3" applyFont="1"/>
    <xf numFmtId="0" fontId="73" fillId="0" borderId="30" xfId="3" applyFont="1" applyBorder="1" applyAlignment="1">
      <alignment horizontal="center"/>
    </xf>
    <xf numFmtId="0" fontId="73" fillId="0" borderId="25" xfId="3" applyFont="1" applyBorder="1" applyAlignment="1">
      <alignment horizontal="center"/>
    </xf>
    <xf numFmtId="0" fontId="80" fillId="0" borderId="3" xfId="3" applyFont="1" applyBorder="1"/>
    <xf numFmtId="0" fontId="73" fillId="0" borderId="5" xfId="3" applyFont="1" applyBorder="1"/>
    <xf numFmtId="0" fontId="73" fillId="0" borderId="23" xfId="3" applyFont="1" applyBorder="1"/>
    <xf numFmtId="0" fontId="80" fillId="0" borderId="24" xfId="3" applyFont="1" applyBorder="1"/>
    <xf numFmtId="0" fontId="73" fillId="0" borderId="25" xfId="3" applyFont="1" applyBorder="1"/>
    <xf numFmtId="0" fontId="73" fillId="0" borderId="30" xfId="3" applyFont="1" applyBorder="1" applyAlignment="1">
      <alignment horizontal="center" textRotation="90"/>
    </xf>
    <xf numFmtId="0" fontId="80" fillId="0" borderId="8" xfId="3" applyFont="1" applyBorder="1" applyAlignment="1">
      <alignment vertical="top"/>
    </xf>
    <xf numFmtId="0" fontId="73" fillId="0" borderId="10" xfId="3" applyFont="1" applyBorder="1"/>
    <xf numFmtId="0" fontId="73" fillId="0" borderId="25" xfId="3" applyFont="1" applyBorder="1" applyAlignment="1">
      <alignment horizontal="center" textRotation="90"/>
    </xf>
    <xf numFmtId="0" fontId="73" fillId="0" borderId="8" xfId="3" applyFont="1" applyBorder="1"/>
    <xf numFmtId="0" fontId="80" fillId="0" borderId="8" xfId="3" applyFont="1" applyBorder="1"/>
    <xf numFmtId="165" fontId="73" fillId="0" borderId="30" xfId="3" applyNumberFormat="1" applyFont="1" applyBorder="1"/>
    <xf numFmtId="0" fontId="73" fillId="0" borderId="30" xfId="3" applyFont="1" applyBorder="1"/>
    <xf numFmtId="0" fontId="106" fillId="45" borderId="30" xfId="3" applyFont="1" applyFill="1" applyBorder="1" applyAlignment="1">
      <alignment horizontal="center"/>
    </xf>
    <xf numFmtId="0" fontId="73" fillId="45" borderId="30" xfId="3" applyFont="1" applyFill="1" applyBorder="1" applyAlignment="1">
      <alignment horizontal="center"/>
    </xf>
    <xf numFmtId="1" fontId="73" fillId="0" borderId="0" xfId="3" applyNumberFormat="1" applyFont="1"/>
    <xf numFmtId="0" fontId="80" fillId="0" borderId="0" xfId="3" applyFont="1"/>
    <xf numFmtId="165" fontId="73" fillId="0" borderId="0" xfId="3" applyNumberFormat="1" applyFont="1"/>
    <xf numFmtId="0" fontId="106" fillId="0" borderId="0" xfId="3" applyFont="1"/>
    <xf numFmtId="2" fontId="73" fillId="0" borderId="0" xfId="3" applyNumberFormat="1" applyFont="1"/>
    <xf numFmtId="0" fontId="73" fillId="0" borderId="0" xfId="3" applyFont="1" applyAlignment="1">
      <alignment horizontal="center"/>
    </xf>
    <xf numFmtId="0" fontId="73" fillId="0" borderId="0" xfId="3" applyFont="1" applyAlignment="1">
      <alignment horizontal="left"/>
    </xf>
    <xf numFmtId="1" fontId="73" fillId="0" borderId="0" xfId="3" applyNumberFormat="1" applyFont="1" applyAlignment="1">
      <alignment horizontal="center"/>
    </xf>
    <xf numFmtId="165" fontId="73" fillId="0" borderId="30" xfId="3" applyNumberFormat="1" applyFont="1" applyBorder="1" applyAlignment="1">
      <alignment vertical="center"/>
    </xf>
    <xf numFmtId="0" fontId="73" fillId="0" borderId="30" xfId="3" applyFont="1" applyBorder="1" applyAlignment="1">
      <alignment vertical="center"/>
    </xf>
    <xf numFmtId="0" fontId="73" fillId="0" borderId="30" xfId="3" applyFont="1" applyBorder="1" applyAlignment="1">
      <alignment horizontal="center" vertical="center"/>
    </xf>
    <xf numFmtId="0" fontId="106" fillId="45" borderId="30" xfId="3" applyFont="1" applyFill="1" applyBorder="1" applyAlignment="1">
      <alignment horizontal="center" vertical="center"/>
    </xf>
    <xf numFmtId="0" fontId="73" fillId="45" borderId="30" xfId="3" applyFont="1" applyFill="1" applyBorder="1" applyAlignment="1">
      <alignment horizontal="center" vertical="center"/>
    </xf>
    <xf numFmtId="0" fontId="73" fillId="0" borderId="0" xfId="3" applyFont="1" applyAlignment="1">
      <alignment vertical="center"/>
    </xf>
    <xf numFmtId="0" fontId="73" fillId="0" borderId="23" xfId="3" applyFont="1" applyBorder="1" applyAlignment="1">
      <alignment vertical="center"/>
    </xf>
    <xf numFmtId="0" fontId="73" fillId="0" borderId="24" xfId="3" applyFont="1" applyBorder="1" applyAlignment="1">
      <alignment vertical="center"/>
    </xf>
    <xf numFmtId="0" fontId="73" fillId="0" borderId="3" xfId="3" applyFont="1" applyBorder="1"/>
    <xf numFmtId="0" fontId="73" fillId="37" borderId="30" xfId="3" applyFont="1" applyFill="1" applyBorder="1" applyAlignment="1">
      <alignment horizontal="center" vertical="center"/>
    </xf>
    <xf numFmtId="0" fontId="73" fillId="46" borderId="30" xfId="3" applyFont="1" applyFill="1" applyBorder="1" applyAlignment="1">
      <alignment horizontal="center" vertical="center"/>
    </xf>
    <xf numFmtId="1" fontId="73" fillId="0" borderId="30" xfId="3" applyNumberFormat="1" applyFont="1" applyBorder="1" applyAlignment="1">
      <alignment horizontal="center" vertical="center"/>
    </xf>
    <xf numFmtId="1" fontId="73" fillId="37" borderId="30" xfId="3" applyNumberFormat="1" applyFont="1" applyFill="1" applyBorder="1" applyAlignment="1">
      <alignment horizontal="center" vertical="center"/>
    </xf>
    <xf numFmtId="1" fontId="73" fillId="46" borderId="30" xfId="3" applyNumberFormat="1" applyFont="1" applyFill="1" applyBorder="1" applyAlignment="1">
      <alignment horizontal="center" vertical="center"/>
    </xf>
    <xf numFmtId="0" fontId="73" fillId="0" borderId="8" xfId="3" applyFont="1" applyBorder="1" applyAlignment="1">
      <alignment vertical="center" wrapText="1"/>
    </xf>
    <xf numFmtId="0" fontId="73" fillId="0" borderId="23" xfId="3" applyFont="1" applyBorder="1" applyAlignment="1">
      <alignment horizontal="right" vertical="center"/>
    </xf>
    <xf numFmtId="0" fontId="93" fillId="0" borderId="4" xfId="0" applyFont="1" applyBorder="1" applyAlignment="1">
      <alignment vertical="top" wrapText="1"/>
    </xf>
    <xf numFmtId="165" fontId="73" fillId="46" borderId="30" xfId="3" applyNumberFormat="1" applyFont="1" applyFill="1" applyBorder="1" applyAlignment="1">
      <alignment horizontal="center" vertical="center"/>
    </xf>
    <xf numFmtId="165" fontId="73" fillId="37" borderId="30" xfId="3" applyNumberFormat="1" applyFont="1" applyFill="1" applyBorder="1" applyAlignment="1">
      <alignment horizontal="center" vertical="center"/>
    </xf>
    <xf numFmtId="0" fontId="73" fillId="0" borderId="26" xfId="3" applyFont="1" applyBorder="1"/>
    <xf numFmtId="0" fontId="73" fillId="0" borderId="27" xfId="3" applyFont="1" applyBorder="1" applyAlignment="1">
      <alignment vertical="center"/>
    </xf>
    <xf numFmtId="0" fontId="73" fillId="0" borderId="27" xfId="3" applyFont="1" applyBorder="1"/>
    <xf numFmtId="0" fontId="73" fillId="0" borderId="28" xfId="3" applyFont="1" applyBorder="1"/>
    <xf numFmtId="0" fontId="73" fillId="0" borderId="3" xfId="3" applyFont="1" applyBorder="1" applyAlignment="1">
      <alignment vertical="center"/>
    </xf>
    <xf numFmtId="0" fontId="73" fillId="0" borderId="6" xfId="3" applyFont="1" applyBorder="1" applyAlignment="1">
      <alignment vertical="center"/>
    </xf>
    <xf numFmtId="0" fontId="73" fillId="0" borderId="7" xfId="3" applyFont="1" applyBorder="1" applyAlignment="1">
      <alignment vertical="center"/>
    </xf>
    <xf numFmtId="0" fontId="73" fillId="0" borderId="6" xfId="3" applyFont="1" applyBorder="1"/>
    <xf numFmtId="0" fontId="73" fillId="0" borderId="7" xfId="3" applyFont="1" applyBorder="1"/>
    <xf numFmtId="0" fontId="73" fillId="0" borderId="6" xfId="3" applyFont="1" applyBorder="1" applyAlignment="1">
      <alignment horizontal="right"/>
    </xf>
    <xf numFmtId="0" fontId="73" fillId="0" borderId="5" xfId="3" applyFont="1" applyBorder="1" applyAlignment="1">
      <alignment vertical="center"/>
    </xf>
    <xf numFmtId="0" fontId="106" fillId="0" borderId="7" xfId="3" applyFont="1" applyBorder="1"/>
    <xf numFmtId="1" fontId="73" fillId="0" borderId="0" xfId="3" applyNumberFormat="1" applyFont="1" applyAlignment="1">
      <alignment horizontal="center" vertical="center"/>
    </xf>
    <xf numFmtId="1" fontId="73" fillId="0" borderId="7" xfId="3" applyNumberFormat="1" applyFont="1" applyBorder="1" applyAlignment="1">
      <alignment horizontal="center" vertical="center"/>
    </xf>
    <xf numFmtId="0" fontId="73" fillId="44" borderId="0" xfId="3" applyFont="1" applyFill="1" applyAlignment="1">
      <alignment horizontal="center"/>
    </xf>
    <xf numFmtId="0" fontId="73" fillId="44" borderId="7" xfId="3" applyFont="1" applyFill="1" applyBorder="1" applyAlignment="1">
      <alignment horizontal="center"/>
    </xf>
    <xf numFmtId="1" fontId="73" fillId="0" borderId="7" xfId="3" applyNumberFormat="1" applyFont="1" applyBorder="1" applyAlignment="1">
      <alignment horizontal="center"/>
    </xf>
    <xf numFmtId="0" fontId="73" fillId="0" borderId="7" xfId="3" applyFont="1" applyBorder="1" applyAlignment="1">
      <alignment horizontal="center"/>
    </xf>
    <xf numFmtId="165" fontId="73" fillId="0" borderId="0" xfId="3" applyNumberFormat="1" applyFont="1" applyAlignment="1">
      <alignment horizontal="center"/>
    </xf>
    <xf numFmtId="165" fontId="73" fillId="0" borderId="7" xfId="3" applyNumberFormat="1" applyFont="1" applyBorder="1" applyAlignment="1">
      <alignment horizontal="center"/>
    </xf>
    <xf numFmtId="1" fontId="106" fillId="0" borderId="0" xfId="3" applyNumberFormat="1" applyFont="1" applyAlignment="1">
      <alignment horizontal="center"/>
    </xf>
    <xf numFmtId="1" fontId="106" fillId="0" borderId="7" xfId="3" applyNumberFormat="1" applyFont="1" applyBorder="1" applyAlignment="1">
      <alignment horizontal="center"/>
    </xf>
    <xf numFmtId="2" fontId="73" fillId="0" borderId="0" xfId="3" applyNumberFormat="1" applyFont="1" applyAlignment="1">
      <alignment horizontal="center"/>
    </xf>
    <xf numFmtId="2" fontId="73" fillId="0" borderId="7" xfId="3" applyNumberFormat="1" applyFont="1" applyBorder="1" applyAlignment="1">
      <alignment horizontal="center"/>
    </xf>
    <xf numFmtId="0" fontId="73" fillId="0" borderId="23" xfId="3" applyFont="1" applyBorder="1" applyAlignment="1">
      <alignment horizontal="left" vertical="center"/>
    </xf>
    <xf numFmtId="1" fontId="73" fillId="0" borderId="30" xfId="3" applyNumberFormat="1" applyFont="1" applyBorder="1" applyAlignment="1">
      <alignment horizontal="center"/>
    </xf>
    <xf numFmtId="1" fontId="106" fillId="0" borderId="30" xfId="3" applyNumberFormat="1" applyFont="1" applyBorder="1" applyAlignment="1">
      <alignment horizontal="center"/>
    </xf>
    <xf numFmtId="0" fontId="80" fillId="0" borderId="23" xfId="3" applyFont="1" applyBorder="1" applyAlignment="1">
      <alignment vertical="top"/>
    </xf>
    <xf numFmtId="0" fontId="105" fillId="44" borderId="25" xfId="3" applyFont="1" applyFill="1" applyBorder="1" applyAlignment="1">
      <alignment horizontal="center" vertical="top"/>
    </xf>
    <xf numFmtId="0" fontId="80" fillId="0" borderId="0" xfId="3" applyFont="1" applyAlignment="1">
      <alignment vertical="center"/>
    </xf>
    <xf numFmtId="0" fontId="73" fillId="0" borderId="4" xfId="3" applyFont="1" applyBorder="1"/>
    <xf numFmtId="0" fontId="73" fillId="0" borderId="0" xfId="3" applyFont="1" applyAlignment="1">
      <alignment vertical="top" wrapText="1"/>
    </xf>
    <xf numFmtId="0" fontId="80" fillId="0" borderId="6" xfId="3" applyFont="1" applyBorder="1" applyAlignment="1">
      <alignment vertical="center"/>
    </xf>
    <xf numFmtId="0" fontId="80" fillId="0" borderId="7" xfId="3" applyFont="1" applyBorder="1" applyAlignment="1">
      <alignment vertical="center"/>
    </xf>
    <xf numFmtId="0" fontId="73" fillId="0" borderId="9" xfId="3" applyFont="1" applyBorder="1"/>
    <xf numFmtId="0" fontId="73" fillId="0" borderId="23" xfId="3" applyFont="1" applyBorder="1" applyAlignment="1">
      <alignment horizontal="center"/>
    </xf>
    <xf numFmtId="0" fontId="73" fillId="0" borderId="23" xfId="3" applyFont="1" applyBorder="1" applyAlignment="1">
      <alignment horizontal="center" textRotation="90"/>
    </xf>
    <xf numFmtId="0" fontId="73" fillId="0" borderId="0" xfId="3" applyFont="1" applyAlignment="1">
      <alignment horizontal="center" textRotation="90"/>
    </xf>
    <xf numFmtId="0" fontId="73" fillId="0" borderId="26" xfId="3" applyFont="1" applyBorder="1" applyAlignment="1">
      <alignment vertical="center"/>
    </xf>
    <xf numFmtId="0" fontId="80" fillId="0" borderId="27" xfId="3" applyFont="1" applyBorder="1" applyAlignment="1">
      <alignment vertical="center"/>
    </xf>
    <xf numFmtId="165" fontId="73" fillId="0" borderId="27" xfId="3" applyNumberFormat="1" applyFont="1" applyBorder="1"/>
    <xf numFmtId="0" fontId="106" fillId="0" borderId="27" xfId="3" applyFont="1" applyBorder="1" applyAlignment="1">
      <alignment vertical="center"/>
    </xf>
    <xf numFmtId="0" fontId="106" fillId="0" borderId="27" xfId="3" applyFont="1" applyBorder="1"/>
    <xf numFmtId="1" fontId="73" fillId="44" borderId="9" xfId="3" applyNumberFormat="1" applyFont="1" applyFill="1" applyBorder="1" applyAlignment="1">
      <alignment horizontal="center"/>
    </xf>
    <xf numFmtId="1" fontId="73" fillId="44" borderId="10" xfId="3" applyNumberFormat="1" applyFont="1" applyFill="1" applyBorder="1" applyAlignment="1">
      <alignment horizontal="center"/>
    </xf>
    <xf numFmtId="165" fontId="73" fillId="0" borderId="30" xfId="3" applyNumberFormat="1" applyFont="1" applyBorder="1" applyAlignment="1">
      <alignment horizontal="center" vertical="center"/>
    </xf>
    <xf numFmtId="0" fontId="73" fillId="0" borderId="6" xfId="3" applyFont="1" applyBorder="1" applyAlignment="1">
      <alignment vertical="top" wrapText="1"/>
    </xf>
    <xf numFmtId="0" fontId="73" fillId="48" borderId="23" xfId="0" applyFont="1" applyFill="1" applyBorder="1" applyAlignment="1">
      <alignment horizontal="left" vertical="center" wrapText="1"/>
    </xf>
    <xf numFmtId="0" fontId="73" fillId="0" borderId="26" xfId="0" applyFont="1" applyBorder="1" applyAlignment="1">
      <alignment horizontal="center" vertical="top" wrapText="1"/>
    </xf>
    <xf numFmtId="0" fontId="73" fillId="0" borderId="26" xfId="0" applyFont="1" applyBorder="1" applyAlignment="1">
      <alignment vertical="top" wrapText="1"/>
    </xf>
    <xf numFmtId="0" fontId="73" fillId="0" borderId="26" xfId="0" applyFont="1" applyBorder="1" applyAlignment="1">
      <alignment horizontal="left" vertical="top" wrapText="1"/>
    </xf>
    <xf numFmtId="0" fontId="73" fillId="47" borderId="23" xfId="40" applyFont="1" applyBorder="1" applyAlignment="1">
      <alignment horizontal="left" vertical="top"/>
    </xf>
    <xf numFmtId="0" fontId="73" fillId="47" borderId="30" xfId="40" applyFont="1" applyBorder="1" applyAlignment="1">
      <alignment horizontal="left" vertical="top"/>
    </xf>
    <xf numFmtId="0" fontId="73" fillId="47" borderId="23" xfId="40" applyFont="1" applyBorder="1" applyAlignment="1">
      <alignment horizontal="left" vertical="top" wrapText="1"/>
    </xf>
    <xf numFmtId="0" fontId="73" fillId="47" borderId="25" xfId="40" applyFont="1" applyBorder="1" applyAlignment="1">
      <alignment horizontal="left" vertical="top" wrapText="1"/>
    </xf>
    <xf numFmtId="0" fontId="73" fillId="16" borderId="27" xfId="40" applyFont="1" applyFill="1" applyBorder="1" applyAlignment="1">
      <alignment horizontal="left" vertical="center"/>
    </xf>
    <xf numFmtId="3" fontId="73" fillId="16" borderId="7" xfId="40" applyNumberFormat="1" applyFont="1" applyFill="1" applyBorder="1" applyAlignment="1">
      <alignment horizontal="right" vertical="top" wrapText="1"/>
    </xf>
    <xf numFmtId="0" fontId="73" fillId="48" borderId="6" xfId="0" applyFont="1" applyFill="1" applyBorder="1" applyAlignment="1">
      <alignment horizontal="left" vertical="center"/>
    </xf>
    <xf numFmtId="0" fontId="73" fillId="48" borderId="7" xfId="0" applyFont="1" applyFill="1" applyBorder="1" applyAlignment="1">
      <alignment horizontal="left" vertical="center" wrapText="1"/>
    </xf>
    <xf numFmtId="0" fontId="73" fillId="48" borderId="10" xfId="0" applyFont="1" applyFill="1" applyBorder="1" applyAlignment="1">
      <alignment horizontal="left" vertical="center" wrapText="1"/>
    </xf>
    <xf numFmtId="165" fontId="108" fillId="15" borderId="30" xfId="0" applyNumberFormat="1" applyFont="1" applyFill="1" applyBorder="1" applyAlignment="1">
      <alignment horizontal="right"/>
    </xf>
    <xf numFmtId="0" fontId="73" fillId="48" borderId="8" xfId="0" applyFont="1" applyFill="1" applyBorder="1" applyAlignment="1">
      <alignment vertical="center" wrapText="1"/>
    </xf>
    <xf numFmtId="0" fontId="73" fillId="48" borderId="10" xfId="0" applyFont="1" applyFill="1" applyBorder="1" applyAlignment="1">
      <alignment vertical="center" wrapText="1"/>
    </xf>
    <xf numFmtId="0" fontId="73" fillId="47" borderId="30" xfId="40" applyFont="1" applyBorder="1" applyAlignment="1">
      <alignment horizontal="left" vertical="top" wrapText="1"/>
    </xf>
    <xf numFmtId="0" fontId="73" fillId="0" borderId="27" xfId="0" applyFont="1" applyBorder="1" applyAlignment="1">
      <alignment vertical="top" wrapText="1"/>
    </xf>
    <xf numFmtId="0" fontId="73" fillId="16" borderId="27" xfId="40" applyFont="1" applyFill="1" applyBorder="1" applyAlignment="1">
      <alignment horizontal="left" vertical="center" wrapText="1"/>
    </xf>
    <xf numFmtId="3" fontId="73" fillId="16" borderId="7" xfId="40" applyNumberFormat="1" applyFont="1" applyFill="1" applyBorder="1" applyAlignment="1">
      <alignment horizontal="right" vertical="top"/>
    </xf>
    <xf numFmtId="0" fontId="73" fillId="47" borderId="23" xfId="40" applyFont="1" applyBorder="1" applyAlignment="1">
      <alignment vertical="center" wrapText="1"/>
    </xf>
    <xf numFmtId="0" fontId="73" fillId="47" borderId="24" xfId="40" applyFont="1" applyBorder="1" applyAlignment="1">
      <alignment vertical="center"/>
    </xf>
    <xf numFmtId="0" fontId="73" fillId="47" borderId="25" xfId="40" applyFont="1" applyBorder="1" applyAlignment="1">
      <alignment vertical="center"/>
    </xf>
    <xf numFmtId="0" fontId="73" fillId="16" borderId="27" xfId="40" applyFont="1" applyFill="1" applyBorder="1" applyAlignment="1">
      <alignment horizontal="center" vertical="center"/>
    </xf>
    <xf numFmtId="3" fontId="73" fillId="16" borderId="27" xfId="40" applyNumberFormat="1" applyFont="1" applyFill="1" applyBorder="1" applyAlignment="1">
      <alignment horizontal="right" vertical="top"/>
    </xf>
    <xf numFmtId="3" fontId="73" fillId="16" borderId="27" xfId="40" applyNumberFormat="1" applyFont="1" applyFill="1" applyBorder="1" applyAlignment="1">
      <alignment horizontal="right" vertical="top" wrapText="1"/>
    </xf>
    <xf numFmtId="0" fontId="108" fillId="15" borderId="30" xfId="0" applyFont="1" applyFill="1" applyBorder="1"/>
    <xf numFmtId="0" fontId="108" fillId="15" borderId="30" xfId="0" applyFont="1" applyFill="1" applyBorder="1" applyAlignment="1">
      <alignment horizontal="center"/>
    </xf>
    <xf numFmtId="0" fontId="73" fillId="48" borderId="9" xfId="0" applyFont="1" applyFill="1" applyBorder="1" applyAlignment="1">
      <alignment vertical="center"/>
    </xf>
    <xf numFmtId="0" fontId="73" fillId="48" borderId="10" xfId="0" applyFont="1" applyFill="1" applyBorder="1" applyAlignment="1">
      <alignment vertical="center"/>
    </xf>
    <xf numFmtId="0" fontId="73" fillId="48" borderId="0" xfId="0" applyFont="1" applyFill="1" applyAlignment="1">
      <alignment horizontal="left" vertical="center"/>
    </xf>
    <xf numFmtId="0" fontId="73" fillId="48" borderId="30" xfId="0" applyFont="1" applyFill="1" applyBorder="1" applyAlignment="1">
      <alignment horizontal="left" vertical="center"/>
    </xf>
    <xf numFmtId="0" fontId="0" fillId="0" borderId="30" xfId="0" applyBorder="1"/>
    <xf numFmtId="1" fontId="0" fillId="0" borderId="0" xfId="0" applyNumberFormat="1"/>
    <xf numFmtId="0" fontId="108" fillId="0" borderId="0" xfId="0" applyFont="1"/>
    <xf numFmtId="0" fontId="108" fillId="0" borderId="0" xfId="0" applyFont="1" applyAlignment="1">
      <alignment horizontal="center"/>
    </xf>
    <xf numFmtId="0" fontId="73" fillId="48" borderId="30" xfId="0" applyFont="1" applyFill="1" applyBorder="1" applyAlignment="1">
      <alignment horizontal="left" vertical="center" wrapText="1"/>
    </xf>
    <xf numFmtId="0" fontId="0" fillId="0" borderId="27" xfId="0" applyBorder="1"/>
    <xf numFmtId="0" fontId="0" fillId="0" borderId="28" xfId="0" applyBorder="1"/>
    <xf numFmtId="0" fontId="73" fillId="48" borderId="3" xfId="0" applyFont="1" applyFill="1" applyBorder="1" applyAlignment="1">
      <alignment horizontal="left" vertical="center"/>
    </xf>
    <xf numFmtId="0" fontId="73" fillId="48" borderId="26" xfId="0" applyFont="1" applyFill="1" applyBorder="1" applyAlignment="1">
      <alignment horizontal="left" vertical="center"/>
    </xf>
    <xf numFmtId="0" fontId="73" fillId="48" borderId="27" xfId="0" applyFont="1" applyFill="1" applyBorder="1" applyAlignment="1">
      <alignment horizontal="left" vertical="center"/>
    </xf>
    <xf numFmtId="0" fontId="80" fillId="0" borderId="8" xfId="3" applyFont="1" applyBorder="1" applyAlignment="1">
      <alignment vertical="center"/>
    </xf>
    <xf numFmtId="0" fontId="80" fillId="0" borderId="9" xfId="3" applyFont="1" applyBorder="1" applyAlignment="1">
      <alignment vertical="center"/>
    </xf>
    <xf numFmtId="0" fontId="80" fillId="0" borderId="28" xfId="3" applyFont="1" applyBorder="1" applyAlignment="1">
      <alignment vertical="center"/>
    </xf>
    <xf numFmtId="0" fontId="73" fillId="48" borderId="23" xfId="0" applyFont="1" applyFill="1" applyBorder="1" applyAlignment="1">
      <alignment vertical="center" wrapText="1"/>
    </xf>
    <xf numFmtId="0" fontId="73" fillId="48" borderId="25" xfId="0" applyFont="1" applyFill="1" applyBorder="1" applyAlignment="1">
      <alignment vertical="center" wrapText="1"/>
    </xf>
    <xf numFmtId="0" fontId="73" fillId="48" borderId="3" xfId="0" applyFont="1" applyFill="1" applyBorder="1" applyAlignment="1">
      <alignment vertical="center"/>
    </xf>
    <xf numFmtId="0" fontId="73" fillId="48" borderId="4" xfId="0" applyFont="1" applyFill="1" applyBorder="1" applyAlignment="1">
      <alignment vertical="center"/>
    </xf>
    <xf numFmtId="0" fontId="73" fillId="48" borderId="5" xfId="0" applyFont="1" applyFill="1" applyBorder="1" applyAlignment="1">
      <alignment vertical="center"/>
    </xf>
    <xf numFmtId="0" fontId="73" fillId="48" borderId="8" xfId="0" applyFont="1" applyFill="1" applyBorder="1" applyAlignment="1">
      <alignment vertical="center"/>
    </xf>
    <xf numFmtId="1" fontId="20" fillId="0" borderId="18" xfId="0" applyNumberFormat="1" applyFont="1" applyBorder="1" applyAlignment="1">
      <alignment vertical="center"/>
    </xf>
    <xf numFmtId="165" fontId="16" fillId="0" borderId="0" xfId="0" applyNumberFormat="1" applyFont="1" applyAlignment="1">
      <alignment horizontal="left"/>
    </xf>
    <xf numFmtId="165" fontId="0" fillId="0" borderId="0" xfId="0" applyNumberFormat="1" applyAlignment="1">
      <alignment horizontal="left"/>
    </xf>
    <xf numFmtId="0" fontId="54" fillId="0" borderId="0" xfId="0" applyFont="1" applyAlignment="1">
      <alignment horizontal="left"/>
    </xf>
    <xf numFmtId="0" fontId="46" fillId="0" borderId="0" xfId="0" applyFont="1" applyAlignment="1">
      <alignment horizontal="left"/>
    </xf>
    <xf numFmtId="165" fontId="40" fillId="0" borderId="0" xfId="0" applyNumberFormat="1" applyFont="1" applyAlignment="1">
      <alignment horizontal="left"/>
    </xf>
    <xf numFmtId="0" fontId="20" fillId="0" borderId="0" xfId="3" applyFont="1" applyAlignment="1">
      <alignment horizontal="right"/>
    </xf>
    <xf numFmtId="0" fontId="93" fillId="0" borderId="0" xfId="3" applyFont="1"/>
    <xf numFmtId="165" fontId="93" fillId="0" borderId="0" xfId="3" applyNumberFormat="1" applyFont="1"/>
    <xf numFmtId="2" fontId="93" fillId="0" borderId="0" xfId="0" applyNumberFormat="1" applyFont="1" applyAlignment="1">
      <alignment vertical="center"/>
    </xf>
    <xf numFmtId="165" fontId="106" fillId="0" borderId="7" xfId="3" applyNumberFormat="1" applyFont="1" applyBorder="1" applyAlignment="1">
      <alignment horizontal="center" vertical="center"/>
    </xf>
    <xf numFmtId="0" fontId="93" fillId="39" borderId="0" xfId="3" applyFont="1" applyFill="1" applyAlignment="1">
      <alignment horizontal="center"/>
    </xf>
    <xf numFmtId="0" fontId="93" fillId="6" borderId="24" xfId="0" applyFont="1" applyFill="1" applyBorder="1" applyAlignment="1">
      <alignment vertical="center"/>
    </xf>
    <xf numFmtId="0" fontId="106" fillId="46" borderId="30" xfId="3" applyFont="1" applyFill="1" applyBorder="1" applyAlignment="1">
      <alignment horizontal="center" vertical="center"/>
    </xf>
    <xf numFmtId="0" fontId="73" fillId="0" borderId="27" xfId="3" applyFont="1" applyBorder="1" applyAlignment="1">
      <alignment horizontal="right" vertical="center"/>
    </xf>
    <xf numFmtId="0" fontId="80" fillId="0" borderId="28" xfId="3" applyFont="1" applyBorder="1"/>
    <xf numFmtId="0" fontId="13" fillId="5" borderId="0" xfId="3" applyFill="1" applyAlignment="1">
      <alignment vertical="center"/>
    </xf>
    <xf numFmtId="186" fontId="13" fillId="5" borderId="0" xfId="3" applyNumberFormat="1" applyFill="1" applyAlignment="1">
      <alignment horizontal="center" vertical="center"/>
    </xf>
    <xf numFmtId="0" fontId="13" fillId="5" borderId="81" xfId="3" applyFill="1" applyBorder="1" applyAlignment="1">
      <alignment horizontal="center" vertical="center"/>
    </xf>
    <xf numFmtId="0" fontId="13" fillId="5" borderId="82" xfId="3" applyFill="1" applyBorder="1" applyAlignment="1">
      <alignment horizontal="center" vertical="center"/>
    </xf>
    <xf numFmtId="0" fontId="13" fillId="5" borderId="83" xfId="3" applyFill="1" applyBorder="1" applyAlignment="1">
      <alignment horizontal="center" vertical="center"/>
    </xf>
    <xf numFmtId="0" fontId="13" fillId="5" borderId="84" xfId="3" applyFill="1" applyBorder="1" applyAlignment="1">
      <alignment horizontal="center" vertical="center"/>
    </xf>
    <xf numFmtId="0" fontId="13" fillId="5" borderId="61" xfId="3" applyFill="1" applyBorder="1" applyAlignment="1">
      <alignment vertical="center"/>
    </xf>
    <xf numFmtId="0" fontId="13" fillId="5" borderId="62" xfId="3" applyFill="1" applyBorder="1" applyAlignment="1">
      <alignment vertical="center"/>
    </xf>
    <xf numFmtId="0" fontId="13" fillId="5" borderId="85" xfId="3" applyFill="1" applyBorder="1" applyAlignment="1">
      <alignment vertical="center"/>
    </xf>
    <xf numFmtId="0" fontId="13" fillId="5" borderId="86" xfId="3" applyFill="1" applyBorder="1" applyAlignment="1">
      <alignment vertical="center"/>
    </xf>
    <xf numFmtId="0" fontId="13" fillId="5" borderId="63" xfId="3" applyFill="1" applyBorder="1" applyAlignment="1">
      <alignment vertical="center"/>
    </xf>
    <xf numFmtId="165" fontId="13" fillId="5" borderId="87" xfId="3" applyNumberFormat="1" applyFill="1" applyBorder="1" applyAlignment="1">
      <alignment horizontal="center" vertical="center"/>
    </xf>
    <xf numFmtId="165" fontId="13" fillId="5" borderId="88" xfId="3" applyNumberFormat="1" applyFill="1" applyBorder="1" applyAlignment="1">
      <alignment horizontal="center" vertical="center"/>
    </xf>
    <xf numFmtId="165" fontId="13" fillId="5" borderId="89" xfId="3" applyNumberFormat="1" applyFill="1" applyBorder="1" applyAlignment="1">
      <alignment horizontal="center" vertical="center"/>
    </xf>
    <xf numFmtId="165" fontId="13" fillId="5" borderId="63" xfId="3" applyNumberFormat="1" applyFill="1" applyBorder="1" applyAlignment="1">
      <alignment horizontal="center" vertical="center"/>
    </xf>
    <xf numFmtId="0" fontId="13" fillId="5" borderId="66" xfId="3" applyFill="1" applyBorder="1" applyAlignment="1">
      <alignment vertical="center"/>
    </xf>
    <xf numFmtId="0" fontId="13" fillId="5" borderId="71" xfId="3" applyFill="1" applyBorder="1" applyAlignment="1">
      <alignment vertical="center"/>
    </xf>
    <xf numFmtId="0" fontId="13" fillId="5" borderId="90" xfId="3" applyFill="1" applyBorder="1" applyAlignment="1">
      <alignment vertical="center"/>
    </xf>
    <xf numFmtId="1" fontId="13" fillId="5" borderId="92" xfId="3" applyNumberFormat="1" applyFill="1" applyBorder="1" applyAlignment="1">
      <alignment horizontal="center" vertical="center"/>
    </xf>
    <xf numFmtId="1" fontId="13" fillId="5" borderId="28" xfId="3" applyNumberFormat="1" applyFill="1" applyBorder="1" applyAlignment="1">
      <alignment horizontal="center" vertical="center"/>
    </xf>
    <xf numFmtId="1" fontId="13" fillId="5" borderId="93" xfId="3" applyNumberFormat="1" applyFill="1" applyBorder="1" applyAlignment="1">
      <alignment horizontal="center" vertical="center"/>
    </xf>
    <xf numFmtId="1" fontId="13" fillId="5" borderId="91" xfId="3" applyNumberFormat="1" applyFill="1" applyBorder="1" applyAlignment="1">
      <alignment horizontal="center" vertical="center"/>
    </xf>
    <xf numFmtId="0" fontId="13" fillId="5" borderId="64" xfId="3" applyFill="1" applyBorder="1" applyAlignment="1">
      <alignment vertical="center"/>
    </xf>
    <xf numFmtId="0" fontId="13" fillId="5" borderId="7" xfId="3" applyFill="1" applyBorder="1" applyAlignment="1">
      <alignment vertical="center"/>
    </xf>
    <xf numFmtId="1" fontId="13" fillId="5" borderId="30" xfId="3" applyNumberFormat="1" applyFill="1" applyBorder="1" applyAlignment="1">
      <alignment horizontal="center" vertical="center"/>
    </xf>
    <xf numFmtId="1" fontId="13" fillId="5" borderId="95" xfId="3" applyNumberFormat="1" applyFill="1" applyBorder="1" applyAlignment="1">
      <alignment horizontal="center" vertical="center"/>
    </xf>
    <xf numFmtId="1" fontId="13" fillId="5" borderId="96" xfId="3" applyNumberFormat="1" applyFill="1" applyBorder="1" applyAlignment="1">
      <alignment horizontal="center" vertical="center"/>
    </xf>
    <xf numFmtId="0" fontId="13" fillId="5" borderId="68" xfId="3" applyFill="1" applyBorder="1" applyAlignment="1">
      <alignment vertical="center"/>
    </xf>
    <xf numFmtId="0" fontId="13" fillId="5" borderId="69" xfId="3" applyFill="1" applyBorder="1" applyAlignment="1">
      <alignment vertical="center"/>
    </xf>
    <xf numFmtId="0" fontId="13" fillId="5" borderId="97" xfId="3" applyFill="1" applyBorder="1" applyAlignment="1">
      <alignment vertical="center"/>
    </xf>
    <xf numFmtId="1" fontId="13" fillId="5" borderId="100" xfId="3" applyNumberFormat="1" applyFill="1" applyBorder="1" applyAlignment="1">
      <alignment horizontal="center" vertical="center"/>
    </xf>
    <xf numFmtId="1" fontId="13" fillId="5" borderId="26" xfId="3" applyNumberFormat="1" applyFill="1" applyBorder="1" applyAlignment="1">
      <alignment horizontal="center" vertical="center"/>
    </xf>
    <xf numFmtId="1" fontId="13" fillId="5" borderId="101" xfId="3" applyNumberFormat="1" applyFill="1" applyBorder="1" applyAlignment="1">
      <alignment horizontal="center" vertical="center"/>
    </xf>
    <xf numFmtId="1" fontId="13" fillId="5" borderId="65" xfId="3" applyNumberFormat="1" applyFill="1" applyBorder="1" applyAlignment="1">
      <alignment horizontal="center" vertical="center"/>
    </xf>
    <xf numFmtId="0" fontId="13" fillId="5" borderId="87" xfId="3" applyFill="1" applyBorder="1" applyAlignment="1">
      <alignment horizontal="center" vertical="center"/>
    </xf>
    <xf numFmtId="0" fontId="13" fillId="5" borderId="88" xfId="3" applyFill="1" applyBorder="1" applyAlignment="1">
      <alignment horizontal="center" vertical="center"/>
    </xf>
    <xf numFmtId="0" fontId="13" fillId="5" borderId="89" xfId="3" applyFill="1" applyBorder="1" applyAlignment="1">
      <alignment horizontal="center" vertical="center"/>
    </xf>
    <xf numFmtId="1" fontId="13" fillId="5" borderId="102" xfId="3" applyNumberFormat="1" applyFill="1" applyBorder="1" applyAlignment="1">
      <alignment horizontal="center" vertical="center"/>
    </xf>
    <xf numFmtId="186" fontId="13" fillId="5" borderId="81" xfId="3" applyNumberFormat="1" applyFill="1" applyBorder="1" applyAlignment="1">
      <alignment horizontal="center" vertical="center"/>
    </xf>
    <xf numFmtId="186" fontId="13" fillId="5" borderId="82" xfId="3" applyNumberFormat="1" applyFill="1" applyBorder="1" applyAlignment="1">
      <alignment horizontal="center" vertical="center"/>
    </xf>
    <xf numFmtId="186" fontId="13" fillId="5" borderId="106" xfId="3" applyNumberFormat="1" applyFill="1" applyBorder="1" applyAlignment="1">
      <alignment horizontal="center" vertical="center"/>
    </xf>
    <xf numFmtId="186" fontId="13" fillId="5" borderId="67" xfId="3" applyNumberFormat="1" applyFill="1" applyBorder="1" applyAlignment="1">
      <alignment horizontal="center" vertical="center"/>
    </xf>
    <xf numFmtId="0" fontId="13" fillId="5" borderId="107" xfId="3" applyFill="1" applyBorder="1" applyAlignment="1">
      <alignment vertical="center"/>
    </xf>
    <xf numFmtId="0" fontId="13" fillId="0" borderId="108" xfId="3" applyBorder="1" applyAlignment="1">
      <alignment vertical="center"/>
    </xf>
    <xf numFmtId="0" fontId="13" fillId="0" borderId="109" xfId="3" applyBorder="1" applyAlignment="1">
      <alignment vertical="center"/>
    </xf>
    <xf numFmtId="187" fontId="13" fillId="5" borderId="112" xfId="3" applyNumberFormat="1" applyFill="1" applyBorder="1" applyAlignment="1">
      <alignment horizontal="center" vertical="center"/>
    </xf>
    <xf numFmtId="187" fontId="13" fillId="5" borderId="113" xfId="3" applyNumberFormat="1" applyFill="1" applyBorder="1" applyAlignment="1">
      <alignment horizontal="center" vertical="center"/>
    </xf>
    <xf numFmtId="187" fontId="13" fillId="5" borderId="114" xfId="3" applyNumberFormat="1" applyFill="1" applyBorder="1" applyAlignment="1">
      <alignment horizontal="center" vertical="center"/>
    </xf>
    <xf numFmtId="187" fontId="13" fillId="5" borderId="111" xfId="3" applyNumberFormat="1" applyFill="1" applyBorder="1" applyAlignment="1">
      <alignment horizontal="center" vertical="center"/>
    </xf>
    <xf numFmtId="186" fontId="13" fillId="5" borderId="115" xfId="3" applyNumberFormat="1" applyFill="1" applyBorder="1" applyAlignment="1">
      <alignment horizontal="center" vertical="center"/>
    </xf>
    <xf numFmtId="186" fontId="13" fillId="5" borderId="116" xfId="3" applyNumberFormat="1" applyFill="1" applyBorder="1" applyAlignment="1">
      <alignment horizontal="center" vertical="center"/>
    </xf>
    <xf numFmtId="186" fontId="13" fillId="5" borderId="117" xfId="3" applyNumberFormat="1" applyFill="1" applyBorder="1" applyAlignment="1">
      <alignment horizontal="center" vertical="center"/>
    </xf>
    <xf numFmtId="186" fontId="13" fillId="5" borderId="118" xfId="3" applyNumberFormat="1" applyFill="1" applyBorder="1" applyAlignment="1">
      <alignment horizontal="center" vertical="center"/>
    </xf>
    <xf numFmtId="188" fontId="13" fillId="5" borderId="112" xfId="3" applyNumberFormat="1" applyFill="1" applyBorder="1" applyAlignment="1">
      <alignment horizontal="center" vertical="center"/>
    </xf>
    <xf numFmtId="188" fontId="13" fillId="5" borderId="113" xfId="3" applyNumberFormat="1" applyFill="1" applyBorder="1" applyAlignment="1">
      <alignment horizontal="center" vertical="center"/>
    </xf>
    <xf numFmtId="188" fontId="13" fillId="5" borderId="114" xfId="3" applyNumberFormat="1" applyFill="1" applyBorder="1" applyAlignment="1">
      <alignment horizontal="center" vertical="center"/>
    </xf>
    <xf numFmtId="188" fontId="13" fillId="5" borderId="111" xfId="3" applyNumberFormat="1" applyFill="1" applyBorder="1" applyAlignment="1">
      <alignment horizontal="center" vertical="center"/>
    </xf>
    <xf numFmtId="0" fontId="13" fillId="0" borderId="0" xfId="3" applyAlignment="1">
      <alignment vertical="center"/>
    </xf>
    <xf numFmtId="187" fontId="13" fillId="5" borderId="0" xfId="3" applyNumberFormat="1" applyFill="1" applyAlignment="1">
      <alignment horizontal="center" vertical="center"/>
    </xf>
    <xf numFmtId="0" fontId="13" fillId="0" borderId="3" xfId="3" applyBorder="1" applyAlignment="1">
      <alignment horizontal="right"/>
    </xf>
    <xf numFmtId="0" fontId="13" fillId="49" borderId="119" xfId="3" applyFill="1" applyBorder="1" applyAlignment="1">
      <alignment horizontal="centerContinuous"/>
    </xf>
    <xf numFmtId="0" fontId="13" fillId="0" borderId="24" xfId="3" applyBorder="1" applyAlignment="1">
      <alignment horizontal="centerContinuous"/>
    </xf>
    <xf numFmtId="0" fontId="13" fillId="0" borderId="94" xfId="3" applyBorder="1" applyAlignment="1">
      <alignment horizontal="centerContinuous"/>
    </xf>
    <xf numFmtId="0" fontId="13" fillId="0" borderId="120" xfId="3" applyBorder="1" applyAlignment="1">
      <alignment horizontal="centerContinuous"/>
    </xf>
    <xf numFmtId="0" fontId="13" fillId="49" borderId="121" xfId="3" applyFill="1" applyBorder="1" applyAlignment="1">
      <alignment horizontal="centerContinuous"/>
    </xf>
    <xf numFmtId="0" fontId="13" fillId="0" borderId="4" xfId="3" applyBorder="1" applyAlignment="1">
      <alignment horizontal="centerContinuous"/>
    </xf>
    <xf numFmtId="0" fontId="13" fillId="0" borderId="4" xfId="3" quotePrefix="1" applyBorder="1" applyAlignment="1">
      <alignment horizontal="centerContinuous"/>
    </xf>
    <xf numFmtId="0" fontId="13" fillId="0" borderId="99" xfId="3" applyBorder="1" applyAlignment="1">
      <alignment horizontal="centerContinuous"/>
    </xf>
    <xf numFmtId="0" fontId="13" fillId="0" borderId="3" xfId="3" applyBorder="1"/>
    <xf numFmtId="0" fontId="13" fillId="49" borderId="4" xfId="3" applyFill="1" applyBorder="1" applyAlignment="1">
      <alignment horizontal="centerContinuous"/>
    </xf>
    <xf numFmtId="0" fontId="13" fillId="49" borderId="5" xfId="3" applyFill="1" applyBorder="1" applyAlignment="1">
      <alignment horizontal="centerContinuous"/>
    </xf>
    <xf numFmtId="0" fontId="13" fillId="49" borderId="122" xfId="3" applyFill="1" applyBorder="1" applyAlignment="1">
      <alignment horizontal="centerContinuous"/>
    </xf>
    <xf numFmtId="0" fontId="13" fillId="49" borderId="3" xfId="3" applyFill="1" applyBorder="1" applyAlignment="1">
      <alignment horizontal="centerContinuous"/>
    </xf>
    <xf numFmtId="0" fontId="13" fillId="0" borderId="3" xfId="3" applyBorder="1" applyAlignment="1">
      <alignment horizontal="center" wrapText="1"/>
    </xf>
    <xf numFmtId="0" fontId="13" fillId="0" borderId="5" xfId="3" applyBorder="1" applyAlignment="1">
      <alignment horizontal="center"/>
    </xf>
    <xf numFmtId="0" fontId="13" fillId="0" borderId="6" xfId="3" applyBorder="1"/>
    <xf numFmtId="0" fontId="13" fillId="49" borderId="0" xfId="3" applyFill="1" applyAlignment="1">
      <alignment horizontal="centerContinuous"/>
    </xf>
    <xf numFmtId="0" fontId="13" fillId="49" borderId="7" xfId="3" applyFill="1" applyBorder="1" applyAlignment="1">
      <alignment horizontal="centerContinuous"/>
    </xf>
    <xf numFmtId="0" fontId="13" fillId="49" borderId="124" xfId="3" applyFill="1" applyBorder="1" applyAlignment="1">
      <alignment horizontal="centerContinuous"/>
    </xf>
    <xf numFmtId="0" fontId="13" fillId="49" borderId="6" xfId="3" applyFill="1" applyBorder="1" applyAlignment="1">
      <alignment horizontal="centerContinuous"/>
    </xf>
    <xf numFmtId="0" fontId="13" fillId="0" borderId="6" xfId="3" applyBorder="1" applyAlignment="1">
      <alignment horizontal="center" vertical="center"/>
    </xf>
    <xf numFmtId="0" fontId="13" fillId="0" borderId="7" xfId="3" applyBorder="1" applyAlignment="1">
      <alignment horizontal="center"/>
    </xf>
    <xf numFmtId="0" fontId="13" fillId="49" borderId="8" xfId="3" applyFill="1" applyBorder="1"/>
    <xf numFmtId="0" fontId="13" fillId="49" borderId="10" xfId="3" applyFill="1" applyBorder="1" applyAlignment="1">
      <alignment horizontal="centerContinuous"/>
    </xf>
    <xf numFmtId="0" fontId="13" fillId="49" borderId="28" xfId="3" applyFill="1" applyBorder="1" applyAlignment="1">
      <alignment horizontal="center"/>
    </xf>
    <xf numFmtId="0" fontId="13" fillId="49" borderId="8" xfId="3" applyFill="1" applyBorder="1" applyAlignment="1">
      <alignment horizontal="center"/>
    </xf>
    <xf numFmtId="0" fontId="13" fillId="49" borderId="127" xfId="3" applyFill="1" applyBorder="1" applyAlignment="1">
      <alignment horizontal="centerContinuous"/>
    </xf>
    <xf numFmtId="0" fontId="13" fillId="49" borderId="28" xfId="3" applyFill="1" applyBorder="1" applyAlignment="1">
      <alignment horizontal="centerContinuous"/>
    </xf>
    <xf numFmtId="0" fontId="13" fillId="0" borderId="28" xfId="3" applyBorder="1" applyAlignment="1">
      <alignment horizontal="center" vertical="center"/>
    </xf>
    <xf numFmtId="0" fontId="13" fillId="0" borderId="28" xfId="3" applyBorder="1" applyAlignment="1">
      <alignment horizontal="center"/>
    </xf>
    <xf numFmtId="0" fontId="13" fillId="0" borderId="8" xfId="3" applyBorder="1" applyAlignment="1">
      <alignment horizontal="left"/>
    </xf>
    <xf numFmtId="1" fontId="20" fillId="49" borderId="24" xfId="3" applyNumberFormat="1" applyFont="1" applyFill="1" applyBorder="1" applyAlignment="1">
      <alignment horizontal="centerContinuous"/>
    </xf>
    <xf numFmtId="1" fontId="13" fillId="49" borderId="28" xfId="3" applyNumberFormat="1" applyFill="1" applyBorder="1" applyAlignment="1">
      <alignment horizontal="centerContinuous"/>
    </xf>
    <xf numFmtId="1" fontId="13" fillId="49" borderId="10" xfId="3" applyNumberFormat="1" applyFill="1" applyBorder="1" applyAlignment="1">
      <alignment horizontal="centerContinuous"/>
    </xf>
    <xf numFmtId="1" fontId="13" fillId="49" borderId="28" xfId="3" applyNumberFormat="1" applyFill="1" applyBorder="1" applyAlignment="1">
      <alignment horizontal="center"/>
    </xf>
    <xf numFmtId="1" fontId="13" fillId="49" borderId="8" xfId="3" applyNumberFormat="1" applyFill="1" applyBorder="1" applyAlignment="1">
      <alignment horizontal="center"/>
    </xf>
    <xf numFmtId="165" fontId="13" fillId="49" borderId="28" xfId="3" applyNumberFormat="1" applyFill="1" applyBorder="1" applyAlignment="1">
      <alignment horizontal="centerContinuous"/>
    </xf>
    <xf numFmtId="49" fontId="13" fillId="49" borderId="28" xfId="3" applyNumberFormat="1" applyFill="1" applyBorder="1" applyAlignment="1">
      <alignment horizontal="centerContinuous"/>
    </xf>
    <xf numFmtId="49" fontId="13" fillId="49" borderId="8" xfId="3" applyNumberFormat="1" applyFill="1" applyBorder="1" applyAlignment="1">
      <alignment horizontal="centerContinuous"/>
    </xf>
    <xf numFmtId="1" fontId="13" fillId="49" borderId="127" xfId="3" applyNumberFormat="1" applyFill="1" applyBorder="1" applyAlignment="1">
      <alignment horizontal="centerContinuous"/>
    </xf>
    <xf numFmtId="1" fontId="20" fillId="49" borderId="9" xfId="3" applyNumberFormat="1" applyFont="1" applyFill="1" applyBorder="1" applyAlignment="1">
      <alignment horizontal="centerContinuous"/>
    </xf>
    <xf numFmtId="1" fontId="13" fillId="0" borderId="129" xfId="3" applyNumberFormat="1" applyBorder="1" applyAlignment="1">
      <alignment horizontal="centerContinuous"/>
    </xf>
    <xf numFmtId="1" fontId="13" fillId="0" borderId="10" xfId="3" applyNumberFormat="1" applyBorder="1" applyAlignment="1">
      <alignment horizontal="centerContinuous"/>
    </xf>
    <xf numFmtId="165" fontId="13" fillId="0" borderId="30" xfId="3" applyNumberFormat="1" applyBorder="1" applyAlignment="1">
      <alignment horizontal="center" vertical="center"/>
    </xf>
    <xf numFmtId="0" fontId="13" fillId="0" borderId="23" xfId="3" applyBorder="1" applyAlignment="1">
      <alignment horizontal="left"/>
    </xf>
    <xf numFmtId="1" fontId="13" fillId="49" borderId="30" xfId="3" applyNumberFormat="1" applyFill="1" applyBorder="1" applyAlignment="1">
      <alignment horizontal="centerContinuous"/>
    </xf>
    <xf numFmtId="1" fontId="13" fillId="49" borderId="25" xfId="3" applyNumberFormat="1" applyFill="1" applyBorder="1" applyAlignment="1">
      <alignment horizontal="centerContinuous"/>
    </xf>
    <xf numFmtId="1" fontId="13" fillId="49" borderId="30" xfId="3" applyNumberFormat="1" applyFill="1" applyBorder="1" applyAlignment="1">
      <alignment horizontal="center"/>
    </xf>
    <xf numFmtId="1" fontId="13" fillId="49" borderId="23" xfId="3" applyNumberFormat="1" applyFill="1" applyBorder="1" applyAlignment="1">
      <alignment horizontal="center"/>
    </xf>
    <xf numFmtId="165" fontId="13" fillId="49" borderId="30" xfId="3" applyNumberFormat="1" applyFill="1" applyBorder="1" applyAlignment="1">
      <alignment horizontal="centerContinuous"/>
    </xf>
    <xf numFmtId="49" fontId="13" fillId="49" borderId="30" xfId="3" applyNumberFormat="1" applyFill="1" applyBorder="1" applyAlignment="1">
      <alignment horizontal="centerContinuous"/>
    </xf>
    <xf numFmtId="49" fontId="13" fillId="49" borderId="23" xfId="3" applyNumberFormat="1" applyFill="1" applyBorder="1" applyAlignment="1">
      <alignment horizontal="centerContinuous"/>
    </xf>
    <xf numFmtId="1" fontId="13" fillId="49" borderId="128" xfId="3" applyNumberFormat="1" applyFill="1" applyBorder="1" applyAlignment="1">
      <alignment horizontal="centerContinuous"/>
    </xf>
    <xf numFmtId="1" fontId="13" fillId="0" borderId="119" xfId="3" applyNumberFormat="1" applyBorder="1" applyAlignment="1">
      <alignment horizontal="centerContinuous"/>
    </xf>
    <xf numFmtId="1" fontId="13" fillId="0" borderId="25" xfId="3" applyNumberFormat="1" applyBorder="1" applyAlignment="1">
      <alignment horizontal="centerContinuous"/>
    </xf>
    <xf numFmtId="0" fontId="13" fillId="0" borderId="0" xfId="3" applyAlignment="1">
      <alignment horizontal="centerContinuous"/>
    </xf>
    <xf numFmtId="0" fontId="13" fillId="0" borderId="69" xfId="3" applyBorder="1"/>
    <xf numFmtId="0" fontId="13" fillId="5" borderId="86" xfId="3" applyFill="1" applyBorder="1" applyAlignment="1">
      <alignment horizontal="center" vertical="center"/>
    </xf>
    <xf numFmtId="0" fontId="13" fillId="5" borderId="85" xfId="3" applyFill="1" applyBorder="1" applyAlignment="1">
      <alignment horizontal="center" vertical="center"/>
    </xf>
    <xf numFmtId="0" fontId="13" fillId="5" borderId="83" xfId="3" applyFill="1" applyBorder="1" applyAlignment="1">
      <alignment vertical="center"/>
    </xf>
    <xf numFmtId="0" fontId="13" fillId="0" borderId="90" xfId="3" applyBorder="1" applyAlignment="1">
      <alignment vertical="center"/>
    </xf>
    <xf numFmtId="0" fontId="13" fillId="5" borderId="8" xfId="3" applyFill="1" applyBorder="1" applyAlignment="1">
      <alignment horizontal="center" vertical="center"/>
    </xf>
    <xf numFmtId="0" fontId="13" fillId="5" borderId="91" xfId="3" applyFill="1" applyBorder="1" applyAlignment="1">
      <alignment horizontal="center" vertical="center"/>
    </xf>
    <xf numFmtId="0" fontId="13" fillId="0" borderId="6" xfId="3" applyBorder="1" applyAlignment="1">
      <alignment vertical="center"/>
    </xf>
    <xf numFmtId="0" fontId="13" fillId="0" borderId="7" xfId="3" applyBorder="1" applyAlignment="1">
      <alignment vertical="center"/>
    </xf>
    <xf numFmtId="0" fontId="13" fillId="5" borderId="23" xfId="3" applyFill="1" applyBorder="1" applyAlignment="1">
      <alignment horizontal="center" vertical="center"/>
    </xf>
    <xf numFmtId="0" fontId="13" fillId="5" borderId="94" xfId="3" applyFill="1" applyBorder="1" applyAlignment="1">
      <alignment horizontal="center" vertical="center"/>
    </xf>
    <xf numFmtId="0" fontId="13" fillId="0" borderId="98" xfId="3" applyBorder="1" applyAlignment="1">
      <alignment vertical="center"/>
    </xf>
    <xf numFmtId="0" fontId="13" fillId="0" borderId="97" xfId="3" applyBorder="1" applyAlignment="1">
      <alignment vertical="center"/>
    </xf>
    <xf numFmtId="0" fontId="13" fillId="5" borderId="3" xfId="3" applyFill="1" applyBorder="1" applyAlignment="1">
      <alignment horizontal="center" vertical="center"/>
    </xf>
    <xf numFmtId="0" fontId="13" fillId="5" borderId="99" xfId="3" applyFill="1" applyBorder="1" applyAlignment="1">
      <alignment horizontal="center" vertical="center"/>
    </xf>
    <xf numFmtId="0" fontId="13" fillId="5" borderId="63" xfId="3" applyFill="1" applyBorder="1" applyAlignment="1">
      <alignment horizontal="center" vertical="center"/>
    </xf>
    <xf numFmtId="0" fontId="13" fillId="0" borderId="103" xfId="3" applyBorder="1" applyAlignment="1">
      <alignment vertical="center"/>
    </xf>
    <xf numFmtId="0" fontId="13" fillId="0" borderId="104" xfId="3" applyBorder="1" applyAlignment="1">
      <alignment vertical="center"/>
    </xf>
    <xf numFmtId="0" fontId="13" fillId="0" borderId="105" xfId="3" applyBorder="1" applyAlignment="1">
      <alignment vertical="center"/>
    </xf>
    <xf numFmtId="0" fontId="13" fillId="5" borderId="90" xfId="3" applyFill="1" applyBorder="1" applyAlignment="1">
      <alignment horizontal="center" vertical="center"/>
    </xf>
    <xf numFmtId="0" fontId="13" fillId="5" borderId="67" xfId="3" applyFill="1" applyBorder="1" applyAlignment="1">
      <alignment horizontal="center" vertical="center"/>
    </xf>
    <xf numFmtId="0" fontId="13" fillId="5" borderId="110" xfId="3" applyFill="1" applyBorder="1" applyAlignment="1">
      <alignment horizontal="center" vertical="top"/>
    </xf>
    <xf numFmtId="0" fontId="13" fillId="5" borderId="109" xfId="3" applyFill="1" applyBorder="1" applyAlignment="1">
      <alignment horizontal="center" vertical="top"/>
    </xf>
    <xf numFmtId="0" fontId="13" fillId="5" borderId="111" xfId="3" applyFill="1" applyBorder="1" applyAlignment="1">
      <alignment horizontal="center" vertical="top"/>
    </xf>
    <xf numFmtId="0" fontId="13" fillId="5" borderId="0" xfId="3" applyFill="1" applyAlignment="1">
      <alignment horizontal="center" vertical="center"/>
    </xf>
    <xf numFmtId="0" fontId="13" fillId="5" borderId="110" xfId="3" applyFill="1" applyBorder="1" applyAlignment="1">
      <alignment horizontal="center" vertical="center"/>
    </xf>
    <xf numFmtId="0" fontId="13" fillId="5" borderId="109" xfId="3" applyFill="1" applyBorder="1" applyAlignment="1">
      <alignment horizontal="center" vertical="center"/>
    </xf>
    <xf numFmtId="0" fontId="13" fillId="5" borderId="111" xfId="3" applyFill="1" applyBorder="1" applyAlignment="1">
      <alignment horizontal="center" vertical="center"/>
    </xf>
    <xf numFmtId="0" fontId="13" fillId="0" borderId="71" xfId="3" applyBorder="1" applyAlignment="1">
      <alignment vertical="center"/>
    </xf>
    <xf numFmtId="0" fontId="13" fillId="0" borderId="68" xfId="3" applyBorder="1" applyAlignment="1">
      <alignment vertical="center"/>
    </xf>
    <xf numFmtId="0" fontId="13" fillId="0" borderId="69" xfId="3" applyBorder="1" applyAlignment="1">
      <alignment vertical="center"/>
    </xf>
    <xf numFmtId="0" fontId="13" fillId="5" borderId="7" xfId="3" applyFill="1" applyBorder="1" applyAlignment="1">
      <alignment horizontal="center" vertical="center"/>
    </xf>
    <xf numFmtId="0" fontId="13" fillId="5" borderId="0" xfId="3" applyFill="1" applyAlignment="1">
      <alignment horizontal="center" vertical="top"/>
    </xf>
    <xf numFmtId="0" fontId="20" fillId="0" borderId="69" xfId="3" applyFont="1" applyBorder="1"/>
    <xf numFmtId="0" fontId="13" fillId="5" borderId="69" xfId="3" applyFill="1" applyBorder="1" applyAlignment="1">
      <alignment horizontal="center" vertical="top"/>
    </xf>
    <xf numFmtId="187" fontId="13" fillId="5" borderId="130" xfId="3" applyNumberFormat="1" applyFill="1" applyBorder="1" applyAlignment="1">
      <alignment horizontal="center" vertical="center"/>
    </xf>
    <xf numFmtId="187" fontId="13" fillId="5" borderId="27" xfId="3" applyNumberFormat="1" applyFill="1" applyBorder="1" applyAlignment="1">
      <alignment horizontal="center" vertical="center"/>
    </xf>
    <xf numFmtId="187" fontId="13" fillId="5" borderId="6" xfId="3" applyNumberFormat="1" applyFill="1" applyBorder="1" applyAlignment="1">
      <alignment horizontal="center" vertical="center"/>
    </xf>
    <xf numFmtId="187" fontId="13" fillId="5" borderId="65" xfId="3" applyNumberFormat="1" applyFill="1" applyBorder="1" applyAlignment="1">
      <alignment horizontal="center" vertical="center"/>
    </xf>
    <xf numFmtId="188" fontId="13" fillId="5" borderId="130" xfId="3" applyNumberFormat="1" applyFill="1" applyBorder="1" applyAlignment="1">
      <alignment horizontal="center" vertical="center"/>
    </xf>
    <xf numFmtId="188" fontId="13" fillId="5" borderId="27" xfId="3" applyNumberFormat="1" applyFill="1" applyBorder="1" applyAlignment="1">
      <alignment horizontal="center" vertical="center"/>
    </xf>
    <xf numFmtId="188" fontId="13" fillId="5" borderId="6" xfId="3" applyNumberFormat="1" applyFill="1" applyBorder="1" applyAlignment="1">
      <alignment horizontal="center" vertical="center"/>
    </xf>
    <xf numFmtId="188" fontId="13" fillId="5" borderId="65" xfId="3" applyNumberFormat="1" applyFill="1" applyBorder="1" applyAlignment="1">
      <alignment horizontal="center" vertical="center"/>
    </xf>
    <xf numFmtId="0" fontId="20" fillId="50" borderId="122" xfId="3" applyFont="1" applyFill="1" applyBorder="1" applyAlignment="1">
      <alignment horizontal="centerContinuous"/>
    </xf>
    <xf numFmtId="0" fontId="20" fillId="50" borderId="123" xfId="3" applyFont="1" applyFill="1" applyBorder="1" applyAlignment="1">
      <alignment horizontal="centerContinuous"/>
    </xf>
    <xf numFmtId="0" fontId="20" fillId="50" borderId="124" xfId="3" applyFont="1" applyFill="1" applyBorder="1" applyAlignment="1">
      <alignment horizontal="centerContinuous"/>
    </xf>
    <xf numFmtId="0" fontId="20" fillId="50" borderId="125" xfId="3" applyFont="1" applyFill="1" applyBorder="1" applyAlignment="1">
      <alignment horizontal="centerContinuous"/>
    </xf>
    <xf numFmtId="0" fontId="20" fillId="50" borderId="127" xfId="3" applyFont="1" applyFill="1" applyBorder="1" applyAlignment="1">
      <alignment horizontal="centerContinuous"/>
    </xf>
    <xf numFmtId="0" fontId="20" fillId="50" borderId="10" xfId="3" applyFont="1" applyFill="1" applyBorder="1" applyAlignment="1">
      <alignment horizontal="centerContinuous"/>
    </xf>
    <xf numFmtId="1" fontId="20" fillId="50" borderId="128" xfId="3" applyNumberFormat="1" applyFont="1" applyFill="1" applyBorder="1" applyAlignment="1">
      <alignment horizontal="centerContinuous"/>
    </xf>
    <xf numFmtId="1" fontId="20" fillId="50" borderId="24" xfId="3" applyNumberFormat="1" applyFont="1" applyFill="1" applyBorder="1" applyAlignment="1">
      <alignment horizontal="centerContinuous"/>
    </xf>
    <xf numFmtId="0" fontId="93" fillId="0" borderId="0" xfId="0" applyFont="1" applyAlignment="1">
      <alignment horizontal="center" vertical="top"/>
    </xf>
    <xf numFmtId="1" fontId="80" fillId="0" borderId="28" xfId="3" applyNumberFormat="1" applyFont="1" applyBorder="1"/>
    <xf numFmtId="165" fontId="73" fillId="0" borderId="4" xfId="3" applyNumberFormat="1" applyFont="1" applyBorder="1" applyAlignment="1">
      <alignment horizontal="center" vertical="center"/>
    </xf>
    <xf numFmtId="165" fontId="73" fillId="0" borderId="5" xfId="3" applyNumberFormat="1" applyFont="1" applyBorder="1" applyAlignment="1">
      <alignment horizontal="center" vertical="center"/>
    </xf>
    <xf numFmtId="165" fontId="73" fillId="0" borderId="0" xfId="3" applyNumberFormat="1" applyFont="1" applyAlignment="1">
      <alignment horizontal="center" vertical="center"/>
    </xf>
    <xf numFmtId="165" fontId="73" fillId="0" borderId="7" xfId="3" applyNumberFormat="1" applyFont="1" applyBorder="1" applyAlignment="1">
      <alignment horizontal="center" vertical="center"/>
    </xf>
    <xf numFmtId="1" fontId="73" fillId="0" borderId="27" xfId="3" applyNumberFormat="1" applyFont="1" applyBorder="1"/>
    <xf numFmtId="0" fontId="97" fillId="6" borderId="0" xfId="0" applyFont="1" applyFill="1" applyAlignment="1">
      <alignment vertical="top" wrapText="1"/>
    </xf>
    <xf numFmtId="0" fontId="98" fillId="0" borderId="0" xfId="33" applyFont="1" applyAlignment="1">
      <alignment vertical="top" wrapText="1"/>
    </xf>
    <xf numFmtId="0" fontId="99" fillId="0" borderId="0" xfId="33" applyFont="1" applyAlignment="1">
      <alignment vertical="top" wrapText="1"/>
    </xf>
    <xf numFmtId="0" fontId="37" fillId="6" borderId="0" xfId="0" applyFont="1" applyFill="1" applyAlignment="1">
      <alignment vertical="top" wrapText="1"/>
    </xf>
    <xf numFmtId="0" fontId="89" fillId="0" borderId="0" xfId="34" applyFont="1" applyAlignment="1">
      <alignment vertical="top" wrapText="1"/>
    </xf>
    <xf numFmtId="0" fontId="92" fillId="0" borderId="0" xfId="35" applyFont="1" applyAlignment="1">
      <alignment vertical="top" wrapText="1"/>
    </xf>
    <xf numFmtId="0" fontId="95" fillId="0" borderId="0" xfId="35" applyFont="1" applyAlignment="1">
      <alignment vertical="top" wrapText="1"/>
    </xf>
    <xf numFmtId="0" fontId="72" fillId="0" borderId="0" xfId="35" applyFont="1" applyAlignment="1">
      <alignment vertical="top" wrapText="1"/>
    </xf>
    <xf numFmtId="0" fontId="95" fillId="0" borderId="0" xfId="34" applyFont="1" applyAlignment="1">
      <alignment vertical="top" wrapText="1"/>
    </xf>
    <xf numFmtId="0" fontId="89" fillId="0" borderId="0" xfId="33" applyFont="1" applyAlignment="1">
      <alignment vertical="top" wrapText="1"/>
    </xf>
    <xf numFmtId="165" fontId="26" fillId="0" borderId="0" xfId="0" applyNumberFormat="1" applyFont="1" applyAlignment="1">
      <alignment vertical="top" wrapText="1"/>
    </xf>
    <xf numFmtId="0" fontId="93" fillId="0" borderId="0" xfId="33" applyFont="1" applyAlignment="1">
      <alignment vertical="top" wrapText="1"/>
    </xf>
    <xf numFmtId="0" fontId="13" fillId="0" borderId="0" xfId="33" applyFont="1" applyAlignment="1">
      <alignment vertical="top" wrapText="1"/>
    </xf>
    <xf numFmtId="0" fontId="89" fillId="0" borderId="0" xfId="34" applyFont="1" applyAlignment="1">
      <alignment vertical="top"/>
    </xf>
    <xf numFmtId="0" fontId="13" fillId="0" borderId="39" xfId="0" applyFont="1" applyBorder="1"/>
    <xf numFmtId="0" fontId="13" fillId="0" borderId="132" xfId="0" applyFont="1" applyBorder="1" applyAlignment="1">
      <alignment horizontal="center" textRotation="90" wrapText="1"/>
    </xf>
    <xf numFmtId="0" fontId="13" fillId="0" borderId="133" xfId="0" applyFont="1" applyBorder="1" applyAlignment="1">
      <alignment horizontal="center" textRotation="90" wrapText="1"/>
    </xf>
    <xf numFmtId="1" fontId="13" fillId="0" borderId="10" xfId="0" applyNumberFormat="1" applyFont="1" applyBorder="1" applyAlignment="1">
      <alignment vertical="top" wrapText="1"/>
    </xf>
    <xf numFmtId="0" fontId="13" fillId="0" borderId="38" xfId="0" applyFont="1" applyBorder="1" applyAlignment="1">
      <alignment vertical="top"/>
    </xf>
    <xf numFmtId="0" fontId="20" fillId="0" borderId="5" xfId="0" applyFont="1" applyBorder="1" applyAlignment="1">
      <alignment horizontal="center" vertical="top"/>
    </xf>
    <xf numFmtId="0" fontId="93" fillId="0" borderId="0" xfId="34" applyFont="1" applyAlignment="1">
      <alignment vertical="top" wrapText="1"/>
    </xf>
    <xf numFmtId="0" fontId="93" fillId="0" borderId="0" xfId="35" applyFont="1" applyAlignment="1">
      <alignment vertical="top" wrapText="1"/>
    </xf>
    <xf numFmtId="0" fontId="19" fillId="0" borderId="29" xfId="0" applyFont="1" applyBorder="1" applyAlignment="1">
      <alignment vertical="center"/>
    </xf>
    <xf numFmtId="165" fontId="13" fillId="0" borderId="134" xfId="0" applyNumberFormat="1" applyFont="1" applyBorder="1" applyAlignment="1">
      <alignment vertical="center"/>
    </xf>
    <xf numFmtId="165" fontId="27" fillId="0" borderId="135" xfId="0" applyNumberFormat="1" applyFont="1" applyBorder="1" applyAlignment="1">
      <alignment vertical="center"/>
    </xf>
    <xf numFmtId="165" fontId="29" fillId="40" borderId="78" xfId="0" applyNumberFormat="1" applyFont="1" applyFill="1" applyBorder="1" applyAlignment="1">
      <alignment vertical="center"/>
    </xf>
    <xf numFmtId="165" fontId="27" fillId="40" borderId="136" xfId="0" applyNumberFormat="1" applyFont="1" applyFill="1" applyBorder="1" applyAlignment="1">
      <alignment horizontal="right" vertical="center"/>
    </xf>
    <xf numFmtId="165" fontId="13" fillId="0" borderId="137" xfId="0" applyNumberFormat="1" applyFont="1" applyBorder="1" applyAlignment="1">
      <alignment vertical="center"/>
    </xf>
    <xf numFmtId="165" fontId="27" fillId="0" borderId="138" xfId="0" applyNumberFormat="1" applyFont="1" applyBorder="1" applyAlignment="1">
      <alignment vertical="center"/>
    </xf>
    <xf numFmtId="0" fontId="15" fillId="6" borderId="139" xfId="0" applyFont="1" applyFill="1" applyBorder="1"/>
    <xf numFmtId="165" fontId="27" fillId="6" borderId="140" xfId="0" applyNumberFormat="1" applyFont="1" applyFill="1" applyBorder="1"/>
    <xf numFmtId="165" fontId="13" fillId="0" borderId="78" xfId="0" applyNumberFormat="1" applyFont="1" applyBorder="1" applyAlignment="1">
      <alignment vertical="center"/>
    </xf>
    <xf numFmtId="0" fontId="13" fillId="44" borderId="136" xfId="0" applyFont="1" applyFill="1" applyBorder="1" applyAlignment="1">
      <alignment vertical="center"/>
    </xf>
    <xf numFmtId="165" fontId="15" fillId="0" borderId="135" xfId="0" applyNumberFormat="1" applyFont="1" applyBorder="1" applyAlignment="1">
      <alignment vertical="center"/>
    </xf>
    <xf numFmtId="0" fontId="93" fillId="0" borderId="0" xfId="0" applyFont="1" applyAlignment="1">
      <alignment vertical="top" wrapText="1"/>
    </xf>
    <xf numFmtId="165" fontId="13" fillId="0" borderId="139" xfId="0" applyNumberFormat="1" applyFont="1" applyBorder="1" applyAlignment="1">
      <alignment vertical="center"/>
    </xf>
    <xf numFmtId="1" fontId="13" fillId="40" borderId="2" xfId="0" applyNumberFormat="1" applyFont="1" applyFill="1" applyBorder="1" applyAlignment="1">
      <alignment horizontal="right" vertical="center"/>
    </xf>
    <xf numFmtId="0" fontId="93" fillId="0" borderId="9" xfId="0" applyFont="1" applyBorder="1"/>
    <xf numFmtId="1" fontId="29" fillId="0" borderId="0" xfId="0" applyNumberFormat="1" applyFont="1" applyAlignment="1">
      <alignment horizontal="left" vertical="center"/>
    </xf>
    <xf numFmtId="0" fontId="20" fillId="43" borderId="24" xfId="3" applyFont="1" applyFill="1" applyBorder="1" applyAlignment="1">
      <alignment horizontal="left"/>
    </xf>
    <xf numFmtId="0" fontId="20" fillId="12" borderId="24" xfId="3" applyFont="1" applyFill="1" applyBorder="1" applyAlignment="1">
      <alignment horizontal="left"/>
    </xf>
    <xf numFmtId="1" fontId="89" fillId="0" borderId="30" xfId="4" applyNumberFormat="1" applyFont="1" applyBorder="1" applyAlignment="1">
      <alignment horizontal="center"/>
    </xf>
    <xf numFmtId="1" fontId="13" fillId="0" borderId="30" xfId="3" applyNumberFormat="1" applyBorder="1" applyAlignment="1">
      <alignment horizontal="center"/>
    </xf>
    <xf numFmtId="165" fontId="73" fillId="0" borderId="6" xfId="3" applyNumberFormat="1" applyFont="1" applyBorder="1" applyAlignment="1">
      <alignment horizontal="center" vertical="center"/>
    </xf>
    <xf numFmtId="1" fontId="73" fillId="0" borderId="6" xfId="3" applyNumberFormat="1" applyFont="1" applyBorder="1" applyAlignment="1">
      <alignment horizontal="center" vertical="center"/>
    </xf>
    <xf numFmtId="2" fontId="13" fillId="0" borderId="0" xfId="3" applyNumberFormat="1" applyAlignment="1">
      <alignment horizontal="center"/>
    </xf>
    <xf numFmtId="165" fontId="13" fillId="20" borderId="0" xfId="3" applyNumberFormat="1" applyFill="1" applyAlignment="1">
      <alignment horizontal="center"/>
    </xf>
    <xf numFmtId="0" fontId="110" fillId="5" borderId="0" xfId="3" applyFont="1" applyFill="1"/>
    <xf numFmtId="0" fontId="111" fillId="0" borderId="0" xfId="34" applyFont="1"/>
    <xf numFmtId="165" fontId="26" fillId="0" borderId="14" xfId="0" applyNumberFormat="1" applyFont="1" applyBorder="1" applyAlignment="1">
      <alignment vertical="top" wrapText="1"/>
    </xf>
    <xf numFmtId="165" fontId="106" fillId="46" borderId="30" xfId="3" applyNumberFormat="1" applyFont="1" applyFill="1" applyBorder="1" applyAlignment="1">
      <alignment horizontal="center" vertical="center"/>
    </xf>
    <xf numFmtId="1" fontId="106" fillId="46" borderId="30" xfId="3" applyNumberFormat="1" applyFont="1" applyFill="1" applyBorder="1" applyAlignment="1">
      <alignment horizontal="center" vertical="center"/>
    </xf>
    <xf numFmtId="0" fontId="106" fillId="0" borderId="30" xfId="3" applyFont="1" applyBorder="1" applyAlignment="1">
      <alignment horizontal="center" vertical="center"/>
    </xf>
    <xf numFmtId="0" fontId="106" fillId="37" borderId="30" xfId="3" applyFont="1" applyFill="1" applyBorder="1" applyAlignment="1">
      <alignment horizontal="center" vertical="center"/>
    </xf>
    <xf numFmtId="1" fontId="106" fillId="37" borderId="30" xfId="3" applyNumberFormat="1" applyFont="1" applyFill="1" applyBorder="1" applyAlignment="1">
      <alignment horizontal="center" vertical="center"/>
    </xf>
    <xf numFmtId="165" fontId="106" fillId="37" borderId="30" xfId="3" applyNumberFormat="1" applyFont="1" applyFill="1" applyBorder="1" applyAlignment="1">
      <alignment horizontal="center" vertical="center"/>
    </xf>
    <xf numFmtId="165" fontId="106" fillId="0" borderId="30" xfId="3" applyNumberFormat="1" applyFont="1" applyBorder="1" applyAlignment="1">
      <alignment horizontal="center" vertical="center"/>
    </xf>
    <xf numFmtId="0" fontId="106" fillId="0" borderId="30" xfId="3" applyFont="1" applyBorder="1" applyAlignment="1">
      <alignment vertical="center"/>
    </xf>
    <xf numFmtId="0" fontId="106" fillId="0" borderId="30" xfId="3" applyFont="1" applyBorder="1" applyAlignment="1">
      <alignment horizontal="center" textRotation="90"/>
    </xf>
    <xf numFmtId="0" fontId="73" fillId="0" borderId="26" xfId="3" applyFont="1" applyBorder="1" applyAlignment="1">
      <alignment horizontal="center"/>
    </xf>
    <xf numFmtId="0" fontId="73" fillId="0" borderId="27" xfId="3" applyFont="1" applyBorder="1" applyAlignment="1">
      <alignment horizontal="center"/>
    </xf>
    <xf numFmtId="1" fontId="80" fillId="0" borderId="27" xfId="3" applyNumberFormat="1" applyFont="1" applyBorder="1"/>
    <xf numFmtId="0" fontId="73" fillId="0" borderId="4" xfId="3" applyFont="1" applyBorder="1" applyAlignment="1">
      <alignment vertical="center"/>
    </xf>
    <xf numFmtId="1" fontId="73" fillId="0" borderId="4" xfId="3" applyNumberFormat="1" applyFont="1" applyBorder="1"/>
    <xf numFmtId="1" fontId="93" fillId="0" borderId="0" xfId="0" applyNumberFormat="1" applyFont="1"/>
    <xf numFmtId="0" fontId="93" fillId="0" borderId="4" xfId="0" applyFont="1" applyBorder="1"/>
    <xf numFmtId="0" fontId="93" fillId="0" borderId="0" xfId="0" applyFont="1"/>
    <xf numFmtId="1" fontId="13" fillId="0" borderId="8" xfId="0" applyNumberFormat="1" applyFont="1" applyBorder="1"/>
    <xf numFmtId="165" fontId="110" fillId="5" borderId="0" xfId="3" applyNumberFormat="1" applyFont="1" applyFill="1" applyAlignment="1">
      <alignment horizontal="center"/>
    </xf>
    <xf numFmtId="1" fontId="110" fillId="5" borderId="0" xfId="3" applyNumberFormat="1" applyFont="1" applyFill="1" applyAlignment="1">
      <alignment horizontal="center"/>
    </xf>
    <xf numFmtId="0" fontId="13" fillId="6" borderId="12" xfId="0" applyFont="1" applyFill="1" applyBorder="1" applyAlignment="1">
      <alignment horizontal="center"/>
    </xf>
    <xf numFmtId="0" fontId="13" fillId="0" borderId="13" xfId="0" applyFont="1" applyBorder="1" applyAlignment="1">
      <alignment vertical="center"/>
    </xf>
    <xf numFmtId="0" fontId="13" fillId="0" borderId="0" xfId="4" applyFont="1"/>
    <xf numFmtId="0" fontId="13" fillId="0" borderId="0" xfId="4" applyFont="1" applyAlignment="1">
      <alignment horizontal="center"/>
    </xf>
    <xf numFmtId="0" fontId="13" fillId="0" borderId="9" xfId="4" applyFont="1" applyBorder="1" applyAlignment="1">
      <alignment horizontal="center"/>
    </xf>
    <xf numFmtId="1" fontId="13" fillId="0" borderId="0" xfId="4" applyNumberFormat="1" applyFont="1" applyAlignment="1">
      <alignment horizontal="center"/>
    </xf>
    <xf numFmtId="1" fontId="13" fillId="0" borderId="4" xfId="4" applyNumberFormat="1" applyFont="1" applyBorder="1" applyAlignment="1">
      <alignment horizontal="center"/>
    </xf>
    <xf numFmtId="1" fontId="13" fillId="0" borderId="9" xfId="4" applyNumberFormat="1" applyFont="1" applyBorder="1" applyAlignment="1">
      <alignment horizontal="center"/>
    </xf>
    <xf numFmtId="0" fontId="0" fillId="38" borderId="0" xfId="0" applyFill="1"/>
    <xf numFmtId="0" fontId="18" fillId="38" borderId="0" xfId="3" applyFont="1" applyFill="1"/>
    <xf numFmtId="0" fontId="13" fillId="0" borderId="0" xfId="3" applyAlignment="1">
      <alignment horizontal="center" vertical="top" wrapText="1"/>
    </xf>
    <xf numFmtId="1" fontId="13" fillId="7" borderId="0" xfId="3" applyNumberFormat="1" applyFill="1"/>
    <xf numFmtId="0" fontId="98" fillId="0" borderId="0" xfId="3" applyFont="1" applyAlignment="1">
      <alignment horizontal="center"/>
    </xf>
    <xf numFmtId="165" fontId="98" fillId="0" borderId="0" xfId="3" applyNumberFormat="1" applyFont="1" applyAlignment="1">
      <alignment horizontal="center"/>
    </xf>
    <xf numFmtId="0" fontId="13" fillId="38" borderId="0" xfId="0" quotePrefix="1" applyFont="1" applyFill="1"/>
    <xf numFmtId="0" fontId="13" fillId="38" borderId="0" xfId="0" applyFont="1" applyFill="1" applyAlignment="1">
      <alignment horizontal="center"/>
    </xf>
    <xf numFmtId="0" fontId="20" fillId="38" borderId="0" xfId="0" applyFont="1" applyFill="1"/>
    <xf numFmtId="0" fontId="20" fillId="38" borderId="0" xfId="0" quotePrefix="1" applyFont="1" applyFill="1"/>
    <xf numFmtId="165" fontId="13" fillId="0" borderId="47" xfId="0" applyNumberFormat="1" applyFont="1" applyBorder="1"/>
    <xf numFmtId="165" fontId="13" fillId="0" borderId="55" xfId="0" applyNumberFormat="1" applyFont="1" applyBorder="1"/>
    <xf numFmtId="165" fontId="13" fillId="0" borderId="5" xfId="0" applyNumberFormat="1" applyFont="1" applyBorder="1"/>
    <xf numFmtId="165" fontId="13" fillId="0" borderId="8" xfId="0" applyNumberFormat="1" applyFont="1" applyBorder="1" applyAlignment="1">
      <alignment vertical="center"/>
    </xf>
    <xf numFmtId="165" fontId="13" fillId="0" borderId="9" xfId="0" applyNumberFormat="1" applyFont="1" applyBorder="1" applyAlignment="1">
      <alignment vertical="center"/>
    </xf>
    <xf numFmtId="165" fontId="13" fillId="0" borderId="46" xfId="0" applyNumberFormat="1" applyFont="1" applyBorder="1" applyAlignment="1">
      <alignment vertical="center"/>
    </xf>
    <xf numFmtId="165" fontId="13" fillId="0" borderId="43" xfId="0" applyNumberFormat="1" applyFont="1" applyBorder="1" applyAlignment="1">
      <alignment vertical="center"/>
    </xf>
    <xf numFmtId="165" fontId="13" fillId="0" borderId="10" xfId="0" applyNumberFormat="1" applyFont="1" applyBorder="1" applyAlignment="1">
      <alignment vertical="center"/>
    </xf>
    <xf numFmtId="2" fontId="93" fillId="40" borderId="0" xfId="0" applyNumberFormat="1" applyFont="1" applyFill="1" applyAlignment="1">
      <alignment horizontal="left" vertical="center"/>
    </xf>
    <xf numFmtId="0" fontId="13" fillId="40" borderId="0" xfId="0" applyFont="1" applyFill="1"/>
    <xf numFmtId="0" fontId="93" fillId="40" borderId="0" xfId="0" applyFont="1" applyFill="1" applyAlignment="1">
      <alignment horizontal="left"/>
    </xf>
    <xf numFmtId="0" fontId="13" fillId="40" borderId="2" xfId="0" applyFont="1" applyFill="1" applyBorder="1"/>
    <xf numFmtId="0" fontId="13" fillId="40" borderId="2" xfId="0" applyFont="1" applyFill="1" applyBorder="1" applyAlignment="1">
      <alignment horizontal="right"/>
    </xf>
    <xf numFmtId="165" fontId="65" fillId="40" borderId="14" xfId="0" applyNumberFormat="1" applyFont="1" applyFill="1" applyBorder="1" applyAlignment="1">
      <alignment vertical="center"/>
    </xf>
    <xf numFmtId="165" fontId="13" fillId="40" borderId="2" xfId="0" applyNumberFormat="1" applyFont="1" applyFill="1" applyBorder="1" applyAlignment="1">
      <alignment horizontal="right"/>
    </xf>
    <xf numFmtId="2" fontId="13" fillId="44" borderId="2" xfId="0" applyNumberFormat="1" applyFont="1" applyFill="1" applyBorder="1" applyAlignment="1">
      <alignment horizontal="right" vertical="center"/>
    </xf>
    <xf numFmtId="0" fontId="98" fillId="0" borderId="0" xfId="0" applyFont="1" applyAlignment="1">
      <alignment vertical="center"/>
    </xf>
    <xf numFmtId="0" fontId="113" fillId="0" borderId="0" xfId="0" applyFont="1" applyAlignment="1">
      <alignment vertical="center"/>
    </xf>
    <xf numFmtId="165" fontId="114" fillId="0" borderId="2" xfId="0" applyNumberFormat="1" applyFont="1" applyBorder="1" applyAlignment="1">
      <alignment vertical="center"/>
    </xf>
    <xf numFmtId="165" fontId="98" fillId="0" borderId="2" xfId="0" applyNumberFormat="1" applyFont="1" applyBorder="1" applyAlignment="1">
      <alignment vertical="center"/>
    </xf>
    <xf numFmtId="2" fontId="98" fillId="44" borderId="2" xfId="0" applyNumberFormat="1" applyFont="1" applyFill="1" applyBorder="1" applyAlignment="1">
      <alignment horizontal="right" vertical="center"/>
    </xf>
    <xf numFmtId="2" fontId="98" fillId="0" borderId="2" xfId="0" applyNumberFormat="1" applyFont="1" applyBorder="1" applyAlignment="1">
      <alignment horizontal="right" vertical="center"/>
    </xf>
    <xf numFmtId="165" fontId="98" fillId="0" borderId="2" xfId="0" applyNumberFormat="1" applyFont="1" applyBorder="1" applyAlignment="1">
      <alignment horizontal="right" vertical="center"/>
    </xf>
    <xf numFmtId="2" fontId="99" fillId="0" borderId="2" xfId="0" applyNumberFormat="1" applyFont="1" applyBorder="1" applyAlignment="1">
      <alignment horizontal="right" vertical="center"/>
    </xf>
    <xf numFmtId="165" fontId="99" fillId="0" borderId="2" xfId="0" applyNumberFormat="1" applyFont="1" applyBorder="1" applyAlignment="1">
      <alignment horizontal="right" vertical="center"/>
    </xf>
    <xf numFmtId="1" fontId="99" fillId="0" borderId="2" xfId="0" applyNumberFormat="1" applyFont="1" applyBorder="1" applyAlignment="1">
      <alignment horizontal="right" vertical="center"/>
    </xf>
    <xf numFmtId="0" fontId="99" fillId="0" borderId="0" xfId="0" applyFont="1" applyAlignment="1">
      <alignment vertical="center"/>
    </xf>
    <xf numFmtId="0" fontId="13" fillId="0" borderId="28" xfId="0" applyFont="1" applyBorder="1" applyAlignment="1">
      <alignment horizontal="center" wrapText="1"/>
    </xf>
    <xf numFmtId="1" fontId="13" fillId="0" borderId="27" xfId="0" applyNumberFormat="1" applyFont="1" applyBorder="1" applyAlignment="1">
      <alignment horizontal="center" vertical="top" wrapText="1"/>
    </xf>
    <xf numFmtId="1" fontId="13" fillId="0" borderId="26" xfId="0" applyNumberFormat="1" applyFont="1" applyBorder="1" applyAlignment="1">
      <alignment horizontal="center" vertical="top" wrapText="1"/>
    </xf>
    <xf numFmtId="1" fontId="13" fillId="0" borderId="28" xfId="0" applyNumberFormat="1" applyFont="1" applyBorder="1" applyAlignment="1">
      <alignment horizontal="center" vertical="top" wrapText="1"/>
    </xf>
    <xf numFmtId="1" fontId="13" fillId="0" borderId="27" xfId="0" applyNumberFormat="1" applyFont="1" applyBorder="1" applyAlignment="1">
      <alignment horizontal="center"/>
    </xf>
    <xf numFmtId="1" fontId="13" fillId="0" borderId="26" xfId="0" applyNumberFormat="1" applyFont="1" applyBorder="1" applyAlignment="1">
      <alignment horizontal="center"/>
    </xf>
    <xf numFmtId="1" fontId="13" fillId="0" borderId="28" xfId="0" applyNumberFormat="1" applyFont="1" applyBorder="1" applyAlignment="1">
      <alignment horizontal="center"/>
    </xf>
    <xf numFmtId="2" fontId="13" fillId="0" borderId="27" xfId="0" applyNumberFormat="1" applyFont="1" applyBorder="1" applyAlignment="1">
      <alignment horizontal="center" vertical="top" wrapText="1"/>
    </xf>
    <xf numFmtId="2" fontId="13" fillId="0" borderId="26" xfId="0" applyNumberFormat="1" applyFont="1" applyBorder="1" applyAlignment="1">
      <alignment horizontal="center" vertical="top" wrapText="1"/>
    </xf>
    <xf numFmtId="2" fontId="13" fillId="0" borderId="28" xfId="0" applyNumberFormat="1" applyFont="1" applyBorder="1" applyAlignment="1">
      <alignment horizontal="center" vertical="top" wrapText="1"/>
    </xf>
    <xf numFmtId="2" fontId="13" fillId="0" borderId="27" xfId="0" applyNumberFormat="1" applyFont="1" applyBorder="1" applyAlignment="1">
      <alignment horizontal="center"/>
    </xf>
    <xf numFmtId="2" fontId="13" fillId="0" borderId="26" xfId="0" applyNumberFormat="1" applyFont="1" applyBorder="1" applyAlignment="1">
      <alignment horizontal="center"/>
    </xf>
    <xf numFmtId="2" fontId="13" fillId="0" borderId="28" xfId="0" applyNumberFormat="1" applyFont="1" applyBorder="1" applyAlignment="1">
      <alignment horizontal="center"/>
    </xf>
    <xf numFmtId="2" fontId="89" fillId="0" borderId="28" xfId="4" applyNumberFormat="1" applyFont="1" applyBorder="1" applyAlignment="1">
      <alignment horizontal="center"/>
    </xf>
    <xf numFmtId="0" fontId="0" fillId="0" borderId="6" xfId="0" applyBorder="1"/>
    <xf numFmtId="3" fontId="13" fillId="0" borderId="0" xfId="0" applyNumberFormat="1" applyFont="1" applyAlignment="1">
      <alignment horizontal="center"/>
    </xf>
    <xf numFmtId="0" fontId="0" fillId="0" borderId="8" xfId="0" applyBorder="1"/>
    <xf numFmtId="0" fontId="93" fillId="0" borderId="7" xfId="0" applyFont="1" applyBorder="1"/>
    <xf numFmtId="165" fontId="0" fillId="0" borderId="6" xfId="0" applyNumberFormat="1" applyBorder="1"/>
    <xf numFmtId="165" fontId="0" fillId="0" borderId="8" xfId="0" applyNumberFormat="1" applyBorder="1"/>
    <xf numFmtId="0" fontId="93" fillId="0" borderId="10" xfId="0" applyFont="1" applyBorder="1"/>
    <xf numFmtId="3" fontId="13" fillId="0" borderId="27" xfId="0" applyNumberFormat="1" applyFont="1" applyBorder="1" applyAlignment="1">
      <alignment horizontal="center"/>
    </xf>
    <xf numFmtId="3" fontId="13" fillId="0" borderId="28" xfId="0" applyNumberFormat="1" applyFont="1" applyBorder="1" applyAlignment="1">
      <alignment horizontal="center"/>
    </xf>
    <xf numFmtId="165" fontId="13" fillId="0" borderId="15" xfId="0" applyNumberFormat="1" applyFont="1" applyBorder="1" applyAlignment="1">
      <alignment horizontal="right" vertical="center"/>
    </xf>
    <xf numFmtId="165" fontId="13" fillId="0" borderId="0" xfId="0" applyNumberFormat="1" applyFont="1" applyAlignment="1">
      <alignment horizontal="center"/>
    </xf>
    <xf numFmtId="165" fontId="13" fillId="0" borderId="10" xfId="4" applyNumberFormat="1" applyFont="1" applyBorder="1" applyAlignment="1">
      <alignment horizontal="center"/>
    </xf>
    <xf numFmtId="1" fontId="13" fillId="0" borderId="7" xfId="4" applyNumberFormat="1" applyFont="1" applyBorder="1" applyAlignment="1">
      <alignment horizontal="center"/>
    </xf>
    <xf numFmtId="1" fontId="13" fillId="0" borderId="5" xfId="4" applyNumberFormat="1" applyFont="1" applyBorder="1" applyAlignment="1">
      <alignment horizontal="center"/>
    </xf>
    <xf numFmtId="1" fontId="13" fillId="0" borderId="10" xfId="4" applyNumberFormat="1" applyFont="1" applyBorder="1" applyAlignment="1">
      <alignment horizontal="center"/>
    </xf>
    <xf numFmtId="1" fontId="13" fillId="37" borderId="0" xfId="3" applyNumberFormat="1" applyFill="1" applyAlignment="1">
      <alignment horizontal="center"/>
    </xf>
    <xf numFmtId="1" fontId="13" fillId="39" borderId="0" xfId="3" applyNumberFormat="1" applyFill="1" applyAlignment="1">
      <alignment horizontal="center"/>
    </xf>
    <xf numFmtId="2" fontId="13" fillId="45" borderId="0" xfId="3" applyNumberFormat="1" applyFill="1" applyAlignment="1">
      <alignment horizontal="center"/>
    </xf>
    <xf numFmtId="0" fontId="13" fillId="51" borderId="0" xfId="3" applyFill="1" applyAlignment="1">
      <alignment horizontal="center"/>
    </xf>
    <xf numFmtId="0" fontId="93" fillId="37" borderId="0" xfId="3" applyFont="1" applyFill="1" applyAlignment="1">
      <alignment horizontal="center"/>
    </xf>
    <xf numFmtId="0" fontId="117" fillId="0" borderId="0" xfId="3" applyFont="1"/>
    <xf numFmtId="172" fontId="118" fillId="0" borderId="0" xfId="3" applyNumberFormat="1" applyFont="1" applyAlignment="1">
      <alignment horizontal="center"/>
    </xf>
    <xf numFmtId="165" fontId="117" fillId="3" borderId="0" xfId="3" applyNumberFormat="1" applyFont="1" applyFill="1" applyAlignment="1">
      <alignment horizontal="center" vertical="center"/>
    </xf>
    <xf numFmtId="165" fontId="117" fillId="0" borderId="0" xfId="3" applyNumberFormat="1" applyFont="1" applyAlignment="1">
      <alignment horizontal="center"/>
    </xf>
    <xf numFmtId="0" fontId="20" fillId="0" borderId="23" xfId="0" applyFont="1" applyBorder="1" applyAlignment="1">
      <alignment horizontal="center" vertical="top" wrapText="1"/>
    </xf>
    <xf numFmtId="0" fontId="20" fillId="0" borderId="25" xfId="0" applyFont="1" applyBorder="1" applyAlignment="1">
      <alignment horizontal="center" vertical="top" wrapText="1"/>
    </xf>
    <xf numFmtId="0" fontId="20" fillId="0" borderId="24" xfId="0" applyFont="1" applyBorder="1" applyAlignment="1">
      <alignment horizontal="center" vertical="top" wrapText="1"/>
    </xf>
    <xf numFmtId="0" fontId="0" fillId="0" borderId="23" xfId="0" applyBorder="1"/>
    <xf numFmtId="0" fontId="0" fillId="0" borderId="24" xfId="0" applyBorder="1" applyAlignment="1">
      <alignment horizontal="center"/>
    </xf>
    <xf numFmtId="0" fontId="0" fillId="0" borderId="25" xfId="0" applyBorder="1" applyAlignment="1">
      <alignment horizontal="center"/>
    </xf>
    <xf numFmtId="2" fontId="0" fillId="0" borderId="23" xfId="0" applyNumberFormat="1" applyBorder="1" applyAlignment="1">
      <alignment horizontal="center"/>
    </xf>
    <xf numFmtId="2" fontId="0" fillId="0" borderId="25" xfId="0" applyNumberFormat="1" applyBorder="1" applyAlignment="1">
      <alignment horizontal="center"/>
    </xf>
    <xf numFmtId="0" fontId="13" fillId="0" borderId="38" xfId="0" applyFont="1" applyBorder="1" applyAlignment="1">
      <alignment horizontal="center" textRotation="90" wrapText="1"/>
    </xf>
    <xf numFmtId="3" fontId="13" fillId="0" borderId="26" xfId="0" applyNumberFormat="1" applyFont="1" applyBorder="1" applyAlignment="1">
      <alignment horizontal="center"/>
    </xf>
    <xf numFmtId="0" fontId="20" fillId="0" borderId="30" xfId="0" applyFont="1" applyBorder="1" applyAlignment="1">
      <alignment horizontal="center" vertical="top" wrapText="1"/>
    </xf>
    <xf numFmtId="0" fontId="117" fillId="0" borderId="0" xfId="0" applyFont="1"/>
    <xf numFmtId="183" fontId="13" fillId="0" borderId="11" xfId="0" applyNumberFormat="1" applyFont="1" applyBorder="1" applyAlignment="1">
      <alignment horizontal="left" vertical="center"/>
    </xf>
    <xf numFmtId="0" fontId="13" fillId="0" borderId="39" xfId="0" applyFont="1" applyBorder="1" applyAlignment="1">
      <alignment horizontal="center" textRotation="90" wrapText="1"/>
    </xf>
    <xf numFmtId="0" fontId="20" fillId="0" borderId="24" xfId="0" applyFont="1" applyBorder="1" applyAlignment="1">
      <alignment vertical="center"/>
    </xf>
    <xf numFmtId="0" fontId="20" fillId="0" borderId="25" xfId="0" applyFont="1" applyBorder="1" applyAlignment="1">
      <alignment vertical="center"/>
    </xf>
    <xf numFmtId="0" fontId="20" fillId="0" borderId="5" xfId="4" applyFont="1" applyBorder="1"/>
    <xf numFmtId="0" fontId="13" fillId="0" borderId="0" xfId="4" applyFont="1" applyAlignment="1">
      <alignment wrapText="1"/>
    </xf>
    <xf numFmtId="0" fontId="13" fillId="0" borderId="8" xfId="4" applyFont="1" applyBorder="1" applyAlignment="1">
      <alignment horizontal="center"/>
    </xf>
    <xf numFmtId="165" fontId="13" fillId="0" borderId="9" xfId="4" applyNumberFormat="1" applyFont="1" applyBorder="1" applyAlignment="1">
      <alignment horizontal="center"/>
    </xf>
    <xf numFmtId="0" fontId="13" fillId="0" borderId="10" xfId="4" applyFont="1" applyBorder="1" applyAlignment="1">
      <alignment horizontal="center"/>
    </xf>
    <xf numFmtId="0" fontId="13" fillId="0" borderId="74" xfId="4" applyFont="1" applyBorder="1" applyAlignment="1">
      <alignment horizontal="center"/>
    </xf>
    <xf numFmtId="0" fontId="13" fillId="0" borderId="75" xfId="4" applyFont="1" applyBorder="1" applyAlignment="1">
      <alignment horizontal="center"/>
    </xf>
    <xf numFmtId="165" fontId="13" fillId="0" borderId="75" xfId="4" applyNumberFormat="1" applyFont="1" applyBorder="1" applyAlignment="1">
      <alignment horizontal="center"/>
    </xf>
    <xf numFmtId="165" fontId="13" fillId="0" borderId="131" xfId="4" applyNumberFormat="1" applyFont="1" applyBorder="1" applyAlignment="1">
      <alignment horizontal="center"/>
    </xf>
    <xf numFmtId="165" fontId="13" fillId="0" borderId="8" xfId="4" applyNumberFormat="1" applyFont="1" applyBorder="1" applyAlignment="1">
      <alignment horizontal="center"/>
    </xf>
    <xf numFmtId="165" fontId="13" fillId="0" borderId="75" xfId="0" applyNumberFormat="1" applyFont="1" applyBorder="1" applyAlignment="1">
      <alignment vertical="center"/>
    </xf>
    <xf numFmtId="165" fontId="13" fillId="0" borderId="73" xfId="0" applyNumberFormat="1" applyFont="1" applyBorder="1" applyAlignment="1">
      <alignment horizontal="center" vertical="center"/>
    </xf>
    <xf numFmtId="0" fontId="13" fillId="0" borderId="7" xfId="4" applyFont="1" applyBorder="1" applyAlignment="1">
      <alignment horizontal="center"/>
    </xf>
    <xf numFmtId="0" fontId="13" fillId="0" borderId="6" xfId="4" applyFont="1" applyBorder="1" applyAlignment="1">
      <alignment horizontal="center"/>
    </xf>
    <xf numFmtId="165" fontId="13" fillId="0" borderId="0" xfId="4" applyNumberFormat="1" applyFont="1" applyAlignment="1">
      <alignment horizontal="center"/>
    </xf>
    <xf numFmtId="1" fontId="13" fillId="0" borderId="6" xfId="4" applyNumberFormat="1" applyFont="1" applyBorder="1" applyAlignment="1">
      <alignment horizontal="center"/>
    </xf>
    <xf numFmtId="2" fontId="13" fillId="0" borderId="6" xfId="4" applyNumberFormat="1" applyFont="1" applyBorder="1" applyAlignment="1">
      <alignment horizontal="center"/>
    </xf>
    <xf numFmtId="2" fontId="13" fillId="0" borderId="0" xfId="4" applyNumberFormat="1" applyFont="1" applyAlignment="1">
      <alignment horizontal="center"/>
    </xf>
    <xf numFmtId="165" fontId="13" fillId="0" borderId="7" xfId="4" applyNumberFormat="1" applyFont="1" applyBorder="1" applyAlignment="1">
      <alignment horizontal="center"/>
    </xf>
    <xf numFmtId="165" fontId="13" fillId="0" borderId="0" xfId="4" applyNumberFormat="1" applyFont="1"/>
    <xf numFmtId="1" fontId="13" fillId="0" borderId="0" xfId="4" applyNumberFormat="1" applyFont="1"/>
    <xf numFmtId="2" fontId="13" fillId="0" borderId="0" xfId="4" applyNumberFormat="1" applyFont="1"/>
    <xf numFmtId="0" fontId="13" fillId="0" borderId="3" xfId="4" applyFont="1" applyBorder="1" applyAlignment="1">
      <alignment horizontal="center"/>
    </xf>
    <xf numFmtId="0" fontId="13" fillId="0" borderId="4" xfId="4" applyFont="1" applyBorder="1" applyAlignment="1">
      <alignment horizontal="center"/>
    </xf>
    <xf numFmtId="165" fontId="13" fillId="0" borderId="4" xfId="4" applyNumberFormat="1" applyFont="1" applyBorder="1" applyAlignment="1">
      <alignment horizontal="center"/>
    </xf>
    <xf numFmtId="0" fontId="13" fillId="0" borderId="5" xfId="4" applyFont="1" applyBorder="1" applyAlignment="1">
      <alignment horizontal="center"/>
    </xf>
    <xf numFmtId="1" fontId="13" fillId="0" borderId="3" xfId="4" applyNumberFormat="1" applyFont="1" applyBorder="1" applyAlignment="1">
      <alignment horizontal="center"/>
    </xf>
    <xf numFmtId="2" fontId="13" fillId="0" borderId="3" xfId="4" applyNumberFormat="1" applyFont="1" applyBorder="1" applyAlignment="1">
      <alignment horizontal="center"/>
    </xf>
    <xf numFmtId="2" fontId="13" fillId="0" borderId="4" xfId="4" applyNumberFormat="1" applyFont="1" applyBorder="1" applyAlignment="1">
      <alignment horizontal="center"/>
    </xf>
    <xf numFmtId="165" fontId="13" fillId="0" borderId="5" xfId="4" applyNumberFormat="1" applyFont="1" applyBorder="1" applyAlignment="1">
      <alignment horizontal="center"/>
    </xf>
    <xf numFmtId="1" fontId="13" fillId="0" borderId="8" xfId="4" applyNumberFormat="1" applyFont="1" applyBorder="1" applyAlignment="1">
      <alignment horizontal="center"/>
    </xf>
    <xf numFmtId="2" fontId="13" fillId="0" borderId="8" xfId="4" applyNumberFormat="1" applyFont="1" applyBorder="1" applyAlignment="1">
      <alignment horizontal="center"/>
    </xf>
    <xf numFmtId="2" fontId="13" fillId="0" borderId="9" xfId="4" applyNumberFormat="1" applyFont="1" applyBorder="1" applyAlignment="1">
      <alignment horizontal="center"/>
    </xf>
    <xf numFmtId="0" fontId="13" fillId="0" borderId="10" xfId="4" applyFont="1" applyBorder="1"/>
    <xf numFmtId="0" fontId="13" fillId="0" borderId="8" xfId="4" applyFont="1" applyBorder="1"/>
    <xf numFmtId="0" fontId="13" fillId="0" borderId="9" xfId="4" applyFont="1" applyBorder="1"/>
    <xf numFmtId="0" fontId="20" fillId="0" borderId="59" xfId="0" applyFont="1" applyBorder="1" applyAlignment="1">
      <alignment vertical="center"/>
    </xf>
    <xf numFmtId="0" fontId="20" fillId="0" borderId="60" xfId="0" applyFont="1" applyBorder="1" applyAlignment="1">
      <alignment vertical="center"/>
    </xf>
    <xf numFmtId="0" fontId="20" fillId="0" borderId="141" xfId="0" applyFont="1" applyBorder="1" applyAlignment="1">
      <alignment vertical="center"/>
    </xf>
    <xf numFmtId="0" fontId="13" fillId="0" borderId="0" xfId="4" quotePrefix="1" applyFont="1"/>
    <xf numFmtId="0" fontId="13" fillId="5" borderId="142" xfId="0" applyFont="1" applyFill="1" applyBorder="1" applyAlignment="1">
      <alignment vertical="center"/>
    </xf>
    <xf numFmtId="1" fontId="13" fillId="0" borderId="0" xfId="0" applyNumberFormat="1" applyFont="1" applyAlignment="1">
      <alignment horizontal="left"/>
    </xf>
    <xf numFmtId="0" fontId="89" fillId="0" borderId="0" xfId="0" applyFont="1" applyAlignment="1">
      <alignment vertical="center"/>
    </xf>
    <xf numFmtId="165" fontId="13" fillId="0" borderId="8" xfId="0" applyNumberFormat="1" applyFont="1" applyBorder="1" applyAlignment="1">
      <alignment horizontal="center"/>
    </xf>
    <xf numFmtId="165" fontId="13" fillId="0" borderId="75" xfId="0" applyNumberFormat="1" applyFont="1" applyBorder="1"/>
    <xf numFmtId="165" fontId="13" fillId="0" borderId="73" xfId="0" applyNumberFormat="1" applyFont="1" applyBorder="1" applyAlignment="1">
      <alignment horizontal="center"/>
    </xf>
    <xf numFmtId="165" fontId="20" fillId="0" borderId="2" xfId="0" applyNumberFormat="1" applyFont="1" applyBorder="1" applyAlignment="1">
      <alignment horizontal="right"/>
    </xf>
    <xf numFmtId="165" fontId="65" fillId="40" borderId="2" xfId="0" applyNumberFormat="1" applyFont="1" applyFill="1" applyBorder="1" applyAlignment="1">
      <alignment vertical="center"/>
    </xf>
    <xf numFmtId="0" fontId="93" fillId="0" borderId="0" xfId="35" applyFont="1" applyAlignment="1">
      <alignment horizontal="left" vertical="top" wrapText="1"/>
    </xf>
    <xf numFmtId="0" fontId="41" fillId="0" borderId="0" xfId="3" applyFont="1"/>
    <xf numFmtId="165" fontId="119" fillId="45" borderId="0" xfId="3" applyNumberFormat="1" applyFont="1" applyFill="1" applyAlignment="1">
      <alignment horizontal="center"/>
    </xf>
    <xf numFmtId="0" fontId="119" fillId="37" borderId="0" xfId="3" applyFont="1" applyFill="1" applyAlignment="1">
      <alignment horizontal="center"/>
    </xf>
    <xf numFmtId="165" fontId="119" fillId="37" borderId="0" xfId="3" applyNumberFormat="1" applyFont="1" applyFill="1" applyAlignment="1">
      <alignment horizontal="center"/>
    </xf>
    <xf numFmtId="165" fontId="73" fillId="0" borderId="24" xfId="3" applyNumberFormat="1" applyFont="1" applyBorder="1"/>
    <xf numFmtId="0" fontId="105" fillId="0" borderId="25" xfId="3" applyFont="1" applyBorder="1" applyAlignment="1">
      <alignment horizontal="center" vertical="top"/>
    </xf>
    <xf numFmtId="0" fontId="73" fillId="0" borderId="9" xfId="3" applyFont="1" applyBorder="1" applyAlignment="1">
      <alignment horizontal="center"/>
    </xf>
    <xf numFmtId="0" fontId="73" fillId="0" borderId="10" xfId="3" applyFont="1" applyBorder="1" applyAlignment="1">
      <alignment horizontal="center"/>
    </xf>
    <xf numFmtId="165" fontId="73" fillId="0" borderId="3" xfId="3" applyNumberFormat="1" applyFont="1" applyBorder="1" applyAlignment="1">
      <alignment horizontal="center" vertical="center"/>
    </xf>
    <xf numFmtId="1" fontId="73" fillId="0" borderId="6" xfId="3" applyNumberFormat="1" applyFont="1" applyBorder="1" applyAlignment="1">
      <alignment horizontal="center"/>
    </xf>
    <xf numFmtId="0" fontId="73" fillId="0" borderId="6" xfId="3" applyFont="1" applyBorder="1" applyAlignment="1">
      <alignment horizontal="center"/>
    </xf>
    <xf numFmtId="165" fontId="73" fillId="0" borderId="6" xfId="3" applyNumberFormat="1" applyFont="1" applyBorder="1" applyAlignment="1">
      <alignment horizontal="center"/>
    </xf>
    <xf numFmtId="1" fontId="106" fillId="0" borderId="6" xfId="3" applyNumberFormat="1" applyFont="1" applyBorder="1" applyAlignment="1">
      <alignment horizontal="center"/>
    </xf>
    <xf numFmtId="2" fontId="73" fillId="0" borderId="6" xfId="3" applyNumberFormat="1" applyFont="1" applyBorder="1" applyAlignment="1">
      <alignment horizontal="center"/>
    </xf>
    <xf numFmtId="1" fontId="73" fillId="44" borderId="8" xfId="3" applyNumberFormat="1" applyFont="1" applyFill="1" applyBorder="1" applyAlignment="1">
      <alignment horizontal="center"/>
    </xf>
    <xf numFmtId="165" fontId="73" fillId="0" borderId="23" xfId="3" applyNumberFormat="1" applyFont="1" applyBorder="1"/>
    <xf numFmtId="165" fontId="73" fillId="0" borderId="25" xfId="3" applyNumberFormat="1" applyFont="1" applyBorder="1"/>
    <xf numFmtId="1" fontId="13" fillId="5" borderId="0" xfId="3" applyNumberFormat="1" applyFill="1" applyAlignment="1">
      <alignment horizontal="center"/>
    </xf>
    <xf numFmtId="0" fontId="73" fillId="44" borderId="27" xfId="3" applyFont="1" applyFill="1" applyBorder="1" applyAlignment="1">
      <alignment horizontal="center"/>
    </xf>
    <xf numFmtId="165" fontId="73" fillId="44" borderId="0" xfId="3" applyNumberFormat="1" applyFont="1" applyFill="1" applyAlignment="1">
      <alignment horizontal="center"/>
    </xf>
    <xf numFmtId="165" fontId="73" fillId="44" borderId="7" xfId="3" applyNumberFormat="1" applyFont="1" applyFill="1" applyBorder="1" applyAlignment="1">
      <alignment horizontal="center"/>
    </xf>
    <xf numFmtId="165" fontId="73" fillId="44" borderId="6" xfId="3" applyNumberFormat="1" applyFont="1" applyFill="1" applyBorder="1" applyAlignment="1">
      <alignment horizontal="center"/>
    </xf>
    <xf numFmtId="165" fontId="73" fillId="0" borderId="27" xfId="3" applyNumberFormat="1" applyFont="1" applyBorder="1" applyAlignment="1">
      <alignment horizontal="center"/>
    </xf>
    <xf numFmtId="0" fontId="73" fillId="52" borderId="27" xfId="3" applyFont="1" applyFill="1" applyBorder="1" applyAlignment="1">
      <alignment horizontal="center"/>
    </xf>
    <xf numFmtId="0" fontId="73" fillId="44" borderId="0" xfId="3" applyFont="1" applyFill="1"/>
    <xf numFmtId="2" fontId="13" fillId="0" borderId="52" xfId="0" quotePrefix="1" applyNumberFormat="1" applyFont="1" applyBorder="1" applyAlignment="1">
      <alignment horizontal="center" vertical="top" wrapText="1"/>
    </xf>
    <xf numFmtId="2" fontId="13" fillId="0" borderId="51" xfId="0" quotePrefix="1" applyNumberFormat="1" applyFont="1" applyBorder="1" applyAlignment="1">
      <alignment horizontal="center" vertical="top" wrapText="1"/>
    </xf>
    <xf numFmtId="2" fontId="13" fillId="0" borderId="52" xfId="0" quotePrefix="1" applyNumberFormat="1" applyFont="1" applyBorder="1" applyAlignment="1">
      <alignment horizontal="center"/>
    </xf>
    <xf numFmtId="165" fontId="20" fillId="0" borderId="0" xfId="3" applyNumberFormat="1" applyFont="1" applyAlignment="1">
      <alignment horizontal="center"/>
    </xf>
    <xf numFmtId="0" fontId="120" fillId="0" borderId="0" xfId="3" applyFont="1"/>
    <xf numFmtId="0" fontId="93" fillId="0" borderId="69" xfId="3" applyFont="1" applyBorder="1"/>
    <xf numFmtId="165" fontId="93" fillId="5" borderId="87" xfId="3" applyNumberFormat="1" applyFont="1" applyFill="1" applyBorder="1" applyAlignment="1">
      <alignment horizontal="center" vertical="center"/>
    </xf>
    <xf numFmtId="165" fontId="93" fillId="5" borderId="88" xfId="3" applyNumberFormat="1" applyFont="1" applyFill="1" applyBorder="1" applyAlignment="1">
      <alignment horizontal="center" vertical="center"/>
    </xf>
    <xf numFmtId="165" fontId="93" fillId="5" borderId="89" xfId="3" applyNumberFormat="1" applyFont="1" applyFill="1" applyBorder="1" applyAlignment="1">
      <alignment horizontal="center" vertical="center"/>
    </xf>
    <xf numFmtId="165" fontId="93" fillId="5" borderId="63" xfId="3" applyNumberFormat="1" applyFont="1" applyFill="1" applyBorder="1" applyAlignment="1">
      <alignment horizontal="center" vertical="center"/>
    </xf>
    <xf numFmtId="1" fontId="93" fillId="5" borderId="92" xfId="3" applyNumberFormat="1" applyFont="1" applyFill="1" applyBorder="1" applyAlignment="1">
      <alignment horizontal="center" vertical="center"/>
    </xf>
    <xf numFmtId="1" fontId="93" fillId="5" borderId="28" xfId="3" applyNumberFormat="1" applyFont="1" applyFill="1" applyBorder="1" applyAlignment="1">
      <alignment horizontal="center" vertical="center"/>
    </xf>
    <xf numFmtId="1" fontId="93" fillId="5" borderId="93" xfId="3" applyNumberFormat="1" applyFont="1" applyFill="1" applyBorder="1" applyAlignment="1">
      <alignment horizontal="center" vertical="center"/>
    </xf>
    <xf numFmtId="1" fontId="93" fillId="5" borderId="91" xfId="3" applyNumberFormat="1" applyFont="1" applyFill="1" applyBorder="1" applyAlignment="1">
      <alignment horizontal="center" vertical="center"/>
    </xf>
    <xf numFmtId="1" fontId="93" fillId="5" borderId="30" xfId="3" applyNumberFormat="1" applyFont="1" applyFill="1" applyBorder="1" applyAlignment="1">
      <alignment horizontal="center" vertical="center"/>
    </xf>
    <xf numFmtId="1" fontId="93" fillId="5" borderId="95" xfId="3" applyNumberFormat="1" applyFont="1" applyFill="1" applyBorder="1" applyAlignment="1">
      <alignment horizontal="center" vertical="center"/>
    </xf>
    <xf numFmtId="1" fontId="93" fillId="5" borderId="96" xfId="3" applyNumberFormat="1" applyFont="1" applyFill="1" applyBorder="1" applyAlignment="1">
      <alignment horizontal="center" vertical="center"/>
    </xf>
    <xf numFmtId="1" fontId="93" fillId="5" borderId="100" xfId="3" applyNumberFormat="1" applyFont="1" applyFill="1" applyBorder="1" applyAlignment="1">
      <alignment horizontal="center" vertical="center"/>
    </xf>
    <xf numFmtId="1" fontId="93" fillId="5" borderId="26" xfId="3" applyNumberFormat="1" applyFont="1" applyFill="1" applyBorder="1" applyAlignment="1">
      <alignment horizontal="center" vertical="center"/>
    </xf>
    <xf numFmtId="1" fontId="93" fillId="5" borderId="101" xfId="3" applyNumberFormat="1" applyFont="1" applyFill="1" applyBorder="1" applyAlignment="1">
      <alignment horizontal="center" vertical="center"/>
    </xf>
    <xf numFmtId="1" fontId="93" fillId="5" borderId="65" xfId="3" applyNumberFormat="1" applyFont="1" applyFill="1" applyBorder="1" applyAlignment="1">
      <alignment horizontal="center" vertical="center"/>
    </xf>
    <xf numFmtId="0" fontId="93" fillId="5" borderId="87" xfId="3" applyFont="1" applyFill="1" applyBorder="1" applyAlignment="1">
      <alignment horizontal="center" vertical="center"/>
    </xf>
    <xf numFmtId="0" fontId="93" fillId="5" borderId="88" xfId="3" applyFont="1" applyFill="1" applyBorder="1" applyAlignment="1">
      <alignment horizontal="center" vertical="center"/>
    </xf>
    <xf numFmtId="0" fontId="93" fillId="5" borderId="89" xfId="3" applyFont="1" applyFill="1" applyBorder="1" applyAlignment="1">
      <alignment horizontal="center" vertical="center"/>
    </xf>
    <xf numFmtId="1" fontId="93" fillId="5" borderId="102" xfId="3" applyNumberFormat="1" applyFont="1" applyFill="1" applyBorder="1" applyAlignment="1">
      <alignment horizontal="center" vertical="center"/>
    </xf>
    <xf numFmtId="186" fontId="93" fillId="5" borderId="81" xfId="3" applyNumberFormat="1" applyFont="1" applyFill="1" applyBorder="1" applyAlignment="1">
      <alignment horizontal="center" vertical="center"/>
    </xf>
    <xf numFmtId="186" fontId="93" fillId="5" borderId="82" xfId="3" applyNumberFormat="1" applyFont="1" applyFill="1" applyBorder="1" applyAlignment="1">
      <alignment horizontal="center" vertical="center"/>
    </xf>
    <xf numFmtId="186" fontId="93" fillId="5" borderId="106" xfId="3" applyNumberFormat="1" applyFont="1" applyFill="1" applyBorder="1" applyAlignment="1">
      <alignment horizontal="center" vertical="center"/>
    </xf>
    <xf numFmtId="186" fontId="93" fillId="5" borderId="67" xfId="3" applyNumberFormat="1" applyFont="1" applyFill="1" applyBorder="1" applyAlignment="1">
      <alignment horizontal="center" vertical="center"/>
    </xf>
    <xf numFmtId="187" fontId="93" fillId="5" borderId="112" xfId="3" applyNumberFormat="1" applyFont="1" applyFill="1" applyBorder="1" applyAlignment="1">
      <alignment horizontal="center" vertical="center"/>
    </xf>
    <xf numFmtId="187" fontId="93" fillId="5" borderId="113" xfId="3" applyNumberFormat="1" applyFont="1" applyFill="1" applyBorder="1" applyAlignment="1">
      <alignment horizontal="center" vertical="center"/>
    </xf>
    <xf numFmtId="187" fontId="93" fillId="5" borderId="114" xfId="3" applyNumberFormat="1" applyFont="1" applyFill="1" applyBorder="1" applyAlignment="1">
      <alignment horizontal="center" vertical="center"/>
    </xf>
    <xf numFmtId="187" fontId="93" fillId="5" borderId="111" xfId="3" applyNumberFormat="1" applyFont="1" applyFill="1" applyBorder="1" applyAlignment="1">
      <alignment horizontal="center" vertical="center"/>
    </xf>
    <xf numFmtId="165" fontId="93" fillId="0" borderId="0" xfId="0" applyNumberFormat="1" applyFont="1"/>
    <xf numFmtId="0" fontId="120" fillId="0" borderId="0" xfId="0" applyFont="1"/>
    <xf numFmtId="0" fontId="93" fillId="44" borderId="0" xfId="3" applyFont="1" applyFill="1" applyAlignment="1">
      <alignment horizontal="center"/>
    </xf>
    <xf numFmtId="0" fontId="18" fillId="10" borderId="0" xfId="3" applyFont="1" applyFill="1"/>
    <xf numFmtId="0" fontId="18" fillId="10" borderId="0" xfId="3" applyFont="1" applyFill="1" applyAlignment="1">
      <alignment horizontal="right"/>
    </xf>
    <xf numFmtId="165" fontId="110" fillId="0" borderId="0" xfId="3" applyNumberFormat="1" applyFont="1"/>
    <xf numFmtId="0" fontId="93" fillId="10" borderId="0" xfId="3" applyFont="1" applyFill="1"/>
    <xf numFmtId="1" fontId="93" fillId="10" borderId="0" xfId="3" applyNumberFormat="1" applyFont="1" applyFill="1"/>
    <xf numFmtId="0" fontId="98" fillId="0" borderId="0" xfId="0" applyFont="1" applyAlignment="1">
      <alignment horizontal="center"/>
    </xf>
    <xf numFmtId="0" fontId="99" fillId="0" borderId="0" xfId="3" applyFont="1"/>
    <xf numFmtId="0" fontId="98" fillId="0" borderId="0" xfId="3" applyFont="1"/>
    <xf numFmtId="1" fontId="98" fillId="0" borderId="0" xfId="0" applyNumberFormat="1" applyFont="1" applyAlignment="1">
      <alignment horizontal="center"/>
    </xf>
    <xf numFmtId="0" fontId="99" fillId="0" borderId="0" xfId="3" applyFont="1" applyAlignment="1">
      <alignment horizontal="center"/>
    </xf>
    <xf numFmtId="0" fontId="98" fillId="44" borderId="0" xfId="3" applyFont="1" applyFill="1" applyAlignment="1">
      <alignment horizontal="center"/>
    </xf>
    <xf numFmtId="165" fontId="98" fillId="9" borderId="0" xfId="0" applyNumberFormat="1" applyFont="1" applyFill="1" applyAlignment="1">
      <alignment horizontal="center"/>
    </xf>
    <xf numFmtId="165" fontId="98" fillId="0" borderId="0" xfId="0" applyNumberFormat="1" applyFont="1" applyAlignment="1">
      <alignment horizontal="center"/>
    </xf>
    <xf numFmtId="165" fontId="98" fillId="9" borderId="0" xfId="3" applyNumberFormat="1" applyFont="1" applyFill="1" applyAlignment="1">
      <alignment horizontal="center"/>
    </xf>
    <xf numFmtId="1" fontId="13" fillId="44" borderId="0" xfId="3" applyNumberFormat="1" applyFill="1" applyAlignment="1">
      <alignment horizontal="center"/>
    </xf>
    <xf numFmtId="165" fontId="120" fillId="0" borderId="0" xfId="3" applyNumberFormat="1" applyFont="1" applyAlignment="1">
      <alignment horizontal="center"/>
    </xf>
    <xf numFmtId="165" fontId="15" fillId="0" borderId="15" xfId="0" applyNumberFormat="1" applyFont="1" applyBorder="1" applyAlignment="1">
      <alignment horizontal="right" vertical="center"/>
    </xf>
    <xf numFmtId="0" fontId="93" fillId="5" borderId="0" xfId="3" applyFont="1" applyFill="1"/>
    <xf numFmtId="0" fontId="96" fillId="6" borderId="24" xfId="0" applyFont="1" applyFill="1" applyBorder="1" applyAlignment="1">
      <alignment vertical="center"/>
    </xf>
    <xf numFmtId="0" fontId="20" fillId="10" borderId="0" xfId="3" applyFont="1" applyFill="1"/>
    <xf numFmtId="0" fontId="13" fillId="0" borderId="0" xfId="0" applyFont="1" applyAlignment="1">
      <alignment horizontal="center" vertical="top"/>
    </xf>
    <xf numFmtId="165" fontId="13" fillId="0" borderId="0" xfId="3" applyNumberFormat="1" applyAlignment="1">
      <alignment horizontal="center" vertical="top"/>
    </xf>
    <xf numFmtId="0" fontId="0" fillId="38" borderId="0" xfId="0" applyFill="1" applyAlignment="1">
      <alignment horizontal="center"/>
    </xf>
    <xf numFmtId="0" fontId="123" fillId="38" borderId="0" xfId="3" applyFont="1" applyFill="1"/>
    <xf numFmtId="2" fontId="93" fillId="0" borderId="0" xfId="3" applyNumberFormat="1" applyFont="1" applyAlignment="1">
      <alignment horizontal="center"/>
    </xf>
    <xf numFmtId="0" fontId="93" fillId="0" borderId="0" xfId="3" applyFont="1" applyAlignment="1">
      <alignment horizontal="center"/>
    </xf>
    <xf numFmtId="0" fontId="123" fillId="10" borderId="0" xfId="3" applyFont="1" applyFill="1"/>
    <xf numFmtId="0" fontId="18" fillId="10" borderId="0" xfId="3" applyFont="1" applyFill="1" applyAlignment="1">
      <alignment horizontal="left"/>
    </xf>
    <xf numFmtId="0" fontId="24" fillId="10" borderId="0" xfId="3" applyFont="1" applyFill="1" applyAlignment="1">
      <alignment horizontal="left"/>
    </xf>
    <xf numFmtId="0" fontId="0" fillId="10" borderId="0" xfId="0" applyFill="1"/>
    <xf numFmtId="2" fontId="45" fillId="0" borderId="11" xfId="0" applyNumberFormat="1" applyFont="1" applyBorder="1" applyAlignment="1">
      <alignment horizontal="right" vertical="center"/>
    </xf>
    <xf numFmtId="2" fontId="13" fillId="0" borderId="11" xfId="0" applyNumberFormat="1" applyFont="1" applyBorder="1" applyAlignment="1">
      <alignment horizontal="right" vertical="center"/>
    </xf>
    <xf numFmtId="165" fontId="13" fillId="0" borderId="11" xfId="0" applyNumberFormat="1" applyFont="1" applyBorder="1" applyAlignment="1">
      <alignment horizontal="right" vertical="center"/>
    </xf>
    <xf numFmtId="1" fontId="90" fillId="0" borderId="11" xfId="0" applyNumberFormat="1" applyFont="1" applyBorder="1" applyAlignment="1">
      <alignment horizontal="right" vertical="center"/>
    </xf>
    <xf numFmtId="2" fontId="29" fillId="0" borderId="11" xfId="0" applyNumberFormat="1" applyFont="1" applyBorder="1" applyAlignment="1">
      <alignment horizontal="right" vertical="center"/>
    </xf>
    <xf numFmtId="0" fontId="15" fillId="0" borderId="11" xfId="0" applyFont="1" applyBorder="1" applyAlignment="1">
      <alignment vertical="center"/>
    </xf>
    <xf numFmtId="165" fontId="20" fillId="0" borderId="11" xfId="0" applyNumberFormat="1" applyFont="1" applyBorder="1" applyAlignment="1">
      <alignment horizontal="right" vertical="center"/>
    </xf>
    <xf numFmtId="0" fontId="21" fillId="0" borderId="11" xfId="0" applyFont="1" applyBorder="1" applyAlignment="1">
      <alignment vertical="center"/>
    </xf>
    <xf numFmtId="0" fontId="21" fillId="0" borderId="22" xfId="0" applyFont="1" applyBorder="1" applyAlignment="1">
      <alignment horizontal="right" vertical="center"/>
    </xf>
    <xf numFmtId="0" fontId="41" fillId="0" borderId="16" xfId="0" applyFont="1" applyBorder="1"/>
    <xf numFmtId="0" fontId="41" fillId="0" borderId="31" xfId="0" applyFont="1" applyBorder="1"/>
    <xf numFmtId="0" fontId="15" fillId="0" borderId="11" xfId="0" applyFont="1" applyBorder="1"/>
    <xf numFmtId="0" fontId="13" fillId="0" borderId="11" xfId="0" applyFont="1" applyBorder="1"/>
    <xf numFmtId="1" fontId="20" fillId="0" borderId="11" xfId="0" applyNumberFormat="1" applyFont="1" applyBorder="1" applyAlignment="1">
      <alignment horizontal="right" vertical="center"/>
    </xf>
    <xf numFmtId="2" fontId="24" fillId="0" borderId="11" xfId="0" applyNumberFormat="1" applyFont="1" applyBorder="1" applyAlignment="1">
      <alignment horizontal="right" vertical="center"/>
    </xf>
    <xf numFmtId="1" fontId="13" fillId="0" borderId="11" xfId="0" applyNumberFormat="1" applyFont="1" applyBorder="1" applyAlignment="1">
      <alignment horizontal="right" vertical="center"/>
    </xf>
    <xf numFmtId="0" fontId="13" fillId="0" borderId="11" xfId="0" applyFont="1" applyBorder="1" applyAlignment="1">
      <alignment horizontal="right" vertical="center"/>
    </xf>
    <xf numFmtId="165" fontId="13" fillId="0" borderId="11" xfId="0" applyNumberFormat="1" applyFont="1" applyBorder="1" applyAlignment="1">
      <alignment vertical="center"/>
    </xf>
    <xf numFmtId="165" fontId="29" fillId="0" borderId="11" xfId="0" applyNumberFormat="1" applyFont="1" applyBorder="1" applyAlignment="1">
      <alignment horizontal="right" vertical="center"/>
    </xf>
    <xf numFmtId="1" fontId="29" fillId="0" borderId="11" xfId="0" applyNumberFormat="1" applyFont="1" applyBorder="1" applyAlignment="1">
      <alignment horizontal="right" vertical="center"/>
    </xf>
    <xf numFmtId="165" fontId="91" fillId="0" borderId="11" xfId="0" applyNumberFormat="1" applyFont="1" applyBorder="1" applyAlignment="1">
      <alignment horizontal="right" vertical="center"/>
    </xf>
    <xf numFmtId="165" fontId="13" fillId="0" borderId="11" xfId="0" applyNumberFormat="1" applyFont="1" applyBorder="1" applyAlignment="1">
      <alignment horizontal="right"/>
    </xf>
    <xf numFmtId="1" fontId="13" fillId="0" borderId="11" xfId="0" applyNumberFormat="1" applyFont="1" applyBorder="1" applyAlignment="1">
      <alignment horizontal="right"/>
    </xf>
    <xf numFmtId="165" fontId="20" fillId="0" borderId="11" xfId="0" applyNumberFormat="1" applyFont="1" applyBorder="1" applyAlignment="1">
      <alignment horizontal="right"/>
    </xf>
    <xf numFmtId="2" fontId="20" fillId="0" borderId="22" xfId="0" applyNumberFormat="1" applyFont="1" applyBorder="1" applyAlignment="1">
      <alignment vertical="center"/>
    </xf>
    <xf numFmtId="165" fontId="20" fillId="0" borderId="22" xfId="0" applyNumberFormat="1" applyFont="1" applyBorder="1" applyAlignment="1">
      <alignment vertical="center"/>
    </xf>
    <xf numFmtId="165" fontId="20" fillId="0" borderId="22" xfId="0" applyNumberFormat="1" applyFont="1" applyBorder="1" applyAlignment="1">
      <alignment horizontal="right" vertical="center"/>
    </xf>
    <xf numFmtId="2" fontId="73" fillId="0" borderId="30" xfId="3" applyNumberFormat="1" applyFont="1" applyBorder="1" applyAlignment="1">
      <alignment vertical="center"/>
    </xf>
    <xf numFmtId="2" fontId="73" fillId="0" borderId="30" xfId="3" applyNumberFormat="1" applyFont="1" applyBorder="1"/>
    <xf numFmtId="165" fontId="20" fillId="0" borderId="29" xfId="0" applyNumberFormat="1" applyFont="1" applyBorder="1" applyAlignment="1">
      <alignment horizontal="right" vertical="center"/>
    </xf>
    <xf numFmtId="1" fontId="13" fillId="9" borderId="0" xfId="3" applyNumberFormat="1" applyFill="1" applyAlignment="1">
      <alignment horizontal="center"/>
    </xf>
    <xf numFmtId="165" fontId="13" fillId="44" borderId="0" xfId="3" applyNumberFormat="1" applyFill="1" applyAlignment="1">
      <alignment horizontal="center"/>
    </xf>
    <xf numFmtId="0" fontId="13" fillId="0" borderId="37" xfId="0" applyFont="1" applyBorder="1" applyAlignment="1">
      <alignment vertical="top" wrapText="1"/>
    </xf>
    <xf numFmtId="0" fontId="13" fillId="0" borderId="39" xfId="0" applyFont="1" applyBorder="1" applyAlignment="1">
      <alignment horizontal="center" vertical="top"/>
    </xf>
    <xf numFmtId="0" fontId="13" fillId="0" borderId="39" xfId="0" applyFont="1" applyBorder="1" applyAlignment="1">
      <alignment vertical="top"/>
    </xf>
    <xf numFmtId="0" fontId="13" fillId="0" borderId="40" xfId="0" applyFont="1" applyBorder="1"/>
    <xf numFmtId="0" fontId="13" fillId="0" borderId="38" xfId="2" applyNumberFormat="1" applyFont="1" applyFill="1" applyBorder="1"/>
    <xf numFmtId="0" fontId="13" fillId="0" borderId="27" xfId="0" applyFont="1" applyBorder="1" applyAlignment="1">
      <alignment horizontal="center" textRotation="90" wrapText="1"/>
    </xf>
    <xf numFmtId="0" fontId="13" fillId="0" borderId="41" xfId="0" applyFont="1" applyBorder="1" applyAlignment="1">
      <alignment horizontal="center" textRotation="90" wrapText="1"/>
    </xf>
    <xf numFmtId="0" fontId="13" fillId="0" borderId="77" xfId="0" applyFont="1" applyBorder="1" applyAlignment="1">
      <alignment horizontal="center" textRotation="90" wrapText="1"/>
    </xf>
    <xf numFmtId="0" fontId="13" fillId="0" borderId="0" xfId="2" applyNumberFormat="1" applyFont="1" applyFill="1" applyAlignment="1">
      <alignment horizontal="center" textRotation="90" wrapText="1"/>
    </xf>
    <xf numFmtId="0" fontId="13" fillId="0" borderId="36" xfId="0" applyFont="1" applyBorder="1" applyAlignment="1">
      <alignment horizontal="center" textRotation="90" wrapText="1"/>
    </xf>
    <xf numFmtId="0" fontId="13" fillId="0" borderId="42" xfId="0" applyFont="1" applyBorder="1" applyAlignment="1">
      <alignment horizontal="center" textRotation="90" wrapText="1"/>
    </xf>
    <xf numFmtId="165" fontId="13" fillId="0" borderId="33" xfId="0" applyNumberFormat="1" applyFont="1" applyBorder="1" applyAlignment="1">
      <alignment horizontal="center" textRotation="90" wrapText="1"/>
    </xf>
    <xf numFmtId="165" fontId="13" fillId="0" borderId="34" xfId="0" applyNumberFormat="1" applyFont="1" applyBorder="1" applyAlignment="1">
      <alignment horizontal="center" textRotation="90" wrapText="1"/>
    </xf>
    <xf numFmtId="165" fontId="13" fillId="0" borderId="35" xfId="0" applyNumberFormat="1" applyFont="1" applyBorder="1" applyAlignment="1">
      <alignment horizontal="center" textRotation="90" wrapText="1"/>
    </xf>
    <xf numFmtId="0" fontId="13" fillId="0" borderId="35" xfId="0" quotePrefix="1" applyFont="1" applyBorder="1" applyAlignment="1">
      <alignment horizontal="center" textRotation="90" wrapText="1"/>
    </xf>
    <xf numFmtId="0" fontId="13" fillId="0" borderId="35" xfId="2" applyNumberFormat="1" applyFont="1" applyFill="1" applyBorder="1" applyAlignment="1">
      <alignment horizontal="center" textRotation="90" wrapText="1"/>
    </xf>
    <xf numFmtId="0" fontId="13" fillId="0" borderId="46" xfId="0" applyFont="1" applyBorder="1" applyAlignment="1">
      <alignment horizontal="center" textRotation="90" wrapText="1"/>
    </xf>
    <xf numFmtId="0" fontId="13" fillId="0" borderId="10" xfId="0" quotePrefix="1" applyFont="1" applyBorder="1" applyAlignment="1">
      <alignment horizontal="center" textRotation="90" wrapText="1"/>
    </xf>
    <xf numFmtId="0" fontId="13" fillId="0" borderId="74" xfId="0" quotePrefix="1" applyFont="1" applyBorder="1" applyAlignment="1">
      <alignment horizontal="center" textRotation="90" wrapText="1"/>
    </xf>
    <xf numFmtId="0" fontId="13" fillId="0" borderId="131" xfId="0" quotePrefix="1" applyFont="1" applyBorder="1" applyAlignment="1">
      <alignment horizontal="center" textRotation="90" wrapText="1"/>
    </xf>
    <xf numFmtId="0" fontId="13" fillId="0" borderId="8" xfId="0" quotePrefix="1" applyFont="1" applyBorder="1" applyAlignment="1">
      <alignment horizontal="center" textRotation="90" wrapText="1"/>
    </xf>
    <xf numFmtId="0" fontId="13" fillId="0" borderId="28" xfId="0" applyFont="1" applyBorder="1" applyAlignment="1">
      <alignment horizontal="center" textRotation="90" wrapText="1"/>
    </xf>
    <xf numFmtId="0" fontId="13" fillId="0" borderId="43" xfId="0" applyFont="1" applyBorder="1" applyAlignment="1">
      <alignment horizontal="center" textRotation="90" wrapText="1"/>
    </xf>
    <xf numFmtId="165" fontId="13" fillId="0" borderId="9" xfId="0" applyNumberFormat="1" applyFont="1" applyBorder="1" applyAlignment="1">
      <alignment horizontal="center" textRotation="90" wrapText="1"/>
    </xf>
    <xf numFmtId="0" fontId="13" fillId="0" borderId="0" xfId="2" applyNumberFormat="1" applyFont="1" applyFill="1" applyBorder="1" applyAlignment="1">
      <alignment horizontal="center" textRotation="90" wrapText="1"/>
    </xf>
    <xf numFmtId="165" fontId="13" fillId="0" borderId="3" xfId="0" applyNumberFormat="1" applyFont="1" applyBorder="1" applyAlignment="1">
      <alignment vertical="top" wrapText="1"/>
    </xf>
    <xf numFmtId="2" fontId="13" fillId="0" borderId="4" xfId="0" applyNumberFormat="1" applyFont="1" applyBorder="1" applyAlignment="1">
      <alignment vertical="top" wrapText="1"/>
    </xf>
    <xf numFmtId="0" fontId="13" fillId="0" borderId="4" xfId="0" applyFont="1" applyBorder="1" applyAlignment="1">
      <alignment horizontal="center" vertical="top" wrapText="1"/>
    </xf>
    <xf numFmtId="0" fontId="13" fillId="0" borderId="5" xfId="0" applyFont="1" applyBorder="1" applyAlignment="1">
      <alignment horizontal="center" vertical="top" wrapText="1"/>
    </xf>
    <xf numFmtId="165" fontId="13" fillId="0" borderId="5" xfId="0" applyNumberFormat="1" applyFont="1" applyBorder="1" applyAlignment="1">
      <alignment horizontal="center" vertical="top" wrapText="1"/>
    </xf>
    <xf numFmtId="165" fontId="13" fillId="0" borderId="47" xfId="0" applyNumberFormat="1" applyFont="1" applyBorder="1" applyAlignment="1">
      <alignment vertical="top" wrapText="1"/>
    </xf>
    <xf numFmtId="165" fontId="13" fillId="0" borderId="5" xfId="0" applyNumberFormat="1" applyFont="1" applyBorder="1" applyAlignment="1">
      <alignment vertical="top" wrapText="1"/>
    </xf>
    <xf numFmtId="1" fontId="13" fillId="0" borderId="5" xfId="0" applyNumberFormat="1" applyFont="1" applyBorder="1" applyAlignment="1">
      <alignment vertical="top" wrapText="1"/>
    </xf>
    <xf numFmtId="1" fontId="13" fillId="0" borderId="3" xfId="0" applyNumberFormat="1" applyFont="1" applyBorder="1" applyAlignment="1">
      <alignment vertical="top" wrapText="1"/>
    </xf>
    <xf numFmtId="1" fontId="13" fillId="0" borderId="4" xfId="0" applyNumberFormat="1" applyFont="1" applyBorder="1" applyAlignment="1">
      <alignment horizontal="center" vertical="top" wrapText="1"/>
    </xf>
    <xf numFmtId="2" fontId="13" fillId="0" borderId="5" xfId="0" applyNumberFormat="1" applyFont="1" applyBorder="1" applyAlignment="1">
      <alignment vertical="top" wrapText="1"/>
    </xf>
    <xf numFmtId="173" fontId="13" fillId="0" borderId="7" xfId="0" applyNumberFormat="1" applyFont="1" applyBorder="1"/>
    <xf numFmtId="173" fontId="13" fillId="0" borderId="3" xfId="0" applyNumberFormat="1" applyFont="1" applyBorder="1" applyAlignment="1">
      <alignment vertical="top"/>
    </xf>
    <xf numFmtId="173" fontId="13" fillId="0" borderId="5" xfId="0" applyNumberFormat="1" applyFont="1" applyBorder="1" applyAlignment="1">
      <alignment vertical="top"/>
    </xf>
    <xf numFmtId="0" fontId="13" fillId="0" borderId="26" xfId="0" applyFont="1" applyBorder="1" applyAlignment="1">
      <alignment vertical="top" wrapText="1"/>
    </xf>
    <xf numFmtId="165" fontId="13" fillId="0" borderId="55" xfId="0" applyNumberFormat="1" applyFont="1" applyBorder="1" applyAlignment="1">
      <alignment vertical="top" wrapText="1"/>
    </xf>
    <xf numFmtId="0" fontId="13" fillId="0" borderId="4" xfId="0" quotePrefix="1" applyFont="1" applyBorder="1"/>
    <xf numFmtId="2" fontId="13" fillId="0" borderId="0" xfId="0" applyNumberFormat="1" applyFont="1" applyAlignment="1">
      <alignment vertical="top" wrapText="1"/>
    </xf>
    <xf numFmtId="1" fontId="13" fillId="0" borderId="0" xfId="0" applyNumberFormat="1" applyFont="1" applyAlignment="1">
      <alignment horizontal="center" vertical="top" wrapText="1"/>
    </xf>
    <xf numFmtId="165" fontId="13" fillId="0" borderId="8" xfId="0" applyNumberFormat="1" applyFont="1" applyBorder="1" applyAlignment="1">
      <alignment vertical="top" wrapText="1"/>
    </xf>
    <xf numFmtId="2" fontId="13" fillId="0" borderId="9" xfId="0" applyNumberFormat="1" applyFont="1" applyBorder="1" applyAlignment="1">
      <alignment vertical="top" wrapText="1"/>
    </xf>
    <xf numFmtId="0" fontId="13" fillId="0" borderId="9" xfId="0" applyFont="1" applyBorder="1" applyAlignment="1">
      <alignment horizontal="center" vertical="top" wrapText="1"/>
    </xf>
    <xf numFmtId="0" fontId="13" fillId="0" borderId="10" xfId="0" applyFont="1" applyBorder="1" applyAlignment="1">
      <alignment horizontal="center" vertical="top" wrapText="1"/>
    </xf>
    <xf numFmtId="165" fontId="13" fillId="0" borderId="10" xfId="0" applyNumberFormat="1" applyFont="1" applyBorder="1" applyAlignment="1">
      <alignment horizontal="center" vertical="top" wrapText="1"/>
    </xf>
    <xf numFmtId="165" fontId="13" fillId="0" borderId="46" xfId="0" applyNumberFormat="1" applyFont="1" applyBorder="1" applyAlignment="1">
      <alignment vertical="top" wrapText="1"/>
    </xf>
    <xf numFmtId="165" fontId="13" fillId="0" borderId="10" xfId="0" applyNumberFormat="1" applyFont="1" applyBorder="1" applyAlignment="1">
      <alignment vertical="top" wrapText="1"/>
    </xf>
    <xf numFmtId="1" fontId="13" fillId="0" borderId="8" xfId="0" applyNumberFormat="1" applyFont="1" applyBorder="1" applyAlignment="1">
      <alignment vertical="top" wrapText="1"/>
    </xf>
    <xf numFmtId="2" fontId="13" fillId="0" borderId="10" xfId="0" applyNumberFormat="1" applyFont="1" applyBorder="1" applyAlignment="1">
      <alignment vertical="top" wrapText="1"/>
    </xf>
    <xf numFmtId="173" fontId="13" fillId="0" borderId="9" xfId="0" applyNumberFormat="1" applyFont="1" applyBorder="1" applyAlignment="1">
      <alignment vertical="top" wrapText="1"/>
    </xf>
    <xf numFmtId="173" fontId="13" fillId="0" borderId="10" xfId="0" applyNumberFormat="1" applyFont="1" applyBorder="1" applyAlignment="1">
      <alignment vertical="top" wrapText="1"/>
    </xf>
    <xf numFmtId="173" fontId="13" fillId="0" borderId="8" xfId="0" applyNumberFormat="1" applyFont="1" applyBorder="1" applyAlignment="1">
      <alignment vertical="top"/>
    </xf>
    <xf numFmtId="173" fontId="13" fillId="0" borderId="10" xfId="0" applyNumberFormat="1" applyFont="1" applyBorder="1" applyAlignment="1">
      <alignment vertical="top"/>
    </xf>
    <xf numFmtId="165" fontId="13" fillId="0" borderId="43" xfId="0" applyNumberFormat="1" applyFont="1" applyBorder="1" applyAlignment="1">
      <alignment vertical="top" wrapText="1"/>
    </xf>
    <xf numFmtId="0" fontId="13" fillId="0" borderId="9" xfId="0" quotePrefix="1" applyFont="1" applyBorder="1"/>
    <xf numFmtId="0" fontId="13" fillId="0" borderId="0" xfId="0" applyFont="1" applyAlignment="1">
      <alignment horizontal="center" vertical="top" wrapText="1"/>
    </xf>
    <xf numFmtId="0" fontId="13" fillId="0" borderId="7" xfId="0" applyFont="1" applyBorder="1" applyAlignment="1">
      <alignment horizontal="center" vertical="top" wrapText="1"/>
    </xf>
    <xf numFmtId="165" fontId="13" fillId="0" borderId="7" xfId="0" applyNumberFormat="1" applyFont="1" applyBorder="1" applyAlignment="1">
      <alignment horizontal="center" vertical="top" wrapText="1"/>
    </xf>
    <xf numFmtId="165" fontId="13" fillId="0" borderId="48" xfId="0" applyNumberFormat="1" applyFont="1" applyBorder="1" applyAlignment="1">
      <alignment vertical="top" wrapText="1"/>
    </xf>
    <xf numFmtId="1" fontId="13" fillId="0" borderId="6" xfId="0" applyNumberFormat="1" applyFont="1" applyBorder="1" applyAlignment="1">
      <alignment vertical="top" wrapText="1"/>
    </xf>
    <xf numFmtId="2" fontId="13" fillId="0" borderId="7" xfId="0" applyNumberFormat="1" applyFont="1" applyBorder="1" applyAlignment="1">
      <alignment vertical="top" wrapText="1"/>
    </xf>
    <xf numFmtId="173" fontId="13" fillId="0" borderId="0" xfId="0" applyNumberFormat="1" applyFont="1" applyAlignment="1">
      <alignment vertical="top" wrapText="1"/>
    </xf>
    <xf numFmtId="173" fontId="13" fillId="0" borderId="7" xfId="0" applyNumberFormat="1" applyFont="1" applyBorder="1" applyAlignment="1">
      <alignment vertical="top" wrapText="1"/>
    </xf>
    <xf numFmtId="173" fontId="13" fillId="0" borderId="6" xfId="0" applyNumberFormat="1" applyFont="1" applyBorder="1" applyAlignment="1">
      <alignment vertical="top"/>
    </xf>
    <xf numFmtId="173" fontId="13" fillId="0" borderId="7" xfId="0" applyNumberFormat="1" applyFont="1" applyBorder="1" applyAlignment="1">
      <alignment vertical="top"/>
    </xf>
    <xf numFmtId="165" fontId="13" fillId="0" borderId="11" xfId="0" applyNumberFormat="1" applyFont="1" applyBorder="1" applyAlignment="1">
      <alignment vertical="top" wrapText="1"/>
    </xf>
    <xf numFmtId="173" fontId="13" fillId="0" borderId="5" xfId="0" applyNumberFormat="1" applyFont="1" applyBorder="1"/>
    <xf numFmtId="173" fontId="13" fillId="0" borderId="3" xfId="0" applyNumberFormat="1" applyFont="1" applyBorder="1"/>
    <xf numFmtId="173" fontId="13" fillId="0" borderId="6" xfId="0" applyNumberFormat="1" applyFont="1" applyBorder="1"/>
    <xf numFmtId="173" fontId="13" fillId="0" borderId="10" xfId="0" applyNumberFormat="1" applyFont="1" applyBorder="1"/>
    <xf numFmtId="173" fontId="13" fillId="0" borderId="8" xfId="0" applyNumberFormat="1" applyFont="1" applyBorder="1"/>
    <xf numFmtId="2" fontId="13" fillId="0" borderId="52" xfId="0" applyNumberFormat="1" applyFont="1" applyBorder="1" applyAlignment="1">
      <alignment horizontal="center"/>
    </xf>
    <xf numFmtId="1" fontId="13" fillId="0" borderId="3" xfId="0" applyNumberFormat="1" applyFont="1" applyBorder="1"/>
    <xf numFmtId="0" fontId="13" fillId="0" borderId="25" xfId="0" applyFont="1" applyBorder="1"/>
    <xf numFmtId="165" fontId="13" fillId="0" borderId="23" xfId="0" applyNumberFormat="1" applyFont="1" applyBorder="1"/>
    <xf numFmtId="165" fontId="13" fillId="0" borderId="24" xfId="0" applyNumberFormat="1" applyFont="1" applyBorder="1"/>
    <xf numFmtId="1" fontId="13" fillId="0" borderId="24" xfId="0" applyNumberFormat="1" applyFont="1" applyBorder="1"/>
    <xf numFmtId="2" fontId="13" fillId="0" borderId="24" xfId="0" applyNumberFormat="1" applyFont="1" applyBorder="1" applyAlignment="1">
      <alignment vertical="top" wrapText="1"/>
    </xf>
    <xf numFmtId="165" fontId="13" fillId="0" borderId="23" xfId="0" applyNumberFormat="1" applyFont="1" applyBorder="1" applyAlignment="1">
      <alignment vertical="top" wrapText="1"/>
    </xf>
    <xf numFmtId="1" fontId="13" fillId="0" borderId="24" xfId="0" applyNumberFormat="1" applyFont="1" applyBorder="1" applyAlignment="1">
      <alignment vertical="top" wrapText="1"/>
    </xf>
    <xf numFmtId="165" fontId="13" fillId="0" borderId="24" xfId="0" applyNumberFormat="1" applyFont="1" applyBorder="1" applyAlignment="1">
      <alignment horizontal="center" vertical="top" wrapText="1"/>
    </xf>
    <xf numFmtId="0" fontId="13" fillId="0" borderId="24" xfId="0" applyFont="1" applyBorder="1" applyAlignment="1">
      <alignment horizontal="center" vertical="top" wrapText="1"/>
    </xf>
    <xf numFmtId="0" fontId="13" fillId="0" borderId="25" xfId="0" applyFont="1" applyBorder="1" applyAlignment="1">
      <alignment horizontal="center" vertical="top" wrapText="1"/>
    </xf>
    <xf numFmtId="165" fontId="13" fillId="0" borderId="25" xfId="0" applyNumberFormat="1" applyFont="1" applyBorder="1" applyAlignment="1">
      <alignment horizontal="center" vertical="top" wrapText="1"/>
    </xf>
    <xf numFmtId="0" fontId="13" fillId="0" borderId="23" xfId="0" applyFont="1" applyBorder="1"/>
    <xf numFmtId="165" fontId="13" fillId="0" borderId="25" xfId="0" applyNumberFormat="1" applyFont="1" applyBorder="1" applyAlignment="1">
      <alignment vertical="top" wrapText="1"/>
    </xf>
    <xf numFmtId="1" fontId="13" fillId="0" borderId="25" xfId="0" applyNumberFormat="1" applyFont="1" applyBorder="1"/>
    <xf numFmtId="1" fontId="13" fillId="0" borderId="23" xfId="0" applyNumberFormat="1" applyFont="1" applyBorder="1"/>
    <xf numFmtId="2" fontId="13" fillId="0" borderId="24" xfId="0" applyNumberFormat="1" applyFont="1" applyBorder="1"/>
    <xf numFmtId="1" fontId="13" fillId="0" borderId="25" xfId="0" applyNumberFormat="1" applyFont="1" applyBorder="1" applyAlignment="1">
      <alignment vertical="top" wrapText="1"/>
    </xf>
    <xf numFmtId="1" fontId="13" fillId="0" borderId="24" xfId="0" applyNumberFormat="1" applyFont="1" applyBorder="1" applyAlignment="1">
      <alignment horizontal="center" vertical="top" wrapText="1"/>
    </xf>
    <xf numFmtId="2" fontId="13" fillId="0" borderId="25" xfId="0" applyNumberFormat="1" applyFont="1" applyBorder="1" applyAlignment="1">
      <alignment vertical="top" wrapText="1"/>
    </xf>
    <xf numFmtId="173" fontId="13" fillId="0" borderId="24" xfId="0" applyNumberFormat="1" applyFont="1" applyBorder="1"/>
    <xf numFmtId="173" fontId="13" fillId="0" borderId="25" xfId="0" applyNumberFormat="1" applyFont="1" applyBorder="1"/>
    <xf numFmtId="173" fontId="13" fillId="0" borderId="23" xfId="0" applyNumberFormat="1" applyFont="1" applyBorder="1"/>
    <xf numFmtId="0" fontId="13" fillId="0" borderId="25" xfId="0" applyFont="1" applyBorder="1" applyAlignment="1">
      <alignment vertical="top" wrapText="1"/>
    </xf>
    <xf numFmtId="0" fontId="13" fillId="0" borderId="30" xfId="0" applyFont="1" applyBorder="1" applyAlignment="1">
      <alignment vertical="top" wrapText="1"/>
    </xf>
    <xf numFmtId="165" fontId="13" fillId="0" borderId="49" xfId="0" applyNumberFormat="1" applyFont="1" applyBorder="1"/>
    <xf numFmtId="165" fontId="13" fillId="0" borderId="56" xfId="0" applyNumberFormat="1" applyFont="1" applyBorder="1"/>
    <xf numFmtId="165" fontId="13" fillId="0" borderId="25" xfId="0" applyNumberFormat="1" applyFont="1" applyBorder="1"/>
    <xf numFmtId="0" fontId="13" fillId="0" borderId="10" xfId="0" applyFont="1" applyBorder="1" applyAlignment="1">
      <alignment vertical="center"/>
    </xf>
    <xf numFmtId="1" fontId="13" fillId="0" borderId="9" xfId="0" applyNumberFormat="1" applyFont="1" applyBorder="1" applyAlignment="1">
      <alignment vertical="center"/>
    </xf>
    <xf numFmtId="2" fontId="13" fillId="0" borderId="9" xfId="0" applyNumberFormat="1" applyFont="1" applyBorder="1" applyAlignment="1">
      <alignment vertical="center" wrapText="1"/>
    </xf>
    <xf numFmtId="0" fontId="13" fillId="0" borderId="9" xfId="0" applyFont="1" applyBorder="1" applyAlignment="1">
      <alignment vertical="center" wrapText="1"/>
    </xf>
    <xf numFmtId="165" fontId="13" fillId="0" borderId="8" xfId="0" applyNumberFormat="1" applyFont="1" applyBorder="1" applyAlignment="1">
      <alignment vertical="center" wrapText="1"/>
    </xf>
    <xf numFmtId="165" fontId="13" fillId="0" borderId="9" xfId="0" applyNumberFormat="1" applyFont="1" applyBorder="1" applyAlignment="1">
      <alignment vertical="center" wrapText="1"/>
    </xf>
    <xf numFmtId="1" fontId="13" fillId="0" borderId="9" xfId="0" applyNumberFormat="1" applyFont="1" applyBorder="1" applyAlignment="1">
      <alignment vertical="center" wrapText="1"/>
    </xf>
    <xf numFmtId="165" fontId="13" fillId="0" borderId="9" xfId="0" applyNumberFormat="1" applyFont="1" applyBorder="1" applyAlignment="1">
      <alignment horizontal="center" vertical="center" wrapText="1"/>
    </xf>
    <xf numFmtId="0" fontId="13" fillId="0" borderId="9" xfId="0" applyFont="1" applyBorder="1" applyAlignment="1">
      <alignment horizontal="center" vertical="center" wrapText="1"/>
    </xf>
    <xf numFmtId="0" fontId="13" fillId="0" borderId="10" xfId="0" applyFont="1" applyBorder="1" applyAlignment="1">
      <alignment horizontal="center" vertical="center" wrapText="1"/>
    </xf>
    <xf numFmtId="165" fontId="13" fillId="0" borderId="10" xfId="0" applyNumberFormat="1" applyFont="1" applyBorder="1" applyAlignment="1">
      <alignment horizontal="center" vertical="center" wrapText="1"/>
    </xf>
    <xf numFmtId="0" fontId="13" fillId="0" borderId="8" xfId="0" applyFont="1" applyBorder="1" applyAlignment="1">
      <alignment vertical="center"/>
    </xf>
    <xf numFmtId="1" fontId="13" fillId="0" borderId="10" xfId="0" applyNumberFormat="1" applyFont="1" applyBorder="1" applyAlignment="1">
      <alignment vertical="center" wrapText="1"/>
    </xf>
    <xf numFmtId="1" fontId="13" fillId="0" borderId="10" xfId="0" applyNumberFormat="1" applyFont="1" applyBorder="1" applyAlignment="1">
      <alignment vertical="center"/>
    </xf>
    <xf numFmtId="1" fontId="13" fillId="0" borderId="8" xfId="0" applyNumberFormat="1" applyFont="1" applyBorder="1" applyAlignment="1">
      <alignment vertical="center"/>
    </xf>
    <xf numFmtId="2" fontId="13" fillId="0" borderId="9" xfId="0" applyNumberFormat="1" applyFont="1" applyBorder="1" applyAlignment="1">
      <alignment vertical="center"/>
    </xf>
    <xf numFmtId="1" fontId="13" fillId="0" borderId="9" xfId="0" applyNumberFormat="1" applyFont="1" applyBorder="1" applyAlignment="1">
      <alignment horizontal="center" vertical="center" wrapText="1"/>
    </xf>
    <xf numFmtId="2" fontId="13" fillId="0" borderId="10" xfId="0" applyNumberFormat="1" applyFont="1" applyBorder="1" applyAlignment="1">
      <alignment vertical="center" wrapText="1"/>
    </xf>
    <xf numFmtId="173" fontId="13" fillId="0" borderId="9" xfId="0" applyNumberFormat="1" applyFont="1" applyBorder="1" applyAlignment="1">
      <alignment vertical="center"/>
    </xf>
    <xf numFmtId="173" fontId="13" fillId="0" borderId="9" xfId="0" applyNumberFormat="1" applyFont="1" applyBorder="1" applyAlignment="1">
      <alignment vertical="center" wrapText="1"/>
    </xf>
    <xf numFmtId="173" fontId="13" fillId="0" borderId="10" xfId="0" applyNumberFormat="1" applyFont="1" applyBorder="1" applyAlignment="1">
      <alignment vertical="center"/>
    </xf>
    <xf numFmtId="173" fontId="13" fillId="0" borderId="8" xfId="0" applyNumberFormat="1" applyFont="1" applyBorder="1" applyAlignment="1">
      <alignment vertical="center"/>
    </xf>
    <xf numFmtId="0" fontId="13" fillId="0" borderId="10" xfId="0" applyFont="1" applyBorder="1" applyAlignment="1">
      <alignment vertical="center" wrapText="1"/>
    </xf>
    <xf numFmtId="0" fontId="13" fillId="0" borderId="28" xfId="0" applyFont="1" applyBorder="1" applyAlignment="1">
      <alignment vertical="center" wrapText="1"/>
    </xf>
    <xf numFmtId="1" fontId="13" fillId="0" borderId="7" xfId="0" applyNumberFormat="1" applyFont="1" applyBorder="1" applyAlignment="1">
      <alignment vertical="center"/>
    </xf>
    <xf numFmtId="165" fontId="13" fillId="0" borderId="6" xfId="0" applyNumberFormat="1" applyFont="1" applyBorder="1" applyAlignment="1">
      <alignment vertical="center"/>
    </xf>
    <xf numFmtId="2" fontId="13" fillId="0" borderId="0" xfId="0" applyNumberFormat="1" applyFont="1" applyAlignment="1">
      <alignment vertical="center"/>
    </xf>
    <xf numFmtId="0" fontId="13" fillId="0" borderId="7" xfId="0" applyFont="1" applyBorder="1" applyAlignment="1">
      <alignment vertical="center"/>
    </xf>
    <xf numFmtId="0" fontId="13" fillId="0" borderId="0" xfId="0" applyFont="1" applyAlignment="1">
      <alignment vertical="center" wrapText="1"/>
    </xf>
    <xf numFmtId="0" fontId="13" fillId="0" borderId="0" xfId="2" applyNumberFormat="1" applyFont="1" applyFill="1" applyAlignment="1">
      <alignment vertical="center"/>
    </xf>
    <xf numFmtId="2" fontId="13" fillId="0" borderId="0" xfId="0" applyNumberFormat="1" applyFont="1" applyAlignment="1">
      <alignment vertical="center" wrapText="1"/>
    </xf>
    <xf numFmtId="0" fontId="13" fillId="0" borderId="6" xfId="0" quotePrefix="1" applyFont="1" applyBorder="1"/>
    <xf numFmtId="0" fontId="13" fillId="0" borderId="6" xfId="0" quotePrefix="1" applyFont="1" applyBorder="1" applyAlignment="1">
      <alignment vertical="top"/>
    </xf>
    <xf numFmtId="1" fontId="13" fillId="0" borderId="48" xfId="0" applyNumberFormat="1" applyFont="1" applyBorder="1" applyAlignment="1">
      <alignment vertical="top" wrapText="1"/>
    </xf>
    <xf numFmtId="1" fontId="13" fillId="0" borderId="11" xfId="0" applyNumberFormat="1" applyFont="1" applyBorder="1" applyAlignment="1">
      <alignment vertical="top" wrapText="1"/>
    </xf>
    <xf numFmtId="1" fontId="13" fillId="0" borderId="46" xfId="0" applyNumberFormat="1" applyFont="1" applyBorder="1" applyAlignment="1">
      <alignment vertical="top" wrapText="1"/>
    </xf>
    <xf numFmtId="165" fontId="13" fillId="0" borderId="9" xfId="0" quotePrefix="1" applyNumberFormat="1" applyFont="1" applyBorder="1"/>
    <xf numFmtId="0" fontId="13" fillId="0" borderId="10" xfId="0" quotePrefix="1" applyFont="1" applyBorder="1" applyAlignment="1">
      <alignment vertical="top"/>
    </xf>
    <xf numFmtId="1" fontId="13" fillId="0" borderId="23" xfId="0" applyNumberFormat="1" applyFont="1" applyBorder="1" applyAlignment="1">
      <alignment horizontal="center" vertical="top" wrapText="1"/>
    </xf>
    <xf numFmtId="1" fontId="13" fillId="0" borderId="8" xfId="0" applyNumberFormat="1" applyFont="1" applyBorder="1" applyAlignment="1">
      <alignment horizontal="center" vertical="center" wrapText="1"/>
    </xf>
    <xf numFmtId="1" fontId="13" fillId="0" borderId="0" xfId="3" applyNumberFormat="1"/>
    <xf numFmtId="0" fontId="20" fillId="38" borderId="0" xfId="3" applyFont="1" applyFill="1"/>
    <xf numFmtId="2" fontId="0" fillId="0" borderId="0" xfId="0" applyNumberFormat="1" applyAlignment="1">
      <alignment horizontal="center"/>
    </xf>
    <xf numFmtId="1" fontId="0" fillId="0" borderId="0" xfId="0" applyNumberFormat="1" applyAlignment="1">
      <alignment horizontal="center"/>
    </xf>
    <xf numFmtId="0" fontId="13" fillId="44" borderId="0" xfId="3" applyFill="1" applyAlignment="1">
      <alignment horizontal="center"/>
    </xf>
    <xf numFmtId="0" fontId="13" fillId="10" borderId="0" xfId="3" applyFill="1" applyAlignment="1">
      <alignment horizontal="center"/>
    </xf>
    <xf numFmtId="0" fontId="13" fillId="44" borderId="0" xfId="3" applyFill="1"/>
    <xf numFmtId="2" fontId="0" fillId="44" borderId="0" xfId="0" applyNumberFormat="1" applyFill="1" applyAlignment="1">
      <alignment horizontal="center"/>
    </xf>
    <xf numFmtId="0" fontId="117" fillId="0" borderId="0" xfId="3" applyFont="1" applyAlignment="1">
      <alignment horizontal="center"/>
    </xf>
    <xf numFmtId="1" fontId="117" fillId="0" borderId="0" xfId="3" applyNumberFormat="1" applyFont="1" applyAlignment="1">
      <alignment horizontal="center"/>
    </xf>
    <xf numFmtId="0" fontId="117" fillId="0" borderId="0" xfId="0" applyFont="1" applyAlignment="1">
      <alignment horizontal="center"/>
    </xf>
    <xf numFmtId="165" fontId="13" fillId="44" borderId="2" xfId="0" applyNumberFormat="1" applyFont="1" applyFill="1" applyBorder="1" applyAlignment="1" applyProtection="1">
      <alignment vertical="center"/>
      <protection locked="0"/>
    </xf>
    <xf numFmtId="1" fontId="13" fillId="44" borderId="2" xfId="0" applyNumberFormat="1" applyFont="1" applyFill="1" applyBorder="1" applyAlignment="1" applyProtection="1">
      <alignment vertical="center"/>
      <protection locked="0"/>
    </xf>
    <xf numFmtId="2" fontId="13" fillId="44" borderId="2" xfId="0" applyNumberFormat="1" applyFont="1" applyFill="1" applyBorder="1" applyAlignment="1" applyProtection="1">
      <alignment vertical="center"/>
      <protection locked="0"/>
    </xf>
    <xf numFmtId="0" fontId="13" fillId="44" borderId="136" xfId="0" applyFont="1" applyFill="1" applyBorder="1" applyAlignment="1" applyProtection="1">
      <alignment vertical="center"/>
      <protection locked="0"/>
    </xf>
    <xf numFmtId="165" fontId="15" fillId="44" borderId="2" xfId="0" applyNumberFormat="1" applyFont="1" applyFill="1" applyBorder="1" applyAlignment="1" applyProtection="1">
      <alignment vertical="center"/>
      <protection locked="0"/>
    </xf>
    <xf numFmtId="1" fontId="15" fillId="44" borderId="2" xfId="0" applyNumberFormat="1" applyFont="1" applyFill="1" applyBorder="1" applyAlignment="1" applyProtection="1">
      <alignment vertical="center"/>
      <protection locked="0"/>
    </xf>
    <xf numFmtId="165" fontId="15" fillId="44" borderId="2" xfId="0" applyNumberFormat="1" applyFont="1" applyFill="1" applyBorder="1" applyAlignment="1" applyProtection="1">
      <alignment horizontal="right" vertical="center"/>
      <protection locked="0"/>
    </xf>
    <xf numFmtId="2" fontId="15" fillId="44" borderId="2" xfId="0" applyNumberFormat="1" applyFont="1" applyFill="1" applyBorder="1" applyAlignment="1" applyProtection="1">
      <alignment horizontal="right" vertical="center"/>
      <protection locked="0"/>
    </xf>
    <xf numFmtId="2" fontId="13" fillId="44" borderId="2" xfId="0" applyNumberFormat="1" applyFont="1" applyFill="1" applyBorder="1" applyAlignment="1" applyProtection="1">
      <alignment horizontal="right" vertical="center"/>
      <protection locked="0"/>
    </xf>
    <xf numFmtId="165" fontId="106" fillId="0" borderId="0" xfId="3" applyNumberFormat="1" applyFont="1"/>
    <xf numFmtId="2" fontId="13" fillId="0" borderId="30" xfId="3" applyNumberFormat="1" applyBorder="1"/>
    <xf numFmtId="1" fontId="98" fillId="0" borderId="0" xfId="3" applyNumberFormat="1" applyFont="1" applyAlignment="1">
      <alignment horizontal="center"/>
    </xf>
    <xf numFmtId="2" fontId="13" fillId="44" borderId="0" xfId="3" applyNumberFormat="1" applyFill="1" applyAlignment="1">
      <alignment horizontal="center"/>
    </xf>
    <xf numFmtId="2" fontId="0" fillId="9" borderId="0" xfId="0" applyNumberFormat="1" applyFill="1" applyAlignment="1">
      <alignment horizontal="center"/>
    </xf>
    <xf numFmtId="2" fontId="13" fillId="9" borderId="0" xfId="3" applyNumberFormat="1" applyFill="1" applyAlignment="1">
      <alignment horizontal="center"/>
    </xf>
    <xf numFmtId="0" fontId="13" fillId="9" borderId="0" xfId="3" applyFill="1"/>
    <xf numFmtId="0" fontId="13" fillId="9" borderId="0" xfId="3" applyFill="1" applyAlignment="1">
      <alignment vertical="top" wrapText="1"/>
    </xf>
    <xf numFmtId="165" fontId="13" fillId="9" borderId="0" xfId="3" applyNumberFormat="1" applyFill="1" applyAlignment="1">
      <alignment horizontal="center"/>
    </xf>
    <xf numFmtId="165" fontId="13" fillId="9" borderId="0" xfId="3" applyNumberFormat="1" applyFill="1"/>
    <xf numFmtId="165" fontId="73" fillId="0" borderId="9" xfId="3" applyNumberFormat="1" applyFont="1" applyBorder="1" applyAlignment="1">
      <alignment horizontal="center"/>
    </xf>
    <xf numFmtId="165" fontId="73" fillId="0" borderId="10" xfId="3" applyNumberFormat="1" applyFont="1" applyBorder="1" applyAlignment="1">
      <alignment horizontal="center"/>
    </xf>
    <xf numFmtId="2" fontId="13" fillId="0" borderId="0" xfId="3" applyNumberFormat="1"/>
    <xf numFmtId="0" fontId="93" fillId="0" borderId="0" xfId="0" quotePrefix="1" applyFont="1"/>
    <xf numFmtId="0" fontId="13" fillId="0" borderId="4" xfId="3" applyBorder="1" applyAlignment="1">
      <alignment horizontal="right"/>
    </xf>
    <xf numFmtId="0" fontId="13" fillId="0" borderId="4" xfId="3" applyBorder="1"/>
    <xf numFmtId="0" fontId="0" fillId="19" borderId="0" xfId="0" applyFill="1"/>
    <xf numFmtId="0" fontId="0" fillId="19" borderId="24" xfId="0" applyFill="1" applyBorder="1"/>
    <xf numFmtId="0" fontId="0" fillId="19" borderId="143" xfId="0" applyFill="1" applyBorder="1" applyAlignment="1">
      <alignment vertical="top" wrapText="1"/>
    </xf>
    <xf numFmtId="0" fontId="0" fillId="19" borderId="144" xfId="0" applyFill="1" applyBorder="1"/>
    <xf numFmtId="0" fontId="89" fillId="19" borderId="0" xfId="0" applyFont="1" applyFill="1"/>
    <xf numFmtId="0" fontId="13" fillId="19" borderId="143" xfId="0" applyFont="1" applyFill="1" applyBorder="1" applyAlignment="1">
      <alignment vertical="top" wrapText="1"/>
    </xf>
    <xf numFmtId="189" fontId="72" fillId="19" borderId="143" xfId="0" applyNumberFormat="1" applyFont="1" applyFill="1" applyBorder="1" applyAlignment="1">
      <alignment vertical="top" wrapText="1"/>
    </xf>
    <xf numFmtId="3" fontId="13" fillId="19" borderId="143" xfId="0" applyNumberFormat="1" applyFont="1" applyFill="1" applyBorder="1"/>
    <xf numFmtId="3" fontId="13" fillId="19" borderId="144" xfId="0" applyNumberFormat="1" applyFont="1" applyFill="1" applyBorder="1"/>
    <xf numFmtId="3" fontId="13" fillId="19" borderId="145" xfId="0" applyNumberFormat="1" applyFont="1" applyFill="1" applyBorder="1"/>
    <xf numFmtId="0" fontId="13" fillId="0" borderId="24" xfId="3" applyBorder="1" applyAlignment="1">
      <alignment horizontal="right"/>
    </xf>
    <xf numFmtId="0" fontId="13" fillId="0" borderId="146" xfId="0" applyFont="1" applyBorder="1" applyAlignment="1">
      <alignment horizontal="center" vertical="top" wrapText="1"/>
    </xf>
    <xf numFmtId="0" fontId="20" fillId="0" borderId="23" xfId="0" applyFont="1" applyBorder="1" applyAlignment="1">
      <alignment vertical="top"/>
    </xf>
    <xf numFmtId="0" fontId="20" fillId="0" borderId="24" xfId="0" applyFont="1" applyBorder="1" applyAlignment="1">
      <alignment vertical="top" wrapText="1"/>
    </xf>
    <xf numFmtId="0" fontId="20" fillId="0" borderId="25" xfId="0" applyFont="1" applyBorder="1" applyAlignment="1">
      <alignment vertical="top" wrapText="1"/>
    </xf>
    <xf numFmtId="2" fontId="13" fillId="0" borderId="3" xfId="0" quotePrefix="1" applyNumberFormat="1" applyFont="1" applyBorder="1" applyAlignment="1">
      <alignment horizontal="center"/>
    </xf>
    <xf numFmtId="0" fontId="13" fillId="0" borderId="30" xfId="0" applyFont="1" applyBorder="1" applyAlignment="1">
      <alignment horizontal="center" textRotation="90" wrapText="1"/>
    </xf>
    <xf numFmtId="0" fontId="0" fillId="0" borderId="30" xfId="0" applyBorder="1" applyAlignment="1">
      <alignment horizontal="center"/>
    </xf>
    <xf numFmtId="0" fontId="13" fillId="0" borderId="30" xfId="0" applyFont="1" applyBorder="1" applyAlignment="1">
      <alignment horizontal="center"/>
    </xf>
    <xf numFmtId="2" fontId="0" fillId="0" borderId="30" xfId="0" applyNumberFormat="1" applyBorder="1" applyAlignment="1">
      <alignment horizontal="center"/>
    </xf>
    <xf numFmtId="177" fontId="0" fillId="0" borderId="30" xfId="0" applyNumberFormat="1" applyBorder="1" applyAlignment="1">
      <alignment horizontal="center"/>
    </xf>
    <xf numFmtId="3" fontId="0" fillId="0" borderId="30" xfId="0" applyNumberFormat="1" applyBorder="1" applyAlignment="1">
      <alignment horizontal="center"/>
    </xf>
    <xf numFmtId="0" fontId="13" fillId="0" borderId="30" xfId="0" applyFont="1" applyBorder="1" applyAlignment="1">
      <alignment horizontal="center" vertical="top" wrapText="1"/>
    </xf>
    <xf numFmtId="0" fontId="13" fillId="0" borderId="30" xfId="0" applyFont="1" applyBorder="1" applyAlignment="1">
      <alignment horizontal="left" vertical="top" wrapText="1"/>
    </xf>
    <xf numFmtId="0" fontId="13" fillId="0" borderId="147" xfId="0" applyFont="1" applyBorder="1" applyAlignment="1">
      <alignment vertical="top" wrapText="1"/>
    </xf>
    <xf numFmtId="4" fontId="0" fillId="0" borderId="30" xfId="0" applyNumberFormat="1" applyBorder="1" applyAlignment="1">
      <alignment horizontal="center"/>
    </xf>
    <xf numFmtId="0" fontId="13" fillId="0" borderId="38" xfId="0" applyFont="1" applyBorder="1" applyAlignment="1">
      <alignment horizontal="left" vertical="top" wrapText="1"/>
    </xf>
    <xf numFmtId="165" fontId="13" fillId="0" borderId="148" xfId="0" applyNumberFormat="1" applyFont="1" applyBorder="1"/>
    <xf numFmtId="165" fontId="13" fillId="0" borderId="147" xfId="0" applyNumberFormat="1" applyFont="1" applyBorder="1"/>
    <xf numFmtId="165" fontId="13" fillId="0" borderId="149" xfId="0" applyNumberFormat="1" applyFont="1" applyBorder="1"/>
    <xf numFmtId="0" fontId="13" fillId="0" borderId="150" xfId="0" applyFont="1" applyBorder="1" applyAlignment="1">
      <alignment horizontal="center" textRotation="90" wrapText="1"/>
    </xf>
    <xf numFmtId="0" fontId="13" fillId="0" borderId="151" xfId="0" applyFont="1" applyBorder="1" applyAlignment="1">
      <alignment horizontal="center" textRotation="90" wrapText="1"/>
    </xf>
    <xf numFmtId="165" fontId="13" fillId="0" borderId="147" xfId="0" applyNumberFormat="1" applyFont="1" applyBorder="1" applyAlignment="1">
      <alignment vertical="top" wrapText="1"/>
    </xf>
    <xf numFmtId="0" fontId="20" fillId="0" borderId="152" xfId="0" applyFont="1" applyBorder="1" applyAlignment="1">
      <alignment vertical="top"/>
    </xf>
    <xf numFmtId="0" fontId="20" fillId="0" borderId="147" xfId="0" applyFont="1" applyBorder="1"/>
    <xf numFmtId="0" fontId="20" fillId="0" borderId="153" xfId="0" applyFont="1" applyBorder="1"/>
    <xf numFmtId="0" fontId="13" fillId="0" borderId="154" xfId="0" applyFont="1" applyBorder="1" applyAlignment="1">
      <alignment horizontal="center" textRotation="90" wrapText="1"/>
    </xf>
    <xf numFmtId="0" fontId="13" fillId="0" borderId="155" xfId="0" applyFont="1" applyBorder="1" applyAlignment="1">
      <alignment horizontal="center" textRotation="90" wrapText="1"/>
    </xf>
    <xf numFmtId="1" fontId="13" fillId="0" borderId="147" xfId="0" applyNumberFormat="1" applyFont="1" applyBorder="1" applyAlignment="1">
      <alignment vertical="top" wrapText="1"/>
    </xf>
    <xf numFmtId="2" fontId="13" fillId="0" borderId="147" xfId="0" applyNumberFormat="1" applyFont="1" applyBorder="1" applyAlignment="1">
      <alignment vertical="top" wrapText="1"/>
    </xf>
    <xf numFmtId="0" fontId="13" fillId="0" borderId="153" xfId="0" applyFont="1" applyBorder="1" applyAlignment="1">
      <alignment vertical="top" wrapText="1"/>
    </xf>
    <xf numFmtId="165" fontId="13" fillId="0" borderId="152" xfId="0" applyNumberFormat="1" applyFont="1" applyBorder="1"/>
    <xf numFmtId="1" fontId="13" fillId="0" borderId="147" xfId="0" applyNumberFormat="1" applyFont="1" applyBorder="1"/>
    <xf numFmtId="49" fontId="20" fillId="0" borderId="147" xfId="0" applyNumberFormat="1" applyFont="1" applyBorder="1" applyAlignment="1">
      <alignment horizontal="center" vertical="top" wrapText="1"/>
    </xf>
    <xf numFmtId="0" fontId="20" fillId="0" borderId="153" xfId="0" applyFont="1" applyBorder="1" applyAlignment="1">
      <alignment vertical="top" wrapText="1"/>
    </xf>
    <xf numFmtId="0" fontId="13" fillId="0" borderId="39" xfId="0" applyFont="1" applyBorder="1" applyAlignment="1">
      <alignment vertical="top" wrapText="1"/>
    </xf>
    <xf numFmtId="0" fontId="13" fillId="0" borderId="156" xfId="0" applyFont="1" applyBorder="1" applyAlignment="1">
      <alignment horizontal="center" textRotation="90" wrapText="1"/>
    </xf>
    <xf numFmtId="49" fontId="13" fillId="0" borderId="151" xfId="0" applyNumberFormat="1" applyFont="1" applyBorder="1" applyAlignment="1">
      <alignment horizontal="center" textRotation="90" wrapText="1"/>
    </xf>
    <xf numFmtId="49" fontId="13" fillId="0" borderId="150" xfId="0" applyNumberFormat="1" applyFont="1" applyBorder="1" applyAlignment="1">
      <alignment horizontal="center" textRotation="90" wrapText="1"/>
    </xf>
    <xf numFmtId="2" fontId="13" fillId="0" borderId="152" xfId="0" quotePrefix="1" applyNumberFormat="1" applyFont="1" applyBorder="1" applyAlignment="1">
      <alignment horizontal="center" vertical="top" wrapText="1"/>
    </xf>
    <xf numFmtId="49" fontId="13" fillId="0" borderId="147" xfId="0" applyNumberFormat="1" applyFont="1" applyBorder="1" applyAlignment="1">
      <alignment horizontal="center" vertical="top" wrapText="1"/>
    </xf>
    <xf numFmtId="2" fontId="13" fillId="0" borderId="8" xfId="0" quotePrefix="1" applyNumberFormat="1" applyFont="1" applyBorder="1" applyAlignment="1">
      <alignment horizontal="center" vertical="top" wrapText="1"/>
    </xf>
    <xf numFmtId="49" fontId="13" fillId="0" borderId="9" xfId="0" applyNumberFormat="1" applyFont="1" applyBorder="1" applyAlignment="1">
      <alignment horizontal="center" vertical="top" wrapText="1"/>
    </xf>
    <xf numFmtId="2" fontId="13" fillId="0" borderId="6" xfId="0" quotePrefix="1" applyNumberFormat="1" applyFont="1" applyBorder="1" applyAlignment="1">
      <alignment horizontal="center" vertical="top" wrapText="1"/>
    </xf>
    <xf numFmtId="49" fontId="13" fillId="0" borderId="0" xfId="0" quotePrefix="1" applyNumberFormat="1" applyFont="1" applyAlignment="1">
      <alignment horizontal="center" vertical="top" wrapText="1"/>
    </xf>
    <xf numFmtId="49" fontId="13" fillId="0" borderId="9" xfId="0" quotePrefix="1" applyNumberFormat="1" applyFont="1" applyBorder="1" applyAlignment="1">
      <alignment horizontal="center" vertical="top" wrapText="1"/>
    </xf>
    <xf numFmtId="2" fontId="13" fillId="0" borderId="152" xfId="0" quotePrefix="1" applyNumberFormat="1" applyFont="1" applyBorder="1" applyAlignment="1">
      <alignment horizontal="center"/>
    </xf>
    <xf numFmtId="49" fontId="13" fillId="0" borderId="147" xfId="0" quotePrefix="1" applyNumberFormat="1" applyFont="1" applyBorder="1" applyAlignment="1">
      <alignment horizontal="center"/>
    </xf>
    <xf numFmtId="0" fontId="13" fillId="0" borderId="153" xfId="0" applyFont="1" applyBorder="1"/>
    <xf numFmtId="2" fontId="13" fillId="0" borderId="6" xfId="0" quotePrefix="1" applyNumberFormat="1" applyFont="1" applyBorder="1" applyAlignment="1">
      <alignment horizontal="center"/>
    </xf>
    <xf numFmtId="49" fontId="13" fillId="0" borderId="0" xfId="0" quotePrefix="1" applyNumberFormat="1" applyFont="1" applyAlignment="1">
      <alignment horizontal="center"/>
    </xf>
    <xf numFmtId="2" fontId="13" fillId="0" borderId="8" xfId="0" quotePrefix="1" applyNumberFormat="1" applyFont="1" applyBorder="1" applyAlignment="1">
      <alignment horizontal="center"/>
    </xf>
    <xf numFmtId="49" fontId="13" fillId="0" borderId="9" xfId="0" quotePrefix="1" applyNumberFormat="1" applyFont="1" applyBorder="1" applyAlignment="1">
      <alignment horizontal="center"/>
    </xf>
    <xf numFmtId="49" fontId="13" fillId="0" borderId="147" xfId="0" applyNumberFormat="1" applyFont="1" applyBorder="1" applyAlignment="1">
      <alignment horizontal="center"/>
    </xf>
    <xf numFmtId="2" fontId="13" fillId="0" borderId="6" xfId="0" applyNumberFormat="1" applyFont="1" applyBorder="1" applyAlignment="1">
      <alignment horizontal="center"/>
    </xf>
    <xf numFmtId="2" fontId="13" fillId="0" borderId="152" xfId="0" applyNumberFormat="1" applyFont="1" applyBorder="1" applyAlignment="1">
      <alignment horizontal="center"/>
    </xf>
    <xf numFmtId="2" fontId="13" fillId="0" borderId="8" xfId="0" applyNumberFormat="1" applyFont="1" applyBorder="1" applyAlignment="1">
      <alignment horizontal="center"/>
    </xf>
    <xf numFmtId="49" fontId="13" fillId="0" borderId="9" xfId="0" applyNumberFormat="1" applyFont="1" applyBorder="1" applyAlignment="1">
      <alignment horizontal="center"/>
    </xf>
    <xf numFmtId="2" fontId="13" fillId="0" borderId="23" xfId="0" applyNumberFormat="1" applyFont="1" applyBorder="1" applyAlignment="1">
      <alignment horizontal="center"/>
    </xf>
    <xf numFmtId="49" fontId="13" fillId="0" borderId="24" xfId="0" applyNumberFormat="1" applyFont="1" applyBorder="1" applyAlignment="1">
      <alignment horizontal="center"/>
    </xf>
    <xf numFmtId="2" fontId="13" fillId="0" borderId="8" xfId="0" applyNumberFormat="1" applyFont="1" applyBorder="1" applyAlignment="1">
      <alignment horizontal="center" vertical="center"/>
    </xf>
    <xf numFmtId="49" fontId="13" fillId="0" borderId="9" xfId="0" applyNumberFormat="1" applyFont="1" applyBorder="1" applyAlignment="1">
      <alignment horizontal="center" vertical="center"/>
    </xf>
    <xf numFmtId="49" fontId="13" fillId="0" borderId="0" xfId="0" applyNumberFormat="1" applyFont="1" applyAlignment="1">
      <alignment horizontal="center" vertical="top" wrapText="1"/>
    </xf>
    <xf numFmtId="1" fontId="0" fillId="0" borderId="30" xfId="0" applyNumberFormat="1" applyBorder="1" applyAlignment="1">
      <alignment horizontal="center"/>
    </xf>
    <xf numFmtId="0" fontId="91" fillId="0" borderId="0" xfId="0" applyFont="1" applyAlignment="1">
      <alignment horizontal="center"/>
    </xf>
    <xf numFmtId="165" fontId="65" fillId="0" borderId="157" xfId="0" applyNumberFormat="1" applyFont="1" applyBorder="1" applyAlignment="1">
      <alignment vertical="center"/>
    </xf>
    <xf numFmtId="0" fontId="19" fillId="0" borderId="2" xfId="0" applyFont="1" applyBorder="1" applyAlignment="1">
      <alignment vertical="center"/>
    </xf>
    <xf numFmtId="0" fontId="20" fillId="0" borderId="152" xfId="0" applyFont="1" applyBorder="1"/>
    <xf numFmtId="1" fontId="13" fillId="0" borderId="152" xfId="0" applyNumberFormat="1" applyFont="1" applyBorder="1" applyAlignment="1">
      <alignment horizontal="center" vertical="top" wrapText="1"/>
    </xf>
    <xf numFmtId="165" fontId="13" fillId="0" borderId="0" xfId="0" applyNumberFormat="1" applyFont="1" applyAlignment="1">
      <alignment vertical="center" wrapText="1"/>
    </xf>
    <xf numFmtId="0" fontId="13" fillId="0" borderId="3" xfId="0" applyFont="1" applyBorder="1" applyAlignment="1">
      <alignment wrapText="1"/>
    </xf>
    <xf numFmtId="0" fontId="13" fillId="0" borderId="8" xfId="0" applyFont="1" applyBorder="1" applyAlignment="1">
      <alignment wrapText="1"/>
    </xf>
    <xf numFmtId="0" fontId="13" fillId="0" borderId="6" xfId="0" applyFont="1" applyBorder="1" applyAlignment="1">
      <alignment wrapText="1"/>
    </xf>
    <xf numFmtId="0" fontId="13" fillId="0" borderId="23" xfId="0" applyFont="1" applyBorder="1" applyAlignment="1">
      <alignment wrapText="1"/>
    </xf>
    <xf numFmtId="0" fontId="29" fillId="0" borderId="158" xfId="0" applyFont="1" applyBorder="1" applyAlignment="1">
      <alignment horizontal="left" vertical="center"/>
    </xf>
    <xf numFmtId="0" fontId="13" fillId="0" borderId="51" xfId="0" applyFont="1" applyBorder="1" applyAlignment="1">
      <alignment horizontal="center" vertical="center" textRotation="90" wrapText="1"/>
    </xf>
    <xf numFmtId="0" fontId="13" fillId="0" borderId="10" xfId="0" applyFont="1" applyBorder="1" applyAlignment="1">
      <alignment horizontal="center" vertical="center" textRotation="90" wrapText="1"/>
    </xf>
    <xf numFmtId="0" fontId="13" fillId="0" borderId="8" xfId="4" applyFont="1" applyBorder="1" applyAlignment="1">
      <alignment horizontal="center" vertical="center"/>
    </xf>
    <xf numFmtId="0" fontId="13" fillId="0" borderId="9" xfId="4" applyFont="1" applyBorder="1" applyAlignment="1">
      <alignment horizontal="center" vertical="center"/>
    </xf>
    <xf numFmtId="165" fontId="13" fillId="0" borderId="9" xfId="4" applyNumberFormat="1" applyFont="1" applyBorder="1" applyAlignment="1">
      <alignment horizontal="center" vertical="center"/>
    </xf>
    <xf numFmtId="0" fontId="13" fillId="0" borderId="10" xfId="4" applyFont="1" applyBorder="1" applyAlignment="1">
      <alignment horizontal="center" vertical="center"/>
    </xf>
    <xf numFmtId="0" fontId="13" fillId="0" borderId="74" xfId="4" applyFont="1" applyBorder="1" applyAlignment="1">
      <alignment horizontal="center" vertical="center"/>
    </xf>
    <xf numFmtId="0" fontId="13" fillId="0" borderId="75" xfId="4" applyFont="1" applyBorder="1" applyAlignment="1">
      <alignment horizontal="center" vertical="center"/>
    </xf>
    <xf numFmtId="165" fontId="13" fillId="0" borderId="75" xfId="4" applyNumberFormat="1" applyFont="1" applyBorder="1" applyAlignment="1">
      <alignment horizontal="center" vertical="center"/>
    </xf>
    <xf numFmtId="165" fontId="13" fillId="0" borderId="131" xfId="4" applyNumberFormat="1" applyFont="1" applyBorder="1" applyAlignment="1">
      <alignment horizontal="center" vertical="center"/>
    </xf>
    <xf numFmtId="1" fontId="13" fillId="0" borderId="9" xfId="4" applyNumberFormat="1" applyFont="1" applyBorder="1" applyAlignment="1">
      <alignment horizontal="center" vertical="center"/>
    </xf>
    <xf numFmtId="165" fontId="13" fillId="0" borderId="10" xfId="4" applyNumberFormat="1" applyFont="1" applyBorder="1" applyAlignment="1">
      <alignment horizontal="center" vertical="center"/>
    </xf>
    <xf numFmtId="1" fontId="13" fillId="0" borderId="10" xfId="4" applyNumberFormat="1" applyFont="1" applyBorder="1" applyAlignment="1">
      <alignment horizontal="center" vertical="center"/>
    </xf>
    <xf numFmtId="165" fontId="13" fillId="0" borderId="8" xfId="4" applyNumberFormat="1" applyFont="1" applyBorder="1" applyAlignment="1">
      <alignment horizontal="center" vertical="center"/>
    </xf>
    <xf numFmtId="0" fontId="13" fillId="0" borderId="0" xfId="4" applyFont="1" applyAlignment="1">
      <alignment vertical="center"/>
    </xf>
    <xf numFmtId="0" fontId="13" fillId="0" borderId="7" xfId="4" applyFont="1" applyBorder="1" applyAlignment="1">
      <alignment horizontal="center" vertical="center"/>
    </xf>
    <xf numFmtId="165" fontId="13" fillId="0" borderId="159" xfId="0" applyNumberFormat="1" applyFont="1" applyBorder="1" applyAlignment="1">
      <alignment horizontal="center" vertical="center"/>
    </xf>
    <xf numFmtId="0" fontId="13" fillId="0" borderId="160" xfId="4" applyFont="1" applyBorder="1" applyAlignment="1">
      <alignment horizontal="center" vertical="center"/>
    </xf>
    <xf numFmtId="0" fontId="13" fillId="0" borderId="0" xfId="33" applyFont="1"/>
    <xf numFmtId="0" fontId="124" fillId="0" borderId="0" xfId="34" applyFont="1"/>
    <xf numFmtId="0" fontId="124" fillId="0" borderId="0" xfId="34" applyFont="1" applyAlignment="1">
      <alignment vertical="top"/>
    </xf>
    <xf numFmtId="0" fontId="72" fillId="0" borderId="0" xfId="0" applyFont="1" applyAlignment="1">
      <alignment vertical="center" wrapText="1" readingOrder="1"/>
    </xf>
    <xf numFmtId="165" fontId="0" fillId="0" borderId="0" xfId="0" applyNumberFormat="1"/>
    <xf numFmtId="0" fontId="98" fillId="0" borderId="0" xfId="0" applyFont="1"/>
    <xf numFmtId="0" fontId="88" fillId="0" borderId="0" xfId="3" applyFont="1" applyAlignment="1">
      <alignment horizontal="center"/>
    </xf>
    <xf numFmtId="165" fontId="13" fillId="0" borderId="153" xfId="0" applyNumberFormat="1" applyFont="1" applyBorder="1" applyAlignment="1">
      <alignment vertical="top" wrapText="1"/>
    </xf>
    <xf numFmtId="165" fontId="13" fillId="0" borderId="10" xfId="0" applyNumberFormat="1" applyFont="1" applyBorder="1" applyAlignment="1">
      <alignment vertical="center" wrapText="1"/>
    </xf>
    <xf numFmtId="1" fontId="13" fillId="5" borderId="0" xfId="3" applyNumberFormat="1" applyFill="1"/>
    <xf numFmtId="1" fontId="20" fillId="5" borderId="0" xfId="3" applyNumberFormat="1" applyFont="1" applyFill="1"/>
    <xf numFmtId="165" fontId="125" fillId="5" borderId="0" xfId="3" applyNumberFormat="1" applyFont="1" applyFill="1"/>
    <xf numFmtId="0" fontId="20" fillId="0" borderId="161" xfId="0" applyFont="1" applyBorder="1" applyAlignment="1">
      <alignment vertical="center"/>
    </xf>
    <xf numFmtId="0" fontId="13" fillId="0" borderId="0" xfId="35" applyAlignment="1">
      <alignment horizontal="left" vertical="top" wrapText="1"/>
    </xf>
    <xf numFmtId="0" fontId="127" fillId="0" borderId="0" xfId="33" applyFont="1" applyAlignment="1">
      <alignment vertical="top" wrapText="1"/>
    </xf>
    <xf numFmtId="0" fontId="127" fillId="0" borderId="0" xfId="35" applyFont="1" applyAlignment="1">
      <alignment vertical="top" wrapText="1"/>
    </xf>
    <xf numFmtId="0" fontId="13" fillId="0" borderId="0" xfId="35" applyAlignment="1">
      <alignment vertical="top" wrapText="1"/>
    </xf>
    <xf numFmtId="0" fontId="92" fillId="0" borderId="0" xfId="34" applyFont="1" applyAlignment="1">
      <alignment vertical="top" wrapText="1"/>
    </xf>
    <xf numFmtId="165" fontId="13" fillId="0" borderId="0" xfId="35" applyNumberFormat="1" applyAlignment="1">
      <alignment horizontal="left" vertical="top" wrapText="1"/>
    </xf>
    <xf numFmtId="0" fontId="13" fillId="0" borderId="0" xfId="35" quotePrefix="1" applyAlignment="1">
      <alignment vertical="top" wrapText="1"/>
    </xf>
    <xf numFmtId="0" fontId="93" fillId="0" borderId="0" xfId="35" quotePrefix="1" applyFont="1" applyAlignment="1">
      <alignment vertical="top" wrapText="1"/>
    </xf>
    <xf numFmtId="0" fontId="93" fillId="0" borderId="0" xfId="34" quotePrefix="1" applyFont="1" applyAlignment="1">
      <alignment vertical="top" wrapText="1"/>
    </xf>
    <xf numFmtId="0" fontId="13" fillId="0" borderId="0" xfId="34" applyFont="1" applyAlignment="1">
      <alignment vertical="top" wrapText="1"/>
    </xf>
    <xf numFmtId="0" fontId="29" fillId="0" borderId="0" xfId="35" applyFont="1" applyAlignment="1">
      <alignment horizontal="left" vertical="top" wrapText="1"/>
    </xf>
    <xf numFmtId="0" fontId="29" fillId="0" borderId="0" xfId="35" applyFont="1" applyAlignment="1">
      <alignment vertical="top" wrapText="1"/>
    </xf>
    <xf numFmtId="0" fontId="93" fillId="0" borderId="0" xfId="0" applyFont="1" applyAlignment="1">
      <alignment vertical="center"/>
    </xf>
    <xf numFmtId="0" fontId="13" fillId="0" borderId="0" xfId="35"/>
    <xf numFmtId="0" fontId="129" fillId="0" borderId="0" xfId="34" applyFont="1" applyAlignment="1">
      <alignment vertical="top" wrapText="1"/>
    </xf>
    <xf numFmtId="0" fontId="129" fillId="0" borderId="0" xfId="33" applyFont="1" applyAlignment="1">
      <alignment vertical="top" wrapText="1"/>
    </xf>
    <xf numFmtId="0" fontId="72" fillId="0" borderId="0" xfId="0" applyFont="1" applyAlignment="1">
      <alignment vertical="center" readingOrder="1"/>
    </xf>
    <xf numFmtId="0" fontId="127" fillId="0" borderId="0" xfId="33" quotePrefix="1" applyFont="1" applyAlignment="1">
      <alignment vertical="top" wrapText="1"/>
    </xf>
    <xf numFmtId="0" fontId="13" fillId="0" borderId="162" xfId="0" applyFont="1" applyBorder="1" applyAlignment="1">
      <alignment vertical="center"/>
    </xf>
    <xf numFmtId="0" fontId="73" fillId="0" borderId="152" xfId="3" applyFont="1" applyBorder="1"/>
    <xf numFmtId="0" fontId="73" fillId="0" borderId="147" xfId="3" applyFont="1" applyBorder="1"/>
    <xf numFmtId="0" fontId="73" fillId="0" borderId="153" xfId="3" applyFont="1" applyBorder="1"/>
    <xf numFmtId="165" fontId="73" fillId="0" borderId="7" xfId="3" applyNumberFormat="1" applyFont="1" applyBorder="1"/>
    <xf numFmtId="0" fontId="130" fillId="0" borderId="6" xfId="3" applyFont="1" applyBorder="1"/>
    <xf numFmtId="0" fontId="130" fillId="0" borderId="0" xfId="3" applyFont="1"/>
    <xf numFmtId="165" fontId="130" fillId="0" borderId="0" xfId="3" applyNumberFormat="1" applyFont="1"/>
    <xf numFmtId="165" fontId="130" fillId="0" borderId="7" xfId="3" applyNumberFormat="1" applyFont="1" applyBorder="1"/>
    <xf numFmtId="165" fontId="73" fillId="0" borderId="9" xfId="3" applyNumberFormat="1" applyFont="1" applyBorder="1"/>
    <xf numFmtId="165" fontId="73" fillId="0" borderId="10" xfId="3" applyNumberFormat="1" applyFont="1" applyBorder="1"/>
    <xf numFmtId="173" fontId="0" fillId="0" borderId="0" xfId="0" applyNumberFormat="1" applyAlignment="1">
      <alignment horizontal="center"/>
    </xf>
    <xf numFmtId="190" fontId="13" fillId="0" borderId="0" xfId="3" applyNumberFormat="1" applyAlignment="1">
      <alignment horizontal="center"/>
    </xf>
    <xf numFmtId="173" fontId="13" fillId="0" borderId="0" xfId="3" applyNumberFormat="1" applyAlignment="1">
      <alignment horizontal="center"/>
    </xf>
    <xf numFmtId="1" fontId="117" fillId="0" borderId="0" xfId="0" applyNumberFormat="1" applyFont="1" applyAlignment="1">
      <alignment horizontal="center"/>
    </xf>
    <xf numFmtId="2" fontId="117" fillId="0" borderId="0" xfId="3" applyNumberFormat="1" applyFont="1" applyAlignment="1">
      <alignment horizontal="center"/>
    </xf>
    <xf numFmtId="165" fontId="0" fillId="44" borderId="0" xfId="0" applyNumberFormat="1" applyFill="1" applyAlignment="1">
      <alignment horizontal="center"/>
    </xf>
    <xf numFmtId="0" fontId="91" fillId="0" borderId="0" xfId="0" applyFont="1" applyAlignment="1" applyProtection="1">
      <alignment horizontal="left"/>
      <protection locked="0"/>
    </xf>
    <xf numFmtId="0" fontId="2" fillId="0" borderId="0" xfId="36" applyFont="1"/>
    <xf numFmtId="0" fontId="23" fillId="0" borderId="11" xfId="0" applyFont="1" applyBorder="1" applyAlignment="1">
      <alignment horizontal="right" vertical="center"/>
    </xf>
    <xf numFmtId="0" fontId="15" fillId="0" borderId="11" xfId="0" applyFont="1" applyBorder="1" applyAlignment="1">
      <alignment horizontal="right" vertical="center"/>
    </xf>
    <xf numFmtId="168" fontId="13" fillId="0" borderId="164" xfId="0" applyNumberFormat="1" applyFont="1" applyBorder="1" applyAlignment="1">
      <alignment horizontal="right" vertical="center"/>
    </xf>
    <xf numFmtId="0" fontId="27" fillId="6" borderId="165" xfId="0" applyFont="1" applyFill="1" applyBorder="1"/>
    <xf numFmtId="179" fontId="24" fillId="0" borderId="164" xfId="0" applyNumberFormat="1" applyFont="1" applyBorder="1"/>
    <xf numFmtId="165" fontId="13" fillId="0" borderId="164" xfId="0" applyNumberFormat="1" applyFont="1" applyBorder="1" applyAlignment="1">
      <alignment horizontal="right" vertical="center"/>
    </xf>
    <xf numFmtId="165" fontId="20" fillId="0" borderId="166" xfId="0" applyNumberFormat="1" applyFont="1" applyBorder="1" applyAlignment="1">
      <alignment horizontal="right" vertical="center"/>
    </xf>
    <xf numFmtId="1" fontId="20" fillId="0" borderId="166" xfId="0" applyNumberFormat="1" applyFont="1" applyBorder="1" applyAlignment="1">
      <alignment horizontal="right" vertical="center"/>
    </xf>
    <xf numFmtId="0" fontId="13" fillId="0" borderId="164" xfId="0" applyFont="1" applyBorder="1" applyAlignment="1">
      <alignment horizontal="right" vertical="center"/>
    </xf>
    <xf numFmtId="165" fontId="60" fillId="6" borderId="165" xfId="0" applyNumberFormat="1" applyFont="1" applyFill="1" applyBorder="1" applyAlignment="1">
      <alignment horizontal="center" vertical="center"/>
    </xf>
    <xf numFmtId="165" fontId="20" fillId="0" borderId="164" xfId="0" applyNumberFormat="1" applyFont="1" applyBorder="1" applyAlignment="1">
      <alignment horizontal="right" vertical="center"/>
    </xf>
    <xf numFmtId="165" fontId="13" fillId="0" borderId="167" xfId="0" applyNumberFormat="1" applyFont="1" applyBorder="1" applyAlignment="1">
      <alignment vertical="center"/>
    </xf>
    <xf numFmtId="165" fontId="13" fillId="0" borderId="163" xfId="0" applyNumberFormat="1" applyFont="1" applyBorder="1" applyAlignment="1">
      <alignment horizontal="right" vertical="center"/>
    </xf>
    <xf numFmtId="1" fontId="13" fillId="0" borderId="163" xfId="0" applyNumberFormat="1" applyFont="1" applyBorder="1" applyAlignment="1">
      <alignment vertical="center"/>
    </xf>
    <xf numFmtId="1" fontId="13" fillId="0" borderId="163" xfId="0" applyNumberFormat="1" applyFont="1" applyBorder="1" applyAlignment="1">
      <alignment horizontal="right" vertical="center"/>
    </xf>
    <xf numFmtId="2" fontId="13" fillId="0" borderId="167" xfId="0" applyNumberFormat="1" applyFont="1" applyBorder="1" applyAlignment="1">
      <alignment horizontal="right" vertical="center"/>
    </xf>
    <xf numFmtId="2" fontId="13" fillId="0" borderId="163" xfId="0" applyNumberFormat="1" applyFont="1" applyBorder="1" applyAlignment="1">
      <alignment horizontal="right" vertical="center"/>
    </xf>
    <xf numFmtId="1" fontId="13" fillId="0" borderId="167" xfId="0" applyNumberFormat="1" applyFont="1" applyBorder="1" applyAlignment="1">
      <alignment vertical="center"/>
    </xf>
    <xf numFmtId="165" fontId="27" fillId="6" borderId="168" xfId="0" applyNumberFormat="1" applyFont="1" applyFill="1" applyBorder="1" applyAlignment="1">
      <alignment horizontal="right"/>
    </xf>
    <xf numFmtId="0" fontId="15" fillId="0" borderId="169" xfId="0" applyFont="1" applyBorder="1" applyAlignment="1">
      <alignment horizontal="right"/>
    </xf>
    <xf numFmtId="0" fontId="15" fillId="0" borderId="170" xfId="0" applyFont="1" applyBorder="1" applyAlignment="1">
      <alignment horizontal="right"/>
    </xf>
    <xf numFmtId="165" fontId="13" fillId="0" borderId="167" xfId="0" applyNumberFormat="1" applyFont="1" applyBorder="1" applyAlignment="1">
      <alignment horizontal="right" vertical="center"/>
    </xf>
    <xf numFmtId="1" fontId="13" fillId="0" borderId="167" xfId="0" applyNumberFormat="1" applyFont="1" applyBorder="1" applyAlignment="1">
      <alignment horizontal="right" vertical="center"/>
    </xf>
    <xf numFmtId="2" fontId="13" fillId="0" borderId="169" xfId="0" applyNumberFormat="1" applyFont="1" applyBorder="1" applyAlignment="1">
      <alignment vertical="center"/>
    </xf>
    <xf numFmtId="1" fontId="20" fillId="0" borderId="169" xfId="0" applyNumberFormat="1" applyFont="1" applyBorder="1" applyAlignment="1">
      <alignment vertical="center"/>
    </xf>
    <xf numFmtId="1" fontId="20" fillId="0" borderId="167" xfId="0" applyNumberFormat="1" applyFont="1" applyBorder="1" applyAlignment="1">
      <alignment horizontal="right" vertical="center"/>
    </xf>
    <xf numFmtId="165" fontId="13" fillId="0" borderId="171" xfId="0" applyNumberFormat="1" applyFont="1" applyBorder="1" applyAlignment="1">
      <alignment horizontal="right" vertical="center"/>
    </xf>
    <xf numFmtId="165" fontId="27" fillId="6" borderId="168" xfId="0" applyNumberFormat="1" applyFont="1" applyFill="1" applyBorder="1"/>
    <xf numFmtId="0" fontId="15" fillId="0" borderId="167" xfId="0" applyFont="1" applyBorder="1" applyAlignment="1">
      <alignment horizontal="right"/>
    </xf>
    <xf numFmtId="0" fontId="13" fillId="0" borderId="167" xfId="0" applyFont="1" applyBorder="1" applyAlignment="1">
      <alignment horizontal="right"/>
    </xf>
    <xf numFmtId="165" fontId="20" fillId="0" borderId="167" xfId="0" applyNumberFormat="1" applyFont="1" applyBorder="1" applyAlignment="1">
      <alignment horizontal="right" vertical="center"/>
    </xf>
    <xf numFmtId="165" fontId="20" fillId="0" borderId="171" xfId="0" applyNumberFormat="1" applyFont="1" applyBorder="1" applyAlignment="1">
      <alignment horizontal="right" vertical="center"/>
    </xf>
    <xf numFmtId="1" fontId="20" fillId="0" borderId="171" xfId="0" applyNumberFormat="1" applyFont="1" applyBorder="1" applyAlignment="1">
      <alignment horizontal="right" vertical="center"/>
    </xf>
    <xf numFmtId="165" fontId="27" fillId="6" borderId="172" xfId="0" applyNumberFormat="1" applyFont="1" applyFill="1" applyBorder="1" applyAlignment="1">
      <alignment horizontal="right"/>
    </xf>
    <xf numFmtId="1" fontId="13" fillId="0" borderId="173" xfId="0" applyNumberFormat="1" applyFont="1" applyBorder="1" applyAlignment="1">
      <alignment horizontal="right" vertical="center"/>
    </xf>
    <xf numFmtId="165" fontId="29" fillId="0" borderId="167" xfId="0" applyNumberFormat="1" applyFont="1" applyBorder="1" applyAlignment="1">
      <alignment horizontal="right" vertical="center"/>
    </xf>
    <xf numFmtId="0" fontId="15" fillId="6" borderId="168" xfId="0" applyFont="1" applyFill="1" applyBorder="1"/>
    <xf numFmtId="165" fontId="39" fillId="6" borderId="163" xfId="0" applyNumberFormat="1" applyFont="1" applyFill="1" applyBorder="1" applyAlignment="1">
      <alignment horizontal="right" vertical="center"/>
    </xf>
    <xf numFmtId="165" fontId="60" fillId="6" borderId="168" xfId="0" applyNumberFormat="1" applyFont="1" applyFill="1" applyBorder="1" applyAlignment="1">
      <alignment horizontal="center" vertical="center"/>
    </xf>
    <xf numFmtId="165" fontId="13" fillId="6" borderId="168" xfId="0" applyNumberFormat="1" applyFont="1" applyFill="1" applyBorder="1" applyAlignment="1">
      <alignment horizontal="right"/>
    </xf>
    <xf numFmtId="165" fontId="20" fillId="0" borderId="173" xfId="0" applyNumberFormat="1" applyFont="1" applyBorder="1" applyAlignment="1">
      <alignment vertical="center"/>
    </xf>
    <xf numFmtId="165" fontId="13" fillId="6" borderId="172" xfId="0" applyNumberFormat="1" applyFont="1" applyFill="1" applyBorder="1" applyAlignment="1">
      <alignment horizontal="right"/>
    </xf>
    <xf numFmtId="165" fontId="13" fillId="0" borderId="167" xfId="0" applyNumberFormat="1" applyFont="1" applyBorder="1" applyAlignment="1">
      <alignment horizontal="right"/>
    </xf>
    <xf numFmtId="1" fontId="13" fillId="0" borderId="167" xfId="0" applyNumberFormat="1" applyFont="1" applyBorder="1" applyAlignment="1">
      <alignment horizontal="right"/>
    </xf>
    <xf numFmtId="165" fontId="20" fillId="0" borderId="167" xfId="0" applyNumberFormat="1" applyFont="1" applyBorder="1" applyAlignment="1">
      <alignment horizontal="right"/>
    </xf>
    <xf numFmtId="2" fontId="20" fillId="0" borderId="174" xfId="0" applyNumberFormat="1" applyFont="1" applyBorder="1" applyAlignment="1">
      <alignment vertical="center"/>
    </xf>
    <xf numFmtId="165" fontId="20" fillId="0" borderId="174" xfId="0" applyNumberFormat="1" applyFont="1" applyBorder="1" applyAlignment="1">
      <alignment vertical="center"/>
    </xf>
    <xf numFmtId="165" fontId="20" fillId="0" borderId="174" xfId="0" applyNumberFormat="1" applyFont="1" applyBorder="1" applyAlignment="1">
      <alignment horizontal="right" vertical="center"/>
    </xf>
    <xf numFmtId="0" fontId="29" fillId="0" borderId="163" xfId="0" applyFont="1" applyBorder="1" applyAlignment="1">
      <alignment vertical="center"/>
    </xf>
    <xf numFmtId="165" fontId="13" fillId="0" borderId="163" xfId="0" applyNumberFormat="1" applyFont="1" applyBorder="1" applyAlignment="1">
      <alignment vertical="center"/>
    </xf>
    <xf numFmtId="0" fontId="13" fillId="0" borderId="136" xfId="0" applyFont="1" applyBorder="1" applyAlignment="1">
      <alignment vertical="center"/>
    </xf>
    <xf numFmtId="1" fontId="13" fillId="44" borderId="2" xfId="0" applyNumberFormat="1" applyFont="1" applyFill="1" applyBorder="1" applyAlignment="1" applyProtection="1">
      <alignment horizontal="right" vertical="center"/>
      <protection locked="0"/>
    </xf>
    <xf numFmtId="1" fontId="29" fillId="44" borderId="2" xfId="0" applyNumberFormat="1" applyFont="1" applyFill="1" applyBorder="1" applyAlignment="1" applyProtection="1">
      <alignment horizontal="right" vertical="center"/>
      <protection locked="0"/>
    </xf>
    <xf numFmtId="165" fontId="29" fillId="44" borderId="2" xfId="0" applyNumberFormat="1" applyFont="1" applyFill="1" applyBorder="1" applyAlignment="1" applyProtection="1">
      <alignment horizontal="right" vertical="center"/>
      <protection locked="0"/>
    </xf>
    <xf numFmtId="0" fontId="131" fillId="0" borderId="0" xfId="3" applyFont="1"/>
    <xf numFmtId="0" fontId="96" fillId="6" borderId="24" xfId="0" applyFont="1" applyFill="1" applyBorder="1" applyAlignment="1" applyProtection="1">
      <alignment vertical="center"/>
      <protection locked="0"/>
    </xf>
    <xf numFmtId="0" fontId="13" fillId="44" borderId="0" xfId="3" applyFill="1" applyAlignment="1" applyProtection="1">
      <alignment horizontal="center"/>
      <protection locked="0"/>
    </xf>
    <xf numFmtId="0" fontId="0" fillId="0" borderId="0" xfId="35" applyFont="1" applyAlignment="1">
      <alignment vertical="top" wrapText="1"/>
    </xf>
    <xf numFmtId="0" fontId="89" fillId="0" borderId="0" xfId="34" quotePrefix="1" applyFont="1" applyAlignment="1">
      <alignment vertical="top" wrapText="1"/>
    </xf>
    <xf numFmtId="0" fontId="0" fillId="0" borderId="0" xfId="35" quotePrefix="1" applyFont="1" applyAlignment="1">
      <alignment vertical="top" wrapText="1"/>
    </xf>
    <xf numFmtId="0" fontId="20" fillId="0" borderId="0" xfId="33" applyFont="1" applyAlignment="1">
      <alignment vertical="top" wrapText="1"/>
    </xf>
    <xf numFmtId="0" fontId="20" fillId="0" borderId="0" xfId="33" applyFont="1" applyAlignment="1">
      <alignment vertical="top"/>
    </xf>
    <xf numFmtId="0" fontId="20" fillId="0" borderId="0" xfId="34" applyFont="1" applyAlignment="1">
      <alignment vertical="top"/>
    </xf>
    <xf numFmtId="0" fontId="29" fillId="44" borderId="0" xfId="0" applyFont="1" applyFill="1" applyAlignment="1" applyProtection="1">
      <alignment horizontal="center" vertical="center"/>
      <protection locked="0"/>
    </xf>
    <xf numFmtId="165" fontId="98" fillId="0" borderId="0" xfId="0" applyNumberFormat="1" applyFont="1"/>
    <xf numFmtId="165" fontId="98" fillId="0" borderId="0" xfId="0" applyNumberFormat="1" applyFont="1" applyAlignment="1">
      <alignment horizontal="right"/>
    </xf>
    <xf numFmtId="0" fontId="98" fillId="0" borderId="0" xfId="0" applyFont="1" applyAlignment="1">
      <alignment horizontal="right"/>
    </xf>
    <xf numFmtId="0" fontId="81" fillId="0" borderId="0" xfId="0" applyFont="1"/>
    <xf numFmtId="0" fontId="87" fillId="0" borderId="0" xfId="0" applyFont="1"/>
    <xf numFmtId="0" fontId="87" fillId="0" borderId="0" xfId="0" applyFont="1" applyAlignment="1">
      <alignment horizontal="left" vertical="top" wrapText="1"/>
    </xf>
    <xf numFmtId="0" fontId="93" fillId="7" borderId="0" xfId="3" applyFont="1" applyFill="1"/>
    <xf numFmtId="2" fontId="13" fillId="7" borderId="0" xfId="3" applyNumberFormat="1" applyFill="1"/>
    <xf numFmtId="0" fontId="0" fillId="44" borderId="0" xfId="0" applyFill="1"/>
    <xf numFmtId="165" fontId="93" fillId="0" borderId="0" xfId="0" applyNumberFormat="1" applyFont="1" applyAlignment="1">
      <alignment horizontal="right" vertical="center"/>
    </xf>
    <xf numFmtId="165" fontId="93" fillId="0" borderId="0" xfId="0" applyNumberFormat="1" applyFont="1" applyAlignment="1">
      <alignment vertical="center"/>
    </xf>
    <xf numFmtId="1" fontId="93" fillId="0" borderId="147" xfId="0" applyNumberFormat="1" applyFont="1" applyBorder="1" applyAlignment="1">
      <alignment vertical="top" wrapText="1"/>
    </xf>
    <xf numFmtId="1" fontId="93" fillId="0" borderId="9" xfId="0" applyNumberFormat="1" applyFont="1" applyBorder="1" applyAlignment="1">
      <alignment vertical="top" wrapText="1"/>
    </xf>
    <xf numFmtId="1" fontId="93" fillId="0" borderId="0" xfId="0" applyNumberFormat="1" applyFont="1" applyAlignment="1">
      <alignment vertical="top" wrapText="1"/>
    </xf>
    <xf numFmtId="1" fontId="93" fillId="0" borderId="147" xfId="0" applyNumberFormat="1" applyFont="1" applyBorder="1"/>
    <xf numFmtId="1" fontId="93" fillId="0" borderId="9" xfId="0" applyNumberFormat="1" applyFont="1" applyBorder="1"/>
    <xf numFmtId="1" fontId="93" fillId="0" borderId="175" xfId="0" applyNumberFormat="1" applyFont="1" applyBorder="1"/>
    <xf numFmtId="1" fontId="93" fillId="0" borderId="9" xfId="0" applyNumberFormat="1" applyFont="1" applyBorder="1" applyAlignment="1">
      <alignment vertical="center"/>
    </xf>
    <xf numFmtId="0" fontId="93" fillId="0" borderId="3" xfId="0" applyFont="1" applyBorder="1" applyAlignment="1">
      <alignment vertical="top" wrapText="1"/>
    </xf>
    <xf numFmtId="165" fontId="93" fillId="0" borderId="4" xfId="0" applyNumberFormat="1" applyFont="1" applyBorder="1" applyAlignment="1">
      <alignment vertical="top" wrapText="1"/>
    </xf>
    <xf numFmtId="0" fontId="93" fillId="0" borderId="8" xfId="0" applyFont="1" applyBorder="1" applyAlignment="1">
      <alignment vertical="top" wrapText="1"/>
    </xf>
    <xf numFmtId="165" fontId="93" fillId="0" borderId="9" xfId="0" applyNumberFormat="1" applyFont="1" applyBorder="1" applyAlignment="1">
      <alignment vertical="top" wrapText="1"/>
    </xf>
    <xf numFmtId="0" fontId="93" fillId="0" borderId="9" xfId="0" applyFont="1" applyBorder="1" applyAlignment="1">
      <alignment vertical="top" wrapText="1"/>
    </xf>
    <xf numFmtId="0" fontId="93" fillId="0" borderId="6" xfId="0" applyFont="1" applyBorder="1"/>
    <xf numFmtId="0" fontId="93" fillId="0" borderId="8" xfId="0" applyFont="1" applyBorder="1"/>
    <xf numFmtId="0" fontId="93" fillId="0" borderId="23" xfId="0" applyFont="1" applyBorder="1"/>
    <xf numFmtId="165" fontId="93" fillId="0" borderId="24" xfId="0" applyNumberFormat="1" applyFont="1" applyBorder="1"/>
    <xf numFmtId="165" fontId="93" fillId="0" borderId="9" xfId="0" applyNumberFormat="1" applyFont="1" applyBorder="1"/>
    <xf numFmtId="0" fontId="93" fillId="0" borderId="6" xfId="0" applyFont="1" applyBorder="1" applyAlignment="1">
      <alignment vertical="top" wrapText="1"/>
    </xf>
    <xf numFmtId="2" fontId="93" fillId="0" borderId="9" xfId="0" applyNumberFormat="1" applyFont="1" applyBorder="1" applyAlignment="1">
      <alignment vertical="top" wrapText="1"/>
    </xf>
    <xf numFmtId="165" fontId="93" fillId="0" borderId="4" xfId="0" applyNumberFormat="1" applyFont="1" applyBorder="1"/>
    <xf numFmtId="165" fontId="93" fillId="0" borderId="0" xfId="0" applyNumberFormat="1" applyFont="1" applyAlignment="1">
      <alignment vertical="top" wrapText="1"/>
    </xf>
    <xf numFmtId="165" fontId="93" fillId="0" borderId="9" xfId="0" applyNumberFormat="1" applyFont="1" applyBorder="1" applyAlignment="1">
      <alignment vertical="center"/>
    </xf>
    <xf numFmtId="1" fontId="93" fillId="0" borderId="25" xfId="0" applyNumberFormat="1" applyFont="1" applyBorder="1" applyAlignment="1">
      <alignment vertical="top" wrapText="1"/>
    </xf>
    <xf numFmtId="1" fontId="13" fillId="0" borderId="0" xfId="0" applyNumberFormat="1" applyFont="1" applyAlignment="1">
      <alignment horizontal="left" vertical="center"/>
    </xf>
    <xf numFmtId="165" fontId="15" fillId="0" borderId="0" xfId="0" applyNumberFormat="1" applyFont="1" applyAlignment="1">
      <alignment horizontal="right" vertical="center"/>
    </xf>
    <xf numFmtId="0" fontId="0" fillId="0" borderId="0" xfId="0" applyAlignment="1">
      <alignment horizontal="right" vertical="center"/>
    </xf>
    <xf numFmtId="173" fontId="15" fillId="0" borderId="0" xfId="0" applyNumberFormat="1" applyFont="1" applyAlignment="1">
      <alignment vertical="center"/>
    </xf>
    <xf numFmtId="165" fontId="20" fillId="0" borderId="14" xfId="0" applyNumberFormat="1" applyFont="1" applyBorder="1" applyAlignment="1">
      <alignment vertical="center"/>
    </xf>
    <xf numFmtId="173" fontId="93" fillId="0" borderId="0" xfId="0" applyNumberFormat="1" applyFont="1" applyAlignment="1">
      <alignment vertical="center"/>
    </xf>
    <xf numFmtId="173" fontId="13" fillId="0" borderId="0" xfId="4" applyNumberFormat="1" applyFont="1" applyAlignment="1">
      <alignment horizontal="center"/>
    </xf>
    <xf numFmtId="173" fontId="13" fillId="0" borderId="4" xfId="4" applyNumberFormat="1" applyFont="1" applyBorder="1" applyAlignment="1">
      <alignment horizontal="center"/>
    </xf>
    <xf numFmtId="173" fontId="13" fillId="0" borderId="9" xfId="4" applyNumberFormat="1" applyFont="1" applyBorder="1" applyAlignment="1">
      <alignment horizontal="center"/>
    </xf>
    <xf numFmtId="2" fontId="93" fillId="0" borderId="0" xfId="0" applyNumberFormat="1" applyFont="1" applyAlignment="1">
      <alignment vertical="top" wrapText="1"/>
    </xf>
    <xf numFmtId="165" fontId="13" fillId="0" borderId="152" xfId="0" applyNumberFormat="1" applyFont="1" applyBorder="1" applyAlignment="1">
      <alignment vertical="top" wrapText="1"/>
    </xf>
    <xf numFmtId="2" fontId="93" fillId="0" borderId="30" xfId="0" applyNumberFormat="1" applyFont="1" applyBorder="1" applyAlignment="1">
      <alignment horizontal="center"/>
    </xf>
    <xf numFmtId="0" fontId="13" fillId="5" borderId="177" xfId="3" applyFill="1" applyBorder="1"/>
    <xf numFmtId="165" fontId="13" fillId="0" borderId="178" xfId="3" applyNumberFormat="1" applyBorder="1" applyAlignment="1">
      <alignment horizontal="center"/>
    </xf>
    <xf numFmtId="165" fontId="13" fillId="5" borderId="178" xfId="3" applyNumberFormat="1" applyFill="1" applyBorder="1" applyAlignment="1">
      <alignment horizontal="center"/>
    </xf>
    <xf numFmtId="0" fontId="13" fillId="5" borderId="178" xfId="3" applyFill="1" applyBorder="1"/>
    <xf numFmtId="0" fontId="79" fillId="5" borderId="178" xfId="3" applyFont="1" applyFill="1" applyBorder="1"/>
    <xf numFmtId="0" fontId="79" fillId="0" borderId="178" xfId="3" applyFont="1" applyBorder="1"/>
    <xf numFmtId="0" fontId="20" fillId="0" borderId="178" xfId="3" applyFont="1" applyBorder="1"/>
    <xf numFmtId="0" fontId="13" fillId="0" borderId="178" xfId="3" applyBorder="1"/>
    <xf numFmtId="165" fontId="13" fillId="5" borderId="177" xfId="3" applyNumberFormat="1" applyFill="1" applyBorder="1" applyAlignment="1">
      <alignment horizontal="center"/>
    </xf>
    <xf numFmtId="165" fontId="13" fillId="0" borderId="177" xfId="3" applyNumberFormat="1" applyBorder="1" applyAlignment="1">
      <alignment horizontal="center"/>
    </xf>
    <xf numFmtId="0" fontId="21" fillId="0" borderId="178" xfId="3" applyFont="1" applyBorder="1" applyAlignment="1">
      <alignment horizontal="center"/>
    </xf>
    <xf numFmtId="0" fontId="21" fillId="0" borderId="0" xfId="3" applyFont="1" applyAlignment="1">
      <alignment horizontal="center"/>
    </xf>
    <xf numFmtId="0" fontId="21" fillId="0" borderId="177" xfId="3" applyFont="1" applyBorder="1" applyAlignment="1">
      <alignment horizontal="center"/>
    </xf>
    <xf numFmtId="0" fontId="13" fillId="0" borderId="178" xfId="3" applyBorder="1" applyAlignment="1">
      <alignment horizontal="center"/>
    </xf>
    <xf numFmtId="0" fontId="13" fillId="0" borderId="177" xfId="3" applyBorder="1" applyAlignment="1">
      <alignment horizontal="center"/>
    </xf>
    <xf numFmtId="2" fontId="13" fillId="0" borderId="178" xfId="3" applyNumberFormat="1" applyBorder="1" applyAlignment="1">
      <alignment horizontal="center"/>
    </xf>
    <xf numFmtId="2" fontId="13" fillId="0" borderId="177" xfId="3" applyNumberFormat="1" applyBorder="1" applyAlignment="1">
      <alignment horizontal="center"/>
    </xf>
    <xf numFmtId="165" fontId="21" fillId="0" borderId="178" xfId="3" applyNumberFormat="1" applyFont="1" applyBorder="1" applyAlignment="1">
      <alignment horizontal="center"/>
    </xf>
    <xf numFmtId="0" fontId="21" fillId="5" borderId="177" xfId="3" applyFont="1" applyFill="1" applyBorder="1"/>
    <xf numFmtId="1" fontId="13" fillId="0" borderId="178" xfId="3" applyNumberFormat="1" applyBorder="1" applyAlignment="1">
      <alignment horizontal="center"/>
    </xf>
    <xf numFmtId="1" fontId="13" fillId="5" borderId="178" xfId="3" applyNumberFormat="1" applyFill="1" applyBorder="1" applyAlignment="1">
      <alignment horizontal="center"/>
    </xf>
    <xf numFmtId="0" fontId="20" fillId="5" borderId="178" xfId="3" applyFont="1" applyFill="1" applyBorder="1"/>
    <xf numFmtId="0" fontId="20" fillId="11" borderId="182" xfId="3" applyFont="1" applyFill="1" applyBorder="1"/>
    <xf numFmtId="0" fontId="20" fillId="13" borderId="183" xfId="3" applyFont="1" applyFill="1" applyBorder="1"/>
    <xf numFmtId="0" fontId="13" fillId="7" borderId="182" xfId="3" applyFill="1" applyBorder="1" applyAlignment="1">
      <alignment horizontal="center"/>
    </xf>
    <xf numFmtId="0" fontId="13" fillId="7" borderId="175" xfId="3" applyFill="1" applyBorder="1" applyAlignment="1">
      <alignment horizontal="center"/>
    </xf>
    <xf numFmtId="0" fontId="13" fillId="7" borderId="183" xfId="3" applyFill="1" applyBorder="1" applyAlignment="1">
      <alignment horizontal="center"/>
    </xf>
    <xf numFmtId="0" fontId="13" fillId="7" borderId="182" xfId="3" applyFill="1" applyBorder="1"/>
    <xf numFmtId="0" fontId="13" fillId="7" borderId="183" xfId="3" applyFill="1" applyBorder="1"/>
    <xf numFmtId="0" fontId="20" fillId="19" borderId="178" xfId="3" applyFont="1" applyFill="1" applyBorder="1"/>
    <xf numFmtId="0" fontId="20" fillId="7" borderId="182" xfId="3" applyFont="1" applyFill="1" applyBorder="1"/>
    <xf numFmtId="0" fontId="13" fillId="0" borderId="177" xfId="3" applyBorder="1"/>
    <xf numFmtId="0" fontId="13" fillId="0" borderId="8" xfId="3" applyBorder="1"/>
    <xf numFmtId="0" fontId="13" fillId="0" borderId="10" xfId="3" applyBorder="1"/>
    <xf numFmtId="165" fontId="13" fillId="0" borderId="8" xfId="3" applyNumberFormat="1" applyBorder="1" applyAlignment="1">
      <alignment horizontal="center"/>
    </xf>
    <xf numFmtId="165" fontId="13" fillId="0" borderId="9" xfId="3" applyNumberFormat="1" applyBorder="1" applyAlignment="1">
      <alignment horizontal="center"/>
    </xf>
    <xf numFmtId="165" fontId="13" fillId="0" borderId="10" xfId="3" applyNumberFormat="1" applyBorder="1" applyAlignment="1">
      <alignment horizontal="center"/>
    </xf>
    <xf numFmtId="1" fontId="13" fillId="0" borderId="8" xfId="3" applyNumberFormat="1" applyBorder="1" applyAlignment="1">
      <alignment horizontal="center"/>
    </xf>
    <xf numFmtId="0" fontId="13" fillId="5" borderId="10" xfId="3" applyFill="1" applyBorder="1"/>
    <xf numFmtId="0" fontId="13" fillId="5" borderId="178" xfId="3" applyFill="1" applyBorder="1" applyAlignment="1">
      <alignment horizontal="left"/>
    </xf>
    <xf numFmtId="0" fontId="13" fillId="5" borderId="8" xfId="3" applyFill="1" applyBorder="1" applyAlignment="1">
      <alignment horizontal="left"/>
    </xf>
    <xf numFmtId="0" fontId="13" fillId="5" borderId="9" xfId="3" applyFill="1" applyBorder="1" applyAlignment="1">
      <alignment horizontal="center"/>
    </xf>
    <xf numFmtId="0" fontId="80" fillId="7" borderId="182" xfId="3" applyFont="1" applyFill="1" applyBorder="1" applyAlignment="1">
      <alignment horizontal="left"/>
    </xf>
    <xf numFmtId="0" fontId="13" fillId="5" borderId="177" xfId="3" applyFill="1" applyBorder="1" applyAlignment="1">
      <alignment horizontal="center"/>
    </xf>
    <xf numFmtId="0" fontId="13" fillId="5" borderId="10" xfId="3" applyFill="1" applyBorder="1" applyAlignment="1">
      <alignment horizontal="center"/>
    </xf>
    <xf numFmtId="0" fontId="13" fillId="5" borderId="178" xfId="3" applyFill="1" applyBorder="1" applyAlignment="1">
      <alignment horizontal="center"/>
    </xf>
    <xf numFmtId="0" fontId="125" fillId="5" borderId="180" xfId="3" applyFont="1" applyFill="1" applyBorder="1"/>
    <xf numFmtId="0" fontId="125" fillId="5" borderId="179" xfId="3" applyFont="1" applyFill="1" applyBorder="1"/>
    <xf numFmtId="165" fontId="125" fillId="5" borderId="180" xfId="3" applyNumberFormat="1" applyFont="1" applyFill="1" applyBorder="1" applyAlignment="1">
      <alignment horizontal="center"/>
    </xf>
    <xf numFmtId="165" fontId="125" fillId="5" borderId="176" xfId="3" applyNumberFormat="1" applyFont="1" applyFill="1" applyBorder="1" applyAlignment="1">
      <alignment horizontal="center"/>
    </xf>
    <xf numFmtId="165" fontId="125" fillId="5" borderId="179" xfId="3" applyNumberFormat="1" applyFont="1" applyFill="1" applyBorder="1" applyAlignment="1">
      <alignment horizontal="center"/>
    </xf>
    <xf numFmtId="1" fontId="125" fillId="5" borderId="180" xfId="3" applyNumberFormat="1" applyFont="1" applyFill="1" applyBorder="1" applyAlignment="1">
      <alignment horizontal="center"/>
    </xf>
    <xf numFmtId="0" fontId="133" fillId="5" borderId="179" xfId="3" applyFont="1" applyFill="1" applyBorder="1"/>
    <xf numFmtId="0" fontId="133" fillId="5" borderId="0" xfId="3" applyFont="1" applyFill="1"/>
    <xf numFmtId="0" fontId="125" fillId="5" borderId="8" xfId="3" applyFont="1" applyFill="1" applyBorder="1"/>
    <xf numFmtId="0" fontId="125" fillId="5" borderId="10" xfId="3" applyFont="1" applyFill="1" applyBorder="1"/>
    <xf numFmtId="165" fontId="125" fillId="5" borderId="8" xfId="3" applyNumberFormat="1" applyFont="1" applyFill="1" applyBorder="1" applyAlignment="1">
      <alignment horizontal="center"/>
    </xf>
    <xf numFmtId="165" fontId="125" fillId="5" borderId="9" xfId="3" applyNumberFormat="1" applyFont="1" applyFill="1" applyBorder="1" applyAlignment="1">
      <alignment horizontal="center"/>
    </xf>
    <xf numFmtId="165" fontId="125" fillId="5" borderId="10" xfId="3" applyNumberFormat="1" applyFont="1" applyFill="1" applyBorder="1" applyAlignment="1">
      <alignment horizontal="center"/>
    </xf>
    <xf numFmtId="0" fontId="20" fillId="0" borderId="183" xfId="3" applyFont="1" applyBorder="1"/>
    <xf numFmtId="1" fontId="13" fillId="5" borderId="177" xfId="3" applyNumberFormat="1" applyFill="1" applyBorder="1" applyAlignment="1">
      <alignment horizontal="center"/>
    </xf>
    <xf numFmtId="1" fontId="13" fillId="5" borderId="8" xfId="3" applyNumberFormat="1" applyFill="1" applyBorder="1" applyAlignment="1">
      <alignment horizontal="center"/>
    </xf>
    <xf numFmtId="1" fontId="13" fillId="5" borderId="9" xfId="3" applyNumberFormat="1" applyFill="1" applyBorder="1" applyAlignment="1">
      <alignment horizontal="center"/>
    </xf>
    <xf numFmtId="1" fontId="13" fillId="5" borderId="10" xfId="3" applyNumberFormat="1" applyFill="1" applyBorder="1" applyAlignment="1">
      <alignment horizontal="center"/>
    </xf>
    <xf numFmtId="0" fontId="13" fillId="7" borderId="181" xfId="3" applyFill="1" applyBorder="1"/>
    <xf numFmtId="0" fontId="13" fillId="5" borderId="27" xfId="3" applyFill="1" applyBorder="1"/>
    <xf numFmtId="165" fontId="13" fillId="5" borderId="27" xfId="3" applyNumberFormat="1" applyFill="1" applyBorder="1" applyAlignment="1">
      <alignment horizontal="center"/>
    </xf>
    <xf numFmtId="1" fontId="13" fillId="5" borderId="27" xfId="3" applyNumberFormat="1" applyFill="1" applyBorder="1" applyAlignment="1">
      <alignment horizontal="center"/>
    </xf>
    <xf numFmtId="1" fontId="13" fillId="5" borderId="28" xfId="3" applyNumberFormat="1" applyFill="1" applyBorder="1" applyAlignment="1">
      <alignment horizontal="center"/>
    </xf>
    <xf numFmtId="165" fontId="13" fillId="0" borderId="27" xfId="3" applyNumberFormat="1" applyBorder="1" applyAlignment="1">
      <alignment horizontal="center"/>
    </xf>
    <xf numFmtId="165" fontId="21" fillId="0" borderId="27" xfId="3" applyNumberFormat="1" applyFont="1" applyBorder="1" applyAlignment="1">
      <alignment horizontal="center"/>
    </xf>
    <xf numFmtId="2" fontId="13" fillId="0" borderId="27" xfId="3" applyNumberFormat="1" applyBorder="1" applyAlignment="1">
      <alignment horizontal="center"/>
    </xf>
    <xf numFmtId="1" fontId="13" fillId="0" borderId="27" xfId="3" applyNumberFormat="1" applyBorder="1" applyAlignment="1">
      <alignment horizontal="center"/>
    </xf>
    <xf numFmtId="1" fontId="125" fillId="5" borderId="28" xfId="3" applyNumberFormat="1" applyFont="1" applyFill="1" applyBorder="1" applyAlignment="1">
      <alignment horizontal="center"/>
    </xf>
    <xf numFmtId="165" fontId="29" fillId="0" borderId="2" xfId="0" applyNumberFormat="1" applyFont="1" applyBorder="1" applyAlignment="1">
      <alignment horizontal="center" vertical="center"/>
    </xf>
    <xf numFmtId="165" fontId="13" fillId="0" borderId="2" xfId="0" applyNumberFormat="1" applyFont="1" applyBorder="1" applyAlignment="1">
      <alignment horizontal="center" vertical="center"/>
    </xf>
    <xf numFmtId="165" fontId="13" fillId="0" borderId="15" xfId="0" applyNumberFormat="1" applyFont="1" applyBorder="1" applyAlignment="1">
      <alignment horizontal="center" vertical="center"/>
    </xf>
    <xf numFmtId="0" fontId="13" fillId="0" borderId="152" xfId="0" applyFont="1" applyBorder="1"/>
    <xf numFmtId="0" fontId="0" fillId="0" borderId="147" xfId="0" applyBorder="1"/>
    <xf numFmtId="0" fontId="0" fillId="0" borderId="153" xfId="0" applyBorder="1"/>
    <xf numFmtId="0" fontId="13" fillId="0" borderId="178" xfId="0" applyFont="1" applyBorder="1"/>
    <xf numFmtId="0" fontId="0" fillId="0" borderId="0" xfId="0" applyAlignment="1">
      <alignment textRotation="90"/>
    </xf>
    <xf numFmtId="191" fontId="0" fillId="0" borderId="0" xfId="2" applyNumberFormat="1" applyFont="1" applyBorder="1" applyAlignment="1">
      <alignment textRotation="90"/>
    </xf>
    <xf numFmtId="0" fontId="0" fillId="0" borderId="177" xfId="0" applyBorder="1"/>
    <xf numFmtId="0" fontId="0" fillId="0" borderId="178" xfId="0" applyBorder="1" applyAlignment="1">
      <alignment horizontal="center" textRotation="90"/>
    </xf>
    <xf numFmtId="0" fontId="0" fillId="0" borderId="0" xfId="0" applyAlignment="1">
      <alignment horizontal="center" textRotation="90"/>
    </xf>
    <xf numFmtId="191" fontId="0" fillId="0" borderId="0" xfId="2" applyNumberFormat="1" applyFont="1" applyBorder="1" applyAlignment="1">
      <alignment horizontal="center" textRotation="90"/>
    </xf>
    <xf numFmtId="191" fontId="0" fillId="0" borderId="177" xfId="2" applyNumberFormat="1" applyFont="1" applyBorder="1" applyAlignment="1">
      <alignment horizontal="center" textRotation="90"/>
    </xf>
    <xf numFmtId="165" fontId="29" fillId="0" borderId="53" xfId="0" applyNumberFormat="1" applyFont="1" applyBorder="1" applyAlignment="1">
      <alignment horizontal="center" vertical="center"/>
    </xf>
    <xf numFmtId="165" fontId="13" fillId="0" borderId="184" xfId="0" applyNumberFormat="1" applyFont="1" applyBorder="1" applyAlignment="1">
      <alignment horizontal="center" vertical="center"/>
    </xf>
    <xf numFmtId="1" fontId="0" fillId="0" borderId="6" xfId="2" applyNumberFormat="1" applyFont="1" applyBorder="1" applyAlignment="1">
      <alignment horizontal="center"/>
    </xf>
    <xf numFmtId="1" fontId="0" fillId="0" borderId="0" xfId="2" applyNumberFormat="1" applyFont="1" applyBorder="1" applyAlignment="1">
      <alignment horizontal="center"/>
    </xf>
    <xf numFmtId="1" fontId="0" fillId="0" borderId="177" xfId="2" applyNumberFormat="1" applyFont="1" applyBorder="1" applyAlignment="1">
      <alignment horizontal="center"/>
    </xf>
    <xf numFmtId="1" fontId="0" fillId="0" borderId="6" xfId="0" applyNumberFormat="1" applyBorder="1" applyAlignment="1">
      <alignment horizontal="center"/>
    </xf>
    <xf numFmtId="1" fontId="0" fillId="0" borderId="17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10" xfId="0" applyNumberFormat="1" applyBorder="1" applyAlignment="1">
      <alignment horizontal="center"/>
    </xf>
    <xf numFmtId="0" fontId="0" fillId="0" borderId="6" xfId="0" applyBorder="1" applyAlignment="1">
      <alignment horizontal="center" textRotation="90"/>
    </xf>
    <xf numFmtId="0" fontId="13" fillId="0" borderId="147" xfId="0" applyFont="1" applyBorder="1"/>
    <xf numFmtId="0" fontId="0" fillId="0" borderId="185" xfId="0" applyBorder="1"/>
    <xf numFmtId="191" fontId="0" fillId="0" borderId="185" xfId="2" applyNumberFormat="1" applyFont="1" applyBorder="1" applyAlignment="1">
      <alignment horizontal="center" textRotation="90"/>
    </xf>
    <xf numFmtId="1" fontId="0" fillId="0" borderId="185" xfId="2" applyNumberFormat="1" applyFont="1" applyBorder="1" applyAlignment="1">
      <alignment horizontal="center"/>
    </xf>
    <xf numFmtId="1" fontId="0" fillId="0" borderId="185" xfId="0" applyNumberFormat="1" applyBorder="1" applyAlignment="1">
      <alignment horizontal="center"/>
    </xf>
    <xf numFmtId="0" fontId="20" fillId="0" borderId="175" xfId="0" applyFont="1" applyBorder="1" applyAlignment="1">
      <alignment vertical="top" wrapText="1"/>
    </xf>
    <xf numFmtId="0" fontId="93" fillId="0" borderId="147" xfId="0" applyFont="1" applyBorder="1" applyAlignment="1">
      <alignment vertical="top" wrapText="1"/>
    </xf>
    <xf numFmtId="0" fontId="93" fillId="0" borderId="147" xfId="0" applyFont="1" applyBorder="1"/>
    <xf numFmtId="0" fontId="13" fillId="0" borderId="11" xfId="0" applyFont="1" applyBorder="1" applyAlignment="1">
      <alignment horizontal="left" vertical="center"/>
    </xf>
    <xf numFmtId="0" fontId="91" fillId="17" borderId="0" xfId="0" applyFont="1" applyFill="1" applyAlignment="1">
      <alignment vertical="center"/>
    </xf>
    <xf numFmtId="0" fontId="13" fillId="5" borderId="186" xfId="3" applyFill="1" applyBorder="1" applyAlignment="1">
      <alignment horizontal="center"/>
    </xf>
    <xf numFmtId="0" fontId="13" fillId="0" borderId="13" xfId="0" applyFont="1" applyBorder="1" applyAlignment="1">
      <alignment vertical="center" wrapText="1"/>
    </xf>
    <xf numFmtId="0" fontId="87" fillId="0" borderId="0" xfId="0" applyFont="1" applyAlignment="1">
      <alignment horizontal="left" vertical="top" wrapText="1"/>
    </xf>
    <xf numFmtId="0" fontId="93" fillId="38" borderId="0" xfId="3" applyFont="1" applyFill="1" applyAlignment="1">
      <alignment horizontal="center"/>
    </xf>
    <xf numFmtId="0" fontId="13" fillId="17" borderId="0" xfId="3" applyFill="1" applyAlignment="1">
      <alignment horizontal="center"/>
    </xf>
    <xf numFmtId="0" fontId="13" fillId="38" borderId="0" xfId="3" applyFill="1" applyAlignment="1">
      <alignment horizontal="center"/>
    </xf>
    <xf numFmtId="0" fontId="13" fillId="4" borderId="0" xfId="3" applyFill="1" applyAlignment="1">
      <alignment horizontal="center"/>
    </xf>
    <xf numFmtId="0" fontId="13" fillId="7" borderId="0" xfId="3" applyFill="1" applyAlignment="1">
      <alignment horizontal="center"/>
    </xf>
    <xf numFmtId="0" fontId="13" fillId="49" borderId="8" xfId="3" applyFill="1" applyBorder="1" applyAlignment="1">
      <alignment horizontal="center" wrapText="1"/>
    </xf>
    <xf numFmtId="0" fontId="13" fillId="0" borderId="10" xfId="3" applyBorder="1" applyAlignment="1">
      <alignment horizontal="center" wrapText="1"/>
    </xf>
    <xf numFmtId="0" fontId="13" fillId="49" borderId="119" xfId="3" applyFill="1" applyBorder="1" applyAlignment="1">
      <alignment horizontal="center"/>
    </xf>
    <xf numFmtId="0" fontId="13" fillId="0" borderId="24" xfId="3" applyBorder="1" applyAlignment="1">
      <alignment horizontal="center"/>
    </xf>
    <xf numFmtId="0" fontId="13" fillId="0" borderId="25" xfId="3" applyBorder="1" applyAlignment="1">
      <alignment horizontal="center"/>
    </xf>
    <xf numFmtId="0" fontId="13" fillId="49" borderId="3" xfId="3" applyFill="1" applyBorder="1" applyAlignment="1">
      <alignment horizontal="center" wrapText="1"/>
    </xf>
    <xf numFmtId="0" fontId="13" fillId="0" borderId="5" xfId="3" applyBorder="1" applyAlignment="1">
      <alignment horizontal="center" wrapText="1"/>
    </xf>
    <xf numFmtId="0" fontId="13" fillId="49" borderId="27" xfId="3" applyFill="1" applyBorder="1" applyAlignment="1">
      <alignment horizontal="center" wrapText="1"/>
    </xf>
    <xf numFmtId="0" fontId="13" fillId="0" borderId="6" xfId="3" applyBorder="1" applyAlignment="1">
      <alignment horizontal="center" wrapText="1"/>
    </xf>
    <xf numFmtId="0" fontId="13" fillId="0" borderId="28" xfId="3" applyBorder="1" applyAlignment="1">
      <alignment horizontal="center" wrapText="1"/>
    </xf>
    <xf numFmtId="0" fontId="13" fillId="0" borderId="8" xfId="3" applyBorder="1" applyAlignment="1">
      <alignment horizontal="center" wrapText="1"/>
    </xf>
    <xf numFmtId="0" fontId="13" fillId="49" borderId="26" xfId="3" applyFill="1" applyBorder="1" applyAlignment="1">
      <alignment horizontal="center" wrapText="1"/>
    </xf>
    <xf numFmtId="0" fontId="13" fillId="0" borderId="3" xfId="3" applyBorder="1" applyAlignment="1">
      <alignment horizontal="center" wrapText="1"/>
    </xf>
    <xf numFmtId="0" fontId="13" fillId="0" borderId="121" xfId="3" applyBorder="1" applyAlignment="1">
      <alignment horizontal="center" vertical="center"/>
    </xf>
    <xf numFmtId="0" fontId="13" fillId="0" borderId="5" xfId="3" applyBorder="1" applyAlignment="1">
      <alignment horizontal="center" vertical="center"/>
    </xf>
    <xf numFmtId="0" fontId="13" fillId="49" borderId="6" xfId="3" applyFill="1" applyBorder="1" applyAlignment="1">
      <alignment horizontal="center" wrapText="1"/>
    </xf>
    <xf numFmtId="0" fontId="13" fillId="0" borderId="7" xfId="3" applyBorder="1" applyAlignment="1">
      <alignment horizontal="center" wrapText="1"/>
    </xf>
    <xf numFmtId="0" fontId="13" fillId="49" borderId="126" xfId="3" applyFill="1" applyBorder="1" applyAlignment="1">
      <alignment horizontal="center"/>
    </xf>
    <xf numFmtId="0" fontId="13" fillId="0" borderId="7" xfId="3" applyBorder="1" applyAlignment="1">
      <alignment horizontal="center"/>
    </xf>
    <xf numFmtId="0" fontId="36" fillId="6" borderId="0" xfId="0" applyFont="1" applyFill="1" applyAlignment="1">
      <alignment horizontal="center" vertical="center" textRotation="90"/>
    </xf>
    <xf numFmtId="0" fontId="36" fillId="6" borderId="13" xfId="0" applyFont="1" applyFill="1" applyBorder="1" applyAlignment="1">
      <alignment horizontal="center" vertical="center" textRotation="90"/>
    </xf>
    <xf numFmtId="0" fontId="36" fillId="6" borderId="20" xfId="0" applyFont="1" applyFill="1" applyBorder="1" applyAlignment="1">
      <alignment horizontal="center" vertical="center" textRotation="90"/>
    </xf>
    <xf numFmtId="0" fontId="24" fillId="0" borderId="0" xfId="0" applyFont="1" applyAlignment="1">
      <alignment horizontal="right" vertical="center" wrapText="1"/>
    </xf>
    <xf numFmtId="0" fontId="24" fillId="0" borderId="0" xfId="0" applyFont="1" applyAlignment="1">
      <alignment horizontal="left" vertical="center" textRotation="90"/>
    </xf>
    <xf numFmtId="1" fontId="15" fillId="0" borderId="0" xfId="0" applyNumberFormat="1" applyFont="1" applyAlignment="1">
      <alignment horizontal="center" vertical="center" textRotation="90"/>
    </xf>
    <xf numFmtId="0" fontId="24" fillId="0" borderId="20" xfId="0" applyFont="1" applyBorder="1" applyAlignment="1">
      <alignment horizontal="left" vertical="center" textRotation="90" wrapText="1"/>
    </xf>
    <xf numFmtId="0" fontId="24" fillId="0" borderId="0" xfId="0" applyFont="1" applyAlignment="1">
      <alignment horizontal="left" vertical="center" textRotation="90" wrapText="1"/>
    </xf>
    <xf numFmtId="0" fontId="13" fillId="0" borderId="0" xfId="0" applyFont="1" applyAlignment="1">
      <alignment horizontal="left" vertical="center" wrapText="1"/>
    </xf>
    <xf numFmtId="0" fontId="24" fillId="0" borderId="16" xfId="0" applyFont="1" applyBorder="1" applyAlignment="1">
      <alignment horizontal="left" vertical="center" textRotation="90"/>
    </xf>
    <xf numFmtId="0" fontId="13" fillId="0" borderId="13" xfId="0" applyFont="1" applyBorder="1" applyAlignment="1">
      <alignment horizontal="left" vertical="center" wrapText="1"/>
    </xf>
    <xf numFmtId="0" fontId="13" fillId="0" borderId="0" xfId="0" applyFont="1" applyAlignment="1">
      <alignment horizontal="left" vertical="center"/>
    </xf>
    <xf numFmtId="0" fontId="13" fillId="0" borderId="11" xfId="0" applyFont="1" applyBorder="1" applyAlignment="1">
      <alignment horizontal="left" vertical="center"/>
    </xf>
    <xf numFmtId="0" fontId="112" fillId="0" borderId="6" xfId="3" applyFont="1" applyBorder="1" applyAlignment="1">
      <alignment vertical="top" wrapText="1"/>
    </xf>
    <xf numFmtId="0" fontId="112" fillId="0" borderId="7" xfId="3" applyFont="1" applyBorder="1" applyAlignment="1">
      <alignment vertical="top" wrapText="1"/>
    </xf>
    <xf numFmtId="0" fontId="73" fillId="48" borderId="7" xfId="0" applyFont="1" applyFill="1" applyBorder="1" applyAlignment="1">
      <alignment horizontal="left" vertical="center" wrapText="1"/>
    </xf>
    <xf numFmtId="0" fontId="73" fillId="48" borderId="10" xfId="0" applyFont="1" applyFill="1" applyBorder="1" applyAlignment="1">
      <alignment horizontal="left" vertical="center" wrapText="1"/>
    </xf>
    <xf numFmtId="0" fontId="108" fillId="15" borderId="26" xfId="0" applyFont="1" applyFill="1" applyBorder="1" applyAlignment="1">
      <alignment horizontal="center" vertical="center" wrapText="1"/>
    </xf>
    <xf numFmtId="0" fontId="108" fillId="15" borderId="28" xfId="0" applyFont="1" applyFill="1" applyBorder="1" applyAlignment="1">
      <alignment horizontal="center" vertical="center" wrapText="1"/>
    </xf>
    <xf numFmtId="0" fontId="73" fillId="0" borderId="27" xfId="0" applyFont="1" applyBorder="1" applyAlignment="1">
      <alignment horizontal="left" vertical="center"/>
    </xf>
    <xf numFmtId="0" fontId="108" fillId="15" borderId="27" xfId="0" applyFont="1" applyFill="1" applyBorder="1" applyAlignment="1">
      <alignment horizontal="center" vertical="center" wrapText="1"/>
    </xf>
    <xf numFmtId="0" fontId="73" fillId="48" borderId="30" xfId="0" applyFont="1" applyFill="1" applyBorder="1" applyAlignment="1">
      <alignment horizontal="left" vertical="center" wrapText="1"/>
    </xf>
    <xf numFmtId="0" fontId="73" fillId="48" borderId="25" xfId="0" applyFont="1" applyFill="1" applyBorder="1" applyAlignment="1">
      <alignment horizontal="left" vertical="center" wrapText="1"/>
    </xf>
    <xf numFmtId="0" fontId="13" fillId="0" borderId="3" xfId="0" applyFont="1" applyBorder="1" applyAlignment="1">
      <alignment horizontal="left" wrapText="1"/>
    </xf>
    <xf numFmtId="0" fontId="13" fillId="0" borderId="5" xfId="0" applyFont="1" applyBorder="1" applyAlignment="1">
      <alignment horizontal="left" wrapText="1"/>
    </xf>
    <xf numFmtId="0" fontId="20" fillId="0" borderId="30" xfId="0" applyFont="1" applyBorder="1" applyAlignment="1">
      <alignment horizontal="center" vertical="top" wrapText="1"/>
    </xf>
    <xf numFmtId="0" fontId="20" fillId="0" borderId="30" xfId="0" applyFont="1" applyBorder="1" applyAlignment="1">
      <alignment horizontal="center" vertical="top"/>
    </xf>
    <xf numFmtId="0" fontId="13" fillId="0" borderId="30" xfId="0" applyFont="1" applyBorder="1" applyAlignment="1">
      <alignment horizontal="center" vertical="top" wrapText="1"/>
    </xf>
  </cellXfs>
  <cellStyles count="41">
    <cellStyle name="20% - Akzent1" xfId="8" xr:uid="{00000000-0005-0000-0000-000000000000}"/>
    <cellStyle name="20% - Akzent2" xfId="9" xr:uid="{00000000-0005-0000-0000-000001000000}"/>
    <cellStyle name="20% - Akzent3" xfId="10" xr:uid="{00000000-0005-0000-0000-000002000000}"/>
    <cellStyle name="20% - Akzent4" xfId="11" xr:uid="{00000000-0005-0000-0000-000003000000}"/>
    <cellStyle name="20% - Akzent5" xfId="12" xr:uid="{00000000-0005-0000-0000-000004000000}"/>
    <cellStyle name="20% - Akzent6" xfId="13" xr:uid="{00000000-0005-0000-0000-000005000000}"/>
    <cellStyle name="40% - Akzent1" xfId="14" xr:uid="{00000000-0005-0000-0000-000006000000}"/>
    <cellStyle name="40% - Akzent2" xfId="15" xr:uid="{00000000-0005-0000-0000-000007000000}"/>
    <cellStyle name="40% - Akzent3" xfId="16" xr:uid="{00000000-0005-0000-0000-000008000000}"/>
    <cellStyle name="40% - Akzent4" xfId="17" xr:uid="{00000000-0005-0000-0000-000009000000}"/>
    <cellStyle name="40% - Akzent5" xfId="18" xr:uid="{00000000-0005-0000-0000-00000A000000}"/>
    <cellStyle name="40% - Akzent6" xfId="19" xr:uid="{00000000-0005-0000-0000-00000B000000}"/>
    <cellStyle name="60% - Akzent1" xfId="20" xr:uid="{00000000-0005-0000-0000-00000C000000}"/>
    <cellStyle name="60% - Akzent2" xfId="21" xr:uid="{00000000-0005-0000-0000-00000D000000}"/>
    <cellStyle name="60% - Akzent3" xfId="22" xr:uid="{00000000-0005-0000-0000-00000E000000}"/>
    <cellStyle name="60% - Akzent4" xfId="23" xr:uid="{00000000-0005-0000-0000-00000F000000}"/>
    <cellStyle name="60% - Akzent5" xfId="24" xr:uid="{00000000-0005-0000-0000-000010000000}"/>
    <cellStyle name="60% - Akzent6" xfId="25" xr:uid="{00000000-0005-0000-0000-000011000000}"/>
    <cellStyle name="Eingabe" xfId="40" builtinId="20"/>
    <cellStyle name="Euro" xfId="1" xr:uid="{00000000-0005-0000-0000-000013000000}"/>
    <cellStyle name="Hyperlink 2" xfId="26" xr:uid="{00000000-0005-0000-0000-000014000000}"/>
    <cellStyle name="Komma" xfId="2" builtinId="3"/>
    <cellStyle name="Komma 2" xfId="27" xr:uid="{00000000-0005-0000-0000-000016000000}"/>
    <cellStyle name="Komma 3" xfId="28" xr:uid="{00000000-0005-0000-0000-000017000000}"/>
    <cellStyle name="Link" xfId="37" builtinId="8"/>
    <cellStyle name="Notiz 2" xfId="29" xr:uid="{00000000-0005-0000-0000-000019000000}"/>
    <cellStyle name="Prozent" xfId="5" builtinId="5"/>
    <cellStyle name="Prozent 2" xfId="7" xr:uid="{00000000-0005-0000-0000-00001B000000}"/>
    <cellStyle name="Prozent 3" xfId="30" xr:uid="{00000000-0005-0000-0000-00001C000000}"/>
    <cellStyle name="Standard" xfId="0" builtinId="0"/>
    <cellStyle name="Standard 10" xfId="39" xr:uid="{00000000-0005-0000-0000-00001E000000}"/>
    <cellStyle name="Standard 2" xfId="3" xr:uid="{00000000-0005-0000-0000-00001F000000}"/>
    <cellStyle name="Standard 2 2" xfId="35" xr:uid="{00000000-0005-0000-0000-000020000000}"/>
    <cellStyle name="Standard 3" xfId="4" xr:uid="{00000000-0005-0000-0000-000021000000}"/>
    <cellStyle name="Standard 4" xfId="6" xr:uid="{00000000-0005-0000-0000-000022000000}"/>
    <cellStyle name="Standard 5" xfId="31" xr:uid="{00000000-0005-0000-0000-000023000000}"/>
    <cellStyle name="Standard 6" xfId="32" xr:uid="{00000000-0005-0000-0000-000024000000}"/>
    <cellStyle name="Standard 7" xfId="33" xr:uid="{00000000-0005-0000-0000-000025000000}"/>
    <cellStyle name="Standard 7 2" xfId="34" xr:uid="{00000000-0005-0000-0000-000026000000}"/>
    <cellStyle name="Standard 8" xfId="36" xr:uid="{00000000-0005-0000-0000-000027000000}"/>
    <cellStyle name="Standard 9" xfId="38" xr:uid="{00000000-0005-0000-0000-000028000000}"/>
  </cellStyles>
  <dxfs count="2">
    <dxf>
      <fill>
        <patternFill>
          <bgColor theme="9" tint="0.39994506668294322"/>
        </patternFill>
      </fill>
    </dxf>
    <dxf>
      <fill>
        <patternFill>
          <bgColor theme="9" tint="0.399945066682943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DDDDDD"/>
      <rgbColor rgb="00003366"/>
      <rgbColor rgb="00339966"/>
      <rgbColor rgb="00003300"/>
      <rgbColor rgb="00333300"/>
      <rgbColor rgb="00993300"/>
      <rgbColor rgb="00993366"/>
      <rgbColor rgb="00333399"/>
      <rgbColor rgb="00333333"/>
    </indexedColors>
    <mruColors>
      <color rgb="FFFFFF99"/>
      <color rgb="FFCCFFFF"/>
      <color rgb="FFC0C0C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F86B-4D3D-8AA1-45CCD51AF34B}"/>
            </c:ext>
          </c:extLst>
        </c:ser>
        <c:dLbls>
          <c:showLegendKey val="0"/>
          <c:showVal val="0"/>
          <c:showCatName val="0"/>
          <c:showSerName val="0"/>
          <c:showPercent val="0"/>
          <c:showBubbleSize val="0"/>
        </c:dLbls>
        <c:gapWidth val="0"/>
        <c:overlap val="100"/>
        <c:axId val="60436864"/>
        <c:axId val="60438400"/>
      </c:barChart>
      <c:barChart>
        <c:barDir val="col"/>
        <c:grouping val="clustered"/>
        <c:varyColors val="0"/>
        <c:ser>
          <c:idx val="0"/>
          <c:order val="0"/>
          <c:spPr>
            <a:solidFill>
              <a:srgbClr val="92D050"/>
            </a:solidFill>
            <a:ln w="25400">
              <a:noFill/>
            </a:ln>
          </c:spPr>
          <c:invertIfNegative val="0"/>
          <c:val>
            <c:numRef>
              <c:f>Profile!$B$63:$B$86</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1-F86B-4D3D-8AA1-45CCD51AF34B}"/>
            </c:ext>
          </c:extLst>
        </c:ser>
        <c:dLbls>
          <c:showLegendKey val="0"/>
          <c:showVal val="0"/>
          <c:showCatName val="0"/>
          <c:showSerName val="0"/>
          <c:showPercent val="0"/>
          <c:showBubbleSize val="0"/>
        </c:dLbls>
        <c:gapWidth val="150"/>
        <c:axId val="60456960"/>
        <c:axId val="60458496"/>
      </c:barChart>
      <c:catAx>
        <c:axId val="60436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60438400"/>
        <c:crosses val="autoZero"/>
        <c:auto val="1"/>
        <c:lblAlgn val="ctr"/>
        <c:lblOffset val="100"/>
        <c:tickLblSkip val="1"/>
        <c:tickMarkSkip val="1"/>
        <c:noMultiLvlLbl val="0"/>
      </c:catAx>
      <c:valAx>
        <c:axId val="6043840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60436864"/>
        <c:crosses val="autoZero"/>
        <c:crossBetween val="between"/>
        <c:majorUnit val="0.2"/>
        <c:minorUnit val="0.01"/>
      </c:valAx>
      <c:catAx>
        <c:axId val="60456960"/>
        <c:scaling>
          <c:orientation val="minMax"/>
        </c:scaling>
        <c:delete val="1"/>
        <c:axPos val="b"/>
        <c:majorTickMark val="out"/>
        <c:minorTickMark val="none"/>
        <c:tickLblPos val="nextTo"/>
        <c:crossAx val="60458496"/>
        <c:crosses val="autoZero"/>
        <c:auto val="1"/>
        <c:lblAlgn val="ctr"/>
        <c:lblOffset val="100"/>
        <c:noMultiLvlLbl val="0"/>
      </c:catAx>
      <c:valAx>
        <c:axId val="60458496"/>
        <c:scaling>
          <c:orientation val="minMax"/>
        </c:scaling>
        <c:delete val="1"/>
        <c:axPos val="r"/>
        <c:numFmt formatCode="0.0" sourceLinked="1"/>
        <c:majorTickMark val="out"/>
        <c:minorTickMark val="none"/>
        <c:tickLblPos val="nextTo"/>
        <c:crossAx val="6045696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Profile!$E$395:$E$562</c:f>
              <c:numCache>
                <c:formatCode>0.0</c:formatCode>
                <c:ptCount val="168"/>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0</c:v>
                </c:pt>
                <c:pt idx="33">
                  <c:v>0</c:v>
                </c:pt>
                <c:pt idx="34">
                  <c:v>0</c:v>
                </c:pt>
                <c:pt idx="35">
                  <c:v>0</c:v>
                </c:pt>
                <c:pt idx="36">
                  <c:v>1</c:v>
                </c:pt>
                <c:pt idx="37">
                  <c:v>1</c:v>
                </c:pt>
                <c:pt idx="38">
                  <c:v>0</c:v>
                </c:pt>
                <c:pt idx="39">
                  <c:v>0</c:v>
                </c:pt>
                <c:pt idx="40">
                  <c:v>0</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0</c:v>
                </c:pt>
                <c:pt idx="57">
                  <c:v>0</c:v>
                </c:pt>
                <c:pt idx="58">
                  <c:v>0</c:v>
                </c:pt>
                <c:pt idx="59">
                  <c:v>0</c:v>
                </c:pt>
                <c:pt idx="60">
                  <c:v>1</c:v>
                </c:pt>
                <c:pt idx="61">
                  <c:v>1</c:v>
                </c:pt>
                <c:pt idx="62">
                  <c:v>0</c:v>
                </c:pt>
                <c:pt idx="63">
                  <c:v>0</c:v>
                </c:pt>
                <c:pt idx="64">
                  <c:v>0</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0</c:v>
                </c:pt>
                <c:pt idx="81">
                  <c:v>0</c:v>
                </c:pt>
                <c:pt idx="82">
                  <c:v>0</c:v>
                </c:pt>
                <c:pt idx="83">
                  <c:v>0</c:v>
                </c:pt>
                <c:pt idx="84">
                  <c:v>1</c:v>
                </c:pt>
                <c:pt idx="85">
                  <c:v>1</c:v>
                </c:pt>
                <c:pt idx="86">
                  <c:v>0</c:v>
                </c:pt>
                <c:pt idx="87">
                  <c:v>0</c:v>
                </c:pt>
                <c:pt idx="88">
                  <c:v>0</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0</c:v>
                </c:pt>
                <c:pt idx="105">
                  <c:v>0</c:v>
                </c:pt>
                <c:pt idx="106">
                  <c:v>0</c:v>
                </c:pt>
                <c:pt idx="107">
                  <c:v>0</c:v>
                </c:pt>
                <c:pt idx="108">
                  <c:v>1</c:v>
                </c:pt>
                <c:pt idx="109">
                  <c:v>1</c:v>
                </c:pt>
                <c:pt idx="110">
                  <c:v>0</c:v>
                </c:pt>
                <c:pt idx="111">
                  <c:v>0</c:v>
                </c:pt>
                <c:pt idx="112">
                  <c:v>0</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0</c:v>
                </c:pt>
                <c:pt idx="129">
                  <c:v>0</c:v>
                </c:pt>
                <c:pt idx="130">
                  <c:v>0</c:v>
                </c:pt>
                <c:pt idx="131">
                  <c:v>0</c:v>
                </c:pt>
                <c:pt idx="132">
                  <c:v>1</c:v>
                </c:pt>
                <c:pt idx="133">
                  <c:v>1</c:v>
                </c:pt>
                <c:pt idx="134">
                  <c:v>0</c:v>
                </c:pt>
                <c:pt idx="135">
                  <c:v>0</c:v>
                </c:pt>
                <c:pt idx="136">
                  <c:v>0</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0</c:v>
                </c:pt>
                <c:pt idx="153">
                  <c:v>0</c:v>
                </c:pt>
                <c:pt idx="154">
                  <c:v>0</c:v>
                </c:pt>
                <c:pt idx="155">
                  <c:v>0</c:v>
                </c:pt>
                <c:pt idx="156">
                  <c:v>1</c:v>
                </c:pt>
                <c:pt idx="157">
                  <c:v>1</c:v>
                </c:pt>
                <c:pt idx="158">
                  <c:v>0</c:v>
                </c:pt>
                <c:pt idx="159">
                  <c:v>0</c:v>
                </c:pt>
                <c:pt idx="160">
                  <c:v>0</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1AC7-4D72-ABB5-A134497CE58F}"/>
            </c:ext>
          </c:extLst>
        </c:ser>
        <c:dLbls>
          <c:showLegendKey val="0"/>
          <c:showVal val="0"/>
          <c:showCatName val="0"/>
          <c:showSerName val="0"/>
          <c:showPercent val="0"/>
          <c:showBubbleSize val="0"/>
        </c:dLbls>
        <c:gapWidth val="0"/>
        <c:overlap val="100"/>
        <c:axId val="88213376"/>
        <c:axId val="88214912"/>
      </c:barChart>
      <c:barChart>
        <c:barDir val="col"/>
        <c:grouping val="clustered"/>
        <c:varyColors val="0"/>
        <c:ser>
          <c:idx val="0"/>
          <c:order val="0"/>
          <c:spPr>
            <a:solidFill>
              <a:srgbClr val="92D05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Profile!$D$395:$D$562</c:f>
              <c:numCache>
                <c:formatCode>General</c:formatCode>
                <c:ptCount val="168"/>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pt idx="24">
                  <c:v>1</c:v>
                </c:pt>
                <c:pt idx="25">
                  <c:v>1</c:v>
                </c:pt>
                <c:pt idx="26">
                  <c:v>1</c:v>
                </c:pt>
                <c:pt idx="27">
                  <c:v>1</c:v>
                </c:pt>
                <c:pt idx="28">
                  <c:v>1</c:v>
                </c:pt>
                <c:pt idx="29">
                  <c:v>1</c:v>
                </c:pt>
                <c:pt idx="30">
                  <c:v>0.6</c:v>
                </c:pt>
                <c:pt idx="31">
                  <c:v>0.4</c:v>
                </c:pt>
                <c:pt idx="32">
                  <c:v>0</c:v>
                </c:pt>
                <c:pt idx="33">
                  <c:v>0</c:v>
                </c:pt>
                <c:pt idx="34">
                  <c:v>0</c:v>
                </c:pt>
                <c:pt idx="35">
                  <c:v>0</c:v>
                </c:pt>
                <c:pt idx="36">
                  <c:v>0.8</c:v>
                </c:pt>
                <c:pt idx="37">
                  <c:v>0.4</c:v>
                </c:pt>
                <c:pt idx="38">
                  <c:v>0</c:v>
                </c:pt>
                <c:pt idx="39">
                  <c:v>0</c:v>
                </c:pt>
                <c:pt idx="40">
                  <c:v>0</c:v>
                </c:pt>
                <c:pt idx="41">
                  <c:v>0.4</c:v>
                </c:pt>
                <c:pt idx="42">
                  <c:v>0.8</c:v>
                </c:pt>
                <c:pt idx="43">
                  <c:v>0.8</c:v>
                </c:pt>
                <c:pt idx="44">
                  <c:v>0.8</c:v>
                </c:pt>
                <c:pt idx="45">
                  <c:v>1</c:v>
                </c:pt>
                <c:pt idx="46">
                  <c:v>1</c:v>
                </c:pt>
                <c:pt idx="47">
                  <c:v>1</c:v>
                </c:pt>
                <c:pt idx="48">
                  <c:v>1</c:v>
                </c:pt>
                <c:pt idx="49">
                  <c:v>1</c:v>
                </c:pt>
                <c:pt idx="50">
                  <c:v>1</c:v>
                </c:pt>
                <c:pt idx="51">
                  <c:v>1</c:v>
                </c:pt>
                <c:pt idx="52">
                  <c:v>1</c:v>
                </c:pt>
                <c:pt idx="53">
                  <c:v>1</c:v>
                </c:pt>
                <c:pt idx="54">
                  <c:v>0.6</c:v>
                </c:pt>
                <c:pt idx="55">
                  <c:v>0.4</c:v>
                </c:pt>
                <c:pt idx="56">
                  <c:v>0</c:v>
                </c:pt>
                <c:pt idx="57">
                  <c:v>0</c:v>
                </c:pt>
                <c:pt idx="58">
                  <c:v>0</c:v>
                </c:pt>
                <c:pt idx="59">
                  <c:v>0</c:v>
                </c:pt>
                <c:pt idx="60">
                  <c:v>0.8</c:v>
                </c:pt>
                <c:pt idx="61">
                  <c:v>0.4</c:v>
                </c:pt>
                <c:pt idx="62">
                  <c:v>0</c:v>
                </c:pt>
                <c:pt idx="63">
                  <c:v>0</c:v>
                </c:pt>
                <c:pt idx="64">
                  <c:v>0</c:v>
                </c:pt>
                <c:pt idx="65">
                  <c:v>0.4</c:v>
                </c:pt>
                <c:pt idx="66">
                  <c:v>0.8</c:v>
                </c:pt>
                <c:pt idx="67">
                  <c:v>0.8</c:v>
                </c:pt>
                <c:pt idx="68">
                  <c:v>0.8</c:v>
                </c:pt>
                <c:pt idx="69">
                  <c:v>1</c:v>
                </c:pt>
                <c:pt idx="70">
                  <c:v>1</c:v>
                </c:pt>
                <c:pt idx="71">
                  <c:v>1</c:v>
                </c:pt>
                <c:pt idx="72">
                  <c:v>1</c:v>
                </c:pt>
                <c:pt idx="73">
                  <c:v>1</c:v>
                </c:pt>
                <c:pt idx="74">
                  <c:v>1</c:v>
                </c:pt>
                <c:pt idx="75">
                  <c:v>1</c:v>
                </c:pt>
                <c:pt idx="76">
                  <c:v>1</c:v>
                </c:pt>
                <c:pt idx="77">
                  <c:v>1</c:v>
                </c:pt>
                <c:pt idx="78">
                  <c:v>0.6</c:v>
                </c:pt>
                <c:pt idx="79">
                  <c:v>0.4</c:v>
                </c:pt>
                <c:pt idx="80">
                  <c:v>0</c:v>
                </c:pt>
                <c:pt idx="81">
                  <c:v>0</c:v>
                </c:pt>
                <c:pt idx="82">
                  <c:v>0</c:v>
                </c:pt>
                <c:pt idx="83">
                  <c:v>0</c:v>
                </c:pt>
                <c:pt idx="84">
                  <c:v>0.8</c:v>
                </c:pt>
                <c:pt idx="85">
                  <c:v>0.4</c:v>
                </c:pt>
                <c:pt idx="86">
                  <c:v>0</c:v>
                </c:pt>
                <c:pt idx="87">
                  <c:v>0</c:v>
                </c:pt>
                <c:pt idx="88">
                  <c:v>0</c:v>
                </c:pt>
                <c:pt idx="89">
                  <c:v>0.4</c:v>
                </c:pt>
                <c:pt idx="90">
                  <c:v>0.8</c:v>
                </c:pt>
                <c:pt idx="91">
                  <c:v>0.8</c:v>
                </c:pt>
                <c:pt idx="92">
                  <c:v>0.8</c:v>
                </c:pt>
                <c:pt idx="93">
                  <c:v>1</c:v>
                </c:pt>
                <c:pt idx="94">
                  <c:v>1</c:v>
                </c:pt>
                <c:pt idx="95">
                  <c:v>1</c:v>
                </c:pt>
                <c:pt idx="96">
                  <c:v>1</c:v>
                </c:pt>
                <c:pt idx="97">
                  <c:v>1</c:v>
                </c:pt>
                <c:pt idx="98">
                  <c:v>1</c:v>
                </c:pt>
                <c:pt idx="99">
                  <c:v>1</c:v>
                </c:pt>
                <c:pt idx="100">
                  <c:v>1</c:v>
                </c:pt>
                <c:pt idx="101">
                  <c:v>1</c:v>
                </c:pt>
                <c:pt idx="102">
                  <c:v>0.6</c:v>
                </c:pt>
                <c:pt idx="103">
                  <c:v>0.4</c:v>
                </c:pt>
                <c:pt idx="104">
                  <c:v>0</c:v>
                </c:pt>
                <c:pt idx="105">
                  <c:v>0</c:v>
                </c:pt>
                <c:pt idx="106">
                  <c:v>0</c:v>
                </c:pt>
                <c:pt idx="107">
                  <c:v>0</c:v>
                </c:pt>
                <c:pt idx="108">
                  <c:v>0.8</c:v>
                </c:pt>
                <c:pt idx="109">
                  <c:v>0.4</c:v>
                </c:pt>
                <c:pt idx="110">
                  <c:v>0</c:v>
                </c:pt>
                <c:pt idx="111">
                  <c:v>0</c:v>
                </c:pt>
                <c:pt idx="112">
                  <c:v>0</c:v>
                </c:pt>
                <c:pt idx="113">
                  <c:v>0.4</c:v>
                </c:pt>
                <c:pt idx="114">
                  <c:v>0.8</c:v>
                </c:pt>
                <c:pt idx="115">
                  <c:v>0.8</c:v>
                </c:pt>
                <c:pt idx="116">
                  <c:v>0.8</c:v>
                </c:pt>
                <c:pt idx="117">
                  <c:v>1</c:v>
                </c:pt>
                <c:pt idx="118">
                  <c:v>1</c:v>
                </c:pt>
                <c:pt idx="119">
                  <c:v>1</c:v>
                </c:pt>
                <c:pt idx="120">
                  <c:v>1</c:v>
                </c:pt>
                <c:pt idx="121">
                  <c:v>1</c:v>
                </c:pt>
                <c:pt idx="122">
                  <c:v>1</c:v>
                </c:pt>
                <c:pt idx="123">
                  <c:v>1</c:v>
                </c:pt>
                <c:pt idx="124">
                  <c:v>1</c:v>
                </c:pt>
                <c:pt idx="125">
                  <c:v>1</c:v>
                </c:pt>
                <c:pt idx="126">
                  <c:v>0.6</c:v>
                </c:pt>
                <c:pt idx="127">
                  <c:v>0.4</c:v>
                </c:pt>
                <c:pt idx="128">
                  <c:v>0</c:v>
                </c:pt>
                <c:pt idx="129">
                  <c:v>0</c:v>
                </c:pt>
                <c:pt idx="130">
                  <c:v>0</c:v>
                </c:pt>
                <c:pt idx="131">
                  <c:v>0</c:v>
                </c:pt>
                <c:pt idx="132">
                  <c:v>0.8</c:v>
                </c:pt>
                <c:pt idx="133">
                  <c:v>0.4</c:v>
                </c:pt>
                <c:pt idx="134">
                  <c:v>0</c:v>
                </c:pt>
                <c:pt idx="135">
                  <c:v>0</c:v>
                </c:pt>
                <c:pt idx="136">
                  <c:v>0</c:v>
                </c:pt>
                <c:pt idx="137">
                  <c:v>0.4</c:v>
                </c:pt>
                <c:pt idx="138">
                  <c:v>0.8</c:v>
                </c:pt>
                <c:pt idx="139">
                  <c:v>0.8</c:v>
                </c:pt>
                <c:pt idx="140">
                  <c:v>0.8</c:v>
                </c:pt>
                <c:pt idx="141">
                  <c:v>1</c:v>
                </c:pt>
                <c:pt idx="142">
                  <c:v>1</c:v>
                </c:pt>
                <c:pt idx="143">
                  <c:v>1</c:v>
                </c:pt>
                <c:pt idx="144">
                  <c:v>1</c:v>
                </c:pt>
                <c:pt idx="145">
                  <c:v>1</c:v>
                </c:pt>
                <c:pt idx="146">
                  <c:v>1</c:v>
                </c:pt>
                <c:pt idx="147">
                  <c:v>1</c:v>
                </c:pt>
                <c:pt idx="148">
                  <c:v>1</c:v>
                </c:pt>
                <c:pt idx="149">
                  <c:v>1</c:v>
                </c:pt>
                <c:pt idx="150">
                  <c:v>0.6</c:v>
                </c:pt>
                <c:pt idx="151">
                  <c:v>0.4</c:v>
                </c:pt>
                <c:pt idx="152">
                  <c:v>0</c:v>
                </c:pt>
                <c:pt idx="153">
                  <c:v>0</c:v>
                </c:pt>
                <c:pt idx="154">
                  <c:v>0</c:v>
                </c:pt>
                <c:pt idx="155">
                  <c:v>0</c:v>
                </c:pt>
                <c:pt idx="156">
                  <c:v>0.8</c:v>
                </c:pt>
                <c:pt idx="157">
                  <c:v>0.4</c:v>
                </c:pt>
                <c:pt idx="158">
                  <c:v>0</c:v>
                </c:pt>
                <c:pt idx="159">
                  <c:v>0</c:v>
                </c:pt>
                <c:pt idx="160">
                  <c:v>0</c:v>
                </c:pt>
                <c:pt idx="161">
                  <c:v>0.4</c:v>
                </c:pt>
                <c:pt idx="162">
                  <c:v>0.8</c:v>
                </c:pt>
                <c:pt idx="163">
                  <c:v>0.8</c:v>
                </c:pt>
                <c:pt idx="164">
                  <c:v>0.8</c:v>
                </c:pt>
                <c:pt idx="165">
                  <c:v>1</c:v>
                </c:pt>
                <c:pt idx="166">
                  <c:v>1</c:v>
                </c:pt>
                <c:pt idx="167">
                  <c:v>1</c:v>
                </c:pt>
              </c:numCache>
            </c:numRef>
          </c:val>
          <c:extLst>
            <c:ext xmlns:c16="http://schemas.microsoft.com/office/drawing/2014/chart" uri="{C3380CC4-5D6E-409C-BE32-E72D297353CC}">
              <c16:uniqueId val="{00000001-1AC7-4D72-ABB5-A134497CE58F}"/>
            </c:ext>
          </c:extLst>
        </c:ser>
        <c:dLbls>
          <c:showLegendKey val="0"/>
          <c:showVal val="0"/>
          <c:showCatName val="0"/>
          <c:showSerName val="0"/>
          <c:showPercent val="0"/>
          <c:showBubbleSize val="0"/>
        </c:dLbls>
        <c:gapWidth val="0"/>
        <c:axId val="88221184"/>
        <c:axId val="88222720"/>
      </c:barChart>
      <c:catAx>
        <c:axId val="88213376"/>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214912"/>
        <c:crosses val="autoZero"/>
        <c:auto val="1"/>
        <c:lblAlgn val="ctr"/>
        <c:lblOffset val="100"/>
        <c:tickLblSkip val="24"/>
        <c:noMultiLvlLbl val="0"/>
      </c:catAx>
      <c:valAx>
        <c:axId val="88214912"/>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213376"/>
        <c:crosses val="autoZero"/>
        <c:crossBetween val="between"/>
        <c:majorUnit val="0.2"/>
        <c:minorUnit val="0.01"/>
      </c:valAx>
      <c:catAx>
        <c:axId val="88221184"/>
        <c:scaling>
          <c:orientation val="minMax"/>
        </c:scaling>
        <c:delete val="1"/>
        <c:axPos val="b"/>
        <c:numFmt formatCode="General" sourceLinked="1"/>
        <c:majorTickMark val="out"/>
        <c:minorTickMark val="none"/>
        <c:tickLblPos val="nextTo"/>
        <c:crossAx val="88222720"/>
        <c:crosses val="autoZero"/>
        <c:auto val="1"/>
        <c:lblAlgn val="ctr"/>
        <c:lblOffset val="100"/>
        <c:noMultiLvlLbl val="0"/>
      </c:catAx>
      <c:valAx>
        <c:axId val="88222720"/>
        <c:scaling>
          <c:orientation val="minMax"/>
        </c:scaling>
        <c:delete val="1"/>
        <c:axPos val="r"/>
        <c:numFmt formatCode="General" sourceLinked="1"/>
        <c:majorTickMark val="out"/>
        <c:minorTickMark val="none"/>
        <c:tickLblPos val="nextTo"/>
        <c:crossAx val="88221184"/>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0"/>
          <c:spPr>
            <a:solidFill>
              <a:srgbClr val="C0C0C0"/>
            </a:solidFill>
            <a:ln w="25400">
              <a:noFill/>
            </a:ln>
          </c:spPr>
          <c:invertIfNegative val="0"/>
          <c:cat>
            <c:numRef>
              <c:f>Profile!$A$612:$A$975</c:f>
              <c:numCache>
                <c:formatCode>General</c:formatCode>
                <c:ptCount val="3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6</c:v>
                </c:pt>
                <c:pt idx="152">
                  <c:v>6</c:v>
                </c:pt>
                <c:pt idx="153">
                  <c:v>6</c:v>
                </c:pt>
                <c:pt idx="154">
                  <c:v>6</c:v>
                </c:pt>
                <c:pt idx="155">
                  <c:v>6</c:v>
                </c:pt>
                <c:pt idx="156">
                  <c:v>6</c:v>
                </c:pt>
                <c:pt idx="157">
                  <c:v>6</c:v>
                </c:pt>
                <c:pt idx="158">
                  <c:v>6</c:v>
                </c:pt>
                <c:pt idx="159">
                  <c:v>6</c:v>
                </c:pt>
                <c:pt idx="160">
                  <c:v>6</c:v>
                </c:pt>
                <c:pt idx="161">
                  <c:v>6</c:v>
                </c:pt>
                <c:pt idx="162">
                  <c:v>6</c:v>
                </c:pt>
                <c:pt idx="163">
                  <c:v>6</c:v>
                </c:pt>
                <c:pt idx="164">
                  <c:v>6</c:v>
                </c:pt>
                <c:pt idx="165">
                  <c:v>6</c:v>
                </c:pt>
                <c:pt idx="166">
                  <c:v>6</c:v>
                </c:pt>
                <c:pt idx="167">
                  <c:v>6</c:v>
                </c:pt>
                <c:pt idx="168">
                  <c:v>6</c:v>
                </c:pt>
                <c:pt idx="169">
                  <c:v>6</c:v>
                </c:pt>
                <c:pt idx="170">
                  <c:v>6</c:v>
                </c:pt>
                <c:pt idx="171">
                  <c:v>6</c:v>
                </c:pt>
                <c:pt idx="172">
                  <c:v>6</c:v>
                </c:pt>
                <c:pt idx="173">
                  <c:v>6</c:v>
                </c:pt>
                <c:pt idx="174">
                  <c:v>6</c:v>
                </c:pt>
                <c:pt idx="175">
                  <c:v>6</c:v>
                </c:pt>
                <c:pt idx="176">
                  <c:v>6</c:v>
                </c:pt>
                <c:pt idx="177">
                  <c:v>6</c:v>
                </c:pt>
                <c:pt idx="178">
                  <c:v>6</c:v>
                </c:pt>
                <c:pt idx="179">
                  <c:v>6</c:v>
                </c:pt>
                <c:pt idx="180">
                  <c:v>6</c:v>
                </c:pt>
                <c:pt idx="181">
                  <c:v>7</c:v>
                </c:pt>
                <c:pt idx="182">
                  <c:v>7</c:v>
                </c:pt>
                <c:pt idx="183">
                  <c:v>7</c:v>
                </c:pt>
                <c:pt idx="184">
                  <c:v>7</c:v>
                </c:pt>
                <c:pt idx="185">
                  <c:v>7</c:v>
                </c:pt>
                <c:pt idx="186">
                  <c:v>7</c:v>
                </c:pt>
                <c:pt idx="187">
                  <c:v>7</c:v>
                </c:pt>
                <c:pt idx="188">
                  <c:v>7</c:v>
                </c:pt>
                <c:pt idx="189">
                  <c:v>7</c:v>
                </c:pt>
                <c:pt idx="190">
                  <c:v>7</c:v>
                </c:pt>
                <c:pt idx="191">
                  <c:v>7</c:v>
                </c:pt>
                <c:pt idx="192">
                  <c:v>7</c:v>
                </c:pt>
                <c:pt idx="193">
                  <c:v>7</c:v>
                </c:pt>
                <c:pt idx="194">
                  <c:v>7</c:v>
                </c:pt>
                <c:pt idx="195">
                  <c:v>7</c:v>
                </c:pt>
                <c:pt idx="196">
                  <c:v>7</c:v>
                </c:pt>
                <c:pt idx="197">
                  <c:v>7</c:v>
                </c:pt>
                <c:pt idx="198">
                  <c:v>7</c:v>
                </c:pt>
                <c:pt idx="199">
                  <c:v>7</c:v>
                </c:pt>
                <c:pt idx="200">
                  <c:v>7</c:v>
                </c:pt>
                <c:pt idx="201">
                  <c:v>7</c:v>
                </c:pt>
                <c:pt idx="202">
                  <c:v>7</c:v>
                </c:pt>
                <c:pt idx="203">
                  <c:v>7</c:v>
                </c:pt>
                <c:pt idx="204">
                  <c:v>7</c:v>
                </c:pt>
                <c:pt idx="205">
                  <c:v>7</c:v>
                </c:pt>
                <c:pt idx="206">
                  <c:v>7</c:v>
                </c:pt>
                <c:pt idx="207">
                  <c:v>7</c:v>
                </c:pt>
                <c:pt idx="208">
                  <c:v>7</c:v>
                </c:pt>
                <c:pt idx="209">
                  <c:v>7</c:v>
                </c:pt>
                <c:pt idx="210">
                  <c:v>7</c:v>
                </c:pt>
                <c:pt idx="211">
                  <c:v>7</c:v>
                </c:pt>
                <c:pt idx="212">
                  <c:v>8</c:v>
                </c:pt>
                <c:pt idx="213">
                  <c:v>8</c:v>
                </c:pt>
                <c:pt idx="214">
                  <c:v>8</c:v>
                </c:pt>
                <c:pt idx="215">
                  <c:v>8</c:v>
                </c:pt>
                <c:pt idx="216">
                  <c:v>8</c:v>
                </c:pt>
                <c:pt idx="217">
                  <c:v>8</c:v>
                </c:pt>
                <c:pt idx="218">
                  <c:v>8</c:v>
                </c:pt>
                <c:pt idx="219">
                  <c:v>8</c:v>
                </c:pt>
                <c:pt idx="220">
                  <c:v>8</c:v>
                </c:pt>
                <c:pt idx="221">
                  <c:v>8</c:v>
                </c:pt>
                <c:pt idx="222">
                  <c:v>8</c:v>
                </c:pt>
                <c:pt idx="223">
                  <c:v>8</c:v>
                </c:pt>
                <c:pt idx="224">
                  <c:v>8</c:v>
                </c:pt>
                <c:pt idx="225">
                  <c:v>8</c:v>
                </c:pt>
                <c:pt idx="226">
                  <c:v>8</c:v>
                </c:pt>
                <c:pt idx="227">
                  <c:v>8</c:v>
                </c:pt>
                <c:pt idx="228">
                  <c:v>8</c:v>
                </c:pt>
                <c:pt idx="229">
                  <c:v>8</c:v>
                </c:pt>
                <c:pt idx="230">
                  <c:v>8</c:v>
                </c:pt>
                <c:pt idx="231">
                  <c:v>8</c:v>
                </c:pt>
                <c:pt idx="232">
                  <c:v>8</c:v>
                </c:pt>
                <c:pt idx="233">
                  <c:v>8</c:v>
                </c:pt>
                <c:pt idx="234">
                  <c:v>8</c:v>
                </c:pt>
                <c:pt idx="235">
                  <c:v>8</c:v>
                </c:pt>
                <c:pt idx="236">
                  <c:v>8</c:v>
                </c:pt>
                <c:pt idx="237">
                  <c:v>8</c:v>
                </c:pt>
                <c:pt idx="238">
                  <c:v>8</c:v>
                </c:pt>
                <c:pt idx="239">
                  <c:v>8</c:v>
                </c:pt>
                <c:pt idx="240">
                  <c:v>8</c:v>
                </c:pt>
                <c:pt idx="241">
                  <c:v>8</c:v>
                </c:pt>
                <c:pt idx="242">
                  <c:v>8</c:v>
                </c:pt>
                <c:pt idx="243">
                  <c:v>9</c:v>
                </c:pt>
                <c:pt idx="244">
                  <c:v>9</c:v>
                </c:pt>
                <c:pt idx="245">
                  <c:v>9</c:v>
                </c:pt>
                <c:pt idx="246">
                  <c:v>9</c:v>
                </c:pt>
                <c:pt idx="247">
                  <c:v>9</c:v>
                </c:pt>
                <c:pt idx="248">
                  <c:v>9</c:v>
                </c:pt>
                <c:pt idx="249">
                  <c:v>9</c:v>
                </c:pt>
                <c:pt idx="250">
                  <c:v>9</c:v>
                </c:pt>
                <c:pt idx="251">
                  <c:v>9</c:v>
                </c:pt>
                <c:pt idx="252">
                  <c:v>9</c:v>
                </c:pt>
                <c:pt idx="253">
                  <c:v>9</c:v>
                </c:pt>
                <c:pt idx="254">
                  <c:v>9</c:v>
                </c:pt>
                <c:pt idx="255">
                  <c:v>9</c:v>
                </c:pt>
                <c:pt idx="256">
                  <c:v>9</c:v>
                </c:pt>
                <c:pt idx="257">
                  <c:v>9</c:v>
                </c:pt>
                <c:pt idx="258">
                  <c:v>9</c:v>
                </c:pt>
                <c:pt idx="259">
                  <c:v>9</c:v>
                </c:pt>
                <c:pt idx="260">
                  <c:v>9</c:v>
                </c:pt>
                <c:pt idx="261">
                  <c:v>9</c:v>
                </c:pt>
                <c:pt idx="262">
                  <c:v>9</c:v>
                </c:pt>
                <c:pt idx="263">
                  <c:v>9</c:v>
                </c:pt>
                <c:pt idx="264">
                  <c:v>9</c:v>
                </c:pt>
                <c:pt idx="265">
                  <c:v>9</c:v>
                </c:pt>
                <c:pt idx="266">
                  <c:v>9</c:v>
                </c:pt>
                <c:pt idx="267">
                  <c:v>9</c:v>
                </c:pt>
                <c:pt idx="268">
                  <c:v>9</c:v>
                </c:pt>
                <c:pt idx="269">
                  <c:v>9</c:v>
                </c:pt>
                <c:pt idx="270">
                  <c:v>9</c:v>
                </c:pt>
                <c:pt idx="271">
                  <c:v>9</c:v>
                </c:pt>
                <c:pt idx="272">
                  <c:v>9</c:v>
                </c:pt>
                <c:pt idx="273">
                  <c:v>10</c:v>
                </c:pt>
                <c:pt idx="274">
                  <c:v>10</c:v>
                </c:pt>
                <c:pt idx="275">
                  <c:v>10</c:v>
                </c:pt>
                <c:pt idx="276">
                  <c:v>10</c:v>
                </c:pt>
                <c:pt idx="277">
                  <c:v>10</c:v>
                </c:pt>
                <c:pt idx="278">
                  <c:v>10</c:v>
                </c:pt>
                <c:pt idx="279">
                  <c:v>10</c:v>
                </c:pt>
                <c:pt idx="280">
                  <c:v>10</c:v>
                </c:pt>
                <c:pt idx="281">
                  <c:v>10</c:v>
                </c:pt>
                <c:pt idx="282">
                  <c:v>10</c:v>
                </c:pt>
                <c:pt idx="283">
                  <c:v>10</c:v>
                </c:pt>
                <c:pt idx="284">
                  <c:v>10</c:v>
                </c:pt>
                <c:pt idx="285">
                  <c:v>10</c:v>
                </c:pt>
                <c:pt idx="286">
                  <c:v>10</c:v>
                </c:pt>
                <c:pt idx="287">
                  <c:v>10</c:v>
                </c:pt>
                <c:pt idx="288">
                  <c:v>10</c:v>
                </c:pt>
                <c:pt idx="289">
                  <c:v>10</c:v>
                </c:pt>
                <c:pt idx="290">
                  <c:v>10</c:v>
                </c:pt>
                <c:pt idx="291">
                  <c:v>10</c:v>
                </c:pt>
                <c:pt idx="292">
                  <c:v>10</c:v>
                </c:pt>
                <c:pt idx="293">
                  <c:v>10</c:v>
                </c:pt>
                <c:pt idx="294">
                  <c:v>10</c:v>
                </c:pt>
                <c:pt idx="295">
                  <c:v>10</c:v>
                </c:pt>
                <c:pt idx="296">
                  <c:v>10</c:v>
                </c:pt>
                <c:pt idx="297">
                  <c:v>10</c:v>
                </c:pt>
                <c:pt idx="298">
                  <c:v>10</c:v>
                </c:pt>
                <c:pt idx="299">
                  <c:v>10</c:v>
                </c:pt>
                <c:pt idx="300">
                  <c:v>10</c:v>
                </c:pt>
                <c:pt idx="301">
                  <c:v>10</c:v>
                </c:pt>
                <c:pt idx="302">
                  <c:v>10</c:v>
                </c:pt>
                <c:pt idx="303">
                  <c:v>10</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12</c:v>
                </c:pt>
                <c:pt idx="335">
                  <c:v>12</c:v>
                </c:pt>
                <c:pt idx="336">
                  <c:v>12</c:v>
                </c:pt>
                <c:pt idx="337">
                  <c:v>12</c:v>
                </c:pt>
                <c:pt idx="338">
                  <c:v>12</c:v>
                </c:pt>
                <c:pt idx="339">
                  <c:v>12</c:v>
                </c:pt>
                <c:pt idx="340">
                  <c:v>12</c:v>
                </c:pt>
                <c:pt idx="341">
                  <c:v>12</c:v>
                </c:pt>
                <c:pt idx="342">
                  <c:v>12</c:v>
                </c:pt>
                <c:pt idx="343">
                  <c:v>12</c:v>
                </c:pt>
                <c:pt idx="344">
                  <c:v>12</c:v>
                </c:pt>
                <c:pt idx="345">
                  <c:v>12</c:v>
                </c:pt>
                <c:pt idx="346">
                  <c:v>12</c:v>
                </c:pt>
                <c:pt idx="347">
                  <c:v>12</c:v>
                </c:pt>
                <c:pt idx="348">
                  <c:v>12</c:v>
                </c:pt>
                <c:pt idx="349">
                  <c:v>12</c:v>
                </c:pt>
                <c:pt idx="350">
                  <c:v>12</c:v>
                </c:pt>
                <c:pt idx="351">
                  <c:v>12</c:v>
                </c:pt>
                <c:pt idx="352">
                  <c:v>12</c:v>
                </c:pt>
                <c:pt idx="353">
                  <c:v>12</c:v>
                </c:pt>
                <c:pt idx="354">
                  <c:v>12</c:v>
                </c:pt>
                <c:pt idx="355">
                  <c:v>12</c:v>
                </c:pt>
                <c:pt idx="356">
                  <c:v>12</c:v>
                </c:pt>
                <c:pt idx="357">
                  <c:v>12</c:v>
                </c:pt>
                <c:pt idx="358">
                  <c:v>12</c:v>
                </c:pt>
                <c:pt idx="359">
                  <c:v>12</c:v>
                </c:pt>
                <c:pt idx="360">
                  <c:v>12</c:v>
                </c:pt>
                <c:pt idx="361">
                  <c:v>12</c:v>
                </c:pt>
                <c:pt idx="362">
                  <c:v>12</c:v>
                </c:pt>
                <c:pt idx="363">
                  <c:v>12</c:v>
                </c:pt>
              </c:numCache>
            </c:numRef>
          </c:cat>
          <c:val>
            <c:numRef>
              <c:f>Profile!$F$612:$F$976</c:f>
              <c:numCache>
                <c:formatCode>0.0</c:formatCode>
                <c:ptCount val="365"/>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0.6</c:v>
                </c:pt>
                <c:pt idx="32">
                  <c:v>0.6</c:v>
                </c:pt>
                <c:pt idx="33">
                  <c:v>0.6</c:v>
                </c:pt>
                <c:pt idx="34">
                  <c:v>0.6</c:v>
                </c:pt>
                <c:pt idx="35">
                  <c:v>0.6</c:v>
                </c:pt>
                <c:pt idx="36">
                  <c:v>0.6</c:v>
                </c:pt>
                <c:pt idx="37">
                  <c:v>0.6</c:v>
                </c:pt>
                <c:pt idx="38">
                  <c:v>0.6</c:v>
                </c:pt>
                <c:pt idx="39">
                  <c:v>0.6</c:v>
                </c:pt>
                <c:pt idx="40">
                  <c:v>0.6</c:v>
                </c:pt>
                <c:pt idx="41">
                  <c:v>0.6</c:v>
                </c:pt>
                <c:pt idx="42">
                  <c:v>0.6</c:v>
                </c:pt>
                <c:pt idx="43">
                  <c:v>0.6</c:v>
                </c:pt>
                <c:pt idx="44">
                  <c:v>0.6</c:v>
                </c:pt>
                <c:pt idx="45">
                  <c:v>0.6</c:v>
                </c:pt>
                <c:pt idx="46">
                  <c:v>0.6</c:v>
                </c:pt>
                <c:pt idx="47">
                  <c:v>0.6</c:v>
                </c:pt>
                <c:pt idx="48">
                  <c:v>0.6</c:v>
                </c:pt>
                <c:pt idx="49">
                  <c:v>0.6</c:v>
                </c:pt>
                <c:pt idx="50">
                  <c:v>0.6</c:v>
                </c:pt>
                <c:pt idx="51">
                  <c:v>0.6</c:v>
                </c:pt>
                <c:pt idx="52">
                  <c:v>0.6</c:v>
                </c:pt>
                <c:pt idx="53">
                  <c:v>0.6</c:v>
                </c:pt>
                <c:pt idx="54">
                  <c:v>0.6</c:v>
                </c:pt>
                <c:pt idx="55">
                  <c:v>0.6</c:v>
                </c:pt>
                <c:pt idx="56">
                  <c:v>0.6</c:v>
                </c:pt>
                <c:pt idx="57">
                  <c:v>0.6</c:v>
                </c:pt>
                <c:pt idx="58">
                  <c:v>0.6</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0.8</c:v>
                </c:pt>
                <c:pt idx="91">
                  <c:v>0.8</c:v>
                </c:pt>
                <c:pt idx="92">
                  <c:v>0.8</c:v>
                </c:pt>
                <c:pt idx="93">
                  <c:v>0.8</c:v>
                </c:pt>
                <c:pt idx="94">
                  <c:v>0.8</c:v>
                </c:pt>
                <c:pt idx="95">
                  <c:v>0.8</c:v>
                </c:pt>
                <c:pt idx="96">
                  <c:v>0.8</c:v>
                </c:pt>
                <c:pt idx="97">
                  <c:v>0.8</c:v>
                </c:pt>
                <c:pt idx="98">
                  <c:v>0.8</c:v>
                </c:pt>
                <c:pt idx="99">
                  <c:v>0.8</c:v>
                </c:pt>
                <c:pt idx="100">
                  <c:v>0.8</c:v>
                </c:pt>
                <c:pt idx="101">
                  <c:v>0.8</c:v>
                </c:pt>
                <c:pt idx="102">
                  <c:v>0.8</c:v>
                </c:pt>
                <c:pt idx="103">
                  <c:v>0.8</c:v>
                </c:pt>
                <c:pt idx="104">
                  <c:v>0.8</c:v>
                </c:pt>
                <c:pt idx="105">
                  <c:v>0.8</c:v>
                </c:pt>
                <c:pt idx="106">
                  <c:v>0.8</c:v>
                </c:pt>
                <c:pt idx="107">
                  <c:v>0.8</c:v>
                </c:pt>
                <c:pt idx="108">
                  <c:v>0.8</c:v>
                </c:pt>
                <c:pt idx="109">
                  <c:v>0.8</c:v>
                </c:pt>
                <c:pt idx="110">
                  <c:v>0.8</c:v>
                </c:pt>
                <c:pt idx="111">
                  <c:v>0.8</c:v>
                </c:pt>
                <c:pt idx="112">
                  <c:v>0.8</c:v>
                </c:pt>
                <c:pt idx="113">
                  <c:v>0.8</c:v>
                </c:pt>
                <c:pt idx="114">
                  <c:v>0.8</c:v>
                </c:pt>
                <c:pt idx="115">
                  <c:v>0.8</c:v>
                </c:pt>
                <c:pt idx="116">
                  <c:v>0.8</c:v>
                </c:pt>
                <c:pt idx="117">
                  <c:v>0.8</c:v>
                </c:pt>
                <c:pt idx="118">
                  <c:v>0.8</c:v>
                </c:pt>
                <c:pt idx="119">
                  <c:v>0.8</c:v>
                </c:pt>
                <c:pt idx="120">
                  <c:v>0.6</c:v>
                </c:pt>
                <c:pt idx="121">
                  <c:v>0.6</c:v>
                </c:pt>
                <c:pt idx="122">
                  <c:v>0.6</c:v>
                </c:pt>
                <c:pt idx="123">
                  <c:v>0.6</c:v>
                </c:pt>
                <c:pt idx="124">
                  <c:v>0.6</c:v>
                </c:pt>
                <c:pt idx="125">
                  <c:v>0.6</c:v>
                </c:pt>
                <c:pt idx="126">
                  <c:v>0.6</c:v>
                </c:pt>
                <c:pt idx="127">
                  <c:v>0.6</c:v>
                </c:pt>
                <c:pt idx="128">
                  <c:v>0.6</c:v>
                </c:pt>
                <c:pt idx="129">
                  <c:v>0.6</c:v>
                </c:pt>
                <c:pt idx="130">
                  <c:v>0.6</c:v>
                </c:pt>
                <c:pt idx="131">
                  <c:v>0.6</c:v>
                </c:pt>
                <c:pt idx="132">
                  <c:v>0.6</c:v>
                </c:pt>
                <c:pt idx="133">
                  <c:v>0.6</c:v>
                </c:pt>
                <c:pt idx="134">
                  <c:v>0.6</c:v>
                </c:pt>
                <c:pt idx="135">
                  <c:v>0.6</c:v>
                </c:pt>
                <c:pt idx="136">
                  <c:v>0.6</c:v>
                </c:pt>
                <c:pt idx="137">
                  <c:v>0.6</c:v>
                </c:pt>
                <c:pt idx="138">
                  <c:v>0.6</c:v>
                </c:pt>
                <c:pt idx="139">
                  <c:v>0.6</c:v>
                </c:pt>
                <c:pt idx="140">
                  <c:v>0.6</c:v>
                </c:pt>
                <c:pt idx="141">
                  <c:v>0.6</c:v>
                </c:pt>
                <c:pt idx="142">
                  <c:v>0.6</c:v>
                </c:pt>
                <c:pt idx="143">
                  <c:v>0.6</c:v>
                </c:pt>
                <c:pt idx="144">
                  <c:v>0.6</c:v>
                </c:pt>
                <c:pt idx="145">
                  <c:v>0.6</c:v>
                </c:pt>
                <c:pt idx="146">
                  <c:v>0.6</c:v>
                </c:pt>
                <c:pt idx="147">
                  <c:v>0.6</c:v>
                </c:pt>
                <c:pt idx="148">
                  <c:v>0.6</c:v>
                </c:pt>
                <c:pt idx="149">
                  <c:v>0.6</c:v>
                </c:pt>
                <c:pt idx="150">
                  <c:v>0.6</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0.6</c:v>
                </c:pt>
                <c:pt idx="182">
                  <c:v>0.6</c:v>
                </c:pt>
                <c:pt idx="183">
                  <c:v>0.6</c:v>
                </c:pt>
                <c:pt idx="184">
                  <c:v>0.6</c:v>
                </c:pt>
                <c:pt idx="185">
                  <c:v>0.6</c:v>
                </c:pt>
                <c:pt idx="186">
                  <c:v>0.6</c:v>
                </c:pt>
                <c:pt idx="187">
                  <c:v>0.6</c:v>
                </c:pt>
                <c:pt idx="188">
                  <c:v>0.6</c:v>
                </c:pt>
                <c:pt idx="189">
                  <c:v>0.6</c:v>
                </c:pt>
                <c:pt idx="190">
                  <c:v>0.6</c:v>
                </c:pt>
                <c:pt idx="191">
                  <c:v>0.6</c:v>
                </c:pt>
                <c:pt idx="192">
                  <c:v>0.6</c:v>
                </c:pt>
                <c:pt idx="193">
                  <c:v>0.6</c:v>
                </c:pt>
                <c:pt idx="194">
                  <c:v>0.6</c:v>
                </c:pt>
                <c:pt idx="195">
                  <c:v>0.6</c:v>
                </c:pt>
                <c:pt idx="196">
                  <c:v>0.6</c:v>
                </c:pt>
                <c:pt idx="197">
                  <c:v>0.6</c:v>
                </c:pt>
                <c:pt idx="198">
                  <c:v>0.6</c:v>
                </c:pt>
                <c:pt idx="199">
                  <c:v>0.6</c:v>
                </c:pt>
                <c:pt idx="200">
                  <c:v>0.6</c:v>
                </c:pt>
                <c:pt idx="201">
                  <c:v>0.6</c:v>
                </c:pt>
                <c:pt idx="202">
                  <c:v>0.6</c:v>
                </c:pt>
                <c:pt idx="203">
                  <c:v>0.6</c:v>
                </c:pt>
                <c:pt idx="204">
                  <c:v>0.6</c:v>
                </c:pt>
                <c:pt idx="205">
                  <c:v>0.6</c:v>
                </c:pt>
                <c:pt idx="206">
                  <c:v>0.6</c:v>
                </c:pt>
                <c:pt idx="207">
                  <c:v>0.6</c:v>
                </c:pt>
                <c:pt idx="208">
                  <c:v>0.6</c:v>
                </c:pt>
                <c:pt idx="209">
                  <c:v>0.6</c:v>
                </c:pt>
                <c:pt idx="210">
                  <c:v>0.6</c:v>
                </c:pt>
                <c:pt idx="211">
                  <c:v>0.6</c:v>
                </c:pt>
                <c:pt idx="212">
                  <c:v>0.6</c:v>
                </c:pt>
                <c:pt idx="213">
                  <c:v>0.6</c:v>
                </c:pt>
                <c:pt idx="214">
                  <c:v>0.6</c:v>
                </c:pt>
                <c:pt idx="215">
                  <c:v>0.6</c:v>
                </c:pt>
                <c:pt idx="216">
                  <c:v>0.6</c:v>
                </c:pt>
                <c:pt idx="217">
                  <c:v>0.6</c:v>
                </c:pt>
                <c:pt idx="218">
                  <c:v>0.6</c:v>
                </c:pt>
                <c:pt idx="219">
                  <c:v>0.6</c:v>
                </c:pt>
                <c:pt idx="220">
                  <c:v>0.6</c:v>
                </c:pt>
                <c:pt idx="221">
                  <c:v>0.6</c:v>
                </c:pt>
                <c:pt idx="222">
                  <c:v>0.6</c:v>
                </c:pt>
                <c:pt idx="223">
                  <c:v>0.6</c:v>
                </c:pt>
                <c:pt idx="224">
                  <c:v>0.6</c:v>
                </c:pt>
                <c:pt idx="225">
                  <c:v>0.6</c:v>
                </c:pt>
                <c:pt idx="226">
                  <c:v>0.6</c:v>
                </c:pt>
                <c:pt idx="227">
                  <c:v>0.6</c:v>
                </c:pt>
                <c:pt idx="228">
                  <c:v>0.6</c:v>
                </c:pt>
                <c:pt idx="229">
                  <c:v>0.6</c:v>
                </c:pt>
                <c:pt idx="230">
                  <c:v>0.6</c:v>
                </c:pt>
                <c:pt idx="231">
                  <c:v>0.6</c:v>
                </c:pt>
                <c:pt idx="232">
                  <c:v>0.6</c:v>
                </c:pt>
                <c:pt idx="233">
                  <c:v>0.6</c:v>
                </c:pt>
                <c:pt idx="234">
                  <c:v>0.6</c:v>
                </c:pt>
                <c:pt idx="235">
                  <c:v>0.6</c:v>
                </c:pt>
                <c:pt idx="236">
                  <c:v>0.6</c:v>
                </c:pt>
                <c:pt idx="237">
                  <c:v>0.6</c:v>
                </c:pt>
                <c:pt idx="238">
                  <c:v>0.6</c:v>
                </c:pt>
                <c:pt idx="239">
                  <c:v>0.6</c:v>
                </c:pt>
                <c:pt idx="240">
                  <c:v>0.6</c:v>
                </c:pt>
                <c:pt idx="241">
                  <c:v>0.6</c:v>
                </c:pt>
                <c:pt idx="242">
                  <c:v>0.6</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0.6</c:v>
                </c:pt>
                <c:pt idx="335">
                  <c:v>0.6</c:v>
                </c:pt>
                <c:pt idx="336">
                  <c:v>0.6</c:v>
                </c:pt>
                <c:pt idx="337">
                  <c:v>0.6</c:v>
                </c:pt>
                <c:pt idx="338">
                  <c:v>0.6</c:v>
                </c:pt>
                <c:pt idx="339">
                  <c:v>0.6</c:v>
                </c:pt>
                <c:pt idx="340">
                  <c:v>0.6</c:v>
                </c:pt>
                <c:pt idx="341">
                  <c:v>0.6</c:v>
                </c:pt>
                <c:pt idx="342">
                  <c:v>0.6</c:v>
                </c:pt>
                <c:pt idx="343">
                  <c:v>0.6</c:v>
                </c:pt>
                <c:pt idx="344">
                  <c:v>0.6</c:v>
                </c:pt>
                <c:pt idx="345">
                  <c:v>0.6</c:v>
                </c:pt>
                <c:pt idx="346">
                  <c:v>0.6</c:v>
                </c:pt>
                <c:pt idx="347">
                  <c:v>0.6</c:v>
                </c:pt>
                <c:pt idx="348">
                  <c:v>0.6</c:v>
                </c:pt>
                <c:pt idx="349">
                  <c:v>0.6</c:v>
                </c:pt>
                <c:pt idx="350">
                  <c:v>0.6</c:v>
                </c:pt>
                <c:pt idx="351">
                  <c:v>0.6</c:v>
                </c:pt>
                <c:pt idx="352">
                  <c:v>0.6</c:v>
                </c:pt>
                <c:pt idx="353">
                  <c:v>0.6</c:v>
                </c:pt>
                <c:pt idx="354">
                  <c:v>0.6</c:v>
                </c:pt>
                <c:pt idx="355">
                  <c:v>0.6</c:v>
                </c:pt>
                <c:pt idx="356">
                  <c:v>0.6</c:v>
                </c:pt>
                <c:pt idx="357">
                  <c:v>0.6</c:v>
                </c:pt>
                <c:pt idx="358">
                  <c:v>0.6</c:v>
                </c:pt>
                <c:pt idx="359">
                  <c:v>0.6</c:v>
                </c:pt>
                <c:pt idx="360">
                  <c:v>0.6</c:v>
                </c:pt>
                <c:pt idx="361">
                  <c:v>0.6</c:v>
                </c:pt>
                <c:pt idx="362">
                  <c:v>0.6</c:v>
                </c:pt>
                <c:pt idx="363">
                  <c:v>0.6</c:v>
                </c:pt>
                <c:pt idx="364">
                  <c:v>0.6</c:v>
                </c:pt>
              </c:numCache>
            </c:numRef>
          </c:val>
          <c:extLst>
            <c:ext xmlns:c16="http://schemas.microsoft.com/office/drawing/2014/chart" uri="{C3380CC4-5D6E-409C-BE32-E72D297353CC}">
              <c16:uniqueId val="{00000000-E7A0-40AC-A0F5-7125BE89883E}"/>
            </c:ext>
          </c:extLst>
        </c:ser>
        <c:dLbls>
          <c:showLegendKey val="0"/>
          <c:showVal val="0"/>
          <c:showCatName val="0"/>
          <c:showSerName val="0"/>
          <c:showPercent val="0"/>
          <c:showBubbleSize val="0"/>
        </c:dLbls>
        <c:gapWidth val="0"/>
        <c:overlap val="100"/>
        <c:axId val="88267008"/>
        <c:axId val="88272896"/>
      </c:barChart>
      <c:catAx>
        <c:axId val="8826700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272896"/>
        <c:crosses val="autoZero"/>
        <c:auto val="1"/>
        <c:lblAlgn val="ctr"/>
        <c:lblOffset val="100"/>
        <c:tickLblSkip val="31"/>
        <c:tickMarkSkip val="7"/>
        <c:noMultiLvlLbl val="0"/>
      </c:catAx>
      <c:valAx>
        <c:axId val="88272896"/>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267008"/>
        <c:crosses val="autoZero"/>
        <c:crossBetween val="between"/>
        <c:majorUnit val="0.2"/>
        <c:minorUnit val="0.01"/>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857A-4459-92AF-A9A8BD56FFAC}"/>
            </c:ext>
          </c:extLst>
        </c:ser>
        <c:dLbls>
          <c:showLegendKey val="0"/>
          <c:showVal val="0"/>
          <c:showCatName val="0"/>
          <c:showSerName val="0"/>
          <c:showPercent val="0"/>
          <c:showBubbleSize val="0"/>
        </c:dLbls>
        <c:gapWidth val="0"/>
        <c:overlap val="100"/>
        <c:axId val="88301568"/>
        <c:axId val="88303104"/>
      </c:barChart>
      <c:barChart>
        <c:barDir val="col"/>
        <c:grouping val="clustered"/>
        <c:varyColors val="0"/>
        <c:ser>
          <c:idx val="0"/>
          <c:order val="0"/>
          <c:spPr>
            <a:solidFill>
              <a:srgbClr val="00B050"/>
            </a:solidFill>
            <a:ln w="25400">
              <a:noFill/>
            </a:ln>
          </c:spPr>
          <c:invertIfNegative val="0"/>
          <c:val>
            <c:numRef>
              <c:f>Profile!$D$63:$D$86</c:f>
              <c:numCache>
                <c:formatCode>0.0</c:formatCode>
                <c:ptCount val="24"/>
                <c:pt idx="0">
                  <c:v>0.2</c:v>
                </c:pt>
                <c:pt idx="1">
                  <c:v>0.2</c:v>
                </c:pt>
                <c:pt idx="2">
                  <c:v>0.2</c:v>
                </c:pt>
                <c:pt idx="3">
                  <c:v>0.2</c:v>
                </c:pt>
                <c:pt idx="4">
                  <c:v>0.2</c:v>
                </c:pt>
                <c:pt idx="5">
                  <c:v>0.2</c:v>
                </c:pt>
                <c:pt idx="6">
                  <c:v>0.8</c:v>
                </c:pt>
                <c:pt idx="7">
                  <c:v>0.2</c:v>
                </c:pt>
                <c:pt idx="8">
                  <c:v>0.2</c:v>
                </c:pt>
                <c:pt idx="9">
                  <c:v>0.2</c:v>
                </c:pt>
                <c:pt idx="10">
                  <c:v>0.2</c:v>
                </c:pt>
                <c:pt idx="11">
                  <c:v>0.2</c:v>
                </c:pt>
                <c:pt idx="12">
                  <c:v>0.8</c:v>
                </c:pt>
                <c:pt idx="13">
                  <c:v>0.2</c:v>
                </c:pt>
                <c:pt idx="14">
                  <c:v>0.2</c:v>
                </c:pt>
                <c:pt idx="15">
                  <c:v>0.2</c:v>
                </c:pt>
                <c:pt idx="16">
                  <c:v>0.2</c:v>
                </c:pt>
                <c:pt idx="17">
                  <c:v>0.2</c:v>
                </c:pt>
                <c:pt idx="18">
                  <c:v>0.8</c:v>
                </c:pt>
                <c:pt idx="19">
                  <c:v>1</c:v>
                </c:pt>
                <c:pt idx="20">
                  <c:v>0.2</c:v>
                </c:pt>
                <c:pt idx="21">
                  <c:v>0.2</c:v>
                </c:pt>
                <c:pt idx="22">
                  <c:v>0.2</c:v>
                </c:pt>
                <c:pt idx="23">
                  <c:v>0.2</c:v>
                </c:pt>
              </c:numCache>
            </c:numRef>
          </c:val>
          <c:extLst>
            <c:ext xmlns:c16="http://schemas.microsoft.com/office/drawing/2014/chart" uri="{C3380CC4-5D6E-409C-BE32-E72D297353CC}">
              <c16:uniqueId val="{00000001-857A-4459-92AF-A9A8BD56FFAC}"/>
            </c:ext>
          </c:extLst>
        </c:ser>
        <c:dLbls>
          <c:showLegendKey val="0"/>
          <c:showVal val="0"/>
          <c:showCatName val="0"/>
          <c:showSerName val="0"/>
          <c:showPercent val="0"/>
          <c:showBubbleSize val="0"/>
        </c:dLbls>
        <c:gapWidth val="150"/>
        <c:axId val="88305024"/>
        <c:axId val="88315008"/>
      </c:barChart>
      <c:catAx>
        <c:axId val="88301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303104"/>
        <c:crosses val="autoZero"/>
        <c:auto val="1"/>
        <c:lblAlgn val="ctr"/>
        <c:lblOffset val="100"/>
        <c:tickLblSkip val="1"/>
        <c:tickMarkSkip val="1"/>
        <c:noMultiLvlLbl val="0"/>
      </c:catAx>
      <c:valAx>
        <c:axId val="88303104"/>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Geräteprofil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301568"/>
        <c:crosses val="autoZero"/>
        <c:crossBetween val="between"/>
        <c:majorUnit val="0.2"/>
        <c:minorUnit val="0.01"/>
      </c:valAx>
      <c:catAx>
        <c:axId val="88305024"/>
        <c:scaling>
          <c:orientation val="minMax"/>
        </c:scaling>
        <c:delete val="1"/>
        <c:axPos val="b"/>
        <c:majorTickMark val="out"/>
        <c:minorTickMark val="none"/>
        <c:tickLblPos val="nextTo"/>
        <c:crossAx val="88315008"/>
        <c:crosses val="autoZero"/>
        <c:auto val="1"/>
        <c:lblAlgn val="ctr"/>
        <c:lblOffset val="100"/>
        <c:noMultiLvlLbl val="0"/>
      </c:catAx>
      <c:valAx>
        <c:axId val="88315008"/>
        <c:scaling>
          <c:orientation val="minMax"/>
        </c:scaling>
        <c:delete val="1"/>
        <c:axPos val="r"/>
        <c:numFmt formatCode="0.0" sourceLinked="1"/>
        <c:majorTickMark val="out"/>
        <c:minorTickMark val="none"/>
        <c:tickLblPos val="nextTo"/>
        <c:crossAx val="88305024"/>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5927-4CA6-B44D-0B035865D5D2}"/>
            </c:ext>
          </c:extLst>
        </c:ser>
        <c:dLbls>
          <c:showLegendKey val="0"/>
          <c:showVal val="0"/>
          <c:showCatName val="0"/>
          <c:showSerName val="0"/>
          <c:showPercent val="0"/>
          <c:showBubbleSize val="0"/>
        </c:dLbls>
        <c:gapWidth val="0"/>
        <c:overlap val="100"/>
        <c:axId val="88345216"/>
        <c:axId val="88351104"/>
      </c:barChart>
      <c:barChart>
        <c:barDir val="col"/>
        <c:grouping val="clustered"/>
        <c:varyColors val="0"/>
        <c:ser>
          <c:idx val="0"/>
          <c:order val="0"/>
          <c:spPr>
            <a:solidFill>
              <a:srgbClr val="FFFF00"/>
            </a:solidFill>
            <a:ln w="25400">
              <a:noFill/>
            </a:ln>
          </c:spPr>
          <c:invertIfNegative val="0"/>
          <c:val>
            <c:numRef>
              <c:f>Profile!$T$63:$T$86</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1</c:v>
                </c:pt>
                <c:pt idx="21">
                  <c:v>1</c:v>
                </c:pt>
                <c:pt idx="22">
                  <c:v>0</c:v>
                </c:pt>
                <c:pt idx="23">
                  <c:v>0</c:v>
                </c:pt>
              </c:numCache>
            </c:numRef>
          </c:val>
          <c:extLst>
            <c:ext xmlns:c16="http://schemas.microsoft.com/office/drawing/2014/chart" uri="{C3380CC4-5D6E-409C-BE32-E72D297353CC}">
              <c16:uniqueId val="{00000001-5927-4CA6-B44D-0B035865D5D2}"/>
            </c:ext>
          </c:extLst>
        </c:ser>
        <c:dLbls>
          <c:showLegendKey val="0"/>
          <c:showVal val="0"/>
          <c:showCatName val="0"/>
          <c:showSerName val="0"/>
          <c:showPercent val="0"/>
          <c:showBubbleSize val="0"/>
        </c:dLbls>
        <c:gapWidth val="150"/>
        <c:axId val="88353024"/>
        <c:axId val="88354816"/>
      </c:barChart>
      <c:catAx>
        <c:axId val="8834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351104"/>
        <c:crosses val="autoZero"/>
        <c:auto val="1"/>
        <c:lblAlgn val="ctr"/>
        <c:lblOffset val="100"/>
        <c:tickLblSkip val="1"/>
        <c:tickMarkSkip val="1"/>
        <c:noMultiLvlLbl val="0"/>
      </c:catAx>
      <c:valAx>
        <c:axId val="88351104"/>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Beleuchtungsprofil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345216"/>
        <c:crosses val="autoZero"/>
        <c:crossBetween val="between"/>
        <c:majorUnit val="0.2"/>
        <c:minorUnit val="0.01"/>
      </c:valAx>
      <c:catAx>
        <c:axId val="88353024"/>
        <c:scaling>
          <c:orientation val="minMax"/>
        </c:scaling>
        <c:delete val="1"/>
        <c:axPos val="b"/>
        <c:majorTickMark val="out"/>
        <c:minorTickMark val="none"/>
        <c:tickLblPos val="nextTo"/>
        <c:crossAx val="88354816"/>
        <c:crosses val="autoZero"/>
        <c:auto val="1"/>
        <c:lblAlgn val="ctr"/>
        <c:lblOffset val="100"/>
        <c:noMultiLvlLbl val="0"/>
      </c:catAx>
      <c:valAx>
        <c:axId val="88354816"/>
        <c:scaling>
          <c:orientation val="minMax"/>
        </c:scaling>
        <c:delete val="1"/>
        <c:axPos val="r"/>
        <c:numFmt formatCode="General" sourceLinked="1"/>
        <c:majorTickMark val="out"/>
        <c:minorTickMark val="none"/>
        <c:tickLblPos val="nextTo"/>
        <c:crossAx val="88353024"/>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Profile!$A$612:$A$975</c:f>
              <c:numCache>
                <c:formatCode>General</c:formatCode>
                <c:ptCount val="36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6</c:v>
                </c:pt>
                <c:pt idx="152">
                  <c:v>6</c:v>
                </c:pt>
                <c:pt idx="153">
                  <c:v>6</c:v>
                </c:pt>
                <c:pt idx="154">
                  <c:v>6</c:v>
                </c:pt>
                <c:pt idx="155">
                  <c:v>6</c:v>
                </c:pt>
                <c:pt idx="156">
                  <c:v>6</c:v>
                </c:pt>
                <c:pt idx="157">
                  <c:v>6</c:v>
                </c:pt>
                <c:pt idx="158">
                  <c:v>6</c:v>
                </c:pt>
                <c:pt idx="159">
                  <c:v>6</c:v>
                </c:pt>
                <c:pt idx="160">
                  <c:v>6</c:v>
                </c:pt>
                <c:pt idx="161">
                  <c:v>6</c:v>
                </c:pt>
                <c:pt idx="162">
                  <c:v>6</c:v>
                </c:pt>
                <c:pt idx="163">
                  <c:v>6</c:v>
                </c:pt>
                <c:pt idx="164">
                  <c:v>6</c:v>
                </c:pt>
                <c:pt idx="165">
                  <c:v>6</c:v>
                </c:pt>
                <c:pt idx="166">
                  <c:v>6</c:v>
                </c:pt>
                <c:pt idx="167">
                  <c:v>6</c:v>
                </c:pt>
                <c:pt idx="168">
                  <c:v>6</c:v>
                </c:pt>
                <c:pt idx="169">
                  <c:v>6</c:v>
                </c:pt>
                <c:pt idx="170">
                  <c:v>6</c:v>
                </c:pt>
                <c:pt idx="171">
                  <c:v>6</c:v>
                </c:pt>
                <c:pt idx="172">
                  <c:v>6</c:v>
                </c:pt>
                <c:pt idx="173">
                  <c:v>6</c:v>
                </c:pt>
                <c:pt idx="174">
                  <c:v>6</c:v>
                </c:pt>
                <c:pt idx="175">
                  <c:v>6</c:v>
                </c:pt>
                <c:pt idx="176">
                  <c:v>6</c:v>
                </c:pt>
                <c:pt idx="177">
                  <c:v>6</c:v>
                </c:pt>
                <c:pt idx="178">
                  <c:v>6</c:v>
                </c:pt>
                <c:pt idx="179">
                  <c:v>6</c:v>
                </c:pt>
                <c:pt idx="180">
                  <c:v>6</c:v>
                </c:pt>
                <c:pt idx="181">
                  <c:v>7</c:v>
                </c:pt>
                <c:pt idx="182">
                  <c:v>7</c:v>
                </c:pt>
                <c:pt idx="183">
                  <c:v>7</c:v>
                </c:pt>
                <c:pt idx="184">
                  <c:v>7</c:v>
                </c:pt>
                <c:pt idx="185">
                  <c:v>7</c:v>
                </c:pt>
                <c:pt idx="186">
                  <c:v>7</c:v>
                </c:pt>
                <c:pt idx="187">
                  <c:v>7</c:v>
                </c:pt>
                <c:pt idx="188">
                  <c:v>7</c:v>
                </c:pt>
                <c:pt idx="189">
                  <c:v>7</c:v>
                </c:pt>
                <c:pt idx="190">
                  <c:v>7</c:v>
                </c:pt>
                <c:pt idx="191">
                  <c:v>7</c:v>
                </c:pt>
                <c:pt idx="192">
                  <c:v>7</c:v>
                </c:pt>
                <c:pt idx="193">
                  <c:v>7</c:v>
                </c:pt>
                <c:pt idx="194">
                  <c:v>7</c:v>
                </c:pt>
                <c:pt idx="195">
                  <c:v>7</c:v>
                </c:pt>
                <c:pt idx="196">
                  <c:v>7</c:v>
                </c:pt>
                <c:pt idx="197">
                  <c:v>7</c:v>
                </c:pt>
                <c:pt idx="198">
                  <c:v>7</c:v>
                </c:pt>
                <c:pt idx="199">
                  <c:v>7</c:v>
                </c:pt>
                <c:pt idx="200">
                  <c:v>7</c:v>
                </c:pt>
                <c:pt idx="201">
                  <c:v>7</c:v>
                </c:pt>
                <c:pt idx="202">
                  <c:v>7</c:v>
                </c:pt>
                <c:pt idx="203">
                  <c:v>7</c:v>
                </c:pt>
                <c:pt idx="204">
                  <c:v>7</c:v>
                </c:pt>
                <c:pt idx="205">
                  <c:v>7</c:v>
                </c:pt>
                <c:pt idx="206">
                  <c:v>7</c:v>
                </c:pt>
                <c:pt idx="207">
                  <c:v>7</c:v>
                </c:pt>
                <c:pt idx="208">
                  <c:v>7</c:v>
                </c:pt>
                <c:pt idx="209">
                  <c:v>7</c:v>
                </c:pt>
                <c:pt idx="210">
                  <c:v>7</c:v>
                </c:pt>
                <c:pt idx="211">
                  <c:v>7</c:v>
                </c:pt>
                <c:pt idx="212">
                  <c:v>8</c:v>
                </c:pt>
                <c:pt idx="213">
                  <c:v>8</c:v>
                </c:pt>
                <c:pt idx="214">
                  <c:v>8</c:v>
                </c:pt>
                <c:pt idx="215">
                  <c:v>8</c:v>
                </c:pt>
                <c:pt idx="216">
                  <c:v>8</c:v>
                </c:pt>
                <c:pt idx="217">
                  <c:v>8</c:v>
                </c:pt>
                <c:pt idx="218">
                  <c:v>8</c:v>
                </c:pt>
                <c:pt idx="219">
                  <c:v>8</c:v>
                </c:pt>
                <c:pt idx="220">
                  <c:v>8</c:v>
                </c:pt>
                <c:pt idx="221">
                  <c:v>8</c:v>
                </c:pt>
                <c:pt idx="222">
                  <c:v>8</c:v>
                </c:pt>
                <c:pt idx="223">
                  <c:v>8</c:v>
                </c:pt>
                <c:pt idx="224">
                  <c:v>8</c:v>
                </c:pt>
                <c:pt idx="225">
                  <c:v>8</c:v>
                </c:pt>
                <c:pt idx="226">
                  <c:v>8</c:v>
                </c:pt>
                <c:pt idx="227">
                  <c:v>8</c:v>
                </c:pt>
                <c:pt idx="228">
                  <c:v>8</c:v>
                </c:pt>
                <c:pt idx="229">
                  <c:v>8</c:v>
                </c:pt>
                <c:pt idx="230">
                  <c:v>8</c:v>
                </c:pt>
                <c:pt idx="231">
                  <c:v>8</c:v>
                </c:pt>
                <c:pt idx="232">
                  <c:v>8</c:v>
                </c:pt>
                <c:pt idx="233">
                  <c:v>8</c:v>
                </c:pt>
                <c:pt idx="234">
                  <c:v>8</c:v>
                </c:pt>
                <c:pt idx="235">
                  <c:v>8</c:v>
                </c:pt>
                <c:pt idx="236">
                  <c:v>8</c:v>
                </c:pt>
                <c:pt idx="237">
                  <c:v>8</c:v>
                </c:pt>
                <c:pt idx="238">
                  <c:v>8</c:v>
                </c:pt>
                <c:pt idx="239">
                  <c:v>8</c:v>
                </c:pt>
                <c:pt idx="240">
                  <c:v>8</c:v>
                </c:pt>
                <c:pt idx="241">
                  <c:v>8</c:v>
                </c:pt>
                <c:pt idx="242">
                  <c:v>8</c:v>
                </c:pt>
                <c:pt idx="243">
                  <c:v>9</c:v>
                </c:pt>
                <c:pt idx="244">
                  <c:v>9</c:v>
                </c:pt>
                <c:pt idx="245">
                  <c:v>9</c:v>
                </c:pt>
                <c:pt idx="246">
                  <c:v>9</c:v>
                </c:pt>
                <c:pt idx="247">
                  <c:v>9</c:v>
                </c:pt>
                <c:pt idx="248">
                  <c:v>9</c:v>
                </c:pt>
                <c:pt idx="249">
                  <c:v>9</c:v>
                </c:pt>
                <c:pt idx="250">
                  <c:v>9</c:v>
                </c:pt>
                <c:pt idx="251">
                  <c:v>9</c:v>
                </c:pt>
                <c:pt idx="252">
                  <c:v>9</c:v>
                </c:pt>
                <c:pt idx="253">
                  <c:v>9</c:v>
                </c:pt>
                <c:pt idx="254">
                  <c:v>9</c:v>
                </c:pt>
                <c:pt idx="255">
                  <c:v>9</c:v>
                </c:pt>
                <c:pt idx="256">
                  <c:v>9</c:v>
                </c:pt>
                <c:pt idx="257">
                  <c:v>9</c:v>
                </c:pt>
                <c:pt idx="258">
                  <c:v>9</c:v>
                </c:pt>
                <c:pt idx="259">
                  <c:v>9</c:v>
                </c:pt>
                <c:pt idx="260">
                  <c:v>9</c:v>
                </c:pt>
                <c:pt idx="261">
                  <c:v>9</c:v>
                </c:pt>
                <c:pt idx="262">
                  <c:v>9</c:v>
                </c:pt>
                <c:pt idx="263">
                  <c:v>9</c:v>
                </c:pt>
                <c:pt idx="264">
                  <c:v>9</c:v>
                </c:pt>
                <c:pt idx="265">
                  <c:v>9</c:v>
                </c:pt>
                <c:pt idx="266">
                  <c:v>9</c:v>
                </c:pt>
                <c:pt idx="267">
                  <c:v>9</c:v>
                </c:pt>
                <c:pt idx="268">
                  <c:v>9</c:v>
                </c:pt>
                <c:pt idx="269">
                  <c:v>9</c:v>
                </c:pt>
                <c:pt idx="270">
                  <c:v>9</c:v>
                </c:pt>
                <c:pt idx="271">
                  <c:v>9</c:v>
                </c:pt>
                <c:pt idx="272">
                  <c:v>9</c:v>
                </c:pt>
                <c:pt idx="273">
                  <c:v>10</c:v>
                </c:pt>
                <c:pt idx="274">
                  <c:v>10</c:v>
                </c:pt>
                <c:pt idx="275">
                  <c:v>10</c:v>
                </c:pt>
                <c:pt idx="276">
                  <c:v>10</c:v>
                </c:pt>
                <c:pt idx="277">
                  <c:v>10</c:v>
                </c:pt>
                <c:pt idx="278">
                  <c:v>10</c:v>
                </c:pt>
                <c:pt idx="279">
                  <c:v>10</c:v>
                </c:pt>
                <c:pt idx="280">
                  <c:v>10</c:v>
                </c:pt>
                <c:pt idx="281">
                  <c:v>10</c:v>
                </c:pt>
                <c:pt idx="282">
                  <c:v>10</c:v>
                </c:pt>
                <c:pt idx="283">
                  <c:v>10</c:v>
                </c:pt>
                <c:pt idx="284">
                  <c:v>10</c:v>
                </c:pt>
                <c:pt idx="285">
                  <c:v>10</c:v>
                </c:pt>
                <c:pt idx="286">
                  <c:v>10</c:v>
                </c:pt>
                <c:pt idx="287">
                  <c:v>10</c:v>
                </c:pt>
                <c:pt idx="288">
                  <c:v>10</c:v>
                </c:pt>
                <c:pt idx="289">
                  <c:v>10</c:v>
                </c:pt>
                <c:pt idx="290">
                  <c:v>10</c:v>
                </c:pt>
                <c:pt idx="291">
                  <c:v>10</c:v>
                </c:pt>
                <c:pt idx="292">
                  <c:v>10</c:v>
                </c:pt>
                <c:pt idx="293">
                  <c:v>10</c:v>
                </c:pt>
                <c:pt idx="294">
                  <c:v>10</c:v>
                </c:pt>
                <c:pt idx="295">
                  <c:v>10</c:v>
                </c:pt>
                <c:pt idx="296">
                  <c:v>10</c:v>
                </c:pt>
                <c:pt idx="297">
                  <c:v>10</c:v>
                </c:pt>
                <c:pt idx="298">
                  <c:v>10</c:v>
                </c:pt>
                <c:pt idx="299">
                  <c:v>10</c:v>
                </c:pt>
                <c:pt idx="300">
                  <c:v>10</c:v>
                </c:pt>
                <c:pt idx="301">
                  <c:v>10</c:v>
                </c:pt>
                <c:pt idx="302">
                  <c:v>10</c:v>
                </c:pt>
                <c:pt idx="303">
                  <c:v>10</c:v>
                </c:pt>
                <c:pt idx="304">
                  <c:v>11</c:v>
                </c:pt>
                <c:pt idx="305">
                  <c:v>11</c:v>
                </c:pt>
                <c:pt idx="306">
                  <c:v>11</c:v>
                </c:pt>
                <c:pt idx="307">
                  <c:v>11</c:v>
                </c:pt>
                <c:pt idx="308">
                  <c:v>11</c:v>
                </c:pt>
                <c:pt idx="309">
                  <c:v>11</c:v>
                </c:pt>
                <c:pt idx="310">
                  <c:v>11</c:v>
                </c:pt>
                <c:pt idx="311">
                  <c:v>11</c:v>
                </c:pt>
                <c:pt idx="312">
                  <c:v>11</c:v>
                </c:pt>
                <c:pt idx="313">
                  <c:v>11</c:v>
                </c:pt>
                <c:pt idx="314">
                  <c:v>11</c:v>
                </c:pt>
                <c:pt idx="315">
                  <c:v>11</c:v>
                </c:pt>
                <c:pt idx="316">
                  <c:v>11</c:v>
                </c:pt>
                <c:pt idx="317">
                  <c:v>11</c:v>
                </c:pt>
                <c:pt idx="318">
                  <c:v>11</c:v>
                </c:pt>
                <c:pt idx="319">
                  <c:v>11</c:v>
                </c:pt>
                <c:pt idx="320">
                  <c:v>11</c:v>
                </c:pt>
                <c:pt idx="321">
                  <c:v>11</c:v>
                </c:pt>
                <c:pt idx="322">
                  <c:v>11</c:v>
                </c:pt>
                <c:pt idx="323">
                  <c:v>11</c:v>
                </c:pt>
                <c:pt idx="324">
                  <c:v>11</c:v>
                </c:pt>
                <c:pt idx="325">
                  <c:v>11</c:v>
                </c:pt>
                <c:pt idx="326">
                  <c:v>11</c:v>
                </c:pt>
                <c:pt idx="327">
                  <c:v>11</c:v>
                </c:pt>
                <c:pt idx="328">
                  <c:v>11</c:v>
                </c:pt>
                <c:pt idx="329">
                  <c:v>11</c:v>
                </c:pt>
                <c:pt idx="330">
                  <c:v>11</c:v>
                </c:pt>
                <c:pt idx="331">
                  <c:v>11</c:v>
                </c:pt>
                <c:pt idx="332">
                  <c:v>11</c:v>
                </c:pt>
                <c:pt idx="333">
                  <c:v>11</c:v>
                </c:pt>
                <c:pt idx="334">
                  <c:v>12</c:v>
                </c:pt>
                <c:pt idx="335">
                  <c:v>12</c:v>
                </c:pt>
                <c:pt idx="336">
                  <c:v>12</c:v>
                </c:pt>
                <c:pt idx="337">
                  <c:v>12</c:v>
                </c:pt>
                <c:pt idx="338">
                  <c:v>12</c:v>
                </c:pt>
                <c:pt idx="339">
                  <c:v>12</c:v>
                </c:pt>
                <c:pt idx="340">
                  <c:v>12</c:v>
                </c:pt>
                <c:pt idx="341">
                  <c:v>12</c:v>
                </c:pt>
                <c:pt idx="342">
                  <c:v>12</c:v>
                </c:pt>
                <c:pt idx="343">
                  <c:v>12</c:v>
                </c:pt>
                <c:pt idx="344">
                  <c:v>12</c:v>
                </c:pt>
                <c:pt idx="345">
                  <c:v>12</c:v>
                </c:pt>
                <c:pt idx="346">
                  <c:v>12</c:v>
                </c:pt>
                <c:pt idx="347">
                  <c:v>12</c:v>
                </c:pt>
                <c:pt idx="348">
                  <c:v>12</c:v>
                </c:pt>
                <c:pt idx="349">
                  <c:v>12</c:v>
                </c:pt>
                <c:pt idx="350">
                  <c:v>12</c:v>
                </c:pt>
                <c:pt idx="351">
                  <c:v>12</c:v>
                </c:pt>
                <c:pt idx="352">
                  <c:v>12</c:v>
                </c:pt>
                <c:pt idx="353">
                  <c:v>12</c:v>
                </c:pt>
                <c:pt idx="354">
                  <c:v>12</c:v>
                </c:pt>
                <c:pt idx="355">
                  <c:v>12</c:v>
                </c:pt>
                <c:pt idx="356">
                  <c:v>12</c:v>
                </c:pt>
                <c:pt idx="357">
                  <c:v>12</c:v>
                </c:pt>
                <c:pt idx="358">
                  <c:v>12</c:v>
                </c:pt>
                <c:pt idx="359">
                  <c:v>12</c:v>
                </c:pt>
                <c:pt idx="360">
                  <c:v>12</c:v>
                </c:pt>
                <c:pt idx="361">
                  <c:v>12</c:v>
                </c:pt>
                <c:pt idx="362">
                  <c:v>12</c:v>
                </c:pt>
                <c:pt idx="363">
                  <c:v>12</c:v>
                </c:pt>
              </c:numCache>
            </c:numRef>
          </c:cat>
          <c:val>
            <c:numRef>
              <c:f>Profile!$G$612:$G$976</c:f>
              <c:numCache>
                <c:formatCode>General</c:formatCode>
                <c:ptCount val="365"/>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pt idx="41">
                  <c:v>0.8</c:v>
                </c:pt>
                <c:pt idx="42">
                  <c:v>0.8</c:v>
                </c:pt>
                <c:pt idx="43">
                  <c:v>0.8</c:v>
                </c:pt>
                <c:pt idx="44">
                  <c:v>0.8</c:v>
                </c:pt>
                <c:pt idx="45">
                  <c:v>0.8</c:v>
                </c:pt>
                <c:pt idx="46">
                  <c:v>0.8</c:v>
                </c:pt>
                <c:pt idx="47">
                  <c:v>0.8</c:v>
                </c:pt>
                <c:pt idx="48">
                  <c:v>0.8</c:v>
                </c:pt>
                <c:pt idx="49">
                  <c:v>0.8</c:v>
                </c:pt>
                <c:pt idx="50">
                  <c:v>0.8</c:v>
                </c:pt>
                <c:pt idx="51">
                  <c:v>0.8</c:v>
                </c:pt>
                <c:pt idx="52">
                  <c:v>0.8</c:v>
                </c:pt>
                <c:pt idx="53">
                  <c:v>0.8</c:v>
                </c:pt>
                <c:pt idx="54">
                  <c:v>0.8</c:v>
                </c:pt>
                <c:pt idx="55">
                  <c:v>0.8</c:v>
                </c:pt>
                <c:pt idx="56">
                  <c:v>0.8</c:v>
                </c:pt>
                <c:pt idx="57">
                  <c:v>0.8</c:v>
                </c:pt>
                <c:pt idx="58">
                  <c:v>0.8</c:v>
                </c:pt>
                <c:pt idx="59">
                  <c:v>0.8</c:v>
                </c:pt>
                <c:pt idx="60">
                  <c:v>0.8</c:v>
                </c:pt>
                <c:pt idx="61">
                  <c:v>0.8</c:v>
                </c:pt>
                <c:pt idx="62">
                  <c:v>0.8</c:v>
                </c:pt>
                <c:pt idx="63">
                  <c:v>0.8</c:v>
                </c:pt>
                <c:pt idx="64">
                  <c:v>0.8</c:v>
                </c:pt>
                <c:pt idx="65">
                  <c:v>0.8</c:v>
                </c:pt>
                <c:pt idx="66">
                  <c:v>0.8</c:v>
                </c:pt>
                <c:pt idx="67">
                  <c:v>0.8</c:v>
                </c:pt>
                <c:pt idx="68">
                  <c:v>0.8</c:v>
                </c:pt>
                <c:pt idx="69">
                  <c:v>0.8</c:v>
                </c:pt>
                <c:pt idx="70">
                  <c:v>0.8</c:v>
                </c:pt>
                <c:pt idx="71">
                  <c:v>0.8</c:v>
                </c:pt>
                <c:pt idx="72">
                  <c:v>0.8</c:v>
                </c:pt>
                <c:pt idx="73">
                  <c:v>0.8</c:v>
                </c:pt>
                <c:pt idx="74">
                  <c:v>0.8</c:v>
                </c:pt>
                <c:pt idx="75">
                  <c:v>0.8</c:v>
                </c:pt>
                <c:pt idx="76">
                  <c:v>0.8</c:v>
                </c:pt>
                <c:pt idx="77">
                  <c:v>0.8</c:v>
                </c:pt>
                <c:pt idx="78">
                  <c:v>0.8</c:v>
                </c:pt>
                <c:pt idx="79">
                  <c:v>0.8</c:v>
                </c:pt>
                <c:pt idx="80">
                  <c:v>0.8</c:v>
                </c:pt>
                <c:pt idx="81">
                  <c:v>0.8</c:v>
                </c:pt>
                <c:pt idx="82">
                  <c:v>0.8</c:v>
                </c:pt>
                <c:pt idx="83">
                  <c:v>0.8</c:v>
                </c:pt>
                <c:pt idx="84">
                  <c:v>0.8</c:v>
                </c:pt>
                <c:pt idx="85">
                  <c:v>0.8</c:v>
                </c:pt>
                <c:pt idx="86">
                  <c:v>0.8</c:v>
                </c:pt>
                <c:pt idx="87">
                  <c:v>0.8</c:v>
                </c:pt>
                <c:pt idx="88">
                  <c:v>0.8</c:v>
                </c:pt>
                <c:pt idx="89">
                  <c:v>0.8</c:v>
                </c:pt>
                <c:pt idx="90">
                  <c:v>0.8</c:v>
                </c:pt>
                <c:pt idx="91">
                  <c:v>0.8</c:v>
                </c:pt>
                <c:pt idx="92">
                  <c:v>0.8</c:v>
                </c:pt>
                <c:pt idx="93">
                  <c:v>0.8</c:v>
                </c:pt>
                <c:pt idx="94">
                  <c:v>0.8</c:v>
                </c:pt>
                <c:pt idx="95">
                  <c:v>0.8</c:v>
                </c:pt>
                <c:pt idx="96">
                  <c:v>0.8</c:v>
                </c:pt>
                <c:pt idx="97">
                  <c:v>0.8</c:v>
                </c:pt>
                <c:pt idx="98">
                  <c:v>0.8</c:v>
                </c:pt>
                <c:pt idx="99">
                  <c:v>0.8</c:v>
                </c:pt>
                <c:pt idx="100">
                  <c:v>0.8</c:v>
                </c:pt>
                <c:pt idx="101">
                  <c:v>0.8</c:v>
                </c:pt>
                <c:pt idx="102">
                  <c:v>0.8</c:v>
                </c:pt>
                <c:pt idx="103">
                  <c:v>0.8</c:v>
                </c:pt>
                <c:pt idx="104">
                  <c:v>0.8</c:v>
                </c:pt>
                <c:pt idx="105">
                  <c:v>0.8</c:v>
                </c:pt>
                <c:pt idx="106">
                  <c:v>0.8</c:v>
                </c:pt>
                <c:pt idx="107">
                  <c:v>0.8</c:v>
                </c:pt>
                <c:pt idx="108">
                  <c:v>0.8</c:v>
                </c:pt>
                <c:pt idx="109">
                  <c:v>0.8</c:v>
                </c:pt>
                <c:pt idx="110">
                  <c:v>0.8</c:v>
                </c:pt>
                <c:pt idx="111">
                  <c:v>0.8</c:v>
                </c:pt>
                <c:pt idx="112">
                  <c:v>0.8</c:v>
                </c:pt>
                <c:pt idx="113">
                  <c:v>0.8</c:v>
                </c:pt>
                <c:pt idx="114">
                  <c:v>0.8</c:v>
                </c:pt>
                <c:pt idx="115">
                  <c:v>0.8</c:v>
                </c:pt>
                <c:pt idx="116">
                  <c:v>0.8</c:v>
                </c:pt>
                <c:pt idx="117">
                  <c:v>0.8</c:v>
                </c:pt>
                <c:pt idx="118">
                  <c:v>0.8</c:v>
                </c:pt>
                <c:pt idx="119">
                  <c:v>0.8</c:v>
                </c:pt>
                <c:pt idx="120">
                  <c:v>0.8</c:v>
                </c:pt>
                <c:pt idx="121">
                  <c:v>0.8</c:v>
                </c:pt>
                <c:pt idx="122">
                  <c:v>0.8</c:v>
                </c:pt>
                <c:pt idx="123">
                  <c:v>0.8</c:v>
                </c:pt>
                <c:pt idx="124">
                  <c:v>0.8</c:v>
                </c:pt>
                <c:pt idx="125">
                  <c:v>0.8</c:v>
                </c:pt>
                <c:pt idx="126">
                  <c:v>0.8</c:v>
                </c:pt>
                <c:pt idx="127">
                  <c:v>0.8</c:v>
                </c:pt>
                <c:pt idx="128">
                  <c:v>0.8</c:v>
                </c:pt>
                <c:pt idx="129">
                  <c:v>0.8</c:v>
                </c:pt>
                <c:pt idx="130">
                  <c:v>0.8</c:v>
                </c:pt>
                <c:pt idx="131">
                  <c:v>0.8</c:v>
                </c:pt>
                <c:pt idx="132">
                  <c:v>0.8</c:v>
                </c:pt>
                <c:pt idx="133">
                  <c:v>0.8</c:v>
                </c:pt>
                <c:pt idx="134">
                  <c:v>0.8</c:v>
                </c:pt>
                <c:pt idx="135">
                  <c:v>0.8</c:v>
                </c:pt>
                <c:pt idx="136">
                  <c:v>0.8</c:v>
                </c:pt>
                <c:pt idx="137">
                  <c:v>0.8</c:v>
                </c:pt>
                <c:pt idx="138">
                  <c:v>0.8</c:v>
                </c:pt>
                <c:pt idx="139">
                  <c:v>0.8</c:v>
                </c:pt>
                <c:pt idx="140">
                  <c:v>0.8</c:v>
                </c:pt>
                <c:pt idx="141">
                  <c:v>0.8</c:v>
                </c:pt>
                <c:pt idx="142">
                  <c:v>0.8</c:v>
                </c:pt>
                <c:pt idx="143">
                  <c:v>0.8</c:v>
                </c:pt>
                <c:pt idx="144">
                  <c:v>0.8</c:v>
                </c:pt>
                <c:pt idx="145">
                  <c:v>0.8</c:v>
                </c:pt>
                <c:pt idx="146">
                  <c:v>0.8</c:v>
                </c:pt>
                <c:pt idx="147">
                  <c:v>0.8</c:v>
                </c:pt>
                <c:pt idx="148">
                  <c:v>0.8</c:v>
                </c:pt>
                <c:pt idx="149">
                  <c:v>0.8</c:v>
                </c:pt>
                <c:pt idx="150">
                  <c:v>0.8</c:v>
                </c:pt>
                <c:pt idx="151">
                  <c:v>0.8</c:v>
                </c:pt>
                <c:pt idx="152">
                  <c:v>0.8</c:v>
                </c:pt>
                <c:pt idx="153">
                  <c:v>0.8</c:v>
                </c:pt>
                <c:pt idx="154">
                  <c:v>0.8</c:v>
                </c:pt>
                <c:pt idx="155">
                  <c:v>0.8</c:v>
                </c:pt>
                <c:pt idx="156">
                  <c:v>0.8</c:v>
                </c:pt>
                <c:pt idx="157">
                  <c:v>0.8</c:v>
                </c:pt>
                <c:pt idx="158">
                  <c:v>0.8</c:v>
                </c:pt>
                <c:pt idx="159">
                  <c:v>0.8</c:v>
                </c:pt>
                <c:pt idx="160">
                  <c:v>0.8</c:v>
                </c:pt>
                <c:pt idx="161">
                  <c:v>0.8</c:v>
                </c:pt>
                <c:pt idx="162">
                  <c:v>0.8</c:v>
                </c:pt>
                <c:pt idx="163">
                  <c:v>0.8</c:v>
                </c:pt>
                <c:pt idx="164">
                  <c:v>0.8</c:v>
                </c:pt>
                <c:pt idx="165">
                  <c:v>0.8</c:v>
                </c:pt>
                <c:pt idx="166">
                  <c:v>0.8</c:v>
                </c:pt>
                <c:pt idx="167">
                  <c:v>0.8</c:v>
                </c:pt>
                <c:pt idx="168">
                  <c:v>0.8</c:v>
                </c:pt>
                <c:pt idx="169">
                  <c:v>0.8</c:v>
                </c:pt>
                <c:pt idx="170">
                  <c:v>0.8</c:v>
                </c:pt>
                <c:pt idx="171">
                  <c:v>0.8</c:v>
                </c:pt>
                <c:pt idx="172">
                  <c:v>0.8</c:v>
                </c:pt>
                <c:pt idx="173">
                  <c:v>0.8</c:v>
                </c:pt>
                <c:pt idx="174">
                  <c:v>0.8</c:v>
                </c:pt>
                <c:pt idx="175">
                  <c:v>0.8</c:v>
                </c:pt>
                <c:pt idx="176">
                  <c:v>0.8</c:v>
                </c:pt>
                <c:pt idx="177">
                  <c:v>0.8</c:v>
                </c:pt>
                <c:pt idx="178">
                  <c:v>0.8</c:v>
                </c:pt>
                <c:pt idx="179">
                  <c:v>0.8</c:v>
                </c:pt>
                <c:pt idx="180">
                  <c:v>0.8</c:v>
                </c:pt>
                <c:pt idx="181">
                  <c:v>0.8</c:v>
                </c:pt>
                <c:pt idx="182">
                  <c:v>0.8</c:v>
                </c:pt>
                <c:pt idx="183">
                  <c:v>0.8</c:v>
                </c:pt>
                <c:pt idx="184">
                  <c:v>0.8</c:v>
                </c:pt>
                <c:pt idx="185">
                  <c:v>0.8</c:v>
                </c:pt>
                <c:pt idx="186">
                  <c:v>0.8</c:v>
                </c:pt>
                <c:pt idx="187">
                  <c:v>0.8</c:v>
                </c:pt>
                <c:pt idx="188">
                  <c:v>0.8</c:v>
                </c:pt>
                <c:pt idx="189">
                  <c:v>0.8</c:v>
                </c:pt>
                <c:pt idx="190">
                  <c:v>0.8</c:v>
                </c:pt>
                <c:pt idx="191">
                  <c:v>0.8</c:v>
                </c:pt>
                <c:pt idx="192">
                  <c:v>0.8</c:v>
                </c:pt>
                <c:pt idx="193">
                  <c:v>0.8</c:v>
                </c:pt>
                <c:pt idx="194">
                  <c:v>0.8</c:v>
                </c:pt>
                <c:pt idx="195">
                  <c:v>0.8</c:v>
                </c:pt>
                <c:pt idx="196">
                  <c:v>0.8</c:v>
                </c:pt>
                <c:pt idx="197">
                  <c:v>0.8</c:v>
                </c:pt>
                <c:pt idx="198">
                  <c:v>0.8</c:v>
                </c:pt>
                <c:pt idx="199">
                  <c:v>0.8</c:v>
                </c:pt>
                <c:pt idx="200">
                  <c:v>0.8</c:v>
                </c:pt>
                <c:pt idx="201">
                  <c:v>0.8</c:v>
                </c:pt>
                <c:pt idx="202">
                  <c:v>0.8</c:v>
                </c:pt>
                <c:pt idx="203">
                  <c:v>0.8</c:v>
                </c:pt>
                <c:pt idx="204">
                  <c:v>0.8</c:v>
                </c:pt>
                <c:pt idx="205">
                  <c:v>0.8</c:v>
                </c:pt>
                <c:pt idx="206">
                  <c:v>0.8</c:v>
                </c:pt>
                <c:pt idx="207">
                  <c:v>0.8</c:v>
                </c:pt>
                <c:pt idx="208">
                  <c:v>0.8</c:v>
                </c:pt>
                <c:pt idx="209">
                  <c:v>0.8</c:v>
                </c:pt>
                <c:pt idx="210">
                  <c:v>0.8</c:v>
                </c:pt>
                <c:pt idx="211">
                  <c:v>0.8</c:v>
                </c:pt>
                <c:pt idx="212">
                  <c:v>0.8</c:v>
                </c:pt>
                <c:pt idx="213">
                  <c:v>0.8</c:v>
                </c:pt>
                <c:pt idx="214">
                  <c:v>0.8</c:v>
                </c:pt>
                <c:pt idx="215">
                  <c:v>0.8</c:v>
                </c:pt>
                <c:pt idx="216">
                  <c:v>0.8</c:v>
                </c:pt>
                <c:pt idx="217">
                  <c:v>0.8</c:v>
                </c:pt>
                <c:pt idx="218">
                  <c:v>0.8</c:v>
                </c:pt>
                <c:pt idx="219">
                  <c:v>0.8</c:v>
                </c:pt>
                <c:pt idx="220">
                  <c:v>0.8</c:v>
                </c:pt>
                <c:pt idx="221">
                  <c:v>0.8</c:v>
                </c:pt>
                <c:pt idx="222">
                  <c:v>0.8</c:v>
                </c:pt>
                <c:pt idx="223">
                  <c:v>0.8</c:v>
                </c:pt>
                <c:pt idx="224">
                  <c:v>0.8</c:v>
                </c:pt>
                <c:pt idx="225">
                  <c:v>0.8</c:v>
                </c:pt>
                <c:pt idx="226">
                  <c:v>0.8</c:v>
                </c:pt>
                <c:pt idx="227">
                  <c:v>0.8</c:v>
                </c:pt>
                <c:pt idx="228">
                  <c:v>0.8</c:v>
                </c:pt>
                <c:pt idx="229">
                  <c:v>0.8</c:v>
                </c:pt>
                <c:pt idx="230">
                  <c:v>0.8</c:v>
                </c:pt>
                <c:pt idx="231">
                  <c:v>0.8</c:v>
                </c:pt>
                <c:pt idx="232">
                  <c:v>0.8</c:v>
                </c:pt>
                <c:pt idx="233">
                  <c:v>0.8</c:v>
                </c:pt>
                <c:pt idx="234">
                  <c:v>0.8</c:v>
                </c:pt>
                <c:pt idx="235">
                  <c:v>0.8</c:v>
                </c:pt>
                <c:pt idx="236">
                  <c:v>0.8</c:v>
                </c:pt>
                <c:pt idx="237">
                  <c:v>0.8</c:v>
                </c:pt>
                <c:pt idx="238">
                  <c:v>0.8</c:v>
                </c:pt>
                <c:pt idx="239">
                  <c:v>0.8</c:v>
                </c:pt>
                <c:pt idx="240">
                  <c:v>0.8</c:v>
                </c:pt>
                <c:pt idx="241">
                  <c:v>0.8</c:v>
                </c:pt>
                <c:pt idx="242">
                  <c:v>0.8</c:v>
                </c:pt>
                <c:pt idx="243">
                  <c:v>0.8</c:v>
                </c:pt>
                <c:pt idx="244">
                  <c:v>0.8</c:v>
                </c:pt>
                <c:pt idx="245">
                  <c:v>0.8</c:v>
                </c:pt>
                <c:pt idx="246">
                  <c:v>0.8</c:v>
                </c:pt>
                <c:pt idx="247">
                  <c:v>0.8</c:v>
                </c:pt>
                <c:pt idx="248">
                  <c:v>0.8</c:v>
                </c:pt>
                <c:pt idx="249">
                  <c:v>0.8</c:v>
                </c:pt>
                <c:pt idx="250">
                  <c:v>0.8</c:v>
                </c:pt>
                <c:pt idx="251">
                  <c:v>0.8</c:v>
                </c:pt>
                <c:pt idx="252">
                  <c:v>0.8</c:v>
                </c:pt>
                <c:pt idx="253">
                  <c:v>0.8</c:v>
                </c:pt>
                <c:pt idx="254">
                  <c:v>0.8</c:v>
                </c:pt>
                <c:pt idx="255">
                  <c:v>0.8</c:v>
                </c:pt>
                <c:pt idx="256">
                  <c:v>0.8</c:v>
                </c:pt>
                <c:pt idx="257">
                  <c:v>0.8</c:v>
                </c:pt>
                <c:pt idx="258">
                  <c:v>0.8</c:v>
                </c:pt>
                <c:pt idx="259">
                  <c:v>0.8</c:v>
                </c:pt>
                <c:pt idx="260">
                  <c:v>0.8</c:v>
                </c:pt>
                <c:pt idx="261">
                  <c:v>0.8</c:v>
                </c:pt>
                <c:pt idx="262">
                  <c:v>0.8</c:v>
                </c:pt>
                <c:pt idx="263">
                  <c:v>0.8</c:v>
                </c:pt>
                <c:pt idx="264">
                  <c:v>0.8</c:v>
                </c:pt>
                <c:pt idx="265">
                  <c:v>0.8</c:v>
                </c:pt>
                <c:pt idx="266">
                  <c:v>0.8</c:v>
                </c:pt>
                <c:pt idx="267">
                  <c:v>0.8</c:v>
                </c:pt>
                <c:pt idx="268">
                  <c:v>0.8</c:v>
                </c:pt>
                <c:pt idx="269">
                  <c:v>0.8</c:v>
                </c:pt>
                <c:pt idx="270">
                  <c:v>0.8</c:v>
                </c:pt>
                <c:pt idx="271">
                  <c:v>0.8</c:v>
                </c:pt>
                <c:pt idx="272">
                  <c:v>0.8</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0.8</c:v>
                </c:pt>
                <c:pt idx="305">
                  <c:v>0.8</c:v>
                </c:pt>
                <c:pt idx="306">
                  <c:v>0.8</c:v>
                </c:pt>
                <c:pt idx="307">
                  <c:v>0.8</c:v>
                </c:pt>
                <c:pt idx="308">
                  <c:v>0.8</c:v>
                </c:pt>
                <c:pt idx="309">
                  <c:v>0.8</c:v>
                </c:pt>
                <c:pt idx="310">
                  <c:v>0.8</c:v>
                </c:pt>
                <c:pt idx="311">
                  <c:v>0.8</c:v>
                </c:pt>
                <c:pt idx="312">
                  <c:v>0.8</c:v>
                </c:pt>
                <c:pt idx="313">
                  <c:v>0.8</c:v>
                </c:pt>
                <c:pt idx="314">
                  <c:v>0.8</c:v>
                </c:pt>
                <c:pt idx="315">
                  <c:v>0.8</c:v>
                </c:pt>
                <c:pt idx="316">
                  <c:v>0.8</c:v>
                </c:pt>
                <c:pt idx="317">
                  <c:v>0.8</c:v>
                </c:pt>
                <c:pt idx="318">
                  <c:v>0.8</c:v>
                </c:pt>
                <c:pt idx="319">
                  <c:v>0.8</c:v>
                </c:pt>
                <c:pt idx="320">
                  <c:v>0.8</c:v>
                </c:pt>
                <c:pt idx="321">
                  <c:v>0.8</c:v>
                </c:pt>
                <c:pt idx="322">
                  <c:v>0.8</c:v>
                </c:pt>
                <c:pt idx="323">
                  <c:v>0.8</c:v>
                </c:pt>
                <c:pt idx="324">
                  <c:v>0.8</c:v>
                </c:pt>
                <c:pt idx="325">
                  <c:v>0.8</c:v>
                </c:pt>
                <c:pt idx="326">
                  <c:v>0.8</c:v>
                </c:pt>
                <c:pt idx="327">
                  <c:v>0.8</c:v>
                </c:pt>
                <c:pt idx="328">
                  <c:v>0.8</c:v>
                </c:pt>
                <c:pt idx="329">
                  <c:v>0.8</c:v>
                </c:pt>
                <c:pt idx="330">
                  <c:v>0.8</c:v>
                </c:pt>
                <c:pt idx="331">
                  <c:v>0.8</c:v>
                </c:pt>
                <c:pt idx="332">
                  <c:v>0.8</c:v>
                </c:pt>
                <c:pt idx="333">
                  <c:v>0.8</c:v>
                </c:pt>
                <c:pt idx="334">
                  <c:v>0.8</c:v>
                </c:pt>
                <c:pt idx="335">
                  <c:v>0.8</c:v>
                </c:pt>
                <c:pt idx="336">
                  <c:v>0.8</c:v>
                </c:pt>
                <c:pt idx="337">
                  <c:v>0.8</c:v>
                </c:pt>
                <c:pt idx="338">
                  <c:v>0.8</c:v>
                </c:pt>
                <c:pt idx="339">
                  <c:v>0.8</c:v>
                </c:pt>
                <c:pt idx="340">
                  <c:v>0.8</c:v>
                </c:pt>
                <c:pt idx="341">
                  <c:v>0.8</c:v>
                </c:pt>
                <c:pt idx="342">
                  <c:v>0.8</c:v>
                </c:pt>
                <c:pt idx="343">
                  <c:v>0.8</c:v>
                </c:pt>
                <c:pt idx="344">
                  <c:v>0.8</c:v>
                </c:pt>
                <c:pt idx="345">
                  <c:v>0.8</c:v>
                </c:pt>
                <c:pt idx="346">
                  <c:v>0.8</c:v>
                </c:pt>
                <c:pt idx="347">
                  <c:v>0.8</c:v>
                </c:pt>
                <c:pt idx="348">
                  <c:v>0.8</c:v>
                </c:pt>
                <c:pt idx="349">
                  <c:v>0.8</c:v>
                </c:pt>
                <c:pt idx="350">
                  <c:v>0.8</c:v>
                </c:pt>
                <c:pt idx="351">
                  <c:v>0.8</c:v>
                </c:pt>
                <c:pt idx="352">
                  <c:v>0.8</c:v>
                </c:pt>
                <c:pt idx="353">
                  <c:v>0.8</c:v>
                </c:pt>
                <c:pt idx="354">
                  <c:v>0.8</c:v>
                </c:pt>
                <c:pt idx="355">
                  <c:v>0.8</c:v>
                </c:pt>
                <c:pt idx="356">
                  <c:v>0.8</c:v>
                </c:pt>
                <c:pt idx="357">
                  <c:v>0.8</c:v>
                </c:pt>
                <c:pt idx="358">
                  <c:v>0.8</c:v>
                </c:pt>
                <c:pt idx="359">
                  <c:v>0.8</c:v>
                </c:pt>
                <c:pt idx="360">
                  <c:v>0.8</c:v>
                </c:pt>
                <c:pt idx="361">
                  <c:v>0.8</c:v>
                </c:pt>
                <c:pt idx="362">
                  <c:v>0.8</c:v>
                </c:pt>
                <c:pt idx="363">
                  <c:v>0.8</c:v>
                </c:pt>
                <c:pt idx="364">
                  <c:v>0.8</c:v>
                </c:pt>
              </c:numCache>
            </c:numRef>
          </c:val>
          <c:extLst>
            <c:ext xmlns:c16="http://schemas.microsoft.com/office/drawing/2014/chart" uri="{C3380CC4-5D6E-409C-BE32-E72D297353CC}">
              <c16:uniqueId val="{00000000-49A9-477C-93CD-0D99DDB2E35A}"/>
            </c:ext>
          </c:extLst>
        </c:ser>
        <c:dLbls>
          <c:showLegendKey val="0"/>
          <c:showVal val="0"/>
          <c:showCatName val="0"/>
          <c:showSerName val="0"/>
          <c:showPercent val="0"/>
          <c:showBubbleSize val="0"/>
        </c:dLbls>
        <c:gapWidth val="0"/>
        <c:overlap val="100"/>
        <c:axId val="88392448"/>
        <c:axId val="88393984"/>
      </c:barChart>
      <c:barChart>
        <c:barDir val="col"/>
        <c:grouping val="clustered"/>
        <c:varyColors val="0"/>
        <c:ser>
          <c:idx val="0"/>
          <c:order val="0"/>
          <c:spPr>
            <a:solidFill>
              <a:schemeClr val="bg1">
                <a:lumMod val="75000"/>
              </a:schemeClr>
            </a:solidFill>
            <a:ln w="25400">
              <a:noFill/>
            </a:ln>
          </c:spPr>
          <c:invertIfNegative val="0"/>
          <c:dPt>
            <c:idx val="204"/>
            <c:invertIfNegative val="0"/>
            <c:bubble3D val="0"/>
            <c:spPr>
              <a:solidFill>
                <a:schemeClr val="bg1"/>
              </a:solidFill>
              <a:ln w="25400">
                <a:noFill/>
              </a:ln>
            </c:spPr>
            <c:extLst>
              <c:ext xmlns:c16="http://schemas.microsoft.com/office/drawing/2014/chart" uri="{C3380CC4-5D6E-409C-BE32-E72D297353CC}">
                <c16:uniqueId val="{00000002-49A9-477C-93CD-0D99DDB2E35A}"/>
              </c:ext>
            </c:extLst>
          </c:dPt>
          <c:cat>
            <c:numRef>
              <c:f>Profile!$F$612:$F$976</c:f>
              <c:numCache>
                <c:formatCode>0.0</c:formatCode>
                <c:ptCount val="365"/>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0.6</c:v>
                </c:pt>
                <c:pt idx="32">
                  <c:v>0.6</c:v>
                </c:pt>
                <c:pt idx="33">
                  <c:v>0.6</c:v>
                </c:pt>
                <c:pt idx="34">
                  <c:v>0.6</c:v>
                </c:pt>
                <c:pt idx="35">
                  <c:v>0.6</c:v>
                </c:pt>
                <c:pt idx="36">
                  <c:v>0.6</c:v>
                </c:pt>
                <c:pt idx="37">
                  <c:v>0.6</c:v>
                </c:pt>
                <c:pt idx="38">
                  <c:v>0.6</c:v>
                </c:pt>
                <c:pt idx="39">
                  <c:v>0.6</c:v>
                </c:pt>
                <c:pt idx="40">
                  <c:v>0.6</c:v>
                </c:pt>
                <c:pt idx="41">
                  <c:v>0.6</c:v>
                </c:pt>
                <c:pt idx="42">
                  <c:v>0.6</c:v>
                </c:pt>
                <c:pt idx="43">
                  <c:v>0.6</c:v>
                </c:pt>
                <c:pt idx="44">
                  <c:v>0.6</c:v>
                </c:pt>
                <c:pt idx="45">
                  <c:v>0.6</c:v>
                </c:pt>
                <c:pt idx="46">
                  <c:v>0.6</c:v>
                </c:pt>
                <c:pt idx="47">
                  <c:v>0.6</c:v>
                </c:pt>
                <c:pt idx="48">
                  <c:v>0.6</c:v>
                </c:pt>
                <c:pt idx="49">
                  <c:v>0.6</c:v>
                </c:pt>
                <c:pt idx="50">
                  <c:v>0.6</c:v>
                </c:pt>
                <c:pt idx="51">
                  <c:v>0.6</c:v>
                </c:pt>
                <c:pt idx="52">
                  <c:v>0.6</c:v>
                </c:pt>
                <c:pt idx="53">
                  <c:v>0.6</c:v>
                </c:pt>
                <c:pt idx="54">
                  <c:v>0.6</c:v>
                </c:pt>
                <c:pt idx="55">
                  <c:v>0.6</c:v>
                </c:pt>
                <c:pt idx="56">
                  <c:v>0.6</c:v>
                </c:pt>
                <c:pt idx="57">
                  <c:v>0.6</c:v>
                </c:pt>
                <c:pt idx="58">
                  <c:v>0.6</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0.8</c:v>
                </c:pt>
                <c:pt idx="91">
                  <c:v>0.8</c:v>
                </c:pt>
                <c:pt idx="92">
                  <c:v>0.8</c:v>
                </c:pt>
                <c:pt idx="93">
                  <c:v>0.8</c:v>
                </c:pt>
                <c:pt idx="94">
                  <c:v>0.8</c:v>
                </c:pt>
                <c:pt idx="95">
                  <c:v>0.8</c:v>
                </c:pt>
                <c:pt idx="96">
                  <c:v>0.8</c:v>
                </c:pt>
                <c:pt idx="97">
                  <c:v>0.8</c:v>
                </c:pt>
                <c:pt idx="98">
                  <c:v>0.8</c:v>
                </c:pt>
                <c:pt idx="99">
                  <c:v>0.8</c:v>
                </c:pt>
                <c:pt idx="100">
                  <c:v>0.8</c:v>
                </c:pt>
                <c:pt idx="101">
                  <c:v>0.8</c:v>
                </c:pt>
                <c:pt idx="102">
                  <c:v>0.8</c:v>
                </c:pt>
                <c:pt idx="103">
                  <c:v>0.8</c:v>
                </c:pt>
                <c:pt idx="104">
                  <c:v>0.8</c:v>
                </c:pt>
                <c:pt idx="105">
                  <c:v>0.8</c:v>
                </c:pt>
                <c:pt idx="106">
                  <c:v>0.8</c:v>
                </c:pt>
                <c:pt idx="107">
                  <c:v>0.8</c:v>
                </c:pt>
                <c:pt idx="108">
                  <c:v>0.8</c:v>
                </c:pt>
                <c:pt idx="109">
                  <c:v>0.8</c:v>
                </c:pt>
                <c:pt idx="110">
                  <c:v>0.8</c:v>
                </c:pt>
                <c:pt idx="111">
                  <c:v>0.8</c:v>
                </c:pt>
                <c:pt idx="112">
                  <c:v>0.8</c:v>
                </c:pt>
                <c:pt idx="113">
                  <c:v>0.8</c:v>
                </c:pt>
                <c:pt idx="114">
                  <c:v>0.8</c:v>
                </c:pt>
                <c:pt idx="115">
                  <c:v>0.8</c:v>
                </c:pt>
                <c:pt idx="116">
                  <c:v>0.8</c:v>
                </c:pt>
                <c:pt idx="117">
                  <c:v>0.8</c:v>
                </c:pt>
                <c:pt idx="118">
                  <c:v>0.8</c:v>
                </c:pt>
                <c:pt idx="119">
                  <c:v>0.8</c:v>
                </c:pt>
                <c:pt idx="120">
                  <c:v>0.6</c:v>
                </c:pt>
                <c:pt idx="121">
                  <c:v>0.6</c:v>
                </c:pt>
                <c:pt idx="122">
                  <c:v>0.6</c:v>
                </c:pt>
                <c:pt idx="123">
                  <c:v>0.6</c:v>
                </c:pt>
                <c:pt idx="124">
                  <c:v>0.6</c:v>
                </c:pt>
                <c:pt idx="125">
                  <c:v>0.6</c:v>
                </c:pt>
                <c:pt idx="126">
                  <c:v>0.6</c:v>
                </c:pt>
                <c:pt idx="127">
                  <c:v>0.6</c:v>
                </c:pt>
                <c:pt idx="128">
                  <c:v>0.6</c:v>
                </c:pt>
                <c:pt idx="129">
                  <c:v>0.6</c:v>
                </c:pt>
                <c:pt idx="130">
                  <c:v>0.6</c:v>
                </c:pt>
                <c:pt idx="131">
                  <c:v>0.6</c:v>
                </c:pt>
                <c:pt idx="132">
                  <c:v>0.6</c:v>
                </c:pt>
                <c:pt idx="133">
                  <c:v>0.6</c:v>
                </c:pt>
                <c:pt idx="134">
                  <c:v>0.6</c:v>
                </c:pt>
                <c:pt idx="135">
                  <c:v>0.6</c:v>
                </c:pt>
                <c:pt idx="136">
                  <c:v>0.6</c:v>
                </c:pt>
                <c:pt idx="137">
                  <c:v>0.6</c:v>
                </c:pt>
                <c:pt idx="138">
                  <c:v>0.6</c:v>
                </c:pt>
                <c:pt idx="139">
                  <c:v>0.6</c:v>
                </c:pt>
                <c:pt idx="140">
                  <c:v>0.6</c:v>
                </c:pt>
                <c:pt idx="141">
                  <c:v>0.6</c:v>
                </c:pt>
                <c:pt idx="142">
                  <c:v>0.6</c:v>
                </c:pt>
                <c:pt idx="143">
                  <c:v>0.6</c:v>
                </c:pt>
                <c:pt idx="144">
                  <c:v>0.6</c:v>
                </c:pt>
                <c:pt idx="145">
                  <c:v>0.6</c:v>
                </c:pt>
                <c:pt idx="146">
                  <c:v>0.6</c:v>
                </c:pt>
                <c:pt idx="147">
                  <c:v>0.6</c:v>
                </c:pt>
                <c:pt idx="148">
                  <c:v>0.6</c:v>
                </c:pt>
                <c:pt idx="149">
                  <c:v>0.6</c:v>
                </c:pt>
                <c:pt idx="150">
                  <c:v>0.6</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0.6</c:v>
                </c:pt>
                <c:pt idx="182">
                  <c:v>0.6</c:v>
                </c:pt>
                <c:pt idx="183">
                  <c:v>0.6</c:v>
                </c:pt>
                <c:pt idx="184">
                  <c:v>0.6</c:v>
                </c:pt>
                <c:pt idx="185">
                  <c:v>0.6</c:v>
                </c:pt>
                <c:pt idx="186">
                  <c:v>0.6</c:v>
                </c:pt>
                <c:pt idx="187">
                  <c:v>0.6</c:v>
                </c:pt>
                <c:pt idx="188">
                  <c:v>0.6</c:v>
                </c:pt>
                <c:pt idx="189">
                  <c:v>0.6</c:v>
                </c:pt>
                <c:pt idx="190">
                  <c:v>0.6</c:v>
                </c:pt>
                <c:pt idx="191">
                  <c:v>0.6</c:v>
                </c:pt>
                <c:pt idx="192">
                  <c:v>0.6</c:v>
                </c:pt>
                <c:pt idx="193">
                  <c:v>0.6</c:v>
                </c:pt>
                <c:pt idx="194">
                  <c:v>0.6</c:v>
                </c:pt>
                <c:pt idx="195">
                  <c:v>0.6</c:v>
                </c:pt>
                <c:pt idx="196">
                  <c:v>0.6</c:v>
                </c:pt>
                <c:pt idx="197">
                  <c:v>0.6</c:v>
                </c:pt>
                <c:pt idx="198">
                  <c:v>0.6</c:v>
                </c:pt>
                <c:pt idx="199">
                  <c:v>0.6</c:v>
                </c:pt>
                <c:pt idx="200">
                  <c:v>0.6</c:v>
                </c:pt>
                <c:pt idx="201">
                  <c:v>0.6</c:v>
                </c:pt>
                <c:pt idx="202">
                  <c:v>0.6</c:v>
                </c:pt>
                <c:pt idx="203">
                  <c:v>0.6</c:v>
                </c:pt>
                <c:pt idx="204">
                  <c:v>0.6</c:v>
                </c:pt>
                <c:pt idx="205">
                  <c:v>0.6</c:v>
                </c:pt>
                <c:pt idx="206">
                  <c:v>0.6</c:v>
                </c:pt>
                <c:pt idx="207">
                  <c:v>0.6</c:v>
                </c:pt>
                <c:pt idx="208">
                  <c:v>0.6</c:v>
                </c:pt>
                <c:pt idx="209">
                  <c:v>0.6</c:v>
                </c:pt>
                <c:pt idx="210">
                  <c:v>0.6</c:v>
                </c:pt>
                <c:pt idx="211">
                  <c:v>0.6</c:v>
                </c:pt>
                <c:pt idx="212">
                  <c:v>0.6</c:v>
                </c:pt>
                <c:pt idx="213">
                  <c:v>0.6</c:v>
                </c:pt>
                <c:pt idx="214">
                  <c:v>0.6</c:v>
                </c:pt>
                <c:pt idx="215">
                  <c:v>0.6</c:v>
                </c:pt>
                <c:pt idx="216">
                  <c:v>0.6</c:v>
                </c:pt>
                <c:pt idx="217">
                  <c:v>0.6</c:v>
                </c:pt>
                <c:pt idx="218">
                  <c:v>0.6</c:v>
                </c:pt>
                <c:pt idx="219">
                  <c:v>0.6</c:v>
                </c:pt>
                <c:pt idx="220">
                  <c:v>0.6</c:v>
                </c:pt>
                <c:pt idx="221">
                  <c:v>0.6</c:v>
                </c:pt>
                <c:pt idx="222">
                  <c:v>0.6</c:v>
                </c:pt>
                <c:pt idx="223">
                  <c:v>0.6</c:v>
                </c:pt>
                <c:pt idx="224">
                  <c:v>0.6</c:v>
                </c:pt>
                <c:pt idx="225">
                  <c:v>0.6</c:v>
                </c:pt>
                <c:pt idx="226">
                  <c:v>0.6</c:v>
                </c:pt>
                <c:pt idx="227">
                  <c:v>0.6</c:v>
                </c:pt>
                <c:pt idx="228">
                  <c:v>0.6</c:v>
                </c:pt>
                <c:pt idx="229">
                  <c:v>0.6</c:v>
                </c:pt>
                <c:pt idx="230">
                  <c:v>0.6</c:v>
                </c:pt>
                <c:pt idx="231">
                  <c:v>0.6</c:v>
                </c:pt>
                <c:pt idx="232">
                  <c:v>0.6</c:v>
                </c:pt>
                <c:pt idx="233">
                  <c:v>0.6</c:v>
                </c:pt>
                <c:pt idx="234">
                  <c:v>0.6</c:v>
                </c:pt>
                <c:pt idx="235">
                  <c:v>0.6</c:v>
                </c:pt>
                <c:pt idx="236">
                  <c:v>0.6</c:v>
                </c:pt>
                <c:pt idx="237">
                  <c:v>0.6</c:v>
                </c:pt>
                <c:pt idx="238">
                  <c:v>0.6</c:v>
                </c:pt>
                <c:pt idx="239">
                  <c:v>0.6</c:v>
                </c:pt>
                <c:pt idx="240">
                  <c:v>0.6</c:v>
                </c:pt>
                <c:pt idx="241">
                  <c:v>0.6</c:v>
                </c:pt>
                <c:pt idx="242">
                  <c:v>0.6</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0.6</c:v>
                </c:pt>
                <c:pt idx="335">
                  <c:v>0.6</c:v>
                </c:pt>
                <c:pt idx="336">
                  <c:v>0.6</c:v>
                </c:pt>
                <c:pt idx="337">
                  <c:v>0.6</c:v>
                </c:pt>
                <c:pt idx="338">
                  <c:v>0.6</c:v>
                </c:pt>
                <c:pt idx="339">
                  <c:v>0.6</c:v>
                </c:pt>
                <c:pt idx="340">
                  <c:v>0.6</c:v>
                </c:pt>
                <c:pt idx="341">
                  <c:v>0.6</c:v>
                </c:pt>
                <c:pt idx="342">
                  <c:v>0.6</c:v>
                </c:pt>
                <c:pt idx="343">
                  <c:v>0.6</c:v>
                </c:pt>
                <c:pt idx="344">
                  <c:v>0.6</c:v>
                </c:pt>
                <c:pt idx="345">
                  <c:v>0.6</c:v>
                </c:pt>
                <c:pt idx="346">
                  <c:v>0.6</c:v>
                </c:pt>
                <c:pt idx="347">
                  <c:v>0.6</c:v>
                </c:pt>
                <c:pt idx="348">
                  <c:v>0.6</c:v>
                </c:pt>
                <c:pt idx="349">
                  <c:v>0.6</c:v>
                </c:pt>
                <c:pt idx="350">
                  <c:v>0.6</c:v>
                </c:pt>
                <c:pt idx="351">
                  <c:v>0.6</c:v>
                </c:pt>
                <c:pt idx="352">
                  <c:v>0.6</c:v>
                </c:pt>
                <c:pt idx="353">
                  <c:v>0.6</c:v>
                </c:pt>
                <c:pt idx="354">
                  <c:v>0.6</c:v>
                </c:pt>
                <c:pt idx="355">
                  <c:v>0.6</c:v>
                </c:pt>
                <c:pt idx="356">
                  <c:v>0.6</c:v>
                </c:pt>
                <c:pt idx="357">
                  <c:v>0.6</c:v>
                </c:pt>
                <c:pt idx="358">
                  <c:v>0.6</c:v>
                </c:pt>
                <c:pt idx="359">
                  <c:v>0.6</c:v>
                </c:pt>
                <c:pt idx="360">
                  <c:v>0.6</c:v>
                </c:pt>
                <c:pt idx="361">
                  <c:v>0.6</c:v>
                </c:pt>
                <c:pt idx="362">
                  <c:v>0.6</c:v>
                </c:pt>
                <c:pt idx="363">
                  <c:v>0.6</c:v>
                </c:pt>
                <c:pt idx="364">
                  <c:v>0.6</c:v>
                </c:pt>
              </c:numCache>
            </c:numRef>
          </c:cat>
          <c:val>
            <c:numRef>
              <c:f>Profile!$M$620:$M$976</c:f>
              <c:numCache>
                <c:formatCode>0.0</c:formatCode>
                <c:ptCount val="357"/>
                <c:pt idx="0">
                  <c:v>0.8</c:v>
                </c:pt>
                <c:pt idx="1">
                  <c:v>0.8</c:v>
                </c:pt>
                <c:pt idx="2">
                  <c:v>0.8</c:v>
                </c:pt>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pt idx="41">
                  <c:v>0.8</c:v>
                </c:pt>
                <c:pt idx="42">
                  <c:v>0.8</c:v>
                </c:pt>
                <c:pt idx="43">
                  <c:v>0.8</c:v>
                </c:pt>
                <c:pt idx="44">
                  <c:v>0.8</c:v>
                </c:pt>
                <c:pt idx="45">
                  <c:v>0.8</c:v>
                </c:pt>
                <c:pt idx="46">
                  <c:v>0.8</c:v>
                </c:pt>
                <c:pt idx="47">
                  <c:v>0.8</c:v>
                </c:pt>
                <c:pt idx="48">
                  <c:v>0.8</c:v>
                </c:pt>
                <c:pt idx="49">
                  <c:v>0.8</c:v>
                </c:pt>
                <c:pt idx="50">
                  <c:v>0.8</c:v>
                </c:pt>
                <c:pt idx="51">
                  <c:v>0.8</c:v>
                </c:pt>
                <c:pt idx="52">
                  <c:v>0.8</c:v>
                </c:pt>
                <c:pt idx="53">
                  <c:v>0.8</c:v>
                </c:pt>
                <c:pt idx="54">
                  <c:v>0.8</c:v>
                </c:pt>
                <c:pt idx="55">
                  <c:v>0.8</c:v>
                </c:pt>
                <c:pt idx="56">
                  <c:v>0.8</c:v>
                </c:pt>
                <c:pt idx="57">
                  <c:v>0.8</c:v>
                </c:pt>
                <c:pt idx="58">
                  <c:v>0.8</c:v>
                </c:pt>
                <c:pt idx="59">
                  <c:v>0.8</c:v>
                </c:pt>
                <c:pt idx="60">
                  <c:v>0.8</c:v>
                </c:pt>
                <c:pt idx="61">
                  <c:v>0.8</c:v>
                </c:pt>
                <c:pt idx="62">
                  <c:v>0.8</c:v>
                </c:pt>
                <c:pt idx="63">
                  <c:v>0.8</c:v>
                </c:pt>
                <c:pt idx="64">
                  <c:v>0.8</c:v>
                </c:pt>
                <c:pt idx="65">
                  <c:v>0.8</c:v>
                </c:pt>
                <c:pt idx="66">
                  <c:v>0.8</c:v>
                </c:pt>
                <c:pt idx="67">
                  <c:v>0.8</c:v>
                </c:pt>
                <c:pt idx="68">
                  <c:v>0.8</c:v>
                </c:pt>
                <c:pt idx="69">
                  <c:v>0.8</c:v>
                </c:pt>
                <c:pt idx="70">
                  <c:v>0.8</c:v>
                </c:pt>
                <c:pt idx="71">
                  <c:v>0.8</c:v>
                </c:pt>
                <c:pt idx="72">
                  <c:v>0.8</c:v>
                </c:pt>
                <c:pt idx="73">
                  <c:v>0.8</c:v>
                </c:pt>
                <c:pt idx="74">
                  <c:v>0.8</c:v>
                </c:pt>
                <c:pt idx="75">
                  <c:v>0.8</c:v>
                </c:pt>
                <c:pt idx="76">
                  <c:v>0.8</c:v>
                </c:pt>
                <c:pt idx="77">
                  <c:v>0.8</c:v>
                </c:pt>
                <c:pt idx="78">
                  <c:v>0.8</c:v>
                </c:pt>
                <c:pt idx="79">
                  <c:v>0.8</c:v>
                </c:pt>
                <c:pt idx="80">
                  <c:v>0.8</c:v>
                </c:pt>
                <c:pt idx="81">
                  <c:v>0.8</c:v>
                </c:pt>
                <c:pt idx="82">
                  <c:v>0.8</c:v>
                </c:pt>
                <c:pt idx="83">
                  <c:v>0.8</c:v>
                </c:pt>
                <c:pt idx="84">
                  <c:v>0.8</c:v>
                </c:pt>
                <c:pt idx="85">
                  <c:v>0.8</c:v>
                </c:pt>
                <c:pt idx="86">
                  <c:v>0.8</c:v>
                </c:pt>
                <c:pt idx="87">
                  <c:v>0.8</c:v>
                </c:pt>
                <c:pt idx="88">
                  <c:v>0.8</c:v>
                </c:pt>
                <c:pt idx="89">
                  <c:v>0.8</c:v>
                </c:pt>
                <c:pt idx="90">
                  <c:v>0.8</c:v>
                </c:pt>
                <c:pt idx="91">
                  <c:v>0.8</c:v>
                </c:pt>
                <c:pt idx="92">
                  <c:v>0.8</c:v>
                </c:pt>
                <c:pt idx="93">
                  <c:v>0.8</c:v>
                </c:pt>
                <c:pt idx="94">
                  <c:v>0.8</c:v>
                </c:pt>
                <c:pt idx="95">
                  <c:v>0.8</c:v>
                </c:pt>
                <c:pt idx="96">
                  <c:v>0.8</c:v>
                </c:pt>
                <c:pt idx="97">
                  <c:v>0.8</c:v>
                </c:pt>
                <c:pt idx="98">
                  <c:v>0.8</c:v>
                </c:pt>
                <c:pt idx="99">
                  <c:v>0.8</c:v>
                </c:pt>
                <c:pt idx="100">
                  <c:v>0.8</c:v>
                </c:pt>
                <c:pt idx="101">
                  <c:v>0.8</c:v>
                </c:pt>
                <c:pt idx="102">
                  <c:v>0.8</c:v>
                </c:pt>
                <c:pt idx="103">
                  <c:v>0.8</c:v>
                </c:pt>
                <c:pt idx="104">
                  <c:v>0.8</c:v>
                </c:pt>
                <c:pt idx="105">
                  <c:v>0.8</c:v>
                </c:pt>
                <c:pt idx="106">
                  <c:v>0.8</c:v>
                </c:pt>
                <c:pt idx="107">
                  <c:v>0.8</c:v>
                </c:pt>
                <c:pt idx="108">
                  <c:v>0.8</c:v>
                </c:pt>
                <c:pt idx="109">
                  <c:v>0.8</c:v>
                </c:pt>
                <c:pt idx="110">
                  <c:v>0.8</c:v>
                </c:pt>
                <c:pt idx="111">
                  <c:v>0.8</c:v>
                </c:pt>
                <c:pt idx="112">
                  <c:v>0.8</c:v>
                </c:pt>
                <c:pt idx="113">
                  <c:v>0.8</c:v>
                </c:pt>
                <c:pt idx="114">
                  <c:v>0.8</c:v>
                </c:pt>
                <c:pt idx="115">
                  <c:v>0.8</c:v>
                </c:pt>
                <c:pt idx="116">
                  <c:v>0.8</c:v>
                </c:pt>
                <c:pt idx="117">
                  <c:v>0.8</c:v>
                </c:pt>
                <c:pt idx="118">
                  <c:v>0.8</c:v>
                </c:pt>
                <c:pt idx="119">
                  <c:v>0.8</c:v>
                </c:pt>
                <c:pt idx="120">
                  <c:v>0.8</c:v>
                </c:pt>
                <c:pt idx="121">
                  <c:v>0.8</c:v>
                </c:pt>
                <c:pt idx="122">
                  <c:v>0.8</c:v>
                </c:pt>
                <c:pt idx="123">
                  <c:v>0.8</c:v>
                </c:pt>
                <c:pt idx="124">
                  <c:v>0.8</c:v>
                </c:pt>
                <c:pt idx="125">
                  <c:v>0.8</c:v>
                </c:pt>
                <c:pt idx="126">
                  <c:v>0.8</c:v>
                </c:pt>
                <c:pt idx="127">
                  <c:v>0.8</c:v>
                </c:pt>
                <c:pt idx="128">
                  <c:v>0.8</c:v>
                </c:pt>
                <c:pt idx="129">
                  <c:v>0.8</c:v>
                </c:pt>
                <c:pt idx="130">
                  <c:v>0.8</c:v>
                </c:pt>
                <c:pt idx="131">
                  <c:v>0.8</c:v>
                </c:pt>
                <c:pt idx="132">
                  <c:v>0.8</c:v>
                </c:pt>
                <c:pt idx="133">
                  <c:v>0.8</c:v>
                </c:pt>
                <c:pt idx="134">
                  <c:v>0.8</c:v>
                </c:pt>
                <c:pt idx="135">
                  <c:v>0.8</c:v>
                </c:pt>
                <c:pt idx="136">
                  <c:v>0.8</c:v>
                </c:pt>
                <c:pt idx="137">
                  <c:v>0.8</c:v>
                </c:pt>
                <c:pt idx="138">
                  <c:v>0.8</c:v>
                </c:pt>
                <c:pt idx="139">
                  <c:v>0.8</c:v>
                </c:pt>
                <c:pt idx="140">
                  <c:v>0.8</c:v>
                </c:pt>
                <c:pt idx="141">
                  <c:v>0.8</c:v>
                </c:pt>
                <c:pt idx="142">
                  <c:v>0.8</c:v>
                </c:pt>
                <c:pt idx="143">
                  <c:v>0.8</c:v>
                </c:pt>
                <c:pt idx="144">
                  <c:v>0.8</c:v>
                </c:pt>
                <c:pt idx="145">
                  <c:v>0.8</c:v>
                </c:pt>
                <c:pt idx="146">
                  <c:v>0.8</c:v>
                </c:pt>
                <c:pt idx="147">
                  <c:v>0.8</c:v>
                </c:pt>
                <c:pt idx="148">
                  <c:v>0.8</c:v>
                </c:pt>
                <c:pt idx="149">
                  <c:v>0.8</c:v>
                </c:pt>
                <c:pt idx="150">
                  <c:v>0.8</c:v>
                </c:pt>
                <c:pt idx="151">
                  <c:v>0.8</c:v>
                </c:pt>
                <c:pt idx="152">
                  <c:v>0.8</c:v>
                </c:pt>
                <c:pt idx="153">
                  <c:v>0.8</c:v>
                </c:pt>
                <c:pt idx="154">
                  <c:v>0.8</c:v>
                </c:pt>
                <c:pt idx="155">
                  <c:v>0.8</c:v>
                </c:pt>
                <c:pt idx="156">
                  <c:v>0.8</c:v>
                </c:pt>
                <c:pt idx="157">
                  <c:v>0.8</c:v>
                </c:pt>
                <c:pt idx="158">
                  <c:v>0.8</c:v>
                </c:pt>
                <c:pt idx="159">
                  <c:v>0.8</c:v>
                </c:pt>
                <c:pt idx="160">
                  <c:v>0.8</c:v>
                </c:pt>
                <c:pt idx="161">
                  <c:v>0.8</c:v>
                </c:pt>
                <c:pt idx="162">
                  <c:v>0.8</c:v>
                </c:pt>
                <c:pt idx="163">
                  <c:v>0.8</c:v>
                </c:pt>
                <c:pt idx="164">
                  <c:v>0.8</c:v>
                </c:pt>
                <c:pt idx="165">
                  <c:v>0.8</c:v>
                </c:pt>
                <c:pt idx="166">
                  <c:v>0.8</c:v>
                </c:pt>
                <c:pt idx="167">
                  <c:v>0.8</c:v>
                </c:pt>
                <c:pt idx="168">
                  <c:v>0.8</c:v>
                </c:pt>
                <c:pt idx="169">
                  <c:v>0.8</c:v>
                </c:pt>
                <c:pt idx="170">
                  <c:v>0.8</c:v>
                </c:pt>
                <c:pt idx="171">
                  <c:v>0.8</c:v>
                </c:pt>
                <c:pt idx="172">
                  <c:v>0.8</c:v>
                </c:pt>
                <c:pt idx="173">
                  <c:v>0.8</c:v>
                </c:pt>
                <c:pt idx="174">
                  <c:v>0.8</c:v>
                </c:pt>
                <c:pt idx="175">
                  <c:v>0.8</c:v>
                </c:pt>
                <c:pt idx="176">
                  <c:v>0.8</c:v>
                </c:pt>
                <c:pt idx="177">
                  <c:v>0.8</c:v>
                </c:pt>
                <c:pt idx="178">
                  <c:v>0.8</c:v>
                </c:pt>
                <c:pt idx="179">
                  <c:v>0.8</c:v>
                </c:pt>
                <c:pt idx="180">
                  <c:v>0.8</c:v>
                </c:pt>
                <c:pt idx="181">
                  <c:v>0.8</c:v>
                </c:pt>
                <c:pt idx="182">
                  <c:v>0.8</c:v>
                </c:pt>
                <c:pt idx="183">
                  <c:v>0.8</c:v>
                </c:pt>
                <c:pt idx="184">
                  <c:v>0.8</c:v>
                </c:pt>
                <c:pt idx="185">
                  <c:v>0.8</c:v>
                </c:pt>
                <c:pt idx="186">
                  <c:v>0.8</c:v>
                </c:pt>
                <c:pt idx="187">
                  <c:v>0.8</c:v>
                </c:pt>
                <c:pt idx="188">
                  <c:v>0.8</c:v>
                </c:pt>
                <c:pt idx="189">
                  <c:v>0.8</c:v>
                </c:pt>
                <c:pt idx="190">
                  <c:v>0.8</c:v>
                </c:pt>
                <c:pt idx="191">
                  <c:v>0.8</c:v>
                </c:pt>
                <c:pt idx="192">
                  <c:v>0.8</c:v>
                </c:pt>
                <c:pt idx="193">
                  <c:v>0.8</c:v>
                </c:pt>
                <c:pt idx="194">
                  <c:v>0.8</c:v>
                </c:pt>
                <c:pt idx="195">
                  <c:v>0.8</c:v>
                </c:pt>
                <c:pt idx="196">
                  <c:v>0.8</c:v>
                </c:pt>
                <c:pt idx="197">
                  <c:v>0.8</c:v>
                </c:pt>
                <c:pt idx="198">
                  <c:v>0.8</c:v>
                </c:pt>
                <c:pt idx="199">
                  <c:v>0.8</c:v>
                </c:pt>
                <c:pt idx="200">
                  <c:v>0.8</c:v>
                </c:pt>
                <c:pt idx="201">
                  <c:v>0.8</c:v>
                </c:pt>
                <c:pt idx="202">
                  <c:v>0.8</c:v>
                </c:pt>
                <c:pt idx="203">
                  <c:v>0.8</c:v>
                </c:pt>
                <c:pt idx="204">
                  <c:v>0.8</c:v>
                </c:pt>
                <c:pt idx="205">
                  <c:v>0.8</c:v>
                </c:pt>
                <c:pt idx="206">
                  <c:v>0.8</c:v>
                </c:pt>
                <c:pt idx="207">
                  <c:v>0.8</c:v>
                </c:pt>
                <c:pt idx="208">
                  <c:v>0.8</c:v>
                </c:pt>
                <c:pt idx="209">
                  <c:v>0.8</c:v>
                </c:pt>
                <c:pt idx="210">
                  <c:v>0.8</c:v>
                </c:pt>
                <c:pt idx="211">
                  <c:v>0.8</c:v>
                </c:pt>
                <c:pt idx="212">
                  <c:v>0.8</c:v>
                </c:pt>
                <c:pt idx="213">
                  <c:v>0.8</c:v>
                </c:pt>
                <c:pt idx="214">
                  <c:v>0.8</c:v>
                </c:pt>
                <c:pt idx="215">
                  <c:v>0.8</c:v>
                </c:pt>
                <c:pt idx="216">
                  <c:v>0.8</c:v>
                </c:pt>
                <c:pt idx="217">
                  <c:v>0.8</c:v>
                </c:pt>
                <c:pt idx="218">
                  <c:v>0.8</c:v>
                </c:pt>
                <c:pt idx="219">
                  <c:v>0.8</c:v>
                </c:pt>
                <c:pt idx="220">
                  <c:v>0.8</c:v>
                </c:pt>
                <c:pt idx="221">
                  <c:v>0.8</c:v>
                </c:pt>
                <c:pt idx="222">
                  <c:v>0.8</c:v>
                </c:pt>
                <c:pt idx="223">
                  <c:v>0.8</c:v>
                </c:pt>
                <c:pt idx="224">
                  <c:v>0.8</c:v>
                </c:pt>
                <c:pt idx="225">
                  <c:v>0.8</c:v>
                </c:pt>
                <c:pt idx="226">
                  <c:v>0.8</c:v>
                </c:pt>
                <c:pt idx="227">
                  <c:v>0.8</c:v>
                </c:pt>
                <c:pt idx="228">
                  <c:v>0.8</c:v>
                </c:pt>
                <c:pt idx="229">
                  <c:v>0.8</c:v>
                </c:pt>
                <c:pt idx="230">
                  <c:v>0.8</c:v>
                </c:pt>
                <c:pt idx="231">
                  <c:v>0.8</c:v>
                </c:pt>
                <c:pt idx="232">
                  <c:v>0.8</c:v>
                </c:pt>
                <c:pt idx="233">
                  <c:v>0.8</c:v>
                </c:pt>
                <c:pt idx="234">
                  <c:v>0.8</c:v>
                </c:pt>
                <c:pt idx="235">
                  <c:v>0.8</c:v>
                </c:pt>
                <c:pt idx="236">
                  <c:v>0.8</c:v>
                </c:pt>
                <c:pt idx="237">
                  <c:v>0.8</c:v>
                </c:pt>
                <c:pt idx="238">
                  <c:v>0.8</c:v>
                </c:pt>
                <c:pt idx="239">
                  <c:v>0.8</c:v>
                </c:pt>
                <c:pt idx="240">
                  <c:v>0.8</c:v>
                </c:pt>
                <c:pt idx="241">
                  <c:v>0.8</c:v>
                </c:pt>
                <c:pt idx="242">
                  <c:v>0.8</c:v>
                </c:pt>
                <c:pt idx="243">
                  <c:v>0.8</c:v>
                </c:pt>
                <c:pt idx="244">
                  <c:v>0.8</c:v>
                </c:pt>
                <c:pt idx="245">
                  <c:v>0.8</c:v>
                </c:pt>
                <c:pt idx="246">
                  <c:v>0.8</c:v>
                </c:pt>
                <c:pt idx="247">
                  <c:v>0.8</c:v>
                </c:pt>
                <c:pt idx="248">
                  <c:v>0.8</c:v>
                </c:pt>
                <c:pt idx="249">
                  <c:v>0.8</c:v>
                </c:pt>
                <c:pt idx="250">
                  <c:v>0.8</c:v>
                </c:pt>
                <c:pt idx="251">
                  <c:v>0.8</c:v>
                </c:pt>
                <c:pt idx="252">
                  <c:v>0.8</c:v>
                </c:pt>
                <c:pt idx="253">
                  <c:v>0.8</c:v>
                </c:pt>
                <c:pt idx="254">
                  <c:v>0.8</c:v>
                </c:pt>
                <c:pt idx="255">
                  <c:v>0.8</c:v>
                </c:pt>
                <c:pt idx="256">
                  <c:v>0.8</c:v>
                </c:pt>
                <c:pt idx="257">
                  <c:v>0.8</c:v>
                </c:pt>
                <c:pt idx="258">
                  <c:v>0.8</c:v>
                </c:pt>
                <c:pt idx="259">
                  <c:v>0.8</c:v>
                </c:pt>
                <c:pt idx="260">
                  <c:v>0.8</c:v>
                </c:pt>
                <c:pt idx="261">
                  <c:v>0.8</c:v>
                </c:pt>
                <c:pt idx="262">
                  <c:v>0.8</c:v>
                </c:pt>
                <c:pt idx="263">
                  <c:v>0.8</c:v>
                </c:pt>
                <c:pt idx="264">
                  <c:v>0.8</c:v>
                </c:pt>
                <c:pt idx="265">
                  <c:v>0.8</c:v>
                </c:pt>
                <c:pt idx="266">
                  <c:v>0.8</c:v>
                </c:pt>
                <c:pt idx="267">
                  <c:v>0.8</c:v>
                </c:pt>
                <c:pt idx="268">
                  <c:v>0.8</c:v>
                </c:pt>
                <c:pt idx="269">
                  <c:v>0.8</c:v>
                </c:pt>
                <c:pt idx="270">
                  <c:v>0.8</c:v>
                </c:pt>
                <c:pt idx="271">
                  <c:v>0.8</c:v>
                </c:pt>
                <c:pt idx="272">
                  <c:v>0.8</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0.8</c:v>
                </c:pt>
                <c:pt idx="305">
                  <c:v>0.8</c:v>
                </c:pt>
                <c:pt idx="306">
                  <c:v>0.8</c:v>
                </c:pt>
                <c:pt idx="307">
                  <c:v>0.8</c:v>
                </c:pt>
                <c:pt idx="308">
                  <c:v>0.8</c:v>
                </c:pt>
                <c:pt idx="309">
                  <c:v>0.8</c:v>
                </c:pt>
                <c:pt idx="310">
                  <c:v>0.8</c:v>
                </c:pt>
                <c:pt idx="311">
                  <c:v>0.8</c:v>
                </c:pt>
                <c:pt idx="312">
                  <c:v>0.8</c:v>
                </c:pt>
                <c:pt idx="313">
                  <c:v>0.8</c:v>
                </c:pt>
                <c:pt idx="314">
                  <c:v>0.8</c:v>
                </c:pt>
                <c:pt idx="315">
                  <c:v>0.8</c:v>
                </c:pt>
                <c:pt idx="316">
                  <c:v>0.8</c:v>
                </c:pt>
                <c:pt idx="317">
                  <c:v>0.8</c:v>
                </c:pt>
                <c:pt idx="318">
                  <c:v>0.8</c:v>
                </c:pt>
                <c:pt idx="319">
                  <c:v>0.8</c:v>
                </c:pt>
                <c:pt idx="320">
                  <c:v>0.8</c:v>
                </c:pt>
                <c:pt idx="321">
                  <c:v>0.8</c:v>
                </c:pt>
                <c:pt idx="322">
                  <c:v>0.8</c:v>
                </c:pt>
                <c:pt idx="323">
                  <c:v>0.8</c:v>
                </c:pt>
                <c:pt idx="324">
                  <c:v>0.8</c:v>
                </c:pt>
                <c:pt idx="325">
                  <c:v>0.8</c:v>
                </c:pt>
                <c:pt idx="326">
                  <c:v>0.8</c:v>
                </c:pt>
                <c:pt idx="327">
                  <c:v>0.8</c:v>
                </c:pt>
                <c:pt idx="328">
                  <c:v>0.8</c:v>
                </c:pt>
                <c:pt idx="329">
                  <c:v>0.8</c:v>
                </c:pt>
                <c:pt idx="330">
                  <c:v>0.8</c:v>
                </c:pt>
                <c:pt idx="331">
                  <c:v>0.8</c:v>
                </c:pt>
                <c:pt idx="332">
                  <c:v>0.8</c:v>
                </c:pt>
                <c:pt idx="333">
                  <c:v>0.8</c:v>
                </c:pt>
                <c:pt idx="334">
                  <c:v>0.8</c:v>
                </c:pt>
                <c:pt idx="335">
                  <c:v>0.8</c:v>
                </c:pt>
                <c:pt idx="336">
                  <c:v>0.8</c:v>
                </c:pt>
                <c:pt idx="337">
                  <c:v>0.8</c:v>
                </c:pt>
                <c:pt idx="338">
                  <c:v>0.8</c:v>
                </c:pt>
                <c:pt idx="339">
                  <c:v>0.8</c:v>
                </c:pt>
                <c:pt idx="340">
                  <c:v>0.8</c:v>
                </c:pt>
                <c:pt idx="341">
                  <c:v>0.8</c:v>
                </c:pt>
                <c:pt idx="342">
                  <c:v>0.8</c:v>
                </c:pt>
                <c:pt idx="343">
                  <c:v>0.8</c:v>
                </c:pt>
                <c:pt idx="344">
                  <c:v>0.8</c:v>
                </c:pt>
                <c:pt idx="345">
                  <c:v>0.8</c:v>
                </c:pt>
                <c:pt idx="346">
                  <c:v>0.8</c:v>
                </c:pt>
                <c:pt idx="347">
                  <c:v>0.8</c:v>
                </c:pt>
                <c:pt idx="348">
                  <c:v>0.8</c:v>
                </c:pt>
                <c:pt idx="349">
                  <c:v>0.8</c:v>
                </c:pt>
                <c:pt idx="350">
                  <c:v>0.8</c:v>
                </c:pt>
                <c:pt idx="351">
                  <c:v>0.8</c:v>
                </c:pt>
                <c:pt idx="352">
                  <c:v>0.8</c:v>
                </c:pt>
                <c:pt idx="353">
                  <c:v>0.8</c:v>
                </c:pt>
                <c:pt idx="354">
                  <c:v>0.8</c:v>
                </c:pt>
                <c:pt idx="355">
                  <c:v>0.8</c:v>
                </c:pt>
                <c:pt idx="356">
                  <c:v>0.8</c:v>
                </c:pt>
              </c:numCache>
            </c:numRef>
          </c:val>
          <c:extLst>
            <c:ext xmlns:c16="http://schemas.microsoft.com/office/drawing/2014/chart" uri="{C3380CC4-5D6E-409C-BE32-E72D297353CC}">
              <c16:uniqueId val="{00000003-49A9-477C-93CD-0D99DDB2E35A}"/>
            </c:ext>
          </c:extLst>
        </c:ser>
        <c:dLbls>
          <c:showLegendKey val="0"/>
          <c:showVal val="0"/>
          <c:showCatName val="0"/>
          <c:showSerName val="0"/>
          <c:showPercent val="0"/>
          <c:showBubbleSize val="0"/>
        </c:dLbls>
        <c:gapWidth val="0"/>
        <c:axId val="88015232"/>
        <c:axId val="88016768"/>
      </c:barChart>
      <c:catAx>
        <c:axId val="8839244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393984"/>
        <c:crosses val="autoZero"/>
        <c:auto val="1"/>
        <c:lblAlgn val="ctr"/>
        <c:lblOffset val="100"/>
        <c:tickLblSkip val="31"/>
        <c:tickMarkSkip val="7"/>
        <c:noMultiLvlLbl val="0"/>
      </c:catAx>
      <c:valAx>
        <c:axId val="88393984"/>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392448"/>
        <c:crosses val="autoZero"/>
        <c:crossBetween val="between"/>
        <c:majorUnit val="0.2"/>
        <c:minorUnit val="0.01"/>
      </c:valAx>
      <c:catAx>
        <c:axId val="88015232"/>
        <c:scaling>
          <c:orientation val="minMax"/>
        </c:scaling>
        <c:delete val="1"/>
        <c:axPos val="b"/>
        <c:numFmt formatCode="0.0" sourceLinked="1"/>
        <c:majorTickMark val="out"/>
        <c:minorTickMark val="none"/>
        <c:tickLblPos val="nextTo"/>
        <c:crossAx val="88016768"/>
        <c:crosses val="autoZero"/>
        <c:auto val="1"/>
        <c:lblAlgn val="ctr"/>
        <c:lblOffset val="100"/>
        <c:noMultiLvlLbl val="0"/>
      </c:catAx>
      <c:valAx>
        <c:axId val="88016768"/>
        <c:scaling>
          <c:orientation val="minMax"/>
        </c:scaling>
        <c:delete val="1"/>
        <c:axPos val="r"/>
        <c:numFmt formatCode="0.0" sourceLinked="1"/>
        <c:majorTickMark val="out"/>
        <c:minorTickMark val="none"/>
        <c:tickLblPos val="nextTo"/>
        <c:crossAx val="88015232"/>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Profile!$E$395:$E$562</c:f>
              <c:numCache>
                <c:formatCode>0.0</c:formatCode>
                <c:ptCount val="168"/>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0</c:v>
                </c:pt>
                <c:pt idx="33">
                  <c:v>0</c:v>
                </c:pt>
                <c:pt idx="34">
                  <c:v>0</c:v>
                </c:pt>
                <c:pt idx="35">
                  <c:v>0</c:v>
                </c:pt>
                <c:pt idx="36">
                  <c:v>1</c:v>
                </c:pt>
                <c:pt idx="37">
                  <c:v>1</c:v>
                </c:pt>
                <c:pt idx="38">
                  <c:v>0</c:v>
                </c:pt>
                <c:pt idx="39">
                  <c:v>0</c:v>
                </c:pt>
                <c:pt idx="40">
                  <c:v>0</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0</c:v>
                </c:pt>
                <c:pt idx="57">
                  <c:v>0</c:v>
                </c:pt>
                <c:pt idx="58">
                  <c:v>0</c:v>
                </c:pt>
                <c:pt idx="59">
                  <c:v>0</c:v>
                </c:pt>
                <c:pt idx="60">
                  <c:v>1</c:v>
                </c:pt>
                <c:pt idx="61">
                  <c:v>1</c:v>
                </c:pt>
                <c:pt idx="62">
                  <c:v>0</c:v>
                </c:pt>
                <c:pt idx="63">
                  <c:v>0</c:v>
                </c:pt>
                <c:pt idx="64">
                  <c:v>0</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0</c:v>
                </c:pt>
                <c:pt idx="81">
                  <c:v>0</c:v>
                </c:pt>
                <c:pt idx="82">
                  <c:v>0</c:v>
                </c:pt>
                <c:pt idx="83">
                  <c:v>0</c:v>
                </c:pt>
                <c:pt idx="84">
                  <c:v>1</c:v>
                </c:pt>
                <c:pt idx="85">
                  <c:v>1</c:v>
                </c:pt>
                <c:pt idx="86">
                  <c:v>0</c:v>
                </c:pt>
                <c:pt idx="87">
                  <c:v>0</c:v>
                </c:pt>
                <c:pt idx="88">
                  <c:v>0</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0</c:v>
                </c:pt>
                <c:pt idx="105">
                  <c:v>0</c:v>
                </c:pt>
                <c:pt idx="106">
                  <c:v>0</c:v>
                </c:pt>
                <c:pt idx="107">
                  <c:v>0</c:v>
                </c:pt>
                <c:pt idx="108">
                  <c:v>1</c:v>
                </c:pt>
                <c:pt idx="109">
                  <c:v>1</c:v>
                </c:pt>
                <c:pt idx="110">
                  <c:v>0</c:v>
                </c:pt>
                <c:pt idx="111">
                  <c:v>0</c:v>
                </c:pt>
                <c:pt idx="112">
                  <c:v>0</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0</c:v>
                </c:pt>
                <c:pt idx="129">
                  <c:v>0</c:v>
                </c:pt>
                <c:pt idx="130">
                  <c:v>0</c:v>
                </c:pt>
                <c:pt idx="131">
                  <c:v>0</c:v>
                </c:pt>
                <c:pt idx="132">
                  <c:v>1</c:v>
                </c:pt>
                <c:pt idx="133">
                  <c:v>1</c:v>
                </c:pt>
                <c:pt idx="134">
                  <c:v>0</c:v>
                </c:pt>
                <c:pt idx="135">
                  <c:v>0</c:v>
                </c:pt>
                <c:pt idx="136">
                  <c:v>0</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0</c:v>
                </c:pt>
                <c:pt idx="153">
                  <c:v>0</c:v>
                </c:pt>
                <c:pt idx="154">
                  <c:v>0</c:v>
                </c:pt>
                <c:pt idx="155">
                  <c:v>0</c:v>
                </c:pt>
                <c:pt idx="156">
                  <c:v>1</c:v>
                </c:pt>
                <c:pt idx="157">
                  <c:v>1</c:v>
                </c:pt>
                <c:pt idx="158">
                  <c:v>0</c:v>
                </c:pt>
                <c:pt idx="159">
                  <c:v>0</c:v>
                </c:pt>
                <c:pt idx="160">
                  <c:v>0</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D3FB-466D-A1CF-2D868EB04F85}"/>
            </c:ext>
          </c:extLst>
        </c:ser>
        <c:dLbls>
          <c:showLegendKey val="0"/>
          <c:showVal val="0"/>
          <c:showCatName val="0"/>
          <c:showSerName val="0"/>
          <c:showPercent val="0"/>
          <c:showBubbleSize val="0"/>
        </c:dLbls>
        <c:gapWidth val="0"/>
        <c:overlap val="100"/>
        <c:axId val="88057344"/>
        <c:axId val="88058880"/>
      </c:barChart>
      <c:barChart>
        <c:barDir val="col"/>
        <c:grouping val="clustered"/>
        <c:varyColors val="0"/>
        <c:ser>
          <c:idx val="0"/>
          <c:order val="0"/>
          <c:spPr>
            <a:solidFill>
              <a:srgbClr val="00B05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Profile!$F$395:$F$562</c:f>
              <c:numCache>
                <c:formatCode>General</c:formatCode>
                <c:ptCount val="168"/>
                <c:pt idx="0">
                  <c:v>0.2</c:v>
                </c:pt>
                <c:pt idx="1">
                  <c:v>0.2</c:v>
                </c:pt>
                <c:pt idx="2">
                  <c:v>0.2</c:v>
                </c:pt>
                <c:pt idx="3">
                  <c:v>0.2</c:v>
                </c:pt>
                <c:pt idx="4">
                  <c:v>0.2</c:v>
                </c:pt>
                <c:pt idx="5">
                  <c:v>0.2</c:v>
                </c:pt>
                <c:pt idx="6">
                  <c:v>0.8</c:v>
                </c:pt>
                <c:pt idx="7">
                  <c:v>0.2</c:v>
                </c:pt>
                <c:pt idx="8">
                  <c:v>0.2</c:v>
                </c:pt>
                <c:pt idx="9">
                  <c:v>0.2</c:v>
                </c:pt>
                <c:pt idx="10">
                  <c:v>0.2</c:v>
                </c:pt>
                <c:pt idx="11">
                  <c:v>0.2</c:v>
                </c:pt>
                <c:pt idx="12">
                  <c:v>0.8</c:v>
                </c:pt>
                <c:pt idx="13">
                  <c:v>0.2</c:v>
                </c:pt>
                <c:pt idx="14">
                  <c:v>0.2</c:v>
                </c:pt>
                <c:pt idx="15">
                  <c:v>0.2</c:v>
                </c:pt>
                <c:pt idx="16">
                  <c:v>0.2</c:v>
                </c:pt>
                <c:pt idx="17">
                  <c:v>0.2</c:v>
                </c:pt>
                <c:pt idx="18">
                  <c:v>0.8</c:v>
                </c:pt>
                <c:pt idx="19">
                  <c:v>1</c:v>
                </c:pt>
                <c:pt idx="20">
                  <c:v>0.2</c:v>
                </c:pt>
                <c:pt idx="21">
                  <c:v>0.2</c:v>
                </c:pt>
                <c:pt idx="22">
                  <c:v>0.2</c:v>
                </c:pt>
                <c:pt idx="23">
                  <c:v>0.2</c:v>
                </c:pt>
                <c:pt idx="24">
                  <c:v>0.2</c:v>
                </c:pt>
                <c:pt idx="25">
                  <c:v>0.2</c:v>
                </c:pt>
                <c:pt idx="26">
                  <c:v>0.2</c:v>
                </c:pt>
                <c:pt idx="27">
                  <c:v>0.2</c:v>
                </c:pt>
                <c:pt idx="28">
                  <c:v>0.2</c:v>
                </c:pt>
                <c:pt idx="29">
                  <c:v>0.8</c:v>
                </c:pt>
                <c:pt idx="30">
                  <c:v>0.2</c:v>
                </c:pt>
                <c:pt idx="31">
                  <c:v>0.2</c:v>
                </c:pt>
                <c:pt idx="32">
                  <c:v>0.2</c:v>
                </c:pt>
                <c:pt idx="33">
                  <c:v>0.2</c:v>
                </c:pt>
                <c:pt idx="34">
                  <c:v>0.2</c:v>
                </c:pt>
                <c:pt idx="35">
                  <c:v>0.8</c:v>
                </c:pt>
                <c:pt idx="36">
                  <c:v>0.2</c:v>
                </c:pt>
                <c:pt idx="37">
                  <c:v>0.2</c:v>
                </c:pt>
                <c:pt idx="38">
                  <c:v>0.2</c:v>
                </c:pt>
                <c:pt idx="39">
                  <c:v>0.2</c:v>
                </c:pt>
                <c:pt idx="40">
                  <c:v>0.2</c:v>
                </c:pt>
                <c:pt idx="41">
                  <c:v>0.8</c:v>
                </c:pt>
                <c:pt idx="42">
                  <c:v>1</c:v>
                </c:pt>
                <c:pt idx="43">
                  <c:v>0.2</c:v>
                </c:pt>
                <c:pt idx="44">
                  <c:v>0.2</c:v>
                </c:pt>
                <c:pt idx="45">
                  <c:v>0.2</c:v>
                </c:pt>
                <c:pt idx="46">
                  <c:v>0.2</c:v>
                </c:pt>
                <c:pt idx="47">
                  <c:v>0.2</c:v>
                </c:pt>
                <c:pt idx="48">
                  <c:v>0.2</c:v>
                </c:pt>
                <c:pt idx="49">
                  <c:v>0.2</c:v>
                </c:pt>
                <c:pt idx="50">
                  <c:v>0.2</c:v>
                </c:pt>
                <c:pt idx="51">
                  <c:v>0.2</c:v>
                </c:pt>
                <c:pt idx="52">
                  <c:v>0.2</c:v>
                </c:pt>
                <c:pt idx="53">
                  <c:v>0.2</c:v>
                </c:pt>
                <c:pt idx="54">
                  <c:v>0.8</c:v>
                </c:pt>
                <c:pt idx="55">
                  <c:v>0.2</c:v>
                </c:pt>
                <c:pt idx="56">
                  <c:v>0.2</c:v>
                </c:pt>
                <c:pt idx="57">
                  <c:v>0.2</c:v>
                </c:pt>
                <c:pt idx="58">
                  <c:v>0.2</c:v>
                </c:pt>
                <c:pt idx="59">
                  <c:v>0.2</c:v>
                </c:pt>
                <c:pt idx="60">
                  <c:v>0.8</c:v>
                </c:pt>
                <c:pt idx="61">
                  <c:v>0.2</c:v>
                </c:pt>
                <c:pt idx="62">
                  <c:v>0.2</c:v>
                </c:pt>
                <c:pt idx="63">
                  <c:v>0.2</c:v>
                </c:pt>
                <c:pt idx="64">
                  <c:v>0.2</c:v>
                </c:pt>
                <c:pt idx="65">
                  <c:v>0.2</c:v>
                </c:pt>
                <c:pt idx="66">
                  <c:v>0.8</c:v>
                </c:pt>
                <c:pt idx="67">
                  <c:v>1</c:v>
                </c:pt>
                <c:pt idx="68">
                  <c:v>0.2</c:v>
                </c:pt>
                <c:pt idx="69">
                  <c:v>0.2</c:v>
                </c:pt>
                <c:pt idx="70">
                  <c:v>0.2</c:v>
                </c:pt>
                <c:pt idx="71">
                  <c:v>0.2</c:v>
                </c:pt>
                <c:pt idx="72">
                  <c:v>0.2</c:v>
                </c:pt>
                <c:pt idx="73">
                  <c:v>0.2</c:v>
                </c:pt>
                <c:pt idx="74">
                  <c:v>0.2</c:v>
                </c:pt>
                <c:pt idx="75">
                  <c:v>0.2</c:v>
                </c:pt>
                <c:pt idx="76">
                  <c:v>0.2</c:v>
                </c:pt>
                <c:pt idx="77">
                  <c:v>0.2</c:v>
                </c:pt>
                <c:pt idx="78">
                  <c:v>0.8</c:v>
                </c:pt>
                <c:pt idx="79">
                  <c:v>0.2</c:v>
                </c:pt>
                <c:pt idx="80">
                  <c:v>0.2</c:v>
                </c:pt>
                <c:pt idx="81">
                  <c:v>0.2</c:v>
                </c:pt>
                <c:pt idx="82">
                  <c:v>0.2</c:v>
                </c:pt>
                <c:pt idx="83">
                  <c:v>0.2</c:v>
                </c:pt>
                <c:pt idx="84">
                  <c:v>0.8</c:v>
                </c:pt>
                <c:pt idx="85">
                  <c:v>0.2</c:v>
                </c:pt>
                <c:pt idx="86">
                  <c:v>0.2</c:v>
                </c:pt>
                <c:pt idx="87">
                  <c:v>0.2</c:v>
                </c:pt>
                <c:pt idx="88">
                  <c:v>0.2</c:v>
                </c:pt>
                <c:pt idx="89">
                  <c:v>0.2</c:v>
                </c:pt>
                <c:pt idx="90">
                  <c:v>0.8</c:v>
                </c:pt>
                <c:pt idx="91">
                  <c:v>1</c:v>
                </c:pt>
                <c:pt idx="92">
                  <c:v>0.2</c:v>
                </c:pt>
                <c:pt idx="93">
                  <c:v>0.2</c:v>
                </c:pt>
                <c:pt idx="94">
                  <c:v>0.2</c:v>
                </c:pt>
                <c:pt idx="95">
                  <c:v>0.2</c:v>
                </c:pt>
                <c:pt idx="96">
                  <c:v>0.2</c:v>
                </c:pt>
                <c:pt idx="97">
                  <c:v>0.2</c:v>
                </c:pt>
                <c:pt idx="98">
                  <c:v>0.2</c:v>
                </c:pt>
                <c:pt idx="99">
                  <c:v>0.2</c:v>
                </c:pt>
                <c:pt idx="100">
                  <c:v>0.2</c:v>
                </c:pt>
                <c:pt idx="101">
                  <c:v>0.2</c:v>
                </c:pt>
                <c:pt idx="102">
                  <c:v>0.8</c:v>
                </c:pt>
                <c:pt idx="103">
                  <c:v>0.2</c:v>
                </c:pt>
                <c:pt idx="104">
                  <c:v>0.2</c:v>
                </c:pt>
                <c:pt idx="105">
                  <c:v>0.2</c:v>
                </c:pt>
                <c:pt idx="106">
                  <c:v>0.2</c:v>
                </c:pt>
                <c:pt idx="107">
                  <c:v>0.2</c:v>
                </c:pt>
                <c:pt idx="108">
                  <c:v>0.8</c:v>
                </c:pt>
                <c:pt idx="109">
                  <c:v>0.2</c:v>
                </c:pt>
                <c:pt idx="110">
                  <c:v>0.2</c:v>
                </c:pt>
                <c:pt idx="111">
                  <c:v>0.2</c:v>
                </c:pt>
                <c:pt idx="112">
                  <c:v>0.2</c:v>
                </c:pt>
                <c:pt idx="113">
                  <c:v>0.2</c:v>
                </c:pt>
                <c:pt idx="114">
                  <c:v>0.8</c:v>
                </c:pt>
                <c:pt idx="115">
                  <c:v>1</c:v>
                </c:pt>
                <c:pt idx="116">
                  <c:v>0.2</c:v>
                </c:pt>
                <c:pt idx="117">
                  <c:v>0.2</c:v>
                </c:pt>
                <c:pt idx="118">
                  <c:v>0.2</c:v>
                </c:pt>
                <c:pt idx="119">
                  <c:v>0.2</c:v>
                </c:pt>
                <c:pt idx="120">
                  <c:v>0.2</c:v>
                </c:pt>
                <c:pt idx="121">
                  <c:v>0.2</c:v>
                </c:pt>
                <c:pt idx="122">
                  <c:v>0.2</c:v>
                </c:pt>
                <c:pt idx="123">
                  <c:v>0.2</c:v>
                </c:pt>
                <c:pt idx="124">
                  <c:v>0.2</c:v>
                </c:pt>
                <c:pt idx="125">
                  <c:v>0.2</c:v>
                </c:pt>
                <c:pt idx="126">
                  <c:v>0.8</c:v>
                </c:pt>
                <c:pt idx="127">
                  <c:v>0.2</c:v>
                </c:pt>
                <c:pt idx="128">
                  <c:v>0.2</c:v>
                </c:pt>
                <c:pt idx="129">
                  <c:v>0.2</c:v>
                </c:pt>
                <c:pt idx="130">
                  <c:v>0.2</c:v>
                </c:pt>
                <c:pt idx="131">
                  <c:v>0.2</c:v>
                </c:pt>
                <c:pt idx="132">
                  <c:v>0.8</c:v>
                </c:pt>
                <c:pt idx="133">
                  <c:v>0.2</c:v>
                </c:pt>
                <c:pt idx="134">
                  <c:v>0.2</c:v>
                </c:pt>
                <c:pt idx="135">
                  <c:v>0.2</c:v>
                </c:pt>
                <c:pt idx="136">
                  <c:v>0.2</c:v>
                </c:pt>
                <c:pt idx="137">
                  <c:v>0.2</c:v>
                </c:pt>
                <c:pt idx="138">
                  <c:v>0.8</c:v>
                </c:pt>
                <c:pt idx="139">
                  <c:v>1</c:v>
                </c:pt>
                <c:pt idx="140">
                  <c:v>0.2</c:v>
                </c:pt>
                <c:pt idx="141">
                  <c:v>0.2</c:v>
                </c:pt>
                <c:pt idx="142">
                  <c:v>0.2</c:v>
                </c:pt>
                <c:pt idx="143">
                  <c:v>0.2</c:v>
                </c:pt>
                <c:pt idx="144">
                  <c:v>0.2</c:v>
                </c:pt>
                <c:pt idx="145">
                  <c:v>0.2</c:v>
                </c:pt>
                <c:pt idx="146">
                  <c:v>0.2</c:v>
                </c:pt>
                <c:pt idx="147">
                  <c:v>0.2</c:v>
                </c:pt>
                <c:pt idx="148">
                  <c:v>0.2</c:v>
                </c:pt>
                <c:pt idx="149">
                  <c:v>0.2</c:v>
                </c:pt>
                <c:pt idx="150">
                  <c:v>0.8</c:v>
                </c:pt>
                <c:pt idx="151">
                  <c:v>0.2</c:v>
                </c:pt>
                <c:pt idx="152">
                  <c:v>0.2</c:v>
                </c:pt>
                <c:pt idx="153">
                  <c:v>0.2</c:v>
                </c:pt>
                <c:pt idx="154">
                  <c:v>0.2</c:v>
                </c:pt>
                <c:pt idx="155">
                  <c:v>0.2</c:v>
                </c:pt>
                <c:pt idx="156">
                  <c:v>0.8</c:v>
                </c:pt>
                <c:pt idx="157">
                  <c:v>0.2</c:v>
                </c:pt>
                <c:pt idx="158">
                  <c:v>0.2</c:v>
                </c:pt>
                <c:pt idx="159">
                  <c:v>0.2</c:v>
                </c:pt>
                <c:pt idx="160">
                  <c:v>0.2</c:v>
                </c:pt>
                <c:pt idx="161">
                  <c:v>0.2</c:v>
                </c:pt>
                <c:pt idx="162">
                  <c:v>0.8</c:v>
                </c:pt>
                <c:pt idx="163">
                  <c:v>1</c:v>
                </c:pt>
                <c:pt idx="164">
                  <c:v>0.2</c:v>
                </c:pt>
                <c:pt idx="165">
                  <c:v>0.2</c:v>
                </c:pt>
                <c:pt idx="166">
                  <c:v>0.2</c:v>
                </c:pt>
                <c:pt idx="167">
                  <c:v>0.2</c:v>
                </c:pt>
              </c:numCache>
            </c:numRef>
          </c:val>
          <c:extLst>
            <c:ext xmlns:c16="http://schemas.microsoft.com/office/drawing/2014/chart" uri="{C3380CC4-5D6E-409C-BE32-E72D297353CC}">
              <c16:uniqueId val="{00000001-D3FB-466D-A1CF-2D868EB04F85}"/>
            </c:ext>
          </c:extLst>
        </c:ser>
        <c:dLbls>
          <c:showLegendKey val="0"/>
          <c:showVal val="0"/>
          <c:showCatName val="0"/>
          <c:showSerName val="0"/>
          <c:showPercent val="0"/>
          <c:showBubbleSize val="0"/>
        </c:dLbls>
        <c:gapWidth val="0"/>
        <c:axId val="88061056"/>
        <c:axId val="88062592"/>
      </c:barChart>
      <c:catAx>
        <c:axId val="88057344"/>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058880"/>
        <c:crosses val="autoZero"/>
        <c:auto val="1"/>
        <c:lblAlgn val="ctr"/>
        <c:lblOffset val="100"/>
        <c:tickLblSkip val="24"/>
        <c:noMultiLvlLbl val="0"/>
      </c:catAx>
      <c:valAx>
        <c:axId val="8805888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057344"/>
        <c:crosses val="autoZero"/>
        <c:crossBetween val="between"/>
        <c:majorUnit val="0.2"/>
        <c:minorUnit val="0.01"/>
      </c:valAx>
      <c:catAx>
        <c:axId val="88061056"/>
        <c:scaling>
          <c:orientation val="minMax"/>
        </c:scaling>
        <c:delete val="1"/>
        <c:axPos val="b"/>
        <c:numFmt formatCode="General" sourceLinked="1"/>
        <c:majorTickMark val="out"/>
        <c:minorTickMark val="none"/>
        <c:tickLblPos val="nextTo"/>
        <c:crossAx val="88062592"/>
        <c:crosses val="autoZero"/>
        <c:auto val="1"/>
        <c:lblAlgn val="ctr"/>
        <c:lblOffset val="100"/>
        <c:noMultiLvlLbl val="0"/>
      </c:catAx>
      <c:valAx>
        <c:axId val="88062592"/>
        <c:scaling>
          <c:orientation val="minMax"/>
        </c:scaling>
        <c:delete val="1"/>
        <c:axPos val="r"/>
        <c:numFmt formatCode="General" sourceLinked="1"/>
        <c:majorTickMark val="out"/>
        <c:minorTickMark val="none"/>
        <c:tickLblPos val="nextTo"/>
        <c:crossAx val="88061056"/>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Profile!$E$395:$E$562</c:f>
              <c:numCache>
                <c:formatCode>0.0</c:formatCode>
                <c:ptCount val="168"/>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0</c:v>
                </c:pt>
                <c:pt idx="33">
                  <c:v>0</c:v>
                </c:pt>
                <c:pt idx="34">
                  <c:v>0</c:v>
                </c:pt>
                <c:pt idx="35">
                  <c:v>0</c:v>
                </c:pt>
                <c:pt idx="36">
                  <c:v>1</c:v>
                </c:pt>
                <c:pt idx="37">
                  <c:v>1</c:v>
                </c:pt>
                <c:pt idx="38">
                  <c:v>0</c:v>
                </c:pt>
                <c:pt idx="39">
                  <c:v>0</c:v>
                </c:pt>
                <c:pt idx="40">
                  <c:v>0</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0</c:v>
                </c:pt>
                <c:pt idx="57">
                  <c:v>0</c:v>
                </c:pt>
                <c:pt idx="58">
                  <c:v>0</c:v>
                </c:pt>
                <c:pt idx="59">
                  <c:v>0</c:v>
                </c:pt>
                <c:pt idx="60">
                  <c:v>1</c:v>
                </c:pt>
                <c:pt idx="61">
                  <c:v>1</c:v>
                </c:pt>
                <c:pt idx="62">
                  <c:v>0</c:v>
                </c:pt>
                <c:pt idx="63">
                  <c:v>0</c:v>
                </c:pt>
                <c:pt idx="64">
                  <c:v>0</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0</c:v>
                </c:pt>
                <c:pt idx="81">
                  <c:v>0</c:v>
                </c:pt>
                <c:pt idx="82">
                  <c:v>0</c:v>
                </c:pt>
                <c:pt idx="83">
                  <c:v>0</c:v>
                </c:pt>
                <c:pt idx="84">
                  <c:v>1</c:v>
                </c:pt>
                <c:pt idx="85">
                  <c:v>1</c:v>
                </c:pt>
                <c:pt idx="86">
                  <c:v>0</c:v>
                </c:pt>
                <c:pt idx="87">
                  <c:v>0</c:v>
                </c:pt>
                <c:pt idx="88">
                  <c:v>0</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0</c:v>
                </c:pt>
                <c:pt idx="105">
                  <c:v>0</c:v>
                </c:pt>
                <c:pt idx="106">
                  <c:v>0</c:v>
                </c:pt>
                <c:pt idx="107">
                  <c:v>0</c:v>
                </c:pt>
                <c:pt idx="108">
                  <c:v>1</c:v>
                </c:pt>
                <c:pt idx="109">
                  <c:v>1</c:v>
                </c:pt>
                <c:pt idx="110">
                  <c:v>0</c:v>
                </c:pt>
                <c:pt idx="111">
                  <c:v>0</c:v>
                </c:pt>
                <c:pt idx="112">
                  <c:v>0</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0</c:v>
                </c:pt>
                <c:pt idx="129">
                  <c:v>0</c:v>
                </c:pt>
                <c:pt idx="130">
                  <c:v>0</c:v>
                </c:pt>
                <c:pt idx="131">
                  <c:v>0</c:v>
                </c:pt>
                <c:pt idx="132">
                  <c:v>1</c:v>
                </c:pt>
                <c:pt idx="133">
                  <c:v>1</c:v>
                </c:pt>
                <c:pt idx="134">
                  <c:v>0</c:v>
                </c:pt>
                <c:pt idx="135">
                  <c:v>0</c:v>
                </c:pt>
                <c:pt idx="136">
                  <c:v>0</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0</c:v>
                </c:pt>
                <c:pt idx="153">
                  <c:v>0</c:v>
                </c:pt>
                <c:pt idx="154">
                  <c:v>0</c:v>
                </c:pt>
                <c:pt idx="155">
                  <c:v>0</c:v>
                </c:pt>
                <c:pt idx="156">
                  <c:v>1</c:v>
                </c:pt>
                <c:pt idx="157">
                  <c:v>1</c:v>
                </c:pt>
                <c:pt idx="158">
                  <c:v>0</c:v>
                </c:pt>
                <c:pt idx="159">
                  <c:v>0</c:v>
                </c:pt>
                <c:pt idx="160">
                  <c:v>0</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5096-4390-AB02-03FF3E43EBC2}"/>
            </c:ext>
          </c:extLst>
        </c:ser>
        <c:dLbls>
          <c:showLegendKey val="0"/>
          <c:showVal val="0"/>
          <c:showCatName val="0"/>
          <c:showSerName val="0"/>
          <c:showPercent val="0"/>
          <c:showBubbleSize val="0"/>
        </c:dLbls>
        <c:gapWidth val="0"/>
        <c:overlap val="100"/>
        <c:axId val="88096128"/>
        <c:axId val="88097920"/>
      </c:barChart>
      <c:barChart>
        <c:barDir val="col"/>
        <c:grouping val="clustered"/>
        <c:varyColors val="0"/>
        <c:ser>
          <c:idx val="0"/>
          <c:order val="0"/>
          <c:spPr>
            <a:solidFill>
              <a:srgbClr val="FFFF0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Profile!$H$395:$H$562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1</c:v>
                </c:pt>
                <c:pt idx="21">
                  <c:v>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pt idx="44">
                  <c:v>1</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1</c:v>
                </c:pt>
                <c:pt idx="69">
                  <c:v>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1</c:v>
                </c:pt>
                <c:pt idx="92">
                  <c:v>1</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1</c:v>
                </c:pt>
                <c:pt idx="116">
                  <c:v>1</c:v>
                </c:pt>
                <c:pt idx="117">
                  <c:v>1</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1</c:v>
                </c:pt>
                <c:pt idx="140">
                  <c:v>1</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1</c:v>
                </c:pt>
                <c:pt idx="165">
                  <c:v>1</c:v>
                </c:pt>
                <c:pt idx="166">
                  <c:v>0</c:v>
                </c:pt>
                <c:pt idx="167">
                  <c:v>0</c:v>
                </c:pt>
              </c:numCache>
            </c:numRef>
          </c:val>
          <c:extLst>
            <c:ext xmlns:c16="http://schemas.microsoft.com/office/drawing/2014/chart" uri="{C3380CC4-5D6E-409C-BE32-E72D297353CC}">
              <c16:uniqueId val="{00000001-5096-4390-AB02-03FF3E43EBC2}"/>
            </c:ext>
          </c:extLst>
        </c:ser>
        <c:dLbls>
          <c:showLegendKey val="0"/>
          <c:showVal val="0"/>
          <c:showCatName val="0"/>
          <c:showSerName val="0"/>
          <c:showPercent val="0"/>
          <c:showBubbleSize val="0"/>
        </c:dLbls>
        <c:gapWidth val="0"/>
        <c:axId val="88099840"/>
        <c:axId val="88109824"/>
      </c:barChart>
      <c:catAx>
        <c:axId val="88096128"/>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097920"/>
        <c:crosses val="autoZero"/>
        <c:auto val="1"/>
        <c:lblAlgn val="ctr"/>
        <c:lblOffset val="100"/>
        <c:tickLblSkip val="24"/>
        <c:noMultiLvlLbl val="0"/>
      </c:catAx>
      <c:valAx>
        <c:axId val="8809792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096128"/>
        <c:crosses val="autoZero"/>
        <c:crossBetween val="between"/>
        <c:majorUnit val="0.2"/>
        <c:minorUnit val="0.01"/>
      </c:valAx>
      <c:catAx>
        <c:axId val="88099840"/>
        <c:scaling>
          <c:orientation val="minMax"/>
        </c:scaling>
        <c:delete val="1"/>
        <c:axPos val="b"/>
        <c:numFmt formatCode="General" sourceLinked="1"/>
        <c:majorTickMark val="out"/>
        <c:minorTickMark val="none"/>
        <c:tickLblPos val="nextTo"/>
        <c:crossAx val="88109824"/>
        <c:crosses val="autoZero"/>
        <c:auto val="1"/>
        <c:lblAlgn val="ctr"/>
        <c:lblOffset val="100"/>
        <c:noMultiLvlLbl val="0"/>
      </c:catAx>
      <c:valAx>
        <c:axId val="88109824"/>
        <c:scaling>
          <c:orientation val="minMax"/>
        </c:scaling>
        <c:delete val="1"/>
        <c:axPos val="r"/>
        <c:numFmt formatCode="General" sourceLinked="1"/>
        <c:majorTickMark val="out"/>
        <c:minorTickMark val="none"/>
        <c:tickLblPos val="nextTo"/>
        <c:crossAx val="8809984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2ECC-4E1D-B2C7-F245A63572D8}"/>
            </c:ext>
          </c:extLst>
        </c:ser>
        <c:dLbls>
          <c:showLegendKey val="0"/>
          <c:showVal val="0"/>
          <c:showCatName val="0"/>
          <c:showSerName val="0"/>
          <c:showPercent val="0"/>
          <c:showBubbleSize val="0"/>
        </c:dLbls>
        <c:gapWidth val="0"/>
        <c:overlap val="100"/>
        <c:axId val="88136320"/>
        <c:axId val="88142208"/>
      </c:barChart>
      <c:barChart>
        <c:barDir val="col"/>
        <c:grouping val="clustered"/>
        <c:varyColors val="0"/>
        <c:ser>
          <c:idx val="0"/>
          <c:order val="0"/>
          <c:spPr>
            <a:solidFill>
              <a:schemeClr val="tx2">
                <a:lumMod val="75000"/>
              </a:schemeClr>
            </a:solidFill>
            <a:ln w="25400">
              <a:noFill/>
            </a:ln>
          </c:spPr>
          <c:invertIfNegative val="0"/>
          <c:val>
            <c:numRef>
              <c:f>Profile!$F$63:$F$86</c:f>
              <c:numCache>
                <c:formatCode>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1-2ECC-4E1D-B2C7-F245A63572D8}"/>
            </c:ext>
          </c:extLst>
        </c:ser>
        <c:dLbls>
          <c:showLegendKey val="0"/>
          <c:showVal val="0"/>
          <c:showCatName val="0"/>
          <c:showSerName val="0"/>
          <c:showPercent val="0"/>
          <c:showBubbleSize val="0"/>
        </c:dLbls>
        <c:gapWidth val="150"/>
        <c:axId val="88144128"/>
        <c:axId val="88678400"/>
      </c:barChart>
      <c:catAx>
        <c:axId val="8813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142208"/>
        <c:crosses val="autoZero"/>
        <c:auto val="1"/>
        <c:lblAlgn val="ctr"/>
        <c:lblOffset val="100"/>
        <c:tickLblSkip val="1"/>
        <c:tickMarkSkip val="1"/>
        <c:noMultiLvlLbl val="0"/>
      </c:catAx>
      <c:valAx>
        <c:axId val="88142208"/>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Beleuchtungsprofil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136320"/>
        <c:crosses val="autoZero"/>
        <c:crossBetween val="between"/>
        <c:majorUnit val="0.2"/>
        <c:minorUnit val="0.01"/>
      </c:valAx>
      <c:catAx>
        <c:axId val="88144128"/>
        <c:scaling>
          <c:orientation val="minMax"/>
        </c:scaling>
        <c:delete val="1"/>
        <c:axPos val="b"/>
        <c:majorTickMark val="out"/>
        <c:minorTickMark val="none"/>
        <c:tickLblPos val="nextTo"/>
        <c:crossAx val="88678400"/>
        <c:crosses val="autoZero"/>
        <c:auto val="1"/>
        <c:lblAlgn val="ctr"/>
        <c:lblOffset val="100"/>
        <c:noMultiLvlLbl val="0"/>
      </c:catAx>
      <c:valAx>
        <c:axId val="88678400"/>
        <c:scaling>
          <c:orientation val="minMax"/>
        </c:scaling>
        <c:delete val="1"/>
        <c:axPos val="r"/>
        <c:numFmt formatCode="0.00" sourceLinked="1"/>
        <c:majorTickMark val="out"/>
        <c:minorTickMark val="none"/>
        <c:tickLblPos val="nextTo"/>
        <c:crossAx val="88144128"/>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5DE8-44D5-8CCD-A0F89F5C5C43}"/>
            </c:ext>
          </c:extLst>
        </c:ser>
        <c:dLbls>
          <c:showLegendKey val="0"/>
          <c:showVal val="0"/>
          <c:showCatName val="0"/>
          <c:showSerName val="0"/>
          <c:showPercent val="0"/>
          <c:showBubbleSize val="0"/>
        </c:dLbls>
        <c:gapWidth val="0"/>
        <c:overlap val="100"/>
        <c:axId val="88708224"/>
        <c:axId val="88709760"/>
      </c:barChart>
      <c:barChart>
        <c:barDir val="col"/>
        <c:grouping val="clustered"/>
        <c:varyColors val="0"/>
        <c:ser>
          <c:idx val="0"/>
          <c:order val="0"/>
          <c:spPr>
            <a:solidFill>
              <a:schemeClr val="tx2">
                <a:lumMod val="60000"/>
                <a:lumOff val="40000"/>
              </a:schemeClr>
            </a:solidFill>
            <a:ln w="25400">
              <a:noFill/>
            </a:ln>
          </c:spPr>
          <c:invertIfNegative val="0"/>
          <c:val>
            <c:numRef>
              <c:f>Profile!$G$63:$G$86</c:f>
              <c:numCache>
                <c:formatCode>0.00</c:formatCode>
                <c:ptCount val="24"/>
                <c:pt idx="0">
                  <c:v>1</c:v>
                </c:pt>
                <c:pt idx="1">
                  <c:v>1</c:v>
                </c:pt>
                <c:pt idx="2">
                  <c:v>1</c:v>
                </c:pt>
                <c:pt idx="3">
                  <c:v>1</c:v>
                </c:pt>
                <c:pt idx="4">
                  <c:v>1</c:v>
                </c:pt>
                <c:pt idx="5">
                  <c:v>1</c:v>
                </c:pt>
                <c:pt idx="6">
                  <c:v>1</c:v>
                </c:pt>
                <c:pt idx="7">
                  <c:v>0.66700000000000004</c:v>
                </c:pt>
                <c:pt idx="8">
                  <c:v>0.66700000000000004</c:v>
                </c:pt>
                <c:pt idx="9">
                  <c:v>0.66700000000000004</c:v>
                </c:pt>
                <c:pt idx="10">
                  <c:v>0.66700000000000004</c:v>
                </c:pt>
                <c:pt idx="11">
                  <c:v>0.66700000000000004</c:v>
                </c:pt>
                <c:pt idx="12">
                  <c:v>1</c:v>
                </c:pt>
                <c:pt idx="13">
                  <c:v>0.66700000000000004</c:v>
                </c:pt>
                <c:pt idx="14">
                  <c:v>0.66700000000000004</c:v>
                </c:pt>
                <c:pt idx="15">
                  <c:v>0.66700000000000004</c:v>
                </c:pt>
                <c:pt idx="16">
                  <c:v>0.66700000000000004</c:v>
                </c:pt>
                <c:pt idx="17">
                  <c:v>0.66700000000000004</c:v>
                </c:pt>
                <c:pt idx="18">
                  <c:v>1</c:v>
                </c:pt>
                <c:pt idx="19">
                  <c:v>1</c:v>
                </c:pt>
                <c:pt idx="20">
                  <c:v>1</c:v>
                </c:pt>
                <c:pt idx="21">
                  <c:v>1</c:v>
                </c:pt>
                <c:pt idx="22">
                  <c:v>1</c:v>
                </c:pt>
                <c:pt idx="23">
                  <c:v>1</c:v>
                </c:pt>
              </c:numCache>
            </c:numRef>
          </c:val>
          <c:extLst>
            <c:ext xmlns:c16="http://schemas.microsoft.com/office/drawing/2014/chart" uri="{C3380CC4-5D6E-409C-BE32-E72D297353CC}">
              <c16:uniqueId val="{00000001-5DE8-44D5-8CCD-A0F89F5C5C43}"/>
            </c:ext>
          </c:extLst>
        </c:ser>
        <c:dLbls>
          <c:showLegendKey val="0"/>
          <c:showVal val="0"/>
          <c:showCatName val="0"/>
          <c:showSerName val="0"/>
          <c:showPercent val="0"/>
          <c:showBubbleSize val="0"/>
        </c:dLbls>
        <c:gapWidth val="150"/>
        <c:axId val="88720128"/>
        <c:axId val="88721664"/>
      </c:barChart>
      <c:catAx>
        <c:axId val="88708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709760"/>
        <c:crosses val="autoZero"/>
        <c:auto val="1"/>
        <c:lblAlgn val="ctr"/>
        <c:lblOffset val="100"/>
        <c:tickLblSkip val="1"/>
        <c:tickMarkSkip val="1"/>
        <c:noMultiLvlLbl val="0"/>
      </c:catAx>
      <c:valAx>
        <c:axId val="8870976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Beleuchtungsprofil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708224"/>
        <c:crosses val="autoZero"/>
        <c:crossBetween val="between"/>
        <c:majorUnit val="0.2"/>
        <c:minorUnit val="0.01"/>
      </c:valAx>
      <c:catAx>
        <c:axId val="88720128"/>
        <c:scaling>
          <c:orientation val="minMax"/>
        </c:scaling>
        <c:delete val="1"/>
        <c:axPos val="b"/>
        <c:majorTickMark val="out"/>
        <c:minorTickMark val="none"/>
        <c:tickLblPos val="nextTo"/>
        <c:crossAx val="88721664"/>
        <c:crosses val="autoZero"/>
        <c:auto val="1"/>
        <c:lblAlgn val="ctr"/>
        <c:lblOffset val="100"/>
        <c:noMultiLvlLbl val="0"/>
      </c:catAx>
      <c:valAx>
        <c:axId val="88721664"/>
        <c:scaling>
          <c:orientation val="minMax"/>
        </c:scaling>
        <c:delete val="1"/>
        <c:axPos val="r"/>
        <c:numFmt formatCode="0.00" sourceLinked="1"/>
        <c:majorTickMark val="out"/>
        <c:minorTickMark val="none"/>
        <c:tickLblPos val="nextTo"/>
        <c:crossAx val="88720128"/>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23C2-4861-B268-2EAA90F11C24}"/>
            </c:ext>
          </c:extLst>
        </c:ser>
        <c:dLbls>
          <c:showLegendKey val="0"/>
          <c:showVal val="0"/>
          <c:showCatName val="0"/>
          <c:showSerName val="0"/>
          <c:showPercent val="0"/>
          <c:showBubbleSize val="0"/>
        </c:dLbls>
        <c:gapWidth val="0"/>
        <c:overlap val="100"/>
        <c:axId val="88747392"/>
        <c:axId val="88753280"/>
      </c:barChart>
      <c:barChart>
        <c:barDir val="col"/>
        <c:grouping val="clustered"/>
        <c:varyColors val="0"/>
        <c:ser>
          <c:idx val="0"/>
          <c:order val="0"/>
          <c:spPr>
            <a:solidFill>
              <a:schemeClr val="tx2">
                <a:lumMod val="40000"/>
                <a:lumOff val="60000"/>
              </a:schemeClr>
            </a:solidFill>
            <a:ln w="25400">
              <a:noFill/>
            </a:ln>
          </c:spPr>
          <c:invertIfNegative val="0"/>
          <c:val>
            <c:numRef>
              <c:f>Profile!$I$63:$I$86</c:f>
              <c:numCache>
                <c:formatCode>0.00</c:formatCode>
                <c:ptCount val="24"/>
                <c:pt idx="0">
                  <c:v>1</c:v>
                </c:pt>
                <c:pt idx="1">
                  <c:v>1</c:v>
                </c:pt>
                <c:pt idx="2">
                  <c:v>1</c:v>
                </c:pt>
                <c:pt idx="3">
                  <c:v>1</c:v>
                </c:pt>
                <c:pt idx="4">
                  <c:v>1</c:v>
                </c:pt>
                <c:pt idx="5">
                  <c:v>1</c:v>
                </c:pt>
                <c:pt idx="6">
                  <c:v>0.6</c:v>
                </c:pt>
                <c:pt idx="7">
                  <c:v>0.4</c:v>
                </c:pt>
                <c:pt idx="8">
                  <c:v>0.25</c:v>
                </c:pt>
                <c:pt idx="9">
                  <c:v>0.25</c:v>
                </c:pt>
                <c:pt idx="10">
                  <c:v>0.25</c:v>
                </c:pt>
                <c:pt idx="11">
                  <c:v>0.25</c:v>
                </c:pt>
                <c:pt idx="12">
                  <c:v>0.8</c:v>
                </c:pt>
                <c:pt idx="13">
                  <c:v>0.4</c:v>
                </c:pt>
                <c:pt idx="14">
                  <c:v>0.25</c:v>
                </c:pt>
                <c:pt idx="15">
                  <c:v>0.25</c:v>
                </c:pt>
                <c:pt idx="16">
                  <c:v>0.25</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1-23C2-4861-B268-2EAA90F11C24}"/>
            </c:ext>
          </c:extLst>
        </c:ser>
        <c:dLbls>
          <c:showLegendKey val="0"/>
          <c:showVal val="0"/>
          <c:showCatName val="0"/>
          <c:showSerName val="0"/>
          <c:showPercent val="0"/>
          <c:showBubbleSize val="0"/>
        </c:dLbls>
        <c:gapWidth val="150"/>
        <c:axId val="88755200"/>
        <c:axId val="88756992"/>
      </c:barChart>
      <c:catAx>
        <c:axId val="8874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753280"/>
        <c:crosses val="autoZero"/>
        <c:auto val="1"/>
        <c:lblAlgn val="ctr"/>
        <c:lblOffset val="100"/>
        <c:tickLblSkip val="1"/>
        <c:tickMarkSkip val="1"/>
        <c:noMultiLvlLbl val="0"/>
      </c:catAx>
      <c:valAx>
        <c:axId val="8875328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Beleuchtungsprofil</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747392"/>
        <c:crosses val="autoZero"/>
        <c:crossBetween val="between"/>
        <c:majorUnit val="0.2"/>
        <c:minorUnit val="0.01"/>
      </c:valAx>
      <c:catAx>
        <c:axId val="88755200"/>
        <c:scaling>
          <c:orientation val="minMax"/>
        </c:scaling>
        <c:delete val="1"/>
        <c:axPos val="b"/>
        <c:majorTickMark val="out"/>
        <c:minorTickMark val="none"/>
        <c:tickLblPos val="nextTo"/>
        <c:crossAx val="88756992"/>
        <c:crosses val="autoZero"/>
        <c:auto val="1"/>
        <c:lblAlgn val="ctr"/>
        <c:lblOffset val="100"/>
        <c:noMultiLvlLbl val="0"/>
      </c:catAx>
      <c:valAx>
        <c:axId val="88756992"/>
        <c:scaling>
          <c:orientation val="minMax"/>
        </c:scaling>
        <c:delete val="1"/>
        <c:axPos val="r"/>
        <c:numFmt formatCode="0.00" sourceLinked="1"/>
        <c:majorTickMark val="out"/>
        <c:minorTickMark val="none"/>
        <c:tickLblPos val="nextTo"/>
        <c:crossAx val="8875520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Profile!$C$91</c:f>
              <c:strCache>
                <c:ptCount val="1"/>
                <c:pt idx="0">
                  <c:v>Personen</c:v>
                </c:pt>
              </c:strCache>
            </c:strRef>
          </c:tx>
          <c:spPr>
            <a:solidFill>
              <a:srgbClr val="92D050"/>
            </a:solidFill>
          </c:spPr>
          <c:invertIfNegative val="0"/>
          <c:val>
            <c:numRef>
              <c:f>(Profile!$C$98:$C$121,Profile!$I$587)</c:f>
              <c:numCache>
                <c:formatCode>0.0</c:formatCode>
                <c:ptCount val="25"/>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pt idx="24" formatCode="General">
                  <c:v>0</c:v>
                </c:pt>
              </c:numCache>
            </c:numRef>
          </c:val>
          <c:extLst>
            <c:ext xmlns:c16="http://schemas.microsoft.com/office/drawing/2014/chart" uri="{C3380CC4-5D6E-409C-BE32-E72D297353CC}">
              <c16:uniqueId val="{00000000-CD51-4EC8-AFA6-D3F2E4CB252C}"/>
            </c:ext>
          </c:extLst>
        </c:ser>
        <c:ser>
          <c:idx val="2"/>
          <c:order val="1"/>
          <c:tx>
            <c:strRef>
              <c:f>Profile!$D$91</c:f>
              <c:strCache>
                <c:ptCount val="1"/>
                <c:pt idx="0">
                  <c:v>Geräte</c:v>
                </c:pt>
              </c:strCache>
            </c:strRef>
          </c:tx>
          <c:spPr>
            <a:solidFill>
              <a:srgbClr val="00B050"/>
            </a:solidFill>
          </c:spPr>
          <c:invertIfNegative val="0"/>
          <c:val>
            <c:numRef>
              <c:f>Profile!$D$98:$D$121</c:f>
              <c:numCache>
                <c:formatCode>0.0</c:formatCode>
                <c:ptCount val="24"/>
                <c:pt idx="0">
                  <c:v>2</c:v>
                </c:pt>
                <c:pt idx="1">
                  <c:v>2</c:v>
                </c:pt>
                <c:pt idx="2">
                  <c:v>2</c:v>
                </c:pt>
                <c:pt idx="3">
                  <c:v>2</c:v>
                </c:pt>
                <c:pt idx="4">
                  <c:v>2</c:v>
                </c:pt>
                <c:pt idx="5">
                  <c:v>2</c:v>
                </c:pt>
                <c:pt idx="6">
                  <c:v>8</c:v>
                </c:pt>
                <c:pt idx="7">
                  <c:v>2</c:v>
                </c:pt>
                <c:pt idx="8">
                  <c:v>2</c:v>
                </c:pt>
                <c:pt idx="9">
                  <c:v>2</c:v>
                </c:pt>
                <c:pt idx="10">
                  <c:v>2</c:v>
                </c:pt>
                <c:pt idx="11">
                  <c:v>2</c:v>
                </c:pt>
                <c:pt idx="12">
                  <c:v>8</c:v>
                </c:pt>
                <c:pt idx="13">
                  <c:v>2</c:v>
                </c:pt>
                <c:pt idx="14">
                  <c:v>2</c:v>
                </c:pt>
                <c:pt idx="15">
                  <c:v>2</c:v>
                </c:pt>
                <c:pt idx="16">
                  <c:v>2</c:v>
                </c:pt>
                <c:pt idx="17">
                  <c:v>2</c:v>
                </c:pt>
                <c:pt idx="18">
                  <c:v>8</c:v>
                </c:pt>
                <c:pt idx="19">
                  <c:v>10</c:v>
                </c:pt>
                <c:pt idx="20">
                  <c:v>2</c:v>
                </c:pt>
                <c:pt idx="21">
                  <c:v>2</c:v>
                </c:pt>
                <c:pt idx="22">
                  <c:v>2</c:v>
                </c:pt>
                <c:pt idx="23">
                  <c:v>2</c:v>
                </c:pt>
              </c:numCache>
            </c:numRef>
          </c:val>
          <c:extLst>
            <c:ext xmlns:c16="http://schemas.microsoft.com/office/drawing/2014/chart" uri="{C3380CC4-5D6E-409C-BE32-E72D297353CC}">
              <c16:uniqueId val="{00000001-CD51-4EC8-AFA6-D3F2E4CB252C}"/>
            </c:ext>
          </c:extLst>
        </c:ser>
        <c:ser>
          <c:idx val="4"/>
          <c:order val="2"/>
          <c:tx>
            <c:strRef>
              <c:f>Profile!$F$91</c:f>
              <c:strCache>
                <c:ptCount val="1"/>
                <c:pt idx="0">
                  <c:v>Beleuchtung</c:v>
                </c:pt>
              </c:strCache>
            </c:strRef>
          </c:tx>
          <c:spPr>
            <a:solidFill>
              <a:srgbClr val="FFFF00"/>
            </a:solidFill>
          </c:spPr>
          <c:invertIfNegative val="0"/>
          <c:val>
            <c:numRef>
              <c:f>Profile!$F$98:$F$121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2.9791666666666674</c:v>
                </c:pt>
                <c:pt idx="20">
                  <c:v>2.9791666666666674</c:v>
                </c:pt>
                <c:pt idx="21">
                  <c:v>2.9791666666666674</c:v>
                </c:pt>
                <c:pt idx="22">
                  <c:v>0</c:v>
                </c:pt>
                <c:pt idx="23">
                  <c:v>0</c:v>
                </c:pt>
              </c:numCache>
            </c:numRef>
          </c:val>
          <c:extLst>
            <c:ext xmlns:c16="http://schemas.microsoft.com/office/drawing/2014/chart" uri="{C3380CC4-5D6E-409C-BE32-E72D297353CC}">
              <c16:uniqueId val="{00000002-CD51-4EC8-AFA6-D3F2E4CB252C}"/>
            </c:ext>
          </c:extLst>
        </c:ser>
        <c:ser>
          <c:idx val="5"/>
          <c:order val="3"/>
          <c:tx>
            <c:strRef>
              <c:f>Profile!$H$91</c:f>
              <c:strCache>
                <c:ptCount val="1"/>
                <c:pt idx="0">
                  <c:v>Solarstrahlung</c:v>
                </c:pt>
              </c:strCache>
            </c:strRef>
          </c:tx>
          <c:spPr>
            <a:solidFill>
              <a:schemeClr val="accent6"/>
            </a:solidFill>
          </c:spPr>
          <c:invertIfNegative val="0"/>
          <c:val>
            <c:numRef>
              <c:f>Profile!$J$98:$J$121</c:f>
              <c:numCache>
                <c:formatCode>0.0</c:formatCode>
                <c:ptCount val="24"/>
                <c:pt idx="0">
                  <c:v>0</c:v>
                </c:pt>
                <c:pt idx="1">
                  <c:v>0</c:v>
                </c:pt>
                <c:pt idx="2">
                  <c:v>0</c:v>
                </c:pt>
                <c:pt idx="3">
                  <c:v>0</c:v>
                </c:pt>
                <c:pt idx="4">
                  <c:v>0.2382352941176471</c:v>
                </c:pt>
                <c:pt idx="5">
                  <c:v>2.5411764705882356</c:v>
                </c:pt>
                <c:pt idx="6">
                  <c:v>5.1617647058823533</c:v>
                </c:pt>
                <c:pt idx="7">
                  <c:v>6.1147058823529417</c:v>
                </c:pt>
                <c:pt idx="8">
                  <c:v>7.7029411764705884</c:v>
                </c:pt>
                <c:pt idx="9">
                  <c:v>8.8941176470588239</c:v>
                </c:pt>
                <c:pt idx="10">
                  <c:v>9.2911764705882351</c:v>
                </c:pt>
                <c:pt idx="11">
                  <c:v>10.164705882352942</c:v>
                </c:pt>
                <c:pt idx="12">
                  <c:v>5.9368235294117655</c:v>
                </c:pt>
                <c:pt idx="13">
                  <c:v>10.139294117647061</c:v>
                </c:pt>
                <c:pt idx="14">
                  <c:v>13.385647058823533</c:v>
                </c:pt>
                <c:pt idx="15">
                  <c:v>15.120000000000003</c:v>
                </c:pt>
                <c:pt idx="16">
                  <c:v>14.89764705882353</c:v>
                </c:pt>
                <c:pt idx="17">
                  <c:v>12.251647058823533</c:v>
                </c:pt>
                <c:pt idx="18">
                  <c:v>5.2920000000000016</c:v>
                </c:pt>
                <c:pt idx="19">
                  <c:v>0</c:v>
                </c:pt>
                <c:pt idx="20">
                  <c:v>0</c:v>
                </c:pt>
                <c:pt idx="21">
                  <c:v>0</c:v>
                </c:pt>
                <c:pt idx="22">
                  <c:v>0</c:v>
                </c:pt>
                <c:pt idx="23">
                  <c:v>0</c:v>
                </c:pt>
              </c:numCache>
            </c:numRef>
          </c:val>
          <c:extLst>
            <c:ext xmlns:c16="http://schemas.microsoft.com/office/drawing/2014/chart" uri="{C3380CC4-5D6E-409C-BE32-E72D297353CC}">
              <c16:uniqueId val="{00000003-CD51-4EC8-AFA6-D3F2E4CB252C}"/>
            </c:ext>
          </c:extLst>
        </c:ser>
        <c:ser>
          <c:idx val="6"/>
          <c:order val="4"/>
          <c:tx>
            <c:strRef>
              <c:f>Profile!$K$91</c:f>
              <c:strCache>
                <c:ptCount val="1"/>
                <c:pt idx="0">
                  <c:v>Lüftung</c:v>
                </c:pt>
              </c:strCache>
            </c:strRef>
          </c:tx>
          <c:spPr>
            <a:solidFill>
              <a:srgbClr val="00B0F0"/>
            </a:solidFill>
          </c:spPr>
          <c:invertIfNegative val="0"/>
          <c:val>
            <c:numRef>
              <c:f>Profile!$O$98:$O$121</c:f>
              <c:numCache>
                <c:formatCode>0.00</c:formatCode>
                <c:ptCount val="24"/>
                <c:pt idx="0">
                  <c:v>-1.9101714285714291</c:v>
                </c:pt>
                <c:pt idx="1">
                  <c:v>-2.0980571428571428</c:v>
                </c:pt>
                <c:pt idx="2">
                  <c:v>-2.2546285714285714</c:v>
                </c:pt>
                <c:pt idx="3">
                  <c:v>-2.3798857142857153</c:v>
                </c:pt>
                <c:pt idx="4">
                  <c:v>-2.4112</c:v>
                </c:pt>
                <c:pt idx="5">
                  <c:v>-2.2233142857142862</c:v>
                </c:pt>
                <c:pt idx="6">
                  <c:v>-1.7849142857142855</c:v>
                </c:pt>
                <c:pt idx="7">
                  <c:v>-1.2838857142857147</c:v>
                </c:pt>
                <c:pt idx="8">
                  <c:v>-0.62628571428571433</c:v>
                </c:pt>
                <c:pt idx="9">
                  <c:v>-0.31314285714285717</c:v>
                </c:pt>
                <c:pt idx="10">
                  <c:v>0.21919999999999978</c:v>
                </c:pt>
                <c:pt idx="11">
                  <c:v>0.26309485714285741</c:v>
                </c:pt>
                <c:pt idx="12">
                  <c:v>0.43051885714285759</c:v>
                </c:pt>
                <c:pt idx="13">
                  <c:v>0.53814857142857142</c:v>
                </c:pt>
                <c:pt idx="14">
                  <c:v>0.64577828571428531</c:v>
                </c:pt>
                <c:pt idx="15">
                  <c:v>0.70557257142857144</c:v>
                </c:pt>
                <c:pt idx="16">
                  <c:v>0.71753142857142882</c:v>
                </c:pt>
                <c:pt idx="17">
                  <c:v>0.55010742857142891</c:v>
                </c:pt>
                <c:pt idx="18">
                  <c:v>0.43839999999999957</c:v>
                </c:pt>
                <c:pt idx="19">
                  <c:v>0.12525714285714243</c:v>
                </c:pt>
                <c:pt idx="20">
                  <c:v>0.28182857142857098</c:v>
                </c:pt>
                <c:pt idx="21">
                  <c:v>-0.34445714285714329</c:v>
                </c:pt>
                <c:pt idx="22">
                  <c:v>-0.97074285714285768</c:v>
                </c:pt>
                <c:pt idx="23">
                  <c:v>-1.3151999999999999</c:v>
                </c:pt>
              </c:numCache>
            </c:numRef>
          </c:val>
          <c:extLst>
            <c:ext xmlns:c16="http://schemas.microsoft.com/office/drawing/2014/chart" uri="{C3380CC4-5D6E-409C-BE32-E72D297353CC}">
              <c16:uniqueId val="{00000004-CD51-4EC8-AFA6-D3F2E4CB252C}"/>
            </c:ext>
          </c:extLst>
        </c:ser>
        <c:ser>
          <c:idx val="7"/>
          <c:order val="5"/>
          <c:tx>
            <c:strRef>
              <c:f>Profile!$P$91</c:f>
              <c:strCache>
                <c:ptCount val="1"/>
                <c:pt idx="0">
                  <c:v>Transmission</c:v>
                </c:pt>
              </c:strCache>
            </c:strRef>
          </c:tx>
          <c:spPr>
            <a:solidFill>
              <a:schemeClr val="accent2">
                <a:lumMod val="60000"/>
                <a:lumOff val="40000"/>
              </a:schemeClr>
            </a:solidFill>
          </c:spPr>
          <c:invertIfNegative val="0"/>
          <c:val>
            <c:numRef>
              <c:f>Profile!$P$98:$P$121</c:f>
              <c:numCache>
                <c:formatCode>0.0</c:formatCode>
                <c:ptCount val="24"/>
                <c:pt idx="0">
                  <c:v>-2.820173529411766</c:v>
                </c:pt>
                <c:pt idx="1">
                  <c:v>-3.097567647058824</c:v>
                </c:pt>
                <c:pt idx="2">
                  <c:v>-3.3287294117647064</c:v>
                </c:pt>
                <c:pt idx="3">
                  <c:v>-3.5136588235294131</c:v>
                </c:pt>
                <c:pt idx="4">
                  <c:v>-3.5598911764705887</c:v>
                </c:pt>
                <c:pt idx="5">
                  <c:v>-3.2824970588235307</c:v>
                </c:pt>
                <c:pt idx="6">
                  <c:v>-2.6352441176470589</c:v>
                </c:pt>
                <c:pt idx="7">
                  <c:v>-1.8955264705882364</c:v>
                </c:pt>
                <c:pt idx="8">
                  <c:v>-0.9246470588235296</c:v>
                </c:pt>
                <c:pt idx="9">
                  <c:v>-0.4623235294117648</c:v>
                </c:pt>
                <c:pt idx="10">
                  <c:v>0.32362647058823502</c:v>
                </c:pt>
                <c:pt idx="11">
                  <c:v>1.0171117647058823</c:v>
                </c:pt>
                <c:pt idx="12">
                  <c:v>1.6643647058823539</c:v>
                </c:pt>
                <c:pt idx="13">
                  <c:v>2.0804558823529415</c:v>
                </c:pt>
                <c:pt idx="14">
                  <c:v>2.4965470588235292</c:v>
                </c:pt>
                <c:pt idx="15">
                  <c:v>2.7277088235294116</c:v>
                </c:pt>
                <c:pt idx="16">
                  <c:v>2.773941176470589</c:v>
                </c:pt>
                <c:pt idx="17">
                  <c:v>2.1266882352941185</c:v>
                </c:pt>
                <c:pt idx="18">
                  <c:v>0.64725294117647003</c:v>
                </c:pt>
                <c:pt idx="19">
                  <c:v>0.18492941176470526</c:v>
                </c:pt>
                <c:pt idx="20">
                  <c:v>0.41609117647058769</c:v>
                </c:pt>
                <c:pt idx="21">
                  <c:v>-0.50855588235294191</c:v>
                </c:pt>
                <c:pt idx="22">
                  <c:v>-1.4332029411764715</c:v>
                </c:pt>
                <c:pt idx="23">
                  <c:v>-1.9417588235294119</c:v>
                </c:pt>
              </c:numCache>
            </c:numRef>
          </c:val>
          <c:extLst>
            <c:ext xmlns:c16="http://schemas.microsoft.com/office/drawing/2014/chart" uri="{C3380CC4-5D6E-409C-BE32-E72D297353CC}">
              <c16:uniqueId val="{00000005-CD51-4EC8-AFA6-D3F2E4CB252C}"/>
            </c:ext>
          </c:extLst>
        </c:ser>
        <c:ser>
          <c:idx val="0"/>
          <c:order val="6"/>
          <c:tx>
            <c:strRef>
              <c:f>Profile!$AF$91</c:f>
              <c:strCache>
                <c:ptCount val="1"/>
                <c:pt idx="0">
                  <c:v>Klimakälte</c:v>
                </c:pt>
              </c:strCache>
            </c:strRef>
          </c:tx>
          <c:invertIfNegative val="0"/>
          <c:val>
            <c:numRef>
              <c:f>Profile!$AF$98:$AF$121</c:f>
              <c:numCache>
                <c:formatCode>0.0</c:formatCode>
                <c:ptCount val="24"/>
                <c:pt idx="0">
                  <c:v>0</c:v>
                </c:pt>
                <c:pt idx="1">
                  <c:v>0</c:v>
                </c:pt>
                <c:pt idx="2">
                  <c:v>0</c:v>
                </c:pt>
                <c:pt idx="3">
                  <c:v>0</c:v>
                </c:pt>
                <c:pt idx="4">
                  <c:v>0</c:v>
                </c:pt>
                <c:pt idx="5">
                  <c:v>0</c:v>
                </c:pt>
                <c:pt idx="6">
                  <c:v>-0.18160630252100876</c:v>
                </c:pt>
                <c:pt idx="7">
                  <c:v>0</c:v>
                </c:pt>
                <c:pt idx="8">
                  <c:v>0</c:v>
                </c:pt>
                <c:pt idx="9">
                  <c:v>-0.11865126050421496</c:v>
                </c:pt>
                <c:pt idx="10">
                  <c:v>-1.8340029411764776</c:v>
                </c:pt>
                <c:pt idx="11">
                  <c:v>-3.4449125042017053</c:v>
                </c:pt>
                <c:pt idx="12">
                  <c:v>-7.9517070924369939</c:v>
                </c:pt>
                <c:pt idx="13">
                  <c:v>-5.7178985714285897</c:v>
                </c:pt>
                <c:pt idx="14">
                  <c:v>-8.5279724033613569</c:v>
                </c:pt>
                <c:pt idx="15">
                  <c:v>-10.553281394958002</c:v>
                </c:pt>
                <c:pt idx="16">
                  <c:v>-10.3891196638655</c:v>
                </c:pt>
                <c:pt idx="17">
                  <c:v>-7.8884427226890397</c:v>
                </c:pt>
                <c:pt idx="18">
                  <c:v>-6.297652941176473</c:v>
                </c:pt>
                <c:pt idx="19">
                  <c:v>-5.2093532212885449</c:v>
                </c:pt>
                <c:pt idx="20">
                  <c:v>0</c:v>
                </c:pt>
                <c:pt idx="21">
                  <c:v>0</c:v>
                </c:pt>
                <c:pt idx="22">
                  <c:v>0</c:v>
                </c:pt>
                <c:pt idx="23">
                  <c:v>0</c:v>
                </c:pt>
              </c:numCache>
            </c:numRef>
          </c:val>
          <c:extLst>
            <c:ext xmlns:c16="http://schemas.microsoft.com/office/drawing/2014/chart" uri="{C3380CC4-5D6E-409C-BE32-E72D297353CC}">
              <c16:uniqueId val="{00000006-CD51-4EC8-AFA6-D3F2E4CB252C}"/>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Wärmebilanz,</a:t>
                </a:r>
                <a:r>
                  <a:rPr lang="de-CH" baseline="0"/>
                  <a:t> W/m2</a:t>
                </a:r>
                <a:endParaRPr lang="de-CH"/>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spPr>
        <a:noFill/>
        <a:ln w="25400">
          <a:noFill/>
        </a:ln>
      </c:spPr>
    </c:plotArea>
    <c:legend>
      <c:legendPos val="r"/>
      <c:layout>
        <c:manualLayout>
          <c:xMode val="edge"/>
          <c:yMode val="edge"/>
          <c:x val="0.81019337121958135"/>
          <c:y val="0.23491948839684595"/>
          <c:w val="0.14213691627846542"/>
          <c:h val="0.51381544779321131"/>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Profile!$E$395:$E$562</c:f>
              <c:numCache>
                <c:formatCode>0.0</c:formatCode>
                <c:ptCount val="168"/>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0</c:v>
                </c:pt>
                <c:pt idx="33">
                  <c:v>0</c:v>
                </c:pt>
                <c:pt idx="34">
                  <c:v>0</c:v>
                </c:pt>
                <c:pt idx="35">
                  <c:v>0</c:v>
                </c:pt>
                <c:pt idx="36">
                  <c:v>1</c:v>
                </c:pt>
                <c:pt idx="37">
                  <c:v>1</c:v>
                </c:pt>
                <c:pt idx="38">
                  <c:v>0</c:v>
                </c:pt>
                <c:pt idx="39">
                  <c:v>0</c:v>
                </c:pt>
                <c:pt idx="40">
                  <c:v>0</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0</c:v>
                </c:pt>
                <c:pt idx="57">
                  <c:v>0</c:v>
                </c:pt>
                <c:pt idx="58">
                  <c:v>0</c:v>
                </c:pt>
                <c:pt idx="59">
                  <c:v>0</c:v>
                </c:pt>
                <c:pt idx="60">
                  <c:v>1</c:v>
                </c:pt>
                <c:pt idx="61">
                  <c:v>1</c:v>
                </c:pt>
                <c:pt idx="62">
                  <c:v>0</c:v>
                </c:pt>
                <c:pt idx="63">
                  <c:v>0</c:v>
                </c:pt>
                <c:pt idx="64">
                  <c:v>0</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0</c:v>
                </c:pt>
                <c:pt idx="81">
                  <c:v>0</c:v>
                </c:pt>
                <c:pt idx="82">
                  <c:v>0</c:v>
                </c:pt>
                <c:pt idx="83">
                  <c:v>0</c:v>
                </c:pt>
                <c:pt idx="84">
                  <c:v>1</c:v>
                </c:pt>
                <c:pt idx="85">
                  <c:v>1</c:v>
                </c:pt>
                <c:pt idx="86">
                  <c:v>0</c:v>
                </c:pt>
                <c:pt idx="87">
                  <c:v>0</c:v>
                </c:pt>
                <c:pt idx="88">
                  <c:v>0</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0</c:v>
                </c:pt>
                <c:pt idx="105">
                  <c:v>0</c:v>
                </c:pt>
                <c:pt idx="106">
                  <c:v>0</c:v>
                </c:pt>
                <c:pt idx="107">
                  <c:v>0</c:v>
                </c:pt>
                <c:pt idx="108">
                  <c:v>1</c:v>
                </c:pt>
                <c:pt idx="109">
                  <c:v>1</c:v>
                </c:pt>
                <c:pt idx="110">
                  <c:v>0</c:v>
                </c:pt>
                <c:pt idx="111">
                  <c:v>0</c:v>
                </c:pt>
                <c:pt idx="112">
                  <c:v>0</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0</c:v>
                </c:pt>
                <c:pt idx="129">
                  <c:v>0</c:v>
                </c:pt>
                <c:pt idx="130">
                  <c:v>0</c:v>
                </c:pt>
                <c:pt idx="131">
                  <c:v>0</c:v>
                </c:pt>
                <c:pt idx="132">
                  <c:v>1</c:v>
                </c:pt>
                <c:pt idx="133">
                  <c:v>1</c:v>
                </c:pt>
                <c:pt idx="134">
                  <c:v>0</c:v>
                </c:pt>
                <c:pt idx="135">
                  <c:v>0</c:v>
                </c:pt>
                <c:pt idx="136">
                  <c:v>0</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0</c:v>
                </c:pt>
                <c:pt idx="153">
                  <c:v>0</c:v>
                </c:pt>
                <c:pt idx="154">
                  <c:v>0</c:v>
                </c:pt>
                <c:pt idx="155">
                  <c:v>0</c:v>
                </c:pt>
                <c:pt idx="156">
                  <c:v>1</c:v>
                </c:pt>
                <c:pt idx="157">
                  <c:v>1</c:v>
                </c:pt>
                <c:pt idx="158">
                  <c:v>0</c:v>
                </c:pt>
                <c:pt idx="159">
                  <c:v>0</c:v>
                </c:pt>
                <c:pt idx="160">
                  <c:v>0</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AD76-4151-8D3A-B5BF670C22FE}"/>
            </c:ext>
          </c:extLst>
        </c:ser>
        <c:dLbls>
          <c:showLegendKey val="0"/>
          <c:showVal val="0"/>
          <c:showCatName val="0"/>
          <c:showSerName val="0"/>
          <c:showPercent val="0"/>
          <c:showBubbleSize val="0"/>
        </c:dLbls>
        <c:gapWidth val="0"/>
        <c:overlap val="100"/>
        <c:axId val="88858624"/>
        <c:axId val="88860160"/>
      </c:barChart>
      <c:barChart>
        <c:barDir val="col"/>
        <c:grouping val="clustered"/>
        <c:varyColors val="0"/>
        <c:ser>
          <c:idx val="0"/>
          <c:order val="0"/>
          <c:spPr>
            <a:solidFill>
              <a:schemeClr val="tx2">
                <a:lumMod val="75000"/>
              </a:schemeClr>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Profile!$J$395:$J$562</c:f>
              <c:numCache>
                <c:formatCode>0.0</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1-AD76-4151-8D3A-B5BF670C22FE}"/>
            </c:ext>
          </c:extLst>
        </c:ser>
        <c:dLbls>
          <c:showLegendKey val="0"/>
          <c:showVal val="0"/>
          <c:showCatName val="0"/>
          <c:showSerName val="0"/>
          <c:showPercent val="0"/>
          <c:showBubbleSize val="0"/>
        </c:dLbls>
        <c:gapWidth val="0"/>
        <c:axId val="88862080"/>
        <c:axId val="88884352"/>
      </c:barChart>
      <c:catAx>
        <c:axId val="88858624"/>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60160"/>
        <c:crosses val="autoZero"/>
        <c:auto val="1"/>
        <c:lblAlgn val="ctr"/>
        <c:lblOffset val="100"/>
        <c:tickLblSkip val="24"/>
        <c:noMultiLvlLbl val="0"/>
      </c:catAx>
      <c:valAx>
        <c:axId val="88860160"/>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58624"/>
        <c:crosses val="autoZero"/>
        <c:crossBetween val="between"/>
        <c:majorUnit val="0.2"/>
        <c:minorUnit val="0.01"/>
      </c:valAx>
      <c:catAx>
        <c:axId val="88862080"/>
        <c:scaling>
          <c:orientation val="minMax"/>
        </c:scaling>
        <c:delete val="1"/>
        <c:axPos val="b"/>
        <c:numFmt formatCode="General" sourceLinked="1"/>
        <c:majorTickMark val="out"/>
        <c:minorTickMark val="none"/>
        <c:tickLblPos val="nextTo"/>
        <c:crossAx val="88884352"/>
        <c:crosses val="autoZero"/>
        <c:auto val="1"/>
        <c:lblAlgn val="ctr"/>
        <c:lblOffset val="100"/>
        <c:noMultiLvlLbl val="0"/>
      </c:catAx>
      <c:valAx>
        <c:axId val="88884352"/>
        <c:scaling>
          <c:orientation val="minMax"/>
        </c:scaling>
        <c:delete val="1"/>
        <c:axPos val="r"/>
        <c:numFmt formatCode="0.0" sourceLinked="1"/>
        <c:majorTickMark val="out"/>
        <c:minorTickMark val="none"/>
        <c:tickLblPos val="nextTo"/>
        <c:crossAx val="88862080"/>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481995922113"/>
          <c:y val="0.10489514155758657"/>
          <c:w val="0.83202024674893305"/>
          <c:h val="0.67832167832167833"/>
        </c:manualLayout>
      </c:layout>
      <c:barChart>
        <c:barDir val="col"/>
        <c:grouping val="stacked"/>
        <c:varyColors val="0"/>
        <c:ser>
          <c:idx val="3"/>
          <c:order val="1"/>
          <c:spPr>
            <a:solidFill>
              <a:srgbClr val="C0C0C0"/>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Profile!$E$395:$E$562</c:f>
              <c:numCache>
                <c:formatCode>0.0</c:formatCode>
                <c:ptCount val="168"/>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0</c:v>
                </c:pt>
                <c:pt idx="33">
                  <c:v>0</c:v>
                </c:pt>
                <c:pt idx="34">
                  <c:v>0</c:v>
                </c:pt>
                <c:pt idx="35">
                  <c:v>0</c:v>
                </c:pt>
                <c:pt idx="36">
                  <c:v>1</c:v>
                </c:pt>
                <c:pt idx="37">
                  <c:v>1</c:v>
                </c:pt>
                <c:pt idx="38">
                  <c:v>0</c:v>
                </c:pt>
                <c:pt idx="39">
                  <c:v>0</c:v>
                </c:pt>
                <c:pt idx="40">
                  <c:v>0</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0</c:v>
                </c:pt>
                <c:pt idx="57">
                  <c:v>0</c:v>
                </c:pt>
                <c:pt idx="58">
                  <c:v>0</c:v>
                </c:pt>
                <c:pt idx="59">
                  <c:v>0</c:v>
                </c:pt>
                <c:pt idx="60">
                  <c:v>1</c:v>
                </c:pt>
                <c:pt idx="61">
                  <c:v>1</c:v>
                </c:pt>
                <c:pt idx="62">
                  <c:v>0</c:v>
                </c:pt>
                <c:pt idx="63">
                  <c:v>0</c:v>
                </c:pt>
                <c:pt idx="64">
                  <c:v>0</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0</c:v>
                </c:pt>
                <c:pt idx="81">
                  <c:v>0</c:v>
                </c:pt>
                <c:pt idx="82">
                  <c:v>0</c:v>
                </c:pt>
                <c:pt idx="83">
                  <c:v>0</c:v>
                </c:pt>
                <c:pt idx="84">
                  <c:v>1</c:v>
                </c:pt>
                <c:pt idx="85">
                  <c:v>1</c:v>
                </c:pt>
                <c:pt idx="86">
                  <c:v>0</c:v>
                </c:pt>
                <c:pt idx="87">
                  <c:v>0</c:v>
                </c:pt>
                <c:pt idx="88">
                  <c:v>0</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0</c:v>
                </c:pt>
                <c:pt idx="105">
                  <c:v>0</c:v>
                </c:pt>
                <c:pt idx="106">
                  <c:v>0</c:v>
                </c:pt>
                <c:pt idx="107">
                  <c:v>0</c:v>
                </c:pt>
                <c:pt idx="108">
                  <c:v>1</c:v>
                </c:pt>
                <c:pt idx="109">
                  <c:v>1</c:v>
                </c:pt>
                <c:pt idx="110">
                  <c:v>0</c:v>
                </c:pt>
                <c:pt idx="111">
                  <c:v>0</c:v>
                </c:pt>
                <c:pt idx="112">
                  <c:v>0</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0</c:v>
                </c:pt>
                <c:pt idx="129">
                  <c:v>0</c:v>
                </c:pt>
                <c:pt idx="130">
                  <c:v>0</c:v>
                </c:pt>
                <c:pt idx="131">
                  <c:v>0</c:v>
                </c:pt>
                <c:pt idx="132">
                  <c:v>1</c:v>
                </c:pt>
                <c:pt idx="133">
                  <c:v>1</c:v>
                </c:pt>
                <c:pt idx="134">
                  <c:v>0</c:v>
                </c:pt>
                <c:pt idx="135">
                  <c:v>0</c:v>
                </c:pt>
                <c:pt idx="136">
                  <c:v>0</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0</c:v>
                </c:pt>
                <c:pt idx="153">
                  <c:v>0</c:v>
                </c:pt>
                <c:pt idx="154">
                  <c:v>0</c:v>
                </c:pt>
                <c:pt idx="155">
                  <c:v>0</c:v>
                </c:pt>
                <c:pt idx="156">
                  <c:v>1</c:v>
                </c:pt>
                <c:pt idx="157">
                  <c:v>1</c:v>
                </c:pt>
                <c:pt idx="158">
                  <c:v>0</c:v>
                </c:pt>
                <c:pt idx="159">
                  <c:v>0</c:v>
                </c:pt>
                <c:pt idx="160">
                  <c:v>0</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0-A9DC-4ADA-B54A-75C21C4916D1}"/>
            </c:ext>
          </c:extLst>
        </c:ser>
        <c:dLbls>
          <c:showLegendKey val="0"/>
          <c:showVal val="0"/>
          <c:showCatName val="0"/>
          <c:showSerName val="0"/>
          <c:showPercent val="0"/>
          <c:showBubbleSize val="0"/>
        </c:dLbls>
        <c:gapWidth val="0"/>
        <c:overlap val="100"/>
        <c:axId val="88910080"/>
        <c:axId val="88915968"/>
      </c:barChart>
      <c:barChart>
        <c:barDir val="col"/>
        <c:grouping val="clustered"/>
        <c:varyColors val="0"/>
        <c:ser>
          <c:idx val="0"/>
          <c:order val="0"/>
          <c:spPr>
            <a:solidFill>
              <a:schemeClr val="tx2">
                <a:lumMod val="60000"/>
                <a:lumOff val="40000"/>
              </a:schemeClr>
            </a:solidFill>
            <a:ln w="25400">
              <a:noFill/>
            </a:ln>
          </c:spPr>
          <c:invertIfNegative val="0"/>
          <c:cat>
            <c:numRef>
              <c:f>Profile!$A$395:$A$562</c:f>
              <c:numCache>
                <c:formatCode>General</c:formatCode>
                <c:ptCount val="168"/>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4</c:v>
                </c:pt>
                <c:pt idx="49">
                  <c:v>4</c:v>
                </c:pt>
                <c:pt idx="50">
                  <c:v>4</c:v>
                </c:pt>
                <c:pt idx="51">
                  <c:v>4</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4</c:v>
                </c:pt>
                <c:pt idx="70">
                  <c:v>4</c:v>
                </c:pt>
                <c:pt idx="71">
                  <c:v>4</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6</c:v>
                </c:pt>
                <c:pt idx="97">
                  <c:v>6</c:v>
                </c:pt>
                <c:pt idx="98">
                  <c:v>6</c:v>
                </c:pt>
                <c:pt idx="99">
                  <c:v>6</c:v>
                </c:pt>
                <c:pt idx="100">
                  <c:v>6</c:v>
                </c:pt>
                <c:pt idx="101">
                  <c:v>6</c:v>
                </c:pt>
                <c:pt idx="102">
                  <c:v>6</c:v>
                </c:pt>
                <c:pt idx="103">
                  <c:v>6</c:v>
                </c:pt>
                <c:pt idx="104">
                  <c:v>6</c:v>
                </c:pt>
                <c:pt idx="105">
                  <c:v>6</c:v>
                </c:pt>
                <c:pt idx="106">
                  <c:v>6</c:v>
                </c:pt>
                <c:pt idx="107">
                  <c:v>6</c:v>
                </c:pt>
                <c:pt idx="108">
                  <c:v>6</c:v>
                </c:pt>
                <c:pt idx="109">
                  <c:v>6</c:v>
                </c:pt>
                <c:pt idx="110">
                  <c:v>6</c:v>
                </c:pt>
                <c:pt idx="111">
                  <c:v>6</c:v>
                </c:pt>
                <c:pt idx="112">
                  <c:v>6</c:v>
                </c:pt>
                <c:pt idx="113">
                  <c:v>6</c:v>
                </c:pt>
                <c:pt idx="114">
                  <c:v>6</c:v>
                </c:pt>
                <c:pt idx="115">
                  <c:v>6</c:v>
                </c:pt>
                <c:pt idx="116">
                  <c:v>6</c:v>
                </c:pt>
                <c:pt idx="117">
                  <c:v>6</c:v>
                </c:pt>
                <c:pt idx="118">
                  <c:v>6</c:v>
                </c:pt>
                <c:pt idx="119">
                  <c:v>6</c:v>
                </c:pt>
                <c:pt idx="120">
                  <c:v>7</c:v>
                </c:pt>
                <c:pt idx="121">
                  <c:v>7</c:v>
                </c:pt>
                <c:pt idx="122">
                  <c:v>7</c:v>
                </c:pt>
                <c:pt idx="123">
                  <c:v>7</c:v>
                </c:pt>
                <c:pt idx="124">
                  <c:v>7</c:v>
                </c:pt>
                <c:pt idx="125">
                  <c:v>7</c:v>
                </c:pt>
                <c:pt idx="126">
                  <c:v>7</c:v>
                </c:pt>
                <c:pt idx="127">
                  <c:v>7</c:v>
                </c:pt>
                <c:pt idx="128">
                  <c:v>7</c:v>
                </c:pt>
                <c:pt idx="129">
                  <c:v>7</c:v>
                </c:pt>
                <c:pt idx="130">
                  <c:v>7</c:v>
                </c:pt>
                <c:pt idx="131">
                  <c:v>7</c:v>
                </c:pt>
                <c:pt idx="132">
                  <c:v>7</c:v>
                </c:pt>
                <c:pt idx="133">
                  <c:v>7</c:v>
                </c:pt>
                <c:pt idx="134">
                  <c:v>7</c:v>
                </c:pt>
                <c:pt idx="135">
                  <c:v>7</c:v>
                </c:pt>
                <c:pt idx="136">
                  <c:v>7</c:v>
                </c:pt>
                <c:pt idx="137">
                  <c:v>7</c:v>
                </c:pt>
                <c:pt idx="138">
                  <c:v>7</c:v>
                </c:pt>
                <c:pt idx="139">
                  <c:v>7</c:v>
                </c:pt>
                <c:pt idx="140">
                  <c:v>7</c:v>
                </c:pt>
                <c:pt idx="141">
                  <c:v>7</c:v>
                </c:pt>
                <c:pt idx="142">
                  <c:v>7</c:v>
                </c:pt>
                <c:pt idx="143">
                  <c:v>7</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cat>
          <c:val>
            <c:numRef>
              <c:f>Profile!$K$395:$K$562</c:f>
              <c:numCache>
                <c:formatCode>0.0</c:formatCode>
                <c:ptCount val="168"/>
                <c:pt idx="0">
                  <c:v>1</c:v>
                </c:pt>
                <c:pt idx="1">
                  <c:v>1</c:v>
                </c:pt>
                <c:pt idx="2">
                  <c:v>1</c:v>
                </c:pt>
                <c:pt idx="3">
                  <c:v>1</c:v>
                </c:pt>
                <c:pt idx="4">
                  <c:v>1</c:v>
                </c:pt>
                <c:pt idx="5">
                  <c:v>1</c:v>
                </c:pt>
                <c:pt idx="6">
                  <c:v>1</c:v>
                </c:pt>
                <c:pt idx="7">
                  <c:v>0.66700000000000004</c:v>
                </c:pt>
                <c:pt idx="8">
                  <c:v>0.66700000000000004</c:v>
                </c:pt>
                <c:pt idx="9">
                  <c:v>0.66700000000000004</c:v>
                </c:pt>
                <c:pt idx="10">
                  <c:v>0.66700000000000004</c:v>
                </c:pt>
                <c:pt idx="11">
                  <c:v>0.66700000000000004</c:v>
                </c:pt>
                <c:pt idx="12">
                  <c:v>1</c:v>
                </c:pt>
                <c:pt idx="13">
                  <c:v>0.66700000000000004</c:v>
                </c:pt>
                <c:pt idx="14">
                  <c:v>0.66700000000000004</c:v>
                </c:pt>
                <c:pt idx="15">
                  <c:v>0.66700000000000004</c:v>
                </c:pt>
                <c:pt idx="16">
                  <c:v>0.66700000000000004</c:v>
                </c:pt>
                <c:pt idx="17">
                  <c:v>0.66700000000000004</c:v>
                </c:pt>
                <c:pt idx="18">
                  <c:v>1</c:v>
                </c:pt>
                <c:pt idx="19">
                  <c:v>1</c:v>
                </c:pt>
                <c:pt idx="20">
                  <c:v>1</c:v>
                </c:pt>
                <c:pt idx="21">
                  <c:v>1</c:v>
                </c:pt>
                <c:pt idx="22">
                  <c:v>1</c:v>
                </c:pt>
                <c:pt idx="23">
                  <c:v>1</c:v>
                </c:pt>
                <c:pt idx="24">
                  <c:v>1</c:v>
                </c:pt>
                <c:pt idx="25">
                  <c:v>1</c:v>
                </c:pt>
                <c:pt idx="26">
                  <c:v>1</c:v>
                </c:pt>
                <c:pt idx="27">
                  <c:v>1</c:v>
                </c:pt>
                <c:pt idx="28">
                  <c:v>1</c:v>
                </c:pt>
                <c:pt idx="29">
                  <c:v>1</c:v>
                </c:pt>
                <c:pt idx="30">
                  <c:v>1</c:v>
                </c:pt>
                <c:pt idx="31">
                  <c:v>0.66700000000000004</c:v>
                </c:pt>
                <c:pt idx="32">
                  <c:v>0.66700000000000004</c:v>
                </c:pt>
                <c:pt idx="33">
                  <c:v>0.66700000000000004</c:v>
                </c:pt>
                <c:pt idx="34">
                  <c:v>0.66700000000000004</c:v>
                </c:pt>
                <c:pt idx="35">
                  <c:v>0.66700000000000004</c:v>
                </c:pt>
                <c:pt idx="36">
                  <c:v>1</c:v>
                </c:pt>
                <c:pt idx="37">
                  <c:v>0.66700000000000004</c:v>
                </c:pt>
                <c:pt idx="38">
                  <c:v>0.66700000000000004</c:v>
                </c:pt>
                <c:pt idx="39">
                  <c:v>0.66700000000000004</c:v>
                </c:pt>
                <c:pt idx="40">
                  <c:v>0.66700000000000004</c:v>
                </c:pt>
                <c:pt idx="41">
                  <c:v>0.66700000000000004</c:v>
                </c:pt>
                <c:pt idx="42">
                  <c:v>1</c:v>
                </c:pt>
                <c:pt idx="43">
                  <c:v>1</c:v>
                </c:pt>
                <c:pt idx="44">
                  <c:v>1</c:v>
                </c:pt>
                <c:pt idx="45">
                  <c:v>1</c:v>
                </c:pt>
                <c:pt idx="46">
                  <c:v>1</c:v>
                </c:pt>
                <c:pt idx="47">
                  <c:v>1</c:v>
                </c:pt>
                <c:pt idx="48">
                  <c:v>1</c:v>
                </c:pt>
                <c:pt idx="49">
                  <c:v>1</c:v>
                </c:pt>
                <c:pt idx="50">
                  <c:v>1</c:v>
                </c:pt>
                <c:pt idx="51">
                  <c:v>1</c:v>
                </c:pt>
                <c:pt idx="52">
                  <c:v>1</c:v>
                </c:pt>
                <c:pt idx="53">
                  <c:v>1</c:v>
                </c:pt>
                <c:pt idx="54">
                  <c:v>1</c:v>
                </c:pt>
                <c:pt idx="55">
                  <c:v>0.66700000000000004</c:v>
                </c:pt>
                <c:pt idx="56">
                  <c:v>0.66700000000000004</c:v>
                </c:pt>
                <c:pt idx="57">
                  <c:v>0.66700000000000004</c:v>
                </c:pt>
                <c:pt idx="58">
                  <c:v>0.66700000000000004</c:v>
                </c:pt>
                <c:pt idx="59">
                  <c:v>0.66700000000000004</c:v>
                </c:pt>
                <c:pt idx="60">
                  <c:v>1</c:v>
                </c:pt>
                <c:pt idx="61">
                  <c:v>0.66700000000000004</c:v>
                </c:pt>
                <c:pt idx="62">
                  <c:v>0.66700000000000004</c:v>
                </c:pt>
                <c:pt idx="63">
                  <c:v>0.66700000000000004</c:v>
                </c:pt>
                <c:pt idx="64">
                  <c:v>0.66700000000000004</c:v>
                </c:pt>
                <c:pt idx="65">
                  <c:v>0.66700000000000004</c:v>
                </c:pt>
                <c:pt idx="66">
                  <c:v>1</c:v>
                </c:pt>
                <c:pt idx="67">
                  <c:v>1</c:v>
                </c:pt>
                <c:pt idx="68">
                  <c:v>1</c:v>
                </c:pt>
                <c:pt idx="69">
                  <c:v>1</c:v>
                </c:pt>
                <c:pt idx="70">
                  <c:v>1</c:v>
                </c:pt>
                <c:pt idx="71">
                  <c:v>1</c:v>
                </c:pt>
                <c:pt idx="72">
                  <c:v>1</c:v>
                </c:pt>
                <c:pt idx="73">
                  <c:v>1</c:v>
                </c:pt>
                <c:pt idx="74">
                  <c:v>1</c:v>
                </c:pt>
                <c:pt idx="75">
                  <c:v>1</c:v>
                </c:pt>
                <c:pt idx="76">
                  <c:v>1</c:v>
                </c:pt>
                <c:pt idx="77">
                  <c:v>1</c:v>
                </c:pt>
                <c:pt idx="78">
                  <c:v>1</c:v>
                </c:pt>
                <c:pt idx="79">
                  <c:v>0.66700000000000004</c:v>
                </c:pt>
                <c:pt idx="80">
                  <c:v>0.66700000000000004</c:v>
                </c:pt>
                <c:pt idx="81">
                  <c:v>0.66700000000000004</c:v>
                </c:pt>
                <c:pt idx="82">
                  <c:v>0.66700000000000004</c:v>
                </c:pt>
                <c:pt idx="83">
                  <c:v>0.66700000000000004</c:v>
                </c:pt>
                <c:pt idx="84">
                  <c:v>1</c:v>
                </c:pt>
                <c:pt idx="85">
                  <c:v>0.66700000000000004</c:v>
                </c:pt>
                <c:pt idx="86">
                  <c:v>0.66700000000000004</c:v>
                </c:pt>
                <c:pt idx="87">
                  <c:v>0.66700000000000004</c:v>
                </c:pt>
                <c:pt idx="88">
                  <c:v>0.66700000000000004</c:v>
                </c:pt>
                <c:pt idx="89">
                  <c:v>0.66700000000000004</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0.66700000000000004</c:v>
                </c:pt>
                <c:pt idx="104">
                  <c:v>0.66700000000000004</c:v>
                </c:pt>
                <c:pt idx="105">
                  <c:v>0.66700000000000004</c:v>
                </c:pt>
                <c:pt idx="106">
                  <c:v>0.66700000000000004</c:v>
                </c:pt>
                <c:pt idx="107">
                  <c:v>0.66700000000000004</c:v>
                </c:pt>
                <c:pt idx="108">
                  <c:v>1</c:v>
                </c:pt>
                <c:pt idx="109">
                  <c:v>0.66700000000000004</c:v>
                </c:pt>
                <c:pt idx="110">
                  <c:v>0.66700000000000004</c:v>
                </c:pt>
                <c:pt idx="111">
                  <c:v>0.66700000000000004</c:v>
                </c:pt>
                <c:pt idx="112">
                  <c:v>0.66700000000000004</c:v>
                </c:pt>
                <c:pt idx="113">
                  <c:v>0.66700000000000004</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0.66700000000000004</c:v>
                </c:pt>
                <c:pt idx="128">
                  <c:v>0.66700000000000004</c:v>
                </c:pt>
                <c:pt idx="129">
                  <c:v>0.66700000000000004</c:v>
                </c:pt>
                <c:pt idx="130">
                  <c:v>0.66700000000000004</c:v>
                </c:pt>
                <c:pt idx="131">
                  <c:v>0.66700000000000004</c:v>
                </c:pt>
                <c:pt idx="132">
                  <c:v>1</c:v>
                </c:pt>
                <c:pt idx="133">
                  <c:v>0.66700000000000004</c:v>
                </c:pt>
                <c:pt idx="134">
                  <c:v>0.66700000000000004</c:v>
                </c:pt>
                <c:pt idx="135">
                  <c:v>0.66700000000000004</c:v>
                </c:pt>
                <c:pt idx="136">
                  <c:v>0.66700000000000004</c:v>
                </c:pt>
                <c:pt idx="137">
                  <c:v>0.66700000000000004</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0.66700000000000004</c:v>
                </c:pt>
                <c:pt idx="152">
                  <c:v>0.66700000000000004</c:v>
                </c:pt>
                <c:pt idx="153">
                  <c:v>0.66700000000000004</c:v>
                </c:pt>
                <c:pt idx="154">
                  <c:v>0.66700000000000004</c:v>
                </c:pt>
                <c:pt idx="155">
                  <c:v>0.66700000000000004</c:v>
                </c:pt>
                <c:pt idx="156">
                  <c:v>1</c:v>
                </c:pt>
                <c:pt idx="157">
                  <c:v>0.66700000000000004</c:v>
                </c:pt>
                <c:pt idx="158">
                  <c:v>0.66700000000000004</c:v>
                </c:pt>
                <c:pt idx="159">
                  <c:v>0.66700000000000004</c:v>
                </c:pt>
                <c:pt idx="160">
                  <c:v>0.66700000000000004</c:v>
                </c:pt>
                <c:pt idx="161">
                  <c:v>0.66700000000000004</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1-A9DC-4ADA-B54A-75C21C4916D1}"/>
            </c:ext>
          </c:extLst>
        </c:ser>
        <c:dLbls>
          <c:showLegendKey val="0"/>
          <c:showVal val="0"/>
          <c:showCatName val="0"/>
          <c:showSerName val="0"/>
          <c:showPercent val="0"/>
          <c:showBubbleSize val="0"/>
        </c:dLbls>
        <c:gapWidth val="0"/>
        <c:axId val="88917888"/>
        <c:axId val="88919424"/>
      </c:barChart>
      <c:catAx>
        <c:axId val="88910080"/>
        <c:scaling>
          <c:orientation val="minMax"/>
        </c:scaling>
        <c:delete val="0"/>
        <c:axPos val="b"/>
        <c:numFmt formatCode="ddd"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915968"/>
        <c:crosses val="autoZero"/>
        <c:auto val="1"/>
        <c:lblAlgn val="ctr"/>
        <c:lblOffset val="100"/>
        <c:tickLblSkip val="24"/>
        <c:noMultiLvlLbl val="0"/>
      </c:catAx>
      <c:valAx>
        <c:axId val="88915968"/>
        <c:scaling>
          <c:orientation val="minMax"/>
          <c:max val="1"/>
          <c:min val="0"/>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Personenprofil</a:t>
                </a:r>
              </a:p>
            </c:rich>
          </c:tx>
          <c:layout>
            <c:manualLayout>
              <c:xMode val="edge"/>
              <c:yMode val="edge"/>
              <c:x val="1.0376913545705264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910080"/>
        <c:crosses val="autoZero"/>
        <c:crossBetween val="between"/>
        <c:majorUnit val="0.2"/>
        <c:minorUnit val="0.01"/>
      </c:valAx>
      <c:catAx>
        <c:axId val="88917888"/>
        <c:scaling>
          <c:orientation val="minMax"/>
        </c:scaling>
        <c:delete val="1"/>
        <c:axPos val="b"/>
        <c:numFmt formatCode="General" sourceLinked="1"/>
        <c:majorTickMark val="out"/>
        <c:minorTickMark val="none"/>
        <c:tickLblPos val="nextTo"/>
        <c:crossAx val="88919424"/>
        <c:crosses val="autoZero"/>
        <c:auto val="1"/>
        <c:lblAlgn val="ctr"/>
        <c:lblOffset val="100"/>
        <c:noMultiLvlLbl val="0"/>
      </c:catAx>
      <c:valAx>
        <c:axId val="88919424"/>
        <c:scaling>
          <c:orientation val="minMax"/>
        </c:scaling>
        <c:delete val="1"/>
        <c:axPos val="r"/>
        <c:numFmt formatCode="0.0" sourceLinked="1"/>
        <c:majorTickMark val="out"/>
        <c:minorTickMark val="none"/>
        <c:tickLblPos val="nextTo"/>
        <c:crossAx val="88917888"/>
        <c:crosses val="max"/>
        <c:crossBetween val="between"/>
      </c:valAx>
      <c:spPr>
        <a:noFill/>
        <a:ln w="25400">
          <a:noFill/>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Profile!$C$91</c:f>
              <c:strCache>
                <c:ptCount val="1"/>
                <c:pt idx="0">
                  <c:v>Personen</c:v>
                </c:pt>
              </c:strCache>
            </c:strRef>
          </c:tx>
          <c:spPr>
            <a:solidFill>
              <a:srgbClr val="92D050"/>
            </a:solidFill>
          </c:spPr>
          <c:invertIfNegative val="0"/>
          <c:val>
            <c:numRef>
              <c:f>Profile!$C$98:$C$121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871F-4B21-BD8C-031CA89D6A25}"/>
            </c:ext>
          </c:extLst>
        </c:ser>
        <c:ser>
          <c:idx val="2"/>
          <c:order val="1"/>
          <c:tx>
            <c:strRef>
              <c:f>Profile!$D$91</c:f>
              <c:strCache>
                <c:ptCount val="1"/>
                <c:pt idx="0">
                  <c:v>Geräte</c:v>
                </c:pt>
              </c:strCache>
            </c:strRef>
          </c:tx>
          <c:spPr>
            <a:solidFill>
              <a:srgbClr val="00B050"/>
            </a:solidFill>
          </c:spPr>
          <c:invertIfNegative val="0"/>
          <c:val>
            <c:numRef>
              <c:f>Profile!$D$98:$D$121</c:f>
              <c:numCache>
                <c:formatCode>0.0</c:formatCode>
                <c:ptCount val="24"/>
                <c:pt idx="0">
                  <c:v>2</c:v>
                </c:pt>
                <c:pt idx="1">
                  <c:v>2</c:v>
                </c:pt>
                <c:pt idx="2">
                  <c:v>2</c:v>
                </c:pt>
                <c:pt idx="3">
                  <c:v>2</c:v>
                </c:pt>
                <c:pt idx="4">
                  <c:v>2</c:v>
                </c:pt>
                <c:pt idx="5">
                  <c:v>2</c:v>
                </c:pt>
                <c:pt idx="6">
                  <c:v>8</c:v>
                </c:pt>
                <c:pt idx="7">
                  <c:v>2</c:v>
                </c:pt>
                <c:pt idx="8">
                  <c:v>2</c:v>
                </c:pt>
                <c:pt idx="9">
                  <c:v>2</c:v>
                </c:pt>
                <c:pt idx="10">
                  <c:v>2</c:v>
                </c:pt>
                <c:pt idx="11">
                  <c:v>2</c:v>
                </c:pt>
                <c:pt idx="12">
                  <c:v>8</c:v>
                </c:pt>
                <c:pt idx="13">
                  <c:v>2</c:v>
                </c:pt>
                <c:pt idx="14">
                  <c:v>2</c:v>
                </c:pt>
                <c:pt idx="15">
                  <c:v>2</c:v>
                </c:pt>
                <c:pt idx="16">
                  <c:v>2</c:v>
                </c:pt>
                <c:pt idx="17">
                  <c:v>2</c:v>
                </c:pt>
                <c:pt idx="18">
                  <c:v>8</c:v>
                </c:pt>
                <c:pt idx="19">
                  <c:v>10</c:v>
                </c:pt>
                <c:pt idx="20">
                  <c:v>2</c:v>
                </c:pt>
                <c:pt idx="21">
                  <c:v>2</c:v>
                </c:pt>
                <c:pt idx="22">
                  <c:v>2</c:v>
                </c:pt>
                <c:pt idx="23">
                  <c:v>2</c:v>
                </c:pt>
              </c:numCache>
            </c:numRef>
          </c:val>
          <c:extLst>
            <c:ext xmlns:c16="http://schemas.microsoft.com/office/drawing/2014/chart" uri="{C3380CC4-5D6E-409C-BE32-E72D297353CC}">
              <c16:uniqueId val="{00000001-871F-4B21-BD8C-031CA89D6A25}"/>
            </c:ext>
          </c:extLst>
        </c:ser>
        <c:ser>
          <c:idx val="4"/>
          <c:order val="2"/>
          <c:tx>
            <c:strRef>
              <c:f>Profile!$F$91</c:f>
              <c:strCache>
                <c:ptCount val="1"/>
                <c:pt idx="0">
                  <c:v>Beleuchtung</c:v>
                </c:pt>
              </c:strCache>
            </c:strRef>
          </c:tx>
          <c:spPr>
            <a:solidFill>
              <a:srgbClr val="FFFF00"/>
            </a:solidFill>
          </c:spPr>
          <c:invertIfNegative val="0"/>
          <c:val>
            <c:numRef>
              <c:f>Profile!$F$98:$F$121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2.9791666666666674</c:v>
                </c:pt>
                <c:pt idx="20">
                  <c:v>2.9791666666666674</c:v>
                </c:pt>
                <c:pt idx="21">
                  <c:v>2.9791666666666674</c:v>
                </c:pt>
                <c:pt idx="22">
                  <c:v>0</c:v>
                </c:pt>
                <c:pt idx="23">
                  <c:v>0</c:v>
                </c:pt>
              </c:numCache>
            </c:numRef>
          </c:val>
          <c:extLst>
            <c:ext xmlns:c16="http://schemas.microsoft.com/office/drawing/2014/chart" uri="{C3380CC4-5D6E-409C-BE32-E72D297353CC}">
              <c16:uniqueId val="{00000002-871F-4B21-BD8C-031CA89D6A25}"/>
            </c:ext>
          </c:extLst>
        </c:ser>
        <c:ser>
          <c:idx val="5"/>
          <c:order val="3"/>
          <c:tx>
            <c:strRef>
              <c:f>Profile!$H$91</c:f>
              <c:strCache>
                <c:ptCount val="1"/>
                <c:pt idx="0">
                  <c:v>Solarstrahlung</c:v>
                </c:pt>
              </c:strCache>
            </c:strRef>
          </c:tx>
          <c:spPr>
            <a:solidFill>
              <a:schemeClr val="accent6"/>
            </a:solidFill>
          </c:spPr>
          <c:invertIfNegative val="0"/>
          <c:val>
            <c:numRef>
              <c:f>Profile!$J$98:$J$121</c:f>
              <c:numCache>
                <c:formatCode>0.0</c:formatCode>
                <c:ptCount val="24"/>
                <c:pt idx="0">
                  <c:v>0</c:v>
                </c:pt>
                <c:pt idx="1">
                  <c:v>0</c:v>
                </c:pt>
                <c:pt idx="2">
                  <c:v>0</c:v>
                </c:pt>
                <c:pt idx="3">
                  <c:v>0</c:v>
                </c:pt>
                <c:pt idx="4">
                  <c:v>0.2382352941176471</c:v>
                </c:pt>
                <c:pt idx="5">
                  <c:v>2.5411764705882356</c:v>
                </c:pt>
                <c:pt idx="6">
                  <c:v>5.1617647058823533</c:v>
                </c:pt>
                <c:pt idx="7">
                  <c:v>6.1147058823529417</c:v>
                </c:pt>
                <c:pt idx="8">
                  <c:v>7.7029411764705884</c:v>
                </c:pt>
                <c:pt idx="9">
                  <c:v>8.8941176470588239</c:v>
                </c:pt>
                <c:pt idx="10">
                  <c:v>9.2911764705882351</c:v>
                </c:pt>
                <c:pt idx="11">
                  <c:v>10.164705882352942</c:v>
                </c:pt>
                <c:pt idx="12">
                  <c:v>5.9368235294117655</c:v>
                </c:pt>
                <c:pt idx="13">
                  <c:v>10.139294117647061</c:v>
                </c:pt>
                <c:pt idx="14">
                  <c:v>13.385647058823533</c:v>
                </c:pt>
                <c:pt idx="15">
                  <c:v>15.120000000000003</c:v>
                </c:pt>
                <c:pt idx="16">
                  <c:v>14.89764705882353</c:v>
                </c:pt>
                <c:pt idx="17">
                  <c:v>12.251647058823533</c:v>
                </c:pt>
                <c:pt idx="18">
                  <c:v>5.2920000000000016</c:v>
                </c:pt>
                <c:pt idx="19">
                  <c:v>0</c:v>
                </c:pt>
                <c:pt idx="20">
                  <c:v>0</c:v>
                </c:pt>
                <c:pt idx="21">
                  <c:v>0</c:v>
                </c:pt>
                <c:pt idx="22">
                  <c:v>0</c:v>
                </c:pt>
                <c:pt idx="23">
                  <c:v>0</c:v>
                </c:pt>
              </c:numCache>
            </c:numRef>
          </c:val>
          <c:extLst>
            <c:ext xmlns:c16="http://schemas.microsoft.com/office/drawing/2014/chart" uri="{C3380CC4-5D6E-409C-BE32-E72D297353CC}">
              <c16:uniqueId val="{00000003-871F-4B21-BD8C-031CA89D6A25}"/>
            </c:ext>
          </c:extLst>
        </c:ser>
        <c:ser>
          <c:idx val="6"/>
          <c:order val="4"/>
          <c:tx>
            <c:strRef>
              <c:f>Profile!$K$91</c:f>
              <c:strCache>
                <c:ptCount val="1"/>
                <c:pt idx="0">
                  <c:v>Lüftung</c:v>
                </c:pt>
              </c:strCache>
            </c:strRef>
          </c:tx>
          <c:spPr>
            <a:solidFill>
              <a:srgbClr val="00B0F0"/>
            </a:solidFill>
          </c:spPr>
          <c:invertIfNegative val="0"/>
          <c:val>
            <c:numRef>
              <c:f>Profile!$O$98:$O$121</c:f>
              <c:numCache>
                <c:formatCode>0.00</c:formatCode>
                <c:ptCount val="24"/>
                <c:pt idx="0">
                  <c:v>-1.9101714285714291</c:v>
                </c:pt>
                <c:pt idx="1">
                  <c:v>-2.0980571428571428</c:v>
                </c:pt>
                <c:pt idx="2">
                  <c:v>-2.2546285714285714</c:v>
                </c:pt>
                <c:pt idx="3">
                  <c:v>-2.3798857142857153</c:v>
                </c:pt>
                <c:pt idx="4">
                  <c:v>-2.4112</c:v>
                </c:pt>
                <c:pt idx="5">
                  <c:v>-2.2233142857142862</c:v>
                </c:pt>
                <c:pt idx="6">
                  <c:v>-1.7849142857142855</c:v>
                </c:pt>
                <c:pt idx="7">
                  <c:v>-1.2838857142857147</c:v>
                </c:pt>
                <c:pt idx="8">
                  <c:v>-0.62628571428571433</c:v>
                </c:pt>
                <c:pt idx="9">
                  <c:v>-0.31314285714285717</c:v>
                </c:pt>
                <c:pt idx="10">
                  <c:v>0.21919999999999978</c:v>
                </c:pt>
                <c:pt idx="11">
                  <c:v>0.26309485714285741</c:v>
                </c:pt>
                <c:pt idx="12">
                  <c:v>0.43051885714285759</c:v>
                </c:pt>
                <c:pt idx="13">
                  <c:v>0.53814857142857142</c:v>
                </c:pt>
                <c:pt idx="14">
                  <c:v>0.64577828571428531</c:v>
                </c:pt>
                <c:pt idx="15">
                  <c:v>0.70557257142857144</c:v>
                </c:pt>
                <c:pt idx="16">
                  <c:v>0.71753142857142882</c:v>
                </c:pt>
                <c:pt idx="17">
                  <c:v>0.55010742857142891</c:v>
                </c:pt>
                <c:pt idx="18">
                  <c:v>0.43839999999999957</c:v>
                </c:pt>
                <c:pt idx="19">
                  <c:v>0.12525714285714243</c:v>
                </c:pt>
                <c:pt idx="20">
                  <c:v>0.28182857142857098</c:v>
                </c:pt>
                <c:pt idx="21">
                  <c:v>-0.34445714285714329</c:v>
                </c:pt>
                <c:pt idx="22">
                  <c:v>-0.97074285714285768</c:v>
                </c:pt>
                <c:pt idx="23">
                  <c:v>-1.3151999999999999</c:v>
                </c:pt>
              </c:numCache>
            </c:numRef>
          </c:val>
          <c:extLst>
            <c:ext xmlns:c16="http://schemas.microsoft.com/office/drawing/2014/chart" uri="{C3380CC4-5D6E-409C-BE32-E72D297353CC}">
              <c16:uniqueId val="{00000004-871F-4B21-BD8C-031CA89D6A25}"/>
            </c:ext>
          </c:extLst>
        </c:ser>
        <c:ser>
          <c:idx val="7"/>
          <c:order val="5"/>
          <c:tx>
            <c:strRef>
              <c:f>Profile!$P$91</c:f>
              <c:strCache>
                <c:ptCount val="1"/>
                <c:pt idx="0">
                  <c:v>Transmission</c:v>
                </c:pt>
              </c:strCache>
            </c:strRef>
          </c:tx>
          <c:spPr>
            <a:solidFill>
              <a:schemeClr val="accent2">
                <a:lumMod val="60000"/>
                <a:lumOff val="40000"/>
              </a:schemeClr>
            </a:solidFill>
          </c:spPr>
          <c:invertIfNegative val="0"/>
          <c:val>
            <c:numRef>
              <c:f>Profile!$P$98:$P$121</c:f>
              <c:numCache>
                <c:formatCode>0.0</c:formatCode>
                <c:ptCount val="24"/>
                <c:pt idx="0">
                  <c:v>-2.820173529411766</c:v>
                </c:pt>
                <c:pt idx="1">
                  <c:v>-3.097567647058824</c:v>
                </c:pt>
                <c:pt idx="2">
                  <c:v>-3.3287294117647064</c:v>
                </c:pt>
                <c:pt idx="3">
                  <c:v>-3.5136588235294131</c:v>
                </c:pt>
                <c:pt idx="4">
                  <c:v>-3.5598911764705887</c:v>
                </c:pt>
                <c:pt idx="5">
                  <c:v>-3.2824970588235307</c:v>
                </c:pt>
                <c:pt idx="6">
                  <c:v>-2.6352441176470589</c:v>
                </c:pt>
                <c:pt idx="7">
                  <c:v>-1.8955264705882364</c:v>
                </c:pt>
                <c:pt idx="8">
                  <c:v>-0.9246470588235296</c:v>
                </c:pt>
                <c:pt idx="9">
                  <c:v>-0.4623235294117648</c:v>
                </c:pt>
                <c:pt idx="10">
                  <c:v>0.32362647058823502</c:v>
                </c:pt>
                <c:pt idx="11">
                  <c:v>1.0171117647058823</c:v>
                </c:pt>
                <c:pt idx="12">
                  <c:v>1.6643647058823539</c:v>
                </c:pt>
                <c:pt idx="13">
                  <c:v>2.0804558823529415</c:v>
                </c:pt>
                <c:pt idx="14">
                  <c:v>2.4965470588235292</c:v>
                </c:pt>
                <c:pt idx="15">
                  <c:v>2.7277088235294116</c:v>
                </c:pt>
                <c:pt idx="16">
                  <c:v>2.773941176470589</c:v>
                </c:pt>
                <c:pt idx="17">
                  <c:v>2.1266882352941185</c:v>
                </c:pt>
                <c:pt idx="18">
                  <c:v>0.64725294117647003</c:v>
                </c:pt>
                <c:pt idx="19">
                  <c:v>0.18492941176470526</c:v>
                </c:pt>
                <c:pt idx="20">
                  <c:v>0.41609117647058769</c:v>
                </c:pt>
                <c:pt idx="21">
                  <c:v>-0.50855588235294191</c:v>
                </c:pt>
                <c:pt idx="22">
                  <c:v>-1.4332029411764715</c:v>
                </c:pt>
                <c:pt idx="23">
                  <c:v>-1.9417588235294119</c:v>
                </c:pt>
              </c:numCache>
            </c:numRef>
          </c:val>
          <c:extLst>
            <c:ext xmlns:c16="http://schemas.microsoft.com/office/drawing/2014/chart" uri="{C3380CC4-5D6E-409C-BE32-E72D297353CC}">
              <c16:uniqueId val="{00000005-871F-4B21-BD8C-031CA89D6A25}"/>
            </c:ext>
          </c:extLst>
        </c:ser>
        <c:ser>
          <c:idx val="0"/>
          <c:order val="6"/>
          <c:tx>
            <c:strRef>
              <c:f>Profile!$U$91</c:f>
              <c:strCache>
                <c:ptCount val="1"/>
                <c:pt idx="0">
                  <c:v>Klimakälte</c:v>
                </c:pt>
              </c:strCache>
            </c:strRef>
          </c:tx>
          <c:invertIfNegative val="0"/>
          <c:val>
            <c:numRef>
              <c:f>Profile!$U$98:$U$121</c:f>
              <c:numCache>
                <c:formatCode>0.0</c:formatCode>
                <c:ptCount val="24"/>
                <c:pt idx="0">
                  <c:v>0</c:v>
                </c:pt>
                <c:pt idx="1">
                  <c:v>0</c:v>
                </c:pt>
                <c:pt idx="2">
                  <c:v>0</c:v>
                </c:pt>
                <c:pt idx="3">
                  <c:v>0</c:v>
                </c:pt>
                <c:pt idx="4">
                  <c:v>0</c:v>
                </c:pt>
                <c:pt idx="5">
                  <c:v>-1.4353651260504185</c:v>
                </c:pt>
                <c:pt idx="6">
                  <c:v>-10.18160630252101</c:v>
                </c:pt>
                <c:pt idx="7">
                  <c:v>-5.8952936974789898</c:v>
                </c:pt>
                <c:pt idx="8">
                  <c:v>-8.1520084033613447</c:v>
                </c:pt>
                <c:pt idx="9">
                  <c:v>-10.118651260504201</c:v>
                </c:pt>
                <c:pt idx="10">
                  <c:v>-11.834002941176468</c:v>
                </c:pt>
                <c:pt idx="11">
                  <c:v>-13.444912504201682</c:v>
                </c:pt>
                <c:pt idx="12">
                  <c:v>-17.951707092436976</c:v>
                </c:pt>
                <c:pt idx="13">
                  <c:v>-15.717898571428575</c:v>
                </c:pt>
                <c:pt idx="14">
                  <c:v>-18.52797240336135</c:v>
                </c:pt>
                <c:pt idx="15">
                  <c:v>-20.553281394957988</c:v>
                </c:pt>
                <c:pt idx="16">
                  <c:v>-20.38911966386555</c:v>
                </c:pt>
                <c:pt idx="17">
                  <c:v>-17.888442722689081</c:v>
                </c:pt>
                <c:pt idx="18">
                  <c:v>-16.297652941176473</c:v>
                </c:pt>
                <c:pt idx="19">
                  <c:v>-15.209353221288515</c:v>
                </c:pt>
                <c:pt idx="20">
                  <c:v>-7.5970864145658261</c:v>
                </c:pt>
                <c:pt idx="21">
                  <c:v>-6.5261536414565828</c:v>
                </c:pt>
                <c:pt idx="22">
                  <c:v>-1.9960542016806713</c:v>
                </c:pt>
                <c:pt idx="23">
                  <c:v>-1.1430411764705886</c:v>
                </c:pt>
              </c:numCache>
            </c:numRef>
          </c:val>
          <c:extLst>
            <c:ext xmlns:c16="http://schemas.microsoft.com/office/drawing/2014/chart" uri="{C3380CC4-5D6E-409C-BE32-E72D297353CC}">
              <c16:uniqueId val="{00000006-871F-4B21-BD8C-031CA89D6A25}"/>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rich>
              <a:bodyPr/>
              <a:lstStyle/>
              <a:p>
                <a:pPr>
                  <a:defRPr/>
                </a:pPr>
                <a:r>
                  <a:rPr lang="de-CH"/>
                  <a:t>Wärmebilanz, W/m2</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81019337121958135"/>
          <c:y val="0.23491948839684595"/>
          <c:w val="0.17468870255703936"/>
          <c:h val="0.51381544779321131"/>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Profile!$C$91</c:f>
              <c:strCache>
                <c:ptCount val="1"/>
                <c:pt idx="0">
                  <c:v>Personen</c:v>
                </c:pt>
              </c:strCache>
            </c:strRef>
          </c:tx>
          <c:spPr>
            <a:solidFill>
              <a:srgbClr val="92D050"/>
            </a:solidFill>
          </c:spPr>
          <c:invertIfNegative val="0"/>
          <c:val>
            <c:numRef>
              <c:f>Profile!$C$98:$C$121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48D3-431E-B2B0-131DE2537E95}"/>
            </c:ext>
          </c:extLst>
        </c:ser>
        <c:ser>
          <c:idx val="2"/>
          <c:order val="1"/>
          <c:tx>
            <c:strRef>
              <c:f>Profile!$D$91</c:f>
              <c:strCache>
                <c:ptCount val="1"/>
                <c:pt idx="0">
                  <c:v>Geräte</c:v>
                </c:pt>
              </c:strCache>
            </c:strRef>
          </c:tx>
          <c:spPr>
            <a:solidFill>
              <a:srgbClr val="00B050"/>
            </a:solidFill>
          </c:spPr>
          <c:invertIfNegative val="0"/>
          <c:val>
            <c:numRef>
              <c:f>Profile!$D$98:$D$121</c:f>
              <c:numCache>
                <c:formatCode>0.0</c:formatCode>
                <c:ptCount val="24"/>
                <c:pt idx="0">
                  <c:v>2</c:v>
                </c:pt>
                <c:pt idx="1">
                  <c:v>2</c:v>
                </c:pt>
                <c:pt idx="2">
                  <c:v>2</c:v>
                </c:pt>
                <c:pt idx="3">
                  <c:v>2</c:v>
                </c:pt>
                <c:pt idx="4">
                  <c:v>2</c:v>
                </c:pt>
                <c:pt idx="5">
                  <c:v>2</c:v>
                </c:pt>
                <c:pt idx="6">
                  <c:v>8</c:v>
                </c:pt>
                <c:pt idx="7">
                  <c:v>2</c:v>
                </c:pt>
                <c:pt idx="8">
                  <c:v>2</c:v>
                </c:pt>
                <c:pt idx="9">
                  <c:v>2</c:v>
                </c:pt>
                <c:pt idx="10">
                  <c:v>2</c:v>
                </c:pt>
                <c:pt idx="11">
                  <c:v>2</c:v>
                </c:pt>
                <c:pt idx="12">
                  <c:v>8</c:v>
                </c:pt>
                <c:pt idx="13">
                  <c:v>2</c:v>
                </c:pt>
                <c:pt idx="14">
                  <c:v>2</c:v>
                </c:pt>
                <c:pt idx="15">
                  <c:v>2</c:v>
                </c:pt>
                <c:pt idx="16">
                  <c:v>2</c:v>
                </c:pt>
                <c:pt idx="17">
                  <c:v>2</c:v>
                </c:pt>
                <c:pt idx="18">
                  <c:v>8</c:v>
                </c:pt>
                <c:pt idx="19">
                  <c:v>10</c:v>
                </c:pt>
                <c:pt idx="20">
                  <c:v>2</c:v>
                </c:pt>
                <c:pt idx="21">
                  <c:v>2</c:v>
                </c:pt>
                <c:pt idx="22">
                  <c:v>2</c:v>
                </c:pt>
                <c:pt idx="23">
                  <c:v>2</c:v>
                </c:pt>
              </c:numCache>
            </c:numRef>
          </c:val>
          <c:extLst>
            <c:ext xmlns:c16="http://schemas.microsoft.com/office/drawing/2014/chart" uri="{C3380CC4-5D6E-409C-BE32-E72D297353CC}">
              <c16:uniqueId val="{00000001-48D3-431E-B2B0-131DE2537E95}"/>
            </c:ext>
          </c:extLst>
        </c:ser>
        <c:ser>
          <c:idx val="3"/>
          <c:order val="2"/>
          <c:tx>
            <c:strRef>
              <c:f>Profile!$E$91</c:f>
              <c:strCache>
                <c:ptCount val="1"/>
                <c:pt idx="0">
                  <c:v>Prozessanlagen</c:v>
                </c:pt>
              </c:strCache>
            </c:strRef>
          </c:tx>
          <c:spPr>
            <a:solidFill>
              <a:schemeClr val="accent3">
                <a:lumMod val="75000"/>
              </a:schemeClr>
            </a:solidFill>
          </c:spPr>
          <c:invertIfNegative val="0"/>
          <c:val>
            <c:numRef>
              <c:f>Profile!$E$98:$E$121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8-48D3-431E-B2B0-131DE2537E95}"/>
            </c:ext>
          </c:extLst>
        </c:ser>
        <c:ser>
          <c:idx val="4"/>
          <c:order val="3"/>
          <c:tx>
            <c:strRef>
              <c:f>Profile!$F$91</c:f>
              <c:strCache>
                <c:ptCount val="1"/>
                <c:pt idx="0">
                  <c:v>Beleuchtung</c:v>
                </c:pt>
              </c:strCache>
            </c:strRef>
          </c:tx>
          <c:spPr>
            <a:solidFill>
              <a:srgbClr val="FFFF00"/>
            </a:solidFill>
          </c:spPr>
          <c:invertIfNegative val="0"/>
          <c:val>
            <c:numRef>
              <c:f>Profile!$F$98:$F$121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2.9791666666666674</c:v>
                </c:pt>
                <c:pt idx="20">
                  <c:v>2.9791666666666674</c:v>
                </c:pt>
                <c:pt idx="21">
                  <c:v>2.9791666666666674</c:v>
                </c:pt>
                <c:pt idx="22">
                  <c:v>0</c:v>
                </c:pt>
                <c:pt idx="23">
                  <c:v>0</c:v>
                </c:pt>
              </c:numCache>
            </c:numRef>
          </c:val>
          <c:extLst>
            <c:ext xmlns:c16="http://schemas.microsoft.com/office/drawing/2014/chart" uri="{C3380CC4-5D6E-409C-BE32-E72D297353CC}">
              <c16:uniqueId val="{00000002-48D3-431E-B2B0-131DE2537E95}"/>
            </c:ext>
          </c:extLst>
        </c:ser>
        <c:ser>
          <c:idx val="5"/>
          <c:order val="4"/>
          <c:tx>
            <c:strRef>
              <c:f>Profile!$H$91</c:f>
              <c:strCache>
                <c:ptCount val="1"/>
                <c:pt idx="0">
                  <c:v>Solarstrahlung</c:v>
                </c:pt>
              </c:strCache>
            </c:strRef>
          </c:tx>
          <c:spPr>
            <a:solidFill>
              <a:schemeClr val="accent6"/>
            </a:solidFill>
          </c:spPr>
          <c:invertIfNegative val="0"/>
          <c:val>
            <c:numRef>
              <c:f>Profile!$J$98:$J$121</c:f>
              <c:numCache>
                <c:formatCode>0.0</c:formatCode>
                <c:ptCount val="24"/>
                <c:pt idx="0">
                  <c:v>0</c:v>
                </c:pt>
                <c:pt idx="1">
                  <c:v>0</c:v>
                </c:pt>
                <c:pt idx="2">
                  <c:v>0</c:v>
                </c:pt>
                <c:pt idx="3">
                  <c:v>0</c:v>
                </c:pt>
                <c:pt idx="4">
                  <c:v>0.2382352941176471</c:v>
                </c:pt>
                <c:pt idx="5">
                  <c:v>2.5411764705882356</c:v>
                </c:pt>
                <c:pt idx="6">
                  <c:v>5.1617647058823533</c:v>
                </c:pt>
                <c:pt idx="7">
                  <c:v>6.1147058823529417</c:v>
                </c:pt>
                <c:pt idx="8">
                  <c:v>7.7029411764705884</c:v>
                </c:pt>
                <c:pt idx="9">
                  <c:v>8.8941176470588239</c:v>
                </c:pt>
                <c:pt idx="10">
                  <c:v>9.2911764705882351</c:v>
                </c:pt>
                <c:pt idx="11">
                  <c:v>10.164705882352942</c:v>
                </c:pt>
                <c:pt idx="12">
                  <c:v>5.9368235294117655</c:v>
                </c:pt>
                <c:pt idx="13">
                  <c:v>10.139294117647061</c:v>
                </c:pt>
                <c:pt idx="14">
                  <c:v>13.385647058823533</c:v>
                </c:pt>
                <c:pt idx="15">
                  <c:v>15.120000000000003</c:v>
                </c:pt>
                <c:pt idx="16">
                  <c:v>14.89764705882353</c:v>
                </c:pt>
                <c:pt idx="17">
                  <c:v>12.251647058823533</c:v>
                </c:pt>
                <c:pt idx="18">
                  <c:v>5.2920000000000016</c:v>
                </c:pt>
                <c:pt idx="19">
                  <c:v>0</c:v>
                </c:pt>
                <c:pt idx="20">
                  <c:v>0</c:v>
                </c:pt>
                <c:pt idx="21">
                  <c:v>0</c:v>
                </c:pt>
                <c:pt idx="22">
                  <c:v>0</c:v>
                </c:pt>
                <c:pt idx="23">
                  <c:v>0</c:v>
                </c:pt>
              </c:numCache>
            </c:numRef>
          </c:val>
          <c:extLst>
            <c:ext xmlns:c16="http://schemas.microsoft.com/office/drawing/2014/chart" uri="{C3380CC4-5D6E-409C-BE32-E72D297353CC}">
              <c16:uniqueId val="{00000003-48D3-431E-B2B0-131DE2537E95}"/>
            </c:ext>
          </c:extLst>
        </c:ser>
        <c:ser>
          <c:idx val="6"/>
          <c:order val="5"/>
          <c:tx>
            <c:strRef>
              <c:f>Profile!$K$91</c:f>
              <c:strCache>
                <c:ptCount val="1"/>
                <c:pt idx="0">
                  <c:v>Lüftung</c:v>
                </c:pt>
              </c:strCache>
            </c:strRef>
          </c:tx>
          <c:spPr>
            <a:solidFill>
              <a:srgbClr val="00B0F0"/>
            </a:solidFill>
          </c:spPr>
          <c:invertIfNegative val="0"/>
          <c:val>
            <c:numRef>
              <c:f>Profile!$O$98:$O$121</c:f>
              <c:numCache>
                <c:formatCode>0.00</c:formatCode>
                <c:ptCount val="24"/>
                <c:pt idx="0">
                  <c:v>-1.9101714285714291</c:v>
                </c:pt>
                <c:pt idx="1">
                  <c:v>-2.0980571428571428</c:v>
                </c:pt>
                <c:pt idx="2">
                  <c:v>-2.2546285714285714</c:v>
                </c:pt>
                <c:pt idx="3">
                  <c:v>-2.3798857142857153</c:v>
                </c:pt>
                <c:pt idx="4">
                  <c:v>-2.4112</c:v>
                </c:pt>
                <c:pt idx="5">
                  <c:v>-2.2233142857142862</c:v>
                </c:pt>
                <c:pt idx="6">
                  <c:v>-1.7849142857142855</c:v>
                </c:pt>
                <c:pt idx="7">
                  <c:v>-1.2838857142857147</c:v>
                </c:pt>
                <c:pt idx="8">
                  <c:v>-0.62628571428571433</c:v>
                </c:pt>
                <c:pt idx="9">
                  <c:v>-0.31314285714285717</c:v>
                </c:pt>
                <c:pt idx="10">
                  <c:v>0.21919999999999978</c:v>
                </c:pt>
                <c:pt idx="11">
                  <c:v>0.26309485714285741</c:v>
                </c:pt>
                <c:pt idx="12">
                  <c:v>0.43051885714285759</c:v>
                </c:pt>
                <c:pt idx="13">
                  <c:v>0.53814857142857142</c:v>
                </c:pt>
                <c:pt idx="14">
                  <c:v>0.64577828571428531</c:v>
                </c:pt>
                <c:pt idx="15">
                  <c:v>0.70557257142857144</c:v>
                </c:pt>
                <c:pt idx="16">
                  <c:v>0.71753142857142882</c:v>
                </c:pt>
                <c:pt idx="17">
                  <c:v>0.55010742857142891</c:v>
                </c:pt>
                <c:pt idx="18">
                  <c:v>0.43839999999999957</c:v>
                </c:pt>
                <c:pt idx="19">
                  <c:v>0.12525714285714243</c:v>
                </c:pt>
                <c:pt idx="20">
                  <c:v>0.28182857142857098</c:v>
                </c:pt>
                <c:pt idx="21">
                  <c:v>-0.34445714285714329</c:v>
                </c:pt>
                <c:pt idx="22">
                  <c:v>-0.97074285714285768</c:v>
                </c:pt>
                <c:pt idx="23">
                  <c:v>-1.3151999999999999</c:v>
                </c:pt>
              </c:numCache>
            </c:numRef>
          </c:val>
          <c:extLst>
            <c:ext xmlns:c16="http://schemas.microsoft.com/office/drawing/2014/chart" uri="{C3380CC4-5D6E-409C-BE32-E72D297353CC}">
              <c16:uniqueId val="{00000004-48D3-431E-B2B0-131DE2537E95}"/>
            </c:ext>
          </c:extLst>
        </c:ser>
        <c:ser>
          <c:idx val="7"/>
          <c:order val="6"/>
          <c:tx>
            <c:strRef>
              <c:f>Profile!$P$91</c:f>
              <c:strCache>
                <c:ptCount val="1"/>
                <c:pt idx="0">
                  <c:v>Transmission</c:v>
                </c:pt>
              </c:strCache>
            </c:strRef>
          </c:tx>
          <c:spPr>
            <a:solidFill>
              <a:schemeClr val="accent2">
                <a:lumMod val="60000"/>
                <a:lumOff val="40000"/>
              </a:schemeClr>
            </a:solidFill>
          </c:spPr>
          <c:invertIfNegative val="0"/>
          <c:val>
            <c:numRef>
              <c:f>Profile!$P$98:$P$121</c:f>
              <c:numCache>
                <c:formatCode>0.0</c:formatCode>
                <c:ptCount val="24"/>
                <c:pt idx="0">
                  <c:v>-2.820173529411766</c:v>
                </c:pt>
                <c:pt idx="1">
                  <c:v>-3.097567647058824</c:v>
                </c:pt>
                <c:pt idx="2">
                  <c:v>-3.3287294117647064</c:v>
                </c:pt>
                <c:pt idx="3">
                  <c:v>-3.5136588235294131</c:v>
                </c:pt>
                <c:pt idx="4">
                  <c:v>-3.5598911764705887</c:v>
                </c:pt>
                <c:pt idx="5">
                  <c:v>-3.2824970588235307</c:v>
                </c:pt>
                <c:pt idx="6">
                  <c:v>-2.6352441176470589</c:v>
                </c:pt>
                <c:pt idx="7">
                  <c:v>-1.8955264705882364</c:v>
                </c:pt>
                <c:pt idx="8">
                  <c:v>-0.9246470588235296</c:v>
                </c:pt>
                <c:pt idx="9">
                  <c:v>-0.4623235294117648</c:v>
                </c:pt>
                <c:pt idx="10">
                  <c:v>0.32362647058823502</c:v>
                </c:pt>
                <c:pt idx="11">
                  <c:v>1.0171117647058823</c:v>
                </c:pt>
                <c:pt idx="12">
                  <c:v>1.6643647058823539</c:v>
                </c:pt>
                <c:pt idx="13">
                  <c:v>2.0804558823529415</c:v>
                </c:pt>
                <c:pt idx="14">
                  <c:v>2.4965470588235292</c:v>
                </c:pt>
                <c:pt idx="15">
                  <c:v>2.7277088235294116</c:v>
                </c:pt>
                <c:pt idx="16">
                  <c:v>2.773941176470589</c:v>
                </c:pt>
                <c:pt idx="17">
                  <c:v>2.1266882352941185</c:v>
                </c:pt>
                <c:pt idx="18">
                  <c:v>0.64725294117647003</c:v>
                </c:pt>
                <c:pt idx="19">
                  <c:v>0.18492941176470526</c:v>
                </c:pt>
                <c:pt idx="20">
                  <c:v>0.41609117647058769</c:v>
                </c:pt>
                <c:pt idx="21">
                  <c:v>-0.50855588235294191</c:v>
                </c:pt>
                <c:pt idx="22">
                  <c:v>-1.4332029411764715</c:v>
                </c:pt>
                <c:pt idx="23">
                  <c:v>-1.9417588235294119</c:v>
                </c:pt>
              </c:numCache>
            </c:numRef>
          </c:val>
          <c:extLst>
            <c:ext xmlns:c16="http://schemas.microsoft.com/office/drawing/2014/chart" uri="{C3380CC4-5D6E-409C-BE32-E72D297353CC}">
              <c16:uniqueId val="{00000005-48D3-431E-B2B0-131DE2537E95}"/>
            </c:ext>
          </c:extLst>
        </c:ser>
        <c:ser>
          <c:idx val="0"/>
          <c:order val="7"/>
          <c:tx>
            <c:strRef>
              <c:f>Profile!$AF$91</c:f>
              <c:strCache>
                <c:ptCount val="1"/>
                <c:pt idx="0">
                  <c:v>Klimakälte</c:v>
                </c:pt>
              </c:strCache>
            </c:strRef>
          </c:tx>
          <c:invertIfNegative val="0"/>
          <c:val>
            <c:numRef>
              <c:f>Profile!$AF$98:$AF$121</c:f>
              <c:numCache>
                <c:formatCode>0.0</c:formatCode>
                <c:ptCount val="24"/>
                <c:pt idx="0">
                  <c:v>0</c:v>
                </c:pt>
                <c:pt idx="1">
                  <c:v>0</c:v>
                </c:pt>
                <c:pt idx="2">
                  <c:v>0</c:v>
                </c:pt>
                <c:pt idx="3">
                  <c:v>0</c:v>
                </c:pt>
                <c:pt idx="4">
                  <c:v>0</c:v>
                </c:pt>
                <c:pt idx="5">
                  <c:v>0</c:v>
                </c:pt>
                <c:pt idx="6">
                  <c:v>-0.18160630252100876</c:v>
                </c:pt>
                <c:pt idx="7">
                  <c:v>0</c:v>
                </c:pt>
                <c:pt idx="8">
                  <c:v>0</c:v>
                </c:pt>
                <c:pt idx="9">
                  <c:v>-0.11865126050421496</c:v>
                </c:pt>
                <c:pt idx="10">
                  <c:v>-1.8340029411764776</c:v>
                </c:pt>
                <c:pt idx="11">
                  <c:v>-3.4449125042017053</c:v>
                </c:pt>
                <c:pt idx="12">
                  <c:v>-7.9517070924369939</c:v>
                </c:pt>
                <c:pt idx="13">
                  <c:v>-5.7178985714285897</c:v>
                </c:pt>
                <c:pt idx="14">
                  <c:v>-8.5279724033613569</c:v>
                </c:pt>
                <c:pt idx="15">
                  <c:v>-10.553281394958002</c:v>
                </c:pt>
                <c:pt idx="16">
                  <c:v>-10.3891196638655</c:v>
                </c:pt>
                <c:pt idx="17">
                  <c:v>-7.8884427226890397</c:v>
                </c:pt>
                <c:pt idx="18">
                  <c:v>-6.297652941176473</c:v>
                </c:pt>
                <c:pt idx="19">
                  <c:v>-5.2093532212885449</c:v>
                </c:pt>
                <c:pt idx="20">
                  <c:v>0</c:v>
                </c:pt>
                <c:pt idx="21">
                  <c:v>0</c:v>
                </c:pt>
                <c:pt idx="22">
                  <c:v>0</c:v>
                </c:pt>
                <c:pt idx="23">
                  <c:v>0</c:v>
                </c:pt>
              </c:numCache>
            </c:numRef>
          </c:val>
          <c:extLst>
            <c:ext xmlns:c16="http://schemas.microsoft.com/office/drawing/2014/chart" uri="{C3380CC4-5D6E-409C-BE32-E72D297353CC}">
              <c16:uniqueId val="{00000006-48D3-431E-B2B0-131DE2537E95}"/>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Wärmebilanz,</a:t>
                </a:r>
                <a:r>
                  <a:rPr lang="de-CH" baseline="0"/>
                  <a:t> W/m2</a:t>
                </a:r>
                <a:endParaRPr lang="de-CH"/>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spPr>
        <a:noFill/>
        <a:ln w="25400">
          <a:noFill/>
        </a:ln>
      </c:spPr>
    </c:plotArea>
    <c:legend>
      <c:legendPos val="r"/>
      <c:layout>
        <c:manualLayout>
          <c:xMode val="edge"/>
          <c:yMode val="edge"/>
          <c:x val="0.81019337121958135"/>
          <c:y val="0.23491948839684595"/>
          <c:w val="0.15513095845896802"/>
          <c:h val="0.51381544779321131"/>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Profile!$C$91</c:f>
              <c:strCache>
                <c:ptCount val="1"/>
                <c:pt idx="0">
                  <c:v>Personen</c:v>
                </c:pt>
              </c:strCache>
            </c:strRef>
          </c:tx>
          <c:spPr>
            <a:solidFill>
              <a:srgbClr val="92D050"/>
            </a:solidFill>
          </c:spPr>
          <c:invertIfNegative val="0"/>
          <c:val>
            <c:numRef>
              <c:f>Profile!$C$98:$C$121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C7F4-4DCA-AA46-D5B00EF629A5}"/>
            </c:ext>
          </c:extLst>
        </c:ser>
        <c:ser>
          <c:idx val="2"/>
          <c:order val="1"/>
          <c:tx>
            <c:strRef>
              <c:f>Profile!$D$91</c:f>
              <c:strCache>
                <c:ptCount val="1"/>
                <c:pt idx="0">
                  <c:v>Geräte</c:v>
                </c:pt>
              </c:strCache>
            </c:strRef>
          </c:tx>
          <c:spPr>
            <a:solidFill>
              <a:srgbClr val="00B050"/>
            </a:solidFill>
          </c:spPr>
          <c:invertIfNegative val="0"/>
          <c:val>
            <c:numRef>
              <c:f>Profile!$D$98:$D$121</c:f>
              <c:numCache>
                <c:formatCode>0.0</c:formatCode>
                <c:ptCount val="24"/>
                <c:pt idx="0">
                  <c:v>2</c:v>
                </c:pt>
                <c:pt idx="1">
                  <c:v>2</c:v>
                </c:pt>
                <c:pt idx="2">
                  <c:v>2</c:v>
                </c:pt>
                <c:pt idx="3">
                  <c:v>2</c:v>
                </c:pt>
                <c:pt idx="4">
                  <c:v>2</c:v>
                </c:pt>
                <c:pt idx="5">
                  <c:v>2</c:v>
                </c:pt>
                <c:pt idx="6">
                  <c:v>8</c:v>
                </c:pt>
                <c:pt idx="7">
                  <c:v>2</c:v>
                </c:pt>
                <c:pt idx="8">
                  <c:v>2</c:v>
                </c:pt>
                <c:pt idx="9">
                  <c:v>2</c:v>
                </c:pt>
                <c:pt idx="10">
                  <c:v>2</c:v>
                </c:pt>
                <c:pt idx="11">
                  <c:v>2</c:v>
                </c:pt>
                <c:pt idx="12">
                  <c:v>8</c:v>
                </c:pt>
                <c:pt idx="13">
                  <c:v>2</c:v>
                </c:pt>
                <c:pt idx="14">
                  <c:v>2</c:v>
                </c:pt>
                <c:pt idx="15">
                  <c:v>2</c:v>
                </c:pt>
                <c:pt idx="16">
                  <c:v>2</c:v>
                </c:pt>
                <c:pt idx="17">
                  <c:v>2</c:v>
                </c:pt>
                <c:pt idx="18">
                  <c:v>8</c:v>
                </c:pt>
                <c:pt idx="19">
                  <c:v>10</c:v>
                </c:pt>
                <c:pt idx="20">
                  <c:v>2</c:v>
                </c:pt>
                <c:pt idx="21">
                  <c:v>2</c:v>
                </c:pt>
                <c:pt idx="22">
                  <c:v>2</c:v>
                </c:pt>
                <c:pt idx="23">
                  <c:v>2</c:v>
                </c:pt>
              </c:numCache>
            </c:numRef>
          </c:val>
          <c:extLst>
            <c:ext xmlns:c16="http://schemas.microsoft.com/office/drawing/2014/chart" uri="{C3380CC4-5D6E-409C-BE32-E72D297353CC}">
              <c16:uniqueId val="{00000001-C7F4-4DCA-AA46-D5B00EF629A5}"/>
            </c:ext>
          </c:extLst>
        </c:ser>
        <c:ser>
          <c:idx val="3"/>
          <c:order val="2"/>
          <c:tx>
            <c:strRef>
              <c:f>Profile!$E$91</c:f>
              <c:strCache>
                <c:ptCount val="1"/>
                <c:pt idx="0">
                  <c:v>Prozessanlagen</c:v>
                </c:pt>
              </c:strCache>
            </c:strRef>
          </c:tx>
          <c:spPr>
            <a:solidFill>
              <a:schemeClr val="accent3">
                <a:lumMod val="75000"/>
              </a:schemeClr>
            </a:solidFill>
          </c:spPr>
          <c:invertIfNegative val="0"/>
          <c:val>
            <c:numRef>
              <c:f>Profile!$E$98:$E$121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7-C7F4-4DCA-AA46-D5B00EF629A5}"/>
            </c:ext>
          </c:extLst>
        </c:ser>
        <c:ser>
          <c:idx val="4"/>
          <c:order val="3"/>
          <c:tx>
            <c:strRef>
              <c:f>Profile!$F$91</c:f>
              <c:strCache>
                <c:ptCount val="1"/>
                <c:pt idx="0">
                  <c:v>Beleuchtung</c:v>
                </c:pt>
              </c:strCache>
            </c:strRef>
          </c:tx>
          <c:spPr>
            <a:solidFill>
              <a:srgbClr val="FFFF00"/>
            </a:solidFill>
          </c:spPr>
          <c:invertIfNegative val="0"/>
          <c:val>
            <c:numRef>
              <c:f>Profile!$F$98:$F$121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2.9791666666666674</c:v>
                </c:pt>
                <c:pt idx="20">
                  <c:v>2.9791666666666674</c:v>
                </c:pt>
                <c:pt idx="21">
                  <c:v>2.9791666666666674</c:v>
                </c:pt>
                <c:pt idx="22">
                  <c:v>0</c:v>
                </c:pt>
                <c:pt idx="23">
                  <c:v>0</c:v>
                </c:pt>
              </c:numCache>
            </c:numRef>
          </c:val>
          <c:extLst>
            <c:ext xmlns:c16="http://schemas.microsoft.com/office/drawing/2014/chart" uri="{C3380CC4-5D6E-409C-BE32-E72D297353CC}">
              <c16:uniqueId val="{00000002-C7F4-4DCA-AA46-D5B00EF629A5}"/>
            </c:ext>
          </c:extLst>
        </c:ser>
        <c:ser>
          <c:idx val="5"/>
          <c:order val="4"/>
          <c:tx>
            <c:strRef>
              <c:f>Profile!$H$91</c:f>
              <c:strCache>
                <c:ptCount val="1"/>
                <c:pt idx="0">
                  <c:v>Solarstrahlung</c:v>
                </c:pt>
              </c:strCache>
            </c:strRef>
          </c:tx>
          <c:spPr>
            <a:solidFill>
              <a:schemeClr val="accent6"/>
            </a:solidFill>
          </c:spPr>
          <c:invertIfNegative val="0"/>
          <c:val>
            <c:numRef>
              <c:f>Profile!$J$98:$J$121</c:f>
              <c:numCache>
                <c:formatCode>0.0</c:formatCode>
                <c:ptCount val="24"/>
                <c:pt idx="0">
                  <c:v>0</c:v>
                </c:pt>
                <c:pt idx="1">
                  <c:v>0</c:v>
                </c:pt>
                <c:pt idx="2">
                  <c:v>0</c:v>
                </c:pt>
                <c:pt idx="3">
                  <c:v>0</c:v>
                </c:pt>
                <c:pt idx="4">
                  <c:v>0.2382352941176471</c:v>
                </c:pt>
                <c:pt idx="5">
                  <c:v>2.5411764705882356</c:v>
                </c:pt>
                <c:pt idx="6">
                  <c:v>5.1617647058823533</c:v>
                </c:pt>
                <c:pt idx="7">
                  <c:v>6.1147058823529417</c:v>
                </c:pt>
                <c:pt idx="8">
                  <c:v>7.7029411764705884</c:v>
                </c:pt>
                <c:pt idx="9">
                  <c:v>8.8941176470588239</c:v>
                </c:pt>
                <c:pt idx="10">
                  <c:v>9.2911764705882351</c:v>
                </c:pt>
                <c:pt idx="11">
                  <c:v>10.164705882352942</c:v>
                </c:pt>
                <c:pt idx="12">
                  <c:v>5.9368235294117655</c:v>
                </c:pt>
                <c:pt idx="13">
                  <c:v>10.139294117647061</c:v>
                </c:pt>
                <c:pt idx="14">
                  <c:v>13.385647058823533</c:v>
                </c:pt>
                <c:pt idx="15">
                  <c:v>15.120000000000003</c:v>
                </c:pt>
                <c:pt idx="16">
                  <c:v>14.89764705882353</c:v>
                </c:pt>
                <c:pt idx="17">
                  <c:v>12.251647058823533</c:v>
                </c:pt>
                <c:pt idx="18">
                  <c:v>5.2920000000000016</c:v>
                </c:pt>
                <c:pt idx="19">
                  <c:v>0</c:v>
                </c:pt>
                <c:pt idx="20">
                  <c:v>0</c:v>
                </c:pt>
                <c:pt idx="21">
                  <c:v>0</c:v>
                </c:pt>
                <c:pt idx="22">
                  <c:v>0</c:v>
                </c:pt>
                <c:pt idx="23">
                  <c:v>0</c:v>
                </c:pt>
              </c:numCache>
            </c:numRef>
          </c:val>
          <c:extLst>
            <c:ext xmlns:c16="http://schemas.microsoft.com/office/drawing/2014/chart" uri="{C3380CC4-5D6E-409C-BE32-E72D297353CC}">
              <c16:uniqueId val="{00000003-C7F4-4DCA-AA46-D5B00EF629A5}"/>
            </c:ext>
          </c:extLst>
        </c:ser>
        <c:ser>
          <c:idx val="6"/>
          <c:order val="5"/>
          <c:tx>
            <c:strRef>
              <c:f>Profile!$K$91</c:f>
              <c:strCache>
                <c:ptCount val="1"/>
                <c:pt idx="0">
                  <c:v>Lüftung</c:v>
                </c:pt>
              </c:strCache>
            </c:strRef>
          </c:tx>
          <c:spPr>
            <a:solidFill>
              <a:srgbClr val="00B0F0"/>
            </a:solidFill>
          </c:spPr>
          <c:invertIfNegative val="0"/>
          <c:val>
            <c:numRef>
              <c:f>Profile!$O$98:$O$121</c:f>
              <c:numCache>
                <c:formatCode>0.00</c:formatCode>
                <c:ptCount val="24"/>
                <c:pt idx="0">
                  <c:v>-1.9101714285714291</c:v>
                </c:pt>
                <c:pt idx="1">
                  <c:v>-2.0980571428571428</c:v>
                </c:pt>
                <c:pt idx="2">
                  <c:v>-2.2546285714285714</c:v>
                </c:pt>
                <c:pt idx="3">
                  <c:v>-2.3798857142857153</c:v>
                </c:pt>
                <c:pt idx="4">
                  <c:v>-2.4112</c:v>
                </c:pt>
                <c:pt idx="5">
                  <c:v>-2.2233142857142862</c:v>
                </c:pt>
                <c:pt idx="6">
                  <c:v>-1.7849142857142855</c:v>
                </c:pt>
                <c:pt idx="7">
                  <c:v>-1.2838857142857147</c:v>
                </c:pt>
                <c:pt idx="8">
                  <c:v>-0.62628571428571433</c:v>
                </c:pt>
                <c:pt idx="9">
                  <c:v>-0.31314285714285717</c:v>
                </c:pt>
                <c:pt idx="10">
                  <c:v>0.21919999999999978</c:v>
                </c:pt>
                <c:pt idx="11">
                  <c:v>0.26309485714285741</c:v>
                </c:pt>
                <c:pt idx="12">
                  <c:v>0.43051885714285759</c:v>
                </c:pt>
                <c:pt idx="13">
                  <c:v>0.53814857142857142</c:v>
                </c:pt>
                <c:pt idx="14">
                  <c:v>0.64577828571428531</c:v>
                </c:pt>
                <c:pt idx="15">
                  <c:v>0.70557257142857144</c:v>
                </c:pt>
                <c:pt idx="16">
                  <c:v>0.71753142857142882</c:v>
                </c:pt>
                <c:pt idx="17">
                  <c:v>0.55010742857142891</c:v>
                </c:pt>
                <c:pt idx="18">
                  <c:v>0.43839999999999957</c:v>
                </c:pt>
                <c:pt idx="19">
                  <c:v>0.12525714285714243</c:v>
                </c:pt>
                <c:pt idx="20">
                  <c:v>0.28182857142857098</c:v>
                </c:pt>
                <c:pt idx="21">
                  <c:v>-0.34445714285714329</c:v>
                </c:pt>
                <c:pt idx="22">
                  <c:v>-0.97074285714285768</c:v>
                </c:pt>
                <c:pt idx="23">
                  <c:v>-1.3151999999999999</c:v>
                </c:pt>
              </c:numCache>
            </c:numRef>
          </c:val>
          <c:extLst>
            <c:ext xmlns:c16="http://schemas.microsoft.com/office/drawing/2014/chart" uri="{C3380CC4-5D6E-409C-BE32-E72D297353CC}">
              <c16:uniqueId val="{00000004-C7F4-4DCA-AA46-D5B00EF629A5}"/>
            </c:ext>
          </c:extLst>
        </c:ser>
        <c:ser>
          <c:idx val="7"/>
          <c:order val="6"/>
          <c:tx>
            <c:strRef>
              <c:f>Profile!$P$91</c:f>
              <c:strCache>
                <c:ptCount val="1"/>
                <c:pt idx="0">
                  <c:v>Transmission</c:v>
                </c:pt>
              </c:strCache>
            </c:strRef>
          </c:tx>
          <c:spPr>
            <a:solidFill>
              <a:schemeClr val="accent2">
                <a:lumMod val="60000"/>
                <a:lumOff val="40000"/>
              </a:schemeClr>
            </a:solidFill>
          </c:spPr>
          <c:invertIfNegative val="0"/>
          <c:val>
            <c:numRef>
              <c:f>Profile!$P$98:$P$121</c:f>
              <c:numCache>
                <c:formatCode>0.0</c:formatCode>
                <c:ptCount val="24"/>
                <c:pt idx="0">
                  <c:v>-2.820173529411766</c:v>
                </c:pt>
                <c:pt idx="1">
                  <c:v>-3.097567647058824</c:v>
                </c:pt>
                <c:pt idx="2">
                  <c:v>-3.3287294117647064</c:v>
                </c:pt>
                <c:pt idx="3">
                  <c:v>-3.5136588235294131</c:v>
                </c:pt>
                <c:pt idx="4">
                  <c:v>-3.5598911764705887</c:v>
                </c:pt>
                <c:pt idx="5">
                  <c:v>-3.2824970588235307</c:v>
                </c:pt>
                <c:pt idx="6">
                  <c:v>-2.6352441176470589</c:v>
                </c:pt>
                <c:pt idx="7">
                  <c:v>-1.8955264705882364</c:v>
                </c:pt>
                <c:pt idx="8">
                  <c:v>-0.9246470588235296</c:v>
                </c:pt>
                <c:pt idx="9">
                  <c:v>-0.4623235294117648</c:v>
                </c:pt>
                <c:pt idx="10">
                  <c:v>0.32362647058823502</c:v>
                </c:pt>
                <c:pt idx="11">
                  <c:v>1.0171117647058823</c:v>
                </c:pt>
                <c:pt idx="12">
                  <c:v>1.6643647058823539</c:v>
                </c:pt>
                <c:pt idx="13">
                  <c:v>2.0804558823529415</c:v>
                </c:pt>
                <c:pt idx="14">
                  <c:v>2.4965470588235292</c:v>
                </c:pt>
                <c:pt idx="15">
                  <c:v>2.7277088235294116</c:v>
                </c:pt>
                <c:pt idx="16">
                  <c:v>2.773941176470589</c:v>
                </c:pt>
                <c:pt idx="17">
                  <c:v>2.1266882352941185</c:v>
                </c:pt>
                <c:pt idx="18">
                  <c:v>0.64725294117647003</c:v>
                </c:pt>
                <c:pt idx="19">
                  <c:v>0.18492941176470526</c:v>
                </c:pt>
                <c:pt idx="20">
                  <c:v>0.41609117647058769</c:v>
                </c:pt>
                <c:pt idx="21">
                  <c:v>-0.50855588235294191</c:v>
                </c:pt>
                <c:pt idx="22">
                  <c:v>-1.4332029411764715</c:v>
                </c:pt>
                <c:pt idx="23">
                  <c:v>-1.9417588235294119</c:v>
                </c:pt>
              </c:numCache>
            </c:numRef>
          </c:val>
          <c:extLst>
            <c:ext xmlns:c16="http://schemas.microsoft.com/office/drawing/2014/chart" uri="{C3380CC4-5D6E-409C-BE32-E72D297353CC}">
              <c16:uniqueId val="{00000005-C7F4-4DCA-AA46-D5B00EF629A5}"/>
            </c:ext>
          </c:extLst>
        </c:ser>
        <c:ser>
          <c:idx val="0"/>
          <c:order val="7"/>
          <c:tx>
            <c:strRef>
              <c:f>Profile!$T$91</c:f>
              <c:strCache>
                <c:ptCount val="1"/>
                <c:pt idx="0">
                  <c:v>Klimakälte</c:v>
                </c:pt>
              </c:strCache>
            </c:strRef>
          </c:tx>
          <c:invertIfNegative val="0"/>
          <c:val>
            <c:numRef>
              <c:f>Profile!$T$98:$T$121</c:f>
              <c:numCache>
                <c:formatCode>0.0</c:formatCode>
                <c:ptCount val="24"/>
                <c:pt idx="0">
                  <c:v>0</c:v>
                </c:pt>
                <c:pt idx="1">
                  <c:v>0</c:v>
                </c:pt>
                <c:pt idx="2">
                  <c:v>0</c:v>
                </c:pt>
                <c:pt idx="3">
                  <c:v>0</c:v>
                </c:pt>
                <c:pt idx="4">
                  <c:v>0</c:v>
                </c:pt>
                <c:pt idx="5">
                  <c:v>-1.4353651260504185</c:v>
                </c:pt>
                <c:pt idx="6">
                  <c:v>-10.18160630252101</c:v>
                </c:pt>
                <c:pt idx="7">
                  <c:v>-5.8952936974789898</c:v>
                </c:pt>
                <c:pt idx="8">
                  <c:v>-8.1520084033613447</c:v>
                </c:pt>
                <c:pt idx="9">
                  <c:v>-10.118651260504201</c:v>
                </c:pt>
                <c:pt idx="10">
                  <c:v>-11.834002941176468</c:v>
                </c:pt>
                <c:pt idx="11">
                  <c:v>-13.444912504201682</c:v>
                </c:pt>
                <c:pt idx="12">
                  <c:v>-17.951707092436976</c:v>
                </c:pt>
                <c:pt idx="13">
                  <c:v>-15.717898571428575</c:v>
                </c:pt>
                <c:pt idx="14">
                  <c:v>-18.52797240336135</c:v>
                </c:pt>
                <c:pt idx="15">
                  <c:v>-20.553281394957988</c:v>
                </c:pt>
                <c:pt idx="16">
                  <c:v>-20.38911966386555</c:v>
                </c:pt>
                <c:pt idx="17">
                  <c:v>-17.888442722689081</c:v>
                </c:pt>
                <c:pt idx="18">
                  <c:v>-16.297652941176473</c:v>
                </c:pt>
                <c:pt idx="19">
                  <c:v>-15.209353221288515</c:v>
                </c:pt>
                <c:pt idx="20">
                  <c:v>-7.5970864145658261</c:v>
                </c:pt>
                <c:pt idx="21">
                  <c:v>-6.5261536414565828</c:v>
                </c:pt>
                <c:pt idx="22">
                  <c:v>-1.9960542016806713</c:v>
                </c:pt>
                <c:pt idx="23">
                  <c:v>-1.1430411764705886</c:v>
                </c:pt>
              </c:numCache>
            </c:numRef>
          </c:val>
          <c:extLst>
            <c:ext xmlns:c16="http://schemas.microsoft.com/office/drawing/2014/chart" uri="{C3380CC4-5D6E-409C-BE32-E72D297353CC}">
              <c16:uniqueId val="{00000006-C7F4-4DCA-AA46-D5B00EF629A5}"/>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rich>
              <a:bodyPr/>
              <a:lstStyle/>
              <a:p>
                <a:pPr>
                  <a:defRPr sz="800" b="0" i="0" u="none" strike="noStrike" baseline="0">
                    <a:solidFill>
                      <a:srgbClr val="333333"/>
                    </a:solidFill>
                    <a:latin typeface="Arial"/>
                    <a:ea typeface="Arial"/>
                    <a:cs typeface="Arial"/>
                  </a:defRPr>
                </a:pPr>
                <a:r>
                  <a:rPr lang="de-CH"/>
                  <a:t>Wärmebilanz,</a:t>
                </a:r>
                <a:r>
                  <a:rPr lang="de-CH" baseline="0"/>
                  <a:t> W/m2</a:t>
                </a:r>
                <a:endParaRPr lang="de-CH"/>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spPr>
        <a:noFill/>
        <a:ln w="25400">
          <a:noFill/>
        </a:ln>
      </c:spPr>
    </c:plotArea>
    <c:legend>
      <c:legendPos val="r"/>
      <c:layout>
        <c:manualLayout>
          <c:xMode val="edge"/>
          <c:yMode val="edge"/>
          <c:x val="0.81019337121958135"/>
          <c:y val="0.23491948839684595"/>
          <c:w val="0.16702382866242049"/>
          <c:h val="0.58721765462081299"/>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Profile!$I$567</c:f>
              <c:strCache>
                <c:ptCount val="1"/>
                <c:pt idx="0">
                  <c:v>Personen</c:v>
                </c:pt>
              </c:strCache>
            </c:strRef>
          </c:tx>
          <c:spPr>
            <a:solidFill>
              <a:srgbClr val="92D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Profile!$I$569:$I$580</c:f>
              <c:numCache>
                <c:formatCode>0.0</c:formatCode>
                <c:ptCount val="12"/>
                <c:pt idx="0">
                  <c:v>0.83327610292860699</c:v>
                </c:pt>
                <c:pt idx="1">
                  <c:v>0.83273257931565425</c:v>
                </c:pt>
                <c:pt idx="2">
                  <c:v>0.76784518627004339</c:v>
                </c:pt>
                <c:pt idx="3">
                  <c:v>0.58682412645542303</c:v>
                </c:pt>
                <c:pt idx="4">
                  <c:v>0.32849959530394307</c:v>
                </c:pt>
                <c:pt idx="5">
                  <c:v>0.83328000000000013</c:v>
                </c:pt>
                <c:pt idx="6">
                  <c:v>0.83328000000000013</c:v>
                </c:pt>
                <c:pt idx="7">
                  <c:v>0.83328000000000013</c:v>
                </c:pt>
                <c:pt idx="8">
                  <c:v>0.35858436539334893</c:v>
                </c:pt>
                <c:pt idx="9">
                  <c:v>0.69993583740223786</c:v>
                </c:pt>
                <c:pt idx="10">
                  <c:v>0.83317084045909895</c:v>
                </c:pt>
                <c:pt idx="11">
                  <c:v>0.83327594230484858</c:v>
                </c:pt>
              </c:numCache>
            </c:numRef>
          </c:val>
          <c:extLst>
            <c:ext xmlns:c16="http://schemas.microsoft.com/office/drawing/2014/chart" uri="{C3380CC4-5D6E-409C-BE32-E72D297353CC}">
              <c16:uniqueId val="{00000000-A0AA-454E-B5ED-113BEE4157BF}"/>
            </c:ext>
          </c:extLst>
        </c:ser>
        <c:ser>
          <c:idx val="2"/>
          <c:order val="1"/>
          <c:tx>
            <c:strRef>
              <c:f>Profile!$K$567</c:f>
              <c:strCache>
                <c:ptCount val="1"/>
                <c:pt idx="0">
                  <c:v>Geräte+Bel.</c:v>
                </c:pt>
              </c:strCache>
            </c:strRef>
          </c:tx>
          <c:spPr>
            <a:solidFill>
              <a:srgbClr val="00B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Profile!$K$569:$K$580</c:f>
              <c:numCache>
                <c:formatCode>0.0</c:formatCode>
                <c:ptCount val="12"/>
                <c:pt idx="0">
                  <c:v>2.0485702137533224</c:v>
                </c:pt>
                <c:pt idx="1">
                  <c:v>2.0472339864451672</c:v>
                </c:pt>
                <c:pt idx="2">
                  <c:v>1.8877113742231628</c:v>
                </c:pt>
                <c:pt idx="3">
                  <c:v>1.4426795895662328</c:v>
                </c:pt>
                <c:pt idx="4">
                  <c:v>0.80760084659158371</c:v>
                </c:pt>
                <c:pt idx="5">
                  <c:v>2.0485797945205482</c:v>
                </c:pt>
                <c:pt idx="6">
                  <c:v>2.0485797945205482</c:v>
                </c:pt>
                <c:pt idx="7">
                  <c:v>2.0485797945205482</c:v>
                </c:pt>
                <c:pt idx="8">
                  <c:v>0.88156284271287899</c:v>
                </c:pt>
                <c:pt idx="9">
                  <c:v>1.7207594253588758</c:v>
                </c:pt>
                <c:pt idx="10">
                  <c:v>2.0483114309094339</c:v>
                </c:pt>
                <c:pt idx="11">
                  <c:v>2.0485698188673465</c:v>
                </c:pt>
              </c:numCache>
            </c:numRef>
          </c:val>
          <c:extLst>
            <c:ext xmlns:c16="http://schemas.microsoft.com/office/drawing/2014/chart" uri="{C3380CC4-5D6E-409C-BE32-E72D297353CC}">
              <c16:uniqueId val="{00000001-A0AA-454E-B5ED-113BEE4157BF}"/>
            </c:ext>
          </c:extLst>
        </c:ser>
        <c:ser>
          <c:idx val="5"/>
          <c:order val="2"/>
          <c:tx>
            <c:strRef>
              <c:f>Profile!$N$567</c:f>
              <c:strCache>
                <c:ptCount val="1"/>
                <c:pt idx="0">
                  <c:v>Solarstrahlung</c:v>
                </c:pt>
              </c:strCache>
            </c:strRef>
          </c:tx>
          <c:spPr>
            <a:solidFill>
              <a:schemeClr val="accent6"/>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Profile!$N$569:$N$580</c:f>
              <c:numCache>
                <c:formatCode>0.0</c:formatCode>
                <c:ptCount val="12"/>
                <c:pt idx="0">
                  <c:v>1.7646976292029659</c:v>
                </c:pt>
                <c:pt idx="1">
                  <c:v>2.71145284269496</c:v>
                </c:pt>
                <c:pt idx="2">
                  <c:v>4.0246697021939317</c:v>
                </c:pt>
                <c:pt idx="3">
                  <c:v>3.5884866010860703</c:v>
                </c:pt>
                <c:pt idx="4">
                  <c:v>2.4957904796203567</c:v>
                </c:pt>
                <c:pt idx="5">
                  <c:v>1.8714705882352944</c:v>
                </c:pt>
                <c:pt idx="6">
                  <c:v>2.0197058823529419</c:v>
                </c:pt>
                <c:pt idx="7">
                  <c:v>1.8220588235294117</c:v>
                </c:pt>
                <c:pt idx="8">
                  <c:v>2.0693751603095256</c:v>
                </c:pt>
                <c:pt idx="9">
                  <c:v>2.6311036853419201</c:v>
                </c:pt>
                <c:pt idx="10">
                  <c:v>1.6541950370408753</c:v>
                </c:pt>
                <c:pt idx="11">
                  <c:v>1.3014642506646148</c:v>
                </c:pt>
              </c:numCache>
            </c:numRef>
          </c:val>
          <c:extLst>
            <c:ext xmlns:c16="http://schemas.microsoft.com/office/drawing/2014/chart" uri="{C3380CC4-5D6E-409C-BE32-E72D297353CC}">
              <c16:uniqueId val="{00000004-A0AA-454E-B5ED-113BEE4157BF}"/>
            </c:ext>
          </c:extLst>
        </c:ser>
        <c:ser>
          <c:idx val="6"/>
          <c:order val="3"/>
          <c:tx>
            <c:strRef>
              <c:f>Profile!$Q$567</c:f>
              <c:strCache>
                <c:ptCount val="1"/>
                <c:pt idx="0">
                  <c:v>Lüftung</c:v>
                </c:pt>
              </c:strCache>
            </c:strRef>
          </c:tx>
          <c:spPr>
            <a:solidFill>
              <a:srgbClr val="00B0F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Profile!$Q$569:$Q$580</c:f>
              <c:numCache>
                <c:formatCode>0.0</c:formatCode>
                <c:ptCount val="12"/>
                <c:pt idx="0">
                  <c:v>-1.692236077714286</c:v>
                </c:pt>
                <c:pt idx="1">
                  <c:v>-1.4435562239999999</c:v>
                </c:pt>
                <c:pt idx="2">
                  <c:v>-1.2926803371428572</c:v>
                </c:pt>
                <c:pt idx="3">
                  <c:v>-1.0311115885714286</c:v>
                </c:pt>
                <c:pt idx="4">
                  <c:v>-0.67376066057142869</c:v>
                </c:pt>
                <c:pt idx="5">
                  <c:v>-0.71074985142857161</c:v>
                </c:pt>
                <c:pt idx="6">
                  <c:v>-0.55083113485714308</c:v>
                </c:pt>
                <c:pt idx="7">
                  <c:v>-0.55083113485714308</c:v>
                </c:pt>
                <c:pt idx="8">
                  <c:v>-0.60653622857142853</c:v>
                </c:pt>
                <c:pt idx="9">
                  <c:v>-0.94796558057142866</c:v>
                </c:pt>
                <c:pt idx="10">
                  <c:v>-1.3495431085714289</c:v>
                </c:pt>
                <c:pt idx="11">
                  <c:v>-1.5825541097142857</c:v>
                </c:pt>
              </c:numCache>
            </c:numRef>
          </c:val>
          <c:extLst>
            <c:ext xmlns:c16="http://schemas.microsoft.com/office/drawing/2014/chart" uri="{C3380CC4-5D6E-409C-BE32-E72D297353CC}">
              <c16:uniqueId val="{00000005-A0AA-454E-B5ED-113BEE4157BF}"/>
            </c:ext>
          </c:extLst>
        </c:ser>
        <c:ser>
          <c:idx val="7"/>
          <c:order val="4"/>
          <c:tx>
            <c:strRef>
              <c:f>Profile!$T$567</c:f>
              <c:strCache>
                <c:ptCount val="1"/>
                <c:pt idx="0">
                  <c:v>Transmission</c:v>
                </c:pt>
              </c:strCache>
            </c:strRef>
          </c:tx>
          <c:spPr>
            <a:solidFill>
              <a:schemeClr val="accent2">
                <a:lumMod val="60000"/>
                <a:lumOff val="40000"/>
              </a:schemeClr>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Profile!$T$569:$T$580</c:f>
              <c:numCache>
                <c:formatCode>0.0</c:formatCode>
                <c:ptCount val="12"/>
                <c:pt idx="0">
                  <c:v>-7.808234047058825</c:v>
                </c:pt>
                <c:pt idx="1">
                  <c:v>-6.3379007999999999</c:v>
                </c:pt>
                <c:pt idx="2">
                  <c:v>-5.6754836470588232</c:v>
                </c:pt>
                <c:pt idx="3">
                  <c:v>-4.5270720000000004</c:v>
                </c:pt>
                <c:pt idx="4">
                  <c:v>-2.9581308705882354</c:v>
                </c:pt>
                <c:pt idx="5">
                  <c:v>-2.9292818823529418</c:v>
                </c:pt>
                <c:pt idx="6">
                  <c:v>-2.2701934588235302</c:v>
                </c:pt>
                <c:pt idx="7">
                  <c:v>-2.2701934588235302</c:v>
                </c:pt>
                <c:pt idx="8">
                  <c:v>-2.6629835294117656</c:v>
                </c:pt>
                <c:pt idx="9">
                  <c:v>-4.1620213411764704</c:v>
                </c:pt>
                <c:pt idx="10">
                  <c:v>-5.9251383529411772</c:v>
                </c:pt>
                <c:pt idx="11">
                  <c:v>-6.9481678588235294</c:v>
                </c:pt>
              </c:numCache>
            </c:numRef>
          </c:val>
          <c:extLst>
            <c:ext xmlns:c16="http://schemas.microsoft.com/office/drawing/2014/chart" uri="{C3380CC4-5D6E-409C-BE32-E72D297353CC}">
              <c16:uniqueId val="{00000006-A0AA-454E-B5ED-113BEE4157BF}"/>
            </c:ext>
          </c:extLst>
        </c:ser>
        <c:ser>
          <c:idx val="0"/>
          <c:order val="5"/>
          <c:tx>
            <c:strRef>
              <c:f>Profile!$U$567</c:f>
              <c:strCache>
                <c:ptCount val="1"/>
                <c:pt idx="0">
                  <c:v>Klimakälte</c:v>
                </c:pt>
              </c:strCache>
            </c:strRef>
          </c:tx>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Profile!$U$569:$U$580</c:f>
              <c:numCache>
                <c:formatCode>0.0</c:formatCode>
                <c:ptCount val="12"/>
                <c:pt idx="0">
                  <c:v>0</c:v>
                </c:pt>
                <c:pt idx="1">
                  <c:v>0</c:v>
                </c:pt>
                <c:pt idx="2">
                  <c:v>0</c:v>
                </c:pt>
                <c:pt idx="3">
                  <c:v>0</c:v>
                </c:pt>
                <c:pt idx="4">
                  <c:v>0</c:v>
                </c:pt>
                <c:pt idx="5">
                  <c:v>-1.020335429796247</c:v>
                </c:pt>
                <c:pt idx="6">
                  <c:v>-2.0805410831928164</c:v>
                </c:pt>
                <c:pt idx="7">
                  <c:v>-1.8828940243692862</c:v>
                </c:pt>
                <c:pt idx="8">
                  <c:v>0</c:v>
                </c:pt>
                <c:pt idx="9">
                  <c:v>0</c:v>
                </c:pt>
                <c:pt idx="10">
                  <c:v>0</c:v>
                </c:pt>
                <c:pt idx="11">
                  <c:v>0</c:v>
                </c:pt>
              </c:numCache>
            </c:numRef>
          </c:val>
          <c:extLst>
            <c:ext xmlns:c16="http://schemas.microsoft.com/office/drawing/2014/chart" uri="{C3380CC4-5D6E-409C-BE32-E72D297353CC}">
              <c16:uniqueId val="{00000007-A0AA-454E-B5ED-113BEE4157BF}"/>
            </c:ext>
          </c:extLst>
        </c:ser>
        <c:ser>
          <c:idx val="3"/>
          <c:order val="6"/>
          <c:tx>
            <c:strRef>
              <c:f>Profile!$V$567</c:f>
              <c:strCache>
                <c:ptCount val="1"/>
                <c:pt idx="0">
                  <c:v>Heizwärme</c:v>
                </c:pt>
              </c:strCache>
            </c:strRef>
          </c:tx>
          <c:spPr>
            <a:solidFill>
              <a:srgbClr val="FF0000"/>
            </a:solidFill>
          </c:spPr>
          <c:invertIfNegative val="0"/>
          <c:val>
            <c:numRef>
              <c:f>Profile!$V$569:$V$580</c:f>
              <c:numCache>
                <c:formatCode>0.0</c:formatCode>
                <c:ptCount val="12"/>
                <c:pt idx="0">
                  <c:v>4.8539261788882166</c:v>
                </c:pt>
                <c:pt idx="1">
                  <c:v>2.4687440573920396</c:v>
                </c:pt>
                <c:pt idx="2">
                  <c:v>0.28793772151454178</c:v>
                </c:pt>
                <c:pt idx="3">
                  <c:v>5.6611332708526403E-3</c:v>
                </c:pt>
                <c:pt idx="4">
                  <c:v>6.0964378088988895E-7</c:v>
                </c:pt>
                <c:pt idx="5">
                  <c:v>3.0933971433771351E-10</c:v>
                </c:pt>
                <c:pt idx="6">
                  <c:v>6.4146219200564593E-14</c:v>
                </c:pt>
                <c:pt idx="7">
                  <c:v>1.9194522514630484E-13</c:v>
                </c:pt>
                <c:pt idx="8">
                  <c:v>2.1382160284330907E-6</c:v>
                </c:pt>
                <c:pt idx="9">
                  <c:v>5.8187973644864895E-2</c:v>
                </c:pt>
                <c:pt idx="10">
                  <c:v>2.831955194115086</c:v>
                </c:pt>
                <c:pt idx="11">
                  <c:v>4.3474119567010066</c:v>
                </c:pt>
              </c:numCache>
            </c:numRef>
          </c:val>
          <c:extLst>
            <c:ext xmlns:c16="http://schemas.microsoft.com/office/drawing/2014/chart" uri="{C3380CC4-5D6E-409C-BE32-E72D297353CC}">
              <c16:uniqueId val="{00000008-A0AA-454E-B5ED-113BEE4157BF}"/>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strRef>
              <c:f>Begriffe!$F$419</c:f>
              <c:strCache>
                <c:ptCount val="1"/>
                <c:pt idx="0">
                  <c:v>Wärmebilanz, kWh/m2</c:v>
                </c:pt>
              </c:strCache>
            </c:strRef>
          </c:tx>
          <c:layout>
            <c:manualLayout>
              <c:xMode val="edge"/>
              <c:yMode val="edge"/>
              <c:x val="1.2566358073110157E-2"/>
              <c:y val="0.25750630505486705"/>
            </c:manualLayout>
          </c:layout>
          <c:overlay val="0"/>
          <c:spPr>
            <a:noFill/>
            <a:ln w="25400">
              <a:noFill/>
            </a:ln>
          </c:spPr>
          <c:txPr>
            <a:bodyPr/>
            <a:lstStyle/>
            <a:p>
              <a:pPr>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79041674452726507"/>
          <c:y val="0.23491948839684595"/>
          <c:w val="0.19748683290769539"/>
          <c:h val="0.5780923578608208"/>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Profile!$C$151</c:f>
              <c:strCache>
                <c:ptCount val="1"/>
                <c:pt idx="0">
                  <c:v>Personen</c:v>
                </c:pt>
              </c:strCache>
            </c:strRef>
          </c:tx>
          <c:spPr>
            <a:solidFill>
              <a:srgbClr val="92D050"/>
            </a:solidFill>
          </c:spPr>
          <c:invertIfNegative val="0"/>
          <c:val>
            <c:numRef>
              <c:f>Profile!$C$158:$C$181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F551-4BBE-A46C-F04D4893D712}"/>
            </c:ext>
          </c:extLst>
        </c:ser>
        <c:ser>
          <c:idx val="2"/>
          <c:order val="1"/>
          <c:tx>
            <c:strRef>
              <c:f>Profile!$D$151</c:f>
              <c:strCache>
                <c:ptCount val="1"/>
                <c:pt idx="0">
                  <c:v>Geräte</c:v>
                </c:pt>
              </c:strCache>
            </c:strRef>
          </c:tx>
          <c:spPr>
            <a:solidFill>
              <a:srgbClr val="00B050"/>
            </a:solidFill>
          </c:spPr>
          <c:invertIfNegative val="0"/>
          <c:val>
            <c:numRef>
              <c:f>Profile!$D$158:$D$181</c:f>
              <c:numCache>
                <c:formatCode>0.0</c:formatCode>
                <c:ptCount val="24"/>
                <c:pt idx="0">
                  <c:v>1</c:v>
                </c:pt>
                <c:pt idx="1">
                  <c:v>1</c:v>
                </c:pt>
                <c:pt idx="2">
                  <c:v>1</c:v>
                </c:pt>
                <c:pt idx="3">
                  <c:v>1</c:v>
                </c:pt>
                <c:pt idx="4">
                  <c:v>1</c:v>
                </c:pt>
                <c:pt idx="5">
                  <c:v>1</c:v>
                </c:pt>
                <c:pt idx="6">
                  <c:v>4</c:v>
                </c:pt>
                <c:pt idx="7">
                  <c:v>1</c:v>
                </c:pt>
                <c:pt idx="8">
                  <c:v>1</c:v>
                </c:pt>
                <c:pt idx="9">
                  <c:v>1</c:v>
                </c:pt>
                <c:pt idx="10">
                  <c:v>1</c:v>
                </c:pt>
                <c:pt idx="11">
                  <c:v>1</c:v>
                </c:pt>
                <c:pt idx="12">
                  <c:v>4</c:v>
                </c:pt>
                <c:pt idx="13">
                  <c:v>1</c:v>
                </c:pt>
                <c:pt idx="14">
                  <c:v>1</c:v>
                </c:pt>
                <c:pt idx="15">
                  <c:v>1</c:v>
                </c:pt>
                <c:pt idx="16">
                  <c:v>1</c:v>
                </c:pt>
                <c:pt idx="17">
                  <c:v>1</c:v>
                </c:pt>
                <c:pt idx="18">
                  <c:v>4</c:v>
                </c:pt>
                <c:pt idx="19">
                  <c:v>5</c:v>
                </c:pt>
                <c:pt idx="20">
                  <c:v>1</c:v>
                </c:pt>
                <c:pt idx="21">
                  <c:v>1</c:v>
                </c:pt>
                <c:pt idx="22">
                  <c:v>1</c:v>
                </c:pt>
                <c:pt idx="23">
                  <c:v>1</c:v>
                </c:pt>
              </c:numCache>
            </c:numRef>
          </c:val>
          <c:extLst>
            <c:ext xmlns:c16="http://schemas.microsoft.com/office/drawing/2014/chart" uri="{C3380CC4-5D6E-409C-BE32-E72D297353CC}">
              <c16:uniqueId val="{00000001-F551-4BBE-A46C-F04D4893D712}"/>
            </c:ext>
          </c:extLst>
        </c:ser>
        <c:ser>
          <c:idx val="4"/>
          <c:order val="2"/>
          <c:tx>
            <c:strRef>
              <c:f>Profile!$F$151</c:f>
              <c:strCache>
                <c:ptCount val="1"/>
                <c:pt idx="0">
                  <c:v>Beleuchtung</c:v>
                </c:pt>
              </c:strCache>
            </c:strRef>
          </c:tx>
          <c:spPr>
            <a:solidFill>
              <a:srgbClr val="FFFF00"/>
            </a:solidFill>
          </c:spPr>
          <c:invertIfNegative val="0"/>
          <c:val>
            <c:numRef>
              <c:f>Profile!$F$158:$F$181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1.9097222222222221</c:v>
                </c:pt>
                <c:pt idx="20">
                  <c:v>1.9097222222222221</c:v>
                </c:pt>
                <c:pt idx="21">
                  <c:v>1.9097222222222221</c:v>
                </c:pt>
                <c:pt idx="22">
                  <c:v>0</c:v>
                </c:pt>
                <c:pt idx="23">
                  <c:v>0</c:v>
                </c:pt>
              </c:numCache>
            </c:numRef>
          </c:val>
          <c:extLst>
            <c:ext xmlns:c16="http://schemas.microsoft.com/office/drawing/2014/chart" uri="{C3380CC4-5D6E-409C-BE32-E72D297353CC}">
              <c16:uniqueId val="{00000002-F551-4BBE-A46C-F04D4893D712}"/>
            </c:ext>
          </c:extLst>
        </c:ser>
        <c:ser>
          <c:idx val="5"/>
          <c:order val="3"/>
          <c:tx>
            <c:strRef>
              <c:f>Profile!$H$151</c:f>
              <c:strCache>
                <c:ptCount val="1"/>
                <c:pt idx="0">
                  <c:v>Solarstrahlung</c:v>
                </c:pt>
              </c:strCache>
            </c:strRef>
          </c:tx>
          <c:spPr>
            <a:solidFill>
              <a:schemeClr val="accent6"/>
            </a:solidFill>
          </c:spPr>
          <c:invertIfNegative val="0"/>
          <c:val>
            <c:numRef>
              <c:f>Profile!$J$158:$J$181</c:f>
              <c:numCache>
                <c:formatCode>0.0</c:formatCode>
                <c:ptCount val="24"/>
                <c:pt idx="0">
                  <c:v>0</c:v>
                </c:pt>
                <c:pt idx="1">
                  <c:v>0</c:v>
                </c:pt>
                <c:pt idx="2">
                  <c:v>0</c:v>
                </c:pt>
                <c:pt idx="3">
                  <c:v>0</c:v>
                </c:pt>
                <c:pt idx="4">
                  <c:v>0.2382352941176471</c:v>
                </c:pt>
                <c:pt idx="5">
                  <c:v>2.5411764705882356</c:v>
                </c:pt>
                <c:pt idx="6">
                  <c:v>5.1617647058823533</c:v>
                </c:pt>
                <c:pt idx="7">
                  <c:v>6.1147058823529417</c:v>
                </c:pt>
                <c:pt idx="8">
                  <c:v>7.7029411764705884</c:v>
                </c:pt>
                <c:pt idx="9">
                  <c:v>8.8941176470588239</c:v>
                </c:pt>
                <c:pt idx="10">
                  <c:v>9.2911764705882351</c:v>
                </c:pt>
                <c:pt idx="11">
                  <c:v>10.164705882352942</c:v>
                </c:pt>
                <c:pt idx="12">
                  <c:v>4.2405882352941182</c:v>
                </c:pt>
                <c:pt idx="13">
                  <c:v>7.2423529411764722</c:v>
                </c:pt>
                <c:pt idx="14">
                  <c:v>9.5611764705882365</c:v>
                </c:pt>
                <c:pt idx="15">
                  <c:v>10.8</c:v>
                </c:pt>
                <c:pt idx="16">
                  <c:v>10.641176470588237</c:v>
                </c:pt>
                <c:pt idx="17">
                  <c:v>8.751176470588236</c:v>
                </c:pt>
                <c:pt idx="18">
                  <c:v>3.7800000000000007</c:v>
                </c:pt>
                <c:pt idx="19">
                  <c:v>0</c:v>
                </c:pt>
                <c:pt idx="20">
                  <c:v>0</c:v>
                </c:pt>
                <c:pt idx="21">
                  <c:v>0</c:v>
                </c:pt>
                <c:pt idx="22">
                  <c:v>0</c:v>
                </c:pt>
                <c:pt idx="23">
                  <c:v>0</c:v>
                </c:pt>
              </c:numCache>
            </c:numRef>
          </c:val>
          <c:extLst>
            <c:ext xmlns:c16="http://schemas.microsoft.com/office/drawing/2014/chart" uri="{C3380CC4-5D6E-409C-BE32-E72D297353CC}">
              <c16:uniqueId val="{00000003-F551-4BBE-A46C-F04D4893D712}"/>
            </c:ext>
          </c:extLst>
        </c:ser>
        <c:ser>
          <c:idx val="6"/>
          <c:order val="4"/>
          <c:tx>
            <c:strRef>
              <c:f>Profile!$K$151</c:f>
              <c:strCache>
                <c:ptCount val="1"/>
                <c:pt idx="0">
                  <c:v>Lüftung</c:v>
                </c:pt>
              </c:strCache>
            </c:strRef>
          </c:tx>
          <c:spPr>
            <a:solidFill>
              <a:srgbClr val="00B0F0"/>
            </a:solidFill>
          </c:spPr>
          <c:invertIfNegative val="0"/>
          <c:val>
            <c:numRef>
              <c:f>Profile!$O$158:$O$181</c:f>
              <c:numCache>
                <c:formatCode>0.00</c:formatCode>
                <c:ptCount val="24"/>
                <c:pt idx="0">
                  <c:v>-1.9101714285714291</c:v>
                </c:pt>
                <c:pt idx="1">
                  <c:v>-2.0980571428571428</c:v>
                </c:pt>
                <c:pt idx="2">
                  <c:v>-2.2546285714285714</c:v>
                </c:pt>
                <c:pt idx="3">
                  <c:v>-2.3798857142857153</c:v>
                </c:pt>
                <c:pt idx="4">
                  <c:v>-2.4112</c:v>
                </c:pt>
                <c:pt idx="5">
                  <c:v>-2.2233142857142862</c:v>
                </c:pt>
                <c:pt idx="6">
                  <c:v>-1.7849142857142855</c:v>
                </c:pt>
                <c:pt idx="7">
                  <c:v>-0.92188617142857188</c:v>
                </c:pt>
                <c:pt idx="8">
                  <c:v>-0.44970057142857151</c:v>
                </c:pt>
                <c:pt idx="9">
                  <c:v>-0.22485028571428575</c:v>
                </c:pt>
                <c:pt idx="10">
                  <c:v>0.15739519999999987</c:v>
                </c:pt>
                <c:pt idx="11">
                  <c:v>0.19119553828571398</c:v>
                </c:pt>
                <c:pt idx="12">
                  <c:v>0.38279314285714339</c:v>
                </c:pt>
                <c:pt idx="13">
                  <c:v>0.39108178285714262</c:v>
                </c:pt>
                <c:pt idx="14">
                  <c:v>0.46929813942857118</c:v>
                </c:pt>
                <c:pt idx="15">
                  <c:v>0.51275167085714257</c:v>
                </c:pt>
                <c:pt idx="16">
                  <c:v>0.52144237714285724</c:v>
                </c:pt>
                <c:pt idx="17">
                  <c:v>0.39977248914285735</c:v>
                </c:pt>
                <c:pt idx="18">
                  <c:v>0.43839999999999957</c:v>
                </c:pt>
                <c:pt idx="19">
                  <c:v>0.12525714285714243</c:v>
                </c:pt>
                <c:pt idx="20">
                  <c:v>0.28182857142857098</c:v>
                </c:pt>
                <c:pt idx="21">
                  <c:v>-0.34445714285714329</c:v>
                </c:pt>
                <c:pt idx="22">
                  <c:v>-0.97074285714285768</c:v>
                </c:pt>
                <c:pt idx="23">
                  <c:v>-1.3151999999999999</c:v>
                </c:pt>
              </c:numCache>
            </c:numRef>
          </c:val>
          <c:extLst>
            <c:ext xmlns:c16="http://schemas.microsoft.com/office/drawing/2014/chart" uri="{C3380CC4-5D6E-409C-BE32-E72D297353CC}">
              <c16:uniqueId val="{00000004-F551-4BBE-A46C-F04D4893D712}"/>
            </c:ext>
          </c:extLst>
        </c:ser>
        <c:ser>
          <c:idx val="7"/>
          <c:order val="5"/>
          <c:tx>
            <c:strRef>
              <c:f>Profile!$P$151</c:f>
              <c:strCache>
                <c:ptCount val="1"/>
                <c:pt idx="0">
                  <c:v>Transmission</c:v>
                </c:pt>
              </c:strCache>
            </c:strRef>
          </c:tx>
          <c:spPr>
            <a:solidFill>
              <a:schemeClr val="accent2">
                <a:lumMod val="60000"/>
                <a:lumOff val="40000"/>
              </a:schemeClr>
            </a:solidFill>
          </c:spPr>
          <c:invertIfNegative val="0"/>
          <c:val>
            <c:numRef>
              <c:f>Profile!$P$158:$P$181</c:f>
              <c:numCache>
                <c:formatCode>0.0</c:formatCode>
                <c:ptCount val="24"/>
                <c:pt idx="0">
                  <c:v>-1.9932647058823536</c:v>
                </c:pt>
                <c:pt idx="1">
                  <c:v>-2.1893235294117646</c:v>
                </c:pt>
                <c:pt idx="2">
                  <c:v>-2.3527058823529412</c:v>
                </c:pt>
                <c:pt idx="3">
                  <c:v>-2.4834117647058829</c:v>
                </c:pt>
                <c:pt idx="4">
                  <c:v>-2.5160882352941174</c:v>
                </c:pt>
                <c:pt idx="5">
                  <c:v>-2.3200294117647067</c:v>
                </c:pt>
                <c:pt idx="6">
                  <c:v>-1.8625588235294117</c:v>
                </c:pt>
                <c:pt idx="7">
                  <c:v>-1.3397352941176477</c:v>
                </c:pt>
                <c:pt idx="8">
                  <c:v>-0.65352941176470591</c:v>
                </c:pt>
                <c:pt idx="9">
                  <c:v>-0.32676470588235296</c:v>
                </c:pt>
                <c:pt idx="10">
                  <c:v>0.22873529411764684</c:v>
                </c:pt>
                <c:pt idx="11">
                  <c:v>0.71888235294117631</c:v>
                </c:pt>
                <c:pt idx="12">
                  <c:v>1.176352941176471</c:v>
                </c:pt>
                <c:pt idx="13">
                  <c:v>1.4704411764705883</c:v>
                </c:pt>
                <c:pt idx="14">
                  <c:v>1.7645294117647055</c:v>
                </c:pt>
                <c:pt idx="15">
                  <c:v>1.9279117647058819</c:v>
                </c:pt>
                <c:pt idx="16">
                  <c:v>1.9605882352941177</c:v>
                </c:pt>
                <c:pt idx="17">
                  <c:v>1.5031176470588241</c:v>
                </c:pt>
                <c:pt idx="18">
                  <c:v>0.45747058823529368</c:v>
                </c:pt>
                <c:pt idx="19">
                  <c:v>0.13070588235294073</c:v>
                </c:pt>
                <c:pt idx="20">
                  <c:v>0.29408823529411721</c:v>
                </c:pt>
                <c:pt idx="21">
                  <c:v>-0.35944117647058871</c:v>
                </c:pt>
                <c:pt idx="22">
                  <c:v>-1.0129705882352946</c:v>
                </c:pt>
                <c:pt idx="23">
                  <c:v>-1.3724117647058822</c:v>
                </c:pt>
              </c:numCache>
            </c:numRef>
          </c:val>
          <c:extLst>
            <c:ext xmlns:c16="http://schemas.microsoft.com/office/drawing/2014/chart" uri="{C3380CC4-5D6E-409C-BE32-E72D297353CC}">
              <c16:uniqueId val="{00000005-F551-4BBE-A46C-F04D4893D712}"/>
            </c:ext>
          </c:extLst>
        </c:ser>
        <c:ser>
          <c:idx val="0"/>
          <c:order val="6"/>
          <c:tx>
            <c:strRef>
              <c:f>Profile!$U$151</c:f>
              <c:strCache>
                <c:ptCount val="1"/>
                <c:pt idx="0">
                  <c:v>Klimakälte</c:v>
                </c:pt>
              </c:strCache>
            </c:strRef>
          </c:tx>
          <c:invertIfNegative val="0"/>
          <c:val>
            <c:numRef>
              <c:f>Profile!$U$158:$U$181</c:f>
              <c:numCache>
                <c:formatCode>0.0</c:formatCode>
                <c:ptCount val="24"/>
                <c:pt idx="0">
                  <c:v>0</c:v>
                </c:pt>
                <c:pt idx="1">
                  <c:v>0</c:v>
                </c:pt>
                <c:pt idx="2">
                  <c:v>0</c:v>
                </c:pt>
                <c:pt idx="3">
                  <c:v>0</c:v>
                </c:pt>
                <c:pt idx="4">
                  <c:v>0</c:v>
                </c:pt>
                <c:pt idx="5">
                  <c:v>-1.3978327731092426</c:v>
                </c:pt>
                <c:pt idx="6">
                  <c:v>-6.9542915966386563</c:v>
                </c:pt>
                <c:pt idx="7">
                  <c:v>-5.8130844168067215</c:v>
                </c:pt>
                <c:pt idx="8">
                  <c:v>-7.5997111932773107</c:v>
                </c:pt>
                <c:pt idx="9">
                  <c:v>-9.3425026554621855</c:v>
                </c:pt>
                <c:pt idx="10">
                  <c:v>-10.677306964705881</c:v>
                </c:pt>
                <c:pt idx="11">
                  <c:v>-12.074783773579831</c:v>
                </c:pt>
                <c:pt idx="12">
                  <c:v>-11.719734319327731</c:v>
                </c:pt>
                <c:pt idx="13">
                  <c:v>-11.063875900504202</c:v>
                </c:pt>
                <c:pt idx="14">
                  <c:v>-12.795004021781514</c:v>
                </c:pt>
                <c:pt idx="15">
                  <c:v>-14.240663435563025</c:v>
                </c:pt>
                <c:pt idx="16">
                  <c:v>-14.123207083025212</c:v>
                </c:pt>
                <c:pt idx="17">
                  <c:v>-12.614066606789917</c:v>
                </c:pt>
                <c:pt idx="18">
                  <c:v>-10.595870588235295</c:v>
                </c:pt>
                <c:pt idx="19">
                  <c:v>-9.0856852474323038</c:v>
                </c:pt>
                <c:pt idx="20">
                  <c:v>-5.4056390289449103</c:v>
                </c:pt>
                <c:pt idx="21">
                  <c:v>-4.6058239028944898</c:v>
                </c:pt>
                <c:pt idx="22">
                  <c:v>-1.4162865546218477</c:v>
                </c:pt>
                <c:pt idx="23">
                  <c:v>-0.71238823529411777</c:v>
                </c:pt>
              </c:numCache>
            </c:numRef>
          </c:val>
          <c:extLst>
            <c:ext xmlns:c16="http://schemas.microsoft.com/office/drawing/2014/chart" uri="{C3380CC4-5D6E-409C-BE32-E72D297353CC}">
              <c16:uniqueId val="{00000006-F551-4BBE-A46C-F04D4893D712}"/>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rich>
              <a:bodyPr/>
              <a:lstStyle/>
              <a:p>
                <a:pPr>
                  <a:defRPr/>
                </a:pPr>
                <a:r>
                  <a:rPr lang="de-CH"/>
                  <a:t>Wärmebilanz, W/m2</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81019337121958135"/>
          <c:y val="0.23491948839684595"/>
          <c:w val="0.17468870255703936"/>
          <c:h val="0.51381544779321131"/>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Profile!$C$191</c:f>
              <c:strCache>
                <c:ptCount val="1"/>
                <c:pt idx="0">
                  <c:v>Personen</c:v>
                </c:pt>
              </c:strCache>
            </c:strRef>
          </c:tx>
          <c:spPr>
            <a:solidFill>
              <a:srgbClr val="92D050"/>
            </a:solidFill>
          </c:spPr>
          <c:invertIfNegative val="0"/>
          <c:val>
            <c:numRef>
              <c:f>Profile!$C$198:$C$221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AB9C-4676-A14C-8AAA070AD8C4}"/>
            </c:ext>
          </c:extLst>
        </c:ser>
        <c:ser>
          <c:idx val="2"/>
          <c:order val="1"/>
          <c:tx>
            <c:strRef>
              <c:f>Profile!$D$191</c:f>
              <c:strCache>
                <c:ptCount val="1"/>
                <c:pt idx="0">
                  <c:v>Geräte</c:v>
                </c:pt>
              </c:strCache>
            </c:strRef>
          </c:tx>
          <c:spPr>
            <a:solidFill>
              <a:srgbClr val="00B050"/>
            </a:solidFill>
          </c:spPr>
          <c:invertIfNegative val="0"/>
          <c:val>
            <c:numRef>
              <c:f>Profile!$D$198:$D$221</c:f>
              <c:numCache>
                <c:formatCode>0.0</c:formatCode>
                <c:ptCount val="24"/>
                <c:pt idx="0">
                  <c:v>2.4000000000000004</c:v>
                </c:pt>
                <c:pt idx="1">
                  <c:v>2.4000000000000004</c:v>
                </c:pt>
                <c:pt idx="2">
                  <c:v>2.4000000000000004</c:v>
                </c:pt>
                <c:pt idx="3">
                  <c:v>2.4000000000000004</c:v>
                </c:pt>
                <c:pt idx="4">
                  <c:v>2.4000000000000004</c:v>
                </c:pt>
                <c:pt idx="5">
                  <c:v>2.4000000000000004</c:v>
                </c:pt>
                <c:pt idx="6">
                  <c:v>9.6000000000000014</c:v>
                </c:pt>
                <c:pt idx="7">
                  <c:v>2.4000000000000004</c:v>
                </c:pt>
                <c:pt idx="8">
                  <c:v>2.4000000000000004</c:v>
                </c:pt>
                <c:pt idx="9">
                  <c:v>2.4000000000000004</c:v>
                </c:pt>
                <c:pt idx="10">
                  <c:v>2.4000000000000004</c:v>
                </c:pt>
                <c:pt idx="11">
                  <c:v>2.4000000000000004</c:v>
                </c:pt>
                <c:pt idx="12">
                  <c:v>9.6000000000000014</c:v>
                </c:pt>
                <c:pt idx="13">
                  <c:v>2.4000000000000004</c:v>
                </c:pt>
                <c:pt idx="14">
                  <c:v>2.4000000000000004</c:v>
                </c:pt>
                <c:pt idx="15">
                  <c:v>2.4000000000000004</c:v>
                </c:pt>
                <c:pt idx="16">
                  <c:v>2.4000000000000004</c:v>
                </c:pt>
                <c:pt idx="17">
                  <c:v>2.4000000000000004</c:v>
                </c:pt>
                <c:pt idx="18">
                  <c:v>9.6000000000000014</c:v>
                </c:pt>
                <c:pt idx="19">
                  <c:v>12</c:v>
                </c:pt>
                <c:pt idx="20">
                  <c:v>2.4000000000000004</c:v>
                </c:pt>
                <c:pt idx="21">
                  <c:v>2.4000000000000004</c:v>
                </c:pt>
                <c:pt idx="22">
                  <c:v>2.4000000000000004</c:v>
                </c:pt>
                <c:pt idx="23">
                  <c:v>2.4000000000000004</c:v>
                </c:pt>
              </c:numCache>
            </c:numRef>
          </c:val>
          <c:extLst>
            <c:ext xmlns:c16="http://schemas.microsoft.com/office/drawing/2014/chart" uri="{C3380CC4-5D6E-409C-BE32-E72D297353CC}">
              <c16:uniqueId val="{00000001-AB9C-4676-A14C-8AAA070AD8C4}"/>
            </c:ext>
          </c:extLst>
        </c:ser>
        <c:ser>
          <c:idx val="4"/>
          <c:order val="2"/>
          <c:tx>
            <c:strRef>
              <c:f>Profile!$F$191</c:f>
              <c:strCache>
                <c:ptCount val="1"/>
                <c:pt idx="0">
                  <c:v>Beleuchtung</c:v>
                </c:pt>
              </c:strCache>
            </c:strRef>
          </c:tx>
          <c:spPr>
            <a:solidFill>
              <a:srgbClr val="FFFF00"/>
            </a:solidFill>
          </c:spPr>
          <c:invertIfNegative val="0"/>
          <c:val>
            <c:numRef>
              <c:f>Profile!$F$198:$F$221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3.8303571428571437</c:v>
                </c:pt>
                <c:pt idx="20">
                  <c:v>3.8303571428571437</c:v>
                </c:pt>
                <c:pt idx="21">
                  <c:v>3.8303571428571437</c:v>
                </c:pt>
                <c:pt idx="22">
                  <c:v>0</c:v>
                </c:pt>
                <c:pt idx="23">
                  <c:v>0</c:v>
                </c:pt>
              </c:numCache>
            </c:numRef>
          </c:val>
          <c:extLst>
            <c:ext xmlns:c16="http://schemas.microsoft.com/office/drawing/2014/chart" uri="{C3380CC4-5D6E-409C-BE32-E72D297353CC}">
              <c16:uniqueId val="{00000002-AB9C-4676-A14C-8AAA070AD8C4}"/>
            </c:ext>
          </c:extLst>
        </c:ser>
        <c:ser>
          <c:idx val="5"/>
          <c:order val="3"/>
          <c:tx>
            <c:strRef>
              <c:f>Profile!$H$191</c:f>
              <c:strCache>
                <c:ptCount val="1"/>
                <c:pt idx="0">
                  <c:v>Solarstrahlung</c:v>
                </c:pt>
              </c:strCache>
            </c:strRef>
          </c:tx>
          <c:spPr>
            <a:solidFill>
              <a:schemeClr val="accent6"/>
            </a:solidFill>
          </c:spPr>
          <c:invertIfNegative val="0"/>
          <c:val>
            <c:numRef>
              <c:f>Profile!$J$198:$J$221</c:f>
              <c:numCache>
                <c:formatCode>0.0</c:formatCode>
                <c:ptCount val="24"/>
                <c:pt idx="0">
                  <c:v>0</c:v>
                </c:pt>
                <c:pt idx="1">
                  <c:v>0</c:v>
                </c:pt>
                <c:pt idx="2">
                  <c:v>0</c:v>
                </c:pt>
                <c:pt idx="3">
                  <c:v>0</c:v>
                </c:pt>
                <c:pt idx="4">
                  <c:v>0.30970588235294122</c:v>
                </c:pt>
                <c:pt idx="5">
                  <c:v>3.3035294117647065</c:v>
                </c:pt>
                <c:pt idx="6">
                  <c:v>6.7102941176470594</c:v>
                </c:pt>
                <c:pt idx="7">
                  <c:v>7.9491176470588245</c:v>
                </c:pt>
                <c:pt idx="8">
                  <c:v>10.013823529411765</c:v>
                </c:pt>
                <c:pt idx="9">
                  <c:v>11.562352941176471</c:v>
                </c:pt>
                <c:pt idx="10">
                  <c:v>12.078529411764707</c:v>
                </c:pt>
                <c:pt idx="11">
                  <c:v>13.214117647058826</c:v>
                </c:pt>
                <c:pt idx="12">
                  <c:v>8.4811764705882364</c:v>
                </c:pt>
                <c:pt idx="13">
                  <c:v>14.484705882352944</c:v>
                </c:pt>
                <c:pt idx="14">
                  <c:v>19.122352941176473</c:v>
                </c:pt>
                <c:pt idx="15">
                  <c:v>21.6</c:v>
                </c:pt>
                <c:pt idx="16">
                  <c:v>21.282352941176473</c:v>
                </c:pt>
                <c:pt idx="17">
                  <c:v>17.502352941176472</c:v>
                </c:pt>
                <c:pt idx="18">
                  <c:v>7.5600000000000014</c:v>
                </c:pt>
                <c:pt idx="19">
                  <c:v>0</c:v>
                </c:pt>
                <c:pt idx="20">
                  <c:v>0</c:v>
                </c:pt>
                <c:pt idx="21">
                  <c:v>0</c:v>
                </c:pt>
                <c:pt idx="22">
                  <c:v>0</c:v>
                </c:pt>
                <c:pt idx="23">
                  <c:v>0</c:v>
                </c:pt>
              </c:numCache>
            </c:numRef>
          </c:val>
          <c:extLst>
            <c:ext xmlns:c16="http://schemas.microsoft.com/office/drawing/2014/chart" uri="{C3380CC4-5D6E-409C-BE32-E72D297353CC}">
              <c16:uniqueId val="{00000003-AB9C-4676-A14C-8AAA070AD8C4}"/>
            </c:ext>
          </c:extLst>
        </c:ser>
        <c:ser>
          <c:idx val="6"/>
          <c:order val="4"/>
          <c:tx>
            <c:strRef>
              <c:f>Profile!$K$191</c:f>
              <c:strCache>
                <c:ptCount val="1"/>
                <c:pt idx="0">
                  <c:v>Lüftung</c:v>
                </c:pt>
              </c:strCache>
            </c:strRef>
          </c:tx>
          <c:spPr>
            <a:solidFill>
              <a:srgbClr val="00B0F0"/>
            </a:solidFill>
          </c:spPr>
          <c:invertIfNegative val="0"/>
          <c:val>
            <c:numRef>
              <c:f>Profile!$O$198:$O$221</c:f>
              <c:numCache>
                <c:formatCode>0.00</c:formatCode>
                <c:ptCount val="24"/>
                <c:pt idx="0">
                  <c:v>-2.2029714285714292</c:v>
                </c:pt>
                <c:pt idx="1">
                  <c:v>-2.419657142857143</c:v>
                </c:pt>
                <c:pt idx="2">
                  <c:v>-2.6002285714285711</c:v>
                </c:pt>
                <c:pt idx="3">
                  <c:v>-2.7446857142857151</c:v>
                </c:pt>
                <c:pt idx="4">
                  <c:v>-2.7807999999999997</c:v>
                </c:pt>
                <c:pt idx="5">
                  <c:v>-2.5641142857142865</c:v>
                </c:pt>
                <c:pt idx="6">
                  <c:v>-1.4539885714285714</c:v>
                </c:pt>
                <c:pt idx="7">
                  <c:v>-0.82843428571428601</c:v>
                </c:pt>
                <c:pt idx="8">
                  <c:v>-0.32457142857142857</c:v>
                </c:pt>
                <c:pt idx="9">
                  <c:v>-0.16228571428571428</c:v>
                </c:pt>
                <c:pt idx="10">
                  <c:v>0.1135999999999999</c:v>
                </c:pt>
                <c:pt idx="11">
                  <c:v>0.35702857142857136</c:v>
                </c:pt>
                <c:pt idx="12">
                  <c:v>1.1092114285714292</c:v>
                </c:pt>
                <c:pt idx="13">
                  <c:v>0.90925714285714299</c:v>
                </c:pt>
                <c:pt idx="14">
                  <c:v>0.87634285714285687</c:v>
                </c:pt>
                <c:pt idx="15">
                  <c:v>0.95748571428571416</c:v>
                </c:pt>
                <c:pt idx="16">
                  <c:v>0.97371428571428564</c:v>
                </c:pt>
                <c:pt idx="17">
                  <c:v>0.92946285714285748</c:v>
                </c:pt>
                <c:pt idx="18">
                  <c:v>0.43135999999999963</c:v>
                </c:pt>
                <c:pt idx="19">
                  <c:v>0.12324571428571386</c:v>
                </c:pt>
                <c:pt idx="20">
                  <c:v>0.27730285714285674</c:v>
                </c:pt>
                <c:pt idx="21">
                  <c:v>-0.39725714285714342</c:v>
                </c:pt>
                <c:pt idx="22">
                  <c:v>-1.1195428571428576</c:v>
                </c:pt>
                <c:pt idx="23">
                  <c:v>-1.5167999999999999</c:v>
                </c:pt>
              </c:numCache>
            </c:numRef>
          </c:val>
          <c:extLst>
            <c:ext xmlns:c16="http://schemas.microsoft.com/office/drawing/2014/chart" uri="{C3380CC4-5D6E-409C-BE32-E72D297353CC}">
              <c16:uniqueId val="{00000004-AB9C-4676-A14C-8AAA070AD8C4}"/>
            </c:ext>
          </c:extLst>
        </c:ser>
        <c:ser>
          <c:idx val="7"/>
          <c:order val="5"/>
          <c:tx>
            <c:strRef>
              <c:f>Profile!$P$191</c:f>
              <c:strCache>
                <c:ptCount val="1"/>
                <c:pt idx="0">
                  <c:v>Transmission</c:v>
                </c:pt>
              </c:strCache>
            </c:strRef>
          </c:tx>
          <c:spPr>
            <a:solidFill>
              <a:schemeClr val="accent2">
                <a:lumMod val="60000"/>
                <a:lumOff val="40000"/>
              </a:schemeClr>
            </a:solidFill>
          </c:spPr>
          <c:invertIfNegative val="0"/>
          <c:val>
            <c:numRef>
              <c:f>Profile!$P$198:$P$221</c:f>
              <c:numCache>
                <c:formatCode>0.0</c:formatCode>
                <c:ptCount val="24"/>
                <c:pt idx="0">
                  <c:v>-8.2098823529411806</c:v>
                </c:pt>
                <c:pt idx="1">
                  <c:v>-9.0174117647058836</c:v>
                </c:pt>
                <c:pt idx="2">
                  <c:v>-9.6903529411764708</c:v>
                </c:pt>
                <c:pt idx="3">
                  <c:v>-10.228705882352946</c:v>
                </c:pt>
                <c:pt idx="4">
                  <c:v>-10.36329411764706</c:v>
                </c:pt>
                <c:pt idx="5">
                  <c:v>-9.5557647058823569</c:v>
                </c:pt>
                <c:pt idx="6">
                  <c:v>-7.6715294117647064</c:v>
                </c:pt>
                <c:pt idx="7">
                  <c:v>-5.5181176470588262</c:v>
                </c:pt>
                <c:pt idx="8">
                  <c:v>-2.6917647058823535</c:v>
                </c:pt>
                <c:pt idx="9">
                  <c:v>-1.3458823529411768</c:v>
                </c:pt>
                <c:pt idx="10">
                  <c:v>0.94211764705882273</c:v>
                </c:pt>
                <c:pt idx="11">
                  <c:v>2.960941176470588</c:v>
                </c:pt>
                <c:pt idx="12">
                  <c:v>4.8451764705882381</c:v>
                </c:pt>
                <c:pt idx="13">
                  <c:v>6.0564705882352952</c:v>
                </c:pt>
                <c:pt idx="14">
                  <c:v>7.2677647058823522</c:v>
                </c:pt>
                <c:pt idx="15">
                  <c:v>7.9407058823529413</c:v>
                </c:pt>
                <c:pt idx="16">
                  <c:v>8.0752941176470614</c:v>
                </c:pt>
                <c:pt idx="17">
                  <c:v>6.1910588235294153</c:v>
                </c:pt>
                <c:pt idx="18">
                  <c:v>1.8842352941176455</c:v>
                </c:pt>
                <c:pt idx="19">
                  <c:v>0.53835294117646881</c:v>
                </c:pt>
                <c:pt idx="20">
                  <c:v>1.2112941176470571</c:v>
                </c:pt>
                <c:pt idx="21">
                  <c:v>-1.4804705882352964</c:v>
                </c:pt>
                <c:pt idx="22">
                  <c:v>-4.1722352941176499</c:v>
                </c:pt>
                <c:pt idx="23">
                  <c:v>-5.652705882352941</c:v>
                </c:pt>
              </c:numCache>
            </c:numRef>
          </c:val>
          <c:extLst>
            <c:ext xmlns:c16="http://schemas.microsoft.com/office/drawing/2014/chart" uri="{C3380CC4-5D6E-409C-BE32-E72D297353CC}">
              <c16:uniqueId val="{00000005-AB9C-4676-A14C-8AAA070AD8C4}"/>
            </c:ext>
          </c:extLst>
        </c:ser>
        <c:ser>
          <c:idx val="0"/>
          <c:order val="6"/>
          <c:tx>
            <c:strRef>
              <c:f>Profile!$U$191</c:f>
              <c:strCache>
                <c:ptCount val="1"/>
                <c:pt idx="0">
                  <c:v>Klimakälte</c:v>
                </c:pt>
              </c:strCache>
            </c:strRef>
          </c:tx>
          <c:invertIfNegative val="0"/>
          <c:val>
            <c:numRef>
              <c:f>Profile!$U$198:$U$221</c:f>
              <c:numCache>
                <c:formatCode>0.0</c:formatCode>
                <c:ptCount val="24"/>
                <c:pt idx="0">
                  <c:v>0</c:v>
                </c:pt>
                <c:pt idx="1">
                  <c:v>0</c:v>
                </c:pt>
                <c:pt idx="2">
                  <c:v>0</c:v>
                </c:pt>
                <c:pt idx="3">
                  <c:v>0</c:v>
                </c:pt>
                <c:pt idx="4">
                  <c:v>0</c:v>
                </c:pt>
                <c:pt idx="5">
                  <c:v>0</c:v>
                </c:pt>
                <c:pt idx="6">
                  <c:v>-8.6247761344537821</c:v>
                </c:pt>
                <c:pt idx="7">
                  <c:v>-4.9625657142857129</c:v>
                </c:pt>
                <c:pt idx="8">
                  <c:v>-9.3974873949579845</c:v>
                </c:pt>
                <c:pt idx="9">
                  <c:v>-12.454184873949581</c:v>
                </c:pt>
                <c:pt idx="10">
                  <c:v>-15.53424705882353</c:v>
                </c:pt>
                <c:pt idx="11">
                  <c:v>-18.932087394957986</c:v>
                </c:pt>
                <c:pt idx="12">
                  <c:v>-25.955564369747908</c:v>
                </c:pt>
                <c:pt idx="13">
                  <c:v>-24.810433613445383</c:v>
                </c:pt>
                <c:pt idx="14">
                  <c:v>-29.66646050420168</c:v>
                </c:pt>
                <c:pt idx="15">
                  <c:v>-32.898191596638654</c:v>
                </c:pt>
                <c:pt idx="16">
                  <c:v>-32.731361344537824</c:v>
                </c:pt>
                <c:pt idx="17">
                  <c:v>-27.982874621848744</c:v>
                </c:pt>
                <c:pt idx="18">
                  <c:v>-21.395595294117644</c:v>
                </c:pt>
                <c:pt idx="19">
                  <c:v>-18.411955798319326</c:v>
                </c:pt>
                <c:pt idx="20">
                  <c:v>-9.6389541176470583</c:v>
                </c:pt>
                <c:pt idx="21">
                  <c:v>-6.7526294117647057</c:v>
                </c:pt>
                <c:pt idx="22">
                  <c:v>0</c:v>
                </c:pt>
                <c:pt idx="23">
                  <c:v>0</c:v>
                </c:pt>
              </c:numCache>
            </c:numRef>
          </c:val>
          <c:extLst>
            <c:ext xmlns:c16="http://schemas.microsoft.com/office/drawing/2014/chart" uri="{C3380CC4-5D6E-409C-BE32-E72D297353CC}">
              <c16:uniqueId val="{00000006-AB9C-4676-A14C-8AAA070AD8C4}"/>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rich>
              <a:bodyPr/>
              <a:lstStyle/>
              <a:p>
                <a:pPr>
                  <a:defRPr/>
                </a:pPr>
                <a:r>
                  <a:rPr lang="de-CH"/>
                  <a:t>Wärmebilanz, W/m2</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81019337121958135"/>
          <c:y val="0.23491948839684595"/>
          <c:w val="0.17468870255703936"/>
          <c:h val="0.51381544779321131"/>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Profile!$C$91</c:f>
              <c:strCache>
                <c:ptCount val="1"/>
                <c:pt idx="0">
                  <c:v>Personen</c:v>
                </c:pt>
              </c:strCache>
            </c:strRef>
          </c:tx>
          <c:spPr>
            <a:solidFill>
              <a:srgbClr val="92D050"/>
            </a:solidFill>
          </c:spPr>
          <c:invertIfNegative val="0"/>
          <c:val>
            <c:numRef>
              <c:f>Profile!$C$98:$C$121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C587-4543-852E-A5C02F34981C}"/>
            </c:ext>
          </c:extLst>
        </c:ser>
        <c:ser>
          <c:idx val="2"/>
          <c:order val="1"/>
          <c:tx>
            <c:strRef>
              <c:f>Profile!$D$231</c:f>
              <c:strCache>
                <c:ptCount val="1"/>
                <c:pt idx="0">
                  <c:v>Geräte</c:v>
                </c:pt>
              </c:strCache>
            </c:strRef>
          </c:tx>
          <c:spPr>
            <a:solidFill>
              <a:srgbClr val="00B050"/>
            </a:solidFill>
          </c:spPr>
          <c:invertIfNegative val="0"/>
          <c:val>
            <c:numRef>
              <c:f>Profile!$D$238:$D$261</c:f>
              <c:numCache>
                <c:formatCode>0.0</c:formatCode>
                <c:ptCount val="24"/>
                <c:pt idx="0">
                  <c:v>2</c:v>
                </c:pt>
                <c:pt idx="1">
                  <c:v>2</c:v>
                </c:pt>
                <c:pt idx="2">
                  <c:v>2</c:v>
                </c:pt>
                <c:pt idx="3">
                  <c:v>2</c:v>
                </c:pt>
                <c:pt idx="4">
                  <c:v>2</c:v>
                </c:pt>
                <c:pt idx="5">
                  <c:v>2</c:v>
                </c:pt>
                <c:pt idx="6">
                  <c:v>8</c:v>
                </c:pt>
                <c:pt idx="7">
                  <c:v>2</c:v>
                </c:pt>
                <c:pt idx="8">
                  <c:v>2</c:v>
                </c:pt>
                <c:pt idx="9">
                  <c:v>2</c:v>
                </c:pt>
                <c:pt idx="10">
                  <c:v>2</c:v>
                </c:pt>
                <c:pt idx="11">
                  <c:v>2</c:v>
                </c:pt>
                <c:pt idx="12">
                  <c:v>8</c:v>
                </c:pt>
                <c:pt idx="13">
                  <c:v>2</c:v>
                </c:pt>
                <c:pt idx="14">
                  <c:v>2</c:v>
                </c:pt>
                <c:pt idx="15">
                  <c:v>2</c:v>
                </c:pt>
                <c:pt idx="16">
                  <c:v>2</c:v>
                </c:pt>
                <c:pt idx="17">
                  <c:v>2</c:v>
                </c:pt>
                <c:pt idx="18">
                  <c:v>8</c:v>
                </c:pt>
                <c:pt idx="19">
                  <c:v>10</c:v>
                </c:pt>
                <c:pt idx="20">
                  <c:v>2</c:v>
                </c:pt>
                <c:pt idx="21">
                  <c:v>2</c:v>
                </c:pt>
                <c:pt idx="22">
                  <c:v>2</c:v>
                </c:pt>
                <c:pt idx="23">
                  <c:v>2</c:v>
                </c:pt>
              </c:numCache>
            </c:numRef>
          </c:val>
          <c:extLst>
            <c:ext xmlns:c16="http://schemas.microsoft.com/office/drawing/2014/chart" uri="{C3380CC4-5D6E-409C-BE32-E72D297353CC}">
              <c16:uniqueId val="{00000001-C587-4543-852E-A5C02F34981C}"/>
            </c:ext>
          </c:extLst>
        </c:ser>
        <c:ser>
          <c:idx val="4"/>
          <c:order val="2"/>
          <c:tx>
            <c:strRef>
              <c:f>Profile!$F$231</c:f>
              <c:strCache>
                <c:ptCount val="1"/>
                <c:pt idx="0">
                  <c:v>Beleuchtung</c:v>
                </c:pt>
              </c:strCache>
            </c:strRef>
          </c:tx>
          <c:spPr>
            <a:solidFill>
              <a:srgbClr val="FFFF00"/>
            </a:solidFill>
          </c:spPr>
          <c:invertIfNegative val="0"/>
          <c:val>
            <c:numRef>
              <c:f>Profile!$F$238:$F$261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2.9791666666666674</c:v>
                </c:pt>
                <c:pt idx="20">
                  <c:v>2.9791666666666674</c:v>
                </c:pt>
                <c:pt idx="21">
                  <c:v>2.9791666666666674</c:v>
                </c:pt>
                <c:pt idx="22">
                  <c:v>0</c:v>
                </c:pt>
                <c:pt idx="23">
                  <c:v>0</c:v>
                </c:pt>
              </c:numCache>
            </c:numRef>
          </c:val>
          <c:extLst>
            <c:ext xmlns:c16="http://schemas.microsoft.com/office/drawing/2014/chart" uri="{C3380CC4-5D6E-409C-BE32-E72D297353CC}">
              <c16:uniqueId val="{00000002-C587-4543-852E-A5C02F34981C}"/>
            </c:ext>
          </c:extLst>
        </c:ser>
        <c:ser>
          <c:idx val="5"/>
          <c:order val="3"/>
          <c:tx>
            <c:strRef>
              <c:f>Profile!$H$231</c:f>
              <c:strCache>
                <c:ptCount val="1"/>
                <c:pt idx="0">
                  <c:v>Solarstrahlung</c:v>
                </c:pt>
              </c:strCache>
            </c:strRef>
          </c:tx>
          <c:spPr>
            <a:solidFill>
              <a:schemeClr val="accent6"/>
            </a:solidFill>
          </c:spPr>
          <c:invertIfNegative val="0"/>
          <c:val>
            <c:numRef>
              <c:f>Profile!$J$238:$J$261</c:f>
              <c:numCache>
                <c:formatCode>0.0</c:formatCode>
                <c:ptCount val="24"/>
                <c:pt idx="0">
                  <c:v>0</c:v>
                </c:pt>
                <c:pt idx="1">
                  <c:v>0</c:v>
                </c:pt>
                <c:pt idx="2">
                  <c:v>0</c:v>
                </c:pt>
                <c:pt idx="3">
                  <c:v>0</c:v>
                </c:pt>
                <c:pt idx="4">
                  <c:v>0</c:v>
                </c:pt>
                <c:pt idx="5">
                  <c:v>1.5088235294117649</c:v>
                </c:pt>
                <c:pt idx="6">
                  <c:v>4.605882352941177</c:v>
                </c:pt>
                <c:pt idx="7">
                  <c:v>6.4323529411764717</c:v>
                </c:pt>
                <c:pt idx="8">
                  <c:v>8.5764705882352956</c:v>
                </c:pt>
                <c:pt idx="9">
                  <c:v>9.6882352941176482</c:v>
                </c:pt>
                <c:pt idx="10">
                  <c:v>10.402941176470589</c:v>
                </c:pt>
                <c:pt idx="11">
                  <c:v>11.83235294117647</c:v>
                </c:pt>
                <c:pt idx="12">
                  <c:v>6.0257647058823531</c:v>
                </c:pt>
                <c:pt idx="13">
                  <c:v>10.850823529411766</c:v>
                </c:pt>
                <c:pt idx="14">
                  <c:v>12.852000000000004</c:v>
                </c:pt>
                <c:pt idx="15">
                  <c:v>13.363411764705884</c:v>
                </c:pt>
                <c:pt idx="16">
                  <c:v>9.6501176470588259</c:v>
                </c:pt>
                <c:pt idx="17">
                  <c:v>4.447058823529412</c:v>
                </c:pt>
                <c:pt idx="18">
                  <c:v>1.5088235294117649</c:v>
                </c:pt>
                <c:pt idx="19">
                  <c:v>0</c:v>
                </c:pt>
                <c:pt idx="20">
                  <c:v>0</c:v>
                </c:pt>
                <c:pt idx="21">
                  <c:v>0</c:v>
                </c:pt>
                <c:pt idx="22">
                  <c:v>0</c:v>
                </c:pt>
                <c:pt idx="23">
                  <c:v>0</c:v>
                </c:pt>
              </c:numCache>
            </c:numRef>
          </c:val>
          <c:extLst>
            <c:ext xmlns:c16="http://schemas.microsoft.com/office/drawing/2014/chart" uri="{C3380CC4-5D6E-409C-BE32-E72D297353CC}">
              <c16:uniqueId val="{00000003-C587-4543-852E-A5C02F34981C}"/>
            </c:ext>
          </c:extLst>
        </c:ser>
        <c:ser>
          <c:idx val="6"/>
          <c:order val="4"/>
          <c:tx>
            <c:strRef>
              <c:f>Profile!$K$231</c:f>
              <c:strCache>
                <c:ptCount val="1"/>
                <c:pt idx="0">
                  <c:v>Lüftung</c:v>
                </c:pt>
              </c:strCache>
            </c:strRef>
          </c:tx>
          <c:spPr>
            <a:solidFill>
              <a:srgbClr val="00B0F0"/>
            </a:solidFill>
          </c:spPr>
          <c:invertIfNegative val="0"/>
          <c:val>
            <c:numRef>
              <c:f>Profile!$O$238:$O$261</c:f>
              <c:numCache>
                <c:formatCode>0.00</c:formatCode>
                <c:ptCount val="24"/>
                <c:pt idx="0">
                  <c:v>-3.9456000000000002</c:v>
                </c:pt>
                <c:pt idx="1">
                  <c:v>-4.039542857142858</c:v>
                </c:pt>
                <c:pt idx="2">
                  <c:v>-3.9456000000000002</c:v>
                </c:pt>
                <c:pt idx="3">
                  <c:v>-4.1648000000000005</c:v>
                </c:pt>
                <c:pt idx="4">
                  <c:v>-4.1021714285714284</c:v>
                </c:pt>
                <c:pt idx="5">
                  <c:v>-3.9456000000000002</c:v>
                </c:pt>
                <c:pt idx="6">
                  <c:v>-3.0374857142857143</c:v>
                </c:pt>
                <c:pt idx="7">
                  <c:v>-1.9728000000000003</c:v>
                </c:pt>
                <c:pt idx="8">
                  <c:v>-1.2212571428571426</c:v>
                </c:pt>
                <c:pt idx="9">
                  <c:v>-0.87680000000000025</c:v>
                </c:pt>
                <c:pt idx="10">
                  <c:v>-0.90811428571428521</c:v>
                </c:pt>
                <c:pt idx="11">
                  <c:v>-0.53234285714285701</c:v>
                </c:pt>
                <c:pt idx="12">
                  <c:v>-0.43839999999999957</c:v>
                </c:pt>
                <c:pt idx="13">
                  <c:v>-0.62628571428571433</c:v>
                </c:pt>
                <c:pt idx="14">
                  <c:v>-0.50102857142857193</c:v>
                </c:pt>
                <c:pt idx="15">
                  <c:v>-0.68891428571428548</c:v>
                </c:pt>
                <c:pt idx="16">
                  <c:v>-0.87680000000000025</c:v>
                </c:pt>
                <c:pt idx="17">
                  <c:v>-1.3151999999999999</c:v>
                </c:pt>
                <c:pt idx="18">
                  <c:v>-1.5970285714285719</c:v>
                </c:pt>
                <c:pt idx="19">
                  <c:v>-1.9101714285714291</c:v>
                </c:pt>
                <c:pt idx="20">
                  <c:v>-2.2233142857142862</c:v>
                </c:pt>
                <c:pt idx="21">
                  <c:v>-2.693028571428572</c:v>
                </c:pt>
                <c:pt idx="22">
                  <c:v>-2.8496000000000006</c:v>
                </c:pt>
                <c:pt idx="23">
                  <c:v>-3.0374857142857143</c:v>
                </c:pt>
              </c:numCache>
            </c:numRef>
          </c:val>
          <c:extLst>
            <c:ext xmlns:c16="http://schemas.microsoft.com/office/drawing/2014/chart" uri="{C3380CC4-5D6E-409C-BE32-E72D297353CC}">
              <c16:uniqueId val="{00000004-C587-4543-852E-A5C02F34981C}"/>
            </c:ext>
          </c:extLst>
        </c:ser>
        <c:ser>
          <c:idx val="7"/>
          <c:order val="5"/>
          <c:tx>
            <c:strRef>
              <c:f>Profile!$P$231</c:f>
              <c:strCache>
                <c:ptCount val="1"/>
                <c:pt idx="0">
                  <c:v>Transmission</c:v>
                </c:pt>
              </c:strCache>
            </c:strRef>
          </c:tx>
          <c:spPr>
            <a:solidFill>
              <a:schemeClr val="accent2">
                <a:lumMod val="60000"/>
                <a:lumOff val="40000"/>
              </a:schemeClr>
            </a:solidFill>
          </c:spPr>
          <c:invertIfNegative val="0"/>
          <c:val>
            <c:numRef>
              <c:f>Profile!$P$238:$P$261</c:f>
              <c:numCache>
                <c:formatCode>0.0</c:formatCode>
                <c:ptCount val="24"/>
                <c:pt idx="0">
                  <c:v>-5.8252764705882365</c:v>
                </c:pt>
                <c:pt idx="1">
                  <c:v>-5.9639735294117662</c:v>
                </c:pt>
                <c:pt idx="2">
                  <c:v>-5.8252764705882365</c:v>
                </c:pt>
                <c:pt idx="3">
                  <c:v>-6.1489029411764724</c:v>
                </c:pt>
                <c:pt idx="4">
                  <c:v>-6.0564382352941184</c:v>
                </c:pt>
                <c:pt idx="5">
                  <c:v>-5.8252764705882365</c:v>
                </c:pt>
                <c:pt idx="6">
                  <c:v>-4.4845382352941181</c:v>
                </c:pt>
                <c:pt idx="7">
                  <c:v>-2.9126382352941187</c:v>
                </c:pt>
                <c:pt idx="8">
                  <c:v>-1.803061764705882</c:v>
                </c:pt>
                <c:pt idx="9">
                  <c:v>-1.2945058823529418</c:v>
                </c:pt>
                <c:pt idx="10">
                  <c:v>-1.3407382352941173</c:v>
                </c:pt>
                <c:pt idx="11">
                  <c:v>-0.78594999999999982</c:v>
                </c:pt>
                <c:pt idx="12">
                  <c:v>-0.64725294117647003</c:v>
                </c:pt>
                <c:pt idx="13">
                  <c:v>-0.9246470588235296</c:v>
                </c:pt>
                <c:pt idx="14">
                  <c:v>-0.73971764705882437</c:v>
                </c:pt>
                <c:pt idx="15">
                  <c:v>-1.0171117647058823</c:v>
                </c:pt>
                <c:pt idx="16">
                  <c:v>-1.2945058823529418</c:v>
                </c:pt>
                <c:pt idx="17">
                  <c:v>-1.9417588235294119</c:v>
                </c:pt>
                <c:pt idx="18">
                  <c:v>-2.3578500000000013</c:v>
                </c:pt>
                <c:pt idx="19">
                  <c:v>-2.820173529411766</c:v>
                </c:pt>
                <c:pt idx="20">
                  <c:v>-3.2824970588235307</c:v>
                </c:pt>
                <c:pt idx="21">
                  <c:v>-3.9759823529411777</c:v>
                </c:pt>
                <c:pt idx="22">
                  <c:v>-4.2071441176470605</c:v>
                </c:pt>
                <c:pt idx="23">
                  <c:v>-4.4845382352941181</c:v>
                </c:pt>
              </c:numCache>
            </c:numRef>
          </c:val>
          <c:extLst>
            <c:ext xmlns:c16="http://schemas.microsoft.com/office/drawing/2014/chart" uri="{C3380CC4-5D6E-409C-BE32-E72D297353CC}">
              <c16:uniqueId val="{00000005-C587-4543-852E-A5C02F34981C}"/>
            </c:ext>
          </c:extLst>
        </c:ser>
        <c:ser>
          <c:idx val="0"/>
          <c:order val="6"/>
          <c:tx>
            <c:strRef>
              <c:f>Profile!$U$231</c:f>
              <c:strCache>
                <c:ptCount val="1"/>
                <c:pt idx="0">
                  <c:v>Klimakälte</c:v>
                </c:pt>
              </c:strCache>
            </c:strRef>
          </c:tx>
          <c:invertIfNegative val="0"/>
          <c:val>
            <c:numRef>
              <c:f>Profile!$U$238:$U$261</c:f>
              <c:numCache>
                <c:formatCode>0.0</c:formatCode>
                <c:ptCount val="24"/>
                <c:pt idx="0">
                  <c:v>0</c:v>
                </c:pt>
                <c:pt idx="1">
                  <c:v>0</c:v>
                </c:pt>
                <c:pt idx="2">
                  <c:v>0</c:v>
                </c:pt>
                <c:pt idx="3">
                  <c:v>0</c:v>
                </c:pt>
                <c:pt idx="4">
                  <c:v>0</c:v>
                </c:pt>
                <c:pt idx="5">
                  <c:v>0</c:v>
                </c:pt>
                <c:pt idx="6">
                  <c:v>-6.523858403361344</c:v>
                </c:pt>
                <c:pt idx="7">
                  <c:v>-4.5069147058823535</c:v>
                </c:pt>
                <c:pt idx="8">
                  <c:v>-7.5521516806722708</c:v>
                </c:pt>
                <c:pt idx="9">
                  <c:v>-9.5169294117647052</c:v>
                </c:pt>
                <c:pt idx="10">
                  <c:v>-10.154088655462187</c:v>
                </c:pt>
                <c:pt idx="11">
                  <c:v>-12.514060084033613</c:v>
                </c:pt>
                <c:pt idx="12">
                  <c:v>-14.860111764705884</c:v>
                </c:pt>
                <c:pt idx="13">
                  <c:v>-12.259890756302523</c:v>
                </c:pt>
                <c:pt idx="14">
                  <c:v>-13.611253781512607</c:v>
                </c:pt>
                <c:pt idx="15">
                  <c:v>-13.657385714285716</c:v>
                </c:pt>
                <c:pt idx="16">
                  <c:v>-9.4788117647058829</c:v>
                </c:pt>
                <c:pt idx="17">
                  <c:v>-4.1501000000000001</c:v>
                </c:pt>
                <c:pt idx="18">
                  <c:v>-7.4739449579831927</c:v>
                </c:pt>
                <c:pt idx="19">
                  <c:v>-10.168821708683472</c:v>
                </c:pt>
                <c:pt idx="20">
                  <c:v>-1.3933553221288508</c:v>
                </c:pt>
                <c:pt idx="21">
                  <c:v>-0.71015574229691847</c:v>
                </c:pt>
                <c:pt idx="22">
                  <c:v>0</c:v>
                </c:pt>
                <c:pt idx="23">
                  <c:v>0</c:v>
                </c:pt>
              </c:numCache>
            </c:numRef>
          </c:val>
          <c:extLst>
            <c:ext xmlns:c16="http://schemas.microsoft.com/office/drawing/2014/chart" uri="{C3380CC4-5D6E-409C-BE32-E72D297353CC}">
              <c16:uniqueId val="{00000006-C587-4543-852E-A5C02F34981C}"/>
            </c:ext>
          </c:extLst>
        </c:ser>
        <c:ser>
          <c:idx val="3"/>
          <c:order val="7"/>
          <c:tx>
            <c:strRef>
              <c:f>Profile!$Z$231</c:f>
              <c:strCache>
                <c:ptCount val="1"/>
                <c:pt idx="0">
                  <c:v>Heizwärme</c:v>
                </c:pt>
              </c:strCache>
            </c:strRef>
          </c:tx>
          <c:spPr>
            <a:solidFill>
              <a:srgbClr val="FF0000"/>
            </a:solidFill>
          </c:spPr>
          <c:invertIfNegative val="0"/>
          <c:val>
            <c:numRef>
              <c:f>Profile!$Z$238:$Z$261</c:f>
              <c:numCache>
                <c:formatCode>0.0</c:formatCode>
                <c:ptCount val="24"/>
                <c:pt idx="0">
                  <c:v>5.3708764705882359</c:v>
                </c:pt>
                <c:pt idx="1">
                  <c:v>5.6035163865546238</c:v>
                </c:pt>
                <c:pt idx="2">
                  <c:v>5.3708764705882359</c:v>
                </c:pt>
                <c:pt idx="3">
                  <c:v>5.9137029411764725</c:v>
                </c:pt>
                <c:pt idx="4">
                  <c:v>5.7586096638655464</c:v>
                </c:pt>
                <c:pt idx="5">
                  <c:v>3.8620529411764717</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2.6567441176470608</c:v>
                </c:pt>
                <c:pt idx="23">
                  <c:v>3.1220239495798321</c:v>
                </c:pt>
              </c:numCache>
            </c:numRef>
          </c:val>
          <c:extLst>
            <c:ext xmlns:c16="http://schemas.microsoft.com/office/drawing/2014/chart" uri="{C3380CC4-5D6E-409C-BE32-E72D297353CC}">
              <c16:uniqueId val="{00000008-C587-4543-852E-A5C02F34981C}"/>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rich>
              <a:bodyPr/>
              <a:lstStyle/>
              <a:p>
                <a:pPr>
                  <a:defRPr/>
                </a:pPr>
                <a:r>
                  <a:rPr lang="de-CH"/>
                  <a:t>Wärmebilanz, W/m2</a:t>
                </a:r>
              </a:p>
            </c:rich>
          </c:tx>
          <c:layout>
            <c:manualLayout>
              <c:xMode val="edge"/>
              <c:yMode val="edge"/>
              <c:x val="1.0377036203807857E-2"/>
              <c:y val="0.1586186726659167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81019337121958135"/>
          <c:y val="0.23491948839684595"/>
          <c:w val="0.15207196207920695"/>
          <c:h val="0.57582918666826499"/>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Profile!$I$587</c:f>
              <c:strCache>
                <c:ptCount val="1"/>
                <c:pt idx="0">
                  <c:v>Personen</c:v>
                </c:pt>
              </c:strCache>
            </c:strRef>
          </c:tx>
          <c:spPr>
            <a:solidFill>
              <a:srgbClr val="92D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Profile!$I$589:$I$600</c:f>
              <c:numCache>
                <c:formatCode>0.0</c:formatCode>
                <c:ptCount val="12"/>
                <c:pt idx="0">
                  <c:v>0.8332322164976983</c:v>
                </c:pt>
                <c:pt idx="1">
                  <c:v>0.83182268474628296</c:v>
                </c:pt>
                <c:pt idx="2">
                  <c:v>0.77915684604889823</c:v>
                </c:pt>
                <c:pt idx="3">
                  <c:v>0.80483487239264684</c:v>
                </c:pt>
                <c:pt idx="4">
                  <c:v>0.60889524382520754</c:v>
                </c:pt>
                <c:pt idx="5">
                  <c:v>0.49308195479587952</c:v>
                </c:pt>
                <c:pt idx="6">
                  <c:v>0.37161938881533613</c:v>
                </c:pt>
                <c:pt idx="7">
                  <c:v>0.3746298166342017</c:v>
                </c:pt>
                <c:pt idx="8">
                  <c:v>0.61586824701300269</c:v>
                </c:pt>
                <c:pt idx="9">
                  <c:v>0.70871496969460168</c:v>
                </c:pt>
                <c:pt idx="10">
                  <c:v>0.83279477316029471</c:v>
                </c:pt>
                <c:pt idx="11">
                  <c:v>0.83324904027354807</c:v>
                </c:pt>
              </c:numCache>
            </c:numRef>
          </c:val>
          <c:extLst>
            <c:ext xmlns:c16="http://schemas.microsoft.com/office/drawing/2014/chart" uri="{C3380CC4-5D6E-409C-BE32-E72D297353CC}">
              <c16:uniqueId val="{00000000-485C-448F-9288-8DC57B280962}"/>
            </c:ext>
          </c:extLst>
        </c:ser>
        <c:ser>
          <c:idx val="2"/>
          <c:order val="1"/>
          <c:tx>
            <c:strRef>
              <c:f>Profile!$K$587</c:f>
              <c:strCache>
                <c:ptCount val="1"/>
                <c:pt idx="0">
                  <c:v>Geräte+Bel.</c:v>
                </c:pt>
              </c:strCache>
            </c:strRef>
          </c:tx>
          <c:spPr>
            <a:solidFill>
              <a:srgbClr val="00B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Profile!$K$589:$K$600</c:f>
              <c:numCache>
                <c:formatCode>0.0</c:formatCode>
                <c:ptCount val="12"/>
                <c:pt idx="0">
                  <c:v>2.0484623210214519</c:v>
                </c:pt>
                <c:pt idx="1">
                  <c:v>2.0449970533254977</c:v>
                </c:pt>
                <c:pt idx="2">
                  <c:v>1.9155205592095454</c:v>
                </c:pt>
                <c:pt idx="3">
                  <c:v>1.9786487825330017</c:v>
                </c:pt>
                <c:pt idx="4">
                  <c:v>1.4969403963613461</c:v>
                </c:pt>
                <c:pt idx="5">
                  <c:v>1.2122188575719242</c:v>
                </c:pt>
                <c:pt idx="6">
                  <c:v>0.9136088363805358</c:v>
                </c:pt>
                <c:pt idx="7">
                  <c:v>0.92100983196736197</c:v>
                </c:pt>
                <c:pt idx="8">
                  <c:v>1.5140831976258005</c:v>
                </c:pt>
                <c:pt idx="9">
                  <c:v>1.7423425103093839</c:v>
                </c:pt>
                <c:pt idx="10">
                  <c:v>2.0473868870949774</c:v>
                </c:pt>
                <c:pt idx="11">
                  <c:v>2.0485036814852493</c:v>
                </c:pt>
              </c:numCache>
            </c:numRef>
          </c:val>
          <c:extLst>
            <c:ext xmlns:c16="http://schemas.microsoft.com/office/drawing/2014/chart" uri="{C3380CC4-5D6E-409C-BE32-E72D297353CC}">
              <c16:uniqueId val="{00000001-485C-448F-9288-8DC57B280962}"/>
            </c:ext>
          </c:extLst>
        </c:ser>
        <c:ser>
          <c:idx val="5"/>
          <c:order val="2"/>
          <c:tx>
            <c:strRef>
              <c:f>Profile!$N$587</c:f>
              <c:strCache>
                <c:ptCount val="1"/>
                <c:pt idx="0">
                  <c:v>Solarstrahlung</c:v>
                </c:pt>
              </c:strCache>
            </c:strRef>
          </c:tx>
          <c:spPr>
            <a:solidFill>
              <a:schemeClr val="accent6"/>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Profile!$N$589:$N$600</c:f>
              <c:numCache>
                <c:formatCode>0.0</c:formatCode>
                <c:ptCount val="12"/>
                <c:pt idx="0">
                  <c:v>2.9557128511996074</c:v>
                </c:pt>
                <c:pt idx="1">
                  <c:v>3.7214214165562365</c:v>
                </c:pt>
                <c:pt idx="2">
                  <c:v>5.300897448351698</c:v>
                </c:pt>
                <c:pt idx="3">
                  <c:v>3.856352709889967</c:v>
                </c:pt>
                <c:pt idx="4">
                  <c:v>3.1915316830174771</c:v>
                </c:pt>
                <c:pt idx="5">
                  <c:v>2.4409118946008577</c:v>
                </c:pt>
                <c:pt idx="6">
                  <c:v>1.9478474589106904</c:v>
                </c:pt>
                <c:pt idx="7">
                  <c:v>1.8545362826613883</c:v>
                </c:pt>
                <c:pt idx="8">
                  <c:v>2.5433363582512096</c:v>
                </c:pt>
                <c:pt idx="9">
                  <c:v>3.5646475438480083</c:v>
                </c:pt>
                <c:pt idx="10">
                  <c:v>2.6896093730292958</c:v>
                </c:pt>
                <c:pt idx="11">
                  <c:v>2.2940324112979726</c:v>
                </c:pt>
              </c:numCache>
            </c:numRef>
          </c:val>
          <c:extLst>
            <c:ext xmlns:c16="http://schemas.microsoft.com/office/drawing/2014/chart" uri="{C3380CC4-5D6E-409C-BE32-E72D297353CC}">
              <c16:uniqueId val="{00000002-485C-448F-9288-8DC57B280962}"/>
            </c:ext>
          </c:extLst>
        </c:ser>
        <c:ser>
          <c:idx val="6"/>
          <c:order val="3"/>
          <c:tx>
            <c:strRef>
              <c:f>Profile!$Q$587</c:f>
              <c:strCache>
                <c:ptCount val="1"/>
                <c:pt idx="0">
                  <c:v>Lüftung</c:v>
                </c:pt>
              </c:strCache>
            </c:strRef>
          </c:tx>
          <c:spPr>
            <a:solidFill>
              <a:srgbClr val="00B0F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Profile!$Q$589:$Q$600</c:f>
              <c:numCache>
                <c:formatCode>0.0</c:formatCode>
                <c:ptCount val="12"/>
                <c:pt idx="0">
                  <c:v>-1.6362621942857145</c:v>
                </c:pt>
                <c:pt idx="1">
                  <c:v>-1.4588032800000001</c:v>
                </c:pt>
                <c:pt idx="2">
                  <c:v>-1.4317294200000004</c:v>
                </c:pt>
                <c:pt idx="3">
                  <c:v>-1.2217363714285716</c:v>
                </c:pt>
                <c:pt idx="4">
                  <c:v>-0.90276534857142865</c:v>
                </c:pt>
                <c:pt idx="5">
                  <c:v>-0.6961849714285715</c:v>
                </c:pt>
                <c:pt idx="6">
                  <c:v>-0.5501226342857144</c:v>
                </c:pt>
                <c:pt idx="7">
                  <c:v>-0.53601692571428572</c:v>
                </c:pt>
                <c:pt idx="8">
                  <c:v>-0.78491442857142879</c:v>
                </c:pt>
                <c:pt idx="9">
                  <c:v>-1.0367695800000001</c:v>
                </c:pt>
                <c:pt idx="10">
                  <c:v>-1.3650685714285715</c:v>
                </c:pt>
                <c:pt idx="11">
                  <c:v>-1.5516279428571431</c:v>
                </c:pt>
              </c:numCache>
            </c:numRef>
          </c:val>
          <c:extLst>
            <c:ext xmlns:c16="http://schemas.microsoft.com/office/drawing/2014/chart" uri="{C3380CC4-5D6E-409C-BE32-E72D297353CC}">
              <c16:uniqueId val="{00000003-485C-448F-9288-8DC57B280962}"/>
            </c:ext>
          </c:extLst>
        </c:ser>
        <c:ser>
          <c:idx val="7"/>
          <c:order val="4"/>
          <c:tx>
            <c:strRef>
              <c:f>Profile!$T$587</c:f>
              <c:strCache>
                <c:ptCount val="1"/>
                <c:pt idx="0">
                  <c:v>Transmission</c:v>
                </c:pt>
              </c:strCache>
            </c:strRef>
          </c:tx>
          <c:spPr>
            <a:solidFill>
              <a:schemeClr val="accent2">
                <a:lumMod val="60000"/>
                <a:lumOff val="40000"/>
              </a:schemeClr>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Profile!$T$589:$T$600</c:f>
              <c:numCache>
                <c:formatCode>0.0</c:formatCode>
                <c:ptCount val="12"/>
                <c:pt idx="0">
                  <c:v>-8.3585839764705891</c:v>
                </c:pt>
                <c:pt idx="1">
                  <c:v>-7.1146043294117645</c:v>
                </c:pt>
                <c:pt idx="2">
                  <c:v>-6.9825647294117674</c:v>
                </c:pt>
                <c:pt idx="3">
                  <c:v>-5.9584256470588244</c:v>
                </c:pt>
                <c:pt idx="4">
                  <c:v>-4.4027994352941189</c:v>
                </c:pt>
                <c:pt idx="5">
                  <c:v>-3.3953040000000008</c:v>
                </c:pt>
                <c:pt idx="6">
                  <c:v>-2.6829559058823538</c:v>
                </c:pt>
                <c:pt idx="7">
                  <c:v>-2.6141621647058826</c:v>
                </c:pt>
                <c:pt idx="8">
                  <c:v>-3.828038823529412</c:v>
                </c:pt>
                <c:pt idx="9">
                  <c:v>-5.0563399764705883</c:v>
                </c:pt>
                <c:pt idx="10">
                  <c:v>-6.6574588235294136</c:v>
                </c:pt>
                <c:pt idx="11">
                  <c:v>-7.5673115294117661</c:v>
                </c:pt>
              </c:numCache>
            </c:numRef>
          </c:val>
          <c:extLst>
            <c:ext xmlns:c16="http://schemas.microsoft.com/office/drawing/2014/chart" uri="{C3380CC4-5D6E-409C-BE32-E72D297353CC}">
              <c16:uniqueId val="{00000004-485C-448F-9288-8DC57B280962}"/>
            </c:ext>
          </c:extLst>
        </c:ser>
        <c:ser>
          <c:idx val="0"/>
          <c:order val="5"/>
          <c:tx>
            <c:strRef>
              <c:f>Profile!$U$587</c:f>
              <c:strCache>
                <c:ptCount val="1"/>
                <c:pt idx="0">
                  <c:v>Klimakälte</c:v>
                </c:pt>
              </c:strCache>
            </c:strRef>
          </c:tx>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Profile!$U$589:$U$600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485C-448F-9288-8DC57B280962}"/>
            </c:ext>
          </c:extLst>
        </c:ser>
        <c:ser>
          <c:idx val="3"/>
          <c:order val="6"/>
          <c:tx>
            <c:strRef>
              <c:f>Profile!$V$587</c:f>
              <c:strCache>
                <c:ptCount val="1"/>
                <c:pt idx="0">
                  <c:v>Heizwärme</c:v>
                </c:pt>
              </c:strCache>
            </c:strRef>
          </c:tx>
          <c:spPr>
            <a:solidFill>
              <a:srgbClr val="FF0000"/>
            </a:solidFill>
          </c:spPr>
          <c:invertIfNegative val="0"/>
          <c:val>
            <c:numRef>
              <c:f>Profile!$V$589:$V$600</c:f>
              <c:numCache>
                <c:formatCode>0.0</c:formatCode>
                <c:ptCount val="12"/>
                <c:pt idx="0">
                  <c:v>4.1574387820375458</c:v>
                </c:pt>
                <c:pt idx="1">
                  <c:v>2.2535683649197273</c:v>
                </c:pt>
                <c:pt idx="2">
                  <c:v>0.41871929580162615</c:v>
                </c:pt>
                <c:pt idx="3">
                  <c:v>0.63011544899196359</c:v>
                </c:pt>
                <c:pt idx="4">
                  <c:v>8.1974606615167443E-3</c:v>
                </c:pt>
                <c:pt idx="5">
                  <c:v>2.8596808467846243E-4</c:v>
                </c:pt>
                <c:pt idx="6">
                  <c:v>2.8560615058144854E-6</c:v>
                </c:pt>
                <c:pt idx="7">
                  <c:v>3.1591572158262693E-6</c:v>
                </c:pt>
                <c:pt idx="8">
                  <c:v>8.3735603282085614E-3</c:v>
                </c:pt>
                <c:pt idx="9">
                  <c:v>7.7404532618595326E-2</c:v>
                </c:pt>
                <c:pt idx="10">
                  <c:v>2.5456454474881034</c:v>
                </c:pt>
                <c:pt idx="11">
                  <c:v>3.9431543392121386</c:v>
                </c:pt>
              </c:numCache>
            </c:numRef>
          </c:val>
          <c:extLst>
            <c:ext xmlns:c16="http://schemas.microsoft.com/office/drawing/2014/chart" uri="{C3380CC4-5D6E-409C-BE32-E72D297353CC}">
              <c16:uniqueId val="{00000006-485C-448F-9288-8DC57B280962}"/>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strRef>
              <c:f>Begriffe!$F$419</c:f>
              <c:strCache>
                <c:ptCount val="1"/>
                <c:pt idx="0">
                  <c:v>Wärmebilanz, kWh/m2</c:v>
                </c:pt>
              </c:strCache>
            </c:strRef>
          </c:tx>
          <c:layout>
            <c:manualLayout>
              <c:xMode val="edge"/>
              <c:yMode val="edge"/>
              <c:x val="1.2566358073110157E-2"/>
              <c:y val="0.25750630505486705"/>
            </c:manualLayout>
          </c:layout>
          <c:overlay val="0"/>
          <c:spPr>
            <a:noFill/>
            <a:ln w="25400">
              <a:noFill/>
            </a:ln>
          </c:spPr>
          <c:txPr>
            <a:bodyPr/>
            <a:lstStyle/>
            <a:p>
              <a:pPr>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78821934541729821"/>
          <c:y val="0.23491948839684595"/>
          <c:w val="0.19968423201766225"/>
          <c:h val="0.55831484707078716"/>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40180409145214"/>
          <c:y val="0.10489514155758657"/>
          <c:w val="0.7720812718324308"/>
          <c:h val="0.67254368079834503"/>
        </c:manualLayout>
      </c:layout>
      <c:barChart>
        <c:barDir val="col"/>
        <c:grouping val="clustered"/>
        <c:varyColors val="0"/>
        <c:ser>
          <c:idx val="0"/>
          <c:order val="0"/>
          <c:tx>
            <c:strRef>
              <c:f>Profile!$C$271</c:f>
              <c:strCache>
                <c:ptCount val="1"/>
                <c:pt idx="0">
                  <c:v>Personenprofil</c:v>
                </c:pt>
              </c:strCache>
            </c:strRef>
          </c:tx>
          <c:spPr>
            <a:solidFill>
              <a:schemeClr val="accent3"/>
            </a:solidFill>
          </c:spPr>
          <c:invertIfNegative val="0"/>
          <c:val>
            <c:numRef>
              <c:f>Profile!$C$278:$C$301</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8-BC8E-49D8-9E3E-EF1F35E7F60C}"/>
            </c:ext>
          </c:extLst>
        </c:ser>
        <c:ser>
          <c:idx val="1"/>
          <c:order val="2"/>
          <c:tx>
            <c:strRef>
              <c:f>Profile!$F$271</c:f>
              <c:strCache>
                <c:ptCount val="1"/>
                <c:pt idx="0">
                  <c:v>Aussenluft-Volumenstrom</c:v>
                </c:pt>
              </c:strCache>
            </c:strRef>
          </c:tx>
          <c:spPr>
            <a:solidFill>
              <a:schemeClr val="accent5"/>
            </a:solidFill>
          </c:spPr>
          <c:invertIfNegative val="0"/>
          <c:val>
            <c:numRef>
              <c:f>Profile!$F$278:$F$301</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7-BC8E-49D8-9E3E-EF1F35E7F60C}"/>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1"/>
          <c:tx>
            <c:strRef>
              <c:f>Profile!$J$271</c:f>
              <c:strCache>
                <c:ptCount val="1"/>
                <c:pt idx="0">
                  <c:v>CO2-Konzentration</c:v>
                </c:pt>
              </c:strCache>
            </c:strRef>
          </c:tx>
          <c:spPr>
            <a:ln w="19050">
              <a:solidFill>
                <a:sysClr val="windowText" lastClr="000000"/>
              </a:solidFill>
            </a:ln>
          </c:spPr>
          <c:marker>
            <c:symbol val="none"/>
          </c:marker>
          <c:val>
            <c:numRef>
              <c:f>Profile!$J$278:$J$301</c:f>
              <c:numCache>
                <c:formatCode>0</c:formatCode>
                <c:ptCount val="24"/>
                <c:pt idx="0">
                  <c:v>1044.6031985517793</c:v>
                </c:pt>
                <c:pt idx="1">
                  <c:v>1062.7831880301155</c:v>
                </c:pt>
                <c:pt idx="2">
                  <c:v>1075.0745033147591</c:v>
                </c:pt>
                <c:pt idx="3">
                  <c:v>1083.3845428561208</c:v>
                </c:pt>
                <c:pt idx="4">
                  <c:v>1089.0028803228417</c:v>
                </c:pt>
                <c:pt idx="5">
                  <c:v>1092.8013840162175</c:v>
                </c:pt>
                <c:pt idx="6">
                  <c:v>1004.5802389725177</c:v>
                </c:pt>
                <c:pt idx="7">
                  <c:v>899.54013659164707</c:v>
                </c:pt>
                <c:pt idx="8">
                  <c:v>737.73426126007712</c:v>
                </c:pt>
                <c:pt idx="9">
                  <c:v>628.3388718415091</c:v>
                </c:pt>
                <c:pt idx="10">
                  <c:v>554.37770571254839</c:v>
                </c:pt>
                <c:pt idx="11">
                  <c:v>504.3732756883042</c:v>
                </c:pt>
                <c:pt idx="12">
                  <c:v>652.14431694645225</c:v>
                </c:pt>
                <c:pt idx="13">
                  <c:v>661.26161391051744</c:v>
                </c:pt>
                <c:pt idx="14">
                  <c:v>576.63645362257273</c:v>
                </c:pt>
                <c:pt idx="15">
                  <c:v>519.42220015162843</c:v>
                </c:pt>
                <c:pt idx="16">
                  <c:v>480.7401960159886</c:v>
                </c:pt>
                <c:pt idx="17">
                  <c:v>545.37694335259403</c:v>
                </c:pt>
                <c:pt idx="18">
                  <c:v>679.86650059727879</c:v>
                </c:pt>
                <c:pt idx="19">
                  <c:v>770.79359120733488</c:v>
                </c:pt>
                <c:pt idx="20">
                  <c:v>832.26851889831812</c:v>
                </c:pt>
                <c:pt idx="21">
                  <c:v>919.22576207040936</c:v>
                </c:pt>
                <c:pt idx="22">
                  <c:v>978.01671425359018</c:v>
                </c:pt>
                <c:pt idx="23">
                  <c:v>1017.7647091591413</c:v>
                </c:pt>
              </c:numCache>
            </c:numRef>
          </c:val>
          <c:smooth val="0"/>
          <c:extLst>
            <c:ext xmlns:c16="http://schemas.microsoft.com/office/drawing/2014/chart" uri="{C3380CC4-5D6E-409C-BE32-E72D297353CC}">
              <c16:uniqueId val="{00000003-BC8E-49D8-9E3E-EF1F35E7F60C}"/>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Profile!$A$312</c:f>
              <c:strCache>
                <c:ptCount val="1"/>
                <c:pt idx="0">
                  <c:v>CO2-Konzentration, ppm</c:v>
                </c:pt>
              </c:strCache>
            </c:strRef>
          </c:tx>
          <c:layout>
            <c:manualLayout>
              <c:xMode val="edge"/>
              <c:yMode val="edge"/>
              <c:x val="9.6943529080510196E-3"/>
              <c:y val="0.24251393053721135"/>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2819289155531315"/>
              <c:y val="0.17963260050862392"/>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05854105895645"/>
          <c:y val="8.5117656723146778E-2"/>
          <c:w val="0.75558926461230813"/>
          <c:h val="0.70112777022665607"/>
        </c:manualLayout>
      </c:layout>
      <c:barChart>
        <c:barDir val="col"/>
        <c:grouping val="clustered"/>
        <c:varyColors val="0"/>
        <c:ser>
          <c:idx val="0"/>
          <c:order val="1"/>
          <c:tx>
            <c:strRef>
              <c:f>Profile!$C$271</c:f>
              <c:strCache>
                <c:ptCount val="1"/>
                <c:pt idx="0">
                  <c:v>Personenprofil</c:v>
                </c:pt>
              </c:strCache>
            </c:strRef>
          </c:tx>
          <c:spPr>
            <a:solidFill>
              <a:schemeClr val="accent3"/>
            </a:solidFill>
          </c:spPr>
          <c:invertIfNegative val="0"/>
          <c:val>
            <c:numRef>
              <c:f>Profile!$C$278:$C$301</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0-F27C-436A-83F6-F85C4F43B9CA}"/>
            </c:ext>
          </c:extLst>
        </c:ser>
        <c:ser>
          <c:idx val="1"/>
          <c:order val="2"/>
          <c:tx>
            <c:strRef>
              <c:f>Profile!$F$271</c:f>
              <c:strCache>
                <c:ptCount val="1"/>
                <c:pt idx="0">
                  <c:v>Aussenluft-Volumenstrom</c:v>
                </c:pt>
              </c:strCache>
            </c:strRef>
          </c:tx>
          <c:spPr>
            <a:solidFill>
              <a:schemeClr val="accent5"/>
            </a:solidFill>
          </c:spPr>
          <c:invertIfNegative val="0"/>
          <c:val>
            <c:numRef>
              <c:f>Profile!$F$278:$F$301</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1-F27C-436A-83F6-F85C4F43B9CA}"/>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0"/>
          <c:tx>
            <c:strRef>
              <c:f>Profile!$Y$271</c:f>
              <c:strCache>
                <c:ptCount val="1"/>
                <c:pt idx="0">
                  <c:v>Relative Raumluftfeuchte </c:v>
                </c:pt>
              </c:strCache>
            </c:strRef>
          </c:tx>
          <c:spPr>
            <a:ln w="19050">
              <a:solidFill>
                <a:schemeClr val="accent2"/>
              </a:solidFill>
            </a:ln>
          </c:spPr>
          <c:marker>
            <c:symbol val="none"/>
          </c:marker>
          <c:val>
            <c:numRef>
              <c:f>Profile!$Y$278:$Y$301</c:f>
              <c:numCache>
                <c:formatCode>0</c:formatCode>
                <c:ptCount val="24"/>
                <c:pt idx="0">
                  <c:v>35.45786495353908</c:v>
                </c:pt>
                <c:pt idx="1">
                  <c:v>35.704465944707806</c:v>
                </c:pt>
                <c:pt idx="2">
                  <c:v>35.871170288241245</c:v>
                </c:pt>
                <c:pt idx="3">
                  <c:v>35.9838682506076</c:v>
                </c:pt>
                <c:pt idx="4">
                  <c:v>36.060058033961973</c:v>
                </c:pt>
                <c:pt idx="5">
                  <c:v>36.11156728154446</c:v>
                </c:pt>
                <c:pt idx="6">
                  <c:v>34.914725912465833</c:v>
                </c:pt>
                <c:pt idx="7">
                  <c:v>33.488617880971354</c:v>
                </c:pt>
                <c:pt idx="8">
                  <c:v>31.289479854888295</c:v>
                </c:pt>
                <c:pt idx="9">
                  <c:v>29.801057206947011</c:v>
                </c:pt>
                <c:pt idx="10">
                  <c:v>28.794013615168961</c:v>
                </c:pt>
                <c:pt idx="11">
                  <c:v>28.112824699722488</c:v>
                </c:pt>
                <c:pt idx="12">
                  <c:v>30.125060323089691</c:v>
                </c:pt>
                <c:pt idx="13">
                  <c:v>30.249135051392557</c:v>
                </c:pt>
                <c:pt idx="14">
                  <c:v>29.097146221563424</c:v>
                </c:pt>
                <c:pt idx="15">
                  <c:v>28.317857332628961</c:v>
                </c:pt>
                <c:pt idx="16">
                  <c:v>27.790786205649741</c:v>
                </c:pt>
                <c:pt idx="17">
                  <c:v>28.67141876789044</c:v>
                </c:pt>
                <c:pt idx="18">
                  <c:v>30.502295813392482</c:v>
                </c:pt>
                <c:pt idx="19">
                  <c:v>31.739022928257491</c:v>
                </c:pt>
                <c:pt idx="20">
                  <c:v>32.574654850906064</c:v>
                </c:pt>
                <c:pt idx="21">
                  <c:v>33.755970965019173</c:v>
                </c:pt>
                <c:pt idx="22">
                  <c:v>34.554184202534572</c:v>
                </c:pt>
                <c:pt idx="23">
                  <c:v>35.093636901396408</c:v>
                </c:pt>
              </c:numCache>
            </c:numRef>
          </c:val>
          <c:smooth val="0"/>
          <c:extLst>
            <c:ext xmlns:c16="http://schemas.microsoft.com/office/drawing/2014/chart" uri="{C3380CC4-5D6E-409C-BE32-E72D297353CC}">
              <c16:uniqueId val="{00000002-F27C-436A-83F6-F85C4F43B9CA}"/>
            </c:ext>
          </c:extLst>
        </c:ser>
        <c:ser>
          <c:idx val="2"/>
          <c:order val="3"/>
          <c:tx>
            <c:strRef>
              <c:f>Profile!$AJ$271</c:f>
              <c:strCache>
                <c:ptCount val="1"/>
                <c:pt idx="0">
                  <c:v>Max. zulässige Raumluftfeuchte</c:v>
                </c:pt>
              </c:strCache>
            </c:strRef>
          </c:tx>
          <c:spPr>
            <a:ln w="19050">
              <a:solidFill>
                <a:schemeClr val="accent2">
                  <a:lumMod val="50000"/>
                </a:schemeClr>
              </a:solidFill>
            </a:ln>
          </c:spPr>
          <c:marker>
            <c:symbol val="none"/>
          </c:marker>
          <c:val>
            <c:numRef>
              <c:f>Profile!$AJ$278:$AJ$301</c:f>
              <c:numCache>
                <c:formatCode>0</c:formatCode>
                <c:ptCount val="24"/>
                <c:pt idx="0">
                  <c:v>46.104863498661693</c:v>
                </c:pt>
                <c:pt idx="1">
                  <c:v>46.104863498661693</c:v>
                </c:pt>
                <c:pt idx="2">
                  <c:v>46.104863498661693</c:v>
                </c:pt>
                <c:pt idx="3">
                  <c:v>46.104863498661693</c:v>
                </c:pt>
                <c:pt idx="4">
                  <c:v>46.104863498661693</c:v>
                </c:pt>
                <c:pt idx="5">
                  <c:v>46.104863498661693</c:v>
                </c:pt>
                <c:pt idx="6">
                  <c:v>46.104863498661693</c:v>
                </c:pt>
                <c:pt idx="7">
                  <c:v>46.104863498661693</c:v>
                </c:pt>
                <c:pt idx="8">
                  <c:v>46.104863498661693</c:v>
                </c:pt>
                <c:pt idx="9">
                  <c:v>46.104863498661693</c:v>
                </c:pt>
                <c:pt idx="10">
                  <c:v>46.104863498661693</c:v>
                </c:pt>
                <c:pt idx="11">
                  <c:v>46.104863498661693</c:v>
                </c:pt>
                <c:pt idx="12">
                  <c:v>46.104863498661693</c:v>
                </c:pt>
                <c:pt idx="13">
                  <c:v>46.104863498661693</c:v>
                </c:pt>
                <c:pt idx="14">
                  <c:v>46.104863498661693</c:v>
                </c:pt>
                <c:pt idx="15">
                  <c:v>46.104863498661693</c:v>
                </c:pt>
                <c:pt idx="16">
                  <c:v>46.104863498661693</c:v>
                </c:pt>
                <c:pt idx="17">
                  <c:v>46.104863498661693</c:v>
                </c:pt>
                <c:pt idx="18">
                  <c:v>46.104863498661693</c:v>
                </c:pt>
                <c:pt idx="19">
                  <c:v>46.104863498661693</c:v>
                </c:pt>
                <c:pt idx="20">
                  <c:v>46.104863498661693</c:v>
                </c:pt>
                <c:pt idx="21">
                  <c:v>46.104863498661693</c:v>
                </c:pt>
                <c:pt idx="22">
                  <c:v>46.104863498661693</c:v>
                </c:pt>
                <c:pt idx="23">
                  <c:v>46.104863498661693</c:v>
                </c:pt>
              </c:numCache>
            </c:numRef>
          </c:val>
          <c:smooth val="0"/>
          <c:extLst>
            <c:ext xmlns:c16="http://schemas.microsoft.com/office/drawing/2014/chart" uri="{C3380CC4-5D6E-409C-BE32-E72D297353CC}">
              <c16:uniqueId val="{00000003-F27C-436A-83F6-F85C4F43B9CA}"/>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Profile!$A$314</c:f>
              <c:strCache>
                <c:ptCount val="1"/>
                <c:pt idx="0">
                  <c:v>Relative Raumluftfeuchte, % r.F.</c:v>
                </c:pt>
              </c:strCache>
            </c:strRef>
          </c:tx>
          <c:layout>
            <c:manualLayout>
              <c:xMode val="edge"/>
              <c:yMode val="edge"/>
              <c:x val="3.7148937065278158E-2"/>
              <c:y val="0.11520318975993658"/>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2832356149440964"/>
              <c:y val="0.1806720439982577"/>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layout>
        <c:manualLayout>
          <c:xMode val="edge"/>
          <c:yMode val="edge"/>
          <c:x val="7.8617852922461581E-2"/>
          <c:y val="0.84808146115079097"/>
          <c:w val="0.70464373368654798"/>
          <c:h val="0.12525928919163348"/>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40180409145214"/>
          <c:y val="0.10489514155758657"/>
          <c:w val="0.7720812718324308"/>
          <c:h val="0.67254368079834503"/>
        </c:manualLayout>
      </c:layout>
      <c:barChart>
        <c:barDir val="col"/>
        <c:grouping val="clustered"/>
        <c:varyColors val="0"/>
        <c:ser>
          <c:idx val="0"/>
          <c:order val="0"/>
          <c:tx>
            <c:strRef>
              <c:f>Profile!$C$271</c:f>
              <c:strCache>
                <c:ptCount val="1"/>
                <c:pt idx="0">
                  <c:v>Personenprofil</c:v>
                </c:pt>
              </c:strCache>
            </c:strRef>
          </c:tx>
          <c:spPr>
            <a:solidFill>
              <a:schemeClr val="accent3"/>
            </a:solidFill>
          </c:spPr>
          <c:invertIfNegative val="0"/>
          <c:val>
            <c:numRef>
              <c:f>Profile!$C$339:$C$362</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0-738E-4F57-9123-9A2E900840ED}"/>
            </c:ext>
          </c:extLst>
        </c:ser>
        <c:ser>
          <c:idx val="1"/>
          <c:order val="2"/>
          <c:tx>
            <c:strRef>
              <c:f>Profile!$F$271</c:f>
              <c:strCache>
                <c:ptCount val="1"/>
                <c:pt idx="0">
                  <c:v>Aussenluft-Volumenstrom</c:v>
                </c:pt>
              </c:strCache>
            </c:strRef>
          </c:tx>
          <c:spPr>
            <a:solidFill>
              <a:schemeClr val="accent5"/>
            </a:solidFill>
          </c:spPr>
          <c:invertIfNegative val="0"/>
          <c:val>
            <c:numRef>
              <c:f>Profile!$F$339:$F$362</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1-738E-4F57-9123-9A2E900840ED}"/>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1"/>
          <c:tx>
            <c:strRef>
              <c:f>Profile!$J$271</c:f>
              <c:strCache>
                <c:ptCount val="1"/>
                <c:pt idx="0">
                  <c:v>CO2-Konzentration</c:v>
                </c:pt>
              </c:strCache>
            </c:strRef>
          </c:tx>
          <c:spPr>
            <a:ln w="19050">
              <a:solidFill>
                <a:sysClr val="windowText" lastClr="000000"/>
              </a:solidFill>
            </a:ln>
          </c:spPr>
          <c:marker>
            <c:symbol val="none"/>
          </c:marker>
          <c:val>
            <c:numRef>
              <c:f>Profile!$J$339:$J$362</c:f>
              <c:numCache>
                <c:formatCode>0</c:formatCode>
                <c:ptCount val="24"/>
                <c:pt idx="0">
                  <c:v>1044.6031985517793</c:v>
                </c:pt>
                <c:pt idx="1">
                  <c:v>1062.7831880301155</c:v>
                </c:pt>
                <c:pt idx="2">
                  <c:v>1075.0745033147591</c:v>
                </c:pt>
                <c:pt idx="3">
                  <c:v>1083.3845428561208</c:v>
                </c:pt>
                <c:pt idx="4">
                  <c:v>1089.0028803228417</c:v>
                </c:pt>
                <c:pt idx="5">
                  <c:v>1092.8013840162175</c:v>
                </c:pt>
                <c:pt idx="6">
                  <c:v>1004.5802389725177</c:v>
                </c:pt>
                <c:pt idx="7">
                  <c:v>899.54013659164707</c:v>
                </c:pt>
                <c:pt idx="8">
                  <c:v>737.73426126007712</c:v>
                </c:pt>
                <c:pt idx="9">
                  <c:v>628.3388718415091</c:v>
                </c:pt>
                <c:pt idx="10">
                  <c:v>554.37770571254839</c:v>
                </c:pt>
                <c:pt idx="11">
                  <c:v>504.3732756883042</c:v>
                </c:pt>
                <c:pt idx="12">
                  <c:v>652.14431694645225</c:v>
                </c:pt>
                <c:pt idx="13">
                  <c:v>661.26161391051744</c:v>
                </c:pt>
                <c:pt idx="14">
                  <c:v>576.63645362257273</c:v>
                </c:pt>
                <c:pt idx="15">
                  <c:v>519.42220015162843</c:v>
                </c:pt>
                <c:pt idx="16">
                  <c:v>480.7401960159886</c:v>
                </c:pt>
                <c:pt idx="17">
                  <c:v>545.37694335259403</c:v>
                </c:pt>
                <c:pt idx="18">
                  <c:v>679.86650059727879</c:v>
                </c:pt>
                <c:pt idx="19">
                  <c:v>770.79359120733488</c:v>
                </c:pt>
                <c:pt idx="20">
                  <c:v>832.26851889831812</c:v>
                </c:pt>
                <c:pt idx="21">
                  <c:v>919.22576207040936</c:v>
                </c:pt>
                <c:pt idx="22">
                  <c:v>978.01671425359018</c:v>
                </c:pt>
                <c:pt idx="23">
                  <c:v>1017.7647091591413</c:v>
                </c:pt>
              </c:numCache>
            </c:numRef>
          </c:val>
          <c:smooth val="0"/>
          <c:extLst>
            <c:ext xmlns:c16="http://schemas.microsoft.com/office/drawing/2014/chart" uri="{C3380CC4-5D6E-409C-BE32-E72D297353CC}">
              <c16:uniqueId val="{00000002-738E-4F57-9123-9A2E900840ED}"/>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Profile!$A$312</c:f>
              <c:strCache>
                <c:ptCount val="1"/>
                <c:pt idx="0">
                  <c:v>CO2-Konzentration, ppm</c:v>
                </c:pt>
              </c:strCache>
            </c:strRef>
          </c:tx>
          <c:layout>
            <c:manualLayout>
              <c:xMode val="edge"/>
              <c:yMode val="edge"/>
              <c:x val="9.6943529080510196E-3"/>
              <c:y val="0.24251393053721135"/>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2819289155531315"/>
              <c:y val="0.17963260050862392"/>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05854105895645"/>
          <c:y val="8.5117656723146778E-2"/>
          <c:w val="0.75558926461230813"/>
          <c:h val="0.70112777022665607"/>
        </c:manualLayout>
      </c:layout>
      <c:barChart>
        <c:barDir val="col"/>
        <c:grouping val="clustered"/>
        <c:varyColors val="0"/>
        <c:ser>
          <c:idx val="0"/>
          <c:order val="1"/>
          <c:tx>
            <c:strRef>
              <c:f>Profile!$C$271</c:f>
              <c:strCache>
                <c:ptCount val="1"/>
                <c:pt idx="0">
                  <c:v>Personenprofil</c:v>
                </c:pt>
              </c:strCache>
            </c:strRef>
          </c:tx>
          <c:spPr>
            <a:solidFill>
              <a:schemeClr val="accent3"/>
            </a:solidFill>
          </c:spPr>
          <c:invertIfNegative val="0"/>
          <c:val>
            <c:numRef>
              <c:f>Profile!$C$339:$C$362</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0-5E5C-4152-A124-F518B3C4068B}"/>
            </c:ext>
          </c:extLst>
        </c:ser>
        <c:ser>
          <c:idx val="1"/>
          <c:order val="2"/>
          <c:tx>
            <c:strRef>
              <c:f>Profile!$F$271</c:f>
              <c:strCache>
                <c:ptCount val="1"/>
                <c:pt idx="0">
                  <c:v>Aussenluft-Volumenstrom</c:v>
                </c:pt>
              </c:strCache>
            </c:strRef>
          </c:tx>
          <c:spPr>
            <a:solidFill>
              <a:schemeClr val="accent5"/>
            </a:solidFill>
          </c:spPr>
          <c:invertIfNegative val="0"/>
          <c:val>
            <c:numRef>
              <c:f>Profile!$F$339:$F$362</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1-5E5C-4152-A124-F518B3C4068B}"/>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0"/>
          <c:tx>
            <c:strRef>
              <c:f>Profile!$Y$271</c:f>
              <c:strCache>
                <c:ptCount val="1"/>
                <c:pt idx="0">
                  <c:v>Relative Raumluftfeuchte </c:v>
                </c:pt>
              </c:strCache>
            </c:strRef>
          </c:tx>
          <c:spPr>
            <a:ln w="19050">
              <a:solidFill>
                <a:schemeClr val="accent2"/>
              </a:solidFill>
            </a:ln>
          </c:spPr>
          <c:marker>
            <c:symbol val="none"/>
          </c:marker>
          <c:val>
            <c:numRef>
              <c:f>Profile!$Y$339:$Y$362</c:f>
              <c:numCache>
                <c:formatCode>0</c:formatCode>
                <c:ptCount val="24"/>
                <c:pt idx="0">
                  <c:v>28.204314335350944</c:v>
                </c:pt>
                <c:pt idx="1">
                  <c:v>28.454288654372696</c:v>
                </c:pt>
                <c:pt idx="2">
                  <c:v>28.623273350795856</c:v>
                </c:pt>
                <c:pt idx="3">
                  <c:v>28.737512890798929</c:v>
                </c:pt>
                <c:pt idx="4">
                  <c:v>28.814744852751701</c:v>
                </c:pt>
                <c:pt idx="5">
                  <c:v>28.866958676525687</c:v>
                </c:pt>
                <c:pt idx="6">
                  <c:v>27.653745253993169</c:v>
                </c:pt>
                <c:pt idx="7">
                  <c:v>26.208126493511344</c:v>
                </c:pt>
                <c:pt idx="8">
                  <c:v>23.978896617577718</c:v>
                </c:pt>
                <c:pt idx="9">
                  <c:v>22.470103582789296</c:v>
                </c:pt>
                <c:pt idx="10">
                  <c:v>21.449276059298171</c:v>
                </c:pt>
                <c:pt idx="11">
                  <c:v>20.75876260249478</c:v>
                </c:pt>
                <c:pt idx="12">
                  <c:v>22.798541216523905</c:v>
                </c:pt>
                <c:pt idx="13">
                  <c:v>22.924314075944071</c:v>
                </c:pt>
                <c:pt idx="14">
                  <c:v>21.756557939713538</c:v>
                </c:pt>
                <c:pt idx="15">
                  <c:v>20.966601914658941</c:v>
                </c:pt>
                <c:pt idx="16">
                  <c:v>20.432315631923561</c:v>
                </c:pt>
                <c:pt idx="17">
                  <c:v>21.325003101644604</c:v>
                </c:pt>
                <c:pt idx="18">
                  <c:v>23.180939624179576</c:v>
                </c:pt>
                <c:pt idx="19">
                  <c:v>24.434591517152839</c:v>
                </c:pt>
                <c:pt idx="20">
                  <c:v>25.281658042238668</c:v>
                </c:pt>
                <c:pt idx="21">
                  <c:v>26.479137465085678</c:v>
                </c:pt>
                <c:pt idx="22">
                  <c:v>27.288271187760166</c:v>
                </c:pt>
                <c:pt idx="23">
                  <c:v>27.835103754377851</c:v>
                </c:pt>
              </c:numCache>
            </c:numRef>
          </c:val>
          <c:smooth val="0"/>
          <c:extLst>
            <c:ext xmlns:c16="http://schemas.microsoft.com/office/drawing/2014/chart" uri="{C3380CC4-5D6E-409C-BE32-E72D297353CC}">
              <c16:uniqueId val="{00000002-5E5C-4152-A124-F518B3C4068B}"/>
            </c:ext>
          </c:extLst>
        </c:ser>
        <c:ser>
          <c:idx val="2"/>
          <c:order val="3"/>
          <c:tx>
            <c:strRef>
              <c:f>Profile!$AJ$271</c:f>
              <c:strCache>
                <c:ptCount val="1"/>
                <c:pt idx="0">
                  <c:v>Max. zulässige Raumluftfeuchte</c:v>
                </c:pt>
              </c:strCache>
            </c:strRef>
          </c:tx>
          <c:spPr>
            <a:ln w="19050">
              <a:solidFill>
                <a:schemeClr val="accent2">
                  <a:lumMod val="50000"/>
                </a:schemeClr>
              </a:solidFill>
            </a:ln>
          </c:spPr>
          <c:marker>
            <c:symbol val="none"/>
          </c:marker>
          <c:val>
            <c:numRef>
              <c:f>Profile!$AJ$339:$AJ$362</c:f>
              <c:numCache>
                <c:formatCode>0</c:formatCode>
                <c:ptCount val="24"/>
                <c:pt idx="0">
                  <c:v>39.201664399891527</c:v>
                </c:pt>
                <c:pt idx="1">
                  <c:v>39.201664399891527</c:v>
                </c:pt>
                <c:pt idx="2">
                  <c:v>39.201664399891527</c:v>
                </c:pt>
                <c:pt idx="3">
                  <c:v>39.201664399891527</c:v>
                </c:pt>
                <c:pt idx="4">
                  <c:v>39.201664399891527</c:v>
                </c:pt>
                <c:pt idx="5">
                  <c:v>39.201664399891527</c:v>
                </c:pt>
                <c:pt idx="6">
                  <c:v>39.201664399891527</c:v>
                </c:pt>
                <c:pt idx="7">
                  <c:v>39.201664399891527</c:v>
                </c:pt>
                <c:pt idx="8">
                  <c:v>39.201664399891527</c:v>
                </c:pt>
                <c:pt idx="9">
                  <c:v>39.201664399891527</c:v>
                </c:pt>
                <c:pt idx="10">
                  <c:v>39.201664399891527</c:v>
                </c:pt>
                <c:pt idx="11">
                  <c:v>39.201664399891527</c:v>
                </c:pt>
                <c:pt idx="12">
                  <c:v>39.201664399891527</c:v>
                </c:pt>
                <c:pt idx="13">
                  <c:v>39.201664399891527</c:v>
                </c:pt>
                <c:pt idx="14">
                  <c:v>39.201664399891527</c:v>
                </c:pt>
                <c:pt idx="15">
                  <c:v>39.201664399891527</c:v>
                </c:pt>
                <c:pt idx="16">
                  <c:v>39.201664399891527</c:v>
                </c:pt>
                <c:pt idx="17">
                  <c:v>39.201664399891527</c:v>
                </c:pt>
                <c:pt idx="18">
                  <c:v>39.201664399891527</c:v>
                </c:pt>
                <c:pt idx="19">
                  <c:v>39.201664399891527</c:v>
                </c:pt>
                <c:pt idx="20">
                  <c:v>39.201664399891527</c:v>
                </c:pt>
                <c:pt idx="21">
                  <c:v>39.201664399891527</c:v>
                </c:pt>
                <c:pt idx="22">
                  <c:v>39.201664399891527</c:v>
                </c:pt>
                <c:pt idx="23">
                  <c:v>39.201664399891527</c:v>
                </c:pt>
              </c:numCache>
            </c:numRef>
          </c:val>
          <c:smooth val="0"/>
          <c:extLst>
            <c:ext xmlns:c16="http://schemas.microsoft.com/office/drawing/2014/chart" uri="{C3380CC4-5D6E-409C-BE32-E72D297353CC}">
              <c16:uniqueId val="{00000003-5E5C-4152-A124-F518B3C4068B}"/>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Profile!$A$312</c:f>
              <c:strCache>
                <c:ptCount val="1"/>
                <c:pt idx="0">
                  <c:v>CO2-Konzentration, ppm</c:v>
                </c:pt>
              </c:strCache>
            </c:strRef>
          </c:tx>
          <c:layout>
            <c:manualLayout>
              <c:xMode val="edge"/>
              <c:yMode val="edge"/>
              <c:x val="3.7148999591131514E-2"/>
              <c:y val="0.18709322504700432"/>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2832356149440964"/>
              <c:y val="0.1806720439982577"/>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layout>
        <c:manualLayout>
          <c:xMode val="edge"/>
          <c:yMode val="edge"/>
          <c:x val="7.8617852922461581E-2"/>
          <c:y val="0.84808146115079097"/>
          <c:w val="0.70464373368654798"/>
          <c:h val="0.12525928919163348"/>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A13E-4BA7-BE57-36239BF0AB7A}"/>
            </c:ext>
          </c:extLst>
        </c:ser>
        <c:dLbls>
          <c:showLegendKey val="0"/>
          <c:showVal val="0"/>
          <c:showCatName val="0"/>
          <c:showSerName val="0"/>
          <c:showPercent val="0"/>
          <c:showBubbleSize val="0"/>
        </c:dLbls>
        <c:gapWidth val="150"/>
        <c:axId val="90870912"/>
        <c:axId val="90872448"/>
      </c:barChart>
      <c:catAx>
        <c:axId val="9087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0872448"/>
        <c:crosses val="autoZero"/>
        <c:auto val="1"/>
        <c:lblAlgn val="ctr"/>
        <c:lblOffset val="100"/>
        <c:tickLblSkip val="2"/>
        <c:tickMarkSkip val="1"/>
        <c:noMultiLvlLbl val="0"/>
      </c:catAx>
      <c:valAx>
        <c:axId val="9087244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087091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CC2F-4F6E-989C-2E378FF14F44}"/>
            </c:ext>
          </c:extLst>
        </c:ser>
        <c:dLbls>
          <c:showLegendKey val="0"/>
          <c:showVal val="0"/>
          <c:showCatName val="0"/>
          <c:showSerName val="0"/>
          <c:showPercent val="0"/>
          <c:showBubbleSize val="0"/>
        </c:dLbls>
        <c:gapWidth val="150"/>
        <c:axId val="91264896"/>
        <c:axId val="91266432"/>
      </c:barChart>
      <c:catAx>
        <c:axId val="9126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1266432"/>
        <c:crosses val="autoZero"/>
        <c:auto val="1"/>
        <c:lblAlgn val="ctr"/>
        <c:lblOffset val="100"/>
        <c:tickLblSkip val="2"/>
        <c:tickMarkSkip val="1"/>
        <c:noMultiLvlLbl val="0"/>
      </c:catAx>
      <c:valAx>
        <c:axId val="9126643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126489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0261-4198-95ED-AC59D78D42A1}"/>
            </c:ext>
          </c:extLst>
        </c:ser>
        <c:dLbls>
          <c:showLegendKey val="0"/>
          <c:showVal val="0"/>
          <c:showCatName val="0"/>
          <c:showSerName val="0"/>
          <c:showPercent val="0"/>
          <c:showBubbleSize val="0"/>
        </c:dLbls>
        <c:gapWidth val="150"/>
        <c:axId val="91273856"/>
        <c:axId val="91677056"/>
      </c:barChart>
      <c:catAx>
        <c:axId val="912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91677056"/>
        <c:crosses val="autoZero"/>
        <c:auto val="1"/>
        <c:lblAlgn val="ctr"/>
        <c:lblOffset val="100"/>
        <c:tickLblSkip val="2"/>
        <c:tickMarkSkip val="1"/>
        <c:noMultiLvlLbl val="0"/>
      </c:catAx>
      <c:valAx>
        <c:axId val="9167705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9127385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A79F-4A15-BEF7-F8A0B012A641}"/>
            </c:ext>
          </c:extLst>
        </c:ser>
        <c:dLbls>
          <c:showLegendKey val="0"/>
          <c:showVal val="0"/>
          <c:showCatName val="0"/>
          <c:showSerName val="0"/>
          <c:showPercent val="0"/>
          <c:showBubbleSize val="0"/>
        </c:dLbls>
        <c:gapWidth val="150"/>
        <c:axId val="91312128"/>
        <c:axId val="91313664"/>
      </c:barChart>
      <c:catAx>
        <c:axId val="91312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313664"/>
        <c:crosses val="autoZero"/>
        <c:auto val="1"/>
        <c:lblAlgn val="ctr"/>
        <c:lblOffset val="100"/>
        <c:tickLblSkip val="2"/>
        <c:tickMarkSkip val="1"/>
        <c:noMultiLvlLbl val="0"/>
      </c:catAx>
      <c:valAx>
        <c:axId val="91313664"/>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31212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12FE-4ABB-A1EA-706C21CB0DB8}"/>
            </c:ext>
          </c:extLst>
        </c:ser>
        <c:dLbls>
          <c:showLegendKey val="0"/>
          <c:showVal val="0"/>
          <c:showCatName val="0"/>
          <c:showSerName val="0"/>
          <c:showPercent val="0"/>
          <c:showBubbleSize val="0"/>
        </c:dLbls>
        <c:gapWidth val="150"/>
        <c:axId val="91357952"/>
        <c:axId val="91359488"/>
      </c:barChart>
      <c:catAx>
        <c:axId val="9135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359488"/>
        <c:crosses val="autoZero"/>
        <c:auto val="1"/>
        <c:lblAlgn val="ctr"/>
        <c:lblOffset val="100"/>
        <c:tickLblSkip val="2"/>
        <c:tickMarkSkip val="1"/>
        <c:noMultiLvlLbl val="0"/>
      </c:catAx>
      <c:valAx>
        <c:axId val="9135948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35795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E36-4739-9BBE-DA4D7D19E871}"/>
            </c:ext>
          </c:extLst>
        </c:ser>
        <c:dLbls>
          <c:showLegendKey val="0"/>
          <c:showVal val="0"/>
          <c:showCatName val="0"/>
          <c:showSerName val="0"/>
          <c:showPercent val="0"/>
          <c:showBubbleSize val="0"/>
        </c:dLbls>
        <c:gapWidth val="150"/>
        <c:axId val="91370624"/>
        <c:axId val="91372160"/>
      </c:barChart>
      <c:catAx>
        <c:axId val="9137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1372160"/>
        <c:crosses val="autoZero"/>
        <c:auto val="1"/>
        <c:lblAlgn val="ctr"/>
        <c:lblOffset val="100"/>
        <c:tickLblSkip val="2"/>
        <c:tickMarkSkip val="1"/>
        <c:noMultiLvlLbl val="0"/>
      </c:catAx>
      <c:valAx>
        <c:axId val="9137216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137062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B6CD-4B61-A67F-55667DB2D434}"/>
            </c:ext>
          </c:extLst>
        </c:ser>
        <c:dLbls>
          <c:showLegendKey val="0"/>
          <c:showVal val="0"/>
          <c:showCatName val="0"/>
          <c:showSerName val="0"/>
          <c:showPercent val="0"/>
          <c:showBubbleSize val="0"/>
        </c:dLbls>
        <c:gapWidth val="150"/>
        <c:axId val="91412352"/>
        <c:axId val="91413888"/>
      </c:barChart>
      <c:catAx>
        <c:axId val="9141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413888"/>
        <c:crosses val="autoZero"/>
        <c:auto val="1"/>
        <c:lblAlgn val="ctr"/>
        <c:lblOffset val="100"/>
        <c:tickLblSkip val="2"/>
        <c:tickMarkSkip val="1"/>
        <c:noMultiLvlLbl val="0"/>
      </c:catAx>
      <c:valAx>
        <c:axId val="9141388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41235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684678706259519E-2"/>
          <c:y val="0.15233062741551454"/>
          <c:w val="0.89520276908221652"/>
          <c:h val="0.54594644846029849"/>
        </c:manualLayout>
      </c:layout>
      <c:stockChart>
        <c:ser>
          <c:idx val="2"/>
          <c:order val="0"/>
          <c:tx>
            <c:strRef>
              <c:f>Datenblatt!$C$270</c:f>
              <c:strCache>
                <c:ptCount val="1"/>
                <c:pt idx="0">
                  <c:v>Standard</c:v>
                </c:pt>
              </c:strCache>
            </c:strRef>
          </c:tx>
          <c:spPr>
            <a:ln w="28575">
              <a:noFill/>
            </a:ln>
          </c:spPr>
          <c:marker>
            <c:symbol val="dash"/>
            <c:size val="10"/>
            <c:spPr>
              <a:solidFill>
                <a:srgbClr val="808080"/>
              </a:solidFill>
              <a:ln>
                <a:solidFill>
                  <a:srgbClr val="808080"/>
                </a:solidFill>
                <a:prstDash val="solid"/>
              </a:ln>
            </c:spPr>
          </c:marker>
          <c:val>
            <c:numRef>
              <c:f>Datenblatt!$E$270:$I$270</c:f>
            </c:numRef>
          </c:val>
          <c:smooth val="0"/>
          <c:extLst>
            <c:ext xmlns:c15="http://schemas.microsoft.com/office/drawing/2012/chart" uri="{02D57815-91ED-43cb-92C2-25804820EDAC}">
              <c15:filteredCategoryTitle>
                <c15:cat>
                  <c:multiLvlStrRef>
                    <c:extLst>
                      <c:ext uri="{02D57815-91ED-43cb-92C2-25804820EDAC}">
                        <c15:formulaRef>
                          <c15:sqref>Datenblatt!$E$267:$I$267</c15:sqref>
                        </c15:formulaRef>
                      </c:ext>
                    </c:extLst>
                  </c:multiLvlStrRef>
                </c15:cat>
              </c15:filteredCategoryTitle>
            </c:ext>
            <c:ext xmlns:c16="http://schemas.microsoft.com/office/drawing/2014/chart" uri="{C3380CC4-5D6E-409C-BE32-E72D297353CC}">
              <c16:uniqueId val="{00000000-E489-44C9-8D06-838E76AC88A9}"/>
            </c:ext>
          </c:extLst>
        </c:ser>
        <c:ser>
          <c:idx val="1"/>
          <c:order val="1"/>
          <c:tx>
            <c:strRef>
              <c:f>Datenblatt!$C$269</c:f>
              <c:strCache>
                <c:ptCount val="1"/>
                <c:pt idx="0">
                  <c:v>Zielwert</c:v>
                </c:pt>
              </c:strCache>
            </c:strRef>
          </c:tx>
          <c:spPr>
            <a:ln w="28575">
              <a:noFill/>
            </a:ln>
          </c:spPr>
          <c:marker>
            <c:symbol val="dash"/>
            <c:size val="15"/>
            <c:spPr>
              <a:solidFill>
                <a:srgbClr val="C0C0C0"/>
              </a:solidFill>
              <a:ln>
                <a:solidFill>
                  <a:srgbClr val="C0C0C0"/>
                </a:solidFill>
                <a:prstDash val="solid"/>
              </a:ln>
            </c:spPr>
          </c:marker>
          <c:val>
            <c:numRef>
              <c:f>Datenblatt!$E$269:$I$269</c:f>
            </c:numRef>
          </c:val>
          <c:smooth val="0"/>
          <c:extLst>
            <c:ext xmlns:c15="http://schemas.microsoft.com/office/drawing/2012/chart" uri="{02D57815-91ED-43cb-92C2-25804820EDAC}">
              <c15:filteredCategoryTitle>
                <c15:cat>
                  <c:multiLvlStrRef>
                    <c:extLst>
                      <c:ext uri="{02D57815-91ED-43cb-92C2-25804820EDAC}">
                        <c15:formulaRef>
                          <c15:sqref>Datenblatt!$E$267:$I$267</c15:sqref>
                        </c15:formulaRef>
                      </c:ext>
                    </c:extLst>
                  </c:multiLvlStrRef>
                </c15:cat>
              </c15:filteredCategoryTitle>
            </c:ext>
            <c:ext xmlns:c16="http://schemas.microsoft.com/office/drawing/2014/chart" uri="{C3380CC4-5D6E-409C-BE32-E72D297353CC}">
              <c16:uniqueId val="{00000001-E489-44C9-8D06-838E76AC88A9}"/>
            </c:ext>
          </c:extLst>
        </c:ser>
        <c:ser>
          <c:idx val="0"/>
          <c:order val="2"/>
          <c:tx>
            <c:strRef>
              <c:f>Datenblatt!$C$268</c:f>
              <c:strCache>
                <c:ptCount val="1"/>
                <c:pt idx="0">
                  <c:v>Bestand</c:v>
                </c:pt>
              </c:strCache>
            </c:strRef>
          </c:tx>
          <c:spPr>
            <a:ln w="28575">
              <a:noFill/>
            </a:ln>
          </c:spPr>
          <c:marker>
            <c:symbol val="dash"/>
            <c:size val="15"/>
            <c:spPr>
              <a:solidFill>
                <a:srgbClr val="333333"/>
              </a:solidFill>
              <a:ln>
                <a:solidFill>
                  <a:srgbClr val="333333"/>
                </a:solidFill>
                <a:prstDash val="solid"/>
              </a:ln>
            </c:spPr>
          </c:marker>
          <c:val>
            <c:numRef>
              <c:f>Datenblatt!$E$268:$I$268</c:f>
            </c:numRef>
          </c:val>
          <c:smooth val="0"/>
          <c:extLst>
            <c:ext xmlns:c15="http://schemas.microsoft.com/office/drawing/2012/chart" uri="{02D57815-91ED-43cb-92C2-25804820EDAC}">
              <c15:filteredCategoryTitle>
                <c15:cat>
                  <c:multiLvlStrRef>
                    <c:extLst>
                      <c:ext uri="{02D57815-91ED-43cb-92C2-25804820EDAC}">
                        <c15:formulaRef>
                          <c15:sqref>Datenblatt!$E$267:$I$267</c15:sqref>
                        </c15:formulaRef>
                      </c:ext>
                    </c:extLst>
                  </c:multiLvlStrRef>
                </c15:cat>
              </c15:filteredCategoryTitle>
            </c:ext>
            <c:ext xmlns:c16="http://schemas.microsoft.com/office/drawing/2014/chart" uri="{C3380CC4-5D6E-409C-BE32-E72D297353CC}">
              <c16:uniqueId val="{00000002-E489-44C9-8D06-838E76AC88A9}"/>
            </c:ext>
          </c:extLst>
        </c:ser>
        <c:dLbls>
          <c:showLegendKey val="0"/>
          <c:showVal val="0"/>
          <c:showCatName val="0"/>
          <c:showSerName val="0"/>
          <c:showPercent val="0"/>
          <c:showBubbleSize val="0"/>
        </c:dLbls>
        <c:axId val="91837184"/>
        <c:axId val="91838720"/>
      </c:stockChart>
      <c:catAx>
        <c:axId val="918371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a:pPr>
            <a:endParaRPr lang="de-DE"/>
          </a:p>
        </c:txPr>
        <c:crossAx val="91838720"/>
        <c:crosses val="autoZero"/>
        <c:auto val="1"/>
        <c:lblAlgn val="ctr"/>
        <c:lblOffset val="100"/>
        <c:tickLblSkip val="1"/>
        <c:tickMarkSkip val="1"/>
        <c:noMultiLvlLbl val="0"/>
      </c:catAx>
      <c:valAx>
        <c:axId val="91838720"/>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a:pPr>
            <a:endParaRPr lang="de-DE"/>
          </a:p>
        </c:txPr>
        <c:crossAx val="91837184"/>
        <c:crosses val="autoZero"/>
        <c:crossBetween val="between"/>
      </c:valAx>
      <c:spPr>
        <a:noFill/>
        <a:ln w="25400">
          <a:noFill/>
        </a:ln>
      </c:spPr>
    </c:plotArea>
    <c:legend>
      <c:legendPos val="t"/>
      <c:layout>
        <c:manualLayout>
          <c:xMode val="edge"/>
          <c:yMode val="edge"/>
          <c:x val="0.10276868778554162"/>
          <c:y val="4.1022742730107723E-3"/>
          <c:w val="0.40892279317476166"/>
          <c:h val="6.8965517241379309E-2"/>
        </c:manualLayout>
      </c:layout>
      <c:overlay val="0"/>
      <c:spPr>
        <a:noFill/>
        <a:ln w="25400">
          <a:noFill/>
        </a:ln>
      </c:spPr>
    </c:legend>
    <c:plotVisOnly val="1"/>
    <c:dispBlanksAs val="gap"/>
    <c:showDLblsOverMax val="0"/>
  </c:chart>
  <c:spPr>
    <a:noFill/>
    <a:ln w="9525">
      <a:noFill/>
    </a:ln>
  </c:spPr>
  <c:txPr>
    <a:bodyPr/>
    <a:lstStyle/>
    <a:p>
      <a:pPr>
        <a:defRPr sz="800" b="0" i="0" u="none" strike="noStrike" baseline="0">
          <a:solidFill>
            <a:schemeClr val="tx1"/>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horizontalDpi="-2" verticalDpi="1200"/>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43848611581833"/>
          <c:y val="4.700037456854339E-2"/>
          <c:w val="0.8764942893714196"/>
          <c:h val="0.73621637145650931"/>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C239-4D7D-990E-B95E12D0A692}"/>
            </c:ext>
          </c:extLst>
        </c:ser>
        <c:dLbls>
          <c:showLegendKey val="0"/>
          <c:showVal val="0"/>
          <c:showCatName val="0"/>
          <c:showSerName val="0"/>
          <c:showPercent val="0"/>
          <c:showBubbleSize val="0"/>
        </c:dLbls>
        <c:gapWidth val="0"/>
        <c:overlap val="100"/>
        <c:axId val="91951872"/>
        <c:axId val="91953408"/>
      </c:barChart>
      <c:barChart>
        <c:barDir val="col"/>
        <c:grouping val="clustered"/>
        <c:varyColors val="0"/>
        <c:ser>
          <c:idx val="0"/>
          <c:order val="0"/>
          <c:spPr>
            <a:solidFill>
              <a:srgbClr val="333333"/>
            </a:solidFill>
            <a:ln w="25400">
              <a:noFill/>
            </a:ln>
          </c:spPr>
          <c:invertIfNegative val="0"/>
          <c:val>
            <c:numRef>
              <c:f>Profile!$B$63:$B$86</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1-C239-4D7D-990E-B95E12D0A692}"/>
            </c:ext>
          </c:extLst>
        </c:ser>
        <c:dLbls>
          <c:showLegendKey val="0"/>
          <c:showVal val="0"/>
          <c:showCatName val="0"/>
          <c:showSerName val="0"/>
          <c:showPercent val="0"/>
          <c:showBubbleSize val="0"/>
        </c:dLbls>
        <c:gapWidth val="150"/>
        <c:axId val="91959296"/>
        <c:axId val="91960832"/>
      </c:barChart>
      <c:catAx>
        <c:axId val="919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1953408"/>
        <c:crosses val="autoZero"/>
        <c:auto val="1"/>
        <c:lblAlgn val="ctr"/>
        <c:lblOffset val="100"/>
        <c:tickLblSkip val="1"/>
        <c:tickMarkSkip val="1"/>
        <c:noMultiLvlLbl val="0"/>
      </c:catAx>
      <c:valAx>
        <c:axId val="91953408"/>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1951872"/>
        <c:crosses val="autoZero"/>
        <c:crossBetween val="between"/>
        <c:majorUnit val="0.2"/>
        <c:minorUnit val="0.01"/>
      </c:valAx>
      <c:catAx>
        <c:axId val="91959296"/>
        <c:scaling>
          <c:orientation val="minMax"/>
        </c:scaling>
        <c:delete val="1"/>
        <c:axPos val="b"/>
        <c:majorTickMark val="out"/>
        <c:minorTickMark val="none"/>
        <c:tickLblPos val="nextTo"/>
        <c:crossAx val="91960832"/>
        <c:crosses val="autoZero"/>
        <c:auto val="1"/>
        <c:lblAlgn val="ctr"/>
        <c:lblOffset val="100"/>
        <c:noMultiLvlLbl val="0"/>
      </c:catAx>
      <c:valAx>
        <c:axId val="91960832"/>
        <c:scaling>
          <c:orientation val="minMax"/>
        </c:scaling>
        <c:delete val="1"/>
        <c:axPos val="r"/>
        <c:numFmt formatCode="0.0" sourceLinked="1"/>
        <c:majorTickMark val="out"/>
        <c:minorTickMark val="none"/>
        <c:tickLblPos val="nextTo"/>
        <c:crossAx val="91959296"/>
        <c:crosses val="max"/>
        <c:crossBetween val="between"/>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535B-4658-A4A5-9BFF069AC4AB}"/>
            </c:ext>
          </c:extLst>
        </c:ser>
        <c:dLbls>
          <c:showLegendKey val="0"/>
          <c:showVal val="0"/>
          <c:showCatName val="0"/>
          <c:showSerName val="0"/>
          <c:showPercent val="0"/>
          <c:showBubbleSize val="0"/>
        </c:dLbls>
        <c:gapWidth val="150"/>
        <c:axId val="91970944"/>
        <c:axId val="91980928"/>
      </c:barChart>
      <c:catAx>
        <c:axId val="9197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980928"/>
        <c:crosses val="autoZero"/>
        <c:auto val="1"/>
        <c:lblAlgn val="ctr"/>
        <c:lblOffset val="100"/>
        <c:tickLblSkip val="2"/>
        <c:tickMarkSkip val="1"/>
        <c:noMultiLvlLbl val="0"/>
      </c:catAx>
      <c:valAx>
        <c:axId val="9198092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97094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D42A-4B5D-AB7D-453010FAB554}"/>
            </c:ext>
          </c:extLst>
        </c:ser>
        <c:dLbls>
          <c:showLegendKey val="0"/>
          <c:showVal val="0"/>
          <c:showCatName val="0"/>
          <c:showSerName val="0"/>
          <c:showPercent val="0"/>
          <c:showBubbleSize val="0"/>
        </c:dLbls>
        <c:gapWidth val="150"/>
        <c:axId val="92008832"/>
        <c:axId val="92010368"/>
      </c:barChart>
      <c:catAx>
        <c:axId val="9200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010368"/>
        <c:crosses val="autoZero"/>
        <c:auto val="1"/>
        <c:lblAlgn val="ctr"/>
        <c:lblOffset val="100"/>
        <c:tickLblSkip val="2"/>
        <c:tickMarkSkip val="1"/>
        <c:noMultiLvlLbl val="0"/>
      </c:catAx>
      <c:valAx>
        <c:axId val="9201036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00883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D4A-4332-9F8F-F125B75587EE}"/>
            </c:ext>
          </c:extLst>
        </c:ser>
        <c:dLbls>
          <c:showLegendKey val="0"/>
          <c:showVal val="0"/>
          <c:showCatName val="0"/>
          <c:showSerName val="0"/>
          <c:showPercent val="0"/>
          <c:showBubbleSize val="0"/>
        </c:dLbls>
        <c:gapWidth val="150"/>
        <c:axId val="92374144"/>
        <c:axId val="92375680"/>
      </c:barChart>
      <c:catAx>
        <c:axId val="9237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375680"/>
        <c:crosses val="autoZero"/>
        <c:auto val="1"/>
        <c:lblAlgn val="ctr"/>
        <c:lblOffset val="100"/>
        <c:tickLblSkip val="2"/>
        <c:tickMarkSkip val="1"/>
        <c:noMultiLvlLbl val="0"/>
      </c:catAx>
      <c:valAx>
        <c:axId val="9237568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37414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A77A-4825-8A06-04664F77EC6B}"/>
            </c:ext>
          </c:extLst>
        </c:ser>
        <c:dLbls>
          <c:showLegendKey val="0"/>
          <c:showVal val="0"/>
          <c:showCatName val="0"/>
          <c:showSerName val="0"/>
          <c:showPercent val="0"/>
          <c:showBubbleSize val="0"/>
        </c:dLbls>
        <c:gapWidth val="150"/>
        <c:axId val="92383104"/>
        <c:axId val="92384640"/>
      </c:barChart>
      <c:catAx>
        <c:axId val="9238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384640"/>
        <c:crosses val="autoZero"/>
        <c:auto val="1"/>
        <c:lblAlgn val="ctr"/>
        <c:lblOffset val="100"/>
        <c:tickLblSkip val="2"/>
        <c:tickMarkSkip val="1"/>
        <c:noMultiLvlLbl val="0"/>
      </c:catAx>
      <c:valAx>
        <c:axId val="9238464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38310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FE0A-4D8F-9B98-9341ECA1E15E}"/>
            </c:ext>
          </c:extLst>
        </c:ser>
        <c:dLbls>
          <c:showLegendKey val="0"/>
          <c:showVal val="0"/>
          <c:showCatName val="0"/>
          <c:showSerName val="0"/>
          <c:showPercent val="0"/>
          <c:showBubbleSize val="0"/>
        </c:dLbls>
        <c:gapWidth val="150"/>
        <c:axId val="92678784"/>
        <c:axId val="92684672"/>
      </c:barChart>
      <c:catAx>
        <c:axId val="92678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684672"/>
        <c:crosses val="autoZero"/>
        <c:auto val="1"/>
        <c:lblAlgn val="ctr"/>
        <c:lblOffset val="100"/>
        <c:tickLblSkip val="2"/>
        <c:tickMarkSkip val="1"/>
        <c:noMultiLvlLbl val="0"/>
      </c:catAx>
      <c:valAx>
        <c:axId val="9268467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67878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C87E-4268-A68A-DA32EFACAC80}"/>
            </c:ext>
          </c:extLst>
        </c:ser>
        <c:dLbls>
          <c:showLegendKey val="0"/>
          <c:showVal val="0"/>
          <c:showCatName val="0"/>
          <c:showSerName val="0"/>
          <c:showPercent val="0"/>
          <c:showBubbleSize val="0"/>
        </c:dLbls>
        <c:gapWidth val="150"/>
        <c:axId val="92691840"/>
        <c:axId val="92718208"/>
      </c:barChart>
      <c:catAx>
        <c:axId val="92691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718208"/>
        <c:crosses val="autoZero"/>
        <c:auto val="1"/>
        <c:lblAlgn val="ctr"/>
        <c:lblOffset val="100"/>
        <c:tickLblSkip val="2"/>
        <c:tickMarkSkip val="1"/>
        <c:noMultiLvlLbl val="0"/>
      </c:catAx>
      <c:valAx>
        <c:axId val="9271820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691840"/>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7CDD-42E5-AF73-8DB2C7949C3F}"/>
            </c:ext>
          </c:extLst>
        </c:ser>
        <c:dLbls>
          <c:showLegendKey val="0"/>
          <c:showVal val="0"/>
          <c:showCatName val="0"/>
          <c:showSerName val="0"/>
          <c:showPercent val="0"/>
          <c:showBubbleSize val="0"/>
        </c:dLbls>
        <c:gapWidth val="150"/>
        <c:axId val="92488064"/>
        <c:axId val="92489600"/>
      </c:barChart>
      <c:catAx>
        <c:axId val="92488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489600"/>
        <c:crosses val="autoZero"/>
        <c:auto val="1"/>
        <c:lblAlgn val="ctr"/>
        <c:lblOffset val="100"/>
        <c:tickLblSkip val="2"/>
        <c:tickMarkSkip val="1"/>
        <c:noMultiLvlLbl val="0"/>
      </c:catAx>
      <c:valAx>
        <c:axId val="9248960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48806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2483-4D3D-B763-B78EC344DCC3}"/>
            </c:ext>
          </c:extLst>
        </c:ser>
        <c:dLbls>
          <c:showLegendKey val="0"/>
          <c:showVal val="0"/>
          <c:showCatName val="0"/>
          <c:showSerName val="0"/>
          <c:showPercent val="0"/>
          <c:showBubbleSize val="0"/>
        </c:dLbls>
        <c:gapWidth val="150"/>
        <c:axId val="92517504"/>
        <c:axId val="92519040"/>
      </c:barChart>
      <c:catAx>
        <c:axId val="9251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519040"/>
        <c:crosses val="autoZero"/>
        <c:auto val="1"/>
        <c:lblAlgn val="ctr"/>
        <c:lblOffset val="100"/>
        <c:tickLblSkip val="2"/>
        <c:tickMarkSkip val="1"/>
        <c:noMultiLvlLbl val="0"/>
      </c:catAx>
      <c:valAx>
        <c:axId val="9251904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51750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24443352700562"/>
          <c:y val="0.10948905109489052"/>
          <c:w val="0.86234007723737161"/>
          <c:h val="0.66423357664233573"/>
        </c:manualLayout>
      </c:layout>
      <c:barChart>
        <c:barDir val="col"/>
        <c:grouping val="clustered"/>
        <c:varyColors val="0"/>
        <c:ser>
          <c:idx val="0"/>
          <c:order val="0"/>
          <c:spPr>
            <a:solidFill>
              <a:srgbClr val="333333"/>
            </a:solidFill>
            <a:ln w="25400">
              <a:noFill/>
            </a:ln>
          </c:spPr>
          <c:invertIfNegative val="0"/>
          <c:val>
            <c:numRef>
              <c:f>Profile!$D$63:$D$86</c:f>
              <c:numCache>
                <c:formatCode>0.0</c:formatCode>
                <c:ptCount val="24"/>
                <c:pt idx="0">
                  <c:v>0.2</c:v>
                </c:pt>
                <c:pt idx="1">
                  <c:v>0.2</c:v>
                </c:pt>
                <c:pt idx="2">
                  <c:v>0.2</c:v>
                </c:pt>
                <c:pt idx="3">
                  <c:v>0.2</c:v>
                </c:pt>
                <c:pt idx="4">
                  <c:v>0.2</c:v>
                </c:pt>
                <c:pt idx="5">
                  <c:v>0.2</c:v>
                </c:pt>
                <c:pt idx="6">
                  <c:v>0.8</c:v>
                </c:pt>
                <c:pt idx="7">
                  <c:v>0.2</c:v>
                </c:pt>
                <c:pt idx="8">
                  <c:v>0.2</c:v>
                </c:pt>
                <c:pt idx="9">
                  <c:v>0.2</c:v>
                </c:pt>
                <c:pt idx="10">
                  <c:v>0.2</c:v>
                </c:pt>
                <c:pt idx="11">
                  <c:v>0.2</c:v>
                </c:pt>
                <c:pt idx="12">
                  <c:v>0.8</c:v>
                </c:pt>
                <c:pt idx="13">
                  <c:v>0.2</c:v>
                </c:pt>
                <c:pt idx="14">
                  <c:v>0.2</c:v>
                </c:pt>
                <c:pt idx="15">
                  <c:v>0.2</c:v>
                </c:pt>
                <c:pt idx="16">
                  <c:v>0.2</c:v>
                </c:pt>
                <c:pt idx="17">
                  <c:v>0.2</c:v>
                </c:pt>
                <c:pt idx="18">
                  <c:v>0.8</c:v>
                </c:pt>
                <c:pt idx="19">
                  <c:v>1</c:v>
                </c:pt>
                <c:pt idx="20">
                  <c:v>0.2</c:v>
                </c:pt>
                <c:pt idx="21">
                  <c:v>0.2</c:v>
                </c:pt>
                <c:pt idx="22">
                  <c:v>0.2</c:v>
                </c:pt>
                <c:pt idx="23">
                  <c:v>0.2</c:v>
                </c:pt>
              </c:numCache>
            </c:numRef>
          </c:val>
          <c:extLst>
            <c:ext xmlns:c16="http://schemas.microsoft.com/office/drawing/2014/chart" uri="{C3380CC4-5D6E-409C-BE32-E72D297353CC}">
              <c16:uniqueId val="{00000000-2154-45FD-8B6E-4F0968E85E60}"/>
            </c:ext>
          </c:extLst>
        </c:ser>
        <c:dLbls>
          <c:showLegendKey val="0"/>
          <c:showVal val="0"/>
          <c:showCatName val="0"/>
          <c:showSerName val="0"/>
          <c:showPercent val="0"/>
          <c:showBubbleSize val="0"/>
        </c:dLbls>
        <c:gapWidth val="150"/>
        <c:axId val="92539136"/>
        <c:axId val="92545024"/>
      </c:barChart>
      <c:catAx>
        <c:axId val="9253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545024"/>
        <c:crosses val="autoZero"/>
        <c:auto val="1"/>
        <c:lblAlgn val="ctr"/>
        <c:lblOffset val="100"/>
        <c:tickLblSkip val="1"/>
        <c:tickMarkSkip val="1"/>
        <c:noMultiLvlLbl val="0"/>
      </c:catAx>
      <c:valAx>
        <c:axId val="92545024"/>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539136"/>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332326132121566E-2"/>
          <c:y val="0.16450285994512626"/>
          <c:w val="0.91955496843568008"/>
          <c:h val="0.53246978350659291"/>
        </c:manualLayout>
      </c:layout>
      <c:stockChart>
        <c:ser>
          <c:idx val="2"/>
          <c:order val="0"/>
          <c:tx>
            <c:strRef>
              <c:f>Datenblatt!$C$275</c:f>
              <c:strCache>
                <c:ptCount val="1"/>
                <c:pt idx="0">
                  <c:v>Standard</c:v>
                </c:pt>
              </c:strCache>
            </c:strRef>
          </c:tx>
          <c:spPr>
            <a:ln w="28575">
              <a:noFill/>
            </a:ln>
          </c:spPr>
          <c:marker>
            <c:symbol val="dash"/>
            <c:size val="10"/>
            <c:spPr>
              <a:solidFill>
                <a:srgbClr val="808080"/>
              </a:solidFill>
              <a:ln>
                <a:solidFill>
                  <a:srgbClr val="808080"/>
                </a:solidFill>
                <a:prstDash val="solid"/>
              </a:ln>
            </c:spPr>
          </c:marker>
          <c:val>
            <c:numRef>
              <c:f>Datenblatt!$E$275:$J$275</c:f>
            </c:numRef>
          </c:val>
          <c:smooth val="0"/>
          <c:extLst>
            <c:ext xmlns:c15="http://schemas.microsoft.com/office/drawing/2012/chart" uri="{02D57815-91ED-43cb-92C2-25804820EDAC}">
              <c15:filteredCategoryTitle>
                <c15:cat>
                  <c:multiLvlStrRef>
                    <c:extLst>
                      <c:ext uri="{02D57815-91ED-43cb-92C2-25804820EDAC}">
                        <c15:formulaRef>
                          <c15:sqref>Datenblatt!$E$267:$J$267</c15:sqref>
                        </c15:formulaRef>
                      </c:ext>
                    </c:extLst>
                  </c:multiLvlStrRef>
                </c15:cat>
              </c15:filteredCategoryTitle>
            </c:ext>
            <c:ext xmlns:c16="http://schemas.microsoft.com/office/drawing/2014/chart" uri="{C3380CC4-5D6E-409C-BE32-E72D297353CC}">
              <c16:uniqueId val="{00000000-5438-4BC2-B4F9-74ACEA2BE423}"/>
            </c:ext>
          </c:extLst>
        </c:ser>
        <c:ser>
          <c:idx val="1"/>
          <c:order val="1"/>
          <c:tx>
            <c:strRef>
              <c:f>Datenblatt!$C$274</c:f>
              <c:strCache>
                <c:ptCount val="1"/>
                <c:pt idx="0">
                  <c:v>Zielwert</c:v>
                </c:pt>
              </c:strCache>
            </c:strRef>
          </c:tx>
          <c:spPr>
            <a:ln w="28575">
              <a:noFill/>
            </a:ln>
          </c:spPr>
          <c:marker>
            <c:symbol val="dash"/>
            <c:size val="15"/>
            <c:spPr>
              <a:solidFill>
                <a:srgbClr val="C0C0C0"/>
              </a:solidFill>
              <a:ln>
                <a:solidFill>
                  <a:srgbClr val="C0C0C0"/>
                </a:solidFill>
                <a:prstDash val="solid"/>
              </a:ln>
            </c:spPr>
          </c:marker>
          <c:val>
            <c:numRef>
              <c:f>Datenblatt!$E$274:$J$274</c:f>
            </c:numRef>
          </c:val>
          <c:smooth val="0"/>
          <c:extLst>
            <c:ext xmlns:c15="http://schemas.microsoft.com/office/drawing/2012/chart" uri="{02D57815-91ED-43cb-92C2-25804820EDAC}">
              <c15:filteredCategoryTitle>
                <c15:cat>
                  <c:multiLvlStrRef>
                    <c:extLst>
                      <c:ext uri="{02D57815-91ED-43cb-92C2-25804820EDAC}">
                        <c15:formulaRef>
                          <c15:sqref>Datenblatt!$E$267:$J$267</c15:sqref>
                        </c15:formulaRef>
                      </c:ext>
                    </c:extLst>
                  </c:multiLvlStrRef>
                </c15:cat>
              </c15:filteredCategoryTitle>
            </c:ext>
            <c:ext xmlns:c16="http://schemas.microsoft.com/office/drawing/2014/chart" uri="{C3380CC4-5D6E-409C-BE32-E72D297353CC}">
              <c16:uniqueId val="{00000001-5438-4BC2-B4F9-74ACEA2BE423}"/>
            </c:ext>
          </c:extLst>
        </c:ser>
        <c:ser>
          <c:idx val="0"/>
          <c:order val="2"/>
          <c:tx>
            <c:strRef>
              <c:f>Datenblatt!$C$273</c:f>
              <c:strCache>
                <c:ptCount val="1"/>
                <c:pt idx="0">
                  <c:v>Bestand</c:v>
                </c:pt>
              </c:strCache>
            </c:strRef>
          </c:tx>
          <c:spPr>
            <a:ln w="28575">
              <a:noFill/>
            </a:ln>
          </c:spPr>
          <c:marker>
            <c:symbol val="dash"/>
            <c:size val="15"/>
            <c:spPr>
              <a:solidFill>
                <a:srgbClr val="333333"/>
              </a:solidFill>
              <a:ln>
                <a:solidFill>
                  <a:srgbClr val="333333"/>
                </a:solidFill>
                <a:prstDash val="solid"/>
              </a:ln>
            </c:spPr>
          </c:marker>
          <c:val>
            <c:numRef>
              <c:f>Datenblatt!$E$273:$J$273</c:f>
            </c:numRef>
          </c:val>
          <c:smooth val="0"/>
          <c:extLst>
            <c:ext xmlns:c15="http://schemas.microsoft.com/office/drawing/2012/chart" uri="{02D57815-91ED-43cb-92C2-25804820EDAC}">
              <c15:filteredCategoryTitle>
                <c15:cat>
                  <c:multiLvlStrRef>
                    <c:extLst>
                      <c:ext uri="{02D57815-91ED-43cb-92C2-25804820EDAC}">
                        <c15:formulaRef>
                          <c15:sqref>Datenblatt!$E$267:$J$267</c15:sqref>
                        </c15:formulaRef>
                      </c:ext>
                    </c:extLst>
                  </c:multiLvlStrRef>
                </c15:cat>
              </c15:filteredCategoryTitle>
            </c:ext>
            <c:ext xmlns:c16="http://schemas.microsoft.com/office/drawing/2014/chart" uri="{C3380CC4-5D6E-409C-BE32-E72D297353CC}">
              <c16:uniqueId val="{00000002-5438-4BC2-B4F9-74ACEA2BE423}"/>
            </c:ext>
          </c:extLst>
        </c:ser>
        <c:dLbls>
          <c:showLegendKey val="0"/>
          <c:showVal val="0"/>
          <c:showCatName val="0"/>
          <c:showSerName val="0"/>
          <c:showPercent val="0"/>
          <c:showBubbleSize val="0"/>
        </c:dLbls>
        <c:axId val="92590848"/>
        <c:axId val="92592384"/>
      </c:stockChart>
      <c:catAx>
        <c:axId val="9259084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a:pPr>
            <a:endParaRPr lang="de-DE"/>
          </a:p>
        </c:txPr>
        <c:crossAx val="92592384"/>
        <c:crosses val="autoZero"/>
        <c:auto val="1"/>
        <c:lblAlgn val="ctr"/>
        <c:lblOffset val="100"/>
        <c:tickLblSkip val="1"/>
        <c:tickMarkSkip val="1"/>
        <c:noMultiLvlLbl val="0"/>
      </c:catAx>
      <c:valAx>
        <c:axId val="92592384"/>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a:pPr>
            <a:endParaRPr lang="de-DE"/>
          </a:p>
        </c:txPr>
        <c:crossAx val="92590848"/>
        <c:crosses val="autoZero"/>
        <c:crossBetween val="between"/>
      </c:valAx>
      <c:spPr>
        <a:noFill/>
        <a:ln w="25400">
          <a:noFill/>
        </a:ln>
      </c:spPr>
    </c:plotArea>
    <c:legend>
      <c:legendPos val="t"/>
      <c:layout>
        <c:manualLayout>
          <c:xMode val="edge"/>
          <c:yMode val="edge"/>
          <c:x val="0.11359045413784323"/>
          <c:y val="4.1367660250283067E-3"/>
          <c:w val="0.38742436100152794"/>
          <c:h val="6.926452375271272E-2"/>
        </c:manualLayout>
      </c:layout>
      <c:overlay val="0"/>
      <c:spPr>
        <a:noFill/>
        <a:ln w="25400">
          <a:noFill/>
        </a:ln>
      </c:spPr>
    </c:legend>
    <c:plotVisOnly val="1"/>
    <c:dispBlanksAs val="gap"/>
    <c:showDLblsOverMax val="0"/>
  </c:chart>
  <c:spPr>
    <a:noFill/>
    <a:ln w="9525">
      <a:noFill/>
    </a:ln>
  </c:spPr>
  <c:txPr>
    <a:bodyPr/>
    <a:lstStyle/>
    <a:p>
      <a:pPr>
        <a:defRPr sz="800" b="0" i="0" u="none" strike="noStrike" baseline="0">
          <a:solidFill>
            <a:schemeClr val="tx1"/>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8" orientation="landscape" horizontalDpi="-3" verticalDpi="1200"/>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1015882818377"/>
          <c:y val="4.3421494699833238E-2"/>
          <c:w val="0.80661591112311914"/>
          <c:h val="0.7454412290295005"/>
        </c:manualLayout>
      </c:layout>
      <c:barChart>
        <c:barDir val="col"/>
        <c:grouping val="clustered"/>
        <c:varyColors val="0"/>
        <c:ser>
          <c:idx val="0"/>
          <c:order val="0"/>
          <c:spPr>
            <a:solidFill>
              <a:srgbClr val="333333"/>
            </a:solidFill>
            <a:ln w="25400">
              <a:noFill/>
            </a:ln>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Profile!$D$569:$D$580</c:f>
              <c:numCache>
                <c:formatCode>0.0</c:formatCode>
                <c:ptCount val="12"/>
                <c:pt idx="0">
                  <c:v>0.8</c:v>
                </c:pt>
                <c:pt idx="1">
                  <c:v>0.8</c:v>
                </c:pt>
                <c:pt idx="2">
                  <c:v>0.8</c:v>
                </c:pt>
                <c:pt idx="3">
                  <c:v>0.8</c:v>
                </c:pt>
                <c:pt idx="4">
                  <c:v>0.8</c:v>
                </c:pt>
                <c:pt idx="5">
                  <c:v>0.8</c:v>
                </c:pt>
                <c:pt idx="6">
                  <c:v>0.8</c:v>
                </c:pt>
                <c:pt idx="7">
                  <c:v>0.8</c:v>
                </c:pt>
                <c:pt idx="8">
                  <c:v>0.8</c:v>
                </c:pt>
                <c:pt idx="9">
                  <c:v>0.8</c:v>
                </c:pt>
                <c:pt idx="10">
                  <c:v>0.8</c:v>
                </c:pt>
                <c:pt idx="11">
                  <c:v>0.8</c:v>
                </c:pt>
              </c:numCache>
            </c:numRef>
          </c:val>
          <c:extLst>
            <c:ext xmlns:c16="http://schemas.microsoft.com/office/drawing/2014/chart" uri="{C3380CC4-5D6E-409C-BE32-E72D297353CC}">
              <c16:uniqueId val="{00000000-3567-4CD0-A622-4D298DD081B6}"/>
            </c:ext>
          </c:extLst>
        </c:ser>
        <c:dLbls>
          <c:showLegendKey val="0"/>
          <c:showVal val="0"/>
          <c:showCatName val="0"/>
          <c:showSerName val="0"/>
          <c:showPercent val="0"/>
          <c:showBubbleSize val="0"/>
        </c:dLbls>
        <c:gapWidth val="300"/>
        <c:axId val="92739456"/>
        <c:axId val="92740992"/>
      </c:barChart>
      <c:catAx>
        <c:axId val="9273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740992"/>
        <c:crosses val="autoZero"/>
        <c:auto val="1"/>
        <c:lblAlgn val="ctr"/>
        <c:lblOffset val="100"/>
        <c:tickLblSkip val="1"/>
        <c:tickMarkSkip val="1"/>
        <c:noMultiLvlLbl val="0"/>
      </c:catAx>
      <c:valAx>
        <c:axId val="92740992"/>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739456"/>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072087152442063"/>
          <c:h val="0.80332159642811185"/>
        </c:manualLayout>
      </c:layout>
      <c:barChart>
        <c:barDir val="col"/>
        <c:grouping val="stacked"/>
        <c:varyColors val="0"/>
        <c:ser>
          <c:idx val="1"/>
          <c:order val="0"/>
          <c:tx>
            <c:strRef>
              <c:f>Profile!$I$567</c:f>
              <c:strCache>
                <c:ptCount val="1"/>
                <c:pt idx="0">
                  <c:v>Personen</c:v>
                </c:pt>
              </c:strCache>
            </c:strRef>
          </c:tx>
          <c:spPr>
            <a:solidFill>
              <a:srgbClr val="92D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Profile!$I$569:$I$580</c:f>
              <c:numCache>
                <c:formatCode>0.0</c:formatCode>
                <c:ptCount val="12"/>
                <c:pt idx="0">
                  <c:v>0.83327610292860699</c:v>
                </c:pt>
                <c:pt idx="1">
                  <c:v>0.83273257931565425</c:v>
                </c:pt>
                <c:pt idx="2">
                  <c:v>0.76784518627004339</c:v>
                </c:pt>
                <c:pt idx="3">
                  <c:v>0.58682412645542303</c:v>
                </c:pt>
                <c:pt idx="4">
                  <c:v>0.32849959530394307</c:v>
                </c:pt>
                <c:pt idx="5">
                  <c:v>0.83328000000000013</c:v>
                </c:pt>
                <c:pt idx="6">
                  <c:v>0.83328000000000013</c:v>
                </c:pt>
                <c:pt idx="7">
                  <c:v>0.83328000000000013</c:v>
                </c:pt>
                <c:pt idx="8">
                  <c:v>0.35858436539334893</c:v>
                </c:pt>
                <c:pt idx="9">
                  <c:v>0.69993583740223786</c:v>
                </c:pt>
                <c:pt idx="10">
                  <c:v>0.83317084045909895</c:v>
                </c:pt>
                <c:pt idx="11">
                  <c:v>0.83327594230484858</c:v>
                </c:pt>
              </c:numCache>
            </c:numRef>
          </c:val>
          <c:extLst>
            <c:ext xmlns:c16="http://schemas.microsoft.com/office/drawing/2014/chart" uri="{C3380CC4-5D6E-409C-BE32-E72D297353CC}">
              <c16:uniqueId val="{00000000-380B-443C-A023-702D7282DDF1}"/>
            </c:ext>
          </c:extLst>
        </c:ser>
        <c:ser>
          <c:idx val="2"/>
          <c:order val="1"/>
          <c:tx>
            <c:strRef>
              <c:f>Profile!$K$567</c:f>
              <c:strCache>
                <c:ptCount val="1"/>
                <c:pt idx="0">
                  <c:v>Geräte+Bel.</c:v>
                </c:pt>
              </c:strCache>
            </c:strRef>
          </c:tx>
          <c:spPr>
            <a:solidFill>
              <a:srgbClr val="00B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Profile!$K$569:$K$580</c:f>
              <c:numCache>
                <c:formatCode>0.0</c:formatCode>
                <c:ptCount val="12"/>
                <c:pt idx="0">
                  <c:v>2.0485702137533224</c:v>
                </c:pt>
                <c:pt idx="1">
                  <c:v>2.0472339864451672</c:v>
                </c:pt>
                <c:pt idx="2">
                  <c:v>1.8877113742231628</c:v>
                </c:pt>
                <c:pt idx="3">
                  <c:v>1.4426795895662328</c:v>
                </c:pt>
                <c:pt idx="4">
                  <c:v>0.80760084659158371</c:v>
                </c:pt>
                <c:pt idx="5">
                  <c:v>2.0485797945205482</c:v>
                </c:pt>
                <c:pt idx="6">
                  <c:v>2.0485797945205482</c:v>
                </c:pt>
                <c:pt idx="7">
                  <c:v>2.0485797945205482</c:v>
                </c:pt>
                <c:pt idx="8">
                  <c:v>0.88156284271287899</c:v>
                </c:pt>
                <c:pt idx="9">
                  <c:v>1.7207594253588758</c:v>
                </c:pt>
                <c:pt idx="10">
                  <c:v>2.0483114309094339</c:v>
                </c:pt>
                <c:pt idx="11">
                  <c:v>2.0485698188673465</c:v>
                </c:pt>
              </c:numCache>
            </c:numRef>
          </c:val>
          <c:extLst>
            <c:ext xmlns:c16="http://schemas.microsoft.com/office/drawing/2014/chart" uri="{C3380CC4-5D6E-409C-BE32-E72D297353CC}">
              <c16:uniqueId val="{00000001-380B-443C-A023-702D7282DDF1}"/>
            </c:ext>
          </c:extLst>
        </c:ser>
        <c:ser>
          <c:idx val="5"/>
          <c:order val="2"/>
          <c:tx>
            <c:strRef>
              <c:f>Profile!$N$567</c:f>
              <c:strCache>
                <c:ptCount val="1"/>
                <c:pt idx="0">
                  <c:v>Solarstrahlung</c:v>
                </c:pt>
              </c:strCache>
            </c:strRef>
          </c:tx>
          <c:spPr>
            <a:solidFill>
              <a:schemeClr val="accent6"/>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Profile!$N$569:$N$580</c:f>
              <c:numCache>
                <c:formatCode>0.0</c:formatCode>
                <c:ptCount val="12"/>
                <c:pt idx="0">
                  <c:v>1.7646976292029659</c:v>
                </c:pt>
                <c:pt idx="1">
                  <c:v>2.71145284269496</c:v>
                </c:pt>
                <c:pt idx="2">
                  <c:v>4.0246697021939317</c:v>
                </c:pt>
                <c:pt idx="3">
                  <c:v>3.5884866010860703</c:v>
                </c:pt>
                <c:pt idx="4">
                  <c:v>2.4957904796203567</c:v>
                </c:pt>
                <c:pt idx="5">
                  <c:v>1.8714705882352944</c:v>
                </c:pt>
                <c:pt idx="6">
                  <c:v>2.0197058823529419</c:v>
                </c:pt>
                <c:pt idx="7">
                  <c:v>1.8220588235294117</c:v>
                </c:pt>
                <c:pt idx="8">
                  <c:v>2.0693751603095256</c:v>
                </c:pt>
                <c:pt idx="9">
                  <c:v>2.6311036853419201</c:v>
                </c:pt>
                <c:pt idx="10">
                  <c:v>1.6541950370408753</c:v>
                </c:pt>
                <c:pt idx="11">
                  <c:v>1.3014642506646148</c:v>
                </c:pt>
              </c:numCache>
            </c:numRef>
          </c:val>
          <c:extLst>
            <c:ext xmlns:c16="http://schemas.microsoft.com/office/drawing/2014/chart" uri="{C3380CC4-5D6E-409C-BE32-E72D297353CC}">
              <c16:uniqueId val="{00000002-380B-443C-A023-702D7282DDF1}"/>
            </c:ext>
          </c:extLst>
        </c:ser>
        <c:ser>
          <c:idx val="6"/>
          <c:order val="3"/>
          <c:tx>
            <c:strRef>
              <c:f>Profile!$Q$567</c:f>
              <c:strCache>
                <c:ptCount val="1"/>
                <c:pt idx="0">
                  <c:v>Lüftung</c:v>
                </c:pt>
              </c:strCache>
            </c:strRef>
          </c:tx>
          <c:spPr>
            <a:solidFill>
              <a:srgbClr val="00B0F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Profile!$Q$569:$Q$580</c:f>
              <c:numCache>
                <c:formatCode>0.0</c:formatCode>
                <c:ptCount val="12"/>
                <c:pt idx="0">
                  <c:v>-1.692236077714286</c:v>
                </c:pt>
                <c:pt idx="1">
                  <c:v>-1.4435562239999999</c:v>
                </c:pt>
                <c:pt idx="2">
                  <c:v>-1.2926803371428572</c:v>
                </c:pt>
                <c:pt idx="3">
                  <c:v>-1.0311115885714286</c:v>
                </c:pt>
                <c:pt idx="4">
                  <c:v>-0.67376066057142869</c:v>
                </c:pt>
                <c:pt idx="5">
                  <c:v>-0.71074985142857161</c:v>
                </c:pt>
                <c:pt idx="6">
                  <c:v>-0.55083113485714308</c:v>
                </c:pt>
                <c:pt idx="7">
                  <c:v>-0.55083113485714308</c:v>
                </c:pt>
                <c:pt idx="8">
                  <c:v>-0.60653622857142853</c:v>
                </c:pt>
                <c:pt idx="9">
                  <c:v>-0.94796558057142866</c:v>
                </c:pt>
                <c:pt idx="10">
                  <c:v>-1.3495431085714289</c:v>
                </c:pt>
                <c:pt idx="11">
                  <c:v>-1.5825541097142857</c:v>
                </c:pt>
              </c:numCache>
            </c:numRef>
          </c:val>
          <c:extLst>
            <c:ext xmlns:c16="http://schemas.microsoft.com/office/drawing/2014/chart" uri="{C3380CC4-5D6E-409C-BE32-E72D297353CC}">
              <c16:uniqueId val="{00000003-380B-443C-A023-702D7282DDF1}"/>
            </c:ext>
          </c:extLst>
        </c:ser>
        <c:ser>
          <c:idx val="7"/>
          <c:order val="4"/>
          <c:tx>
            <c:strRef>
              <c:f>Profile!$T$567</c:f>
              <c:strCache>
                <c:ptCount val="1"/>
                <c:pt idx="0">
                  <c:v>Transmission</c:v>
                </c:pt>
              </c:strCache>
            </c:strRef>
          </c:tx>
          <c:spPr>
            <a:solidFill>
              <a:schemeClr val="accent2">
                <a:lumMod val="60000"/>
                <a:lumOff val="40000"/>
              </a:schemeClr>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Profile!$T$569:$T$580</c:f>
              <c:numCache>
                <c:formatCode>0.0</c:formatCode>
                <c:ptCount val="12"/>
                <c:pt idx="0">
                  <c:v>-7.808234047058825</c:v>
                </c:pt>
                <c:pt idx="1">
                  <c:v>-6.3379007999999999</c:v>
                </c:pt>
                <c:pt idx="2">
                  <c:v>-5.6754836470588232</c:v>
                </c:pt>
                <c:pt idx="3">
                  <c:v>-4.5270720000000004</c:v>
                </c:pt>
                <c:pt idx="4">
                  <c:v>-2.9581308705882354</c:v>
                </c:pt>
                <c:pt idx="5">
                  <c:v>-2.9292818823529418</c:v>
                </c:pt>
                <c:pt idx="6">
                  <c:v>-2.2701934588235302</c:v>
                </c:pt>
                <c:pt idx="7">
                  <c:v>-2.2701934588235302</c:v>
                </c:pt>
                <c:pt idx="8">
                  <c:v>-2.6629835294117656</c:v>
                </c:pt>
                <c:pt idx="9">
                  <c:v>-4.1620213411764704</c:v>
                </c:pt>
                <c:pt idx="10">
                  <c:v>-5.9251383529411772</c:v>
                </c:pt>
                <c:pt idx="11">
                  <c:v>-6.9481678588235294</c:v>
                </c:pt>
              </c:numCache>
            </c:numRef>
          </c:val>
          <c:extLst>
            <c:ext xmlns:c16="http://schemas.microsoft.com/office/drawing/2014/chart" uri="{C3380CC4-5D6E-409C-BE32-E72D297353CC}">
              <c16:uniqueId val="{00000004-380B-443C-A023-702D7282DDF1}"/>
            </c:ext>
          </c:extLst>
        </c:ser>
        <c:ser>
          <c:idx val="0"/>
          <c:order val="5"/>
          <c:tx>
            <c:strRef>
              <c:f>Profile!$U$567</c:f>
              <c:strCache>
                <c:ptCount val="1"/>
                <c:pt idx="0">
                  <c:v>Klimakälte</c:v>
                </c:pt>
              </c:strCache>
            </c:strRef>
          </c:tx>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Profile!$U$569:$U$580</c:f>
              <c:numCache>
                <c:formatCode>0.0</c:formatCode>
                <c:ptCount val="12"/>
                <c:pt idx="0">
                  <c:v>0</c:v>
                </c:pt>
                <c:pt idx="1">
                  <c:v>0</c:v>
                </c:pt>
                <c:pt idx="2">
                  <c:v>0</c:v>
                </c:pt>
                <c:pt idx="3">
                  <c:v>0</c:v>
                </c:pt>
                <c:pt idx="4">
                  <c:v>0</c:v>
                </c:pt>
                <c:pt idx="5">
                  <c:v>-1.020335429796247</c:v>
                </c:pt>
                <c:pt idx="6">
                  <c:v>-2.0805410831928164</c:v>
                </c:pt>
                <c:pt idx="7">
                  <c:v>-1.8828940243692862</c:v>
                </c:pt>
                <c:pt idx="8">
                  <c:v>0</c:v>
                </c:pt>
                <c:pt idx="9">
                  <c:v>0</c:v>
                </c:pt>
                <c:pt idx="10">
                  <c:v>0</c:v>
                </c:pt>
                <c:pt idx="11">
                  <c:v>0</c:v>
                </c:pt>
              </c:numCache>
            </c:numRef>
          </c:val>
          <c:extLst>
            <c:ext xmlns:c16="http://schemas.microsoft.com/office/drawing/2014/chart" uri="{C3380CC4-5D6E-409C-BE32-E72D297353CC}">
              <c16:uniqueId val="{00000005-380B-443C-A023-702D7282DDF1}"/>
            </c:ext>
          </c:extLst>
        </c:ser>
        <c:ser>
          <c:idx val="3"/>
          <c:order val="6"/>
          <c:tx>
            <c:strRef>
              <c:f>Profile!$V$567</c:f>
              <c:strCache>
                <c:ptCount val="1"/>
                <c:pt idx="0">
                  <c:v>Heizwärme</c:v>
                </c:pt>
              </c:strCache>
            </c:strRef>
          </c:tx>
          <c:spPr>
            <a:solidFill>
              <a:srgbClr val="FF0000"/>
            </a:solidFill>
          </c:spPr>
          <c:invertIfNegative val="0"/>
          <c:val>
            <c:numRef>
              <c:f>Profile!$V$569:$V$580</c:f>
              <c:numCache>
                <c:formatCode>0.0</c:formatCode>
                <c:ptCount val="12"/>
                <c:pt idx="0">
                  <c:v>4.8539261788882166</c:v>
                </c:pt>
                <c:pt idx="1">
                  <c:v>2.4687440573920396</c:v>
                </c:pt>
                <c:pt idx="2">
                  <c:v>0.28793772151454178</c:v>
                </c:pt>
                <c:pt idx="3">
                  <c:v>5.6611332708526403E-3</c:v>
                </c:pt>
                <c:pt idx="4">
                  <c:v>6.0964378088988895E-7</c:v>
                </c:pt>
                <c:pt idx="5">
                  <c:v>3.0933971433771351E-10</c:v>
                </c:pt>
                <c:pt idx="6">
                  <c:v>6.4146219200564593E-14</c:v>
                </c:pt>
                <c:pt idx="7">
                  <c:v>1.9194522514630484E-13</c:v>
                </c:pt>
                <c:pt idx="8">
                  <c:v>2.1382160284330907E-6</c:v>
                </c:pt>
                <c:pt idx="9">
                  <c:v>5.8187973644864895E-2</c:v>
                </c:pt>
                <c:pt idx="10">
                  <c:v>2.831955194115086</c:v>
                </c:pt>
                <c:pt idx="11">
                  <c:v>4.3474119567010066</c:v>
                </c:pt>
              </c:numCache>
            </c:numRef>
          </c:val>
          <c:extLst>
            <c:ext xmlns:c16="http://schemas.microsoft.com/office/drawing/2014/chart" uri="{C3380CC4-5D6E-409C-BE32-E72D297353CC}">
              <c16:uniqueId val="{00000006-380B-443C-A023-702D7282DDF1}"/>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strRef>
              <c:f>Begriffe!$F$419</c:f>
              <c:strCache>
                <c:ptCount val="1"/>
                <c:pt idx="0">
                  <c:v>Wärmebilanz, kWh/m2</c:v>
                </c:pt>
              </c:strCache>
            </c:strRef>
          </c:tx>
          <c:layout>
            <c:manualLayout>
              <c:xMode val="edge"/>
              <c:yMode val="edge"/>
              <c:x val="1.2566316762246746E-2"/>
              <c:y val="0.25251335897669769"/>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spPr>
        <a:noFill/>
        <a:ln w="25400">
          <a:noFill/>
        </a:ln>
      </c:spPr>
    </c:plotArea>
    <c:legend>
      <c:legendPos val="r"/>
      <c:layout>
        <c:manualLayout>
          <c:xMode val="edge"/>
          <c:yMode val="edge"/>
          <c:x val="0.78894877533882679"/>
          <c:y val="0.23491948839684595"/>
          <c:w val="0.21105122466117318"/>
          <c:h val="0.56949579349630053"/>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chemeClr val="bg1"/>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Profile!$C$91</c:f>
              <c:strCache>
                <c:ptCount val="1"/>
                <c:pt idx="0">
                  <c:v>Personen</c:v>
                </c:pt>
              </c:strCache>
            </c:strRef>
          </c:tx>
          <c:spPr>
            <a:solidFill>
              <a:srgbClr val="92D050"/>
            </a:solidFill>
          </c:spPr>
          <c:invertIfNegative val="0"/>
          <c:val>
            <c:numRef>
              <c:f>Profile!$C$98:$C$121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4423-41AD-BB21-0EDAB6060001}"/>
            </c:ext>
          </c:extLst>
        </c:ser>
        <c:ser>
          <c:idx val="2"/>
          <c:order val="1"/>
          <c:tx>
            <c:strRef>
              <c:f>Profile!$D$91</c:f>
              <c:strCache>
                <c:ptCount val="1"/>
                <c:pt idx="0">
                  <c:v>Geräte</c:v>
                </c:pt>
              </c:strCache>
            </c:strRef>
          </c:tx>
          <c:spPr>
            <a:solidFill>
              <a:srgbClr val="00B050"/>
            </a:solidFill>
          </c:spPr>
          <c:invertIfNegative val="0"/>
          <c:val>
            <c:numRef>
              <c:f>Profile!$D$98:$D$121</c:f>
              <c:numCache>
                <c:formatCode>0.0</c:formatCode>
                <c:ptCount val="24"/>
                <c:pt idx="0">
                  <c:v>2</c:v>
                </c:pt>
                <c:pt idx="1">
                  <c:v>2</c:v>
                </c:pt>
                <c:pt idx="2">
                  <c:v>2</c:v>
                </c:pt>
                <c:pt idx="3">
                  <c:v>2</c:v>
                </c:pt>
                <c:pt idx="4">
                  <c:v>2</c:v>
                </c:pt>
                <c:pt idx="5">
                  <c:v>2</c:v>
                </c:pt>
                <c:pt idx="6">
                  <c:v>8</c:v>
                </c:pt>
                <c:pt idx="7">
                  <c:v>2</c:v>
                </c:pt>
                <c:pt idx="8">
                  <c:v>2</c:v>
                </c:pt>
                <c:pt idx="9">
                  <c:v>2</c:v>
                </c:pt>
                <c:pt idx="10">
                  <c:v>2</c:v>
                </c:pt>
                <c:pt idx="11">
                  <c:v>2</c:v>
                </c:pt>
                <c:pt idx="12">
                  <c:v>8</c:v>
                </c:pt>
                <c:pt idx="13">
                  <c:v>2</c:v>
                </c:pt>
                <c:pt idx="14">
                  <c:v>2</c:v>
                </c:pt>
                <c:pt idx="15">
                  <c:v>2</c:v>
                </c:pt>
                <c:pt idx="16">
                  <c:v>2</c:v>
                </c:pt>
                <c:pt idx="17">
                  <c:v>2</c:v>
                </c:pt>
                <c:pt idx="18">
                  <c:v>8</c:v>
                </c:pt>
                <c:pt idx="19">
                  <c:v>10</c:v>
                </c:pt>
                <c:pt idx="20">
                  <c:v>2</c:v>
                </c:pt>
                <c:pt idx="21">
                  <c:v>2</c:v>
                </c:pt>
                <c:pt idx="22">
                  <c:v>2</c:v>
                </c:pt>
                <c:pt idx="23">
                  <c:v>2</c:v>
                </c:pt>
              </c:numCache>
            </c:numRef>
          </c:val>
          <c:extLst>
            <c:ext xmlns:c16="http://schemas.microsoft.com/office/drawing/2014/chart" uri="{C3380CC4-5D6E-409C-BE32-E72D297353CC}">
              <c16:uniqueId val="{00000001-4423-41AD-BB21-0EDAB6060001}"/>
            </c:ext>
          </c:extLst>
        </c:ser>
        <c:ser>
          <c:idx val="4"/>
          <c:order val="2"/>
          <c:tx>
            <c:strRef>
              <c:f>Profile!$F$91</c:f>
              <c:strCache>
                <c:ptCount val="1"/>
                <c:pt idx="0">
                  <c:v>Beleuchtung</c:v>
                </c:pt>
              </c:strCache>
            </c:strRef>
          </c:tx>
          <c:spPr>
            <a:solidFill>
              <a:srgbClr val="FFFF00"/>
            </a:solidFill>
          </c:spPr>
          <c:invertIfNegative val="0"/>
          <c:val>
            <c:numRef>
              <c:f>Profile!$F$98:$F$121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2.9791666666666674</c:v>
                </c:pt>
                <c:pt idx="20">
                  <c:v>2.9791666666666674</c:v>
                </c:pt>
                <c:pt idx="21">
                  <c:v>2.9791666666666674</c:v>
                </c:pt>
                <c:pt idx="22">
                  <c:v>0</c:v>
                </c:pt>
                <c:pt idx="23">
                  <c:v>0</c:v>
                </c:pt>
              </c:numCache>
            </c:numRef>
          </c:val>
          <c:extLst>
            <c:ext xmlns:c16="http://schemas.microsoft.com/office/drawing/2014/chart" uri="{C3380CC4-5D6E-409C-BE32-E72D297353CC}">
              <c16:uniqueId val="{00000002-4423-41AD-BB21-0EDAB6060001}"/>
            </c:ext>
          </c:extLst>
        </c:ser>
        <c:ser>
          <c:idx val="5"/>
          <c:order val="3"/>
          <c:tx>
            <c:strRef>
              <c:f>Profile!$H$91</c:f>
              <c:strCache>
                <c:ptCount val="1"/>
                <c:pt idx="0">
                  <c:v>Solarstrahlung</c:v>
                </c:pt>
              </c:strCache>
            </c:strRef>
          </c:tx>
          <c:spPr>
            <a:solidFill>
              <a:schemeClr val="accent6"/>
            </a:solidFill>
          </c:spPr>
          <c:invertIfNegative val="0"/>
          <c:val>
            <c:numRef>
              <c:f>Profile!$J$98:$J$121</c:f>
              <c:numCache>
                <c:formatCode>0.0</c:formatCode>
                <c:ptCount val="24"/>
                <c:pt idx="0">
                  <c:v>0</c:v>
                </c:pt>
                <c:pt idx="1">
                  <c:v>0</c:v>
                </c:pt>
                <c:pt idx="2">
                  <c:v>0</c:v>
                </c:pt>
                <c:pt idx="3">
                  <c:v>0</c:v>
                </c:pt>
                <c:pt idx="4">
                  <c:v>0.2382352941176471</c:v>
                </c:pt>
                <c:pt idx="5">
                  <c:v>2.5411764705882356</c:v>
                </c:pt>
                <c:pt idx="6">
                  <c:v>5.1617647058823533</c:v>
                </c:pt>
                <c:pt idx="7">
                  <c:v>6.1147058823529417</c:v>
                </c:pt>
                <c:pt idx="8">
                  <c:v>7.7029411764705884</c:v>
                </c:pt>
                <c:pt idx="9">
                  <c:v>8.8941176470588239</c:v>
                </c:pt>
                <c:pt idx="10">
                  <c:v>9.2911764705882351</c:v>
                </c:pt>
                <c:pt idx="11">
                  <c:v>10.164705882352942</c:v>
                </c:pt>
                <c:pt idx="12">
                  <c:v>5.9368235294117655</c:v>
                </c:pt>
                <c:pt idx="13">
                  <c:v>10.139294117647061</c:v>
                </c:pt>
                <c:pt idx="14">
                  <c:v>13.385647058823533</c:v>
                </c:pt>
                <c:pt idx="15">
                  <c:v>15.120000000000003</c:v>
                </c:pt>
                <c:pt idx="16">
                  <c:v>14.89764705882353</c:v>
                </c:pt>
                <c:pt idx="17">
                  <c:v>12.251647058823533</c:v>
                </c:pt>
                <c:pt idx="18">
                  <c:v>5.2920000000000016</c:v>
                </c:pt>
                <c:pt idx="19">
                  <c:v>0</c:v>
                </c:pt>
                <c:pt idx="20">
                  <c:v>0</c:v>
                </c:pt>
                <c:pt idx="21">
                  <c:v>0</c:v>
                </c:pt>
                <c:pt idx="22">
                  <c:v>0</c:v>
                </c:pt>
                <c:pt idx="23">
                  <c:v>0</c:v>
                </c:pt>
              </c:numCache>
            </c:numRef>
          </c:val>
          <c:extLst>
            <c:ext xmlns:c16="http://schemas.microsoft.com/office/drawing/2014/chart" uri="{C3380CC4-5D6E-409C-BE32-E72D297353CC}">
              <c16:uniqueId val="{00000003-4423-41AD-BB21-0EDAB6060001}"/>
            </c:ext>
          </c:extLst>
        </c:ser>
        <c:ser>
          <c:idx val="6"/>
          <c:order val="4"/>
          <c:tx>
            <c:strRef>
              <c:f>Profile!$K$91</c:f>
              <c:strCache>
                <c:ptCount val="1"/>
                <c:pt idx="0">
                  <c:v>Lüftung</c:v>
                </c:pt>
              </c:strCache>
            </c:strRef>
          </c:tx>
          <c:spPr>
            <a:solidFill>
              <a:srgbClr val="00B0F0"/>
            </a:solidFill>
          </c:spPr>
          <c:invertIfNegative val="0"/>
          <c:val>
            <c:numRef>
              <c:f>Profile!$O$98:$O$121</c:f>
              <c:numCache>
                <c:formatCode>0.00</c:formatCode>
                <c:ptCount val="24"/>
                <c:pt idx="0">
                  <c:v>-1.9101714285714291</c:v>
                </c:pt>
                <c:pt idx="1">
                  <c:v>-2.0980571428571428</c:v>
                </c:pt>
                <c:pt idx="2">
                  <c:v>-2.2546285714285714</c:v>
                </c:pt>
                <c:pt idx="3">
                  <c:v>-2.3798857142857153</c:v>
                </c:pt>
                <c:pt idx="4">
                  <c:v>-2.4112</c:v>
                </c:pt>
                <c:pt idx="5">
                  <c:v>-2.2233142857142862</c:v>
                </c:pt>
                <c:pt idx="6">
                  <c:v>-1.7849142857142855</c:v>
                </c:pt>
                <c:pt idx="7">
                  <c:v>-1.2838857142857147</c:v>
                </c:pt>
                <c:pt idx="8">
                  <c:v>-0.62628571428571433</c:v>
                </c:pt>
                <c:pt idx="9">
                  <c:v>-0.31314285714285717</c:v>
                </c:pt>
                <c:pt idx="10">
                  <c:v>0.21919999999999978</c:v>
                </c:pt>
                <c:pt idx="11">
                  <c:v>0.26309485714285741</c:v>
                </c:pt>
                <c:pt idx="12">
                  <c:v>0.43051885714285759</c:v>
                </c:pt>
                <c:pt idx="13">
                  <c:v>0.53814857142857142</c:v>
                </c:pt>
                <c:pt idx="14">
                  <c:v>0.64577828571428531</c:v>
                </c:pt>
                <c:pt idx="15">
                  <c:v>0.70557257142857144</c:v>
                </c:pt>
                <c:pt idx="16">
                  <c:v>0.71753142857142882</c:v>
                </c:pt>
                <c:pt idx="17">
                  <c:v>0.55010742857142891</c:v>
                </c:pt>
                <c:pt idx="18">
                  <c:v>0.43839999999999957</c:v>
                </c:pt>
                <c:pt idx="19">
                  <c:v>0.12525714285714243</c:v>
                </c:pt>
                <c:pt idx="20">
                  <c:v>0.28182857142857098</c:v>
                </c:pt>
                <c:pt idx="21">
                  <c:v>-0.34445714285714329</c:v>
                </c:pt>
                <c:pt idx="22">
                  <c:v>-0.97074285714285768</c:v>
                </c:pt>
                <c:pt idx="23">
                  <c:v>-1.3151999999999999</c:v>
                </c:pt>
              </c:numCache>
            </c:numRef>
          </c:val>
          <c:extLst>
            <c:ext xmlns:c16="http://schemas.microsoft.com/office/drawing/2014/chart" uri="{C3380CC4-5D6E-409C-BE32-E72D297353CC}">
              <c16:uniqueId val="{00000004-4423-41AD-BB21-0EDAB6060001}"/>
            </c:ext>
          </c:extLst>
        </c:ser>
        <c:ser>
          <c:idx val="7"/>
          <c:order val="5"/>
          <c:tx>
            <c:strRef>
              <c:f>Profile!$P$91</c:f>
              <c:strCache>
                <c:ptCount val="1"/>
                <c:pt idx="0">
                  <c:v>Transmission</c:v>
                </c:pt>
              </c:strCache>
            </c:strRef>
          </c:tx>
          <c:spPr>
            <a:solidFill>
              <a:schemeClr val="accent2">
                <a:lumMod val="60000"/>
                <a:lumOff val="40000"/>
              </a:schemeClr>
            </a:solidFill>
          </c:spPr>
          <c:invertIfNegative val="0"/>
          <c:val>
            <c:numRef>
              <c:f>Profile!$P$98:$P$121</c:f>
              <c:numCache>
                <c:formatCode>0.0</c:formatCode>
                <c:ptCount val="24"/>
                <c:pt idx="0">
                  <c:v>-2.820173529411766</c:v>
                </c:pt>
                <c:pt idx="1">
                  <c:v>-3.097567647058824</c:v>
                </c:pt>
                <c:pt idx="2">
                  <c:v>-3.3287294117647064</c:v>
                </c:pt>
                <c:pt idx="3">
                  <c:v>-3.5136588235294131</c:v>
                </c:pt>
                <c:pt idx="4">
                  <c:v>-3.5598911764705887</c:v>
                </c:pt>
                <c:pt idx="5">
                  <c:v>-3.2824970588235307</c:v>
                </c:pt>
                <c:pt idx="6">
                  <c:v>-2.6352441176470589</c:v>
                </c:pt>
                <c:pt idx="7">
                  <c:v>-1.8955264705882364</c:v>
                </c:pt>
                <c:pt idx="8">
                  <c:v>-0.9246470588235296</c:v>
                </c:pt>
                <c:pt idx="9">
                  <c:v>-0.4623235294117648</c:v>
                </c:pt>
                <c:pt idx="10">
                  <c:v>0.32362647058823502</c:v>
                </c:pt>
                <c:pt idx="11">
                  <c:v>1.0171117647058823</c:v>
                </c:pt>
                <c:pt idx="12">
                  <c:v>1.6643647058823539</c:v>
                </c:pt>
                <c:pt idx="13">
                  <c:v>2.0804558823529415</c:v>
                </c:pt>
                <c:pt idx="14">
                  <c:v>2.4965470588235292</c:v>
                </c:pt>
                <c:pt idx="15">
                  <c:v>2.7277088235294116</c:v>
                </c:pt>
                <c:pt idx="16">
                  <c:v>2.773941176470589</c:v>
                </c:pt>
                <c:pt idx="17">
                  <c:v>2.1266882352941185</c:v>
                </c:pt>
                <c:pt idx="18">
                  <c:v>0.64725294117647003</c:v>
                </c:pt>
                <c:pt idx="19">
                  <c:v>0.18492941176470526</c:v>
                </c:pt>
                <c:pt idx="20">
                  <c:v>0.41609117647058769</c:v>
                </c:pt>
                <c:pt idx="21">
                  <c:v>-0.50855588235294191</c:v>
                </c:pt>
                <c:pt idx="22">
                  <c:v>-1.4332029411764715</c:v>
                </c:pt>
                <c:pt idx="23">
                  <c:v>-1.9417588235294119</c:v>
                </c:pt>
              </c:numCache>
            </c:numRef>
          </c:val>
          <c:extLst>
            <c:ext xmlns:c16="http://schemas.microsoft.com/office/drawing/2014/chart" uri="{C3380CC4-5D6E-409C-BE32-E72D297353CC}">
              <c16:uniqueId val="{00000005-4423-41AD-BB21-0EDAB6060001}"/>
            </c:ext>
          </c:extLst>
        </c:ser>
        <c:ser>
          <c:idx val="0"/>
          <c:order val="6"/>
          <c:tx>
            <c:strRef>
              <c:f>Profile!$AF$91</c:f>
              <c:strCache>
                <c:ptCount val="1"/>
                <c:pt idx="0">
                  <c:v>Klimakälte</c:v>
                </c:pt>
              </c:strCache>
            </c:strRef>
          </c:tx>
          <c:invertIfNegative val="0"/>
          <c:val>
            <c:numRef>
              <c:f>Profile!$U$98:$U$121</c:f>
              <c:numCache>
                <c:formatCode>0.0</c:formatCode>
                <c:ptCount val="24"/>
                <c:pt idx="0">
                  <c:v>0</c:v>
                </c:pt>
                <c:pt idx="1">
                  <c:v>0</c:v>
                </c:pt>
                <c:pt idx="2">
                  <c:v>0</c:v>
                </c:pt>
                <c:pt idx="3">
                  <c:v>0</c:v>
                </c:pt>
                <c:pt idx="4">
                  <c:v>0</c:v>
                </c:pt>
                <c:pt idx="5">
                  <c:v>-1.4353651260504185</c:v>
                </c:pt>
                <c:pt idx="6">
                  <c:v>-10.18160630252101</c:v>
                </c:pt>
                <c:pt idx="7">
                  <c:v>-5.8952936974789898</c:v>
                </c:pt>
                <c:pt idx="8">
                  <c:v>-8.1520084033613447</c:v>
                </c:pt>
                <c:pt idx="9">
                  <c:v>-10.118651260504201</c:v>
                </c:pt>
                <c:pt idx="10">
                  <c:v>-11.834002941176468</c:v>
                </c:pt>
                <c:pt idx="11">
                  <c:v>-13.444912504201682</c:v>
                </c:pt>
                <c:pt idx="12">
                  <c:v>-17.951707092436976</c:v>
                </c:pt>
                <c:pt idx="13">
                  <c:v>-15.717898571428575</c:v>
                </c:pt>
                <c:pt idx="14">
                  <c:v>-18.52797240336135</c:v>
                </c:pt>
                <c:pt idx="15">
                  <c:v>-20.553281394957988</c:v>
                </c:pt>
                <c:pt idx="16">
                  <c:v>-20.38911966386555</c:v>
                </c:pt>
                <c:pt idx="17">
                  <c:v>-17.888442722689081</c:v>
                </c:pt>
                <c:pt idx="18">
                  <c:v>-16.297652941176473</c:v>
                </c:pt>
                <c:pt idx="19">
                  <c:v>-15.209353221288515</c:v>
                </c:pt>
                <c:pt idx="20">
                  <c:v>-7.5970864145658261</c:v>
                </c:pt>
                <c:pt idx="21">
                  <c:v>-6.5261536414565828</c:v>
                </c:pt>
                <c:pt idx="22">
                  <c:v>-1.9960542016806713</c:v>
                </c:pt>
                <c:pt idx="23">
                  <c:v>-1.1430411764705886</c:v>
                </c:pt>
              </c:numCache>
            </c:numRef>
          </c:val>
          <c:extLst>
            <c:ext xmlns:c16="http://schemas.microsoft.com/office/drawing/2014/chart" uri="{C3380CC4-5D6E-409C-BE32-E72D297353CC}">
              <c16:uniqueId val="{00000006-4423-41AD-BB21-0EDAB6060001}"/>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strRef>
              <c:f>Begriffe!$F$420</c:f>
              <c:strCache>
                <c:ptCount val="1"/>
                <c:pt idx="0">
                  <c:v>Wärmeleistungsbilanz, W/m2</c:v>
                </c:pt>
              </c:strCache>
            </c:strRef>
          </c:tx>
          <c:layout>
            <c:manualLayout>
              <c:xMode val="edge"/>
              <c:yMode val="edge"/>
              <c:x val="1.5027300144505946E-2"/>
              <c:y val="0.20806252807978279"/>
            </c:manualLayout>
          </c:layout>
          <c:overlay val="0"/>
          <c:spPr>
            <a:noFill/>
            <a:ln w="25400">
              <a:noFill/>
            </a:ln>
          </c:spPr>
          <c:txPr>
            <a:bodyPr/>
            <a:lstStyle/>
            <a:p>
              <a:pPr>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78948206715063074"/>
          <c:y val="0.23491937538000587"/>
          <c:w val="0.21051793284936907"/>
          <c:h val="0.54958777285477511"/>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40173481138673"/>
          <c:y val="5.3547350226921253E-2"/>
          <c:w val="0.75217282510274075"/>
          <c:h val="0.71362194616558683"/>
        </c:manualLayout>
      </c:layout>
      <c:barChart>
        <c:barDir val="col"/>
        <c:grouping val="clustered"/>
        <c:varyColors val="0"/>
        <c:ser>
          <c:idx val="0"/>
          <c:order val="0"/>
          <c:tx>
            <c:strRef>
              <c:f>Profile!$C$271</c:f>
              <c:strCache>
                <c:ptCount val="1"/>
                <c:pt idx="0">
                  <c:v>Personenprofil</c:v>
                </c:pt>
              </c:strCache>
            </c:strRef>
          </c:tx>
          <c:spPr>
            <a:solidFill>
              <a:schemeClr val="accent3"/>
            </a:solidFill>
          </c:spPr>
          <c:invertIfNegative val="0"/>
          <c:val>
            <c:numRef>
              <c:f>Profile!$C$278:$C$301</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0-F32E-4F4C-813B-2925792257F7}"/>
            </c:ext>
          </c:extLst>
        </c:ser>
        <c:ser>
          <c:idx val="1"/>
          <c:order val="2"/>
          <c:tx>
            <c:strRef>
              <c:f>Profile!$F$271</c:f>
              <c:strCache>
                <c:ptCount val="1"/>
                <c:pt idx="0">
                  <c:v>Aussenluft-Volumenstrom</c:v>
                </c:pt>
              </c:strCache>
            </c:strRef>
          </c:tx>
          <c:spPr>
            <a:solidFill>
              <a:schemeClr val="accent5"/>
            </a:solidFill>
          </c:spPr>
          <c:invertIfNegative val="0"/>
          <c:val>
            <c:numRef>
              <c:f>Profile!$F$278:$F$301</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1-F32E-4F4C-813B-2925792257F7}"/>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1"/>
          <c:tx>
            <c:strRef>
              <c:f>Profile!$J$271</c:f>
              <c:strCache>
                <c:ptCount val="1"/>
                <c:pt idx="0">
                  <c:v>CO2-Konzentration</c:v>
                </c:pt>
              </c:strCache>
            </c:strRef>
          </c:tx>
          <c:spPr>
            <a:ln w="19050">
              <a:solidFill>
                <a:sysClr val="windowText" lastClr="000000"/>
              </a:solidFill>
            </a:ln>
          </c:spPr>
          <c:marker>
            <c:symbol val="none"/>
          </c:marker>
          <c:val>
            <c:numRef>
              <c:f>Profile!$J$278:$J$301</c:f>
              <c:numCache>
                <c:formatCode>0</c:formatCode>
                <c:ptCount val="24"/>
                <c:pt idx="0">
                  <c:v>1044.6031985517793</c:v>
                </c:pt>
                <c:pt idx="1">
                  <c:v>1062.7831880301155</c:v>
                </c:pt>
                <c:pt idx="2">
                  <c:v>1075.0745033147591</c:v>
                </c:pt>
                <c:pt idx="3">
                  <c:v>1083.3845428561208</c:v>
                </c:pt>
                <c:pt idx="4">
                  <c:v>1089.0028803228417</c:v>
                </c:pt>
                <c:pt idx="5">
                  <c:v>1092.8013840162175</c:v>
                </c:pt>
                <c:pt idx="6">
                  <c:v>1004.5802389725177</c:v>
                </c:pt>
                <c:pt idx="7">
                  <c:v>899.54013659164707</c:v>
                </c:pt>
                <c:pt idx="8">
                  <c:v>737.73426126007712</c:v>
                </c:pt>
                <c:pt idx="9">
                  <c:v>628.3388718415091</c:v>
                </c:pt>
                <c:pt idx="10">
                  <c:v>554.37770571254839</c:v>
                </c:pt>
                <c:pt idx="11">
                  <c:v>504.3732756883042</c:v>
                </c:pt>
                <c:pt idx="12">
                  <c:v>652.14431694645225</c:v>
                </c:pt>
                <c:pt idx="13">
                  <c:v>661.26161391051744</c:v>
                </c:pt>
                <c:pt idx="14">
                  <c:v>576.63645362257273</c:v>
                </c:pt>
                <c:pt idx="15">
                  <c:v>519.42220015162843</c:v>
                </c:pt>
                <c:pt idx="16">
                  <c:v>480.7401960159886</c:v>
                </c:pt>
                <c:pt idx="17">
                  <c:v>545.37694335259403</c:v>
                </c:pt>
                <c:pt idx="18">
                  <c:v>679.86650059727879</c:v>
                </c:pt>
                <c:pt idx="19">
                  <c:v>770.79359120733488</c:v>
                </c:pt>
                <c:pt idx="20">
                  <c:v>832.26851889831812</c:v>
                </c:pt>
                <c:pt idx="21">
                  <c:v>919.22576207040936</c:v>
                </c:pt>
                <c:pt idx="22">
                  <c:v>978.01671425359018</c:v>
                </c:pt>
                <c:pt idx="23">
                  <c:v>1017.7647091591413</c:v>
                </c:pt>
              </c:numCache>
            </c:numRef>
          </c:val>
          <c:smooth val="0"/>
          <c:extLst>
            <c:ext xmlns:c16="http://schemas.microsoft.com/office/drawing/2014/chart" uri="{C3380CC4-5D6E-409C-BE32-E72D297353CC}">
              <c16:uniqueId val="{00000002-F32E-4F4C-813B-2925792257F7}"/>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Profile!$A$312</c:f>
              <c:strCache>
                <c:ptCount val="1"/>
                <c:pt idx="0">
                  <c:v>CO2-Konzentration, ppm</c:v>
                </c:pt>
              </c:strCache>
            </c:strRef>
          </c:tx>
          <c:layout>
            <c:manualLayout>
              <c:xMode val="edge"/>
              <c:yMode val="edge"/>
              <c:x val="4.7529216391074295E-3"/>
              <c:y val="0.18097557036139716"/>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2819298587486387"/>
              <c:y val="0.11809408439329702"/>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chemeClr val="bg1"/>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45262265828408"/>
          <c:y val="8.5117656723146778E-2"/>
          <c:w val="0.77019502817848218"/>
          <c:h val="0.70112777022665607"/>
        </c:manualLayout>
      </c:layout>
      <c:barChart>
        <c:barDir val="col"/>
        <c:grouping val="clustered"/>
        <c:varyColors val="0"/>
        <c:ser>
          <c:idx val="0"/>
          <c:order val="1"/>
          <c:tx>
            <c:strRef>
              <c:f>Profile!$C$271</c:f>
              <c:strCache>
                <c:ptCount val="1"/>
                <c:pt idx="0">
                  <c:v>Personenprofil</c:v>
                </c:pt>
              </c:strCache>
            </c:strRef>
          </c:tx>
          <c:spPr>
            <a:solidFill>
              <a:schemeClr val="accent3"/>
            </a:solidFill>
          </c:spPr>
          <c:invertIfNegative val="0"/>
          <c:val>
            <c:numRef>
              <c:f>Profile!$C$278:$C$301</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0-C677-44F2-9567-06EF225B659C}"/>
            </c:ext>
          </c:extLst>
        </c:ser>
        <c:ser>
          <c:idx val="1"/>
          <c:order val="2"/>
          <c:tx>
            <c:strRef>
              <c:f>Profile!$F$271</c:f>
              <c:strCache>
                <c:ptCount val="1"/>
                <c:pt idx="0">
                  <c:v>Aussenluft-Volumenstrom</c:v>
                </c:pt>
              </c:strCache>
            </c:strRef>
          </c:tx>
          <c:spPr>
            <a:solidFill>
              <a:schemeClr val="accent5"/>
            </a:solidFill>
          </c:spPr>
          <c:invertIfNegative val="0"/>
          <c:val>
            <c:numRef>
              <c:f>Profile!$F$278:$F$301</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1-C677-44F2-9567-06EF225B659C}"/>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0"/>
          <c:tx>
            <c:strRef>
              <c:f>Profile!$Y$271</c:f>
              <c:strCache>
                <c:ptCount val="1"/>
                <c:pt idx="0">
                  <c:v>Relative Raumluftfeuchte </c:v>
                </c:pt>
              </c:strCache>
            </c:strRef>
          </c:tx>
          <c:spPr>
            <a:ln w="19050">
              <a:solidFill>
                <a:schemeClr val="accent2"/>
              </a:solidFill>
            </a:ln>
          </c:spPr>
          <c:marker>
            <c:symbol val="none"/>
          </c:marker>
          <c:val>
            <c:numRef>
              <c:f>Profile!$Y$278:$Y$301</c:f>
              <c:numCache>
                <c:formatCode>0</c:formatCode>
                <c:ptCount val="24"/>
                <c:pt idx="0">
                  <c:v>35.45786495353908</c:v>
                </c:pt>
                <c:pt idx="1">
                  <c:v>35.704465944707806</c:v>
                </c:pt>
                <c:pt idx="2">
                  <c:v>35.871170288241245</c:v>
                </c:pt>
                <c:pt idx="3">
                  <c:v>35.9838682506076</c:v>
                </c:pt>
                <c:pt idx="4">
                  <c:v>36.060058033961973</c:v>
                </c:pt>
                <c:pt idx="5">
                  <c:v>36.11156728154446</c:v>
                </c:pt>
                <c:pt idx="6">
                  <c:v>34.914725912465833</c:v>
                </c:pt>
                <c:pt idx="7">
                  <c:v>33.488617880971354</c:v>
                </c:pt>
                <c:pt idx="8">
                  <c:v>31.289479854888295</c:v>
                </c:pt>
                <c:pt idx="9">
                  <c:v>29.801057206947011</c:v>
                </c:pt>
                <c:pt idx="10">
                  <c:v>28.794013615168961</c:v>
                </c:pt>
                <c:pt idx="11">
                  <c:v>28.112824699722488</c:v>
                </c:pt>
                <c:pt idx="12">
                  <c:v>30.125060323089691</c:v>
                </c:pt>
                <c:pt idx="13">
                  <c:v>30.249135051392557</c:v>
                </c:pt>
                <c:pt idx="14">
                  <c:v>29.097146221563424</c:v>
                </c:pt>
                <c:pt idx="15">
                  <c:v>28.317857332628961</c:v>
                </c:pt>
                <c:pt idx="16">
                  <c:v>27.790786205649741</c:v>
                </c:pt>
                <c:pt idx="17">
                  <c:v>28.67141876789044</c:v>
                </c:pt>
                <c:pt idx="18">
                  <c:v>30.502295813392482</c:v>
                </c:pt>
                <c:pt idx="19">
                  <c:v>31.739022928257491</c:v>
                </c:pt>
                <c:pt idx="20">
                  <c:v>32.574654850906064</c:v>
                </c:pt>
                <c:pt idx="21">
                  <c:v>33.755970965019173</c:v>
                </c:pt>
                <c:pt idx="22">
                  <c:v>34.554184202534572</c:v>
                </c:pt>
                <c:pt idx="23">
                  <c:v>35.093636901396408</c:v>
                </c:pt>
              </c:numCache>
            </c:numRef>
          </c:val>
          <c:smooth val="0"/>
          <c:extLst>
            <c:ext xmlns:c16="http://schemas.microsoft.com/office/drawing/2014/chart" uri="{C3380CC4-5D6E-409C-BE32-E72D297353CC}">
              <c16:uniqueId val="{00000002-C677-44F2-9567-06EF225B659C}"/>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Profile!$A$314</c:f>
              <c:strCache>
                <c:ptCount val="1"/>
                <c:pt idx="0">
                  <c:v>Relative Raumluftfeuchte, % r.F.</c:v>
                </c:pt>
              </c:strCache>
            </c:strRef>
          </c:tx>
          <c:layout>
            <c:manualLayout>
              <c:xMode val="edge"/>
              <c:yMode val="edge"/>
              <c:x val="2.5053016985654365E-2"/>
              <c:y val="5.7028243924770065E-2"/>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4279486796741263"/>
              <c:y val="0.12491793556410243"/>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layout>
        <c:manualLayout>
          <c:xMode val="edge"/>
          <c:yMode val="edge"/>
          <c:x val="5.0350129187724975E-2"/>
          <c:y val="0.86275173518376924"/>
          <c:w val="0.90644902613964717"/>
          <c:h val="0.13058680760195943"/>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3978-461E-B2EE-4AA44C4F7630}"/>
            </c:ext>
          </c:extLst>
        </c:ser>
        <c:dLbls>
          <c:showLegendKey val="0"/>
          <c:showVal val="0"/>
          <c:showCatName val="0"/>
          <c:showSerName val="0"/>
          <c:showPercent val="0"/>
          <c:showBubbleSize val="0"/>
        </c:dLbls>
        <c:gapWidth val="150"/>
        <c:axId val="90870912"/>
        <c:axId val="90872448"/>
      </c:barChart>
      <c:catAx>
        <c:axId val="9087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0872448"/>
        <c:crosses val="autoZero"/>
        <c:auto val="1"/>
        <c:lblAlgn val="ctr"/>
        <c:lblOffset val="100"/>
        <c:tickLblSkip val="2"/>
        <c:tickMarkSkip val="1"/>
        <c:noMultiLvlLbl val="0"/>
      </c:catAx>
      <c:valAx>
        <c:axId val="9087244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087091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1DE1-40E5-9362-3FD0944113AF}"/>
            </c:ext>
          </c:extLst>
        </c:ser>
        <c:dLbls>
          <c:showLegendKey val="0"/>
          <c:showVal val="0"/>
          <c:showCatName val="0"/>
          <c:showSerName val="0"/>
          <c:showPercent val="0"/>
          <c:showBubbleSize val="0"/>
        </c:dLbls>
        <c:gapWidth val="150"/>
        <c:axId val="91264896"/>
        <c:axId val="91266432"/>
      </c:barChart>
      <c:catAx>
        <c:axId val="9126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1266432"/>
        <c:crosses val="autoZero"/>
        <c:auto val="1"/>
        <c:lblAlgn val="ctr"/>
        <c:lblOffset val="100"/>
        <c:tickLblSkip val="2"/>
        <c:tickMarkSkip val="1"/>
        <c:noMultiLvlLbl val="0"/>
      </c:catAx>
      <c:valAx>
        <c:axId val="9126643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126489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0324-4BB6-9A7C-617B8B356AB5}"/>
            </c:ext>
          </c:extLst>
        </c:ser>
        <c:dLbls>
          <c:showLegendKey val="0"/>
          <c:showVal val="0"/>
          <c:showCatName val="0"/>
          <c:showSerName val="0"/>
          <c:showPercent val="0"/>
          <c:showBubbleSize val="0"/>
        </c:dLbls>
        <c:gapWidth val="150"/>
        <c:axId val="91273856"/>
        <c:axId val="91677056"/>
      </c:barChart>
      <c:catAx>
        <c:axId val="91273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91677056"/>
        <c:crosses val="autoZero"/>
        <c:auto val="1"/>
        <c:lblAlgn val="ctr"/>
        <c:lblOffset val="100"/>
        <c:tickLblSkip val="2"/>
        <c:tickMarkSkip val="1"/>
        <c:noMultiLvlLbl val="0"/>
      </c:catAx>
      <c:valAx>
        <c:axId val="91677056"/>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50" b="0" i="0" u="none" strike="noStrike" baseline="0">
                <a:solidFill>
                  <a:srgbClr val="000000"/>
                </a:solidFill>
                <a:latin typeface="Arial"/>
                <a:ea typeface="Arial"/>
                <a:cs typeface="Arial"/>
              </a:defRPr>
            </a:pPr>
            <a:endParaRPr lang="de-DE"/>
          </a:p>
        </c:txPr>
        <c:crossAx val="91273856"/>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658D-42C8-B8F8-E3A0794C80B4}"/>
            </c:ext>
          </c:extLst>
        </c:ser>
        <c:dLbls>
          <c:showLegendKey val="0"/>
          <c:showVal val="0"/>
          <c:showCatName val="0"/>
          <c:showSerName val="0"/>
          <c:showPercent val="0"/>
          <c:showBubbleSize val="0"/>
        </c:dLbls>
        <c:gapWidth val="150"/>
        <c:axId val="91312128"/>
        <c:axId val="91313664"/>
      </c:barChart>
      <c:catAx>
        <c:axId val="91312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313664"/>
        <c:crosses val="autoZero"/>
        <c:auto val="1"/>
        <c:lblAlgn val="ctr"/>
        <c:lblOffset val="100"/>
        <c:tickLblSkip val="2"/>
        <c:tickMarkSkip val="1"/>
        <c:noMultiLvlLbl val="0"/>
      </c:catAx>
      <c:valAx>
        <c:axId val="91313664"/>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312128"/>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Lit>
              <c:formatCode>General</c:formatCode>
              <c:ptCount val="24"/>
              <c:pt idx="0">
                <c:v>0</c:v>
              </c:pt>
              <c:pt idx="1">
                <c:v>0</c:v>
              </c:pt>
              <c:pt idx="2">
                <c:v>0</c:v>
              </c:pt>
              <c:pt idx="3">
                <c:v>0</c:v>
              </c:pt>
              <c:pt idx="4">
                <c:v>0</c:v>
              </c:pt>
              <c:pt idx="5">
                <c:v>0</c:v>
              </c:pt>
              <c:pt idx="6">
                <c:v>0</c:v>
              </c:pt>
              <c:pt idx="7">
                <c:v>100</c:v>
              </c:pt>
              <c:pt idx="8">
                <c:v>100</c:v>
              </c:pt>
              <c:pt idx="9">
                <c:v>100</c:v>
              </c:pt>
              <c:pt idx="10">
                <c:v>100</c:v>
              </c:pt>
              <c:pt idx="11">
                <c:v>100</c:v>
              </c:pt>
              <c:pt idx="12">
                <c:v>100</c:v>
              </c:pt>
              <c:pt idx="13">
                <c:v>100</c:v>
              </c:pt>
              <c:pt idx="14">
                <c:v>100</c:v>
              </c:pt>
              <c:pt idx="15">
                <c:v>100</c:v>
              </c:pt>
              <c:pt idx="16">
                <c:v>100</c:v>
              </c:pt>
              <c:pt idx="17">
                <c:v>100</c:v>
              </c:pt>
              <c:pt idx="18">
                <c:v>0</c:v>
              </c:pt>
              <c:pt idx="19">
                <c:v>0</c:v>
              </c:pt>
              <c:pt idx="20">
                <c:v>0</c:v>
              </c:pt>
              <c:pt idx="21">
                <c:v>0</c:v>
              </c:pt>
              <c:pt idx="22">
                <c:v>0</c:v>
              </c:pt>
              <c:pt idx="23">
                <c:v>0</c:v>
              </c:pt>
            </c:numLit>
          </c:val>
          <c:extLst>
            <c:ext xmlns:c16="http://schemas.microsoft.com/office/drawing/2014/chart" uri="{C3380CC4-5D6E-409C-BE32-E72D297353CC}">
              <c16:uniqueId val="{00000000-89D5-4A48-B101-EBB476E8B855}"/>
            </c:ext>
          </c:extLst>
        </c:ser>
        <c:dLbls>
          <c:showLegendKey val="0"/>
          <c:showVal val="0"/>
          <c:showCatName val="0"/>
          <c:showSerName val="0"/>
          <c:showPercent val="0"/>
          <c:showBubbleSize val="0"/>
        </c:dLbls>
        <c:gapWidth val="150"/>
        <c:axId val="91357952"/>
        <c:axId val="91359488"/>
      </c:barChart>
      <c:catAx>
        <c:axId val="9135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359488"/>
        <c:crosses val="autoZero"/>
        <c:auto val="1"/>
        <c:lblAlgn val="ctr"/>
        <c:lblOffset val="100"/>
        <c:tickLblSkip val="2"/>
        <c:tickMarkSkip val="1"/>
        <c:noMultiLvlLbl val="0"/>
      </c:catAx>
      <c:valAx>
        <c:axId val="9135948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35795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7EC6-4E78-A54E-67770BC526E6}"/>
            </c:ext>
          </c:extLst>
        </c:ser>
        <c:dLbls>
          <c:showLegendKey val="0"/>
          <c:showVal val="0"/>
          <c:showCatName val="0"/>
          <c:showSerName val="0"/>
          <c:showPercent val="0"/>
          <c:showBubbleSize val="0"/>
        </c:dLbls>
        <c:gapWidth val="150"/>
        <c:axId val="91370624"/>
        <c:axId val="91372160"/>
      </c:barChart>
      <c:catAx>
        <c:axId val="9137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1372160"/>
        <c:crosses val="autoZero"/>
        <c:auto val="1"/>
        <c:lblAlgn val="ctr"/>
        <c:lblOffset val="100"/>
        <c:tickLblSkip val="2"/>
        <c:tickMarkSkip val="1"/>
        <c:noMultiLvlLbl val="0"/>
      </c:catAx>
      <c:valAx>
        <c:axId val="9137216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de-DE"/>
          </a:p>
        </c:txPr>
        <c:crossAx val="9137062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3124-43F3-A05D-A688F2DF8519}"/>
            </c:ext>
          </c:extLst>
        </c:ser>
        <c:dLbls>
          <c:showLegendKey val="0"/>
          <c:showVal val="0"/>
          <c:showCatName val="0"/>
          <c:showSerName val="0"/>
          <c:showPercent val="0"/>
          <c:showBubbleSize val="0"/>
        </c:dLbls>
        <c:gapWidth val="150"/>
        <c:axId val="91412352"/>
        <c:axId val="91413888"/>
      </c:barChart>
      <c:catAx>
        <c:axId val="9141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413888"/>
        <c:crosses val="autoZero"/>
        <c:auto val="1"/>
        <c:lblAlgn val="ctr"/>
        <c:lblOffset val="100"/>
        <c:tickLblSkip val="2"/>
        <c:tickMarkSkip val="1"/>
        <c:noMultiLvlLbl val="0"/>
      </c:catAx>
      <c:valAx>
        <c:axId val="9141388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9141235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684678706259519E-2"/>
          <c:y val="0.15233062741551454"/>
          <c:w val="0.89520276908221652"/>
          <c:h val="0.54594644846029849"/>
        </c:manualLayout>
      </c:layout>
      <c:stockChart>
        <c:ser>
          <c:idx val="2"/>
          <c:order val="0"/>
          <c:tx>
            <c:strRef>
              <c:f>'Eigene Nutzung'!$C$270</c:f>
              <c:strCache>
                <c:ptCount val="1"/>
                <c:pt idx="0">
                  <c:v>Standard</c:v>
                </c:pt>
              </c:strCache>
            </c:strRef>
          </c:tx>
          <c:spPr>
            <a:ln w="28575">
              <a:noFill/>
            </a:ln>
          </c:spPr>
          <c:marker>
            <c:symbol val="dash"/>
            <c:size val="10"/>
            <c:spPr>
              <a:solidFill>
                <a:srgbClr val="808080"/>
              </a:solidFill>
              <a:ln>
                <a:solidFill>
                  <a:srgbClr val="808080"/>
                </a:solidFill>
                <a:prstDash val="solid"/>
              </a:ln>
            </c:spPr>
          </c:marker>
          <c:val>
            <c:numRef>
              <c:f>'Eigene Nutzung'!$E$270:$I$270</c:f>
            </c:numRef>
          </c:val>
          <c:smooth val="0"/>
          <c:extLst>
            <c:ext xmlns:c15="http://schemas.microsoft.com/office/drawing/2012/chart" uri="{02D57815-91ED-43cb-92C2-25804820EDAC}">
              <c15:filteredCategoryTitle>
                <c15:cat>
                  <c:multiLvlStrRef>
                    <c:extLst>
                      <c:ext uri="{02D57815-91ED-43cb-92C2-25804820EDAC}">
                        <c15:formulaRef>
                          <c15:sqref>'Eigene Nutzung'!$E$267:$I$267</c15:sqref>
                        </c15:formulaRef>
                      </c:ext>
                    </c:extLst>
                  </c:multiLvlStrRef>
                </c15:cat>
              </c15:filteredCategoryTitle>
            </c:ext>
            <c:ext xmlns:c16="http://schemas.microsoft.com/office/drawing/2014/chart" uri="{C3380CC4-5D6E-409C-BE32-E72D297353CC}">
              <c16:uniqueId val="{00000000-10ED-44EF-95A3-F364EFA6D1B7}"/>
            </c:ext>
          </c:extLst>
        </c:ser>
        <c:ser>
          <c:idx val="1"/>
          <c:order val="1"/>
          <c:tx>
            <c:strRef>
              <c:f>'Eigene Nutzung'!$C$269</c:f>
              <c:strCache>
                <c:ptCount val="1"/>
                <c:pt idx="0">
                  <c:v>Zielwert</c:v>
                </c:pt>
              </c:strCache>
            </c:strRef>
          </c:tx>
          <c:spPr>
            <a:ln w="28575">
              <a:noFill/>
            </a:ln>
          </c:spPr>
          <c:marker>
            <c:symbol val="dash"/>
            <c:size val="15"/>
            <c:spPr>
              <a:solidFill>
                <a:srgbClr val="C0C0C0"/>
              </a:solidFill>
              <a:ln>
                <a:solidFill>
                  <a:srgbClr val="C0C0C0"/>
                </a:solidFill>
                <a:prstDash val="solid"/>
              </a:ln>
            </c:spPr>
          </c:marker>
          <c:val>
            <c:numRef>
              <c:f>'Eigene Nutzung'!$E$269:$I$269</c:f>
            </c:numRef>
          </c:val>
          <c:smooth val="0"/>
          <c:extLst>
            <c:ext xmlns:c15="http://schemas.microsoft.com/office/drawing/2012/chart" uri="{02D57815-91ED-43cb-92C2-25804820EDAC}">
              <c15:filteredCategoryTitle>
                <c15:cat>
                  <c:multiLvlStrRef>
                    <c:extLst>
                      <c:ext uri="{02D57815-91ED-43cb-92C2-25804820EDAC}">
                        <c15:formulaRef>
                          <c15:sqref>'Eigene Nutzung'!$E$267:$I$267</c15:sqref>
                        </c15:formulaRef>
                      </c:ext>
                    </c:extLst>
                  </c:multiLvlStrRef>
                </c15:cat>
              </c15:filteredCategoryTitle>
            </c:ext>
            <c:ext xmlns:c16="http://schemas.microsoft.com/office/drawing/2014/chart" uri="{C3380CC4-5D6E-409C-BE32-E72D297353CC}">
              <c16:uniqueId val="{00000001-10ED-44EF-95A3-F364EFA6D1B7}"/>
            </c:ext>
          </c:extLst>
        </c:ser>
        <c:ser>
          <c:idx val="0"/>
          <c:order val="2"/>
          <c:tx>
            <c:strRef>
              <c:f>'Eigene Nutzung'!$C$268</c:f>
              <c:strCache>
                <c:ptCount val="1"/>
                <c:pt idx="0">
                  <c:v>Bestand</c:v>
                </c:pt>
              </c:strCache>
            </c:strRef>
          </c:tx>
          <c:spPr>
            <a:ln w="28575">
              <a:noFill/>
            </a:ln>
          </c:spPr>
          <c:marker>
            <c:symbol val="dash"/>
            <c:size val="15"/>
            <c:spPr>
              <a:solidFill>
                <a:srgbClr val="333333"/>
              </a:solidFill>
              <a:ln>
                <a:solidFill>
                  <a:srgbClr val="333333"/>
                </a:solidFill>
                <a:prstDash val="solid"/>
              </a:ln>
            </c:spPr>
          </c:marker>
          <c:val>
            <c:numRef>
              <c:f>'Eigene Nutzung'!$E$268:$I$268</c:f>
            </c:numRef>
          </c:val>
          <c:smooth val="0"/>
          <c:extLst>
            <c:ext xmlns:c15="http://schemas.microsoft.com/office/drawing/2012/chart" uri="{02D57815-91ED-43cb-92C2-25804820EDAC}">
              <c15:filteredCategoryTitle>
                <c15:cat>
                  <c:multiLvlStrRef>
                    <c:extLst>
                      <c:ext uri="{02D57815-91ED-43cb-92C2-25804820EDAC}">
                        <c15:formulaRef>
                          <c15:sqref>'Eigene Nutzung'!$E$267:$I$267</c15:sqref>
                        </c15:formulaRef>
                      </c:ext>
                    </c:extLst>
                  </c:multiLvlStrRef>
                </c15:cat>
              </c15:filteredCategoryTitle>
            </c:ext>
            <c:ext xmlns:c16="http://schemas.microsoft.com/office/drawing/2014/chart" uri="{C3380CC4-5D6E-409C-BE32-E72D297353CC}">
              <c16:uniqueId val="{00000002-10ED-44EF-95A3-F364EFA6D1B7}"/>
            </c:ext>
          </c:extLst>
        </c:ser>
        <c:dLbls>
          <c:showLegendKey val="0"/>
          <c:showVal val="0"/>
          <c:showCatName val="0"/>
          <c:showSerName val="0"/>
          <c:showPercent val="0"/>
          <c:showBubbleSize val="0"/>
        </c:dLbls>
        <c:axId val="91837184"/>
        <c:axId val="91838720"/>
      </c:stockChart>
      <c:catAx>
        <c:axId val="918371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a:pPr>
            <a:endParaRPr lang="de-DE"/>
          </a:p>
        </c:txPr>
        <c:crossAx val="91838720"/>
        <c:crosses val="autoZero"/>
        <c:auto val="1"/>
        <c:lblAlgn val="ctr"/>
        <c:lblOffset val="100"/>
        <c:tickLblSkip val="1"/>
        <c:tickMarkSkip val="1"/>
        <c:noMultiLvlLbl val="0"/>
      </c:catAx>
      <c:valAx>
        <c:axId val="91838720"/>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a:pPr>
            <a:endParaRPr lang="de-DE"/>
          </a:p>
        </c:txPr>
        <c:crossAx val="91837184"/>
        <c:crosses val="autoZero"/>
        <c:crossBetween val="between"/>
      </c:valAx>
      <c:spPr>
        <a:noFill/>
        <a:ln w="25400">
          <a:noFill/>
        </a:ln>
      </c:spPr>
    </c:plotArea>
    <c:legend>
      <c:legendPos val="t"/>
      <c:layout>
        <c:manualLayout>
          <c:xMode val="edge"/>
          <c:yMode val="edge"/>
          <c:x val="0.10276868778554162"/>
          <c:y val="4.1022742730107723E-3"/>
          <c:w val="0.40892279317476166"/>
          <c:h val="6.8965517241379309E-2"/>
        </c:manualLayout>
      </c:layout>
      <c:overlay val="0"/>
      <c:spPr>
        <a:noFill/>
        <a:ln w="25400">
          <a:noFill/>
        </a:ln>
      </c:spPr>
    </c:legend>
    <c:plotVisOnly val="1"/>
    <c:dispBlanksAs val="gap"/>
    <c:showDLblsOverMax val="0"/>
  </c:chart>
  <c:spPr>
    <a:noFill/>
    <a:ln w="9525">
      <a:noFill/>
    </a:ln>
  </c:spPr>
  <c:txPr>
    <a:bodyPr/>
    <a:lstStyle/>
    <a:p>
      <a:pPr>
        <a:defRPr sz="800" b="0" i="0" u="none" strike="noStrike" baseline="0">
          <a:solidFill>
            <a:schemeClr val="tx1"/>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horizontalDpi="-2" verticalDpi="1200"/>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43848611581833"/>
          <c:y val="4.700037456854339E-2"/>
          <c:w val="0.8764942893714196"/>
          <c:h val="0.73621637145650931"/>
        </c:manualLayout>
      </c:layout>
      <c:barChart>
        <c:barDir val="col"/>
        <c:grouping val="stacked"/>
        <c:varyColors val="0"/>
        <c:ser>
          <c:idx val="3"/>
          <c:order val="1"/>
          <c:spPr>
            <a:solidFill>
              <a:srgbClr val="C0C0C0"/>
            </a:solidFill>
            <a:ln w="25400">
              <a:noFill/>
            </a:ln>
          </c:spPr>
          <c:invertIfNegative val="0"/>
          <c:val>
            <c:numRef>
              <c:f>Profile!$C$63:$C$86</c:f>
              <c:numCache>
                <c:formatCode>0.0</c:formatCode>
                <c:ptCount val="24"/>
                <c:pt idx="0">
                  <c:v>1</c:v>
                </c:pt>
                <c:pt idx="1">
                  <c:v>1</c:v>
                </c:pt>
                <c:pt idx="2">
                  <c:v>1</c:v>
                </c:pt>
                <c:pt idx="3">
                  <c:v>1</c:v>
                </c:pt>
                <c:pt idx="4">
                  <c:v>1</c:v>
                </c:pt>
                <c:pt idx="5">
                  <c:v>1</c:v>
                </c:pt>
                <c:pt idx="6">
                  <c:v>1</c:v>
                </c:pt>
                <c:pt idx="7">
                  <c:v>1</c:v>
                </c:pt>
                <c:pt idx="8">
                  <c:v>0</c:v>
                </c:pt>
                <c:pt idx="9">
                  <c:v>0</c:v>
                </c:pt>
                <c:pt idx="10">
                  <c:v>0</c:v>
                </c:pt>
                <c:pt idx="11">
                  <c:v>0</c:v>
                </c:pt>
                <c:pt idx="12">
                  <c:v>1</c:v>
                </c:pt>
                <c:pt idx="13">
                  <c:v>1</c:v>
                </c:pt>
                <c:pt idx="14">
                  <c:v>0</c:v>
                </c:pt>
                <c:pt idx="15">
                  <c:v>0</c:v>
                </c:pt>
                <c:pt idx="16">
                  <c:v>0</c:v>
                </c:pt>
                <c:pt idx="17">
                  <c:v>1</c:v>
                </c:pt>
                <c:pt idx="18">
                  <c:v>1</c:v>
                </c:pt>
                <c:pt idx="19">
                  <c:v>1</c:v>
                </c:pt>
                <c:pt idx="20">
                  <c:v>1</c:v>
                </c:pt>
                <c:pt idx="21">
                  <c:v>1</c:v>
                </c:pt>
                <c:pt idx="22">
                  <c:v>1</c:v>
                </c:pt>
                <c:pt idx="23">
                  <c:v>1</c:v>
                </c:pt>
              </c:numCache>
            </c:numRef>
          </c:val>
          <c:extLst>
            <c:ext xmlns:c16="http://schemas.microsoft.com/office/drawing/2014/chart" uri="{C3380CC4-5D6E-409C-BE32-E72D297353CC}">
              <c16:uniqueId val="{00000000-04A0-44B4-B9D7-2C495387DA53}"/>
            </c:ext>
          </c:extLst>
        </c:ser>
        <c:dLbls>
          <c:showLegendKey val="0"/>
          <c:showVal val="0"/>
          <c:showCatName val="0"/>
          <c:showSerName val="0"/>
          <c:showPercent val="0"/>
          <c:showBubbleSize val="0"/>
        </c:dLbls>
        <c:gapWidth val="0"/>
        <c:overlap val="100"/>
        <c:axId val="91951872"/>
        <c:axId val="91953408"/>
      </c:barChart>
      <c:barChart>
        <c:barDir val="col"/>
        <c:grouping val="clustered"/>
        <c:varyColors val="0"/>
        <c:ser>
          <c:idx val="0"/>
          <c:order val="0"/>
          <c:spPr>
            <a:solidFill>
              <a:srgbClr val="333333"/>
            </a:solidFill>
            <a:ln w="25400">
              <a:noFill/>
            </a:ln>
          </c:spPr>
          <c:invertIfNegative val="0"/>
          <c:val>
            <c:numRef>
              <c:f>Profile!$B$63:$B$86</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1-04A0-44B4-B9D7-2C495387DA53}"/>
            </c:ext>
          </c:extLst>
        </c:ser>
        <c:dLbls>
          <c:showLegendKey val="0"/>
          <c:showVal val="0"/>
          <c:showCatName val="0"/>
          <c:showSerName val="0"/>
          <c:showPercent val="0"/>
          <c:showBubbleSize val="0"/>
        </c:dLbls>
        <c:gapWidth val="150"/>
        <c:axId val="91959296"/>
        <c:axId val="91960832"/>
      </c:barChart>
      <c:catAx>
        <c:axId val="919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1953408"/>
        <c:crosses val="autoZero"/>
        <c:auto val="1"/>
        <c:lblAlgn val="ctr"/>
        <c:lblOffset val="100"/>
        <c:tickLblSkip val="1"/>
        <c:tickMarkSkip val="1"/>
        <c:noMultiLvlLbl val="0"/>
      </c:catAx>
      <c:valAx>
        <c:axId val="91953408"/>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1951872"/>
        <c:crosses val="autoZero"/>
        <c:crossBetween val="between"/>
        <c:majorUnit val="0.2"/>
        <c:minorUnit val="0.01"/>
      </c:valAx>
      <c:catAx>
        <c:axId val="91959296"/>
        <c:scaling>
          <c:orientation val="minMax"/>
        </c:scaling>
        <c:delete val="1"/>
        <c:axPos val="b"/>
        <c:majorTickMark val="out"/>
        <c:minorTickMark val="none"/>
        <c:tickLblPos val="nextTo"/>
        <c:crossAx val="91960832"/>
        <c:crosses val="autoZero"/>
        <c:auto val="1"/>
        <c:lblAlgn val="ctr"/>
        <c:lblOffset val="100"/>
        <c:noMultiLvlLbl val="0"/>
      </c:catAx>
      <c:valAx>
        <c:axId val="91960832"/>
        <c:scaling>
          <c:orientation val="minMax"/>
        </c:scaling>
        <c:delete val="1"/>
        <c:axPos val="r"/>
        <c:numFmt formatCode="0.0" sourceLinked="1"/>
        <c:majorTickMark val="out"/>
        <c:minorTickMark val="none"/>
        <c:tickLblPos val="nextTo"/>
        <c:crossAx val="91959296"/>
        <c:crosses val="max"/>
        <c:crossBetween val="between"/>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B546-43AE-A059-2F805199648E}"/>
            </c:ext>
          </c:extLst>
        </c:ser>
        <c:dLbls>
          <c:showLegendKey val="0"/>
          <c:showVal val="0"/>
          <c:showCatName val="0"/>
          <c:showSerName val="0"/>
          <c:showPercent val="0"/>
          <c:showBubbleSize val="0"/>
        </c:dLbls>
        <c:gapWidth val="150"/>
        <c:axId val="91970944"/>
        <c:axId val="91980928"/>
      </c:barChart>
      <c:catAx>
        <c:axId val="9197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980928"/>
        <c:crosses val="autoZero"/>
        <c:auto val="1"/>
        <c:lblAlgn val="ctr"/>
        <c:lblOffset val="100"/>
        <c:tickLblSkip val="2"/>
        <c:tickMarkSkip val="1"/>
        <c:noMultiLvlLbl val="0"/>
      </c:catAx>
      <c:valAx>
        <c:axId val="9198092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197094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539F-4C77-A432-E8A90698768A}"/>
            </c:ext>
          </c:extLst>
        </c:ser>
        <c:dLbls>
          <c:showLegendKey val="0"/>
          <c:showVal val="0"/>
          <c:showCatName val="0"/>
          <c:showSerName val="0"/>
          <c:showPercent val="0"/>
          <c:showBubbleSize val="0"/>
        </c:dLbls>
        <c:gapWidth val="150"/>
        <c:axId val="92008832"/>
        <c:axId val="92010368"/>
      </c:barChart>
      <c:catAx>
        <c:axId val="9200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010368"/>
        <c:crosses val="autoZero"/>
        <c:auto val="1"/>
        <c:lblAlgn val="ctr"/>
        <c:lblOffset val="100"/>
        <c:tickLblSkip val="2"/>
        <c:tickMarkSkip val="1"/>
        <c:noMultiLvlLbl val="0"/>
      </c:catAx>
      <c:valAx>
        <c:axId val="9201036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008832"/>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1D78-4FB8-9DD1-70FC7902C5F6}"/>
            </c:ext>
          </c:extLst>
        </c:ser>
        <c:dLbls>
          <c:showLegendKey val="0"/>
          <c:showVal val="0"/>
          <c:showCatName val="0"/>
          <c:showSerName val="0"/>
          <c:showPercent val="0"/>
          <c:showBubbleSize val="0"/>
        </c:dLbls>
        <c:gapWidth val="150"/>
        <c:axId val="92374144"/>
        <c:axId val="92375680"/>
      </c:barChart>
      <c:catAx>
        <c:axId val="9237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375680"/>
        <c:crosses val="autoZero"/>
        <c:auto val="1"/>
        <c:lblAlgn val="ctr"/>
        <c:lblOffset val="100"/>
        <c:tickLblSkip val="2"/>
        <c:tickMarkSkip val="1"/>
        <c:noMultiLvlLbl val="0"/>
      </c:catAx>
      <c:valAx>
        <c:axId val="9237568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37414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9552-4A31-A5D8-41FFA00FFB65}"/>
            </c:ext>
          </c:extLst>
        </c:ser>
        <c:dLbls>
          <c:showLegendKey val="0"/>
          <c:showVal val="0"/>
          <c:showCatName val="0"/>
          <c:showSerName val="0"/>
          <c:showPercent val="0"/>
          <c:showBubbleSize val="0"/>
        </c:dLbls>
        <c:gapWidth val="150"/>
        <c:axId val="92383104"/>
        <c:axId val="92384640"/>
      </c:barChart>
      <c:catAx>
        <c:axId val="9238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384640"/>
        <c:crosses val="autoZero"/>
        <c:auto val="1"/>
        <c:lblAlgn val="ctr"/>
        <c:lblOffset val="100"/>
        <c:tickLblSkip val="2"/>
        <c:tickMarkSkip val="1"/>
        <c:noMultiLvlLbl val="0"/>
      </c:catAx>
      <c:valAx>
        <c:axId val="9238464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38310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1394-4CD3-8A28-ED5A9DB7F7B1}"/>
            </c:ext>
          </c:extLst>
        </c:ser>
        <c:dLbls>
          <c:showLegendKey val="0"/>
          <c:showVal val="0"/>
          <c:showCatName val="0"/>
          <c:showSerName val="0"/>
          <c:showPercent val="0"/>
          <c:showBubbleSize val="0"/>
        </c:dLbls>
        <c:gapWidth val="150"/>
        <c:axId val="92678784"/>
        <c:axId val="92684672"/>
      </c:barChart>
      <c:catAx>
        <c:axId val="92678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684672"/>
        <c:crosses val="autoZero"/>
        <c:auto val="1"/>
        <c:lblAlgn val="ctr"/>
        <c:lblOffset val="100"/>
        <c:tickLblSkip val="2"/>
        <c:tickMarkSkip val="1"/>
        <c:noMultiLvlLbl val="0"/>
      </c:catAx>
      <c:valAx>
        <c:axId val="92684672"/>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67878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192E-4C3C-AC6A-62A8AC384551}"/>
            </c:ext>
          </c:extLst>
        </c:ser>
        <c:dLbls>
          <c:showLegendKey val="0"/>
          <c:showVal val="0"/>
          <c:showCatName val="0"/>
          <c:showSerName val="0"/>
          <c:showPercent val="0"/>
          <c:showBubbleSize val="0"/>
        </c:dLbls>
        <c:gapWidth val="150"/>
        <c:axId val="92691840"/>
        <c:axId val="92718208"/>
      </c:barChart>
      <c:catAx>
        <c:axId val="92691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718208"/>
        <c:crosses val="autoZero"/>
        <c:auto val="1"/>
        <c:lblAlgn val="ctr"/>
        <c:lblOffset val="100"/>
        <c:tickLblSkip val="2"/>
        <c:tickMarkSkip val="1"/>
        <c:noMultiLvlLbl val="0"/>
      </c:catAx>
      <c:valAx>
        <c:axId val="92718208"/>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691840"/>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12700">
              <a:solidFill>
                <a:srgbClr val="000000"/>
              </a:solidFill>
              <a:prstDash val="solid"/>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2FEF-4E32-B1F6-D708F60BF6AB}"/>
            </c:ext>
          </c:extLst>
        </c:ser>
        <c:dLbls>
          <c:showLegendKey val="0"/>
          <c:showVal val="0"/>
          <c:showCatName val="0"/>
          <c:showSerName val="0"/>
          <c:showPercent val="0"/>
          <c:showBubbleSize val="0"/>
        </c:dLbls>
        <c:gapWidth val="150"/>
        <c:axId val="92488064"/>
        <c:axId val="92489600"/>
      </c:barChart>
      <c:catAx>
        <c:axId val="92488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489600"/>
        <c:crosses val="autoZero"/>
        <c:auto val="1"/>
        <c:lblAlgn val="ctr"/>
        <c:lblOffset val="100"/>
        <c:tickLblSkip val="2"/>
        <c:tickMarkSkip val="1"/>
        <c:noMultiLvlLbl val="0"/>
      </c:catAx>
      <c:valAx>
        <c:axId val="9248960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de-DE"/>
          </a:p>
        </c:txPr>
        <c:crossAx val="9248806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0000"/>
            </a:solidFill>
            <a:ln w="25400">
              <a:noFill/>
            </a:ln>
          </c:spPr>
          <c:invertIfNegative val="0"/>
          <c:val>
            <c:numRef>
              <c:f>Datenblatt!#REF!</c:f>
              <c:numCache>
                <c:formatCode>General</c:formatCode>
                <c:ptCount val="1"/>
                <c:pt idx="0">
                  <c:v>1</c:v>
                </c:pt>
              </c:numCache>
            </c:numRef>
          </c:val>
          <c:extLst>
            <c:ext xmlns:c16="http://schemas.microsoft.com/office/drawing/2014/chart" uri="{C3380CC4-5D6E-409C-BE32-E72D297353CC}">
              <c16:uniqueId val="{00000000-9EA8-4CC8-937A-BFBFC1C5DFE6}"/>
            </c:ext>
          </c:extLst>
        </c:ser>
        <c:dLbls>
          <c:showLegendKey val="0"/>
          <c:showVal val="0"/>
          <c:showCatName val="0"/>
          <c:showSerName val="0"/>
          <c:showPercent val="0"/>
          <c:showBubbleSize val="0"/>
        </c:dLbls>
        <c:gapWidth val="150"/>
        <c:axId val="92517504"/>
        <c:axId val="92519040"/>
      </c:barChart>
      <c:catAx>
        <c:axId val="9251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519040"/>
        <c:crosses val="autoZero"/>
        <c:auto val="1"/>
        <c:lblAlgn val="ctr"/>
        <c:lblOffset val="100"/>
        <c:tickLblSkip val="2"/>
        <c:tickMarkSkip val="1"/>
        <c:noMultiLvlLbl val="0"/>
      </c:catAx>
      <c:valAx>
        <c:axId val="92519040"/>
        <c:scaling>
          <c:orientation val="minMax"/>
          <c:max val="10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de-DE"/>
          </a:p>
        </c:txPr>
        <c:crossAx val="92517504"/>
        <c:crosses val="autoZero"/>
        <c:crossBetween val="between"/>
        <c:majorUnit val="20"/>
      </c:valAx>
      <c:spPr>
        <a:solidFill>
          <a:srgbClr val="DDDDDD"/>
        </a:solidFill>
        <a:ln w="25400">
          <a:noFill/>
        </a:ln>
      </c:spPr>
    </c:plotArea>
    <c:plotVisOnly val="1"/>
    <c:dispBlanksAs val="gap"/>
    <c:showDLblsOverMax val="0"/>
  </c:chart>
  <c:spPr>
    <a:solidFill>
      <a:srgbClr val="DDDDDD"/>
    </a:solidFill>
    <a:ln w="9525">
      <a:noFill/>
    </a:ln>
  </c:spPr>
  <c:txPr>
    <a:bodyPr/>
    <a:lstStyle/>
    <a:p>
      <a:pPr>
        <a:defRPr sz="10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24443352700562"/>
          <c:y val="0.10948905109489052"/>
          <c:w val="0.86234007723737161"/>
          <c:h val="0.66423357664233573"/>
        </c:manualLayout>
      </c:layout>
      <c:barChart>
        <c:barDir val="col"/>
        <c:grouping val="clustered"/>
        <c:varyColors val="0"/>
        <c:ser>
          <c:idx val="0"/>
          <c:order val="0"/>
          <c:spPr>
            <a:solidFill>
              <a:srgbClr val="333333"/>
            </a:solidFill>
            <a:ln w="25400">
              <a:noFill/>
            </a:ln>
          </c:spPr>
          <c:invertIfNegative val="0"/>
          <c:val>
            <c:numRef>
              <c:f>Profile!$D$63:$D$86</c:f>
              <c:numCache>
                <c:formatCode>0.0</c:formatCode>
                <c:ptCount val="24"/>
                <c:pt idx="0">
                  <c:v>0.2</c:v>
                </c:pt>
                <c:pt idx="1">
                  <c:v>0.2</c:v>
                </c:pt>
                <c:pt idx="2">
                  <c:v>0.2</c:v>
                </c:pt>
                <c:pt idx="3">
                  <c:v>0.2</c:v>
                </c:pt>
                <c:pt idx="4">
                  <c:v>0.2</c:v>
                </c:pt>
                <c:pt idx="5">
                  <c:v>0.2</c:v>
                </c:pt>
                <c:pt idx="6">
                  <c:v>0.8</c:v>
                </c:pt>
                <c:pt idx="7">
                  <c:v>0.2</c:v>
                </c:pt>
                <c:pt idx="8">
                  <c:v>0.2</c:v>
                </c:pt>
                <c:pt idx="9">
                  <c:v>0.2</c:v>
                </c:pt>
                <c:pt idx="10">
                  <c:v>0.2</c:v>
                </c:pt>
                <c:pt idx="11">
                  <c:v>0.2</c:v>
                </c:pt>
                <c:pt idx="12">
                  <c:v>0.8</c:v>
                </c:pt>
                <c:pt idx="13">
                  <c:v>0.2</c:v>
                </c:pt>
                <c:pt idx="14">
                  <c:v>0.2</c:v>
                </c:pt>
                <c:pt idx="15">
                  <c:v>0.2</c:v>
                </c:pt>
                <c:pt idx="16">
                  <c:v>0.2</c:v>
                </c:pt>
                <c:pt idx="17">
                  <c:v>0.2</c:v>
                </c:pt>
                <c:pt idx="18">
                  <c:v>0.8</c:v>
                </c:pt>
                <c:pt idx="19">
                  <c:v>1</c:v>
                </c:pt>
                <c:pt idx="20">
                  <c:v>0.2</c:v>
                </c:pt>
                <c:pt idx="21">
                  <c:v>0.2</c:v>
                </c:pt>
                <c:pt idx="22">
                  <c:v>0.2</c:v>
                </c:pt>
                <c:pt idx="23">
                  <c:v>0.2</c:v>
                </c:pt>
              </c:numCache>
            </c:numRef>
          </c:val>
          <c:extLst>
            <c:ext xmlns:c16="http://schemas.microsoft.com/office/drawing/2014/chart" uri="{C3380CC4-5D6E-409C-BE32-E72D297353CC}">
              <c16:uniqueId val="{00000000-49DD-42F0-BB3B-6741A1953942}"/>
            </c:ext>
          </c:extLst>
        </c:ser>
        <c:dLbls>
          <c:showLegendKey val="0"/>
          <c:showVal val="0"/>
          <c:showCatName val="0"/>
          <c:showSerName val="0"/>
          <c:showPercent val="0"/>
          <c:showBubbleSize val="0"/>
        </c:dLbls>
        <c:gapWidth val="150"/>
        <c:axId val="92539136"/>
        <c:axId val="92545024"/>
      </c:barChart>
      <c:catAx>
        <c:axId val="9253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545024"/>
        <c:crosses val="autoZero"/>
        <c:auto val="1"/>
        <c:lblAlgn val="ctr"/>
        <c:lblOffset val="100"/>
        <c:tickLblSkip val="1"/>
        <c:tickMarkSkip val="1"/>
        <c:noMultiLvlLbl val="0"/>
      </c:catAx>
      <c:valAx>
        <c:axId val="92545024"/>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539136"/>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332326132121566E-2"/>
          <c:y val="0.16450285994512626"/>
          <c:w val="0.91955496843568008"/>
          <c:h val="0.53246978350659291"/>
        </c:manualLayout>
      </c:layout>
      <c:stockChart>
        <c:ser>
          <c:idx val="2"/>
          <c:order val="0"/>
          <c:tx>
            <c:strRef>
              <c:f>'Eigene Nutzung'!$C$275</c:f>
              <c:strCache>
                <c:ptCount val="1"/>
                <c:pt idx="0">
                  <c:v>Standard</c:v>
                </c:pt>
              </c:strCache>
            </c:strRef>
          </c:tx>
          <c:spPr>
            <a:ln w="28575">
              <a:noFill/>
            </a:ln>
          </c:spPr>
          <c:marker>
            <c:symbol val="dash"/>
            <c:size val="10"/>
            <c:spPr>
              <a:solidFill>
                <a:srgbClr val="808080"/>
              </a:solidFill>
              <a:ln>
                <a:solidFill>
                  <a:srgbClr val="808080"/>
                </a:solidFill>
                <a:prstDash val="solid"/>
              </a:ln>
            </c:spPr>
          </c:marker>
          <c:val>
            <c:numRef>
              <c:f>'Eigene Nutzung'!$E$275:$J$275</c:f>
            </c:numRef>
          </c:val>
          <c:smooth val="0"/>
          <c:extLst>
            <c:ext xmlns:c15="http://schemas.microsoft.com/office/drawing/2012/chart" uri="{02D57815-91ED-43cb-92C2-25804820EDAC}">
              <c15:filteredCategoryTitle>
                <c15:cat>
                  <c:multiLvlStrRef>
                    <c:extLst>
                      <c:ext uri="{02D57815-91ED-43cb-92C2-25804820EDAC}">
                        <c15:formulaRef>
                          <c15:sqref>'Eigene Nutzung'!$E$267:$J$267</c15:sqref>
                        </c15:formulaRef>
                      </c:ext>
                    </c:extLst>
                  </c:multiLvlStrRef>
                </c15:cat>
              </c15:filteredCategoryTitle>
            </c:ext>
            <c:ext xmlns:c16="http://schemas.microsoft.com/office/drawing/2014/chart" uri="{C3380CC4-5D6E-409C-BE32-E72D297353CC}">
              <c16:uniqueId val="{00000000-2CEF-4F5C-B763-9F7E448CB1D3}"/>
            </c:ext>
          </c:extLst>
        </c:ser>
        <c:ser>
          <c:idx val="1"/>
          <c:order val="1"/>
          <c:tx>
            <c:strRef>
              <c:f>'Eigene Nutzung'!$C$274</c:f>
              <c:strCache>
                <c:ptCount val="1"/>
                <c:pt idx="0">
                  <c:v>Zielwert</c:v>
                </c:pt>
              </c:strCache>
            </c:strRef>
          </c:tx>
          <c:spPr>
            <a:ln w="28575">
              <a:noFill/>
            </a:ln>
          </c:spPr>
          <c:marker>
            <c:symbol val="dash"/>
            <c:size val="15"/>
            <c:spPr>
              <a:solidFill>
                <a:srgbClr val="C0C0C0"/>
              </a:solidFill>
              <a:ln>
                <a:solidFill>
                  <a:srgbClr val="C0C0C0"/>
                </a:solidFill>
                <a:prstDash val="solid"/>
              </a:ln>
            </c:spPr>
          </c:marker>
          <c:val>
            <c:numRef>
              <c:f>'Eigene Nutzung'!$E$274:$J$274</c:f>
            </c:numRef>
          </c:val>
          <c:smooth val="0"/>
          <c:extLst>
            <c:ext xmlns:c15="http://schemas.microsoft.com/office/drawing/2012/chart" uri="{02D57815-91ED-43cb-92C2-25804820EDAC}">
              <c15:filteredCategoryTitle>
                <c15:cat>
                  <c:multiLvlStrRef>
                    <c:extLst>
                      <c:ext uri="{02D57815-91ED-43cb-92C2-25804820EDAC}">
                        <c15:formulaRef>
                          <c15:sqref>'Eigene Nutzung'!$E$267:$J$267</c15:sqref>
                        </c15:formulaRef>
                      </c:ext>
                    </c:extLst>
                  </c:multiLvlStrRef>
                </c15:cat>
              </c15:filteredCategoryTitle>
            </c:ext>
            <c:ext xmlns:c16="http://schemas.microsoft.com/office/drawing/2014/chart" uri="{C3380CC4-5D6E-409C-BE32-E72D297353CC}">
              <c16:uniqueId val="{00000001-2CEF-4F5C-B763-9F7E448CB1D3}"/>
            </c:ext>
          </c:extLst>
        </c:ser>
        <c:ser>
          <c:idx val="0"/>
          <c:order val="2"/>
          <c:tx>
            <c:strRef>
              <c:f>'Eigene Nutzung'!$C$273</c:f>
              <c:strCache>
                <c:ptCount val="1"/>
                <c:pt idx="0">
                  <c:v>Bestand</c:v>
                </c:pt>
              </c:strCache>
            </c:strRef>
          </c:tx>
          <c:spPr>
            <a:ln w="28575">
              <a:noFill/>
            </a:ln>
          </c:spPr>
          <c:marker>
            <c:symbol val="dash"/>
            <c:size val="15"/>
            <c:spPr>
              <a:solidFill>
                <a:srgbClr val="333333"/>
              </a:solidFill>
              <a:ln>
                <a:solidFill>
                  <a:srgbClr val="333333"/>
                </a:solidFill>
                <a:prstDash val="solid"/>
              </a:ln>
            </c:spPr>
          </c:marker>
          <c:val>
            <c:numRef>
              <c:f>'Eigene Nutzung'!$E$273:$J$273</c:f>
            </c:numRef>
          </c:val>
          <c:smooth val="0"/>
          <c:extLst>
            <c:ext xmlns:c15="http://schemas.microsoft.com/office/drawing/2012/chart" uri="{02D57815-91ED-43cb-92C2-25804820EDAC}">
              <c15:filteredCategoryTitle>
                <c15:cat>
                  <c:multiLvlStrRef>
                    <c:extLst>
                      <c:ext uri="{02D57815-91ED-43cb-92C2-25804820EDAC}">
                        <c15:formulaRef>
                          <c15:sqref>'Eigene Nutzung'!$E$267:$J$267</c15:sqref>
                        </c15:formulaRef>
                      </c:ext>
                    </c:extLst>
                  </c:multiLvlStrRef>
                </c15:cat>
              </c15:filteredCategoryTitle>
            </c:ext>
            <c:ext xmlns:c16="http://schemas.microsoft.com/office/drawing/2014/chart" uri="{C3380CC4-5D6E-409C-BE32-E72D297353CC}">
              <c16:uniqueId val="{00000002-2CEF-4F5C-B763-9F7E448CB1D3}"/>
            </c:ext>
          </c:extLst>
        </c:ser>
        <c:dLbls>
          <c:showLegendKey val="0"/>
          <c:showVal val="0"/>
          <c:showCatName val="0"/>
          <c:showSerName val="0"/>
          <c:showPercent val="0"/>
          <c:showBubbleSize val="0"/>
        </c:dLbls>
        <c:axId val="92590848"/>
        <c:axId val="92592384"/>
      </c:stockChart>
      <c:catAx>
        <c:axId val="9259084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2700000" vert="horz"/>
          <a:lstStyle/>
          <a:p>
            <a:pPr>
              <a:defRPr/>
            </a:pPr>
            <a:endParaRPr lang="de-DE"/>
          </a:p>
        </c:txPr>
        <c:crossAx val="92592384"/>
        <c:crosses val="autoZero"/>
        <c:auto val="1"/>
        <c:lblAlgn val="ctr"/>
        <c:lblOffset val="100"/>
        <c:tickLblSkip val="1"/>
        <c:tickMarkSkip val="1"/>
        <c:noMultiLvlLbl val="0"/>
      </c:catAx>
      <c:valAx>
        <c:axId val="92592384"/>
        <c:scaling>
          <c:orientation val="minMax"/>
        </c:scaling>
        <c:delete val="0"/>
        <c:axPos val="l"/>
        <c:majorGridlines>
          <c:spPr>
            <a:ln w="3175">
              <a:solidFill>
                <a:srgbClr val="000000"/>
              </a:solidFill>
              <a:prstDash val="solid"/>
            </a:ln>
          </c:spPr>
        </c:majorGridlines>
        <c:numFmt formatCode="0" sourceLinked="0"/>
        <c:majorTickMark val="cross"/>
        <c:minorTickMark val="cross"/>
        <c:tickLblPos val="nextTo"/>
        <c:spPr>
          <a:ln w="3175">
            <a:solidFill>
              <a:srgbClr val="000000"/>
            </a:solidFill>
            <a:prstDash val="solid"/>
          </a:ln>
        </c:spPr>
        <c:txPr>
          <a:bodyPr rot="0" vert="horz"/>
          <a:lstStyle/>
          <a:p>
            <a:pPr>
              <a:defRPr/>
            </a:pPr>
            <a:endParaRPr lang="de-DE"/>
          </a:p>
        </c:txPr>
        <c:crossAx val="92590848"/>
        <c:crosses val="autoZero"/>
        <c:crossBetween val="between"/>
      </c:valAx>
      <c:spPr>
        <a:noFill/>
        <a:ln w="25400">
          <a:noFill/>
        </a:ln>
      </c:spPr>
    </c:plotArea>
    <c:legend>
      <c:legendPos val="t"/>
      <c:layout>
        <c:manualLayout>
          <c:xMode val="edge"/>
          <c:yMode val="edge"/>
          <c:x val="0.11359045413784323"/>
          <c:y val="4.1367660250283067E-3"/>
          <c:w val="0.38742436100152794"/>
          <c:h val="6.926452375271272E-2"/>
        </c:manualLayout>
      </c:layout>
      <c:overlay val="0"/>
      <c:spPr>
        <a:noFill/>
        <a:ln w="25400">
          <a:noFill/>
        </a:ln>
      </c:spPr>
    </c:legend>
    <c:plotVisOnly val="1"/>
    <c:dispBlanksAs val="gap"/>
    <c:showDLblsOverMax val="0"/>
  </c:chart>
  <c:spPr>
    <a:noFill/>
    <a:ln w="9525">
      <a:noFill/>
    </a:ln>
  </c:spPr>
  <c:txPr>
    <a:bodyPr/>
    <a:lstStyle/>
    <a:p>
      <a:pPr>
        <a:defRPr sz="800" b="0" i="0" u="none" strike="noStrike" baseline="0">
          <a:solidFill>
            <a:schemeClr val="tx1"/>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8" orientation="landscape" horizontalDpi="-3" verticalDpi="1200"/>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1015882818377"/>
          <c:y val="4.3421494699833238E-2"/>
          <c:w val="0.80661591112311914"/>
          <c:h val="0.7454412290295005"/>
        </c:manualLayout>
      </c:layout>
      <c:barChart>
        <c:barDir val="col"/>
        <c:grouping val="clustered"/>
        <c:varyColors val="0"/>
        <c:ser>
          <c:idx val="0"/>
          <c:order val="0"/>
          <c:spPr>
            <a:solidFill>
              <a:srgbClr val="333333"/>
            </a:solidFill>
            <a:ln w="25400">
              <a:noFill/>
            </a:ln>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Profile!$D$569:$D$580</c:f>
              <c:numCache>
                <c:formatCode>0.0</c:formatCode>
                <c:ptCount val="12"/>
                <c:pt idx="0">
                  <c:v>0.8</c:v>
                </c:pt>
                <c:pt idx="1">
                  <c:v>0.8</c:v>
                </c:pt>
                <c:pt idx="2">
                  <c:v>0.8</c:v>
                </c:pt>
                <c:pt idx="3">
                  <c:v>0.8</c:v>
                </c:pt>
                <c:pt idx="4">
                  <c:v>0.8</c:v>
                </c:pt>
                <c:pt idx="5">
                  <c:v>0.8</c:v>
                </c:pt>
                <c:pt idx="6">
                  <c:v>0.8</c:v>
                </c:pt>
                <c:pt idx="7">
                  <c:v>0.8</c:v>
                </c:pt>
                <c:pt idx="8">
                  <c:v>0.8</c:v>
                </c:pt>
                <c:pt idx="9">
                  <c:v>0.8</c:v>
                </c:pt>
                <c:pt idx="10">
                  <c:v>0.8</c:v>
                </c:pt>
                <c:pt idx="11">
                  <c:v>0.8</c:v>
                </c:pt>
              </c:numCache>
            </c:numRef>
          </c:val>
          <c:extLst>
            <c:ext xmlns:c16="http://schemas.microsoft.com/office/drawing/2014/chart" uri="{C3380CC4-5D6E-409C-BE32-E72D297353CC}">
              <c16:uniqueId val="{00000000-E516-4060-A0F6-BA14F9C641FE}"/>
            </c:ext>
          </c:extLst>
        </c:ser>
        <c:dLbls>
          <c:showLegendKey val="0"/>
          <c:showVal val="0"/>
          <c:showCatName val="0"/>
          <c:showSerName val="0"/>
          <c:showPercent val="0"/>
          <c:showBubbleSize val="0"/>
        </c:dLbls>
        <c:gapWidth val="300"/>
        <c:axId val="92739456"/>
        <c:axId val="92740992"/>
      </c:barChart>
      <c:catAx>
        <c:axId val="92739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740992"/>
        <c:crosses val="autoZero"/>
        <c:auto val="1"/>
        <c:lblAlgn val="ctr"/>
        <c:lblOffset val="100"/>
        <c:tickLblSkip val="1"/>
        <c:tickMarkSkip val="1"/>
        <c:noMultiLvlLbl val="0"/>
      </c:catAx>
      <c:valAx>
        <c:axId val="92740992"/>
        <c:scaling>
          <c:orientation val="minMax"/>
          <c:max val="1"/>
          <c:min val="0"/>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92739456"/>
        <c:crosses val="autoZero"/>
        <c:crossBetween val="between"/>
        <c:majorUnit val="0.2"/>
        <c:minorUnit val="0.01"/>
      </c:valAx>
      <c:spPr>
        <a:noFill/>
        <a:ln w="25400">
          <a:noFill/>
        </a:ln>
      </c:spPr>
    </c:plotArea>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00" verticalDpi="300"/>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072087152442063"/>
          <c:h val="0.80332159642811185"/>
        </c:manualLayout>
      </c:layout>
      <c:barChart>
        <c:barDir val="col"/>
        <c:grouping val="stacked"/>
        <c:varyColors val="0"/>
        <c:ser>
          <c:idx val="1"/>
          <c:order val="0"/>
          <c:tx>
            <c:strRef>
              <c:f>Profile!$I$587</c:f>
              <c:strCache>
                <c:ptCount val="1"/>
                <c:pt idx="0">
                  <c:v>Personen</c:v>
                </c:pt>
              </c:strCache>
            </c:strRef>
          </c:tx>
          <c:spPr>
            <a:solidFill>
              <a:srgbClr val="92D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Profile!$I$589:$I$600</c:f>
              <c:numCache>
                <c:formatCode>0.0</c:formatCode>
                <c:ptCount val="12"/>
                <c:pt idx="0">
                  <c:v>0.8332322164976983</c:v>
                </c:pt>
                <c:pt idx="1">
                  <c:v>0.83182268474628296</c:v>
                </c:pt>
                <c:pt idx="2">
                  <c:v>0.77915684604889823</c:v>
                </c:pt>
                <c:pt idx="3">
                  <c:v>0.80483487239264684</c:v>
                </c:pt>
                <c:pt idx="4">
                  <c:v>0.60889524382520754</c:v>
                </c:pt>
                <c:pt idx="5">
                  <c:v>0.49308195479587952</c:v>
                </c:pt>
                <c:pt idx="6">
                  <c:v>0.37161938881533613</c:v>
                </c:pt>
                <c:pt idx="7">
                  <c:v>0.3746298166342017</c:v>
                </c:pt>
                <c:pt idx="8">
                  <c:v>0.61586824701300269</c:v>
                </c:pt>
                <c:pt idx="9">
                  <c:v>0.70871496969460168</c:v>
                </c:pt>
                <c:pt idx="10">
                  <c:v>0.83279477316029471</c:v>
                </c:pt>
                <c:pt idx="11">
                  <c:v>0.83324904027354807</c:v>
                </c:pt>
              </c:numCache>
            </c:numRef>
          </c:val>
          <c:extLst>
            <c:ext xmlns:c16="http://schemas.microsoft.com/office/drawing/2014/chart" uri="{C3380CC4-5D6E-409C-BE32-E72D297353CC}">
              <c16:uniqueId val="{00000000-C522-4798-BA4C-BFC2C929566F}"/>
            </c:ext>
          </c:extLst>
        </c:ser>
        <c:ser>
          <c:idx val="2"/>
          <c:order val="1"/>
          <c:tx>
            <c:strRef>
              <c:f>Profile!$K$587</c:f>
              <c:strCache>
                <c:ptCount val="1"/>
                <c:pt idx="0">
                  <c:v>Geräte+Bel.</c:v>
                </c:pt>
              </c:strCache>
            </c:strRef>
          </c:tx>
          <c:spPr>
            <a:solidFill>
              <a:srgbClr val="00B05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Profile!$K$589:$K$600</c:f>
              <c:numCache>
                <c:formatCode>0.0</c:formatCode>
                <c:ptCount val="12"/>
                <c:pt idx="0">
                  <c:v>2.0484623210214519</c:v>
                </c:pt>
                <c:pt idx="1">
                  <c:v>2.0449970533254977</c:v>
                </c:pt>
                <c:pt idx="2">
                  <c:v>1.9155205592095454</c:v>
                </c:pt>
                <c:pt idx="3">
                  <c:v>1.9786487825330017</c:v>
                </c:pt>
                <c:pt idx="4">
                  <c:v>1.4969403963613461</c:v>
                </c:pt>
                <c:pt idx="5">
                  <c:v>1.2122188575719242</c:v>
                </c:pt>
                <c:pt idx="6">
                  <c:v>0.9136088363805358</c:v>
                </c:pt>
                <c:pt idx="7">
                  <c:v>0.92100983196736197</c:v>
                </c:pt>
                <c:pt idx="8">
                  <c:v>1.5140831976258005</c:v>
                </c:pt>
                <c:pt idx="9">
                  <c:v>1.7423425103093839</c:v>
                </c:pt>
                <c:pt idx="10">
                  <c:v>2.0473868870949774</c:v>
                </c:pt>
                <c:pt idx="11">
                  <c:v>2.0485036814852493</c:v>
                </c:pt>
              </c:numCache>
            </c:numRef>
          </c:val>
          <c:extLst>
            <c:ext xmlns:c16="http://schemas.microsoft.com/office/drawing/2014/chart" uri="{C3380CC4-5D6E-409C-BE32-E72D297353CC}">
              <c16:uniqueId val="{00000001-C522-4798-BA4C-BFC2C929566F}"/>
            </c:ext>
          </c:extLst>
        </c:ser>
        <c:ser>
          <c:idx val="5"/>
          <c:order val="2"/>
          <c:tx>
            <c:strRef>
              <c:f>Profile!$N$587</c:f>
              <c:strCache>
                <c:ptCount val="1"/>
                <c:pt idx="0">
                  <c:v>Solarstrahlung</c:v>
                </c:pt>
              </c:strCache>
            </c:strRef>
          </c:tx>
          <c:spPr>
            <a:solidFill>
              <a:schemeClr val="accent6"/>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Profile!$N$589:$N$600</c:f>
              <c:numCache>
                <c:formatCode>0.0</c:formatCode>
                <c:ptCount val="12"/>
                <c:pt idx="0">
                  <c:v>2.9557128511996074</c:v>
                </c:pt>
                <c:pt idx="1">
                  <c:v>3.7214214165562365</c:v>
                </c:pt>
                <c:pt idx="2">
                  <c:v>5.300897448351698</c:v>
                </c:pt>
                <c:pt idx="3">
                  <c:v>3.856352709889967</c:v>
                </c:pt>
                <c:pt idx="4">
                  <c:v>3.1915316830174771</c:v>
                </c:pt>
                <c:pt idx="5">
                  <c:v>2.4409118946008577</c:v>
                </c:pt>
                <c:pt idx="6">
                  <c:v>1.9478474589106904</c:v>
                </c:pt>
                <c:pt idx="7">
                  <c:v>1.8545362826613883</c:v>
                </c:pt>
                <c:pt idx="8">
                  <c:v>2.5433363582512096</c:v>
                </c:pt>
                <c:pt idx="9">
                  <c:v>3.5646475438480083</c:v>
                </c:pt>
                <c:pt idx="10">
                  <c:v>2.6896093730292958</c:v>
                </c:pt>
                <c:pt idx="11">
                  <c:v>2.2940324112979726</c:v>
                </c:pt>
              </c:numCache>
            </c:numRef>
          </c:val>
          <c:extLst>
            <c:ext xmlns:c16="http://schemas.microsoft.com/office/drawing/2014/chart" uri="{C3380CC4-5D6E-409C-BE32-E72D297353CC}">
              <c16:uniqueId val="{00000002-C522-4798-BA4C-BFC2C929566F}"/>
            </c:ext>
          </c:extLst>
        </c:ser>
        <c:ser>
          <c:idx val="6"/>
          <c:order val="3"/>
          <c:tx>
            <c:strRef>
              <c:f>Profile!$Q$587</c:f>
              <c:strCache>
                <c:ptCount val="1"/>
                <c:pt idx="0">
                  <c:v>Lüftung</c:v>
                </c:pt>
              </c:strCache>
            </c:strRef>
          </c:tx>
          <c:spPr>
            <a:solidFill>
              <a:srgbClr val="00B0F0"/>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Profile!$Q$589:$Q$600</c:f>
              <c:numCache>
                <c:formatCode>0.0</c:formatCode>
                <c:ptCount val="12"/>
                <c:pt idx="0">
                  <c:v>-1.6362621942857145</c:v>
                </c:pt>
                <c:pt idx="1">
                  <c:v>-1.4588032800000001</c:v>
                </c:pt>
                <c:pt idx="2">
                  <c:v>-1.4317294200000004</c:v>
                </c:pt>
                <c:pt idx="3">
                  <c:v>-1.2217363714285716</c:v>
                </c:pt>
                <c:pt idx="4">
                  <c:v>-0.90276534857142865</c:v>
                </c:pt>
                <c:pt idx="5">
                  <c:v>-0.6961849714285715</c:v>
                </c:pt>
                <c:pt idx="6">
                  <c:v>-0.5501226342857144</c:v>
                </c:pt>
                <c:pt idx="7">
                  <c:v>-0.53601692571428572</c:v>
                </c:pt>
                <c:pt idx="8">
                  <c:v>-0.78491442857142879</c:v>
                </c:pt>
                <c:pt idx="9">
                  <c:v>-1.0367695800000001</c:v>
                </c:pt>
                <c:pt idx="10">
                  <c:v>-1.3650685714285715</c:v>
                </c:pt>
                <c:pt idx="11">
                  <c:v>-1.5516279428571431</c:v>
                </c:pt>
              </c:numCache>
            </c:numRef>
          </c:val>
          <c:extLst>
            <c:ext xmlns:c16="http://schemas.microsoft.com/office/drawing/2014/chart" uri="{C3380CC4-5D6E-409C-BE32-E72D297353CC}">
              <c16:uniqueId val="{00000003-C522-4798-BA4C-BFC2C929566F}"/>
            </c:ext>
          </c:extLst>
        </c:ser>
        <c:ser>
          <c:idx val="7"/>
          <c:order val="4"/>
          <c:tx>
            <c:strRef>
              <c:f>Profile!$T$587</c:f>
              <c:strCache>
                <c:ptCount val="1"/>
                <c:pt idx="0">
                  <c:v>Transmission</c:v>
                </c:pt>
              </c:strCache>
            </c:strRef>
          </c:tx>
          <c:spPr>
            <a:solidFill>
              <a:schemeClr val="accent2">
                <a:lumMod val="60000"/>
                <a:lumOff val="40000"/>
              </a:schemeClr>
            </a:solidFill>
          </c:spPr>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Profile!$T$589:$T$600</c:f>
              <c:numCache>
                <c:formatCode>0.0</c:formatCode>
                <c:ptCount val="12"/>
                <c:pt idx="0">
                  <c:v>-8.3585839764705891</c:v>
                </c:pt>
                <c:pt idx="1">
                  <c:v>-7.1146043294117645</c:v>
                </c:pt>
                <c:pt idx="2">
                  <c:v>-6.9825647294117674</c:v>
                </c:pt>
                <c:pt idx="3">
                  <c:v>-5.9584256470588244</c:v>
                </c:pt>
                <c:pt idx="4">
                  <c:v>-4.4027994352941189</c:v>
                </c:pt>
                <c:pt idx="5">
                  <c:v>-3.3953040000000008</c:v>
                </c:pt>
                <c:pt idx="6">
                  <c:v>-2.6829559058823538</c:v>
                </c:pt>
                <c:pt idx="7">
                  <c:v>-2.6141621647058826</c:v>
                </c:pt>
                <c:pt idx="8">
                  <c:v>-3.828038823529412</c:v>
                </c:pt>
                <c:pt idx="9">
                  <c:v>-5.0563399764705883</c:v>
                </c:pt>
                <c:pt idx="10">
                  <c:v>-6.6574588235294136</c:v>
                </c:pt>
                <c:pt idx="11">
                  <c:v>-7.5673115294117661</c:v>
                </c:pt>
              </c:numCache>
            </c:numRef>
          </c:val>
          <c:extLst>
            <c:ext xmlns:c16="http://schemas.microsoft.com/office/drawing/2014/chart" uri="{C3380CC4-5D6E-409C-BE32-E72D297353CC}">
              <c16:uniqueId val="{00000004-C522-4798-BA4C-BFC2C929566F}"/>
            </c:ext>
          </c:extLst>
        </c:ser>
        <c:ser>
          <c:idx val="0"/>
          <c:order val="5"/>
          <c:tx>
            <c:strRef>
              <c:f>Profile!$U$587</c:f>
              <c:strCache>
                <c:ptCount val="1"/>
                <c:pt idx="0">
                  <c:v>Klimakälte</c:v>
                </c:pt>
              </c:strCache>
            </c:strRef>
          </c:tx>
          <c:invertIfNegative val="0"/>
          <c:cat>
            <c:strRef>
              <c:f>Profile!$B$569:$B$580</c:f>
              <c:strCache>
                <c:ptCount val="12"/>
                <c:pt idx="0">
                  <c:v>Jan</c:v>
                </c:pt>
                <c:pt idx="1">
                  <c:v>Feb</c:v>
                </c:pt>
                <c:pt idx="2">
                  <c:v>Mrz</c:v>
                </c:pt>
                <c:pt idx="3">
                  <c:v>Apr</c:v>
                </c:pt>
                <c:pt idx="4">
                  <c:v>Mai</c:v>
                </c:pt>
                <c:pt idx="5">
                  <c:v>Jun</c:v>
                </c:pt>
                <c:pt idx="6">
                  <c:v>Jul</c:v>
                </c:pt>
                <c:pt idx="7">
                  <c:v>Aug</c:v>
                </c:pt>
                <c:pt idx="8">
                  <c:v>Sep</c:v>
                </c:pt>
                <c:pt idx="9">
                  <c:v>Okt</c:v>
                </c:pt>
                <c:pt idx="10">
                  <c:v>Nov</c:v>
                </c:pt>
                <c:pt idx="11">
                  <c:v>Dez</c:v>
                </c:pt>
              </c:strCache>
            </c:strRef>
          </c:cat>
          <c:val>
            <c:numRef>
              <c:f>Profile!$U$589:$U$600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C522-4798-BA4C-BFC2C929566F}"/>
            </c:ext>
          </c:extLst>
        </c:ser>
        <c:ser>
          <c:idx val="3"/>
          <c:order val="6"/>
          <c:tx>
            <c:strRef>
              <c:f>Profile!$V$587</c:f>
              <c:strCache>
                <c:ptCount val="1"/>
                <c:pt idx="0">
                  <c:v>Heizwärme</c:v>
                </c:pt>
              </c:strCache>
            </c:strRef>
          </c:tx>
          <c:spPr>
            <a:solidFill>
              <a:srgbClr val="FF0000"/>
            </a:solidFill>
          </c:spPr>
          <c:invertIfNegative val="0"/>
          <c:val>
            <c:numRef>
              <c:f>Profile!$V$589:$V$600</c:f>
              <c:numCache>
                <c:formatCode>0.0</c:formatCode>
                <c:ptCount val="12"/>
                <c:pt idx="0">
                  <c:v>4.1574387820375458</c:v>
                </c:pt>
                <c:pt idx="1">
                  <c:v>2.2535683649197273</c:v>
                </c:pt>
                <c:pt idx="2">
                  <c:v>0.41871929580162615</c:v>
                </c:pt>
                <c:pt idx="3">
                  <c:v>0.63011544899196359</c:v>
                </c:pt>
                <c:pt idx="4">
                  <c:v>8.1974606615167443E-3</c:v>
                </c:pt>
                <c:pt idx="5">
                  <c:v>2.8596808467846243E-4</c:v>
                </c:pt>
                <c:pt idx="6">
                  <c:v>2.8560615058144854E-6</c:v>
                </c:pt>
                <c:pt idx="7">
                  <c:v>3.1591572158262693E-6</c:v>
                </c:pt>
                <c:pt idx="8">
                  <c:v>8.3735603282085614E-3</c:v>
                </c:pt>
                <c:pt idx="9">
                  <c:v>7.7404532618595326E-2</c:v>
                </c:pt>
                <c:pt idx="10">
                  <c:v>2.5456454474881034</c:v>
                </c:pt>
                <c:pt idx="11">
                  <c:v>3.9431543392121386</c:v>
                </c:pt>
              </c:numCache>
            </c:numRef>
          </c:val>
          <c:extLst>
            <c:ext xmlns:c16="http://schemas.microsoft.com/office/drawing/2014/chart" uri="{C3380CC4-5D6E-409C-BE32-E72D297353CC}">
              <c16:uniqueId val="{00000006-C522-4798-BA4C-BFC2C929566F}"/>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strRef>
              <c:f>Begriffe!$F$419</c:f>
              <c:strCache>
                <c:ptCount val="1"/>
                <c:pt idx="0">
                  <c:v>Wärmebilanz, kWh/m2</c:v>
                </c:pt>
              </c:strCache>
            </c:strRef>
          </c:tx>
          <c:layout>
            <c:manualLayout>
              <c:xMode val="edge"/>
              <c:yMode val="edge"/>
              <c:x val="1.2566316762246746E-2"/>
              <c:y val="0.25251335897669769"/>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spPr>
        <a:noFill/>
        <a:ln w="25400">
          <a:noFill/>
        </a:ln>
      </c:spPr>
    </c:plotArea>
    <c:legend>
      <c:legendPos val="r"/>
      <c:layout>
        <c:manualLayout>
          <c:xMode val="edge"/>
          <c:yMode val="edge"/>
          <c:x val="0.78894877533882679"/>
          <c:y val="0.23491948839684595"/>
          <c:w val="0.21105122466117318"/>
          <c:h val="0.56949579349630053"/>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637708799014E-2"/>
          <c:y val="0.10489514155758657"/>
          <c:w val="0.69164444160481953"/>
          <c:h val="0.80332159642811185"/>
        </c:manualLayout>
      </c:layout>
      <c:barChart>
        <c:barDir val="col"/>
        <c:grouping val="stacked"/>
        <c:varyColors val="0"/>
        <c:ser>
          <c:idx val="1"/>
          <c:order val="0"/>
          <c:tx>
            <c:strRef>
              <c:f>Profile!$C$231</c:f>
              <c:strCache>
                <c:ptCount val="1"/>
                <c:pt idx="0">
                  <c:v>Personen</c:v>
                </c:pt>
              </c:strCache>
            </c:strRef>
          </c:tx>
          <c:spPr>
            <a:solidFill>
              <a:srgbClr val="92D050"/>
            </a:solidFill>
          </c:spPr>
          <c:invertIfNegative val="0"/>
          <c:val>
            <c:numRef>
              <c:f>Profile!$C$238:$C$261</c:f>
              <c:numCache>
                <c:formatCode>0.0</c:formatCode>
                <c:ptCount val="24"/>
                <c:pt idx="0">
                  <c:v>2.4</c:v>
                </c:pt>
                <c:pt idx="1">
                  <c:v>2.4</c:v>
                </c:pt>
                <c:pt idx="2">
                  <c:v>2.4</c:v>
                </c:pt>
                <c:pt idx="3">
                  <c:v>2.4</c:v>
                </c:pt>
                <c:pt idx="4">
                  <c:v>2.4</c:v>
                </c:pt>
                <c:pt idx="5">
                  <c:v>2.4</c:v>
                </c:pt>
                <c:pt idx="6">
                  <c:v>1.44</c:v>
                </c:pt>
                <c:pt idx="7">
                  <c:v>0.96</c:v>
                </c:pt>
                <c:pt idx="8">
                  <c:v>0</c:v>
                </c:pt>
                <c:pt idx="9">
                  <c:v>0</c:v>
                </c:pt>
                <c:pt idx="10">
                  <c:v>0</c:v>
                </c:pt>
                <c:pt idx="11">
                  <c:v>0</c:v>
                </c:pt>
                <c:pt idx="12">
                  <c:v>1.92</c:v>
                </c:pt>
                <c:pt idx="13">
                  <c:v>0.96</c:v>
                </c:pt>
                <c:pt idx="14">
                  <c:v>0</c:v>
                </c:pt>
                <c:pt idx="15">
                  <c:v>0</c:v>
                </c:pt>
                <c:pt idx="16">
                  <c:v>0</c:v>
                </c:pt>
                <c:pt idx="17">
                  <c:v>0.96</c:v>
                </c:pt>
                <c:pt idx="18">
                  <c:v>1.92</c:v>
                </c:pt>
                <c:pt idx="19">
                  <c:v>1.92</c:v>
                </c:pt>
                <c:pt idx="20">
                  <c:v>1.92</c:v>
                </c:pt>
                <c:pt idx="21">
                  <c:v>2.4</c:v>
                </c:pt>
                <c:pt idx="22">
                  <c:v>2.4</c:v>
                </c:pt>
                <c:pt idx="23">
                  <c:v>2.4</c:v>
                </c:pt>
              </c:numCache>
            </c:numRef>
          </c:val>
          <c:extLst>
            <c:ext xmlns:c16="http://schemas.microsoft.com/office/drawing/2014/chart" uri="{C3380CC4-5D6E-409C-BE32-E72D297353CC}">
              <c16:uniqueId val="{00000000-02A9-41AF-8FE6-DE771BCFEB93}"/>
            </c:ext>
          </c:extLst>
        </c:ser>
        <c:ser>
          <c:idx val="2"/>
          <c:order val="1"/>
          <c:tx>
            <c:strRef>
              <c:f>Profile!$D$231</c:f>
              <c:strCache>
                <c:ptCount val="1"/>
                <c:pt idx="0">
                  <c:v>Geräte</c:v>
                </c:pt>
              </c:strCache>
            </c:strRef>
          </c:tx>
          <c:spPr>
            <a:solidFill>
              <a:srgbClr val="00B050"/>
            </a:solidFill>
          </c:spPr>
          <c:invertIfNegative val="0"/>
          <c:val>
            <c:numRef>
              <c:f>Profile!$D$238:$D$261</c:f>
              <c:numCache>
                <c:formatCode>0.0</c:formatCode>
                <c:ptCount val="24"/>
                <c:pt idx="0">
                  <c:v>2</c:v>
                </c:pt>
                <c:pt idx="1">
                  <c:v>2</c:v>
                </c:pt>
                <c:pt idx="2">
                  <c:v>2</c:v>
                </c:pt>
                <c:pt idx="3">
                  <c:v>2</c:v>
                </c:pt>
                <c:pt idx="4">
                  <c:v>2</c:v>
                </c:pt>
                <c:pt idx="5">
                  <c:v>2</c:v>
                </c:pt>
                <c:pt idx="6">
                  <c:v>8</c:v>
                </c:pt>
                <c:pt idx="7">
                  <c:v>2</c:v>
                </c:pt>
                <c:pt idx="8">
                  <c:v>2</c:v>
                </c:pt>
                <c:pt idx="9">
                  <c:v>2</c:v>
                </c:pt>
                <c:pt idx="10">
                  <c:v>2</c:v>
                </c:pt>
                <c:pt idx="11">
                  <c:v>2</c:v>
                </c:pt>
                <c:pt idx="12">
                  <c:v>8</c:v>
                </c:pt>
                <c:pt idx="13">
                  <c:v>2</c:v>
                </c:pt>
                <c:pt idx="14">
                  <c:v>2</c:v>
                </c:pt>
                <c:pt idx="15">
                  <c:v>2</c:v>
                </c:pt>
                <c:pt idx="16">
                  <c:v>2</c:v>
                </c:pt>
                <c:pt idx="17">
                  <c:v>2</c:v>
                </c:pt>
                <c:pt idx="18">
                  <c:v>8</c:v>
                </c:pt>
                <c:pt idx="19">
                  <c:v>10</c:v>
                </c:pt>
                <c:pt idx="20">
                  <c:v>2</c:v>
                </c:pt>
                <c:pt idx="21">
                  <c:v>2</c:v>
                </c:pt>
                <c:pt idx="22">
                  <c:v>2</c:v>
                </c:pt>
                <c:pt idx="23">
                  <c:v>2</c:v>
                </c:pt>
              </c:numCache>
            </c:numRef>
          </c:val>
          <c:extLst>
            <c:ext xmlns:c16="http://schemas.microsoft.com/office/drawing/2014/chart" uri="{C3380CC4-5D6E-409C-BE32-E72D297353CC}">
              <c16:uniqueId val="{00000001-02A9-41AF-8FE6-DE771BCFEB93}"/>
            </c:ext>
          </c:extLst>
        </c:ser>
        <c:ser>
          <c:idx val="4"/>
          <c:order val="2"/>
          <c:tx>
            <c:strRef>
              <c:f>Profile!$F$231</c:f>
              <c:strCache>
                <c:ptCount val="1"/>
                <c:pt idx="0">
                  <c:v>Beleuchtung</c:v>
                </c:pt>
              </c:strCache>
            </c:strRef>
          </c:tx>
          <c:spPr>
            <a:solidFill>
              <a:srgbClr val="FFFF00"/>
            </a:solidFill>
          </c:spPr>
          <c:invertIfNegative val="0"/>
          <c:val>
            <c:numRef>
              <c:f>Profile!$F$238:$F$261</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2.9791666666666674</c:v>
                </c:pt>
                <c:pt idx="20">
                  <c:v>2.9791666666666674</c:v>
                </c:pt>
                <c:pt idx="21">
                  <c:v>2.9791666666666674</c:v>
                </c:pt>
                <c:pt idx="22">
                  <c:v>0</c:v>
                </c:pt>
                <c:pt idx="23">
                  <c:v>0</c:v>
                </c:pt>
              </c:numCache>
            </c:numRef>
          </c:val>
          <c:extLst>
            <c:ext xmlns:c16="http://schemas.microsoft.com/office/drawing/2014/chart" uri="{C3380CC4-5D6E-409C-BE32-E72D297353CC}">
              <c16:uniqueId val="{00000002-02A9-41AF-8FE6-DE771BCFEB93}"/>
            </c:ext>
          </c:extLst>
        </c:ser>
        <c:ser>
          <c:idx val="5"/>
          <c:order val="3"/>
          <c:tx>
            <c:strRef>
              <c:f>Profile!$H$231</c:f>
              <c:strCache>
                <c:ptCount val="1"/>
                <c:pt idx="0">
                  <c:v>Solarstrahlung</c:v>
                </c:pt>
              </c:strCache>
            </c:strRef>
          </c:tx>
          <c:spPr>
            <a:solidFill>
              <a:schemeClr val="accent6"/>
            </a:solidFill>
          </c:spPr>
          <c:invertIfNegative val="0"/>
          <c:val>
            <c:numRef>
              <c:f>Profile!$J$238:$J$261</c:f>
              <c:numCache>
                <c:formatCode>0.0</c:formatCode>
                <c:ptCount val="24"/>
                <c:pt idx="0">
                  <c:v>0</c:v>
                </c:pt>
                <c:pt idx="1">
                  <c:v>0</c:v>
                </c:pt>
                <c:pt idx="2">
                  <c:v>0</c:v>
                </c:pt>
                <c:pt idx="3">
                  <c:v>0</c:v>
                </c:pt>
                <c:pt idx="4">
                  <c:v>0</c:v>
                </c:pt>
                <c:pt idx="5">
                  <c:v>1.5088235294117649</c:v>
                </c:pt>
                <c:pt idx="6">
                  <c:v>4.605882352941177</c:v>
                </c:pt>
                <c:pt idx="7">
                  <c:v>6.4323529411764717</c:v>
                </c:pt>
                <c:pt idx="8">
                  <c:v>8.5764705882352956</c:v>
                </c:pt>
                <c:pt idx="9">
                  <c:v>9.6882352941176482</c:v>
                </c:pt>
                <c:pt idx="10">
                  <c:v>10.402941176470589</c:v>
                </c:pt>
                <c:pt idx="11">
                  <c:v>11.83235294117647</c:v>
                </c:pt>
                <c:pt idx="12">
                  <c:v>6.0257647058823531</c:v>
                </c:pt>
                <c:pt idx="13">
                  <c:v>10.850823529411766</c:v>
                </c:pt>
                <c:pt idx="14">
                  <c:v>12.852000000000004</c:v>
                </c:pt>
                <c:pt idx="15">
                  <c:v>13.363411764705884</c:v>
                </c:pt>
                <c:pt idx="16">
                  <c:v>9.6501176470588259</c:v>
                </c:pt>
                <c:pt idx="17">
                  <c:v>4.447058823529412</c:v>
                </c:pt>
                <c:pt idx="18">
                  <c:v>1.5088235294117649</c:v>
                </c:pt>
                <c:pt idx="19">
                  <c:v>0</c:v>
                </c:pt>
                <c:pt idx="20">
                  <c:v>0</c:v>
                </c:pt>
                <c:pt idx="21">
                  <c:v>0</c:v>
                </c:pt>
                <c:pt idx="22">
                  <c:v>0</c:v>
                </c:pt>
                <c:pt idx="23">
                  <c:v>0</c:v>
                </c:pt>
              </c:numCache>
            </c:numRef>
          </c:val>
          <c:extLst>
            <c:ext xmlns:c16="http://schemas.microsoft.com/office/drawing/2014/chart" uri="{C3380CC4-5D6E-409C-BE32-E72D297353CC}">
              <c16:uniqueId val="{00000003-02A9-41AF-8FE6-DE771BCFEB93}"/>
            </c:ext>
          </c:extLst>
        </c:ser>
        <c:ser>
          <c:idx val="6"/>
          <c:order val="4"/>
          <c:tx>
            <c:strRef>
              <c:f>Profile!$K$231</c:f>
              <c:strCache>
                <c:ptCount val="1"/>
                <c:pt idx="0">
                  <c:v>Lüftung</c:v>
                </c:pt>
              </c:strCache>
            </c:strRef>
          </c:tx>
          <c:spPr>
            <a:solidFill>
              <a:srgbClr val="00B0F0"/>
            </a:solidFill>
          </c:spPr>
          <c:invertIfNegative val="0"/>
          <c:val>
            <c:numRef>
              <c:f>Profile!$O$238:$O$261</c:f>
              <c:numCache>
                <c:formatCode>0.00</c:formatCode>
                <c:ptCount val="24"/>
                <c:pt idx="0">
                  <c:v>-3.9456000000000002</c:v>
                </c:pt>
                <c:pt idx="1">
                  <c:v>-4.039542857142858</c:v>
                </c:pt>
                <c:pt idx="2">
                  <c:v>-3.9456000000000002</c:v>
                </c:pt>
                <c:pt idx="3">
                  <c:v>-4.1648000000000005</c:v>
                </c:pt>
                <c:pt idx="4">
                  <c:v>-4.1021714285714284</c:v>
                </c:pt>
                <c:pt idx="5">
                  <c:v>-3.9456000000000002</c:v>
                </c:pt>
                <c:pt idx="6">
                  <c:v>-3.0374857142857143</c:v>
                </c:pt>
                <c:pt idx="7">
                  <c:v>-1.9728000000000003</c:v>
                </c:pt>
                <c:pt idx="8">
                  <c:v>-1.2212571428571426</c:v>
                </c:pt>
                <c:pt idx="9">
                  <c:v>-0.87680000000000025</c:v>
                </c:pt>
                <c:pt idx="10">
                  <c:v>-0.90811428571428521</c:v>
                </c:pt>
                <c:pt idx="11">
                  <c:v>-0.53234285714285701</c:v>
                </c:pt>
                <c:pt idx="12">
                  <c:v>-0.43839999999999957</c:v>
                </c:pt>
                <c:pt idx="13">
                  <c:v>-0.62628571428571433</c:v>
                </c:pt>
                <c:pt idx="14">
                  <c:v>-0.50102857142857193</c:v>
                </c:pt>
                <c:pt idx="15">
                  <c:v>-0.68891428571428548</c:v>
                </c:pt>
                <c:pt idx="16">
                  <c:v>-0.87680000000000025</c:v>
                </c:pt>
                <c:pt idx="17">
                  <c:v>-1.3151999999999999</c:v>
                </c:pt>
                <c:pt idx="18">
                  <c:v>-1.5970285714285719</c:v>
                </c:pt>
                <c:pt idx="19">
                  <c:v>-1.9101714285714291</c:v>
                </c:pt>
                <c:pt idx="20">
                  <c:v>-2.2233142857142862</c:v>
                </c:pt>
                <c:pt idx="21">
                  <c:v>-2.693028571428572</c:v>
                </c:pt>
                <c:pt idx="22">
                  <c:v>-2.8496000000000006</c:v>
                </c:pt>
                <c:pt idx="23">
                  <c:v>-3.0374857142857143</c:v>
                </c:pt>
              </c:numCache>
            </c:numRef>
          </c:val>
          <c:extLst>
            <c:ext xmlns:c16="http://schemas.microsoft.com/office/drawing/2014/chart" uri="{C3380CC4-5D6E-409C-BE32-E72D297353CC}">
              <c16:uniqueId val="{00000004-02A9-41AF-8FE6-DE771BCFEB93}"/>
            </c:ext>
          </c:extLst>
        </c:ser>
        <c:ser>
          <c:idx val="7"/>
          <c:order val="5"/>
          <c:tx>
            <c:strRef>
              <c:f>Profile!$P$231</c:f>
              <c:strCache>
                <c:ptCount val="1"/>
                <c:pt idx="0">
                  <c:v>Transmission</c:v>
                </c:pt>
              </c:strCache>
            </c:strRef>
          </c:tx>
          <c:spPr>
            <a:solidFill>
              <a:schemeClr val="accent2">
                <a:lumMod val="60000"/>
                <a:lumOff val="40000"/>
              </a:schemeClr>
            </a:solidFill>
          </c:spPr>
          <c:invertIfNegative val="0"/>
          <c:val>
            <c:numRef>
              <c:f>Profile!$P$238:$P$261</c:f>
              <c:numCache>
                <c:formatCode>0.0</c:formatCode>
                <c:ptCount val="24"/>
                <c:pt idx="0">
                  <c:v>-5.8252764705882365</c:v>
                </c:pt>
                <c:pt idx="1">
                  <c:v>-5.9639735294117662</c:v>
                </c:pt>
                <c:pt idx="2">
                  <c:v>-5.8252764705882365</c:v>
                </c:pt>
                <c:pt idx="3">
                  <c:v>-6.1489029411764724</c:v>
                </c:pt>
                <c:pt idx="4">
                  <c:v>-6.0564382352941184</c:v>
                </c:pt>
                <c:pt idx="5">
                  <c:v>-5.8252764705882365</c:v>
                </c:pt>
                <c:pt idx="6">
                  <c:v>-4.4845382352941181</c:v>
                </c:pt>
                <c:pt idx="7">
                  <c:v>-2.9126382352941187</c:v>
                </c:pt>
                <c:pt idx="8">
                  <c:v>-1.803061764705882</c:v>
                </c:pt>
                <c:pt idx="9">
                  <c:v>-1.2945058823529418</c:v>
                </c:pt>
                <c:pt idx="10">
                  <c:v>-1.3407382352941173</c:v>
                </c:pt>
                <c:pt idx="11">
                  <c:v>-0.78594999999999982</c:v>
                </c:pt>
                <c:pt idx="12">
                  <c:v>-0.64725294117647003</c:v>
                </c:pt>
                <c:pt idx="13">
                  <c:v>-0.9246470588235296</c:v>
                </c:pt>
                <c:pt idx="14">
                  <c:v>-0.73971764705882437</c:v>
                </c:pt>
                <c:pt idx="15">
                  <c:v>-1.0171117647058823</c:v>
                </c:pt>
                <c:pt idx="16">
                  <c:v>-1.2945058823529418</c:v>
                </c:pt>
                <c:pt idx="17">
                  <c:v>-1.9417588235294119</c:v>
                </c:pt>
                <c:pt idx="18">
                  <c:v>-2.3578500000000013</c:v>
                </c:pt>
                <c:pt idx="19">
                  <c:v>-2.820173529411766</c:v>
                </c:pt>
                <c:pt idx="20">
                  <c:v>-3.2824970588235307</c:v>
                </c:pt>
                <c:pt idx="21">
                  <c:v>-3.9759823529411777</c:v>
                </c:pt>
                <c:pt idx="22">
                  <c:v>-4.2071441176470605</c:v>
                </c:pt>
                <c:pt idx="23">
                  <c:v>-4.4845382352941181</c:v>
                </c:pt>
              </c:numCache>
            </c:numRef>
          </c:val>
          <c:extLst>
            <c:ext xmlns:c16="http://schemas.microsoft.com/office/drawing/2014/chart" uri="{C3380CC4-5D6E-409C-BE32-E72D297353CC}">
              <c16:uniqueId val="{00000005-02A9-41AF-8FE6-DE771BCFEB93}"/>
            </c:ext>
          </c:extLst>
        </c:ser>
        <c:ser>
          <c:idx val="0"/>
          <c:order val="6"/>
          <c:tx>
            <c:strRef>
              <c:f>Profile!$U$231</c:f>
              <c:strCache>
                <c:ptCount val="1"/>
                <c:pt idx="0">
                  <c:v>Klimakälte</c:v>
                </c:pt>
              </c:strCache>
            </c:strRef>
          </c:tx>
          <c:invertIfNegative val="0"/>
          <c:val>
            <c:numRef>
              <c:f>Profile!$U$238:$U$261</c:f>
              <c:numCache>
                <c:formatCode>0.0</c:formatCode>
                <c:ptCount val="24"/>
                <c:pt idx="0">
                  <c:v>0</c:v>
                </c:pt>
                <c:pt idx="1">
                  <c:v>0</c:v>
                </c:pt>
                <c:pt idx="2">
                  <c:v>0</c:v>
                </c:pt>
                <c:pt idx="3">
                  <c:v>0</c:v>
                </c:pt>
                <c:pt idx="4">
                  <c:v>0</c:v>
                </c:pt>
                <c:pt idx="5">
                  <c:v>0</c:v>
                </c:pt>
                <c:pt idx="6">
                  <c:v>-6.523858403361344</c:v>
                </c:pt>
                <c:pt idx="7">
                  <c:v>-4.5069147058823535</c:v>
                </c:pt>
                <c:pt idx="8">
                  <c:v>-7.5521516806722708</c:v>
                </c:pt>
                <c:pt idx="9">
                  <c:v>-9.5169294117647052</c:v>
                </c:pt>
                <c:pt idx="10">
                  <c:v>-10.154088655462187</c:v>
                </c:pt>
                <c:pt idx="11">
                  <c:v>-12.514060084033613</c:v>
                </c:pt>
                <c:pt idx="12">
                  <c:v>-14.860111764705884</c:v>
                </c:pt>
                <c:pt idx="13">
                  <c:v>-12.259890756302523</c:v>
                </c:pt>
                <c:pt idx="14">
                  <c:v>-13.611253781512607</c:v>
                </c:pt>
                <c:pt idx="15">
                  <c:v>-13.657385714285716</c:v>
                </c:pt>
                <c:pt idx="16">
                  <c:v>-9.4788117647058829</c:v>
                </c:pt>
                <c:pt idx="17">
                  <c:v>-4.1501000000000001</c:v>
                </c:pt>
                <c:pt idx="18">
                  <c:v>-7.4739449579831927</c:v>
                </c:pt>
                <c:pt idx="19">
                  <c:v>-10.168821708683472</c:v>
                </c:pt>
                <c:pt idx="20">
                  <c:v>-1.3933553221288508</c:v>
                </c:pt>
                <c:pt idx="21">
                  <c:v>-0.71015574229691847</c:v>
                </c:pt>
                <c:pt idx="22">
                  <c:v>0</c:v>
                </c:pt>
                <c:pt idx="23">
                  <c:v>0</c:v>
                </c:pt>
              </c:numCache>
            </c:numRef>
          </c:val>
          <c:extLst>
            <c:ext xmlns:c16="http://schemas.microsoft.com/office/drawing/2014/chart" uri="{C3380CC4-5D6E-409C-BE32-E72D297353CC}">
              <c16:uniqueId val="{00000006-02A9-41AF-8FE6-DE771BCFEB93}"/>
            </c:ext>
          </c:extLst>
        </c:ser>
        <c:dLbls>
          <c:showLegendKey val="0"/>
          <c:showVal val="0"/>
          <c:showCatName val="0"/>
          <c:showSerName val="0"/>
          <c:showPercent val="0"/>
          <c:showBubbleSize val="0"/>
        </c:dLbls>
        <c:gapWidth val="150"/>
        <c:overlap val="100"/>
        <c:axId val="88820352"/>
        <c:axId val="88826240"/>
      </c:bar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de-DE"/>
          </a:p>
        </c:txPr>
        <c:crossAx val="88826240"/>
        <c:crosses val="autoZero"/>
        <c:auto val="1"/>
        <c:lblAlgn val="ctr"/>
        <c:lblOffset val="100"/>
        <c:noMultiLvlLbl val="0"/>
      </c:catAx>
      <c:valAx>
        <c:axId val="88826240"/>
        <c:scaling>
          <c:orientation val="minMax"/>
        </c:scaling>
        <c:delete val="0"/>
        <c:axPos val="l"/>
        <c:majorGridlines>
          <c:spPr>
            <a:ln w="3175">
              <a:solidFill>
                <a:srgbClr val="000000"/>
              </a:solidFill>
              <a:prstDash val="solid"/>
            </a:ln>
          </c:spPr>
        </c:majorGridlines>
        <c:title>
          <c:tx>
            <c:strRef>
              <c:f>Begriffe!$F$420</c:f>
              <c:strCache>
                <c:ptCount val="1"/>
                <c:pt idx="0">
                  <c:v>Wärmeleistungsbilanz, W/m2</c:v>
                </c:pt>
              </c:strCache>
            </c:strRef>
          </c:tx>
          <c:layout>
            <c:manualLayout>
              <c:xMode val="edge"/>
              <c:yMode val="edge"/>
              <c:x val="1.5027300144505946E-2"/>
              <c:y val="0.20806252807978279"/>
            </c:manualLayout>
          </c:layout>
          <c:overlay val="0"/>
          <c:spPr>
            <a:noFill/>
            <a:ln w="25400">
              <a:noFill/>
            </a:ln>
          </c:spPr>
          <c:txPr>
            <a:bodyPr/>
            <a:lstStyle/>
            <a:p>
              <a:pPr>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a:pPr>
            <a:endParaRPr lang="de-DE"/>
          </a:p>
        </c:txPr>
        <c:crossAx val="88820352"/>
        <c:crosses val="autoZero"/>
        <c:crossBetween val="between"/>
      </c:valAx>
      <c:spPr>
        <a:noFill/>
        <a:ln w="25400">
          <a:noFill/>
        </a:ln>
      </c:spPr>
    </c:plotArea>
    <c:legend>
      <c:legendPos val="r"/>
      <c:layout>
        <c:manualLayout>
          <c:xMode val="edge"/>
          <c:yMode val="edge"/>
          <c:x val="0.78948206715063074"/>
          <c:y val="0.23491937538000587"/>
          <c:w val="0.21051793284936907"/>
          <c:h val="0.54958777285477511"/>
        </c:manualLayout>
      </c:layout>
      <c:overlay val="0"/>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panose="020B0604020202020204" pitchFamily="34" charset="0"/>
          <a:ea typeface="Futura Light"/>
          <a:cs typeface="Arial" panose="020B0604020202020204" pitchFamily="34" charset="0"/>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40173481138673"/>
          <c:y val="5.3547350226921253E-2"/>
          <c:w val="0.75217282510274075"/>
          <c:h val="0.71362194616558683"/>
        </c:manualLayout>
      </c:layout>
      <c:barChart>
        <c:barDir val="col"/>
        <c:grouping val="clustered"/>
        <c:varyColors val="0"/>
        <c:ser>
          <c:idx val="0"/>
          <c:order val="0"/>
          <c:tx>
            <c:strRef>
              <c:f>Profile!$C$332</c:f>
              <c:strCache>
                <c:ptCount val="1"/>
                <c:pt idx="0">
                  <c:v>Personenprofil</c:v>
                </c:pt>
              </c:strCache>
            </c:strRef>
          </c:tx>
          <c:spPr>
            <a:solidFill>
              <a:schemeClr val="accent3"/>
            </a:solidFill>
          </c:spPr>
          <c:invertIfNegative val="0"/>
          <c:val>
            <c:numRef>
              <c:f>Profile!$C$339:$C$362</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0-F2C8-4AE3-8BEF-F8240E712310}"/>
            </c:ext>
          </c:extLst>
        </c:ser>
        <c:ser>
          <c:idx val="1"/>
          <c:order val="2"/>
          <c:tx>
            <c:strRef>
              <c:f>Profile!$F$332</c:f>
              <c:strCache>
                <c:ptCount val="1"/>
                <c:pt idx="0">
                  <c:v>Aussenluft-Volumenstrom</c:v>
                </c:pt>
              </c:strCache>
            </c:strRef>
          </c:tx>
          <c:spPr>
            <a:solidFill>
              <a:schemeClr val="accent5"/>
            </a:solidFill>
          </c:spPr>
          <c:invertIfNegative val="0"/>
          <c:val>
            <c:numRef>
              <c:f>Profile!$F$339:$F$362</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1-F2C8-4AE3-8BEF-F8240E712310}"/>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1"/>
          <c:tx>
            <c:strRef>
              <c:f>Profile!$J$332</c:f>
              <c:strCache>
                <c:ptCount val="1"/>
                <c:pt idx="0">
                  <c:v>CO2-Konzentration</c:v>
                </c:pt>
              </c:strCache>
            </c:strRef>
          </c:tx>
          <c:spPr>
            <a:ln w="19050">
              <a:solidFill>
                <a:sysClr val="windowText" lastClr="000000"/>
              </a:solidFill>
            </a:ln>
          </c:spPr>
          <c:marker>
            <c:symbol val="none"/>
          </c:marker>
          <c:val>
            <c:numRef>
              <c:f>Profile!$J$339:$J$362</c:f>
              <c:numCache>
                <c:formatCode>0</c:formatCode>
                <c:ptCount val="24"/>
                <c:pt idx="0">
                  <c:v>1044.6031985517793</c:v>
                </c:pt>
                <c:pt idx="1">
                  <c:v>1062.7831880301155</c:v>
                </c:pt>
                <c:pt idx="2">
                  <c:v>1075.0745033147591</c:v>
                </c:pt>
                <c:pt idx="3">
                  <c:v>1083.3845428561208</c:v>
                </c:pt>
                <c:pt idx="4">
                  <c:v>1089.0028803228417</c:v>
                </c:pt>
                <c:pt idx="5">
                  <c:v>1092.8013840162175</c:v>
                </c:pt>
                <c:pt idx="6">
                  <c:v>1004.5802389725177</c:v>
                </c:pt>
                <c:pt idx="7">
                  <c:v>899.54013659164707</c:v>
                </c:pt>
                <c:pt idx="8">
                  <c:v>737.73426126007712</c:v>
                </c:pt>
                <c:pt idx="9">
                  <c:v>628.3388718415091</c:v>
                </c:pt>
                <c:pt idx="10">
                  <c:v>554.37770571254839</c:v>
                </c:pt>
                <c:pt idx="11">
                  <c:v>504.3732756883042</c:v>
                </c:pt>
                <c:pt idx="12">
                  <c:v>652.14431694645225</c:v>
                </c:pt>
                <c:pt idx="13">
                  <c:v>661.26161391051744</c:v>
                </c:pt>
                <c:pt idx="14">
                  <c:v>576.63645362257273</c:v>
                </c:pt>
                <c:pt idx="15">
                  <c:v>519.42220015162843</c:v>
                </c:pt>
                <c:pt idx="16">
                  <c:v>480.7401960159886</c:v>
                </c:pt>
                <c:pt idx="17">
                  <c:v>545.37694335259403</c:v>
                </c:pt>
                <c:pt idx="18">
                  <c:v>679.86650059727879</c:v>
                </c:pt>
                <c:pt idx="19">
                  <c:v>770.79359120733488</c:v>
                </c:pt>
                <c:pt idx="20">
                  <c:v>832.26851889831812</c:v>
                </c:pt>
                <c:pt idx="21">
                  <c:v>919.22576207040936</c:v>
                </c:pt>
                <c:pt idx="22">
                  <c:v>978.01671425359018</c:v>
                </c:pt>
                <c:pt idx="23">
                  <c:v>1017.7647091591413</c:v>
                </c:pt>
              </c:numCache>
            </c:numRef>
          </c:val>
          <c:smooth val="0"/>
          <c:extLst>
            <c:ext xmlns:c16="http://schemas.microsoft.com/office/drawing/2014/chart" uri="{C3380CC4-5D6E-409C-BE32-E72D297353CC}">
              <c16:uniqueId val="{00000002-F2C8-4AE3-8BEF-F8240E712310}"/>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Profile!$A$312</c:f>
              <c:strCache>
                <c:ptCount val="1"/>
                <c:pt idx="0">
                  <c:v>CO2-Konzentration, ppm</c:v>
                </c:pt>
              </c:strCache>
            </c:strRef>
          </c:tx>
          <c:layout>
            <c:manualLayout>
              <c:xMode val="edge"/>
              <c:yMode val="edge"/>
              <c:x val="4.7529216391074295E-3"/>
              <c:y val="0.18097557036139716"/>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2819298587486387"/>
              <c:y val="0.11809408439329702"/>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45262265828408"/>
          <c:y val="8.5117656723146778E-2"/>
          <c:w val="0.77019502817848218"/>
          <c:h val="0.70112777022665607"/>
        </c:manualLayout>
      </c:layout>
      <c:barChart>
        <c:barDir val="col"/>
        <c:grouping val="clustered"/>
        <c:varyColors val="0"/>
        <c:ser>
          <c:idx val="0"/>
          <c:order val="1"/>
          <c:tx>
            <c:strRef>
              <c:f>Profile!$C$332</c:f>
              <c:strCache>
                <c:ptCount val="1"/>
                <c:pt idx="0">
                  <c:v>Personenprofil</c:v>
                </c:pt>
              </c:strCache>
            </c:strRef>
          </c:tx>
          <c:spPr>
            <a:solidFill>
              <a:schemeClr val="accent3"/>
            </a:solidFill>
          </c:spPr>
          <c:invertIfNegative val="0"/>
          <c:val>
            <c:numRef>
              <c:f>Profile!$C$339:$C$362</c:f>
              <c:numCache>
                <c:formatCode>0.0</c:formatCode>
                <c:ptCount val="24"/>
                <c:pt idx="0">
                  <c:v>1</c:v>
                </c:pt>
                <c:pt idx="1">
                  <c:v>1</c:v>
                </c:pt>
                <c:pt idx="2">
                  <c:v>1</c:v>
                </c:pt>
                <c:pt idx="3">
                  <c:v>1</c:v>
                </c:pt>
                <c:pt idx="4">
                  <c:v>1</c:v>
                </c:pt>
                <c:pt idx="5">
                  <c:v>1</c:v>
                </c:pt>
                <c:pt idx="6">
                  <c:v>0.6</c:v>
                </c:pt>
                <c:pt idx="7">
                  <c:v>0.4</c:v>
                </c:pt>
                <c:pt idx="8">
                  <c:v>0</c:v>
                </c:pt>
                <c:pt idx="9">
                  <c:v>0</c:v>
                </c:pt>
                <c:pt idx="10">
                  <c:v>0</c:v>
                </c:pt>
                <c:pt idx="11">
                  <c:v>0</c:v>
                </c:pt>
                <c:pt idx="12">
                  <c:v>0.8</c:v>
                </c:pt>
                <c:pt idx="13">
                  <c:v>0.4</c:v>
                </c:pt>
                <c:pt idx="14">
                  <c:v>0</c:v>
                </c:pt>
                <c:pt idx="15">
                  <c:v>0</c:v>
                </c:pt>
                <c:pt idx="16">
                  <c:v>0</c:v>
                </c:pt>
                <c:pt idx="17">
                  <c:v>0.4</c:v>
                </c:pt>
                <c:pt idx="18">
                  <c:v>0.8</c:v>
                </c:pt>
                <c:pt idx="19">
                  <c:v>0.8</c:v>
                </c:pt>
                <c:pt idx="20">
                  <c:v>0.8</c:v>
                </c:pt>
                <c:pt idx="21">
                  <c:v>1</c:v>
                </c:pt>
                <c:pt idx="22">
                  <c:v>1</c:v>
                </c:pt>
                <c:pt idx="23">
                  <c:v>1</c:v>
                </c:pt>
              </c:numCache>
            </c:numRef>
          </c:val>
          <c:extLst>
            <c:ext xmlns:c16="http://schemas.microsoft.com/office/drawing/2014/chart" uri="{C3380CC4-5D6E-409C-BE32-E72D297353CC}">
              <c16:uniqueId val="{00000000-096E-4B47-BC33-42D2E06B5A34}"/>
            </c:ext>
          </c:extLst>
        </c:ser>
        <c:ser>
          <c:idx val="1"/>
          <c:order val="2"/>
          <c:tx>
            <c:strRef>
              <c:f>Profile!$F$332</c:f>
              <c:strCache>
                <c:ptCount val="1"/>
                <c:pt idx="0">
                  <c:v>Aussenluft-Volumenstrom</c:v>
                </c:pt>
              </c:strCache>
            </c:strRef>
          </c:tx>
          <c:spPr>
            <a:solidFill>
              <a:schemeClr val="accent5"/>
            </a:solidFill>
          </c:spPr>
          <c:invertIfNegative val="0"/>
          <c:val>
            <c:numRef>
              <c:f>Profile!$F$339:$F$362</c:f>
              <c:numCache>
                <c:formatCode>0.00</c:formatCode>
                <c:ptCount val="24"/>
                <c:pt idx="0">
                  <c:v>0.97857142857142865</c:v>
                </c:pt>
                <c:pt idx="1">
                  <c:v>0.97857142857142865</c:v>
                </c:pt>
                <c:pt idx="2">
                  <c:v>0.97857142857142865</c:v>
                </c:pt>
                <c:pt idx="3">
                  <c:v>0.97857142857142865</c:v>
                </c:pt>
                <c:pt idx="4">
                  <c:v>0.97857142857142865</c:v>
                </c:pt>
                <c:pt idx="5">
                  <c:v>0.97857142857142865</c:v>
                </c:pt>
                <c:pt idx="6">
                  <c:v>0.97857142857142865</c:v>
                </c:pt>
                <c:pt idx="7">
                  <c:v>0.97857142857142865</c:v>
                </c:pt>
                <c:pt idx="8">
                  <c:v>0.97857142857142865</c:v>
                </c:pt>
                <c:pt idx="9">
                  <c:v>0.97857142857142865</c:v>
                </c:pt>
                <c:pt idx="10">
                  <c:v>0.97857142857142865</c:v>
                </c:pt>
                <c:pt idx="11">
                  <c:v>0.97857142857142865</c:v>
                </c:pt>
                <c:pt idx="12">
                  <c:v>0.97857142857142865</c:v>
                </c:pt>
                <c:pt idx="13">
                  <c:v>0.97857142857142865</c:v>
                </c:pt>
                <c:pt idx="14">
                  <c:v>0.97857142857142865</c:v>
                </c:pt>
                <c:pt idx="15">
                  <c:v>0.97857142857142865</c:v>
                </c:pt>
                <c:pt idx="16">
                  <c:v>0.97857142857142865</c:v>
                </c:pt>
                <c:pt idx="17">
                  <c:v>0.97857142857142865</c:v>
                </c:pt>
                <c:pt idx="18">
                  <c:v>0.97857142857142865</c:v>
                </c:pt>
                <c:pt idx="19">
                  <c:v>0.97857142857142865</c:v>
                </c:pt>
                <c:pt idx="20">
                  <c:v>0.97857142857142865</c:v>
                </c:pt>
                <c:pt idx="21">
                  <c:v>0.97857142857142865</c:v>
                </c:pt>
                <c:pt idx="22">
                  <c:v>0.97857142857142865</c:v>
                </c:pt>
                <c:pt idx="23">
                  <c:v>0.97857142857142865</c:v>
                </c:pt>
              </c:numCache>
            </c:numRef>
          </c:val>
          <c:extLst>
            <c:ext xmlns:c16="http://schemas.microsoft.com/office/drawing/2014/chart" uri="{C3380CC4-5D6E-409C-BE32-E72D297353CC}">
              <c16:uniqueId val="{00000001-096E-4B47-BC33-42D2E06B5A34}"/>
            </c:ext>
          </c:extLst>
        </c:ser>
        <c:dLbls>
          <c:showLegendKey val="0"/>
          <c:showVal val="0"/>
          <c:showCatName val="0"/>
          <c:showSerName val="0"/>
          <c:showPercent val="0"/>
          <c:showBubbleSize val="0"/>
        </c:dLbls>
        <c:gapWidth val="150"/>
        <c:axId val="810588416"/>
        <c:axId val="810593336"/>
      </c:barChart>
      <c:lineChart>
        <c:grouping val="standard"/>
        <c:varyColors val="0"/>
        <c:ser>
          <c:idx val="5"/>
          <c:order val="0"/>
          <c:tx>
            <c:strRef>
              <c:f>Profile!$Y$332</c:f>
              <c:strCache>
                <c:ptCount val="1"/>
                <c:pt idx="0">
                  <c:v>Relative Raumluftfeuchte </c:v>
                </c:pt>
              </c:strCache>
            </c:strRef>
          </c:tx>
          <c:spPr>
            <a:ln w="19050">
              <a:solidFill>
                <a:schemeClr val="accent2"/>
              </a:solidFill>
            </a:ln>
          </c:spPr>
          <c:marker>
            <c:symbol val="none"/>
          </c:marker>
          <c:val>
            <c:numRef>
              <c:f>Profile!$Y$339:$Y$362</c:f>
              <c:numCache>
                <c:formatCode>0</c:formatCode>
                <c:ptCount val="24"/>
                <c:pt idx="0">
                  <c:v>28.204314335350944</c:v>
                </c:pt>
                <c:pt idx="1">
                  <c:v>28.454288654372696</c:v>
                </c:pt>
                <c:pt idx="2">
                  <c:v>28.623273350795856</c:v>
                </c:pt>
                <c:pt idx="3">
                  <c:v>28.737512890798929</c:v>
                </c:pt>
                <c:pt idx="4">
                  <c:v>28.814744852751701</c:v>
                </c:pt>
                <c:pt idx="5">
                  <c:v>28.866958676525687</c:v>
                </c:pt>
                <c:pt idx="6">
                  <c:v>27.653745253993169</c:v>
                </c:pt>
                <c:pt idx="7">
                  <c:v>26.208126493511344</c:v>
                </c:pt>
                <c:pt idx="8">
                  <c:v>23.978896617577718</c:v>
                </c:pt>
                <c:pt idx="9">
                  <c:v>22.470103582789296</c:v>
                </c:pt>
                <c:pt idx="10">
                  <c:v>21.449276059298171</c:v>
                </c:pt>
                <c:pt idx="11">
                  <c:v>20.75876260249478</c:v>
                </c:pt>
                <c:pt idx="12">
                  <c:v>22.798541216523905</c:v>
                </c:pt>
                <c:pt idx="13">
                  <c:v>22.924314075944071</c:v>
                </c:pt>
                <c:pt idx="14">
                  <c:v>21.756557939713538</c:v>
                </c:pt>
                <c:pt idx="15">
                  <c:v>20.966601914658941</c:v>
                </c:pt>
                <c:pt idx="16">
                  <c:v>20.432315631923561</c:v>
                </c:pt>
                <c:pt idx="17">
                  <c:v>21.325003101644604</c:v>
                </c:pt>
                <c:pt idx="18">
                  <c:v>23.180939624179576</c:v>
                </c:pt>
                <c:pt idx="19">
                  <c:v>24.434591517152839</c:v>
                </c:pt>
                <c:pt idx="20">
                  <c:v>25.281658042238668</c:v>
                </c:pt>
                <c:pt idx="21">
                  <c:v>26.479137465085678</c:v>
                </c:pt>
                <c:pt idx="22">
                  <c:v>27.288271187760166</c:v>
                </c:pt>
                <c:pt idx="23">
                  <c:v>27.835103754377851</c:v>
                </c:pt>
              </c:numCache>
            </c:numRef>
          </c:val>
          <c:smooth val="0"/>
          <c:extLst>
            <c:ext xmlns:c16="http://schemas.microsoft.com/office/drawing/2014/chart" uri="{C3380CC4-5D6E-409C-BE32-E72D297353CC}">
              <c16:uniqueId val="{00000002-096E-4B47-BC33-42D2E06B5A34}"/>
            </c:ext>
          </c:extLst>
        </c:ser>
        <c:dLbls>
          <c:showLegendKey val="0"/>
          <c:showVal val="0"/>
          <c:showCatName val="0"/>
          <c:showSerName val="0"/>
          <c:showPercent val="0"/>
          <c:showBubbleSize val="0"/>
        </c:dLbls>
        <c:marker val="1"/>
        <c:smooth val="0"/>
        <c:axId val="88820352"/>
        <c:axId val="88826240"/>
      </c:lineChart>
      <c:catAx>
        <c:axId val="88820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6240"/>
        <c:crosses val="autoZero"/>
        <c:auto val="1"/>
        <c:lblAlgn val="ctr"/>
        <c:lblOffset val="100"/>
        <c:noMultiLvlLbl val="0"/>
      </c:catAx>
      <c:valAx>
        <c:axId val="88826240"/>
        <c:scaling>
          <c:orientation val="minMax"/>
          <c:min val="0"/>
        </c:scaling>
        <c:delete val="0"/>
        <c:axPos val="l"/>
        <c:majorGridlines>
          <c:spPr>
            <a:ln w="3175">
              <a:solidFill>
                <a:srgbClr val="000000"/>
              </a:solidFill>
              <a:prstDash val="solid"/>
            </a:ln>
          </c:spPr>
        </c:majorGridlines>
        <c:title>
          <c:tx>
            <c:strRef>
              <c:f>Profile!$A$314</c:f>
              <c:strCache>
                <c:ptCount val="1"/>
                <c:pt idx="0">
                  <c:v>Relative Raumluftfeuchte, % r.F.</c:v>
                </c:pt>
              </c:strCache>
            </c:strRef>
          </c:tx>
          <c:layout>
            <c:manualLayout>
              <c:xMode val="edge"/>
              <c:yMode val="edge"/>
              <c:x val="2.5053016985654365E-2"/>
              <c:y val="5.7028243924770065E-2"/>
            </c:manualLayout>
          </c:layout>
          <c:overlay val="0"/>
          <c:spPr>
            <a:noFill/>
            <a:ln w="25400">
              <a:noFill/>
            </a:ln>
          </c:spPr>
          <c:txPr>
            <a:bodyPr/>
            <a:lstStyle/>
            <a:p>
              <a:pPr>
                <a:defRPr sz="800" b="0" i="0" u="none" strike="noStrike" baseline="0">
                  <a:solidFill>
                    <a:srgbClr val="333333"/>
                  </a:solidFill>
                  <a:latin typeface="Arial"/>
                  <a:ea typeface="Arial"/>
                  <a:cs typeface="Arial"/>
                </a:defRPr>
              </a:pPr>
              <a:endParaRPr lang="de-DE"/>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de-DE"/>
          </a:p>
        </c:txPr>
        <c:crossAx val="88820352"/>
        <c:crosses val="autoZero"/>
        <c:crossBetween val="between"/>
      </c:valAx>
      <c:valAx>
        <c:axId val="810593336"/>
        <c:scaling>
          <c:orientation val="minMax"/>
        </c:scaling>
        <c:delete val="0"/>
        <c:axPos val="r"/>
        <c:title>
          <c:tx>
            <c:strRef>
              <c:f>Profile!$A$313</c:f>
              <c:strCache>
                <c:ptCount val="1"/>
                <c:pt idx="0">
                  <c:v>Personenprofil, -
Aussenluft-Volumenstrom, m3/m2h</c:v>
                </c:pt>
              </c:strCache>
            </c:strRef>
          </c:tx>
          <c:layout>
            <c:manualLayout>
              <c:xMode val="edge"/>
              <c:yMode val="edge"/>
              <c:x val="0.94279486796741263"/>
              <c:y val="0.12491793556410243"/>
            </c:manualLayout>
          </c:layout>
          <c:overlay val="0"/>
          <c:txPr>
            <a:bodyPr/>
            <a:lstStyle/>
            <a:p>
              <a:pPr>
                <a:defRPr sz="800">
                  <a:latin typeface="Arial" panose="020B0604020202020204" pitchFamily="34" charset="0"/>
                  <a:cs typeface="Arial" panose="020B0604020202020204" pitchFamily="34" charset="0"/>
                </a:defRPr>
              </a:pPr>
              <a:endParaRPr lang="de-DE"/>
            </a:p>
          </c:txPr>
        </c:title>
        <c:numFmt formatCode="0.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de-DE"/>
          </a:p>
        </c:txPr>
        <c:crossAx val="810588416"/>
        <c:crosses val="max"/>
        <c:crossBetween val="between"/>
      </c:valAx>
      <c:catAx>
        <c:axId val="810588416"/>
        <c:scaling>
          <c:orientation val="minMax"/>
        </c:scaling>
        <c:delete val="1"/>
        <c:axPos val="b"/>
        <c:majorTickMark val="out"/>
        <c:minorTickMark val="none"/>
        <c:tickLblPos val="nextTo"/>
        <c:crossAx val="810593336"/>
        <c:crosses val="autoZero"/>
        <c:auto val="1"/>
        <c:lblAlgn val="ctr"/>
        <c:lblOffset val="100"/>
        <c:noMultiLvlLbl val="0"/>
      </c:catAx>
      <c:spPr>
        <a:noFill/>
        <a:ln w="25400">
          <a:noFill/>
        </a:ln>
      </c:spPr>
    </c:plotArea>
    <c:legend>
      <c:legendPos val="b"/>
      <c:layout>
        <c:manualLayout>
          <c:xMode val="edge"/>
          <c:yMode val="edge"/>
          <c:x val="5.0350129187724975E-2"/>
          <c:y val="0.86275173518376924"/>
          <c:w val="0.90644902613964717"/>
          <c:h val="0.13058680760195943"/>
        </c:manualLayout>
      </c:layout>
      <c:overlay val="0"/>
      <c:txPr>
        <a:bodyPr/>
        <a:lstStyle/>
        <a:p>
          <a:pPr>
            <a:defRPr sz="800">
              <a:latin typeface="Arial" panose="020B0604020202020204" pitchFamily="34" charset="0"/>
              <a:cs typeface="Arial" panose="020B0604020202020204" pitchFamily="34" charset="0"/>
            </a:defRPr>
          </a:pPr>
          <a:endParaRPr lang="de-DE"/>
        </a:p>
      </c:txPr>
    </c:legend>
    <c:plotVisOnly val="1"/>
    <c:dispBlanksAs val="gap"/>
    <c:showDLblsOverMax val="0"/>
  </c:chart>
  <c:spPr>
    <a:noFill/>
    <a:ln w="9525">
      <a:noFill/>
    </a:ln>
  </c:spPr>
  <c:txPr>
    <a:bodyPr/>
    <a:lstStyle/>
    <a:p>
      <a:pPr>
        <a:defRPr sz="150" b="0" i="0" u="none" strike="noStrike" baseline="0">
          <a:solidFill>
            <a:srgbClr val="000000"/>
          </a:solidFill>
          <a:latin typeface="Futura Light"/>
          <a:ea typeface="Futura Light"/>
          <a:cs typeface="Futura Light"/>
        </a:defRPr>
      </a:pPr>
      <a:endParaRPr lang="de-DE"/>
    </a:p>
  </c:txPr>
  <c:printSettings>
    <c:headerFooter alignWithMargins="0"/>
    <c:pageMargins b="0.984251969" l="0.78740157499999996" r="0.78740157499999996" t="0.984251969" header="0.4921259845" footer="0.4921259845"/>
    <c:pageSetup paperSize="9" orientation="landscape" horizontalDpi="-3" verticalDpi="300"/>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Elektrizität</a:t>
            </a:r>
          </a:p>
        </c:rich>
      </c:tx>
      <c:overlay val="0"/>
    </c:title>
    <c:autoTitleDeleted val="0"/>
    <c:plotArea>
      <c:layout/>
      <c:barChart>
        <c:barDir val="col"/>
        <c:grouping val="clustered"/>
        <c:varyColors val="0"/>
        <c:ser>
          <c:idx val="0"/>
          <c:order val="0"/>
          <c:tx>
            <c:strRef>
              <c:f>'Fläche-E'!$BC$61</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'Fläche-E'!$BE$61:$BY$61</c:f>
              <c:numCache>
                <c:formatCode>0</c:formatCode>
                <c:ptCount val="12"/>
                <c:pt idx="0">
                  <c:v>19.599999999999998</c:v>
                </c:pt>
                <c:pt idx="1">
                  <c:v>15.399999999999999</c:v>
                </c:pt>
                <c:pt idx="2">
                  <c:v>19.8</c:v>
                </c:pt>
                <c:pt idx="3">
                  <c:v>9.9</c:v>
                </c:pt>
                <c:pt idx="4">
                  <c:v>26.400000000000002</c:v>
                </c:pt>
                <c:pt idx="5">
                  <c:v>23.099999999999998</c:v>
                </c:pt>
                <c:pt idx="6">
                  <c:v>13.600000000000001</c:v>
                </c:pt>
                <c:pt idx="7">
                  <c:v>19.599999999999998</c:v>
                </c:pt>
                <c:pt idx="8">
                  <c:v>15.3</c:v>
                </c:pt>
                <c:pt idx="9">
                  <c:v>5.4</c:v>
                </c:pt>
                <c:pt idx="10">
                  <c:v>5.4</c:v>
                </c:pt>
                <c:pt idx="11">
                  <c:v>39.199999999999996</c:v>
                </c:pt>
              </c:numCache>
            </c:numRef>
          </c:val>
          <c:extLst>
            <c:ext xmlns:c16="http://schemas.microsoft.com/office/drawing/2014/chart" uri="{C3380CC4-5D6E-409C-BE32-E72D297353CC}">
              <c16:uniqueId val="{00000000-CFB5-40CE-BA3E-30AC9864F649}"/>
            </c:ext>
          </c:extLst>
        </c:ser>
        <c:ser>
          <c:idx val="1"/>
          <c:order val="1"/>
          <c:tx>
            <c:strRef>
              <c:f>'Fläche-E'!$BC$62</c:f>
              <c:strCache>
                <c:ptCount val="1"/>
                <c:pt idx="0">
                  <c:v>SIA 2024:2021 (Bel. + Ger.)</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'Fläche-E'!$BE$62:$BY$62</c:f>
              <c:numCache>
                <c:formatCode>0</c:formatCode>
                <c:ptCount val="12"/>
                <c:pt idx="0">
                  <c:v>16.099999999999998</c:v>
                </c:pt>
                <c:pt idx="1">
                  <c:v>14.4</c:v>
                </c:pt>
                <c:pt idx="2">
                  <c:v>24.8</c:v>
                </c:pt>
                <c:pt idx="3">
                  <c:v>13.299999999999999</c:v>
                </c:pt>
                <c:pt idx="4">
                  <c:v>28</c:v>
                </c:pt>
                <c:pt idx="5">
                  <c:v>14.5</c:v>
                </c:pt>
                <c:pt idx="6">
                  <c:v>18.599999999999998</c:v>
                </c:pt>
                <c:pt idx="7">
                  <c:v>19.2</c:v>
                </c:pt>
                <c:pt idx="8">
                  <c:v>15</c:v>
                </c:pt>
                <c:pt idx="9">
                  <c:v>15.200000000000001</c:v>
                </c:pt>
                <c:pt idx="10">
                  <c:v>12.6</c:v>
                </c:pt>
                <c:pt idx="11">
                  <c:v>14.5</c:v>
                </c:pt>
              </c:numCache>
            </c:numRef>
          </c:val>
          <c:extLst>
            <c:ext xmlns:c16="http://schemas.microsoft.com/office/drawing/2014/chart" uri="{C3380CC4-5D6E-409C-BE32-E72D297353CC}">
              <c16:uniqueId val="{00000001-CFB5-40CE-BA3E-30AC9864F649}"/>
            </c:ext>
          </c:extLst>
        </c:ser>
        <c:dLbls>
          <c:showLegendKey val="0"/>
          <c:showVal val="0"/>
          <c:showCatName val="0"/>
          <c:showSerName val="0"/>
          <c:showPercent val="0"/>
          <c:showBubbleSize val="0"/>
        </c:dLbls>
        <c:gapWidth val="150"/>
        <c:axId val="105403136"/>
        <c:axId val="105404672"/>
      </c:barChart>
      <c:catAx>
        <c:axId val="105403136"/>
        <c:scaling>
          <c:orientation val="minMax"/>
        </c:scaling>
        <c:delete val="0"/>
        <c:axPos val="b"/>
        <c:numFmt formatCode="General" sourceLinked="0"/>
        <c:majorTickMark val="out"/>
        <c:minorTickMark val="none"/>
        <c:tickLblPos val="nextTo"/>
        <c:crossAx val="105404672"/>
        <c:crosses val="autoZero"/>
        <c:auto val="1"/>
        <c:lblAlgn val="ctr"/>
        <c:lblOffset val="100"/>
        <c:noMultiLvlLbl val="0"/>
      </c:catAx>
      <c:valAx>
        <c:axId val="10540467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5403136"/>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Wärmebedarf Warmwasser inkl. Verluste</a:t>
            </a:r>
          </a:p>
        </c:rich>
      </c:tx>
      <c:overlay val="0"/>
    </c:title>
    <c:autoTitleDeleted val="0"/>
    <c:plotArea>
      <c:layout/>
      <c:barChart>
        <c:barDir val="col"/>
        <c:grouping val="clustered"/>
        <c:varyColors val="0"/>
        <c:ser>
          <c:idx val="0"/>
          <c:order val="0"/>
          <c:tx>
            <c:strRef>
              <c:f>'Fläche-E'!$BC$86</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'Fläche-E'!$BE$86:$BY$86</c:f>
              <c:numCache>
                <c:formatCode>0</c:formatCode>
                <c:ptCount val="12"/>
                <c:pt idx="0">
                  <c:v>21</c:v>
                </c:pt>
                <c:pt idx="1">
                  <c:v>14</c:v>
                </c:pt>
                <c:pt idx="2">
                  <c:v>7</c:v>
                </c:pt>
                <c:pt idx="3">
                  <c:v>7</c:v>
                </c:pt>
                <c:pt idx="4">
                  <c:v>7</c:v>
                </c:pt>
                <c:pt idx="5">
                  <c:v>56</c:v>
                </c:pt>
                <c:pt idx="6">
                  <c:v>14</c:v>
                </c:pt>
                <c:pt idx="7">
                  <c:v>28</c:v>
                </c:pt>
                <c:pt idx="8">
                  <c:v>7</c:v>
                </c:pt>
                <c:pt idx="9">
                  <c:v>1</c:v>
                </c:pt>
                <c:pt idx="10">
                  <c:v>83</c:v>
                </c:pt>
                <c:pt idx="11">
                  <c:v>83</c:v>
                </c:pt>
              </c:numCache>
            </c:numRef>
          </c:val>
          <c:extLst>
            <c:ext xmlns:c16="http://schemas.microsoft.com/office/drawing/2014/chart" uri="{C3380CC4-5D6E-409C-BE32-E72D297353CC}">
              <c16:uniqueId val="{00000000-AE17-4F8D-9DF1-C730A2BC6977}"/>
            </c:ext>
          </c:extLst>
        </c:ser>
        <c:ser>
          <c:idx val="1"/>
          <c:order val="1"/>
          <c:tx>
            <c:strRef>
              <c:f>'Fläche-E'!$BC$87</c:f>
              <c:strCache>
                <c:ptCount val="1"/>
                <c:pt idx="0">
                  <c:v>SIA 2024:2019 inkl. Verluste</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'Fläche-E'!$BE$87:$BY$87</c:f>
              <c:numCache>
                <c:formatCode>0</c:formatCode>
                <c:ptCount val="12"/>
                <c:pt idx="0">
                  <c:v>17.188776119402988</c:v>
                </c:pt>
                <c:pt idx="1">
                  <c:v>14.559904477611941</c:v>
                </c:pt>
                <c:pt idx="2">
                  <c:v>1.8901519829424307</c:v>
                </c:pt>
                <c:pt idx="3">
                  <c:v>2.4762163566901307</c:v>
                </c:pt>
                <c:pt idx="4">
                  <c:v>2.1058081023454163</c:v>
                </c:pt>
                <c:pt idx="5">
                  <c:v>65.18418422174841</c:v>
                </c:pt>
                <c:pt idx="6">
                  <c:v>5.3572707889125804</c:v>
                </c:pt>
                <c:pt idx="7">
                  <c:v>32.510273773987208</c:v>
                </c:pt>
                <c:pt idx="8">
                  <c:v>1.8901519829424307</c:v>
                </c:pt>
                <c:pt idx="9">
                  <c:v>0.91408989339019198</c:v>
                </c:pt>
                <c:pt idx="10">
                  <c:v>45.478253706808417</c:v>
                </c:pt>
                <c:pt idx="11">
                  <c:v>104.2017364605544</c:v>
                </c:pt>
              </c:numCache>
            </c:numRef>
          </c:val>
          <c:extLst>
            <c:ext xmlns:c16="http://schemas.microsoft.com/office/drawing/2014/chart" uri="{C3380CC4-5D6E-409C-BE32-E72D297353CC}">
              <c16:uniqueId val="{00000001-AE17-4F8D-9DF1-C730A2BC6977}"/>
            </c:ext>
          </c:extLst>
        </c:ser>
        <c:dLbls>
          <c:showLegendKey val="0"/>
          <c:showVal val="0"/>
          <c:showCatName val="0"/>
          <c:showSerName val="0"/>
          <c:showPercent val="0"/>
          <c:showBubbleSize val="0"/>
        </c:dLbls>
        <c:gapWidth val="150"/>
        <c:axId val="105442688"/>
        <c:axId val="91030656"/>
      </c:barChart>
      <c:catAx>
        <c:axId val="105442688"/>
        <c:scaling>
          <c:orientation val="minMax"/>
        </c:scaling>
        <c:delete val="0"/>
        <c:axPos val="b"/>
        <c:numFmt formatCode="General" sourceLinked="0"/>
        <c:majorTickMark val="out"/>
        <c:minorTickMark val="none"/>
        <c:tickLblPos val="nextTo"/>
        <c:crossAx val="91030656"/>
        <c:crosses val="autoZero"/>
        <c:auto val="1"/>
        <c:lblAlgn val="ctr"/>
        <c:lblOffset val="100"/>
        <c:noMultiLvlLbl val="0"/>
      </c:catAx>
      <c:valAx>
        <c:axId val="91030656"/>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5442688"/>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'Fläche-E'!$BC$112</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68E2-481D-9970-A29E09B6B43D}"/>
            </c:ext>
          </c:extLst>
        </c:ser>
        <c:ser>
          <c:idx val="2"/>
          <c:order val="1"/>
          <c:tx>
            <c:strRef>
              <c:f>'Fläche-E'!$BC$113</c:f>
              <c:strCache>
                <c:ptCount val="1"/>
                <c:pt idx="0">
                  <c:v>SIA 2024:2019 (hygienischer Bedarf)</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'Fläche-E'!$BE$113:$BY$113</c:f>
              <c:numCache>
                <c:formatCode>0.00</c:formatCode>
                <c:ptCount val="12"/>
                <c:pt idx="0">
                  <c:v>0.27213307240704504</c:v>
                </c:pt>
                <c:pt idx="1">
                  <c:v>0.20169863013698633</c:v>
                </c:pt>
                <c:pt idx="2">
                  <c:v>0.26084148727984346</c:v>
                </c:pt>
                <c:pt idx="3">
                  <c:v>0.53493737769080241</c:v>
                </c:pt>
                <c:pt idx="4">
                  <c:v>0.46673189823874761</c:v>
                </c:pt>
                <c:pt idx="5">
                  <c:v>0.97661448140900209</c:v>
                </c:pt>
                <c:pt idx="6">
                  <c:v>1.3114807566862361</c:v>
                </c:pt>
                <c:pt idx="7">
                  <c:v>0.76928897586431833</c:v>
                </c:pt>
                <c:pt idx="8">
                  <c:v>0.1703283322461405</c:v>
                </c:pt>
                <c:pt idx="9">
                  <c:v>0.13463144161774301</c:v>
                </c:pt>
                <c:pt idx="10">
                  <c:v>0.13275929549902152</c:v>
                </c:pt>
                <c:pt idx="11">
                  <c:v>0.41761252446183961</c:v>
                </c:pt>
              </c:numCache>
            </c:numRef>
          </c:val>
          <c:extLst>
            <c:ext xmlns:c16="http://schemas.microsoft.com/office/drawing/2014/chart" uri="{C3380CC4-5D6E-409C-BE32-E72D297353CC}">
              <c16:uniqueId val="{00000001-68E2-481D-9970-A29E09B6B43D}"/>
            </c:ext>
          </c:extLst>
        </c:ser>
        <c:ser>
          <c:idx val="3"/>
          <c:order val="2"/>
          <c:tx>
            <c:strRef>
              <c:f>'Fläche-E'!$BC$114</c:f>
              <c:strCache>
                <c:ptCount val="1"/>
                <c:pt idx="0">
                  <c:v>SIA 2024:2018 (hyg. Bedarf + Infiltration)</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'Fläche-E'!$BE$114:$BY$114</c:f>
              <c:numCache>
                <c:formatCode>0.00</c:formatCode>
                <c:ptCount val="12"/>
                <c:pt idx="0">
                  <c:v>0.42213307240704501</c:v>
                </c:pt>
                <c:pt idx="1">
                  <c:v>0.35169863013698632</c:v>
                </c:pt>
                <c:pt idx="2">
                  <c:v>0.41084148727984349</c:v>
                </c:pt>
                <c:pt idx="3">
                  <c:v>0.68493737769080243</c:v>
                </c:pt>
                <c:pt idx="4">
                  <c:v>0.61673189823874763</c:v>
                </c:pt>
                <c:pt idx="5">
                  <c:v>1.126614481409002</c:v>
                </c:pt>
                <c:pt idx="6">
                  <c:v>1.461480756686236</c:v>
                </c:pt>
                <c:pt idx="7">
                  <c:v>0.91928897586431835</c:v>
                </c:pt>
                <c:pt idx="8">
                  <c:v>0.32032833224614049</c:v>
                </c:pt>
                <c:pt idx="9">
                  <c:v>0.28463144161774301</c:v>
                </c:pt>
                <c:pt idx="10">
                  <c:v>0.28275929549902151</c:v>
                </c:pt>
                <c:pt idx="11">
                  <c:v>0.56761252446183963</c:v>
                </c:pt>
              </c:numCache>
            </c:numRef>
          </c:val>
          <c:extLst>
            <c:ext xmlns:c16="http://schemas.microsoft.com/office/drawing/2014/chart" uri="{C3380CC4-5D6E-409C-BE32-E72D297353CC}">
              <c16:uniqueId val="{00000002-68E2-481D-9970-A29E09B6B43D}"/>
            </c:ext>
          </c:extLst>
        </c:ser>
        <c:ser>
          <c:idx val="1"/>
          <c:order val="3"/>
          <c:tx>
            <c:strRef>
              <c:f>'Fläche-E'!$BC$115</c:f>
              <c:strCache>
                <c:ptCount val="1"/>
                <c:pt idx="0">
                  <c:v>SIA 2024:2019 (jährlicher Durchschnitt)</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'Fläche-E'!$BE$115:$BY$115</c:f>
              <c:numCache>
                <c:formatCode>0.00</c:formatCode>
                <c:ptCount val="12"/>
                <c:pt idx="0">
                  <c:v>0.57351989562948469</c:v>
                </c:pt>
                <c:pt idx="1">
                  <c:v>0.43778264840182646</c:v>
                </c:pt>
                <c:pt idx="2">
                  <c:v>0.67670732767993047</c:v>
                </c:pt>
                <c:pt idx="3">
                  <c:v>0.91802224396607957</c:v>
                </c:pt>
                <c:pt idx="4">
                  <c:v>1.1072035225048922</c:v>
                </c:pt>
                <c:pt idx="5">
                  <c:v>1.9812720156555774</c:v>
                </c:pt>
                <c:pt idx="6">
                  <c:v>1.9270863231137203</c:v>
                </c:pt>
                <c:pt idx="7">
                  <c:v>1.1850163078930203</c:v>
                </c:pt>
                <c:pt idx="8">
                  <c:v>0.61190722620859617</c:v>
                </c:pt>
                <c:pt idx="9">
                  <c:v>0.58085192433137656</c:v>
                </c:pt>
                <c:pt idx="10">
                  <c:v>1.1171232876712329</c:v>
                </c:pt>
                <c:pt idx="11">
                  <c:v>1.6889432485322897</c:v>
                </c:pt>
              </c:numCache>
            </c:numRef>
          </c:val>
          <c:extLst>
            <c:ext xmlns:c16="http://schemas.microsoft.com/office/drawing/2014/chart" uri="{C3380CC4-5D6E-409C-BE32-E72D297353CC}">
              <c16:uniqueId val="{00000003-68E2-481D-9970-A29E09B6B43D}"/>
            </c:ext>
          </c:extLst>
        </c:ser>
        <c:dLbls>
          <c:showLegendKey val="0"/>
          <c:showVal val="0"/>
          <c:showCatName val="0"/>
          <c:showSerName val="0"/>
          <c:showPercent val="0"/>
          <c:showBubbleSize val="0"/>
        </c:dLbls>
        <c:gapWidth val="150"/>
        <c:axId val="91074560"/>
        <c:axId val="91076096"/>
      </c:barChart>
      <c:catAx>
        <c:axId val="91074560"/>
        <c:scaling>
          <c:orientation val="minMax"/>
        </c:scaling>
        <c:delete val="0"/>
        <c:axPos val="b"/>
        <c:numFmt formatCode="General" sourceLinked="0"/>
        <c:majorTickMark val="out"/>
        <c:minorTickMark val="none"/>
        <c:tickLblPos val="nextTo"/>
        <c:crossAx val="91076096"/>
        <c:crosses val="autoZero"/>
        <c:auto val="1"/>
        <c:lblAlgn val="ctr"/>
        <c:lblOffset val="100"/>
        <c:noMultiLvlLbl val="0"/>
      </c:catAx>
      <c:valAx>
        <c:axId val="91076096"/>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9107456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p>
        </c:rich>
      </c:tx>
      <c:overlay val="0"/>
    </c:title>
    <c:autoTitleDeleted val="0"/>
    <c:plotArea>
      <c:layout/>
      <c:barChart>
        <c:barDir val="col"/>
        <c:grouping val="clustered"/>
        <c:varyColors val="0"/>
        <c:ser>
          <c:idx val="0"/>
          <c:order val="0"/>
          <c:tx>
            <c:strRef>
              <c:f>'Fläche-E'!$BC$36</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'Fläche-E'!$BE$36:$BY$36</c:f>
              <c:numCache>
                <c:formatCode>0</c:formatCode>
                <c:ptCount val="12"/>
                <c:pt idx="0">
                  <c:v>28</c:v>
                </c:pt>
                <c:pt idx="1">
                  <c:v>22</c:v>
                </c:pt>
                <c:pt idx="2">
                  <c:v>22</c:v>
                </c:pt>
                <c:pt idx="3">
                  <c:v>11</c:v>
                </c:pt>
                <c:pt idx="4">
                  <c:v>33</c:v>
                </c:pt>
                <c:pt idx="5">
                  <c:v>33</c:v>
                </c:pt>
                <c:pt idx="6">
                  <c:v>17</c:v>
                </c:pt>
                <c:pt idx="7">
                  <c:v>28</c:v>
                </c:pt>
                <c:pt idx="8">
                  <c:v>17</c:v>
                </c:pt>
                <c:pt idx="9">
                  <c:v>6</c:v>
                </c:pt>
                <c:pt idx="10">
                  <c:v>6</c:v>
                </c:pt>
                <c:pt idx="11">
                  <c:v>56</c:v>
                </c:pt>
              </c:numCache>
            </c:numRef>
          </c:val>
          <c:extLst>
            <c:ext xmlns:c16="http://schemas.microsoft.com/office/drawing/2014/chart" uri="{C3380CC4-5D6E-409C-BE32-E72D297353CC}">
              <c16:uniqueId val="{00000000-4A31-4C5D-93EF-5345AC6EC5C1}"/>
            </c:ext>
          </c:extLst>
        </c:ser>
        <c:ser>
          <c:idx val="1"/>
          <c:order val="1"/>
          <c:tx>
            <c:strRef>
              <c:f>'Fläche-E'!$BC$37</c:f>
              <c:strCache>
                <c:ptCount val="1"/>
                <c:pt idx="0">
                  <c:v>SIA 2024:2021 (Bel. + Ger. + Lüf. + Allg. GT)</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'Fläche-E'!$BE$37:$BY$37</c:f>
              <c:numCache>
                <c:formatCode>0</c:formatCode>
                <c:ptCount val="12"/>
                <c:pt idx="0">
                  <c:v>22.629388200000005</c:v>
                </c:pt>
                <c:pt idx="1">
                  <c:v>17.84204438222222</c:v>
                </c:pt>
                <c:pt idx="2">
                  <c:v>31.453115904761908</c:v>
                </c:pt>
                <c:pt idx="3">
                  <c:v>19.06625067936508</c:v>
                </c:pt>
                <c:pt idx="4">
                  <c:v>40.25506581587301</c:v>
                </c:pt>
                <c:pt idx="5">
                  <c:v>28.598781964021164</c:v>
                </c:pt>
                <c:pt idx="6">
                  <c:v>31.278779238095236</c:v>
                </c:pt>
                <c:pt idx="7">
                  <c:v>31.713586349206352</c:v>
                </c:pt>
                <c:pt idx="8">
                  <c:v>24.961522838095242</c:v>
                </c:pt>
                <c:pt idx="9">
                  <c:v>18.659624581684984</c:v>
                </c:pt>
                <c:pt idx="10">
                  <c:v>17.849617333333331</c:v>
                </c:pt>
                <c:pt idx="11">
                  <c:v>28.745535682539685</c:v>
                </c:pt>
              </c:numCache>
            </c:numRef>
          </c:val>
          <c:extLst>
            <c:ext xmlns:c16="http://schemas.microsoft.com/office/drawing/2014/chart" uri="{C3380CC4-5D6E-409C-BE32-E72D297353CC}">
              <c16:uniqueId val="{00000001-4A31-4C5D-93EF-5345AC6EC5C1}"/>
            </c:ext>
          </c:extLst>
        </c:ser>
        <c:dLbls>
          <c:showLegendKey val="0"/>
          <c:showVal val="0"/>
          <c:showCatName val="0"/>
          <c:showSerName val="0"/>
          <c:showPercent val="0"/>
          <c:showBubbleSize val="0"/>
        </c:dLbls>
        <c:gapWidth val="150"/>
        <c:axId val="91105920"/>
        <c:axId val="91107712"/>
      </c:barChart>
      <c:catAx>
        <c:axId val="91105920"/>
        <c:scaling>
          <c:orientation val="minMax"/>
        </c:scaling>
        <c:delete val="0"/>
        <c:axPos val="b"/>
        <c:numFmt formatCode="General" sourceLinked="0"/>
        <c:majorTickMark val="out"/>
        <c:minorTickMark val="none"/>
        <c:tickLblPos val="nextTo"/>
        <c:crossAx val="91107712"/>
        <c:crosses val="autoZero"/>
        <c:auto val="1"/>
        <c:lblAlgn val="ctr"/>
        <c:lblOffset val="100"/>
        <c:noMultiLvlLbl val="0"/>
      </c:catAx>
      <c:valAx>
        <c:axId val="9110771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9110592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Personen</a:t>
            </a:r>
          </a:p>
        </c:rich>
      </c:tx>
      <c:overlay val="0"/>
    </c:title>
    <c:autoTitleDeleted val="0"/>
    <c:plotArea>
      <c:layout/>
      <c:barChart>
        <c:barDir val="col"/>
        <c:grouping val="clustered"/>
        <c:varyColors val="0"/>
        <c:ser>
          <c:idx val="0"/>
          <c:order val="0"/>
          <c:tx>
            <c:strRef>
              <c:f>'Fläche-E'!$BC$164</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'Fläche-E'!$BE$164:$BY$164</c:f>
              <c:numCache>
                <c:formatCode>0.0</c:formatCode>
                <c:ptCount val="12"/>
                <c:pt idx="0">
                  <c:v>7.665</c:v>
                </c:pt>
                <c:pt idx="1">
                  <c:v>5.1100000000000003</c:v>
                </c:pt>
                <c:pt idx="2">
                  <c:v>8.76</c:v>
                </c:pt>
                <c:pt idx="3">
                  <c:v>10.220000000000001</c:v>
                </c:pt>
                <c:pt idx="4">
                  <c:v>13.14</c:v>
                </c:pt>
                <c:pt idx="5">
                  <c:v>21.9</c:v>
                </c:pt>
                <c:pt idx="6">
                  <c:v>17.52</c:v>
                </c:pt>
                <c:pt idx="7">
                  <c:v>15.573333333333332</c:v>
                </c:pt>
                <c:pt idx="8">
                  <c:v>7.3</c:v>
                </c:pt>
                <c:pt idx="9">
                  <c:v>2.19</c:v>
                </c:pt>
                <c:pt idx="10">
                  <c:v>10.95</c:v>
                </c:pt>
                <c:pt idx="11">
                  <c:v>4.38</c:v>
                </c:pt>
              </c:numCache>
            </c:numRef>
          </c:val>
          <c:extLst>
            <c:ext xmlns:c16="http://schemas.microsoft.com/office/drawing/2014/chart" uri="{C3380CC4-5D6E-409C-BE32-E72D297353CC}">
              <c16:uniqueId val="{00000000-5821-4E59-8CAA-1302DB543187}"/>
            </c:ext>
          </c:extLst>
        </c:ser>
        <c:ser>
          <c:idx val="1"/>
          <c:order val="1"/>
          <c:tx>
            <c:strRef>
              <c:f>'Fläche-E'!$BC$165</c:f>
              <c:strCache>
                <c:ptCount val="1"/>
                <c:pt idx="0">
                  <c:v>SIA 2024:2019</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'Fläche-E'!$BE$165:$BY$165</c:f>
              <c:numCache>
                <c:formatCode>0.0</c:formatCode>
                <c:ptCount val="12"/>
                <c:pt idx="0">
                  <c:v>6.6748800000000008</c:v>
                </c:pt>
                <c:pt idx="1">
                  <c:v>4.9472640000000006</c:v>
                </c:pt>
                <c:pt idx="2">
                  <c:v>6.3979200000000001</c:v>
                </c:pt>
                <c:pt idx="3">
                  <c:v>13.120944000000001</c:v>
                </c:pt>
                <c:pt idx="4">
                  <c:v>11.448</c:v>
                </c:pt>
                <c:pt idx="5">
                  <c:v>23.954400000000003</c:v>
                </c:pt>
                <c:pt idx="6">
                  <c:v>32.167999999999999</c:v>
                </c:pt>
                <c:pt idx="7">
                  <c:v>18.869119999999999</c:v>
                </c:pt>
                <c:pt idx="8">
                  <c:v>4.1778133333333338</c:v>
                </c:pt>
                <c:pt idx="9">
                  <c:v>3.3022399999999998</c:v>
                </c:pt>
                <c:pt idx="10">
                  <c:v>3.2563199999999997</c:v>
                </c:pt>
                <c:pt idx="11">
                  <c:v>10.243200000000002</c:v>
                </c:pt>
              </c:numCache>
            </c:numRef>
          </c:val>
          <c:extLst>
            <c:ext xmlns:c16="http://schemas.microsoft.com/office/drawing/2014/chart" uri="{C3380CC4-5D6E-409C-BE32-E72D297353CC}">
              <c16:uniqueId val="{00000001-5821-4E59-8CAA-1302DB543187}"/>
            </c:ext>
          </c:extLst>
        </c:ser>
        <c:dLbls>
          <c:showLegendKey val="0"/>
          <c:showVal val="0"/>
          <c:showCatName val="0"/>
          <c:showSerName val="0"/>
          <c:showPercent val="0"/>
          <c:showBubbleSize val="0"/>
        </c:dLbls>
        <c:gapWidth val="150"/>
        <c:axId val="91133440"/>
        <c:axId val="91134976"/>
      </c:barChart>
      <c:catAx>
        <c:axId val="91133440"/>
        <c:scaling>
          <c:orientation val="minMax"/>
        </c:scaling>
        <c:delete val="0"/>
        <c:axPos val="b"/>
        <c:numFmt formatCode="General" sourceLinked="0"/>
        <c:majorTickMark val="out"/>
        <c:minorTickMark val="none"/>
        <c:tickLblPos val="nextTo"/>
        <c:crossAx val="91134976"/>
        <c:crosses val="autoZero"/>
        <c:auto val="1"/>
        <c:lblAlgn val="ctr"/>
        <c:lblOffset val="100"/>
        <c:noMultiLvlLbl val="0"/>
      </c:catAx>
      <c:valAx>
        <c:axId val="91134976"/>
        <c:scaling>
          <c:orientation val="minMax"/>
        </c:scaling>
        <c:delete val="0"/>
        <c:axPos val="l"/>
        <c:majorGridlines/>
        <c:title>
          <c:tx>
            <c:rich>
              <a:bodyPr rot="-5400000" vert="horz"/>
              <a:lstStyle/>
              <a:p>
                <a:pPr>
                  <a:defRPr b="0"/>
                </a:pPr>
                <a:r>
                  <a:rPr lang="en-US" b="0"/>
                  <a:t>kWh/m2</a:t>
                </a:r>
              </a:p>
            </c:rich>
          </c:tx>
          <c:overlay val="0"/>
        </c:title>
        <c:numFmt formatCode="0.0" sourceLinked="1"/>
        <c:majorTickMark val="out"/>
        <c:minorTickMark val="none"/>
        <c:tickLblPos val="nextTo"/>
        <c:crossAx val="9113344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Personenfläche</a:t>
            </a:r>
          </a:p>
        </c:rich>
      </c:tx>
      <c:overlay val="0"/>
    </c:title>
    <c:autoTitleDeleted val="0"/>
    <c:plotArea>
      <c:layout/>
      <c:barChart>
        <c:barDir val="col"/>
        <c:grouping val="clustered"/>
        <c:varyColors val="0"/>
        <c:ser>
          <c:idx val="0"/>
          <c:order val="0"/>
          <c:tx>
            <c:strRef>
              <c:f>'Fläche-E'!$BC$189</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'Fläche-E'!$BE$189:$BY$189</c:f>
              <c:numCache>
                <c:formatCode>0</c:formatCode>
                <c:ptCount val="12"/>
                <c:pt idx="0">
                  <c:v>40</c:v>
                </c:pt>
                <c:pt idx="1">
                  <c:v>60</c:v>
                </c:pt>
                <c:pt idx="2">
                  <c:v>20</c:v>
                </c:pt>
                <c:pt idx="3">
                  <c:v>10</c:v>
                </c:pt>
                <c:pt idx="4">
                  <c:v>10</c:v>
                </c:pt>
                <c:pt idx="5">
                  <c:v>5</c:v>
                </c:pt>
                <c:pt idx="6">
                  <c:v>5</c:v>
                </c:pt>
                <c:pt idx="7">
                  <c:v>30</c:v>
                </c:pt>
                <c:pt idx="8">
                  <c:v>30</c:v>
                </c:pt>
                <c:pt idx="9">
                  <c:v>100</c:v>
                </c:pt>
                <c:pt idx="10">
                  <c:v>20</c:v>
                </c:pt>
                <c:pt idx="11">
                  <c:v>20</c:v>
                </c:pt>
              </c:numCache>
            </c:numRef>
          </c:val>
          <c:extLst>
            <c:ext xmlns:c16="http://schemas.microsoft.com/office/drawing/2014/chart" uri="{C3380CC4-5D6E-409C-BE32-E72D297353CC}">
              <c16:uniqueId val="{00000000-2B1D-47C3-86E6-B97666C9A3EB}"/>
            </c:ext>
          </c:extLst>
        </c:ser>
        <c:ser>
          <c:idx val="1"/>
          <c:order val="1"/>
          <c:tx>
            <c:strRef>
              <c:f>'Fläche-E'!$BC$190</c:f>
              <c:strCache>
                <c:ptCount val="1"/>
                <c:pt idx="0">
                  <c:v>SIA 2024:2019</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'Fläche-E'!$BE$190:$BY$190</c:f>
              <c:numCache>
                <c:formatCode>0</c:formatCode>
                <c:ptCount val="12"/>
                <c:pt idx="0">
                  <c:v>51.470588235294116</c:v>
                </c:pt>
                <c:pt idx="1">
                  <c:v>69.444444444444429</c:v>
                </c:pt>
                <c:pt idx="2">
                  <c:v>26.184538653366584</c:v>
                </c:pt>
                <c:pt idx="3">
                  <c:v>9.9150141643059477</c:v>
                </c:pt>
                <c:pt idx="4">
                  <c:v>15.909090909090908</c:v>
                </c:pt>
                <c:pt idx="5">
                  <c:v>4.5691906005221927</c:v>
                </c:pt>
                <c:pt idx="6">
                  <c:v>6.1403508771929829</c:v>
                </c:pt>
                <c:pt idx="7">
                  <c:v>18.683274021352315</c:v>
                </c:pt>
                <c:pt idx="8">
                  <c:v>28.688524590163933</c:v>
                </c:pt>
                <c:pt idx="9">
                  <c:v>59.322033898305079</c:v>
                </c:pt>
                <c:pt idx="10">
                  <c:v>41.666666666666664</c:v>
                </c:pt>
                <c:pt idx="11">
                  <c:v>19.662921348314608</c:v>
                </c:pt>
              </c:numCache>
            </c:numRef>
          </c:val>
          <c:extLst>
            <c:ext xmlns:c16="http://schemas.microsoft.com/office/drawing/2014/chart" uri="{C3380CC4-5D6E-409C-BE32-E72D297353CC}">
              <c16:uniqueId val="{00000001-2B1D-47C3-86E6-B97666C9A3EB}"/>
            </c:ext>
          </c:extLst>
        </c:ser>
        <c:dLbls>
          <c:showLegendKey val="0"/>
          <c:showVal val="0"/>
          <c:showCatName val="0"/>
          <c:showSerName val="0"/>
          <c:showPercent val="0"/>
          <c:showBubbleSize val="0"/>
        </c:dLbls>
        <c:gapWidth val="150"/>
        <c:axId val="105275776"/>
        <c:axId val="105277312"/>
      </c:barChart>
      <c:catAx>
        <c:axId val="105275776"/>
        <c:scaling>
          <c:orientation val="minMax"/>
        </c:scaling>
        <c:delete val="0"/>
        <c:axPos val="b"/>
        <c:numFmt formatCode="General" sourceLinked="0"/>
        <c:majorTickMark val="out"/>
        <c:minorTickMark val="none"/>
        <c:tickLblPos val="nextTo"/>
        <c:crossAx val="105277312"/>
        <c:crosses val="autoZero"/>
        <c:auto val="1"/>
        <c:lblAlgn val="ctr"/>
        <c:lblOffset val="100"/>
        <c:noMultiLvlLbl val="0"/>
      </c:catAx>
      <c:valAx>
        <c:axId val="105277312"/>
        <c:scaling>
          <c:orientation val="minMax"/>
        </c:scaling>
        <c:delete val="0"/>
        <c:axPos val="l"/>
        <c:majorGridlines/>
        <c:title>
          <c:tx>
            <c:rich>
              <a:bodyPr rot="-5400000" vert="horz"/>
              <a:lstStyle/>
              <a:p>
                <a:pPr>
                  <a:defRPr b="0"/>
                </a:pPr>
                <a:r>
                  <a:rPr lang="en-US" b="0"/>
                  <a:t>m2/P</a:t>
                </a:r>
              </a:p>
            </c:rich>
          </c:tx>
          <c:overlay val="0"/>
        </c:title>
        <c:numFmt formatCode="0" sourceLinked="1"/>
        <c:majorTickMark val="out"/>
        <c:minorTickMark val="none"/>
        <c:tickLblPos val="nextTo"/>
        <c:crossAx val="105275776"/>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Raumtemperatur</a:t>
            </a:r>
          </a:p>
        </c:rich>
      </c:tx>
      <c:overlay val="0"/>
    </c:title>
    <c:autoTitleDeleted val="0"/>
    <c:plotArea>
      <c:layout/>
      <c:barChart>
        <c:barDir val="col"/>
        <c:grouping val="clustered"/>
        <c:varyColors val="0"/>
        <c:ser>
          <c:idx val="0"/>
          <c:order val="0"/>
          <c:tx>
            <c:strRef>
              <c:f>'Fläche-E'!$BC$215</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'Fläche-E'!$BE$215:$BY$215</c:f>
              <c:numCache>
                <c:formatCode>0</c:formatCode>
                <c:ptCount val="12"/>
                <c:pt idx="0">
                  <c:v>20</c:v>
                </c:pt>
                <c:pt idx="1">
                  <c:v>20</c:v>
                </c:pt>
                <c:pt idx="2">
                  <c:v>20</c:v>
                </c:pt>
                <c:pt idx="3">
                  <c:v>20</c:v>
                </c:pt>
                <c:pt idx="4">
                  <c:v>20</c:v>
                </c:pt>
                <c:pt idx="5">
                  <c:v>20</c:v>
                </c:pt>
                <c:pt idx="6">
                  <c:v>20</c:v>
                </c:pt>
                <c:pt idx="7">
                  <c:v>22</c:v>
                </c:pt>
                <c:pt idx="8">
                  <c:v>18</c:v>
                </c:pt>
                <c:pt idx="9">
                  <c:v>18</c:v>
                </c:pt>
                <c:pt idx="10">
                  <c:v>18</c:v>
                </c:pt>
                <c:pt idx="11">
                  <c:v>28</c:v>
                </c:pt>
              </c:numCache>
            </c:numRef>
          </c:val>
          <c:extLst>
            <c:ext xmlns:c16="http://schemas.microsoft.com/office/drawing/2014/chart" uri="{C3380CC4-5D6E-409C-BE32-E72D297353CC}">
              <c16:uniqueId val="{00000000-6C69-457F-9C6D-131610096090}"/>
            </c:ext>
          </c:extLst>
        </c:ser>
        <c:ser>
          <c:idx val="1"/>
          <c:order val="1"/>
          <c:tx>
            <c:strRef>
              <c:f>'Fläche-E'!$BC$216</c:f>
              <c:strCache>
                <c:ptCount val="1"/>
                <c:pt idx="0">
                  <c:v>SIA 2024:2019</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'Fläche-E'!$BE$216:$BY$216</c:f>
              <c:numCache>
                <c:formatCode>0</c:formatCode>
                <c:ptCount val="12"/>
                <c:pt idx="0">
                  <c:v>22</c:v>
                </c:pt>
                <c:pt idx="1">
                  <c:v>22</c:v>
                </c:pt>
                <c:pt idx="2">
                  <c:v>22</c:v>
                </c:pt>
                <c:pt idx="3">
                  <c:v>22</c:v>
                </c:pt>
                <c:pt idx="4">
                  <c:v>22</c:v>
                </c:pt>
                <c:pt idx="5">
                  <c:v>22</c:v>
                </c:pt>
                <c:pt idx="6">
                  <c:v>22</c:v>
                </c:pt>
                <c:pt idx="7">
                  <c:v>22</c:v>
                </c:pt>
                <c:pt idx="8">
                  <c:v>20</c:v>
                </c:pt>
                <c:pt idx="9">
                  <c:v>18</c:v>
                </c:pt>
                <c:pt idx="10">
                  <c:v>18</c:v>
                </c:pt>
                <c:pt idx="11">
                  <c:v>28</c:v>
                </c:pt>
              </c:numCache>
            </c:numRef>
          </c:val>
          <c:extLst>
            <c:ext xmlns:c16="http://schemas.microsoft.com/office/drawing/2014/chart" uri="{C3380CC4-5D6E-409C-BE32-E72D297353CC}">
              <c16:uniqueId val="{00000001-6C69-457F-9C6D-131610096090}"/>
            </c:ext>
          </c:extLst>
        </c:ser>
        <c:dLbls>
          <c:showLegendKey val="0"/>
          <c:showVal val="0"/>
          <c:showCatName val="0"/>
          <c:showSerName val="0"/>
          <c:showPercent val="0"/>
          <c:showBubbleSize val="0"/>
        </c:dLbls>
        <c:gapWidth val="150"/>
        <c:axId val="105294848"/>
        <c:axId val="105321216"/>
      </c:barChart>
      <c:catAx>
        <c:axId val="105294848"/>
        <c:scaling>
          <c:orientation val="minMax"/>
        </c:scaling>
        <c:delete val="0"/>
        <c:axPos val="b"/>
        <c:numFmt formatCode="General" sourceLinked="0"/>
        <c:majorTickMark val="out"/>
        <c:minorTickMark val="none"/>
        <c:tickLblPos val="nextTo"/>
        <c:crossAx val="105321216"/>
        <c:crosses val="autoZero"/>
        <c:auto val="1"/>
        <c:lblAlgn val="ctr"/>
        <c:lblOffset val="100"/>
        <c:noMultiLvlLbl val="0"/>
      </c:catAx>
      <c:valAx>
        <c:axId val="105321216"/>
        <c:scaling>
          <c:orientation val="minMax"/>
          <c:min val="10"/>
        </c:scaling>
        <c:delete val="0"/>
        <c:axPos val="l"/>
        <c:majorGridlines/>
        <c:title>
          <c:tx>
            <c:rich>
              <a:bodyPr rot="-5400000" vert="horz"/>
              <a:lstStyle/>
              <a:p>
                <a:pPr>
                  <a:defRPr b="0"/>
                </a:pPr>
                <a:r>
                  <a:rPr lang="en-US" b="0"/>
                  <a:t>°C</a:t>
                </a:r>
              </a:p>
            </c:rich>
          </c:tx>
          <c:overlay val="0"/>
        </c:title>
        <c:numFmt formatCode="0" sourceLinked="1"/>
        <c:majorTickMark val="out"/>
        <c:minorTickMark val="none"/>
        <c:tickLblPos val="nextTo"/>
        <c:crossAx val="105294848"/>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'Fläche-E'!$BC$112</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22DD-4BE8-9ADE-93F875EC6F7C}"/>
            </c:ext>
          </c:extLst>
        </c:ser>
        <c:ser>
          <c:idx val="1"/>
          <c:order val="1"/>
          <c:tx>
            <c:strRef>
              <c:f>'Fläche-E'!$BC$113</c:f>
              <c:strCache>
                <c:ptCount val="1"/>
                <c:pt idx="0">
                  <c:v>SIA 2024:2019 (hygienischer Bedarf)</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'Fläche-E'!$BE$113:$BY$113</c:f>
              <c:numCache>
                <c:formatCode>0.00</c:formatCode>
                <c:ptCount val="12"/>
                <c:pt idx="0">
                  <c:v>0.27213307240704504</c:v>
                </c:pt>
                <c:pt idx="1">
                  <c:v>0.20169863013698633</c:v>
                </c:pt>
                <c:pt idx="2">
                  <c:v>0.26084148727984346</c:v>
                </c:pt>
                <c:pt idx="3">
                  <c:v>0.53493737769080241</c:v>
                </c:pt>
                <c:pt idx="4">
                  <c:v>0.46673189823874761</c:v>
                </c:pt>
                <c:pt idx="5">
                  <c:v>0.97661448140900209</c:v>
                </c:pt>
                <c:pt idx="6">
                  <c:v>1.3114807566862361</c:v>
                </c:pt>
                <c:pt idx="7">
                  <c:v>0.76928897586431833</c:v>
                </c:pt>
                <c:pt idx="8">
                  <c:v>0.1703283322461405</c:v>
                </c:pt>
                <c:pt idx="9">
                  <c:v>0.13463144161774301</c:v>
                </c:pt>
                <c:pt idx="10">
                  <c:v>0.13275929549902152</c:v>
                </c:pt>
                <c:pt idx="11">
                  <c:v>0.41761252446183961</c:v>
                </c:pt>
              </c:numCache>
            </c:numRef>
          </c:val>
          <c:extLst>
            <c:ext xmlns:c16="http://schemas.microsoft.com/office/drawing/2014/chart" uri="{C3380CC4-5D6E-409C-BE32-E72D297353CC}">
              <c16:uniqueId val="{00000001-22DD-4BE8-9ADE-93F875EC6F7C}"/>
            </c:ext>
          </c:extLst>
        </c:ser>
        <c:dLbls>
          <c:showLegendKey val="0"/>
          <c:showVal val="0"/>
          <c:showCatName val="0"/>
          <c:showSerName val="0"/>
          <c:showPercent val="0"/>
          <c:showBubbleSize val="0"/>
        </c:dLbls>
        <c:gapWidth val="150"/>
        <c:axId val="105371904"/>
        <c:axId val="105373696"/>
      </c:barChart>
      <c:catAx>
        <c:axId val="105371904"/>
        <c:scaling>
          <c:orientation val="minMax"/>
        </c:scaling>
        <c:delete val="0"/>
        <c:axPos val="b"/>
        <c:numFmt formatCode="General" sourceLinked="0"/>
        <c:majorTickMark val="out"/>
        <c:minorTickMark val="none"/>
        <c:tickLblPos val="nextTo"/>
        <c:crossAx val="105373696"/>
        <c:crosses val="autoZero"/>
        <c:auto val="1"/>
        <c:lblAlgn val="ctr"/>
        <c:lblOffset val="100"/>
        <c:noMultiLvlLbl val="0"/>
      </c:catAx>
      <c:valAx>
        <c:axId val="105373696"/>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10537190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 Elektrische Energie</a:t>
            </a:r>
          </a:p>
        </c:rich>
      </c:tx>
      <c:overlay val="0"/>
    </c:title>
    <c:autoTitleDeleted val="0"/>
    <c:plotArea>
      <c:layout>
        <c:manualLayout>
          <c:layoutTarget val="inner"/>
          <c:xMode val="edge"/>
          <c:yMode val="edge"/>
          <c:x val="0.1167441520009202"/>
          <c:y val="9.7302602633093038E-2"/>
          <c:w val="0.85403938053560036"/>
          <c:h val="0.49301769646837312"/>
        </c:manualLayout>
      </c:layout>
      <c:barChart>
        <c:barDir val="col"/>
        <c:grouping val="stacked"/>
        <c:varyColors val="0"/>
        <c:ser>
          <c:idx val="0"/>
          <c:order val="0"/>
          <c:tx>
            <c:strRef>
              <c:f>'Fläche-E'!$EX$3</c:f>
              <c:strCache>
                <c:ptCount val="1"/>
                <c:pt idx="0">
                  <c:v>Heizung, Lüftung</c:v>
                </c:pt>
              </c:strCache>
            </c:strRef>
          </c:tx>
          <c:spPr>
            <a:solidFill>
              <a:srgbClr val="FF0000"/>
            </a:solidFill>
          </c:spPr>
          <c:invertIfNegative val="0"/>
          <c:cat>
            <c:strRef>
              <c:f>'Fläche-E'!$EZ$2:$FS$2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'Fläche-E'!$EZ$3:$FS$3</c:f>
              <c:numCache>
                <c:formatCode>General</c:formatCode>
                <c:ptCount val="11"/>
                <c:pt idx="0">
                  <c:v>7</c:v>
                </c:pt>
                <c:pt idx="1">
                  <c:v>10.5</c:v>
                </c:pt>
                <c:pt idx="2">
                  <c:v>16.5</c:v>
                </c:pt>
                <c:pt idx="3">
                  <c:v>14</c:v>
                </c:pt>
                <c:pt idx="4">
                  <c:v>16.5</c:v>
                </c:pt>
                <c:pt idx="5">
                  <c:v>22.5</c:v>
                </c:pt>
                <c:pt idx="6">
                  <c:v>13</c:v>
                </c:pt>
                <c:pt idx="7">
                  <c:v>21</c:v>
                </c:pt>
                <c:pt idx="8">
                  <c:v>6.5</c:v>
                </c:pt>
                <c:pt idx="9">
                  <c:v>9.5</c:v>
                </c:pt>
                <c:pt idx="10">
                  <c:v>12.5</c:v>
                </c:pt>
              </c:numCache>
            </c:numRef>
          </c:val>
          <c:extLst>
            <c:ext xmlns:c16="http://schemas.microsoft.com/office/drawing/2014/chart" uri="{C3380CC4-5D6E-409C-BE32-E72D297353CC}">
              <c16:uniqueId val="{00000000-7A82-4F21-AC1A-85DA0BAC5B81}"/>
            </c:ext>
          </c:extLst>
        </c:ser>
        <c:ser>
          <c:idx val="1"/>
          <c:order val="1"/>
          <c:tx>
            <c:strRef>
              <c:f>'Fläche-E'!$EX$4</c:f>
              <c:strCache>
                <c:ptCount val="1"/>
                <c:pt idx="0">
                  <c:v>Warmwassser</c:v>
                </c:pt>
              </c:strCache>
            </c:strRef>
          </c:tx>
          <c:spPr>
            <a:solidFill>
              <a:srgbClr val="FFC000"/>
            </a:solidFill>
          </c:spPr>
          <c:invertIfNegative val="0"/>
          <c:cat>
            <c:strRef>
              <c:f>'Fläche-E'!$EZ$2:$FS$2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'Fläche-E'!$EZ$4:$FS$4</c:f>
              <c:numCache>
                <c:formatCode>General</c:formatCode>
                <c:ptCount val="11"/>
                <c:pt idx="0">
                  <c:v>10.5</c:v>
                </c:pt>
                <c:pt idx="1">
                  <c:v>7</c:v>
                </c:pt>
                <c:pt idx="2">
                  <c:v>3.5</c:v>
                </c:pt>
                <c:pt idx="3">
                  <c:v>3.5</c:v>
                </c:pt>
                <c:pt idx="4">
                  <c:v>3.5</c:v>
                </c:pt>
                <c:pt idx="5">
                  <c:v>0</c:v>
                </c:pt>
                <c:pt idx="6">
                  <c:v>7</c:v>
                </c:pt>
                <c:pt idx="7">
                  <c:v>14</c:v>
                </c:pt>
                <c:pt idx="8">
                  <c:v>3.5</c:v>
                </c:pt>
                <c:pt idx="9">
                  <c:v>0.5</c:v>
                </c:pt>
                <c:pt idx="10">
                  <c:v>0</c:v>
                </c:pt>
              </c:numCache>
            </c:numRef>
          </c:val>
          <c:extLst>
            <c:ext xmlns:c16="http://schemas.microsoft.com/office/drawing/2014/chart" uri="{C3380CC4-5D6E-409C-BE32-E72D297353CC}">
              <c16:uniqueId val="{00000001-7A82-4F21-AC1A-85DA0BAC5B81}"/>
            </c:ext>
          </c:extLst>
        </c:ser>
        <c:ser>
          <c:idx val="2"/>
          <c:order val="2"/>
          <c:tx>
            <c:strRef>
              <c:f>'Fläche-E'!$EX$5</c:f>
              <c:strCache>
                <c:ptCount val="1"/>
                <c:pt idx="0">
                  <c:v>Geräte</c:v>
                </c:pt>
              </c:strCache>
            </c:strRef>
          </c:tx>
          <c:invertIfNegative val="0"/>
          <c:cat>
            <c:strRef>
              <c:f>'Fläche-E'!$EZ$2:$FS$2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'Fläche-E'!$EZ$5:$FS$5</c:f>
              <c:numCache>
                <c:formatCode>General</c:formatCode>
                <c:ptCount val="11"/>
                <c:pt idx="0">
                  <c:v>18.5</c:v>
                </c:pt>
                <c:pt idx="1">
                  <c:v>17.5</c:v>
                </c:pt>
                <c:pt idx="2">
                  <c:v>32.5</c:v>
                </c:pt>
                <c:pt idx="3">
                  <c:v>7</c:v>
                </c:pt>
                <c:pt idx="4">
                  <c:v>14.5</c:v>
                </c:pt>
                <c:pt idx="5">
                  <c:v>21.5</c:v>
                </c:pt>
                <c:pt idx="6">
                  <c:v>3.5</c:v>
                </c:pt>
                <c:pt idx="7">
                  <c:v>14.5</c:v>
                </c:pt>
                <c:pt idx="8">
                  <c:v>14.5</c:v>
                </c:pt>
                <c:pt idx="9">
                  <c:v>3.5</c:v>
                </c:pt>
                <c:pt idx="10">
                  <c:v>3.5</c:v>
                </c:pt>
              </c:numCache>
            </c:numRef>
          </c:val>
          <c:extLst>
            <c:ext xmlns:c16="http://schemas.microsoft.com/office/drawing/2014/chart" uri="{C3380CC4-5D6E-409C-BE32-E72D297353CC}">
              <c16:uniqueId val="{00000002-7A82-4F21-AC1A-85DA0BAC5B81}"/>
            </c:ext>
          </c:extLst>
        </c:ser>
        <c:ser>
          <c:idx val="3"/>
          <c:order val="3"/>
          <c:tx>
            <c:strRef>
              <c:f>'Fläche-E'!$EX$6</c:f>
              <c:strCache>
                <c:ptCount val="1"/>
                <c:pt idx="0">
                  <c:v>Beleuchtung</c:v>
                </c:pt>
              </c:strCache>
            </c:strRef>
          </c:tx>
          <c:spPr>
            <a:solidFill>
              <a:srgbClr val="FFFF00"/>
            </a:solidFill>
          </c:spPr>
          <c:invertIfNegative val="0"/>
          <c:cat>
            <c:strRef>
              <c:f>'Fläche-E'!$EZ$2:$FS$2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'Fläche-E'!$EZ$6:$FS$6</c:f>
              <c:numCache>
                <c:formatCode>General</c:formatCode>
                <c:ptCount val="11"/>
                <c:pt idx="0">
                  <c:v>0</c:v>
                </c:pt>
                <c:pt idx="1">
                  <c:v>0</c:v>
                </c:pt>
                <c:pt idx="2">
                  <c:v>9</c:v>
                </c:pt>
                <c:pt idx="3">
                  <c:v>8</c:v>
                </c:pt>
                <c:pt idx="4">
                  <c:v>40</c:v>
                </c:pt>
                <c:pt idx="5">
                  <c:v>14</c:v>
                </c:pt>
                <c:pt idx="6">
                  <c:v>10</c:v>
                </c:pt>
                <c:pt idx="7">
                  <c:v>14</c:v>
                </c:pt>
                <c:pt idx="8">
                  <c:v>14</c:v>
                </c:pt>
                <c:pt idx="9">
                  <c:v>14</c:v>
                </c:pt>
                <c:pt idx="10">
                  <c:v>9</c:v>
                </c:pt>
              </c:numCache>
            </c:numRef>
          </c:val>
          <c:extLst>
            <c:ext xmlns:c16="http://schemas.microsoft.com/office/drawing/2014/chart" uri="{C3380CC4-5D6E-409C-BE32-E72D297353CC}">
              <c16:uniqueId val="{00000003-7A82-4F21-AC1A-85DA0BAC5B81}"/>
            </c:ext>
          </c:extLst>
        </c:ser>
        <c:ser>
          <c:idx val="4"/>
          <c:order val="4"/>
          <c:tx>
            <c:strRef>
              <c:f>'Fläche-E'!$EX$7</c:f>
              <c:strCache>
                <c:ptCount val="1"/>
                <c:pt idx="0">
                  <c:v>Allgemeine GT</c:v>
                </c:pt>
              </c:strCache>
            </c:strRef>
          </c:tx>
          <c:spPr>
            <a:solidFill>
              <a:schemeClr val="bg1">
                <a:lumMod val="65000"/>
              </a:schemeClr>
            </a:solidFill>
          </c:spPr>
          <c:invertIfNegative val="0"/>
          <c:cat>
            <c:strRef>
              <c:f>'Fläche-E'!$EZ$2:$FS$2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'Fläche-E'!$EZ$7:$FS$7</c:f>
              <c:numCache>
                <c:formatCode>General</c:formatCode>
                <c:ptCount val="11"/>
                <c:pt idx="0">
                  <c:v>0</c:v>
                </c:pt>
                <c:pt idx="1">
                  <c:v>0</c:v>
                </c:pt>
                <c:pt idx="2">
                  <c:v>7</c:v>
                </c:pt>
                <c:pt idx="3">
                  <c:v>3.5</c:v>
                </c:pt>
                <c:pt idx="4">
                  <c:v>3.5</c:v>
                </c:pt>
                <c:pt idx="5">
                  <c:v>3.5</c:v>
                </c:pt>
                <c:pt idx="6">
                  <c:v>3.5</c:v>
                </c:pt>
                <c:pt idx="7">
                  <c:v>7</c:v>
                </c:pt>
                <c:pt idx="8">
                  <c:v>3.5</c:v>
                </c:pt>
                <c:pt idx="9">
                  <c:v>3.5</c:v>
                </c:pt>
                <c:pt idx="10">
                  <c:v>3.5</c:v>
                </c:pt>
              </c:numCache>
            </c:numRef>
          </c:val>
          <c:extLst>
            <c:ext xmlns:c16="http://schemas.microsoft.com/office/drawing/2014/chart" uri="{C3380CC4-5D6E-409C-BE32-E72D297353CC}">
              <c16:uniqueId val="{00000004-7A82-4F21-AC1A-85DA0BAC5B81}"/>
            </c:ext>
          </c:extLst>
        </c:ser>
        <c:dLbls>
          <c:showLegendKey val="0"/>
          <c:showVal val="0"/>
          <c:showCatName val="0"/>
          <c:showSerName val="0"/>
          <c:showPercent val="0"/>
          <c:showBubbleSize val="0"/>
        </c:dLbls>
        <c:gapWidth val="150"/>
        <c:overlap val="100"/>
        <c:axId val="105459072"/>
        <c:axId val="105473152"/>
      </c:barChart>
      <c:catAx>
        <c:axId val="105459072"/>
        <c:scaling>
          <c:orientation val="minMax"/>
        </c:scaling>
        <c:delete val="0"/>
        <c:axPos val="b"/>
        <c:numFmt formatCode="General" sourceLinked="0"/>
        <c:majorTickMark val="out"/>
        <c:minorTickMark val="none"/>
        <c:tickLblPos val="nextTo"/>
        <c:crossAx val="105473152"/>
        <c:crosses val="autoZero"/>
        <c:auto val="1"/>
        <c:lblAlgn val="ctr"/>
        <c:lblOffset val="100"/>
        <c:noMultiLvlLbl val="0"/>
      </c:catAx>
      <c:valAx>
        <c:axId val="105473152"/>
        <c:scaling>
          <c:orientation val="minMax"/>
        </c:scaling>
        <c:delete val="0"/>
        <c:axPos val="l"/>
        <c:majorGridlines/>
        <c:title>
          <c:tx>
            <c:rich>
              <a:bodyPr rot="-5400000" vert="horz"/>
              <a:lstStyle/>
              <a:p>
                <a:pPr>
                  <a:defRPr/>
                </a:pPr>
                <a:r>
                  <a:rPr lang="en-US"/>
                  <a:t>kWh/m2</a:t>
                </a:r>
              </a:p>
            </c:rich>
          </c:tx>
          <c:overlay val="0"/>
        </c:title>
        <c:numFmt formatCode="General" sourceLinked="1"/>
        <c:majorTickMark val="out"/>
        <c:minorTickMark val="none"/>
        <c:tickLblPos val="nextTo"/>
        <c:crossAx val="105459072"/>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SIA 2024 - Elektrische Energie</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'Fläche-E'!$FW$3</c:f>
              <c:strCache>
                <c:ptCount val="1"/>
                <c:pt idx="0">
                  <c:v>Heizung</c:v>
                </c:pt>
              </c:strCache>
            </c:strRef>
          </c:tx>
          <c:spPr>
            <a:solidFill>
              <a:srgbClr val="FF0000"/>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'Fläche-E'!$FY$3:$GR$3</c:f>
              <c:numCache>
                <c:formatCode>0.0</c:formatCode>
                <c:ptCount val="15"/>
                <c:pt idx="0">
                  <c:v>2.9316759727925952</c:v>
                </c:pt>
                <c:pt idx="1">
                  <c:v>3.4677420850142067</c:v>
                </c:pt>
                <c:pt idx="2" formatCode="General">
                  <c:v>4.6330725059574887</c:v>
                </c:pt>
                <c:pt idx="3" formatCode="General">
                  <c:v>2.3651921210606131</c:v>
                </c:pt>
                <c:pt idx="4">
                  <c:v>3.3842510288413927</c:v>
                </c:pt>
                <c:pt idx="5">
                  <c:v>2.8340222681519309</c:v>
                </c:pt>
                <c:pt idx="6" formatCode="General">
                  <c:v>1.3340013053685758</c:v>
                </c:pt>
                <c:pt idx="7" formatCode="General">
                  <c:v>1.3961056355262591</c:v>
                </c:pt>
                <c:pt idx="8" formatCode="General">
                  <c:v>3.5568324499345496</c:v>
                </c:pt>
                <c:pt idx="9" formatCode="General">
                  <c:v>2.4617600682191063</c:v>
                </c:pt>
                <c:pt idx="10" formatCode="General">
                  <c:v>2.5934244839999856</c:v>
                </c:pt>
                <c:pt idx="11" formatCode="General">
                  <c:v>2.5980884644114144</c:v>
                </c:pt>
                <c:pt idx="12" formatCode="General">
                  <c:v>2.7601024859473848</c:v>
                </c:pt>
                <c:pt idx="13" formatCode="General">
                  <c:v>2.3134890582969319</c:v>
                </c:pt>
                <c:pt idx="14" formatCode="General">
                  <c:v>5.593406534245787</c:v>
                </c:pt>
              </c:numCache>
            </c:numRef>
          </c:val>
          <c:extLst>
            <c:ext xmlns:c16="http://schemas.microsoft.com/office/drawing/2014/chart" uri="{C3380CC4-5D6E-409C-BE32-E72D297353CC}">
              <c16:uniqueId val="{00000000-89D2-4888-82DB-471E2DD18531}"/>
            </c:ext>
          </c:extLst>
        </c:ser>
        <c:ser>
          <c:idx val="1"/>
          <c:order val="1"/>
          <c:tx>
            <c:strRef>
              <c:f>'Fläche-E'!$FW$5</c:f>
              <c:strCache>
                <c:ptCount val="1"/>
                <c:pt idx="0">
                  <c:v>Lüftung</c:v>
                </c:pt>
              </c:strCache>
            </c:strRef>
          </c:tx>
          <c:spPr>
            <a:solidFill>
              <a:srgbClr val="C00000"/>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'Fläche-E'!$FY$5:$GT$5</c:f>
              <c:numCache>
                <c:formatCode>0.0</c:formatCode>
                <c:ptCount val="17"/>
                <c:pt idx="0">
                  <c:v>2.7887072000000006</c:v>
                </c:pt>
                <c:pt idx="1">
                  <c:v>4.6930259047619058</c:v>
                </c:pt>
                <c:pt idx="2">
                  <c:v>1.5493561599999999</c:v>
                </c:pt>
                <c:pt idx="3">
                  <c:v>3.0272764380952384</c:v>
                </c:pt>
                <c:pt idx="4">
                  <c:v>2.3824341714285713</c:v>
                </c:pt>
                <c:pt idx="5">
                  <c:v>3.5070634095238091</c:v>
                </c:pt>
                <c:pt idx="6">
                  <c:v>3.9833393714285714</c:v>
                </c:pt>
                <c:pt idx="7">
                  <c:v>3.993240171428571</c:v>
                </c:pt>
                <c:pt idx="8">
                  <c:v>6.856761371428572</c:v>
                </c:pt>
                <c:pt idx="9">
                  <c:v>7.6144005714285727</c:v>
                </c:pt>
                <c:pt idx="10">
                  <c:v>5.1245579047619048</c:v>
                </c:pt>
                <c:pt idx="11">
                  <c:v>5.3315339047619057</c:v>
                </c:pt>
                <c:pt idx="12">
                  <c:v>2.720202882539684</c:v>
                </c:pt>
                <c:pt idx="13">
                  <c:v>1.8284877714285717</c:v>
                </c:pt>
                <c:pt idx="14">
                  <c:v>2.6586920000000007</c:v>
                </c:pt>
                <c:pt idx="15">
                  <c:v>6.3991365714285733</c:v>
                </c:pt>
                <c:pt idx="16">
                  <c:v>7.3372000000000021E-2</c:v>
                </c:pt>
              </c:numCache>
            </c:numRef>
          </c:val>
          <c:extLst>
            <c:ext xmlns:c16="http://schemas.microsoft.com/office/drawing/2014/chart" uri="{C3380CC4-5D6E-409C-BE32-E72D297353CC}">
              <c16:uniqueId val="{00000001-89D2-4888-82DB-471E2DD18531}"/>
            </c:ext>
          </c:extLst>
        </c:ser>
        <c:ser>
          <c:idx val="2"/>
          <c:order val="2"/>
          <c:tx>
            <c:strRef>
              <c:f>'Fläche-E'!$FW$4</c:f>
              <c:strCache>
                <c:ptCount val="1"/>
                <c:pt idx="0">
                  <c:v>Warmwassser</c:v>
                </c:pt>
              </c:strCache>
            </c:strRef>
          </c:tx>
          <c:spPr>
            <a:solidFill>
              <a:srgbClr val="FFC000"/>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89D2-4888-82DB-471E2DD18531}"/>
            </c:ext>
          </c:extLst>
        </c:ser>
        <c:ser>
          <c:idx val="3"/>
          <c:order val="3"/>
          <c:tx>
            <c:strRef>
              <c:f>'Fläche-E'!$FW$7</c:f>
              <c:strCache>
                <c:ptCount val="1"/>
                <c:pt idx="0">
                  <c:v>Geräte</c:v>
                </c:pt>
              </c:strCache>
            </c:strRef>
          </c:tx>
          <c:spPr>
            <a:solidFill>
              <a:schemeClr val="accent3"/>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'Fläche-E'!$FY$7:$GT$7</c:f>
              <c:numCache>
                <c:formatCode>0.0</c:formatCode>
                <c:ptCount val="17"/>
                <c:pt idx="0">
                  <c:v>14.688000000000002</c:v>
                </c:pt>
                <c:pt idx="1">
                  <c:v>12.284000000000001</c:v>
                </c:pt>
                <c:pt idx="2">
                  <c:v>12.816000000000001</c:v>
                </c:pt>
                <c:pt idx="3">
                  <c:v>17.313200000000002</c:v>
                </c:pt>
                <c:pt idx="4">
                  <c:v>6.9511200000000004</c:v>
                </c:pt>
                <c:pt idx="5">
                  <c:v>11.325200000000002</c:v>
                </c:pt>
                <c:pt idx="6">
                  <c:v>5.13</c:v>
                </c:pt>
                <c:pt idx="7">
                  <c:v>4.7652000000000001</c:v>
                </c:pt>
                <c:pt idx="8">
                  <c:v>5.1044</c:v>
                </c:pt>
                <c:pt idx="9">
                  <c:v>7.1204000000000001</c:v>
                </c:pt>
                <c:pt idx="10">
                  <c:v>9.4044000000000008</c:v>
                </c:pt>
                <c:pt idx="11">
                  <c:v>8.0483999999999991</c:v>
                </c:pt>
                <c:pt idx="12">
                  <c:v>7.5044000000000004</c:v>
                </c:pt>
                <c:pt idx="13">
                  <c:v>4.8196000000000012</c:v>
                </c:pt>
                <c:pt idx="14">
                  <c:v>1.2431999999999999</c:v>
                </c:pt>
                <c:pt idx="15">
                  <c:v>6.1908000000000003</c:v>
                </c:pt>
                <c:pt idx="16">
                  <c:v>1.5335999999999999</c:v>
                </c:pt>
              </c:numCache>
            </c:numRef>
          </c:val>
          <c:extLst>
            <c:ext xmlns:c16="http://schemas.microsoft.com/office/drawing/2014/chart" uri="{C3380CC4-5D6E-409C-BE32-E72D297353CC}">
              <c16:uniqueId val="{00000003-89D2-4888-82DB-471E2DD18531}"/>
            </c:ext>
          </c:extLst>
        </c:ser>
        <c:ser>
          <c:idx val="4"/>
          <c:order val="4"/>
          <c:tx>
            <c:strRef>
              <c:f>'Fläche-E'!$FW$9</c:f>
              <c:strCache>
                <c:ptCount val="1"/>
                <c:pt idx="0">
                  <c:v>Beleuchtung</c:v>
                </c:pt>
              </c:strCache>
            </c:strRef>
          </c:tx>
          <c:spPr>
            <a:solidFill>
              <a:srgbClr val="FFFF00"/>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'Fläche-E'!$FY$9:$GT$9</c:f>
              <c:numCache>
                <c:formatCode>0.0</c:formatCode>
                <c:ptCount val="17"/>
                <c:pt idx="0">
                  <c:v>2.1526810000000007</c:v>
                </c:pt>
                <c:pt idx="1">
                  <c:v>4.8560016666666677</c:v>
                </c:pt>
                <c:pt idx="2">
                  <c:v>2.0766882222222227</c:v>
                </c:pt>
                <c:pt idx="3">
                  <c:v>7.7446394666666665</c:v>
                </c:pt>
                <c:pt idx="4">
                  <c:v>6.6046965079365085</c:v>
                </c:pt>
                <c:pt idx="5">
                  <c:v>7.0316882857142859</c:v>
                </c:pt>
                <c:pt idx="6">
                  <c:v>23.902055481481479</c:v>
                </c:pt>
                <c:pt idx="7">
                  <c:v>23.952625644444446</c:v>
                </c:pt>
                <c:pt idx="8">
                  <c:v>8.2536205925925898</c:v>
                </c:pt>
                <c:pt idx="9">
                  <c:v>12.695978666666667</c:v>
                </c:pt>
                <c:pt idx="10">
                  <c:v>10.714216444444446</c:v>
                </c:pt>
                <c:pt idx="11">
                  <c:v>8.7956600000000034</c:v>
                </c:pt>
                <c:pt idx="12">
                  <c:v>8.0409199555555553</c:v>
                </c:pt>
                <c:pt idx="13">
                  <c:v>10.363536810256413</c:v>
                </c:pt>
                <c:pt idx="14">
                  <c:v>10.715725333333332</c:v>
                </c:pt>
                <c:pt idx="15">
                  <c:v>9.2755991111111129</c:v>
                </c:pt>
                <c:pt idx="16">
                  <c:v>1.1488220170940169</c:v>
                </c:pt>
              </c:numCache>
            </c:numRef>
          </c:val>
          <c:extLst>
            <c:ext xmlns:c16="http://schemas.microsoft.com/office/drawing/2014/chart" uri="{C3380CC4-5D6E-409C-BE32-E72D297353CC}">
              <c16:uniqueId val="{00000004-89D2-4888-82DB-471E2DD18531}"/>
            </c:ext>
          </c:extLst>
        </c:ser>
        <c:ser>
          <c:idx val="5"/>
          <c:order val="5"/>
          <c:tx>
            <c:strRef>
              <c:f>'Fläche-E'!$FW$10</c:f>
              <c:strCache>
                <c:ptCount val="1"/>
                <c:pt idx="0">
                  <c:v>Allgemeine GT</c:v>
                </c:pt>
              </c:strCache>
            </c:strRef>
          </c:tx>
          <c:spPr>
            <a:solidFill>
              <a:schemeClr val="bg1">
                <a:lumMod val="65000"/>
              </a:schemeClr>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'Fläche-E'!$FY$10:$GT$10</c:f>
              <c:numCache>
                <c:formatCode>0.0</c:formatCode>
                <c:ptCount val="17"/>
                <c:pt idx="0">
                  <c:v>3</c:v>
                </c:pt>
                <c:pt idx="1">
                  <c:v>8.16</c:v>
                </c:pt>
                <c:pt idx="2">
                  <c:v>1.4</c:v>
                </c:pt>
                <c:pt idx="3">
                  <c:v>3.3680000000000003</c:v>
                </c:pt>
                <c:pt idx="4">
                  <c:v>3.1280000000000001</c:v>
                </c:pt>
                <c:pt idx="5">
                  <c:v>8.16</c:v>
                </c:pt>
                <c:pt idx="6">
                  <c:v>7.5440000000000005</c:v>
                </c:pt>
                <c:pt idx="7">
                  <c:v>7.5440000000000005</c:v>
                </c:pt>
                <c:pt idx="8">
                  <c:v>8.3840000000000003</c:v>
                </c:pt>
                <c:pt idx="9">
                  <c:v>3.8479999999999999</c:v>
                </c:pt>
                <c:pt idx="10">
                  <c:v>8.2000000000000011</c:v>
                </c:pt>
                <c:pt idx="11">
                  <c:v>8.2000000000000011</c:v>
                </c:pt>
                <c:pt idx="12">
                  <c:v>6.6959999999999997</c:v>
                </c:pt>
                <c:pt idx="13">
                  <c:v>1.6480000000000001</c:v>
                </c:pt>
                <c:pt idx="14">
                  <c:v>3.2320000000000002</c:v>
                </c:pt>
                <c:pt idx="15">
                  <c:v>6.88</c:v>
                </c:pt>
                <c:pt idx="16">
                  <c:v>4.2160000000000002</c:v>
                </c:pt>
              </c:numCache>
            </c:numRef>
          </c:val>
          <c:extLst>
            <c:ext xmlns:c16="http://schemas.microsoft.com/office/drawing/2014/chart" uri="{C3380CC4-5D6E-409C-BE32-E72D297353CC}">
              <c16:uniqueId val="{00000005-89D2-4888-82DB-471E2DD18531}"/>
            </c:ext>
          </c:extLst>
        </c:ser>
        <c:dLbls>
          <c:showLegendKey val="0"/>
          <c:showVal val="0"/>
          <c:showCatName val="0"/>
          <c:showSerName val="0"/>
          <c:showPercent val="0"/>
          <c:showBubbleSize val="0"/>
        </c:dLbls>
        <c:gapWidth val="150"/>
        <c:overlap val="100"/>
        <c:axId val="106444288"/>
        <c:axId val="106445824"/>
      </c:barChart>
      <c:catAx>
        <c:axId val="106444288"/>
        <c:scaling>
          <c:orientation val="minMax"/>
        </c:scaling>
        <c:delete val="0"/>
        <c:axPos val="b"/>
        <c:numFmt formatCode="General" sourceLinked="0"/>
        <c:majorTickMark val="out"/>
        <c:minorTickMark val="none"/>
        <c:tickLblPos val="nextTo"/>
        <c:crossAx val="106445824"/>
        <c:crosses val="autoZero"/>
        <c:auto val="1"/>
        <c:lblAlgn val="ctr"/>
        <c:lblOffset val="100"/>
        <c:noMultiLvlLbl val="0"/>
      </c:catAx>
      <c:valAx>
        <c:axId val="106445824"/>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06444288"/>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'Fläche-E'!$BC$143</c:f>
              <c:strCache>
                <c:ptCount val="1"/>
                <c:pt idx="0">
                  <c:v>SIA 380/1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'Fläche-E'!$BE$143:$BY$143</c:f>
              <c:numCache>
                <c:formatCode>General</c:formatCode>
                <c:ptCount val="12"/>
                <c:pt idx="0">
                  <c:v>56</c:v>
                </c:pt>
                <c:pt idx="1">
                  <c:v>84</c:v>
                </c:pt>
                <c:pt idx="2">
                  <c:v>56</c:v>
                </c:pt>
                <c:pt idx="3">
                  <c:v>42</c:v>
                </c:pt>
                <c:pt idx="4">
                  <c:v>42</c:v>
                </c:pt>
                <c:pt idx="5">
                  <c:v>48</c:v>
                </c:pt>
                <c:pt idx="6">
                  <c:v>40</c:v>
                </c:pt>
                <c:pt idx="7">
                  <c:v>45</c:v>
                </c:pt>
                <c:pt idx="8">
                  <c:v>84</c:v>
                </c:pt>
                <c:pt idx="9">
                  <c:v>120</c:v>
                </c:pt>
                <c:pt idx="10">
                  <c:v>56</c:v>
                </c:pt>
                <c:pt idx="11">
                  <c:v>84</c:v>
                </c:pt>
              </c:numCache>
            </c:numRef>
          </c:val>
          <c:extLst>
            <c:ext xmlns:c16="http://schemas.microsoft.com/office/drawing/2014/chart" uri="{C3380CC4-5D6E-409C-BE32-E72D297353CC}">
              <c16:uniqueId val="{00000000-FD83-411C-AC70-49224CE52C4E}"/>
            </c:ext>
          </c:extLst>
        </c:ser>
        <c:ser>
          <c:idx val="1"/>
          <c:order val="1"/>
          <c:tx>
            <c:strRef>
              <c:f>'Fläche-E'!$BC$144</c:f>
              <c:strCache>
                <c:ptCount val="1"/>
                <c:pt idx="0">
                  <c:v>SIA 2024:2019 (Auslegung)</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'Fläche-E'!$BE$144:$BY$144</c:f>
              <c:numCache>
                <c:formatCode>General</c:formatCode>
                <c:ptCount val="12"/>
                <c:pt idx="0">
                  <c:v>55.384615384615387</c:v>
                </c:pt>
                <c:pt idx="1">
                  <c:v>51.692307692307693</c:v>
                </c:pt>
                <c:pt idx="2">
                  <c:v>60</c:v>
                </c:pt>
                <c:pt idx="3">
                  <c:v>43.2</c:v>
                </c:pt>
                <c:pt idx="4">
                  <c:v>56.571428571428569</c:v>
                </c:pt>
                <c:pt idx="5">
                  <c:v>60</c:v>
                </c:pt>
                <c:pt idx="6">
                  <c:v>28.5</c:v>
                </c:pt>
                <c:pt idx="7">
                  <c:v>41.142857142857146</c:v>
                </c:pt>
                <c:pt idx="8">
                  <c:v>86.4</c:v>
                </c:pt>
                <c:pt idx="9">
                  <c:v>172.8</c:v>
                </c:pt>
                <c:pt idx="10">
                  <c:v>528</c:v>
                </c:pt>
                <c:pt idx="11">
                  <c:v>102</c:v>
                </c:pt>
              </c:numCache>
            </c:numRef>
          </c:val>
          <c:extLst>
            <c:ext xmlns:c16="http://schemas.microsoft.com/office/drawing/2014/chart" uri="{C3380CC4-5D6E-409C-BE32-E72D297353CC}">
              <c16:uniqueId val="{00000001-FD83-411C-AC70-49224CE52C4E}"/>
            </c:ext>
          </c:extLst>
        </c:ser>
        <c:ser>
          <c:idx val="2"/>
          <c:order val="2"/>
          <c:tx>
            <c:strRef>
              <c:f>'Fläche-E'!$BC$145</c:f>
              <c:strCache>
                <c:ptCount val="1"/>
                <c:pt idx="0">
                  <c:v>SIA 2024:2019 (Hygiene)</c:v>
                </c:pt>
              </c:strCache>
            </c:strRef>
          </c:tx>
          <c:invertIfNegative val="0"/>
          <c:val>
            <c:numRef>
              <c:f>'Fläche-E'!$BE$145:$BY$145</c:f>
              <c:numCache>
                <c:formatCode>General</c:formatCode>
                <c:ptCount val="12"/>
                <c:pt idx="0">
                  <c:v>25</c:v>
                </c:pt>
                <c:pt idx="1">
                  <c:v>25</c:v>
                </c:pt>
                <c:pt idx="2">
                  <c:v>25</c:v>
                </c:pt>
                <c:pt idx="3">
                  <c:v>25</c:v>
                </c:pt>
                <c:pt idx="4">
                  <c:v>25</c:v>
                </c:pt>
                <c:pt idx="5">
                  <c:v>25</c:v>
                </c:pt>
                <c:pt idx="6">
                  <c:v>25</c:v>
                </c:pt>
                <c:pt idx="7">
                  <c:v>25</c:v>
                </c:pt>
                <c:pt idx="8">
                  <c:v>25</c:v>
                </c:pt>
                <c:pt idx="9">
                  <c:v>41.666666666666671</c:v>
                </c:pt>
                <c:pt idx="10">
                  <c:v>62.500000000000007</c:v>
                </c:pt>
                <c:pt idx="11">
                  <c:v>25</c:v>
                </c:pt>
              </c:numCache>
            </c:numRef>
          </c:val>
          <c:extLst>
            <c:ext xmlns:c16="http://schemas.microsoft.com/office/drawing/2014/chart" uri="{C3380CC4-5D6E-409C-BE32-E72D297353CC}">
              <c16:uniqueId val="{00000002-FD83-411C-AC70-49224CE52C4E}"/>
            </c:ext>
          </c:extLst>
        </c:ser>
        <c:dLbls>
          <c:showLegendKey val="0"/>
          <c:showVal val="0"/>
          <c:showCatName val="0"/>
          <c:showSerName val="0"/>
          <c:showPercent val="0"/>
          <c:showBubbleSize val="0"/>
        </c:dLbls>
        <c:gapWidth val="150"/>
        <c:axId val="106484864"/>
        <c:axId val="106486400"/>
      </c:barChart>
      <c:catAx>
        <c:axId val="106484864"/>
        <c:scaling>
          <c:orientation val="minMax"/>
        </c:scaling>
        <c:delete val="0"/>
        <c:axPos val="b"/>
        <c:numFmt formatCode="General" sourceLinked="0"/>
        <c:majorTickMark val="out"/>
        <c:minorTickMark val="none"/>
        <c:tickLblPos val="nextTo"/>
        <c:crossAx val="106486400"/>
        <c:crosses val="autoZero"/>
        <c:auto val="1"/>
        <c:lblAlgn val="ctr"/>
        <c:lblOffset val="100"/>
        <c:noMultiLvlLbl val="0"/>
      </c:catAx>
      <c:valAx>
        <c:axId val="106486400"/>
        <c:scaling>
          <c:orientation val="minMax"/>
        </c:scaling>
        <c:delete val="0"/>
        <c:axPos val="l"/>
        <c:majorGridlines/>
        <c:title>
          <c:tx>
            <c:rich>
              <a:bodyPr rot="-5400000" vert="horz"/>
              <a:lstStyle/>
              <a:p>
                <a:pPr>
                  <a:defRPr b="0"/>
                </a:pPr>
                <a:r>
                  <a:rPr lang="en-US" b="0"/>
                  <a:t>m3/(Ph)</a:t>
                </a:r>
              </a:p>
            </c:rich>
          </c:tx>
          <c:overlay val="0"/>
        </c:title>
        <c:numFmt formatCode="General" sourceLinked="1"/>
        <c:majorTickMark val="out"/>
        <c:minorTickMark val="none"/>
        <c:tickLblPos val="nextTo"/>
        <c:crossAx val="10648486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r>
              <a:rPr lang="de-CH" sz="900" b="0" baseline="0"/>
              <a:t> Total</a:t>
            </a:r>
            <a:endParaRPr lang="de-CH" sz="900" b="0"/>
          </a:p>
        </c:rich>
      </c:tx>
      <c:overlay val="0"/>
    </c:title>
    <c:autoTitleDeleted val="0"/>
    <c:plotArea>
      <c:layout/>
      <c:barChart>
        <c:barDir val="col"/>
        <c:grouping val="clustered"/>
        <c:varyColors val="0"/>
        <c:ser>
          <c:idx val="2"/>
          <c:order val="0"/>
          <c:tx>
            <c:strRef>
              <c:f>'Fläche-E'!$EX$26</c:f>
              <c:strCache>
                <c:ptCount val="1"/>
                <c:pt idx="0">
                  <c:v>Minergie Total</c:v>
                </c:pt>
              </c:strCache>
            </c:strRef>
          </c:tx>
          <c:invertIfNegative val="0"/>
          <c:val>
            <c:numRef>
              <c:f>'Fläche-E'!$EZ$26:$FS$26</c:f>
              <c:numCache>
                <c:formatCode>General</c:formatCode>
                <c:ptCount val="11"/>
                <c:pt idx="0">
                  <c:v>36</c:v>
                </c:pt>
                <c:pt idx="1">
                  <c:v>35</c:v>
                </c:pt>
                <c:pt idx="2">
                  <c:v>68.5</c:v>
                </c:pt>
                <c:pt idx="3">
                  <c:v>36</c:v>
                </c:pt>
                <c:pt idx="4">
                  <c:v>78</c:v>
                </c:pt>
                <c:pt idx="5">
                  <c:v>61.5</c:v>
                </c:pt>
                <c:pt idx="6">
                  <c:v>37</c:v>
                </c:pt>
                <c:pt idx="7">
                  <c:v>70.5</c:v>
                </c:pt>
                <c:pt idx="8">
                  <c:v>42</c:v>
                </c:pt>
                <c:pt idx="9">
                  <c:v>31</c:v>
                </c:pt>
                <c:pt idx="10">
                  <c:v>28.5</c:v>
                </c:pt>
              </c:numCache>
            </c:numRef>
          </c:val>
          <c:extLst>
            <c:ext xmlns:c16="http://schemas.microsoft.com/office/drawing/2014/chart" uri="{C3380CC4-5D6E-409C-BE32-E72D297353CC}">
              <c16:uniqueId val="{00000000-3D2C-4B0E-AE5D-2FBE54B2294F}"/>
            </c:ext>
          </c:extLst>
        </c:ser>
        <c:ser>
          <c:idx val="0"/>
          <c:order val="1"/>
          <c:tx>
            <c:strRef>
              <c:f>'Fläche-E'!$EX$27</c:f>
              <c:strCache>
                <c:ptCount val="1"/>
                <c:pt idx="0">
                  <c:v>Minergie Grenzwert</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'Fläche-E'!$EZ$27:$FT$27</c:f>
              <c:numCache>
                <c:formatCode>General</c:formatCode>
                <c:ptCount val="11"/>
                <c:pt idx="0">
                  <c:v>27.5</c:v>
                </c:pt>
                <c:pt idx="1">
                  <c:v>27.5</c:v>
                </c:pt>
                <c:pt idx="2">
                  <c:v>55</c:v>
                </c:pt>
                <c:pt idx="3">
                  <c:v>22.5</c:v>
                </c:pt>
                <c:pt idx="4">
                  <c:v>60</c:v>
                </c:pt>
                <c:pt idx="5">
                  <c:v>50</c:v>
                </c:pt>
                <c:pt idx="6">
                  <c:v>27.5</c:v>
                </c:pt>
                <c:pt idx="7">
                  <c:v>55</c:v>
                </c:pt>
                <c:pt idx="8">
                  <c:v>40</c:v>
                </c:pt>
                <c:pt idx="9">
                  <c:v>27.5</c:v>
                </c:pt>
                <c:pt idx="10">
                  <c:v>27.5</c:v>
                </c:pt>
              </c:numCache>
            </c:numRef>
          </c:val>
          <c:extLst>
            <c:ext xmlns:c16="http://schemas.microsoft.com/office/drawing/2014/chart" uri="{C3380CC4-5D6E-409C-BE32-E72D297353CC}">
              <c16:uniqueId val="{00000001-3D2C-4B0E-AE5D-2FBE54B2294F}"/>
            </c:ext>
          </c:extLst>
        </c:ser>
        <c:ser>
          <c:idx val="1"/>
          <c:order val="2"/>
          <c:tx>
            <c:strRef>
              <c:f>'Fläche-E'!$EX$28</c:f>
              <c:strCache>
                <c:ptCount val="1"/>
                <c:pt idx="0">
                  <c:v>SIA 2024:2021</c:v>
                </c:pt>
              </c:strCache>
            </c:strRef>
          </c:tx>
          <c:invertIfNegative val="0"/>
          <c:cat>
            <c:multiLvlStrRef>
              <c:f>'Fläche-E'!$BE$1:$BY$2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'Fläche-E'!$EZ$28:$FT$28</c:f>
              <c:numCache>
                <c:formatCode>General</c:formatCode>
                <c:ptCount val="11"/>
                <c:pt idx="0">
                  <c:v>32.420310867728155</c:v>
                </c:pt>
                <c:pt idx="1">
                  <c:v>16.292688222222221</c:v>
                </c:pt>
                <c:pt idx="2">
                  <c:v>36.837839466666672</c:v>
                </c:pt>
                <c:pt idx="3">
                  <c:v>16.683816507936509</c:v>
                </c:pt>
                <c:pt idx="4">
                  <c:v>36.261825644444443</c:v>
                </c:pt>
                <c:pt idx="5">
                  <c:v>65.286020592592592</c:v>
                </c:pt>
                <c:pt idx="6">
                  <c:v>23.664378666666664</c:v>
                </c:pt>
                <c:pt idx="7">
                  <c:v>29.25351644444445</c:v>
                </c:pt>
                <c:pt idx="8">
                  <c:v>36.033319955555555</c:v>
                </c:pt>
                <c:pt idx="9">
                  <c:v>16.831136810256414</c:v>
                </c:pt>
                <c:pt idx="10">
                  <c:v>15.190925333333333</c:v>
                </c:pt>
              </c:numCache>
            </c:numRef>
          </c:val>
          <c:extLst>
            <c:ext xmlns:c16="http://schemas.microsoft.com/office/drawing/2014/chart" uri="{C3380CC4-5D6E-409C-BE32-E72D297353CC}">
              <c16:uniqueId val="{00000002-3D2C-4B0E-AE5D-2FBE54B2294F}"/>
            </c:ext>
          </c:extLst>
        </c:ser>
        <c:dLbls>
          <c:showLegendKey val="0"/>
          <c:showVal val="0"/>
          <c:showCatName val="0"/>
          <c:showSerName val="0"/>
          <c:showPercent val="0"/>
          <c:showBubbleSize val="0"/>
        </c:dLbls>
        <c:gapWidth val="150"/>
        <c:axId val="108036864"/>
        <c:axId val="108038400"/>
      </c:barChart>
      <c:catAx>
        <c:axId val="108036864"/>
        <c:scaling>
          <c:orientation val="minMax"/>
        </c:scaling>
        <c:delete val="0"/>
        <c:axPos val="b"/>
        <c:majorTickMark val="out"/>
        <c:minorTickMark val="none"/>
        <c:tickLblPos val="nextTo"/>
        <c:crossAx val="108038400"/>
        <c:crosses val="autoZero"/>
        <c:auto val="1"/>
        <c:lblAlgn val="ctr"/>
        <c:lblOffset val="100"/>
        <c:noMultiLvlLbl val="0"/>
      </c:catAx>
      <c:valAx>
        <c:axId val="108038400"/>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03686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r>
              <a:rPr lang="de-CH" sz="900" b="0" baseline="0"/>
              <a:t>  für</a:t>
            </a:r>
            <a:r>
              <a:rPr lang="de-CH" sz="900" b="0"/>
              <a:t> </a:t>
            </a:r>
            <a:r>
              <a:rPr lang="de-CH" sz="900" b="0" baseline="0"/>
              <a:t> Beleuchtung</a:t>
            </a:r>
            <a:endParaRPr lang="de-CH" sz="900" b="0"/>
          </a:p>
        </c:rich>
      </c:tx>
      <c:overlay val="0"/>
    </c:title>
    <c:autoTitleDeleted val="0"/>
    <c:plotArea>
      <c:layout/>
      <c:barChart>
        <c:barDir val="col"/>
        <c:grouping val="clustered"/>
        <c:varyColors val="0"/>
        <c:ser>
          <c:idx val="2"/>
          <c:order val="0"/>
          <c:tx>
            <c:strRef>
              <c:f>'Fläche-E'!$GV$1</c:f>
              <c:strCache>
                <c:ptCount val="1"/>
                <c:pt idx="0">
                  <c:v>Strommodell für Zweckbauten</c:v>
                </c:pt>
              </c:strCache>
            </c:strRef>
          </c:tx>
          <c:invertIfNegative val="0"/>
          <c:cat>
            <c:multiLvlStrRef>
              <c:f>'Fläche-E'!$GY$1:$HS$2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'Fläche-E'!$GX$9:$HS$9</c:f>
              <c:numCache>
                <c:formatCode>General</c:formatCode>
                <c:ptCount val="17"/>
                <c:pt idx="0">
                  <c:v>5.5</c:v>
                </c:pt>
                <c:pt idx="1">
                  <c:v>6.2</c:v>
                </c:pt>
                <c:pt idx="2">
                  <c:v>5.5</c:v>
                </c:pt>
                <c:pt idx="3">
                  <c:v>10.1</c:v>
                </c:pt>
                <c:pt idx="4">
                  <c:v>8.5</c:v>
                </c:pt>
                <c:pt idx="5">
                  <c:v>9</c:v>
                </c:pt>
                <c:pt idx="6">
                  <c:v>30.5</c:v>
                </c:pt>
                <c:pt idx="7">
                  <c:v>30.5</c:v>
                </c:pt>
                <c:pt idx="8">
                  <c:v>10.5</c:v>
                </c:pt>
                <c:pt idx="9">
                  <c:v>16.5</c:v>
                </c:pt>
                <c:pt idx="10">
                  <c:v>13.5</c:v>
                </c:pt>
                <c:pt idx="11">
                  <c:v>11</c:v>
                </c:pt>
                <c:pt idx="12">
                  <c:v>13.4</c:v>
                </c:pt>
                <c:pt idx="13">
                  <c:v>18.5</c:v>
                </c:pt>
                <c:pt idx="14">
                  <c:v>13.8</c:v>
                </c:pt>
                <c:pt idx="15">
                  <c:v>11.9</c:v>
                </c:pt>
                <c:pt idx="16">
                  <c:v>2</c:v>
                </c:pt>
              </c:numCache>
            </c:numRef>
          </c:val>
          <c:extLst>
            <c:ext xmlns:c16="http://schemas.microsoft.com/office/drawing/2014/chart" uri="{C3380CC4-5D6E-409C-BE32-E72D297353CC}">
              <c16:uniqueId val="{00000000-38F6-4569-A099-A9451C78D736}"/>
            </c:ext>
          </c:extLst>
        </c:ser>
        <c:ser>
          <c:idx val="1"/>
          <c:order val="1"/>
          <c:tx>
            <c:strRef>
              <c:f>'Fläche-E'!$FW$1</c:f>
              <c:strCache>
                <c:ptCount val="1"/>
                <c:pt idx="0">
                  <c:v>SIA 2024:2021</c:v>
                </c:pt>
              </c:strCache>
            </c:strRef>
          </c:tx>
          <c:invertIfNegative val="0"/>
          <c:cat>
            <c:multiLvlStrRef>
              <c:f>'Fläche-E'!$GY$1:$HS$2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'Fläche-E'!$FZ$9:$GT$9</c:f>
              <c:numCache>
                <c:formatCode>0.0</c:formatCode>
                <c:ptCount val="17"/>
                <c:pt idx="0">
                  <c:v>2.1526810000000007</c:v>
                </c:pt>
                <c:pt idx="1">
                  <c:v>4.8560016666666677</c:v>
                </c:pt>
                <c:pt idx="2">
                  <c:v>2.0766882222222227</c:v>
                </c:pt>
                <c:pt idx="3">
                  <c:v>7.7446394666666665</c:v>
                </c:pt>
                <c:pt idx="4">
                  <c:v>6.6046965079365085</c:v>
                </c:pt>
                <c:pt idx="5">
                  <c:v>7.0316882857142859</c:v>
                </c:pt>
                <c:pt idx="6">
                  <c:v>23.902055481481479</c:v>
                </c:pt>
                <c:pt idx="7">
                  <c:v>23.952625644444446</c:v>
                </c:pt>
                <c:pt idx="8">
                  <c:v>8.2536205925925898</c:v>
                </c:pt>
                <c:pt idx="9">
                  <c:v>12.695978666666667</c:v>
                </c:pt>
                <c:pt idx="10">
                  <c:v>10.714216444444446</c:v>
                </c:pt>
                <c:pt idx="11">
                  <c:v>8.7956600000000034</c:v>
                </c:pt>
                <c:pt idx="12">
                  <c:v>8.0409199555555553</c:v>
                </c:pt>
                <c:pt idx="13">
                  <c:v>10.363536810256413</c:v>
                </c:pt>
                <c:pt idx="14">
                  <c:v>10.715725333333332</c:v>
                </c:pt>
                <c:pt idx="15">
                  <c:v>9.2755991111111129</c:v>
                </c:pt>
                <c:pt idx="16">
                  <c:v>1.1488220170940169</c:v>
                </c:pt>
              </c:numCache>
            </c:numRef>
          </c:val>
          <c:extLst>
            <c:ext xmlns:c16="http://schemas.microsoft.com/office/drawing/2014/chart" uri="{C3380CC4-5D6E-409C-BE32-E72D297353CC}">
              <c16:uniqueId val="{00000001-38F6-4569-A099-A9451C78D736}"/>
            </c:ext>
          </c:extLst>
        </c:ser>
        <c:dLbls>
          <c:showLegendKey val="0"/>
          <c:showVal val="0"/>
          <c:showCatName val="0"/>
          <c:showSerName val="0"/>
          <c:showPercent val="0"/>
          <c:showBubbleSize val="0"/>
        </c:dLbls>
        <c:gapWidth val="150"/>
        <c:axId val="108068224"/>
        <c:axId val="108074112"/>
      </c:barChart>
      <c:catAx>
        <c:axId val="108068224"/>
        <c:scaling>
          <c:orientation val="minMax"/>
        </c:scaling>
        <c:delete val="0"/>
        <c:axPos val="b"/>
        <c:numFmt formatCode="General" sourceLinked="0"/>
        <c:majorTickMark val="out"/>
        <c:minorTickMark val="none"/>
        <c:tickLblPos val="nextTo"/>
        <c:crossAx val="108074112"/>
        <c:crosses val="autoZero"/>
        <c:auto val="1"/>
        <c:lblAlgn val="ctr"/>
        <c:lblOffset val="100"/>
        <c:noMultiLvlLbl val="0"/>
      </c:catAx>
      <c:valAx>
        <c:axId val="108074112"/>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06822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Strommodell Zweckbauten</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'Fläche-E'!$FW$3</c:f>
              <c:strCache>
                <c:ptCount val="1"/>
                <c:pt idx="0">
                  <c:v>Heizung</c:v>
                </c:pt>
              </c:strCache>
            </c:strRef>
          </c:tx>
          <c:spPr>
            <a:solidFill>
              <a:srgbClr val="FF0000"/>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'Fläche-E'!$FY$3:$GR$3</c:f>
              <c:numCache>
                <c:formatCode>0.0</c:formatCode>
                <c:ptCount val="15"/>
                <c:pt idx="0">
                  <c:v>2.9316759727925952</c:v>
                </c:pt>
                <c:pt idx="1">
                  <c:v>3.4677420850142067</c:v>
                </c:pt>
                <c:pt idx="2" formatCode="General">
                  <c:v>4.6330725059574887</c:v>
                </c:pt>
                <c:pt idx="3" formatCode="General">
                  <c:v>2.3651921210606131</c:v>
                </c:pt>
                <c:pt idx="4">
                  <c:v>3.3842510288413927</c:v>
                </c:pt>
                <c:pt idx="5">
                  <c:v>2.8340222681519309</c:v>
                </c:pt>
                <c:pt idx="6" formatCode="General">
                  <c:v>1.3340013053685758</c:v>
                </c:pt>
                <c:pt idx="7" formatCode="General">
                  <c:v>1.3961056355262591</c:v>
                </c:pt>
                <c:pt idx="8" formatCode="General">
                  <c:v>3.5568324499345496</c:v>
                </c:pt>
                <c:pt idx="9" formatCode="General">
                  <c:v>2.4617600682191063</c:v>
                </c:pt>
                <c:pt idx="10" formatCode="General">
                  <c:v>2.5934244839999856</c:v>
                </c:pt>
                <c:pt idx="11" formatCode="General">
                  <c:v>2.5980884644114144</c:v>
                </c:pt>
                <c:pt idx="12" formatCode="General">
                  <c:v>2.7601024859473848</c:v>
                </c:pt>
                <c:pt idx="13" formatCode="General">
                  <c:v>2.3134890582969319</c:v>
                </c:pt>
                <c:pt idx="14" formatCode="General">
                  <c:v>5.593406534245787</c:v>
                </c:pt>
              </c:numCache>
            </c:numRef>
          </c:val>
          <c:extLst>
            <c:ext xmlns:c16="http://schemas.microsoft.com/office/drawing/2014/chart" uri="{C3380CC4-5D6E-409C-BE32-E72D297353CC}">
              <c16:uniqueId val="{00000000-3F91-449A-981F-0E45B1233A85}"/>
            </c:ext>
          </c:extLst>
        </c:ser>
        <c:ser>
          <c:idx val="1"/>
          <c:order val="1"/>
          <c:tx>
            <c:strRef>
              <c:f>'Fläche-E'!$FW$5</c:f>
              <c:strCache>
                <c:ptCount val="1"/>
                <c:pt idx="0">
                  <c:v>Lüftung</c:v>
                </c:pt>
              </c:strCache>
            </c:strRef>
          </c:tx>
          <c:spPr>
            <a:solidFill>
              <a:srgbClr val="C00000"/>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'Fläche-E'!$GX$5:$HS$5</c:f>
              <c:numCache>
                <c:formatCode>General</c:formatCode>
                <c:ptCount val="17"/>
              </c:numCache>
            </c:numRef>
          </c:val>
          <c:extLst>
            <c:ext xmlns:c16="http://schemas.microsoft.com/office/drawing/2014/chart" uri="{C3380CC4-5D6E-409C-BE32-E72D297353CC}">
              <c16:uniqueId val="{00000001-3F91-449A-981F-0E45B1233A85}"/>
            </c:ext>
          </c:extLst>
        </c:ser>
        <c:ser>
          <c:idx val="2"/>
          <c:order val="2"/>
          <c:tx>
            <c:strRef>
              <c:f>'Fläche-E'!$FW$4</c:f>
              <c:strCache>
                <c:ptCount val="1"/>
                <c:pt idx="0">
                  <c:v>Warmwassser</c:v>
                </c:pt>
              </c:strCache>
            </c:strRef>
          </c:tx>
          <c:spPr>
            <a:solidFill>
              <a:srgbClr val="FFC000"/>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3F91-449A-981F-0E45B1233A85}"/>
            </c:ext>
          </c:extLst>
        </c:ser>
        <c:ser>
          <c:idx val="3"/>
          <c:order val="3"/>
          <c:tx>
            <c:strRef>
              <c:f>'Fläche-E'!$FW$7</c:f>
              <c:strCache>
                <c:ptCount val="1"/>
                <c:pt idx="0">
                  <c:v>Geräte</c:v>
                </c:pt>
              </c:strCache>
            </c:strRef>
          </c:tx>
          <c:spPr>
            <a:solidFill>
              <a:schemeClr val="accent3"/>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'Fläche-E'!$GX$7:$HS$7</c:f>
              <c:numCache>
                <c:formatCode>General</c:formatCode>
                <c:ptCount val="17"/>
                <c:pt idx="0">
                  <c:v>15.5</c:v>
                </c:pt>
                <c:pt idx="1">
                  <c:v>10.9</c:v>
                </c:pt>
                <c:pt idx="2">
                  <c:v>12.5</c:v>
                </c:pt>
                <c:pt idx="3">
                  <c:v>16.5</c:v>
                </c:pt>
                <c:pt idx="4">
                  <c:v>5</c:v>
                </c:pt>
                <c:pt idx="5">
                  <c:v>15.6</c:v>
                </c:pt>
                <c:pt idx="6">
                  <c:v>5</c:v>
                </c:pt>
                <c:pt idx="7">
                  <c:v>5</c:v>
                </c:pt>
                <c:pt idx="8">
                  <c:v>4.5</c:v>
                </c:pt>
                <c:pt idx="9">
                  <c:v>4</c:v>
                </c:pt>
                <c:pt idx="10">
                  <c:v>8.5</c:v>
                </c:pt>
                <c:pt idx="11">
                  <c:v>8.5</c:v>
                </c:pt>
                <c:pt idx="12">
                  <c:v>7</c:v>
                </c:pt>
                <c:pt idx="13">
                  <c:v>4</c:v>
                </c:pt>
                <c:pt idx="14">
                  <c:v>2</c:v>
                </c:pt>
                <c:pt idx="15">
                  <c:v>5.5</c:v>
                </c:pt>
                <c:pt idx="16">
                  <c:v>1.7</c:v>
                </c:pt>
              </c:numCache>
            </c:numRef>
          </c:val>
          <c:extLst>
            <c:ext xmlns:c16="http://schemas.microsoft.com/office/drawing/2014/chart" uri="{C3380CC4-5D6E-409C-BE32-E72D297353CC}">
              <c16:uniqueId val="{00000003-3F91-449A-981F-0E45B1233A85}"/>
            </c:ext>
          </c:extLst>
        </c:ser>
        <c:ser>
          <c:idx val="4"/>
          <c:order val="4"/>
          <c:tx>
            <c:strRef>
              <c:f>'Fläche-E'!$FW$9</c:f>
              <c:strCache>
                <c:ptCount val="1"/>
                <c:pt idx="0">
                  <c:v>Beleuchtung</c:v>
                </c:pt>
              </c:strCache>
            </c:strRef>
          </c:tx>
          <c:spPr>
            <a:solidFill>
              <a:srgbClr val="FFFF00"/>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'Fläche-E'!$GX$9:$HS$9</c:f>
              <c:numCache>
                <c:formatCode>General</c:formatCode>
                <c:ptCount val="17"/>
                <c:pt idx="0">
                  <c:v>5.5</c:v>
                </c:pt>
                <c:pt idx="1">
                  <c:v>6.2</c:v>
                </c:pt>
                <c:pt idx="2">
                  <c:v>5.5</c:v>
                </c:pt>
                <c:pt idx="3">
                  <c:v>10.1</c:v>
                </c:pt>
                <c:pt idx="4">
                  <c:v>8.5</c:v>
                </c:pt>
                <c:pt idx="5">
                  <c:v>9</c:v>
                </c:pt>
                <c:pt idx="6">
                  <c:v>30.5</c:v>
                </c:pt>
                <c:pt idx="7">
                  <c:v>30.5</c:v>
                </c:pt>
                <c:pt idx="8">
                  <c:v>10.5</c:v>
                </c:pt>
                <c:pt idx="9">
                  <c:v>16.5</c:v>
                </c:pt>
                <c:pt idx="10">
                  <c:v>13.5</c:v>
                </c:pt>
                <c:pt idx="11">
                  <c:v>11</c:v>
                </c:pt>
                <c:pt idx="12">
                  <c:v>13.4</c:v>
                </c:pt>
                <c:pt idx="13">
                  <c:v>18.5</c:v>
                </c:pt>
                <c:pt idx="14">
                  <c:v>13.8</c:v>
                </c:pt>
                <c:pt idx="15">
                  <c:v>11.9</c:v>
                </c:pt>
                <c:pt idx="16">
                  <c:v>2</c:v>
                </c:pt>
              </c:numCache>
            </c:numRef>
          </c:val>
          <c:extLst>
            <c:ext xmlns:c16="http://schemas.microsoft.com/office/drawing/2014/chart" uri="{C3380CC4-5D6E-409C-BE32-E72D297353CC}">
              <c16:uniqueId val="{00000004-3F91-449A-981F-0E45B1233A85}"/>
            </c:ext>
          </c:extLst>
        </c:ser>
        <c:ser>
          <c:idx val="5"/>
          <c:order val="5"/>
          <c:tx>
            <c:strRef>
              <c:f>'Fläche-E'!$FW$10</c:f>
              <c:strCache>
                <c:ptCount val="1"/>
                <c:pt idx="0">
                  <c:v>Allgemeine GT</c:v>
                </c:pt>
              </c:strCache>
            </c:strRef>
          </c:tx>
          <c:spPr>
            <a:solidFill>
              <a:schemeClr val="bg1">
                <a:lumMod val="65000"/>
              </a:schemeClr>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'Fläche-E'!$GX$10:$HS$10</c:f>
              <c:numCache>
                <c:formatCode>General</c:formatCode>
                <c:ptCount val="17"/>
                <c:pt idx="0" formatCode="0.0">
                  <c:v>3</c:v>
                </c:pt>
                <c:pt idx="1">
                  <c:v>8.16</c:v>
                </c:pt>
                <c:pt idx="2">
                  <c:v>1.4</c:v>
                </c:pt>
                <c:pt idx="3">
                  <c:v>3.3680000000000003</c:v>
                </c:pt>
                <c:pt idx="4">
                  <c:v>3.1280000000000001</c:v>
                </c:pt>
                <c:pt idx="5">
                  <c:v>8.16</c:v>
                </c:pt>
                <c:pt idx="6">
                  <c:v>7.5440000000000005</c:v>
                </c:pt>
                <c:pt idx="7">
                  <c:v>7.5440000000000005</c:v>
                </c:pt>
                <c:pt idx="8">
                  <c:v>8.3840000000000003</c:v>
                </c:pt>
                <c:pt idx="9">
                  <c:v>3.8479999999999999</c:v>
                </c:pt>
                <c:pt idx="10">
                  <c:v>8.2000000000000011</c:v>
                </c:pt>
                <c:pt idx="11">
                  <c:v>8.2000000000000011</c:v>
                </c:pt>
                <c:pt idx="12">
                  <c:v>6.6959999999999997</c:v>
                </c:pt>
                <c:pt idx="13">
                  <c:v>1.6480000000000001</c:v>
                </c:pt>
                <c:pt idx="14">
                  <c:v>3.2320000000000002</c:v>
                </c:pt>
                <c:pt idx="15">
                  <c:v>6.88</c:v>
                </c:pt>
                <c:pt idx="16">
                  <c:v>4.2160000000000002</c:v>
                </c:pt>
              </c:numCache>
            </c:numRef>
          </c:val>
          <c:extLst>
            <c:ext xmlns:c16="http://schemas.microsoft.com/office/drawing/2014/chart" uri="{C3380CC4-5D6E-409C-BE32-E72D297353CC}">
              <c16:uniqueId val="{00000005-3F91-449A-981F-0E45B1233A85}"/>
            </c:ext>
          </c:extLst>
        </c:ser>
        <c:dLbls>
          <c:showLegendKey val="0"/>
          <c:showVal val="0"/>
          <c:showCatName val="0"/>
          <c:showSerName val="0"/>
          <c:showPercent val="0"/>
          <c:showBubbleSize val="0"/>
        </c:dLbls>
        <c:gapWidth val="150"/>
        <c:overlap val="100"/>
        <c:axId val="108729856"/>
        <c:axId val="108731392"/>
      </c:barChart>
      <c:catAx>
        <c:axId val="108729856"/>
        <c:scaling>
          <c:orientation val="minMax"/>
        </c:scaling>
        <c:delete val="0"/>
        <c:axPos val="b"/>
        <c:numFmt formatCode="General" sourceLinked="0"/>
        <c:majorTickMark val="out"/>
        <c:minorTickMark val="none"/>
        <c:tickLblPos val="nextTo"/>
        <c:crossAx val="108731392"/>
        <c:crosses val="autoZero"/>
        <c:auto val="1"/>
        <c:lblAlgn val="ctr"/>
        <c:lblOffset val="100"/>
        <c:noMultiLvlLbl val="0"/>
      </c:catAx>
      <c:valAx>
        <c:axId val="108731392"/>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08729856"/>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i="0" u="none" strike="noStrike" baseline="0">
                <a:effectLst/>
              </a:rPr>
              <a:t>Elektrizitätsbedarf  für  </a:t>
            </a:r>
            <a:r>
              <a:rPr lang="de-CH" sz="900" b="0"/>
              <a:t>Geräte</a:t>
            </a:r>
          </a:p>
        </c:rich>
      </c:tx>
      <c:overlay val="0"/>
    </c:title>
    <c:autoTitleDeleted val="0"/>
    <c:plotArea>
      <c:layout/>
      <c:barChart>
        <c:barDir val="col"/>
        <c:grouping val="clustered"/>
        <c:varyColors val="0"/>
        <c:ser>
          <c:idx val="2"/>
          <c:order val="0"/>
          <c:tx>
            <c:strRef>
              <c:f>'Fläche-E'!$GV$1</c:f>
              <c:strCache>
                <c:ptCount val="1"/>
                <c:pt idx="0">
                  <c:v>Strommodell für Zweckbauten</c:v>
                </c:pt>
              </c:strCache>
            </c:strRef>
          </c:tx>
          <c:invertIfNegative val="0"/>
          <c:cat>
            <c:multiLvlStrRef>
              <c:f>'Fläche-E'!$GY$1:$HS$2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'Fläche-E'!$GX$7:$HS$7</c:f>
              <c:numCache>
                <c:formatCode>General</c:formatCode>
                <c:ptCount val="17"/>
                <c:pt idx="0">
                  <c:v>15.5</c:v>
                </c:pt>
                <c:pt idx="1">
                  <c:v>10.9</c:v>
                </c:pt>
                <c:pt idx="2">
                  <c:v>12.5</c:v>
                </c:pt>
                <c:pt idx="3">
                  <c:v>16.5</c:v>
                </c:pt>
                <c:pt idx="4">
                  <c:v>5</c:v>
                </c:pt>
                <c:pt idx="5">
                  <c:v>15.6</c:v>
                </c:pt>
                <c:pt idx="6">
                  <c:v>5</c:v>
                </c:pt>
                <c:pt idx="7">
                  <c:v>5</c:v>
                </c:pt>
                <c:pt idx="8">
                  <c:v>4.5</c:v>
                </c:pt>
                <c:pt idx="9">
                  <c:v>4</c:v>
                </c:pt>
                <c:pt idx="10">
                  <c:v>8.5</c:v>
                </c:pt>
                <c:pt idx="11">
                  <c:v>8.5</c:v>
                </c:pt>
                <c:pt idx="12">
                  <c:v>7</c:v>
                </c:pt>
                <c:pt idx="13">
                  <c:v>4</c:v>
                </c:pt>
                <c:pt idx="14">
                  <c:v>2</c:v>
                </c:pt>
                <c:pt idx="15">
                  <c:v>5.5</c:v>
                </c:pt>
                <c:pt idx="16">
                  <c:v>1.7</c:v>
                </c:pt>
              </c:numCache>
            </c:numRef>
          </c:val>
          <c:extLst>
            <c:ext xmlns:c16="http://schemas.microsoft.com/office/drawing/2014/chart" uri="{C3380CC4-5D6E-409C-BE32-E72D297353CC}">
              <c16:uniqueId val="{00000000-DA54-4723-A2DF-CD1D000F5ADC}"/>
            </c:ext>
          </c:extLst>
        </c:ser>
        <c:ser>
          <c:idx val="1"/>
          <c:order val="1"/>
          <c:tx>
            <c:strRef>
              <c:f>'Fläche-E'!$FW$1</c:f>
              <c:strCache>
                <c:ptCount val="1"/>
                <c:pt idx="0">
                  <c:v>SIA 2024:2021</c:v>
                </c:pt>
              </c:strCache>
            </c:strRef>
          </c:tx>
          <c:invertIfNegative val="0"/>
          <c:cat>
            <c:multiLvlStrRef>
              <c:f>'Fläche-E'!$GY$1:$HS$2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'Fläche-E'!$FZ$7:$GT$7</c:f>
              <c:numCache>
                <c:formatCode>0.0</c:formatCode>
                <c:ptCount val="17"/>
                <c:pt idx="0">
                  <c:v>14.688000000000002</c:v>
                </c:pt>
                <c:pt idx="1">
                  <c:v>12.284000000000001</c:v>
                </c:pt>
                <c:pt idx="2">
                  <c:v>12.816000000000001</c:v>
                </c:pt>
                <c:pt idx="3">
                  <c:v>17.313200000000002</c:v>
                </c:pt>
                <c:pt idx="4">
                  <c:v>6.9511200000000004</c:v>
                </c:pt>
                <c:pt idx="5">
                  <c:v>11.325200000000002</c:v>
                </c:pt>
                <c:pt idx="6">
                  <c:v>5.13</c:v>
                </c:pt>
                <c:pt idx="7">
                  <c:v>4.7652000000000001</c:v>
                </c:pt>
                <c:pt idx="8">
                  <c:v>5.1044</c:v>
                </c:pt>
                <c:pt idx="9">
                  <c:v>7.1204000000000001</c:v>
                </c:pt>
                <c:pt idx="10">
                  <c:v>9.4044000000000008</c:v>
                </c:pt>
                <c:pt idx="11">
                  <c:v>8.0483999999999991</c:v>
                </c:pt>
                <c:pt idx="12">
                  <c:v>7.5044000000000004</c:v>
                </c:pt>
                <c:pt idx="13">
                  <c:v>4.8196000000000012</c:v>
                </c:pt>
                <c:pt idx="14">
                  <c:v>1.2431999999999999</c:v>
                </c:pt>
                <c:pt idx="15">
                  <c:v>6.1908000000000003</c:v>
                </c:pt>
                <c:pt idx="16">
                  <c:v>1.5335999999999999</c:v>
                </c:pt>
              </c:numCache>
            </c:numRef>
          </c:val>
          <c:extLst>
            <c:ext xmlns:c16="http://schemas.microsoft.com/office/drawing/2014/chart" uri="{C3380CC4-5D6E-409C-BE32-E72D297353CC}">
              <c16:uniqueId val="{00000001-DA54-4723-A2DF-CD1D000F5ADC}"/>
            </c:ext>
          </c:extLst>
        </c:ser>
        <c:dLbls>
          <c:showLegendKey val="0"/>
          <c:showVal val="0"/>
          <c:showCatName val="0"/>
          <c:showSerName val="0"/>
          <c:showPercent val="0"/>
          <c:showBubbleSize val="0"/>
        </c:dLbls>
        <c:gapWidth val="150"/>
        <c:axId val="108761472"/>
        <c:axId val="108763008"/>
      </c:barChart>
      <c:catAx>
        <c:axId val="108761472"/>
        <c:scaling>
          <c:orientation val="minMax"/>
        </c:scaling>
        <c:delete val="0"/>
        <c:axPos val="b"/>
        <c:numFmt formatCode="General" sourceLinked="0"/>
        <c:majorTickMark val="out"/>
        <c:minorTickMark val="none"/>
        <c:tickLblPos val="nextTo"/>
        <c:crossAx val="108763008"/>
        <c:crosses val="autoZero"/>
        <c:auto val="1"/>
        <c:lblAlgn val="ctr"/>
        <c:lblOffset val="100"/>
        <c:noMultiLvlLbl val="0"/>
      </c:catAx>
      <c:valAx>
        <c:axId val="108763008"/>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761472"/>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Total Elektrizitätsbedarf</a:t>
            </a:r>
            <a:r>
              <a:rPr lang="de-CH" sz="900" b="0" baseline="0"/>
              <a:t> </a:t>
            </a:r>
            <a:endParaRPr lang="de-CH" sz="900" b="0"/>
          </a:p>
        </c:rich>
      </c:tx>
      <c:overlay val="0"/>
    </c:title>
    <c:autoTitleDeleted val="0"/>
    <c:plotArea>
      <c:layout/>
      <c:barChart>
        <c:barDir val="col"/>
        <c:grouping val="clustered"/>
        <c:varyColors val="0"/>
        <c:ser>
          <c:idx val="2"/>
          <c:order val="0"/>
          <c:tx>
            <c:strRef>
              <c:f>'Fläche-E'!$GV$1</c:f>
              <c:strCache>
                <c:ptCount val="1"/>
                <c:pt idx="0">
                  <c:v>Strommodell für Zweckbauten</c:v>
                </c:pt>
              </c:strCache>
            </c:strRef>
          </c:tx>
          <c:invertIfNegative val="0"/>
          <c:cat>
            <c:multiLvlStrRef>
              <c:f>'Fläche-E'!$GY$1:$HS$2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'Fläche-E'!$GX$11:$HS$11</c:f>
              <c:numCache>
                <c:formatCode>0</c:formatCode>
                <c:ptCount val="17"/>
                <c:pt idx="0">
                  <c:v>24</c:v>
                </c:pt>
                <c:pt idx="1">
                  <c:v>69.260000000000005</c:v>
                </c:pt>
                <c:pt idx="2">
                  <c:v>19.399999999999999</c:v>
                </c:pt>
                <c:pt idx="3">
                  <c:v>29.968000000000004</c:v>
                </c:pt>
                <c:pt idx="4">
                  <c:v>16.628</c:v>
                </c:pt>
                <c:pt idx="5">
                  <c:v>42.760000000000005</c:v>
                </c:pt>
                <c:pt idx="6">
                  <c:v>243.04400000000001</c:v>
                </c:pt>
                <c:pt idx="7">
                  <c:v>43.043999999999997</c:v>
                </c:pt>
                <c:pt idx="8">
                  <c:v>23.384</c:v>
                </c:pt>
                <c:pt idx="9">
                  <c:v>24.347999999999999</c:v>
                </c:pt>
                <c:pt idx="10">
                  <c:v>65.2</c:v>
                </c:pt>
                <c:pt idx="11">
                  <c:v>62.7</c:v>
                </c:pt>
                <c:pt idx="12">
                  <c:v>127.096</c:v>
                </c:pt>
                <c:pt idx="13">
                  <c:v>24.148</c:v>
                </c:pt>
                <c:pt idx="14">
                  <c:v>19.032</c:v>
                </c:pt>
                <c:pt idx="15">
                  <c:v>724.28</c:v>
                </c:pt>
                <c:pt idx="16">
                  <c:v>7.9160000000000004</c:v>
                </c:pt>
              </c:numCache>
            </c:numRef>
          </c:val>
          <c:extLst>
            <c:ext xmlns:c16="http://schemas.microsoft.com/office/drawing/2014/chart" uri="{C3380CC4-5D6E-409C-BE32-E72D297353CC}">
              <c16:uniqueId val="{00000000-6600-45E4-AF82-B207E3B4FA8B}"/>
            </c:ext>
          </c:extLst>
        </c:ser>
        <c:ser>
          <c:idx val="1"/>
          <c:order val="1"/>
          <c:tx>
            <c:strRef>
              <c:f>'Fläche-E'!$FW$1</c:f>
              <c:strCache>
                <c:ptCount val="1"/>
                <c:pt idx="0">
                  <c:v>SIA 2024:2021</c:v>
                </c:pt>
              </c:strCache>
            </c:strRef>
          </c:tx>
          <c:invertIfNegative val="0"/>
          <c:cat>
            <c:multiLvlStrRef>
              <c:f>'Fläche-E'!$GY$1:$HS$2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'Fläche-E'!$FZ$11:$GT$11</c:f>
              <c:numCache>
                <c:formatCode>0</c:formatCode>
                <c:ptCount val="17"/>
                <c:pt idx="0">
                  <c:v>19.840681000000004</c:v>
                </c:pt>
                <c:pt idx="1">
                  <c:v>25.30000166666667</c:v>
                </c:pt>
                <c:pt idx="2">
                  <c:v>16.292688222222221</c:v>
                </c:pt>
                <c:pt idx="3">
                  <c:v>36.837839466666672</c:v>
                </c:pt>
                <c:pt idx="4">
                  <c:v>16.683816507936509</c:v>
                </c:pt>
                <c:pt idx="5">
                  <c:v>34.928888285714287</c:v>
                </c:pt>
                <c:pt idx="6">
                  <c:v>234.1440554814815</c:v>
                </c:pt>
                <c:pt idx="7">
                  <c:v>36.261825644444443</c:v>
                </c:pt>
                <c:pt idx="8">
                  <c:v>65.286020592592592</c:v>
                </c:pt>
                <c:pt idx="9">
                  <c:v>23.664378666666664</c:v>
                </c:pt>
                <c:pt idx="10">
                  <c:v>32.242616444444451</c:v>
                </c:pt>
                <c:pt idx="11">
                  <c:v>26.352060000000002</c:v>
                </c:pt>
                <c:pt idx="12">
                  <c:v>36.033319955555555</c:v>
                </c:pt>
                <c:pt idx="13">
                  <c:v>16.831136810256414</c:v>
                </c:pt>
                <c:pt idx="14">
                  <c:v>15.190925333333333</c:v>
                </c:pt>
                <c:pt idx="15">
                  <c:v>186.02639911111112</c:v>
                </c:pt>
                <c:pt idx="16">
                  <c:v>6.8984220170940169</c:v>
                </c:pt>
              </c:numCache>
            </c:numRef>
          </c:val>
          <c:extLst>
            <c:ext xmlns:c16="http://schemas.microsoft.com/office/drawing/2014/chart" uri="{C3380CC4-5D6E-409C-BE32-E72D297353CC}">
              <c16:uniqueId val="{00000001-6600-45E4-AF82-B207E3B4FA8B}"/>
            </c:ext>
          </c:extLst>
        </c:ser>
        <c:dLbls>
          <c:showLegendKey val="0"/>
          <c:showVal val="0"/>
          <c:showCatName val="0"/>
          <c:showSerName val="0"/>
          <c:showPercent val="0"/>
          <c:showBubbleSize val="0"/>
        </c:dLbls>
        <c:gapWidth val="150"/>
        <c:axId val="108068224"/>
        <c:axId val="108074112"/>
      </c:barChart>
      <c:catAx>
        <c:axId val="108068224"/>
        <c:scaling>
          <c:orientation val="minMax"/>
        </c:scaling>
        <c:delete val="0"/>
        <c:axPos val="b"/>
        <c:numFmt formatCode="General" sourceLinked="0"/>
        <c:majorTickMark val="out"/>
        <c:minorTickMark val="none"/>
        <c:tickLblPos val="nextTo"/>
        <c:crossAx val="108074112"/>
        <c:crosses val="autoZero"/>
        <c:auto val="1"/>
        <c:lblAlgn val="ctr"/>
        <c:lblOffset val="100"/>
        <c:noMultiLvlLbl val="0"/>
      </c:catAx>
      <c:valAx>
        <c:axId val="108074112"/>
        <c:scaling>
          <c:orientation val="minMax"/>
          <c:max val="250"/>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806822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Elektrizität</a:t>
            </a:r>
          </a:p>
        </c:rich>
      </c:tx>
      <c:overlay val="0"/>
    </c:title>
    <c:autoTitleDeleted val="0"/>
    <c:plotArea>
      <c:layout/>
      <c:barChart>
        <c:barDir val="col"/>
        <c:grouping val="clustered"/>
        <c:varyColors val="0"/>
        <c:ser>
          <c:idx val="0"/>
          <c:order val="0"/>
          <c:tx>
            <c:strRef>
              <c:f>'Fläche-L'!$BC$61</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'Fläche-L'!$BE$61:$BY$61</c:f>
              <c:numCache>
                <c:formatCode>0</c:formatCode>
                <c:ptCount val="12"/>
                <c:pt idx="0">
                  <c:v>19.599999999999998</c:v>
                </c:pt>
                <c:pt idx="1">
                  <c:v>15.399999999999999</c:v>
                </c:pt>
                <c:pt idx="2">
                  <c:v>19.8</c:v>
                </c:pt>
                <c:pt idx="3">
                  <c:v>9.9</c:v>
                </c:pt>
                <c:pt idx="4">
                  <c:v>26.400000000000002</c:v>
                </c:pt>
                <c:pt idx="5">
                  <c:v>23.099999999999998</c:v>
                </c:pt>
                <c:pt idx="6">
                  <c:v>13.600000000000001</c:v>
                </c:pt>
                <c:pt idx="7">
                  <c:v>19.599999999999998</c:v>
                </c:pt>
                <c:pt idx="8">
                  <c:v>15.3</c:v>
                </c:pt>
                <c:pt idx="9">
                  <c:v>5.4</c:v>
                </c:pt>
                <c:pt idx="10">
                  <c:v>5.4</c:v>
                </c:pt>
                <c:pt idx="11">
                  <c:v>39.199999999999996</c:v>
                </c:pt>
              </c:numCache>
            </c:numRef>
          </c:val>
          <c:extLst>
            <c:ext xmlns:c16="http://schemas.microsoft.com/office/drawing/2014/chart" uri="{C3380CC4-5D6E-409C-BE32-E72D297353CC}">
              <c16:uniqueId val="{00000000-D3EC-4261-8F02-119721947889}"/>
            </c:ext>
          </c:extLst>
        </c:ser>
        <c:ser>
          <c:idx val="1"/>
          <c:order val="1"/>
          <c:tx>
            <c:strRef>
              <c:f>'Fläche-L'!$BC$62</c:f>
              <c:strCache>
                <c:ptCount val="1"/>
                <c:pt idx="0">
                  <c:v>SIA 2024:2018 (Bel. + Ger.)</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'Fläche-L'!$BE$62:$BY$62</c:f>
              <c:numCache>
                <c:formatCode>0</c:formatCode>
                <c:ptCount val="12"/>
                <c:pt idx="0">
                  <c:v>9.6000000000000014</c:v>
                </c:pt>
                <c:pt idx="1">
                  <c:v>9.9</c:v>
                </c:pt>
                <c:pt idx="2">
                  <c:v>11.899999999999999</c:v>
                </c:pt>
                <c:pt idx="3">
                  <c:v>9.1</c:v>
                </c:pt>
                <c:pt idx="4">
                  <c:v>9</c:v>
                </c:pt>
                <c:pt idx="5">
                  <c:v>5.7</c:v>
                </c:pt>
                <c:pt idx="6">
                  <c:v>7</c:v>
                </c:pt>
                <c:pt idx="7">
                  <c:v>9.5</c:v>
                </c:pt>
                <c:pt idx="8">
                  <c:v>7.5</c:v>
                </c:pt>
                <c:pt idx="9">
                  <c:v>4.8999999999999995</c:v>
                </c:pt>
                <c:pt idx="10">
                  <c:v>6</c:v>
                </c:pt>
                <c:pt idx="11">
                  <c:v>6</c:v>
                </c:pt>
              </c:numCache>
            </c:numRef>
          </c:val>
          <c:extLst>
            <c:ext xmlns:c16="http://schemas.microsoft.com/office/drawing/2014/chart" uri="{C3380CC4-5D6E-409C-BE32-E72D297353CC}">
              <c16:uniqueId val="{00000001-D3EC-4261-8F02-119721947889}"/>
            </c:ext>
          </c:extLst>
        </c:ser>
        <c:dLbls>
          <c:showLegendKey val="0"/>
          <c:showVal val="0"/>
          <c:showCatName val="0"/>
          <c:showSerName val="0"/>
          <c:showPercent val="0"/>
          <c:showBubbleSize val="0"/>
        </c:dLbls>
        <c:gapWidth val="150"/>
        <c:axId val="108650496"/>
        <c:axId val="108652032"/>
      </c:barChart>
      <c:catAx>
        <c:axId val="108650496"/>
        <c:scaling>
          <c:orientation val="minMax"/>
        </c:scaling>
        <c:delete val="0"/>
        <c:axPos val="b"/>
        <c:numFmt formatCode="General" sourceLinked="0"/>
        <c:majorTickMark val="out"/>
        <c:minorTickMark val="none"/>
        <c:tickLblPos val="nextTo"/>
        <c:crossAx val="108652032"/>
        <c:crosses val="autoZero"/>
        <c:auto val="1"/>
        <c:lblAlgn val="ctr"/>
        <c:lblOffset val="100"/>
        <c:noMultiLvlLbl val="0"/>
      </c:catAx>
      <c:valAx>
        <c:axId val="10865203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8650496"/>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Wärmebedarf Warmwasser inkl. Verluste</a:t>
            </a:r>
          </a:p>
        </c:rich>
      </c:tx>
      <c:overlay val="0"/>
    </c:title>
    <c:autoTitleDeleted val="0"/>
    <c:plotArea>
      <c:layout/>
      <c:barChart>
        <c:barDir val="col"/>
        <c:grouping val="clustered"/>
        <c:varyColors val="0"/>
        <c:ser>
          <c:idx val="0"/>
          <c:order val="0"/>
          <c:tx>
            <c:strRef>
              <c:f>'Fläche-L'!$BC$86</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'Fläche-L'!$BE$86:$BY$86</c:f>
              <c:numCache>
                <c:formatCode>0</c:formatCode>
                <c:ptCount val="12"/>
                <c:pt idx="0">
                  <c:v>21</c:v>
                </c:pt>
                <c:pt idx="1">
                  <c:v>14</c:v>
                </c:pt>
                <c:pt idx="2">
                  <c:v>7</c:v>
                </c:pt>
                <c:pt idx="3">
                  <c:v>7</c:v>
                </c:pt>
                <c:pt idx="4">
                  <c:v>7</c:v>
                </c:pt>
                <c:pt idx="5">
                  <c:v>56</c:v>
                </c:pt>
                <c:pt idx="6">
                  <c:v>14</c:v>
                </c:pt>
                <c:pt idx="7">
                  <c:v>28</c:v>
                </c:pt>
                <c:pt idx="8">
                  <c:v>7</c:v>
                </c:pt>
                <c:pt idx="9">
                  <c:v>1</c:v>
                </c:pt>
                <c:pt idx="10">
                  <c:v>83</c:v>
                </c:pt>
                <c:pt idx="11">
                  <c:v>83</c:v>
                </c:pt>
              </c:numCache>
            </c:numRef>
          </c:val>
          <c:extLst>
            <c:ext xmlns:c16="http://schemas.microsoft.com/office/drawing/2014/chart" uri="{C3380CC4-5D6E-409C-BE32-E72D297353CC}">
              <c16:uniqueId val="{00000000-3DEF-4EAD-B1EB-AAE64FEA2E68}"/>
            </c:ext>
          </c:extLst>
        </c:ser>
        <c:ser>
          <c:idx val="1"/>
          <c:order val="1"/>
          <c:tx>
            <c:strRef>
              <c:f>'Fläche-L'!$BC$87</c:f>
              <c:strCache>
                <c:ptCount val="1"/>
                <c:pt idx="0">
                  <c:v>SIA 2024:2018 inkl. Verluste</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'Fläche-L'!$BE$87:$BY$87</c:f>
              <c:numCache>
                <c:formatCode>0</c:formatCode>
                <c:ptCount val="12"/>
                <c:pt idx="0">
                  <c:v>11.773134328358212</c:v>
                </c:pt>
                <c:pt idx="1">
                  <c:v>9.9725373134328379</c:v>
                </c:pt>
                <c:pt idx="2">
                  <c:v>1.29462464585098</c:v>
                </c:pt>
                <c:pt idx="3">
                  <c:v>1.6960386004726924</c:v>
                </c:pt>
                <c:pt idx="4">
                  <c:v>1.4423343166749425</c:v>
                </c:pt>
                <c:pt idx="5">
                  <c:v>44.646701521745477</c:v>
                </c:pt>
                <c:pt idx="6">
                  <c:v>3.6693635540497125</c:v>
                </c:pt>
                <c:pt idx="7">
                  <c:v>22.267310804100834</c:v>
                </c:pt>
                <c:pt idx="8">
                  <c:v>1.29462464585098</c:v>
                </c:pt>
                <c:pt idx="9">
                  <c:v>0.62608896807547387</c:v>
                </c:pt>
                <c:pt idx="10">
                  <c:v>31.149488840279741</c:v>
                </c:pt>
                <c:pt idx="11">
                  <c:v>71.371052370242737</c:v>
                </c:pt>
              </c:numCache>
            </c:numRef>
          </c:val>
          <c:extLst>
            <c:ext xmlns:c16="http://schemas.microsoft.com/office/drawing/2014/chart" uri="{C3380CC4-5D6E-409C-BE32-E72D297353CC}">
              <c16:uniqueId val="{00000001-3DEF-4EAD-B1EB-AAE64FEA2E68}"/>
            </c:ext>
          </c:extLst>
        </c:ser>
        <c:dLbls>
          <c:showLegendKey val="0"/>
          <c:showVal val="0"/>
          <c:showCatName val="0"/>
          <c:showSerName val="0"/>
          <c:showPercent val="0"/>
          <c:showBubbleSize val="0"/>
        </c:dLbls>
        <c:gapWidth val="150"/>
        <c:axId val="108944000"/>
        <c:axId val="108945792"/>
      </c:barChart>
      <c:catAx>
        <c:axId val="108944000"/>
        <c:scaling>
          <c:orientation val="minMax"/>
        </c:scaling>
        <c:delete val="0"/>
        <c:axPos val="b"/>
        <c:numFmt formatCode="General" sourceLinked="0"/>
        <c:majorTickMark val="out"/>
        <c:minorTickMark val="none"/>
        <c:tickLblPos val="nextTo"/>
        <c:crossAx val="108945792"/>
        <c:crosses val="autoZero"/>
        <c:auto val="1"/>
        <c:lblAlgn val="ctr"/>
        <c:lblOffset val="100"/>
        <c:noMultiLvlLbl val="0"/>
      </c:catAx>
      <c:valAx>
        <c:axId val="10894579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894400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'Fläche-L'!$BC$112</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C41A-46D7-B509-2D28BFEB0AE5}"/>
            </c:ext>
          </c:extLst>
        </c:ser>
        <c:ser>
          <c:idx val="2"/>
          <c:order val="1"/>
          <c:tx>
            <c:strRef>
              <c:f>'Fläche-L'!$BC$115</c:f>
              <c:strCache>
                <c:ptCount val="1"/>
                <c:pt idx="0">
                  <c:v>SIA 2024:2018 (Hygiene)</c:v>
                </c:pt>
              </c:strCache>
            </c:strRef>
          </c:tx>
          <c:invertIfNegative val="0"/>
          <c:val>
            <c:numRef>
              <c:f>'Fläche-L'!$BE$115:$BY$115</c:f>
              <c:numCache>
                <c:formatCode>0.00</c:formatCode>
                <c:ptCount val="12"/>
                <c:pt idx="0">
                  <c:v>0.39187162426614486</c:v>
                </c:pt>
                <c:pt idx="1">
                  <c:v>0.29044602739726028</c:v>
                </c:pt>
                <c:pt idx="2">
                  <c:v>0.37561174168297456</c:v>
                </c:pt>
                <c:pt idx="3">
                  <c:v>0.64192485322896287</c:v>
                </c:pt>
                <c:pt idx="4">
                  <c:v>0.67209393346379642</c:v>
                </c:pt>
                <c:pt idx="5">
                  <c:v>1.4063248532289629</c:v>
                </c:pt>
                <c:pt idx="6">
                  <c:v>1.88853228962818</c:v>
                </c:pt>
                <c:pt idx="7">
                  <c:v>1.1077761252446185</c:v>
                </c:pt>
                <c:pt idx="8">
                  <c:v>0.24527279843444227</c:v>
                </c:pt>
                <c:pt idx="9">
                  <c:v>0.19386927592954986</c:v>
                </c:pt>
                <c:pt idx="10">
                  <c:v>0.27879452054794518</c:v>
                </c:pt>
                <c:pt idx="11">
                  <c:v>0.60136203522504894</c:v>
                </c:pt>
              </c:numCache>
            </c:numRef>
          </c:val>
          <c:extLst>
            <c:ext xmlns:c16="http://schemas.microsoft.com/office/drawing/2014/chart" uri="{C3380CC4-5D6E-409C-BE32-E72D297353CC}">
              <c16:uniqueId val="{00000001-C41A-46D7-B509-2D28BFEB0AE5}"/>
            </c:ext>
          </c:extLst>
        </c:ser>
        <c:ser>
          <c:idx val="3"/>
          <c:order val="2"/>
          <c:tx>
            <c:strRef>
              <c:f>'Fläche-L'!$BC$116</c:f>
              <c:strCache>
                <c:ptCount val="1"/>
                <c:pt idx="0">
                  <c:v>SIA 2024:2018 (Hygiene inkl. Infiltration)</c:v>
                </c:pt>
              </c:strCache>
            </c:strRef>
          </c:tx>
          <c:invertIfNegative val="0"/>
          <c:val>
            <c:numRef>
              <c:f>'Fläche-L'!$BE$116:$BY$116</c:f>
              <c:numCache>
                <c:formatCode>0.00</c:formatCode>
                <c:ptCount val="12"/>
                <c:pt idx="0">
                  <c:v>0.54187162426614488</c:v>
                </c:pt>
                <c:pt idx="1">
                  <c:v>0.44044602739726024</c:v>
                </c:pt>
                <c:pt idx="2">
                  <c:v>0.52561174168297453</c:v>
                </c:pt>
                <c:pt idx="3">
                  <c:v>0.79192485322896289</c:v>
                </c:pt>
                <c:pt idx="4">
                  <c:v>0.82209393346379644</c:v>
                </c:pt>
                <c:pt idx="5">
                  <c:v>1.5563248532289629</c:v>
                </c:pt>
                <c:pt idx="6">
                  <c:v>2.0385322896281801</c:v>
                </c:pt>
                <c:pt idx="7">
                  <c:v>1.2577761252446185</c:v>
                </c:pt>
                <c:pt idx="8">
                  <c:v>0.3952727984344423</c:v>
                </c:pt>
                <c:pt idx="9">
                  <c:v>0.34386927592954986</c:v>
                </c:pt>
                <c:pt idx="10">
                  <c:v>0.4287945205479452</c:v>
                </c:pt>
                <c:pt idx="11">
                  <c:v>0.75136203522504896</c:v>
                </c:pt>
              </c:numCache>
            </c:numRef>
          </c:val>
          <c:extLst>
            <c:ext xmlns:c16="http://schemas.microsoft.com/office/drawing/2014/chart" uri="{C3380CC4-5D6E-409C-BE32-E72D297353CC}">
              <c16:uniqueId val="{00000002-C41A-46D7-B509-2D28BFEB0AE5}"/>
            </c:ext>
          </c:extLst>
        </c:ser>
        <c:ser>
          <c:idx val="1"/>
          <c:order val="3"/>
          <c:tx>
            <c:strRef>
              <c:f>'Fläche-L'!$BC$113</c:f>
              <c:strCache>
                <c:ptCount val="1"/>
                <c:pt idx="0">
                  <c:v>SIA 2024:2018 (Auslegung)</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'Fläche-L'!$BE$113:$BY$113</c:f>
              <c:numCache>
                <c:formatCode>0.00</c:formatCode>
                <c:ptCount val="12"/>
                <c:pt idx="0">
                  <c:v>0.57351989562948469</c:v>
                </c:pt>
                <c:pt idx="1">
                  <c:v>0.43778264840182646</c:v>
                </c:pt>
                <c:pt idx="2">
                  <c:v>0.64317916938464892</c:v>
                </c:pt>
                <c:pt idx="3">
                  <c:v>0.75930854533594272</c:v>
                </c:pt>
                <c:pt idx="4">
                  <c:v>0.85060078277886508</c:v>
                </c:pt>
                <c:pt idx="5">
                  <c:v>1.44791128506197</c:v>
                </c:pt>
                <c:pt idx="6">
                  <c:v>1.6150619699934765</c:v>
                </c:pt>
                <c:pt idx="7">
                  <c:v>1.0882187432050445</c:v>
                </c:pt>
                <c:pt idx="8">
                  <c:v>0.57845821555410593</c:v>
                </c:pt>
                <c:pt idx="9">
                  <c:v>0.57741813437703859</c:v>
                </c:pt>
                <c:pt idx="10">
                  <c:v>0.91933789954337897</c:v>
                </c:pt>
                <c:pt idx="11">
                  <c:v>1.4123222439660799</c:v>
                </c:pt>
              </c:numCache>
            </c:numRef>
          </c:val>
          <c:extLst>
            <c:ext xmlns:c16="http://schemas.microsoft.com/office/drawing/2014/chart" uri="{C3380CC4-5D6E-409C-BE32-E72D297353CC}">
              <c16:uniqueId val="{00000003-C41A-46D7-B509-2D28BFEB0AE5}"/>
            </c:ext>
          </c:extLst>
        </c:ser>
        <c:dLbls>
          <c:showLegendKey val="0"/>
          <c:showVal val="0"/>
          <c:showCatName val="0"/>
          <c:showSerName val="0"/>
          <c:showPercent val="0"/>
          <c:showBubbleSize val="0"/>
        </c:dLbls>
        <c:gapWidth val="150"/>
        <c:axId val="108985344"/>
        <c:axId val="108794624"/>
      </c:barChart>
      <c:catAx>
        <c:axId val="108985344"/>
        <c:scaling>
          <c:orientation val="minMax"/>
        </c:scaling>
        <c:delete val="0"/>
        <c:axPos val="b"/>
        <c:numFmt formatCode="General" sourceLinked="0"/>
        <c:majorTickMark val="out"/>
        <c:minorTickMark val="none"/>
        <c:tickLblPos val="nextTo"/>
        <c:crossAx val="108794624"/>
        <c:crosses val="autoZero"/>
        <c:auto val="1"/>
        <c:lblAlgn val="ctr"/>
        <c:lblOffset val="100"/>
        <c:noMultiLvlLbl val="0"/>
      </c:catAx>
      <c:valAx>
        <c:axId val="108794624"/>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10898534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p>
        </c:rich>
      </c:tx>
      <c:overlay val="0"/>
    </c:title>
    <c:autoTitleDeleted val="0"/>
    <c:plotArea>
      <c:layout/>
      <c:barChart>
        <c:barDir val="col"/>
        <c:grouping val="clustered"/>
        <c:varyColors val="0"/>
        <c:ser>
          <c:idx val="0"/>
          <c:order val="0"/>
          <c:tx>
            <c:strRef>
              <c:f>'Fläche-L'!$BC$36</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'Fläche-L'!$BE$36:$BY$36</c:f>
              <c:numCache>
                <c:formatCode>0</c:formatCode>
                <c:ptCount val="12"/>
                <c:pt idx="0">
                  <c:v>28</c:v>
                </c:pt>
                <c:pt idx="1">
                  <c:v>22</c:v>
                </c:pt>
                <c:pt idx="2">
                  <c:v>22</c:v>
                </c:pt>
                <c:pt idx="3">
                  <c:v>11</c:v>
                </c:pt>
                <c:pt idx="4">
                  <c:v>33</c:v>
                </c:pt>
                <c:pt idx="5">
                  <c:v>33</c:v>
                </c:pt>
                <c:pt idx="6">
                  <c:v>17</c:v>
                </c:pt>
                <c:pt idx="7">
                  <c:v>28</c:v>
                </c:pt>
                <c:pt idx="8">
                  <c:v>17</c:v>
                </c:pt>
                <c:pt idx="9">
                  <c:v>6</c:v>
                </c:pt>
                <c:pt idx="10">
                  <c:v>6</c:v>
                </c:pt>
                <c:pt idx="11">
                  <c:v>56</c:v>
                </c:pt>
              </c:numCache>
            </c:numRef>
          </c:val>
          <c:extLst>
            <c:ext xmlns:c16="http://schemas.microsoft.com/office/drawing/2014/chart" uri="{C3380CC4-5D6E-409C-BE32-E72D297353CC}">
              <c16:uniqueId val="{00000000-826D-4C05-A7F7-8B98AD315588}"/>
            </c:ext>
          </c:extLst>
        </c:ser>
        <c:ser>
          <c:idx val="1"/>
          <c:order val="1"/>
          <c:tx>
            <c:strRef>
              <c:f>'Fläche-L'!$BC$37</c:f>
              <c:strCache>
                <c:ptCount val="1"/>
                <c:pt idx="0">
                  <c:v>SIA 2024:2018 (Bel. + Ger. + Lüf. + Allg. GT)</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'Fläche-L'!$BE$37:$BY$37</c:f>
              <c:numCache>
                <c:formatCode>0</c:formatCode>
                <c:ptCount val="12"/>
                <c:pt idx="0">
                  <c:v>12.459953333333335</c:v>
                </c:pt>
                <c:pt idx="1">
                  <c:v>11.11430488888889</c:v>
                </c:pt>
                <c:pt idx="2">
                  <c:v>16.584755873015876</c:v>
                </c:pt>
                <c:pt idx="3">
                  <c:v>13.234050031746033</c:v>
                </c:pt>
                <c:pt idx="4">
                  <c:v>17.688623280423279</c:v>
                </c:pt>
                <c:pt idx="5">
                  <c:v>19.102975873015872</c:v>
                </c:pt>
                <c:pt idx="6">
                  <c:v>14.150593650793651</c:v>
                </c:pt>
                <c:pt idx="7">
                  <c:v>19.153838095238097</c:v>
                </c:pt>
                <c:pt idx="8">
                  <c:v>15.411549206349207</c:v>
                </c:pt>
                <c:pt idx="9">
                  <c:v>6.7348551892551916</c:v>
                </c:pt>
                <c:pt idx="10">
                  <c:v>10.326903703703703</c:v>
                </c:pt>
                <c:pt idx="11">
                  <c:v>14.770164021164021</c:v>
                </c:pt>
              </c:numCache>
            </c:numRef>
          </c:val>
          <c:extLst>
            <c:ext xmlns:c16="http://schemas.microsoft.com/office/drawing/2014/chart" uri="{C3380CC4-5D6E-409C-BE32-E72D297353CC}">
              <c16:uniqueId val="{00000001-826D-4C05-A7F7-8B98AD315588}"/>
            </c:ext>
          </c:extLst>
        </c:ser>
        <c:dLbls>
          <c:showLegendKey val="0"/>
          <c:showVal val="0"/>
          <c:showCatName val="0"/>
          <c:showSerName val="0"/>
          <c:showPercent val="0"/>
          <c:showBubbleSize val="0"/>
        </c:dLbls>
        <c:gapWidth val="150"/>
        <c:axId val="108828544"/>
        <c:axId val="108830080"/>
      </c:barChart>
      <c:catAx>
        <c:axId val="108828544"/>
        <c:scaling>
          <c:orientation val="minMax"/>
        </c:scaling>
        <c:delete val="0"/>
        <c:axPos val="b"/>
        <c:numFmt formatCode="General" sourceLinked="0"/>
        <c:majorTickMark val="out"/>
        <c:minorTickMark val="none"/>
        <c:tickLblPos val="nextTo"/>
        <c:crossAx val="108830080"/>
        <c:crosses val="autoZero"/>
        <c:auto val="1"/>
        <c:lblAlgn val="ctr"/>
        <c:lblOffset val="100"/>
        <c:noMultiLvlLbl val="0"/>
      </c:catAx>
      <c:valAx>
        <c:axId val="108830080"/>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882854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Personen</a:t>
            </a:r>
          </a:p>
        </c:rich>
      </c:tx>
      <c:overlay val="0"/>
    </c:title>
    <c:autoTitleDeleted val="0"/>
    <c:plotArea>
      <c:layout/>
      <c:barChart>
        <c:barDir val="col"/>
        <c:grouping val="clustered"/>
        <c:varyColors val="0"/>
        <c:ser>
          <c:idx val="0"/>
          <c:order val="0"/>
          <c:tx>
            <c:strRef>
              <c:f>'Fläche-L'!$BC$163</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'Fläche-L'!$BE$163:$BY$163</c:f>
              <c:numCache>
                <c:formatCode>0.0</c:formatCode>
                <c:ptCount val="12"/>
                <c:pt idx="0">
                  <c:v>7.665</c:v>
                </c:pt>
                <c:pt idx="1">
                  <c:v>5.1100000000000003</c:v>
                </c:pt>
                <c:pt idx="2">
                  <c:v>8.76</c:v>
                </c:pt>
                <c:pt idx="3">
                  <c:v>10.220000000000001</c:v>
                </c:pt>
                <c:pt idx="4">
                  <c:v>13.14</c:v>
                </c:pt>
                <c:pt idx="5">
                  <c:v>21.9</c:v>
                </c:pt>
                <c:pt idx="6">
                  <c:v>17.52</c:v>
                </c:pt>
                <c:pt idx="7">
                  <c:v>15.573333333333332</c:v>
                </c:pt>
                <c:pt idx="8">
                  <c:v>7.3</c:v>
                </c:pt>
                <c:pt idx="9">
                  <c:v>2.19</c:v>
                </c:pt>
                <c:pt idx="10">
                  <c:v>10.95</c:v>
                </c:pt>
                <c:pt idx="11">
                  <c:v>4.38</c:v>
                </c:pt>
              </c:numCache>
            </c:numRef>
          </c:val>
          <c:extLst>
            <c:ext xmlns:c16="http://schemas.microsoft.com/office/drawing/2014/chart" uri="{C3380CC4-5D6E-409C-BE32-E72D297353CC}">
              <c16:uniqueId val="{00000000-A2BA-49B8-97B0-55448807620A}"/>
            </c:ext>
          </c:extLst>
        </c:ser>
        <c:ser>
          <c:idx val="1"/>
          <c:order val="1"/>
          <c:tx>
            <c:strRef>
              <c:f>'Fläche-L'!$BC$164</c:f>
              <c:strCache>
                <c:ptCount val="1"/>
                <c:pt idx="0">
                  <c:v>SIA 2024:2018</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'Fläche-L'!$BE$164:$BY$164</c:f>
              <c:numCache>
                <c:formatCode>0.0</c:formatCode>
                <c:ptCount val="12"/>
                <c:pt idx="0">
                  <c:v>6.6748800000000008</c:v>
                </c:pt>
                <c:pt idx="1">
                  <c:v>4.9472640000000006</c:v>
                </c:pt>
                <c:pt idx="2">
                  <c:v>6.3979200000000001</c:v>
                </c:pt>
                <c:pt idx="3">
                  <c:v>13.120944000000001</c:v>
                </c:pt>
                <c:pt idx="4">
                  <c:v>11.448</c:v>
                </c:pt>
                <c:pt idx="5">
                  <c:v>23.954400000000003</c:v>
                </c:pt>
                <c:pt idx="6">
                  <c:v>32.167999999999999</c:v>
                </c:pt>
                <c:pt idx="7">
                  <c:v>18.869119999999999</c:v>
                </c:pt>
                <c:pt idx="8">
                  <c:v>4.1778133333333338</c:v>
                </c:pt>
                <c:pt idx="9">
                  <c:v>3.3022399999999998</c:v>
                </c:pt>
                <c:pt idx="10">
                  <c:v>3.2563199999999997</c:v>
                </c:pt>
                <c:pt idx="11">
                  <c:v>10.243200000000002</c:v>
                </c:pt>
              </c:numCache>
            </c:numRef>
          </c:val>
          <c:extLst>
            <c:ext xmlns:c16="http://schemas.microsoft.com/office/drawing/2014/chart" uri="{C3380CC4-5D6E-409C-BE32-E72D297353CC}">
              <c16:uniqueId val="{00000001-A2BA-49B8-97B0-55448807620A}"/>
            </c:ext>
          </c:extLst>
        </c:ser>
        <c:dLbls>
          <c:showLegendKey val="0"/>
          <c:showVal val="0"/>
          <c:showCatName val="0"/>
          <c:showSerName val="0"/>
          <c:showPercent val="0"/>
          <c:showBubbleSize val="0"/>
        </c:dLbls>
        <c:gapWidth val="150"/>
        <c:axId val="109011712"/>
        <c:axId val="109013248"/>
      </c:barChart>
      <c:catAx>
        <c:axId val="109011712"/>
        <c:scaling>
          <c:orientation val="minMax"/>
        </c:scaling>
        <c:delete val="0"/>
        <c:axPos val="b"/>
        <c:numFmt formatCode="General" sourceLinked="0"/>
        <c:majorTickMark val="out"/>
        <c:minorTickMark val="none"/>
        <c:tickLblPos val="nextTo"/>
        <c:crossAx val="109013248"/>
        <c:crosses val="autoZero"/>
        <c:auto val="1"/>
        <c:lblAlgn val="ctr"/>
        <c:lblOffset val="100"/>
        <c:noMultiLvlLbl val="0"/>
      </c:catAx>
      <c:valAx>
        <c:axId val="109013248"/>
        <c:scaling>
          <c:orientation val="minMax"/>
        </c:scaling>
        <c:delete val="0"/>
        <c:axPos val="l"/>
        <c:majorGridlines/>
        <c:title>
          <c:tx>
            <c:rich>
              <a:bodyPr rot="-5400000" vert="horz"/>
              <a:lstStyle/>
              <a:p>
                <a:pPr>
                  <a:defRPr b="0"/>
                </a:pPr>
                <a:r>
                  <a:rPr lang="en-US" b="0"/>
                  <a:t>kWh/m2</a:t>
                </a:r>
              </a:p>
            </c:rich>
          </c:tx>
          <c:overlay val="0"/>
        </c:title>
        <c:numFmt formatCode="0.0" sourceLinked="1"/>
        <c:majorTickMark val="out"/>
        <c:minorTickMark val="none"/>
        <c:tickLblPos val="nextTo"/>
        <c:crossAx val="109011712"/>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Personenfläche</a:t>
            </a:r>
          </a:p>
        </c:rich>
      </c:tx>
      <c:overlay val="0"/>
    </c:title>
    <c:autoTitleDeleted val="0"/>
    <c:plotArea>
      <c:layout/>
      <c:barChart>
        <c:barDir val="col"/>
        <c:grouping val="clustered"/>
        <c:varyColors val="0"/>
        <c:ser>
          <c:idx val="0"/>
          <c:order val="0"/>
          <c:tx>
            <c:strRef>
              <c:f>'Fläche-L'!$BC$188</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'Fläche-L'!$BE$188:$BY$188</c:f>
              <c:numCache>
                <c:formatCode>0</c:formatCode>
                <c:ptCount val="12"/>
                <c:pt idx="0">
                  <c:v>40</c:v>
                </c:pt>
                <c:pt idx="1">
                  <c:v>60</c:v>
                </c:pt>
                <c:pt idx="2">
                  <c:v>20</c:v>
                </c:pt>
                <c:pt idx="3">
                  <c:v>10</c:v>
                </c:pt>
                <c:pt idx="4">
                  <c:v>10</c:v>
                </c:pt>
                <c:pt idx="5">
                  <c:v>5</c:v>
                </c:pt>
                <c:pt idx="6">
                  <c:v>5</c:v>
                </c:pt>
                <c:pt idx="7">
                  <c:v>30</c:v>
                </c:pt>
                <c:pt idx="8">
                  <c:v>30</c:v>
                </c:pt>
                <c:pt idx="9">
                  <c:v>100</c:v>
                </c:pt>
                <c:pt idx="10">
                  <c:v>20</c:v>
                </c:pt>
                <c:pt idx="11">
                  <c:v>20</c:v>
                </c:pt>
              </c:numCache>
            </c:numRef>
          </c:val>
          <c:extLst>
            <c:ext xmlns:c16="http://schemas.microsoft.com/office/drawing/2014/chart" uri="{C3380CC4-5D6E-409C-BE32-E72D297353CC}">
              <c16:uniqueId val="{00000000-3C47-4F83-A863-5CA01571DB67}"/>
            </c:ext>
          </c:extLst>
        </c:ser>
        <c:ser>
          <c:idx val="1"/>
          <c:order val="1"/>
          <c:tx>
            <c:strRef>
              <c:f>'Fläche-L'!$BC$189</c:f>
              <c:strCache>
                <c:ptCount val="1"/>
                <c:pt idx="0">
                  <c:v>SIA 2024:2018</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'Fläche-L'!$BE$189:$BY$189</c:f>
              <c:numCache>
                <c:formatCode>0</c:formatCode>
                <c:ptCount val="12"/>
                <c:pt idx="0">
                  <c:v>51.470588235294116</c:v>
                </c:pt>
                <c:pt idx="1">
                  <c:v>69.444444444444429</c:v>
                </c:pt>
                <c:pt idx="2">
                  <c:v>26.184538653366584</c:v>
                </c:pt>
                <c:pt idx="3">
                  <c:v>9.9150141643059477</c:v>
                </c:pt>
                <c:pt idx="4">
                  <c:v>15.909090909090908</c:v>
                </c:pt>
                <c:pt idx="5">
                  <c:v>4.5691906005221927</c:v>
                </c:pt>
                <c:pt idx="6">
                  <c:v>6.1403508771929829</c:v>
                </c:pt>
                <c:pt idx="7">
                  <c:v>18.683274021352315</c:v>
                </c:pt>
                <c:pt idx="8">
                  <c:v>28.688524590163933</c:v>
                </c:pt>
                <c:pt idx="9">
                  <c:v>59.322033898305079</c:v>
                </c:pt>
                <c:pt idx="10">
                  <c:v>41.666666666666664</c:v>
                </c:pt>
                <c:pt idx="11">
                  <c:v>19.662921348314608</c:v>
                </c:pt>
              </c:numCache>
            </c:numRef>
          </c:val>
          <c:extLst>
            <c:ext xmlns:c16="http://schemas.microsoft.com/office/drawing/2014/chart" uri="{C3380CC4-5D6E-409C-BE32-E72D297353CC}">
              <c16:uniqueId val="{00000001-3C47-4F83-A863-5CA01571DB67}"/>
            </c:ext>
          </c:extLst>
        </c:ser>
        <c:dLbls>
          <c:showLegendKey val="0"/>
          <c:showVal val="0"/>
          <c:showCatName val="0"/>
          <c:showSerName val="0"/>
          <c:showPercent val="0"/>
          <c:showBubbleSize val="0"/>
        </c:dLbls>
        <c:gapWidth val="150"/>
        <c:axId val="109030784"/>
        <c:axId val="109032576"/>
      </c:barChart>
      <c:catAx>
        <c:axId val="109030784"/>
        <c:scaling>
          <c:orientation val="minMax"/>
        </c:scaling>
        <c:delete val="0"/>
        <c:axPos val="b"/>
        <c:numFmt formatCode="General" sourceLinked="0"/>
        <c:majorTickMark val="out"/>
        <c:minorTickMark val="none"/>
        <c:tickLblPos val="nextTo"/>
        <c:crossAx val="109032576"/>
        <c:crosses val="autoZero"/>
        <c:auto val="1"/>
        <c:lblAlgn val="ctr"/>
        <c:lblOffset val="100"/>
        <c:noMultiLvlLbl val="0"/>
      </c:catAx>
      <c:valAx>
        <c:axId val="109032576"/>
        <c:scaling>
          <c:orientation val="minMax"/>
        </c:scaling>
        <c:delete val="0"/>
        <c:axPos val="l"/>
        <c:majorGridlines/>
        <c:title>
          <c:tx>
            <c:rich>
              <a:bodyPr rot="-5400000" vert="horz"/>
              <a:lstStyle/>
              <a:p>
                <a:pPr>
                  <a:defRPr b="0"/>
                </a:pPr>
                <a:r>
                  <a:rPr lang="en-US" b="0"/>
                  <a:t>m2/P</a:t>
                </a:r>
              </a:p>
            </c:rich>
          </c:tx>
          <c:overlay val="0"/>
        </c:title>
        <c:numFmt formatCode="0" sourceLinked="1"/>
        <c:majorTickMark val="out"/>
        <c:minorTickMark val="none"/>
        <c:tickLblPos val="nextTo"/>
        <c:crossAx val="10903078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Raumtemperatur</a:t>
            </a:r>
          </a:p>
        </c:rich>
      </c:tx>
      <c:overlay val="0"/>
    </c:title>
    <c:autoTitleDeleted val="0"/>
    <c:plotArea>
      <c:layout/>
      <c:barChart>
        <c:barDir val="col"/>
        <c:grouping val="clustered"/>
        <c:varyColors val="0"/>
        <c:ser>
          <c:idx val="0"/>
          <c:order val="0"/>
          <c:tx>
            <c:strRef>
              <c:f>'Fläche-L'!$BC$214</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'Fläche-L'!$BE$214:$BY$214</c:f>
              <c:numCache>
                <c:formatCode>0</c:formatCode>
                <c:ptCount val="12"/>
                <c:pt idx="0">
                  <c:v>20</c:v>
                </c:pt>
                <c:pt idx="1">
                  <c:v>20</c:v>
                </c:pt>
                <c:pt idx="2">
                  <c:v>20</c:v>
                </c:pt>
                <c:pt idx="3">
                  <c:v>20</c:v>
                </c:pt>
                <c:pt idx="4">
                  <c:v>20</c:v>
                </c:pt>
                <c:pt idx="5">
                  <c:v>20</c:v>
                </c:pt>
                <c:pt idx="6">
                  <c:v>20</c:v>
                </c:pt>
                <c:pt idx="7">
                  <c:v>22</c:v>
                </c:pt>
                <c:pt idx="8">
                  <c:v>18</c:v>
                </c:pt>
                <c:pt idx="9">
                  <c:v>18</c:v>
                </c:pt>
                <c:pt idx="10">
                  <c:v>18</c:v>
                </c:pt>
                <c:pt idx="11">
                  <c:v>28</c:v>
                </c:pt>
              </c:numCache>
            </c:numRef>
          </c:val>
          <c:extLst>
            <c:ext xmlns:c16="http://schemas.microsoft.com/office/drawing/2014/chart" uri="{C3380CC4-5D6E-409C-BE32-E72D297353CC}">
              <c16:uniqueId val="{00000000-DAC5-436E-975D-A01C1F826058}"/>
            </c:ext>
          </c:extLst>
        </c:ser>
        <c:ser>
          <c:idx val="1"/>
          <c:order val="1"/>
          <c:tx>
            <c:strRef>
              <c:f>'Fläche-L'!$BC$215</c:f>
              <c:strCache>
                <c:ptCount val="1"/>
                <c:pt idx="0">
                  <c:v>SIA 2024:2018</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'Fläche-L'!$BE$215:$BY$215</c:f>
              <c:numCache>
                <c:formatCode>0</c:formatCode>
                <c:ptCount val="12"/>
                <c:pt idx="0">
                  <c:v>22</c:v>
                </c:pt>
                <c:pt idx="1">
                  <c:v>22</c:v>
                </c:pt>
                <c:pt idx="2">
                  <c:v>22</c:v>
                </c:pt>
                <c:pt idx="3">
                  <c:v>22</c:v>
                </c:pt>
                <c:pt idx="4">
                  <c:v>22</c:v>
                </c:pt>
                <c:pt idx="5">
                  <c:v>22</c:v>
                </c:pt>
                <c:pt idx="6">
                  <c:v>22</c:v>
                </c:pt>
                <c:pt idx="7">
                  <c:v>22</c:v>
                </c:pt>
                <c:pt idx="8">
                  <c:v>20</c:v>
                </c:pt>
                <c:pt idx="9">
                  <c:v>18</c:v>
                </c:pt>
                <c:pt idx="10">
                  <c:v>18</c:v>
                </c:pt>
                <c:pt idx="11">
                  <c:v>28</c:v>
                </c:pt>
              </c:numCache>
            </c:numRef>
          </c:val>
          <c:extLst>
            <c:ext xmlns:c16="http://schemas.microsoft.com/office/drawing/2014/chart" uri="{C3380CC4-5D6E-409C-BE32-E72D297353CC}">
              <c16:uniqueId val="{00000001-DAC5-436E-975D-A01C1F826058}"/>
            </c:ext>
          </c:extLst>
        </c:ser>
        <c:dLbls>
          <c:showLegendKey val="0"/>
          <c:showVal val="0"/>
          <c:showCatName val="0"/>
          <c:showSerName val="0"/>
          <c:showPercent val="0"/>
          <c:showBubbleSize val="0"/>
        </c:dLbls>
        <c:gapWidth val="150"/>
        <c:axId val="109082880"/>
        <c:axId val="109084672"/>
      </c:barChart>
      <c:catAx>
        <c:axId val="109082880"/>
        <c:scaling>
          <c:orientation val="minMax"/>
        </c:scaling>
        <c:delete val="0"/>
        <c:axPos val="b"/>
        <c:numFmt formatCode="General" sourceLinked="0"/>
        <c:majorTickMark val="out"/>
        <c:minorTickMark val="none"/>
        <c:tickLblPos val="nextTo"/>
        <c:crossAx val="109084672"/>
        <c:crosses val="autoZero"/>
        <c:auto val="1"/>
        <c:lblAlgn val="ctr"/>
        <c:lblOffset val="100"/>
        <c:noMultiLvlLbl val="0"/>
      </c:catAx>
      <c:valAx>
        <c:axId val="109084672"/>
        <c:scaling>
          <c:orientation val="minMax"/>
          <c:min val="10"/>
        </c:scaling>
        <c:delete val="0"/>
        <c:axPos val="l"/>
        <c:majorGridlines/>
        <c:title>
          <c:tx>
            <c:rich>
              <a:bodyPr rot="-5400000" vert="horz"/>
              <a:lstStyle/>
              <a:p>
                <a:pPr>
                  <a:defRPr b="0"/>
                </a:pPr>
                <a:r>
                  <a:rPr lang="en-US" b="0"/>
                  <a:t>°C</a:t>
                </a:r>
              </a:p>
            </c:rich>
          </c:tx>
          <c:overlay val="0"/>
        </c:title>
        <c:numFmt formatCode="0" sourceLinked="1"/>
        <c:majorTickMark val="out"/>
        <c:minorTickMark val="none"/>
        <c:tickLblPos val="nextTo"/>
        <c:crossAx val="10908288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'Fläche-L'!$BC$112</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796E-4B68-8DE5-74D850EF0D46}"/>
            </c:ext>
          </c:extLst>
        </c:ser>
        <c:ser>
          <c:idx val="1"/>
          <c:order val="1"/>
          <c:tx>
            <c:strRef>
              <c:f>'Fläche-L'!$BC$115</c:f>
              <c:strCache>
                <c:ptCount val="1"/>
                <c:pt idx="0">
                  <c:v>SIA 2024:2018 (Hygiene)</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'Fläche-L'!$BE$115:$BY$115</c:f>
              <c:numCache>
                <c:formatCode>0.00</c:formatCode>
                <c:ptCount val="12"/>
                <c:pt idx="0">
                  <c:v>0.39187162426614486</c:v>
                </c:pt>
                <c:pt idx="1">
                  <c:v>0.29044602739726028</c:v>
                </c:pt>
                <c:pt idx="2">
                  <c:v>0.37561174168297456</c:v>
                </c:pt>
                <c:pt idx="3">
                  <c:v>0.64192485322896287</c:v>
                </c:pt>
                <c:pt idx="4">
                  <c:v>0.67209393346379642</c:v>
                </c:pt>
                <c:pt idx="5">
                  <c:v>1.4063248532289629</c:v>
                </c:pt>
                <c:pt idx="6">
                  <c:v>1.88853228962818</c:v>
                </c:pt>
                <c:pt idx="7">
                  <c:v>1.1077761252446185</c:v>
                </c:pt>
                <c:pt idx="8">
                  <c:v>0.24527279843444227</c:v>
                </c:pt>
                <c:pt idx="9">
                  <c:v>0.19386927592954986</c:v>
                </c:pt>
                <c:pt idx="10">
                  <c:v>0.27879452054794518</c:v>
                </c:pt>
                <c:pt idx="11">
                  <c:v>0.60136203522504894</c:v>
                </c:pt>
              </c:numCache>
            </c:numRef>
          </c:val>
          <c:extLst>
            <c:ext xmlns:c16="http://schemas.microsoft.com/office/drawing/2014/chart" uri="{C3380CC4-5D6E-409C-BE32-E72D297353CC}">
              <c16:uniqueId val="{00000001-796E-4B68-8DE5-74D850EF0D46}"/>
            </c:ext>
          </c:extLst>
        </c:ser>
        <c:dLbls>
          <c:showLegendKey val="0"/>
          <c:showVal val="0"/>
          <c:showCatName val="0"/>
          <c:showSerName val="0"/>
          <c:showPercent val="0"/>
          <c:showBubbleSize val="0"/>
        </c:dLbls>
        <c:gapWidth val="150"/>
        <c:axId val="110233088"/>
        <c:axId val="110234624"/>
      </c:barChart>
      <c:catAx>
        <c:axId val="110233088"/>
        <c:scaling>
          <c:orientation val="minMax"/>
        </c:scaling>
        <c:delete val="0"/>
        <c:axPos val="b"/>
        <c:numFmt formatCode="General" sourceLinked="0"/>
        <c:majorTickMark val="out"/>
        <c:minorTickMark val="none"/>
        <c:tickLblPos val="nextTo"/>
        <c:crossAx val="110234624"/>
        <c:crosses val="autoZero"/>
        <c:auto val="1"/>
        <c:lblAlgn val="ctr"/>
        <c:lblOffset val="100"/>
        <c:noMultiLvlLbl val="0"/>
      </c:catAx>
      <c:valAx>
        <c:axId val="110234624"/>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110233088"/>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 Elektrische Energie</a:t>
            </a:r>
          </a:p>
        </c:rich>
      </c:tx>
      <c:overlay val="0"/>
    </c:title>
    <c:autoTitleDeleted val="0"/>
    <c:plotArea>
      <c:layout>
        <c:manualLayout>
          <c:layoutTarget val="inner"/>
          <c:xMode val="edge"/>
          <c:yMode val="edge"/>
          <c:x val="0.1167441520009202"/>
          <c:y val="9.7302602633093038E-2"/>
          <c:w val="0.85403938053560036"/>
          <c:h val="0.49301769646837312"/>
        </c:manualLayout>
      </c:layout>
      <c:barChart>
        <c:barDir val="col"/>
        <c:grouping val="stacked"/>
        <c:varyColors val="0"/>
        <c:ser>
          <c:idx val="0"/>
          <c:order val="0"/>
          <c:tx>
            <c:strRef>
              <c:f>'Fläche-E'!$EX$3</c:f>
              <c:strCache>
                <c:ptCount val="1"/>
                <c:pt idx="0">
                  <c:v>Heizung, Lüftung</c:v>
                </c:pt>
              </c:strCache>
            </c:strRef>
          </c:tx>
          <c:spPr>
            <a:solidFill>
              <a:srgbClr val="FF0000"/>
            </a:solidFill>
          </c:spPr>
          <c:invertIfNegative val="0"/>
          <c:cat>
            <c:strRef>
              <c:f>'Fläche-E'!$EZ$2:$FS$2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'Fläche-E'!$EZ$3:$FS$3</c:f>
              <c:numCache>
                <c:formatCode>General</c:formatCode>
                <c:ptCount val="11"/>
                <c:pt idx="0">
                  <c:v>7</c:v>
                </c:pt>
                <c:pt idx="1">
                  <c:v>10.5</c:v>
                </c:pt>
                <c:pt idx="2">
                  <c:v>16.5</c:v>
                </c:pt>
                <c:pt idx="3">
                  <c:v>14</c:v>
                </c:pt>
                <c:pt idx="4">
                  <c:v>16.5</c:v>
                </c:pt>
                <c:pt idx="5">
                  <c:v>22.5</c:v>
                </c:pt>
                <c:pt idx="6">
                  <c:v>13</c:v>
                </c:pt>
                <c:pt idx="7">
                  <c:v>21</c:v>
                </c:pt>
                <c:pt idx="8">
                  <c:v>6.5</c:v>
                </c:pt>
                <c:pt idx="9">
                  <c:v>9.5</c:v>
                </c:pt>
                <c:pt idx="10">
                  <c:v>12.5</c:v>
                </c:pt>
              </c:numCache>
            </c:numRef>
          </c:val>
          <c:extLst>
            <c:ext xmlns:c16="http://schemas.microsoft.com/office/drawing/2014/chart" uri="{C3380CC4-5D6E-409C-BE32-E72D297353CC}">
              <c16:uniqueId val="{00000000-23B5-4CE4-B239-5428243B9A13}"/>
            </c:ext>
          </c:extLst>
        </c:ser>
        <c:ser>
          <c:idx val="1"/>
          <c:order val="1"/>
          <c:tx>
            <c:strRef>
              <c:f>'Fläche-E'!$EX$4</c:f>
              <c:strCache>
                <c:ptCount val="1"/>
                <c:pt idx="0">
                  <c:v>Warmwassser</c:v>
                </c:pt>
              </c:strCache>
            </c:strRef>
          </c:tx>
          <c:spPr>
            <a:solidFill>
              <a:srgbClr val="FFC000"/>
            </a:solidFill>
          </c:spPr>
          <c:invertIfNegative val="0"/>
          <c:cat>
            <c:strRef>
              <c:f>'Fläche-E'!$EZ$2:$FS$2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'Fläche-E'!$EZ$4:$FS$4</c:f>
              <c:numCache>
                <c:formatCode>General</c:formatCode>
                <c:ptCount val="11"/>
                <c:pt idx="0">
                  <c:v>10.5</c:v>
                </c:pt>
                <c:pt idx="1">
                  <c:v>7</c:v>
                </c:pt>
                <c:pt idx="2">
                  <c:v>3.5</c:v>
                </c:pt>
                <c:pt idx="3">
                  <c:v>3.5</c:v>
                </c:pt>
                <c:pt idx="4">
                  <c:v>3.5</c:v>
                </c:pt>
                <c:pt idx="5">
                  <c:v>0</c:v>
                </c:pt>
                <c:pt idx="6">
                  <c:v>7</c:v>
                </c:pt>
                <c:pt idx="7">
                  <c:v>14</c:v>
                </c:pt>
                <c:pt idx="8">
                  <c:v>3.5</c:v>
                </c:pt>
                <c:pt idx="9">
                  <c:v>0.5</c:v>
                </c:pt>
                <c:pt idx="10">
                  <c:v>0</c:v>
                </c:pt>
              </c:numCache>
            </c:numRef>
          </c:val>
          <c:extLst>
            <c:ext xmlns:c16="http://schemas.microsoft.com/office/drawing/2014/chart" uri="{C3380CC4-5D6E-409C-BE32-E72D297353CC}">
              <c16:uniqueId val="{00000001-23B5-4CE4-B239-5428243B9A13}"/>
            </c:ext>
          </c:extLst>
        </c:ser>
        <c:ser>
          <c:idx val="2"/>
          <c:order val="2"/>
          <c:tx>
            <c:strRef>
              <c:f>'Fläche-L'!$EX$5</c:f>
              <c:strCache>
                <c:ptCount val="1"/>
                <c:pt idx="0">
                  <c:v>Geräte</c:v>
                </c:pt>
              </c:strCache>
            </c:strRef>
          </c:tx>
          <c:invertIfNegative val="0"/>
          <c:cat>
            <c:strRef>
              <c:f>'Fläche-L'!$EZ$2:$FS$2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'Fläche-L'!$EZ$5:$FS$5</c:f>
              <c:numCache>
                <c:formatCode>General</c:formatCode>
                <c:ptCount val="11"/>
                <c:pt idx="0">
                  <c:v>18.5</c:v>
                </c:pt>
                <c:pt idx="1">
                  <c:v>17.5</c:v>
                </c:pt>
                <c:pt idx="2">
                  <c:v>32.5</c:v>
                </c:pt>
                <c:pt idx="3">
                  <c:v>7</c:v>
                </c:pt>
                <c:pt idx="4">
                  <c:v>14.5</c:v>
                </c:pt>
                <c:pt idx="5">
                  <c:v>21.5</c:v>
                </c:pt>
                <c:pt idx="6">
                  <c:v>3.5</c:v>
                </c:pt>
                <c:pt idx="7">
                  <c:v>14.5</c:v>
                </c:pt>
                <c:pt idx="8">
                  <c:v>14.5</c:v>
                </c:pt>
                <c:pt idx="9">
                  <c:v>3.5</c:v>
                </c:pt>
                <c:pt idx="10">
                  <c:v>3.5</c:v>
                </c:pt>
              </c:numCache>
            </c:numRef>
          </c:val>
          <c:extLst>
            <c:ext xmlns:c16="http://schemas.microsoft.com/office/drawing/2014/chart" uri="{C3380CC4-5D6E-409C-BE32-E72D297353CC}">
              <c16:uniqueId val="{00000002-23B5-4CE4-B239-5428243B9A13}"/>
            </c:ext>
          </c:extLst>
        </c:ser>
        <c:ser>
          <c:idx val="3"/>
          <c:order val="3"/>
          <c:tx>
            <c:strRef>
              <c:f>'Fläche-L'!$EX$6</c:f>
              <c:strCache>
                <c:ptCount val="1"/>
                <c:pt idx="0">
                  <c:v>Beleuchtung</c:v>
                </c:pt>
              </c:strCache>
            </c:strRef>
          </c:tx>
          <c:spPr>
            <a:solidFill>
              <a:srgbClr val="FFFF00"/>
            </a:solidFill>
          </c:spPr>
          <c:invertIfNegative val="0"/>
          <c:cat>
            <c:strRef>
              <c:f>'Fläche-L'!$EZ$2:$FS$2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'Fläche-L'!$EZ$6:$FS$6</c:f>
              <c:numCache>
                <c:formatCode>General</c:formatCode>
                <c:ptCount val="11"/>
                <c:pt idx="0">
                  <c:v>0</c:v>
                </c:pt>
                <c:pt idx="1">
                  <c:v>0</c:v>
                </c:pt>
                <c:pt idx="2">
                  <c:v>9</c:v>
                </c:pt>
                <c:pt idx="3">
                  <c:v>8</c:v>
                </c:pt>
                <c:pt idx="4">
                  <c:v>40</c:v>
                </c:pt>
                <c:pt idx="5">
                  <c:v>14</c:v>
                </c:pt>
                <c:pt idx="6">
                  <c:v>10</c:v>
                </c:pt>
                <c:pt idx="7">
                  <c:v>14</c:v>
                </c:pt>
                <c:pt idx="8">
                  <c:v>14</c:v>
                </c:pt>
                <c:pt idx="9">
                  <c:v>14</c:v>
                </c:pt>
                <c:pt idx="10">
                  <c:v>9</c:v>
                </c:pt>
              </c:numCache>
            </c:numRef>
          </c:val>
          <c:extLst>
            <c:ext xmlns:c16="http://schemas.microsoft.com/office/drawing/2014/chart" uri="{C3380CC4-5D6E-409C-BE32-E72D297353CC}">
              <c16:uniqueId val="{00000003-23B5-4CE4-B239-5428243B9A13}"/>
            </c:ext>
          </c:extLst>
        </c:ser>
        <c:ser>
          <c:idx val="4"/>
          <c:order val="4"/>
          <c:tx>
            <c:strRef>
              <c:f>'Fläche-L'!$EX$7</c:f>
              <c:strCache>
                <c:ptCount val="1"/>
                <c:pt idx="0">
                  <c:v>Allgemeine GT</c:v>
                </c:pt>
              </c:strCache>
            </c:strRef>
          </c:tx>
          <c:spPr>
            <a:solidFill>
              <a:schemeClr val="bg1">
                <a:lumMod val="65000"/>
              </a:schemeClr>
            </a:solidFill>
          </c:spPr>
          <c:invertIfNegative val="0"/>
          <c:cat>
            <c:strRef>
              <c:f>'Fläche-L'!$EZ$2:$FS$2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'Fläche-L'!$EZ$7:$FS$7</c:f>
              <c:numCache>
                <c:formatCode>General</c:formatCode>
                <c:ptCount val="11"/>
                <c:pt idx="0">
                  <c:v>0</c:v>
                </c:pt>
                <c:pt idx="1">
                  <c:v>0</c:v>
                </c:pt>
                <c:pt idx="2">
                  <c:v>7</c:v>
                </c:pt>
                <c:pt idx="3">
                  <c:v>3.5</c:v>
                </c:pt>
                <c:pt idx="4">
                  <c:v>3.5</c:v>
                </c:pt>
                <c:pt idx="5">
                  <c:v>3.5</c:v>
                </c:pt>
                <c:pt idx="6">
                  <c:v>3.5</c:v>
                </c:pt>
                <c:pt idx="7">
                  <c:v>7</c:v>
                </c:pt>
                <c:pt idx="8">
                  <c:v>3.5</c:v>
                </c:pt>
                <c:pt idx="9">
                  <c:v>3.5</c:v>
                </c:pt>
                <c:pt idx="10">
                  <c:v>3.5</c:v>
                </c:pt>
              </c:numCache>
            </c:numRef>
          </c:val>
          <c:extLst>
            <c:ext xmlns:c16="http://schemas.microsoft.com/office/drawing/2014/chart" uri="{C3380CC4-5D6E-409C-BE32-E72D297353CC}">
              <c16:uniqueId val="{00000004-23B5-4CE4-B239-5428243B9A13}"/>
            </c:ext>
          </c:extLst>
        </c:ser>
        <c:dLbls>
          <c:showLegendKey val="0"/>
          <c:showVal val="0"/>
          <c:showCatName val="0"/>
          <c:showSerName val="0"/>
          <c:showPercent val="0"/>
          <c:showBubbleSize val="0"/>
        </c:dLbls>
        <c:gapWidth val="150"/>
        <c:overlap val="100"/>
        <c:axId val="110275200"/>
        <c:axId val="110281088"/>
      </c:barChart>
      <c:catAx>
        <c:axId val="110275200"/>
        <c:scaling>
          <c:orientation val="minMax"/>
        </c:scaling>
        <c:delete val="0"/>
        <c:axPos val="b"/>
        <c:numFmt formatCode="General" sourceLinked="0"/>
        <c:majorTickMark val="out"/>
        <c:minorTickMark val="none"/>
        <c:tickLblPos val="nextTo"/>
        <c:crossAx val="110281088"/>
        <c:crosses val="autoZero"/>
        <c:auto val="1"/>
        <c:lblAlgn val="ctr"/>
        <c:lblOffset val="100"/>
        <c:noMultiLvlLbl val="0"/>
      </c:catAx>
      <c:valAx>
        <c:axId val="110281088"/>
        <c:scaling>
          <c:orientation val="minMax"/>
        </c:scaling>
        <c:delete val="0"/>
        <c:axPos val="l"/>
        <c:majorGridlines/>
        <c:title>
          <c:tx>
            <c:rich>
              <a:bodyPr rot="-5400000" vert="horz"/>
              <a:lstStyle/>
              <a:p>
                <a:pPr>
                  <a:defRPr/>
                </a:pPr>
                <a:r>
                  <a:rPr lang="en-US"/>
                  <a:t>kWh/m2</a:t>
                </a:r>
              </a:p>
            </c:rich>
          </c:tx>
          <c:overlay val="0"/>
        </c:title>
        <c:numFmt formatCode="General" sourceLinked="1"/>
        <c:majorTickMark val="out"/>
        <c:minorTickMark val="none"/>
        <c:tickLblPos val="nextTo"/>
        <c:crossAx val="110275200"/>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SIA 2024 - Elektrische Energie</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'Fläche-E'!$FW$3</c:f>
              <c:strCache>
                <c:ptCount val="1"/>
                <c:pt idx="0">
                  <c:v>Heizung</c:v>
                </c:pt>
              </c:strCache>
            </c:strRef>
          </c:tx>
          <c:spPr>
            <a:solidFill>
              <a:srgbClr val="FF0000"/>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'Fläche-E'!$FY$3:$GR$3</c:f>
              <c:numCache>
                <c:formatCode>0.0</c:formatCode>
                <c:ptCount val="15"/>
                <c:pt idx="0">
                  <c:v>2.9316759727925952</c:v>
                </c:pt>
                <c:pt idx="1">
                  <c:v>3.4677420850142067</c:v>
                </c:pt>
                <c:pt idx="2" formatCode="General">
                  <c:v>4.6330725059574887</c:v>
                </c:pt>
                <c:pt idx="3" formatCode="General">
                  <c:v>2.3651921210606131</c:v>
                </c:pt>
                <c:pt idx="4">
                  <c:v>3.3842510288413927</c:v>
                </c:pt>
                <c:pt idx="5">
                  <c:v>2.8340222681519309</c:v>
                </c:pt>
                <c:pt idx="6" formatCode="General">
                  <c:v>1.3340013053685758</c:v>
                </c:pt>
                <c:pt idx="7" formatCode="General">
                  <c:v>1.3961056355262591</c:v>
                </c:pt>
                <c:pt idx="8" formatCode="General">
                  <c:v>3.5568324499345496</c:v>
                </c:pt>
                <c:pt idx="9" formatCode="General">
                  <c:v>2.4617600682191063</c:v>
                </c:pt>
                <c:pt idx="10" formatCode="General">
                  <c:v>2.5934244839999856</c:v>
                </c:pt>
                <c:pt idx="11" formatCode="General">
                  <c:v>2.5980884644114144</c:v>
                </c:pt>
                <c:pt idx="12" formatCode="General">
                  <c:v>2.7601024859473848</c:v>
                </c:pt>
                <c:pt idx="13" formatCode="General">
                  <c:v>2.3134890582969319</c:v>
                </c:pt>
                <c:pt idx="14" formatCode="General">
                  <c:v>5.593406534245787</c:v>
                </c:pt>
              </c:numCache>
            </c:numRef>
          </c:val>
          <c:extLst>
            <c:ext xmlns:c16="http://schemas.microsoft.com/office/drawing/2014/chart" uri="{C3380CC4-5D6E-409C-BE32-E72D297353CC}">
              <c16:uniqueId val="{00000000-6356-450A-9C19-FFC18E0D72D6}"/>
            </c:ext>
          </c:extLst>
        </c:ser>
        <c:ser>
          <c:idx val="1"/>
          <c:order val="1"/>
          <c:tx>
            <c:strRef>
              <c:f>'Fläche-L'!$FW$5</c:f>
              <c:strCache>
                <c:ptCount val="1"/>
                <c:pt idx="0">
                  <c:v>Lüftung</c:v>
                </c:pt>
              </c:strCache>
            </c:strRef>
          </c:tx>
          <c:spPr>
            <a:solidFill>
              <a:srgbClr val="C00000"/>
            </a:solidFill>
          </c:spPr>
          <c:invertIfNegative val="0"/>
          <c:cat>
            <c:strRef>
              <c:f>'Fläche-L'!$FY$2:$GT$2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'Fläche-L'!$FY$5:$GT$5</c:f>
              <c:numCache>
                <c:formatCode>0.0</c:formatCode>
                <c:ptCount val="17"/>
                <c:pt idx="0">
                  <c:v>0.32112000000000007</c:v>
                </c:pt>
                <c:pt idx="1">
                  <c:v>0.98190476190476206</c:v>
                </c:pt>
                <c:pt idx="2">
                  <c:v>0.18241599999999999</c:v>
                </c:pt>
                <c:pt idx="3">
                  <c:v>1.037044761904762</c:v>
                </c:pt>
                <c:pt idx="4">
                  <c:v>1.2448754285714285</c:v>
                </c:pt>
                <c:pt idx="5">
                  <c:v>1.6660161904761908</c:v>
                </c:pt>
                <c:pt idx="6">
                  <c:v>1.1059314285714288</c:v>
                </c:pt>
                <c:pt idx="7">
                  <c:v>1.1081714285714286</c:v>
                </c:pt>
                <c:pt idx="8">
                  <c:v>3.7698647619047621</c:v>
                </c:pt>
                <c:pt idx="9">
                  <c:v>2.7423714285714285</c:v>
                </c:pt>
                <c:pt idx="10">
                  <c:v>1.0835714285714284</c:v>
                </c:pt>
                <c:pt idx="11">
                  <c:v>0.94497142857142868</c:v>
                </c:pt>
                <c:pt idx="12">
                  <c:v>0.68468253968253978</c:v>
                </c:pt>
                <c:pt idx="13">
                  <c:v>0.33663809523809529</c:v>
                </c:pt>
                <c:pt idx="14">
                  <c:v>0.98320000000000007</c:v>
                </c:pt>
                <c:pt idx="15">
                  <c:v>1.6235714285714289</c:v>
                </c:pt>
                <c:pt idx="16">
                  <c:v>1.66E-2</c:v>
                </c:pt>
              </c:numCache>
            </c:numRef>
          </c:val>
          <c:extLst>
            <c:ext xmlns:c16="http://schemas.microsoft.com/office/drawing/2014/chart" uri="{C3380CC4-5D6E-409C-BE32-E72D297353CC}">
              <c16:uniqueId val="{00000001-6356-450A-9C19-FFC18E0D72D6}"/>
            </c:ext>
          </c:extLst>
        </c:ser>
        <c:ser>
          <c:idx val="2"/>
          <c:order val="2"/>
          <c:tx>
            <c:strRef>
              <c:f>'Fläche-E'!$FW$4</c:f>
              <c:strCache>
                <c:ptCount val="1"/>
                <c:pt idx="0">
                  <c:v>Warmwassser</c:v>
                </c:pt>
              </c:strCache>
            </c:strRef>
          </c:tx>
          <c:spPr>
            <a:solidFill>
              <a:srgbClr val="FFC000"/>
            </a:solidFill>
          </c:spPr>
          <c:invertIfNegative val="0"/>
          <c:cat>
            <c:strRef>
              <c:f>'Fläche-E'!$FY$2:$GT$2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6356-450A-9C19-FFC18E0D72D6}"/>
            </c:ext>
          </c:extLst>
        </c:ser>
        <c:ser>
          <c:idx val="3"/>
          <c:order val="3"/>
          <c:tx>
            <c:strRef>
              <c:f>'Fläche-L'!$FW$7</c:f>
              <c:strCache>
                <c:ptCount val="1"/>
                <c:pt idx="0">
                  <c:v>Geräte</c:v>
                </c:pt>
              </c:strCache>
            </c:strRef>
          </c:tx>
          <c:spPr>
            <a:solidFill>
              <a:schemeClr val="accent3"/>
            </a:solidFill>
          </c:spPr>
          <c:invertIfNegative val="0"/>
          <c:cat>
            <c:strRef>
              <c:f>'Fläche-L'!$FY$2:$GT$2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'Fläche-L'!$FY$7:$GT$7</c:f>
              <c:numCache>
                <c:formatCode>0.0</c:formatCode>
                <c:ptCount val="17"/>
                <c:pt idx="0">
                  <c:v>6.8000000000000007</c:v>
                </c:pt>
                <c:pt idx="1">
                  <c:v>6.32</c:v>
                </c:pt>
                <c:pt idx="2">
                  <c:v>7.2</c:v>
                </c:pt>
                <c:pt idx="3">
                  <c:v>6.4400000000000013</c:v>
                </c:pt>
                <c:pt idx="4">
                  <c:v>3.6720000000000002</c:v>
                </c:pt>
                <c:pt idx="5">
                  <c:v>5.08</c:v>
                </c:pt>
                <c:pt idx="6">
                  <c:v>1.4000000000000001</c:v>
                </c:pt>
                <c:pt idx="7">
                  <c:v>1.4000000000000001</c:v>
                </c:pt>
                <c:pt idx="8">
                  <c:v>2.04</c:v>
                </c:pt>
                <c:pt idx="9">
                  <c:v>2.52</c:v>
                </c:pt>
                <c:pt idx="10">
                  <c:v>4.32</c:v>
                </c:pt>
                <c:pt idx="11">
                  <c:v>3.84</c:v>
                </c:pt>
                <c:pt idx="12">
                  <c:v>2.84</c:v>
                </c:pt>
                <c:pt idx="13">
                  <c:v>1.56</c:v>
                </c:pt>
                <c:pt idx="14">
                  <c:v>0.48</c:v>
                </c:pt>
                <c:pt idx="15">
                  <c:v>1.8800000000000001</c:v>
                </c:pt>
                <c:pt idx="16">
                  <c:v>0.72000000000000008</c:v>
                </c:pt>
              </c:numCache>
            </c:numRef>
          </c:val>
          <c:extLst>
            <c:ext xmlns:c16="http://schemas.microsoft.com/office/drawing/2014/chart" uri="{C3380CC4-5D6E-409C-BE32-E72D297353CC}">
              <c16:uniqueId val="{00000003-6356-450A-9C19-FFC18E0D72D6}"/>
            </c:ext>
          </c:extLst>
        </c:ser>
        <c:ser>
          <c:idx val="4"/>
          <c:order val="4"/>
          <c:tx>
            <c:strRef>
              <c:f>'Fläche-L'!$FW$9</c:f>
              <c:strCache>
                <c:ptCount val="1"/>
                <c:pt idx="0">
                  <c:v>Beleuchtung</c:v>
                </c:pt>
              </c:strCache>
            </c:strRef>
          </c:tx>
          <c:spPr>
            <a:solidFill>
              <a:srgbClr val="FFFF00"/>
            </a:solidFill>
          </c:spPr>
          <c:invertIfNegative val="0"/>
          <c:cat>
            <c:strRef>
              <c:f>'Fläche-L'!$FY$2:$GT$2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'Fläche-L'!$FY$9:$GT$9</c:f>
              <c:numCache>
                <c:formatCode>0.0</c:formatCode>
                <c:ptCount val="17"/>
                <c:pt idx="0">
                  <c:v>2.338833333333334</c:v>
                </c:pt>
                <c:pt idx="1">
                  <c:v>4.434222222222223</c:v>
                </c:pt>
                <c:pt idx="2">
                  <c:v>2.3318888888888898</c:v>
                </c:pt>
                <c:pt idx="3">
                  <c:v>5.5077111111111119</c:v>
                </c:pt>
                <c:pt idx="4">
                  <c:v>5.0171746031746025</c:v>
                </c:pt>
                <c:pt idx="5">
                  <c:v>4.8013746031746036</c:v>
                </c:pt>
                <c:pt idx="6">
                  <c:v>6.7783333333333324</c:v>
                </c:pt>
                <c:pt idx="7">
                  <c:v>6.7804518518518506</c:v>
                </c:pt>
                <c:pt idx="8">
                  <c:v>3.7931111111111115</c:v>
                </c:pt>
                <c:pt idx="9">
                  <c:v>4.7882222222222222</c:v>
                </c:pt>
                <c:pt idx="10">
                  <c:v>5.267555555555556</c:v>
                </c:pt>
                <c:pt idx="11">
                  <c:v>4.5146666666666668</c:v>
                </c:pt>
                <c:pt idx="12">
                  <c:v>4.186866666666667</c:v>
                </c:pt>
                <c:pt idx="13">
                  <c:v>3.1382170940170955</c:v>
                </c:pt>
                <c:pt idx="14">
                  <c:v>5.4637037037037031</c:v>
                </c:pt>
                <c:pt idx="15">
                  <c:v>4.1665925925925933</c:v>
                </c:pt>
                <c:pt idx="16">
                  <c:v>0.74114529914529925</c:v>
                </c:pt>
              </c:numCache>
            </c:numRef>
          </c:val>
          <c:extLst>
            <c:ext xmlns:c16="http://schemas.microsoft.com/office/drawing/2014/chart" uri="{C3380CC4-5D6E-409C-BE32-E72D297353CC}">
              <c16:uniqueId val="{00000004-6356-450A-9C19-FFC18E0D72D6}"/>
            </c:ext>
          </c:extLst>
        </c:ser>
        <c:ser>
          <c:idx val="5"/>
          <c:order val="5"/>
          <c:tx>
            <c:strRef>
              <c:f>'Fläche-L'!$FW$10</c:f>
              <c:strCache>
                <c:ptCount val="1"/>
                <c:pt idx="0">
                  <c:v>Allgemeine GT</c:v>
                </c:pt>
              </c:strCache>
            </c:strRef>
          </c:tx>
          <c:spPr>
            <a:solidFill>
              <a:schemeClr val="bg1">
                <a:lumMod val="65000"/>
              </a:schemeClr>
            </a:solidFill>
          </c:spPr>
          <c:invertIfNegative val="0"/>
          <c:cat>
            <c:strRef>
              <c:f>'Fläche-L'!$FY$2:$GT$2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'Fläche-L'!$FY$10:$GT$10</c:f>
              <c:numCache>
                <c:formatCode>0.0</c:formatCode>
                <c:ptCount val="17"/>
                <c:pt idx="0">
                  <c:v>3</c:v>
                </c:pt>
                <c:pt idx="1">
                  <c:v>8.1999999999999993</c:v>
                </c:pt>
                <c:pt idx="2">
                  <c:v>1.4</c:v>
                </c:pt>
                <c:pt idx="3">
                  <c:v>3.6</c:v>
                </c:pt>
                <c:pt idx="4">
                  <c:v>3.3</c:v>
                </c:pt>
                <c:pt idx="5">
                  <c:v>8</c:v>
                </c:pt>
                <c:pt idx="6">
                  <c:v>8.4</c:v>
                </c:pt>
                <c:pt idx="7">
                  <c:v>8.4</c:v>
                </c:pt>
                <c:pt idx="8">
                  <c:v>9.5</c:v>
                </c:pt>
                <c:pt idx="9">
                  <c:v>4.0999999999999996</c:v>
                </c:pt>
                <c:pt idx="10">
                  <c:v>9.3000000000000007</c:v>
                </c:pt>
                <c:pt idx="11">
                  <c:v>9.3000000000000007</c:v>
                </c:pt>
                <c:pt idx="12">
                  <c:v>7.7</c:v>
                </c:pt>
                <c:pt idx="13">
                  <c:v>1.7</c:v>
                </c:pt>
                <c:pt idx="14">
                  <c:v>3.4</c:v>
                </c:pt>
                <c:pt idx="15">
                  <c:v>7.1</c:v>
                </c:pt>
                <c:pt idx="16">
                  <c:v>4.2</c:v>
                </c:pt>
              </c:numCache>
            </c:numRef>
          </c:val>
          <c:extLst>
            <c:ext xmlns:c16="http://schemas.microsoft.com/office/drawing/2014/chart" uri="{C3380CC4-5D6E-409C-BE32-E72D297353CC}">
              <c16:uniqueId val="{00000005-6356-450A-9C19-FFC18E0D72D6}"/>
            </c:ext>
          </c:extLst>
        </c:ser>
        <c:dLbls>
          <c:showLegendKey val="0"/>
          <c:showVal val="0"/>
          <c:showCatName val="0"/>
          <c:showSerName val="0"/>
          <c:showPercent val="0"/>
          <c:showBubbleSize val="0"/>
        </c:dLbls>
        <c:gapWidth val="150"/>
        <c:overlap val="100"/>
        <c:axId val="110338816"/>
        <c:axId val="110340352"/>
      </c:barChart>
      <c:catAx>
        <c:axId val="110338816"/>
        <c:scaling>
          <c:orientation val="minMax"/>
        </c:scaling>
        <c:delete val="0"/>
        <c:axPos val="b"/>
        <c:numFmt formatCode="General" sourceLinked="0"/>
        <c:majorTickMark val="out"/>
        <c:minorTickMark val="none"/>
        <c:tickLblPos val="nextTo"/>
        <c:crossAx val="110340352"/>
        <c:crosses val="autoZero"/>
        <c:auto val="1"/>
        <c:lblAlgn val="ctr"/>
        <c:lblOffset val="100"/>
        <c:noMultiLvlLbl val="0"/>
      </c:catAx>
      <c:valAx>
        <c:axId val="110340352"/>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10338816"/>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'Fläche-L'!$BC$118</c:f>
              <c:strCache>
                <c:ptCount val="1"/>
                <c:pt idx="0">
                  <c:v>SIA 380/1</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'Fläche-L'!$BE$118:$BY$118</c:f>
              <c:numCache>
                <c:formatCode>General</c:formatCode>
                <c:ptCount val="12"/>
                <c:pt idx="0">
                  <c:v>56</c:v>
                </c:pt>
                <c:pt idx="1">
                  <c:v>84</c:v>
                </c:pt>
                <c:pt idx="2">
                  <c:v>56</c:v>
                </c:pt>
                <c:pt idx="3">
                  <c:v>42</c:v>
                </c:pt>
                <c:pt idx="4">
                  <c:v>42</c:v>
                </c:pt>
                <c:pt idx="5">
                  <c:v>48</c:v>
                </c:pt>
                <c:pt idx="6">
                  <c:v>40</c:v>
                </c:pt>
                <c:pt idx="7">
                  <c:v>45</c:v>
                </c:pt>
                <c:pt idx="8">
                  <c:v>84</c:v>
                </c:pt>
                <c:pt idx="9">
                  <c:v>120</c:v>
                </c:pt>
                <c:pt idx="10">
                  <c:v>56</c:v>
                </c:pt>
                <c:pt idx="11">
                  <c:v>84</c:v>
                </c:pt>
              </c:numCache>
            </c:numRef>
          </c:val>
          <c:extLst>
            <c:ext xmlns:c16="http://schemas.microsoft.com/office/drawing/2014/chart" uri="{C3380CC4-5D6E-409C-BE32-E72D297353CC}">
              <c16:uniqueId val="{00000000-C894-4645-ABF5-2EE5E7319DA4}"/>
            </c:ext>
          </c:extLst>
        </c:ser>
        <c:ser>
          <c:idx val="1"/>
          <c:order val="1"/>
          <c:tx>
            <c:strRef>
              <c:f>'Fläche-L'!$BC$119</c:f>
              <c:strCache>
                <c:ptCount val="1"/>
                <c:pt idx="0">
                  <c:v>SIA 2024:2018 (Auslegung)</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'Fläche-L'!$BE$119:$BY$119</c:f>
              <c:numCache>
                <c:formatCode>General</c:formatCode>
                <c:ptCount val="12"/>
                <c:pt idx="0">
                  <c:v>55.384615384615387</c:v>
                </c:pt>
                <c:pt idx="1">
                  <c:v>51.692307692307693</c:v>
                </c:pt>
                <c:pt idx="2">
                  <c:v>51.428571428571431</c:v>
                </c:pt>
                <c:pt idx="3">
                  <c:v>38.4</c:v>
                </c:pt>
                <c:pt idx="4">
                  <c:v>46.285714285714285</c:v>
                </c:pt>
                <c:pt idx="5">
                  <c:v>42</c:v>
                </c:pt>
                <c:pt idx="6">
                  <c:v>24</c:v>
                </c:pt>
                <c:pt idx="7">
                  <c:v>37.714285714285715</c:v>
                </c:pt>
                <c:pt idx="8">
                  <c:v>86.4</c:v>
                </c:pt>
                <c:pt idx="9">
                  <c:v>108</c:v>
                </c:pt>
                <c:pt idx="10">
                  <c:v>288</c:v>
                </c:pt>
                <c:pt idx="11">
                  <c:v>84</c:v>
                </c:pt>
              </c:numCache>
            </c:numRef>
          </c:val>
          <c:extLst>
            <c:ext xmlns:c16="http://schemas.microsoft.com/office/drawing/2014/chart" uri="{C3380CC4-5D6E-409C-BE32-E72D297353CC}">
              <c16:uniqueId val="{00000001-C894-4645-ABF5-2EE5E7319DA4}"/>
            </c:ext>
          </c:extLst>
        </c:ser>
        <c:ser>
          <c:idx val="2"/>
          <c:order val="2"/>
          <c:tx>
            <c:strRef>
              <c:f>'Fläche-L'!$BC$120</c:f>
              <c:strCache>
                <c:ptCount val="1"/>
                <c:pt idx="0">
                  <c:v>SIA 2024:2018 (Hygiene)</c:v>
                </c:pt>
              </c:strCache>
            </c:strRef>
          </c:tx>
          <c:invertIfNegative val="0"/>
          <c:val>
            <c:numRef>
              <c:f>'Fläche-L'!$BE$120:$BY$120</c:f>
              <c:numCache>
                <c:formatCode>General</c:formatCode>
                <c:ptCount val="12"/>
                <c:pt idx="0">
                  <c:v>36</c:v>
                </c:pt>
                <c:pt idx="1">
                  <c:v>36</c:v>
                </c:pt>
                <c:pt idx="2">
                  <c:v>36</c:v>
                </c:pt>
                <c:pt idx="3">
                  <c:v>30</c:v>
                </c:pt>
                <c:pt idx="4">
                  <c:v>36</c:v>
                </c:pt>
                <c:pt idx="5">
                  <c:v>36</c:v>
                </c:pt>
                <c:pt idx="6">
                  <c:v>36</c:v>
                </c:pt>
                <c:pt idx="7">
                  <c:v>36</c:v>
                </c:pt>
                <c:pt idx="8">
                  <c:v>36</c:v>
                </c:pt>
                <c:pt idx="9">
                  <c:v>36</c:v>
                </c:pt>
                <c:pt idx="10">
                  <c:v>90</c:v>
                </c:pt>
                <c:pt idx="11">
                  <c:v>36</c:v>
                </c:pt>
              </c:numCache>
            </c:numRef>
          </c:val>
          <c:extLst>
            <c:ext xmlns:c16="http://schemas.microsoft.com/office/drawing/2014/chart" uri="{C3380CC4-5D6E-409C-BE32-E72D297353CC}">
              <c16:uniqueId val="{00000002-C894-4645-ABF5-2EE5E7319DA4}"/>
            </c:ext>
          </c:extLst>
        </c:ser>
        <c:dLbls>
          <c:showLegendKey val="0"/>
          <c:showVal val="0"/>
          <c:showCatName val="0"/>
          <c:showSerName val="0"/>
          <c:showPercent val="0"/>
          <c:showBubbleSize val="0"/>
        </c:dLbls>
        <c:gapWidth val="150"/>
        <c:axId val="116408704"/>
        <c:axId val="116410240"/>
      </c:barChart>
      <c:catAx>
        <c:axId val="116408704"/>
        <c:scaling>
          <c:orientation val="minMax"/>
        </c:scaling>
        <c:delete val="0"/>
        <c:axPos val="b"/>
        <c:numFmt formatCode="General" sourceLinked="0"/>
        <c:majorTickMark val="out"/>
        <c:minorTickMark val="none"/>
        <c:tickLblPos val="nextTo"/>
        <c:crossAx val="116410240"/>
        <c:crosses val="autoZero"/>
        <c:auto val="1"/>
        <c:lblAlgn val="ctr"/>
        <c:lblOffset val="100"/>
        <c:noMultiLvlLbl val="0"/>
      </c:catAx>
      <c:valAx>
        <c:axId val="116410240"/>
        <c:scaling>
          <c:orientation val="minMax"/>
        </c:scaling>
        <c:delete val="0"/>
        <c:axPos val="l"/>
        <c:majorGridlines/>
        <c:title>
          <c:tx>
            <c:rich>
              <a:bodyPr rot="-5400000" vert="horz"/>
              <a:lstStyle/>
              <a:p>
                <a:pPr>
                  <a:defRPr b="0"/>
                </a:pPr>
                <a:r>
                  <a:rPr lang="en-US" b="0"/>
                  <a:t>m3/(Ph)</a:t>
                </a:r>
              </a:p>
            </c:rich>
          </c:tx>
          <c:overlay val="0"/>
        </c:title>
        <c:numFmt formatCode="General" sourceLinked="1"/>
        <c:majorTickMark val="out"/>
        <c:minorTickMark val="none"/>
        <c:tickLblPos val="nextTo"/>
        <c:crossAx val="11640870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r>
              <a:rPr lang="de-CH" sz="900" b="0" baseline="0"/>
              <a:t> Total</a:t>
            </a:r>
            <a:endParaRPr lang="de-CH" sz="900" b="0"/>
          </a:p>
        </c:rich>
      </c:tx>
      <c:overlay val="0"/>
    </c:title>
    <c:autoTitleDeleted val="0"/>
    <c:plotArea>
      <c:layout/>
      <c:barChart>
        <c:barDir val="col"/>
        <c:grouping val="clustered"/>
        <c:varyColors val="0"/>
        <c:ser>
          <c:idx val="2"/>
          <c:order val="0"/>
          <c:tx>
            <c:strRef>
              <c:f>'Fläche-L'!$EX$26</c:f>
              <c:strCache>
                <c:ptCount val="1"/>
                <c:pt idx="0">
                  <c:v>Minergie Total</c:v>
                </c:pt>
              </c:strCache>
            </c:strRef>
          </c:tx>
          <c:invertIfNegative val="0"/>
          <c:val>
            <c:numRef>
              <c:f>'Fläche-L'!$EZ$26:$FS$26</c:f>
              <c:numCache>
                <c:formatCode>General</c:formatCode>
                <c:ptCount val="11"/>
                <c:pt idx="0">
                  <c:v>36</c:v>
                </c:pt>
                <c:pt idx="1">
                  <c:v>35</c:v>
                </c:pt>
                <c:pt idx="2">
                  <c:v>68.5</c:v>
                </c:pt>
                <c:pt idx="3">
                  <c:v>36</c:v>
                </c:pt>
                <c:pt idx="4">
                  <c:v>78</c:v>
                </c:pt>
                <c:pt idx="5">
                  <c:v>61.5</c:v>
                </c:pt>
                <c:pt idx="6">
                  <c:v>37</c:v>
                </c:pt>
                <c:pt idx="7">
                  <c:v>70.5</c:v>
                </c:pt>
                <c:pt idx="8">
                  <c:v>42</c:v>
                </c:pt>
                <c:pt idx="9">
                  <c:v>31</c:v>
                </c:pt>
                <c:pt idx="10">
                  <c:v>28.5</c:v>
                </c:pt>
              </c:numCache>
            </c:numRef>
          </c:val>
          <c:extLst>
            <c:ext xmlns:c16="http://schemas.microsoft.com/office/drawing/2014/chart" uri="{C3380CC4-5D6E-409C-BE32-E72D297353CC}">
              <c16:uniqueId val="{00000000-4DCF-484C-9FB1-DA82AE6EAA88}"/>
            </c:ext>
          </c:extLst>
        </c:ser>
        <c:ser>
          <c:idx val="0"/>
          <c:order val="1"/>
          <c:tx>
            <c:strRef>
              <c:f>'Fläche-L'!$EX$27</c:f>
              <c:strCache>
                <c:ptCount val="1"/>
                <c:pt idx="0">
                  <c:v>Minergie Grenzwert</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'Fläche-L'!$EZ$27:$FT$27</c:f>
              <c:numCache>
                <c:formatCode>General</c:formatCode>
                <c:ptCount val="11"/>
                <c:pt idx="0">
                  <c:v>27.5</c:v>
                </c:pt>
                <c:pt idx="1">
                  <c:v>27.5</c:v>
                </c:pt>
                <c:pt idx="2">
                  <c:v>55</c:v>
                </c:pt>
                <c:pt idx="3">
                  <c:v>22.5</c:v>
                </c:pt>
                <c:pt idx="4">
                  <c:v>60</c:v>
                </c:pt>
                <c:pt idx="5">
                  <c:v>50</c:v>
                </c:pt>
                <c:pt idx="6">
                  <c:v>27.5</c:v>
                </c:pt>
                <c:pt idx="7">
                  <c:v>55</c:v>
                </c:pt>
                <c:pt idx="8">
                  <c:v>40</c:v>
                </c:pt>
                <c:pt idx="9">
                  <c:v>27.5</c:v>
                </c:pt>
                <c:pt idx="10">
                  <c:v>27.5</c:v>
                </c:pt>
              </c:numCache>
            </c:numRef>
          </c:val>
          <c:extLst>
            <c:ext xmlns:c16="http://schemas.microsoft.com/office/drawing/2014/chart" uri="{C3380CC4-5D6E-409C-BE32-E72D297353CC}">
              <c16:uniqueId val="{00000001-4DCF-484C-9FB1-DA82AE6EAA88}"/>
            </c:ext>
          </c:extLst>
        </c:ser>
        <c:ser>
          <c:idx val="1"/>
          <c:order val="2"/>
          <c:tx>
            <c:strRef>
              <c:f>'Fläche-L'!$EX$28</c:f>
              <c:strCache>
                <c:ptCount val="1"/>
                <c:pt idx="0">
                  <c:v>SIA 2024:2018</c:v>
                </c:pt>
              </c:strCache>
            </c:strRef>
          </c:tx>
          <c:invertIfNegative val="0"/>
          <c:cat>
            <c:multiLvlStrRef>
              <c:f>'Fläche-L'!$BE$1:$BY$2</c:f>
              <c:multiLvlStrCache>
                <c:ptCount val="12"/>
                <c:lvl>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'Fläche-L'!$EZ$28:$FT$28</c:f>
              <c:numCache>
                <c:formatCode>General</c:formatCode>
                <c:ptCount val="11"/>
                <c:pt idx="0">
                  <c:v>24.132035725643217</c:v>
                </c:pt>
                <c:pt idx="1">
                  <c:v>22.884722408895914</c:v>
                </c:pt>
                <c:pt idx="2">
                  <c:v>29.253077473073894</c:v>
                </c:pt>
                <c:pt idx="3">
                  <c:v>26.01596306339566</c:v>
                </c:pt>
                <c:pt idx="4">
                  <c:v>25.410490646485798</c:v>
                </c:pt>
                <c:pt idx="5">
                  <c:v>62.887913388480989</c:v>
                </c:pt>
                <c:pt idx="6">
                  <c:v>27.67242892604645</c:v>
                </c:pt>
                <c:pt idx="7">
                  <c:v>38.892301699767202</c:v>
                </c:pt>
                <c:pt idx="8">
                  <c:v>31.330882816341862</c:v>
                </c:pt>
                <c:pt idx="9">
                  <c:v>11.181296592059059</c:v>
                </c:pt>
                <c:pt idx="10">
                  <c:v>24.100110062228321</c:v>
                </c:pt>
              </c:numCache>
            </c:numRef>
          </c:val>
          <c:extLst>
            <c:ext xmlns:c16="http://schemas.microsoft.com/office/drawing/2014/chart" uri="{C3380CC4-5D6E-409C-BE32-E72D297353CC}">
              <c16:uniqueId val="{00000002-4DCF-484C-9FB1-DA82AE6EAA88}"/>
            </c:ext>
          </c:extLst>
        </c:ser>
        <c:dLbls>
          <c:showLegendKey val="0"/>
          <c:showVal val="0"/>
          <c:showCatName val="0"/>
          <c:showSerName val="0"/>
          <c:showPercent val="0"/>
          <c:showBubbleSize val="0"/>
        </c:dLbls>
        <c:gapWidth val="150"/>
        <c:axId val="116445184"/>
        <c:axId val="116446720"/>
      </c:barChart>
      <c:catAx>
        <c:axId val="116445184"/>
        <c:scaling>
          <c:orientation val="minMax"/>
        </c:scaling>
        <c:delete val="0"/>
        <c:axPos val="b"/>
        <c:majorTickMark val="out"/>
        <c:minorTickMark val="none"/>
        <c:tickLblPos val="nextTo"/>
        <c:crossAx val="116446720"/>
        <c:crosses val="autoZero"/>
        <c:auto val="1"/>
        <c:lblAlgn val="ctr"/>
        <c:lblOffset val="100"/>
        <c:noMultiLvlLbl val="0"/>
      </c:catAx>
      <c:valAx>
        <c:axId val="116446720"/>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1644518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Energiekennzahl für Elektrizität</a:t>
            </a:r>
          </a:p>
        </c:rich>
      </c:tx>
      <c:overlay val="0"/>
    </c:title>
    <c:autoTitleDeleted val="0"/>
    <c:plotArea>
      <c:layout/>
      <c:barChart>
        <c:barDir val="col"/>
        <c:grouping val="clustered"/>
        <c:varyColors val="0"/>
        <c:ser>
          <c:idx val="2"/>
          <c:order val="0"/>
          <c:tx>
            <c:strRef>
              <c:f>'Fläche-L'!$GV$1</c:f>
              <c:strCache>
                <c:ptCount val="1"/>
                <c:pt idx="0">
                  <c:v>Minergie Strommodell Zweckbauten</c:v>
                </c:pt>
              </c:strCache>
            </c:strRef>
          </c:tx>
          <c:invertIfNegative val="0"/>
          <c:cat>
            <c:multiLvlStrRef>
              <c:f>'Fläche-L'!$GY$1:$HS$2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'Fläche-L'!$GX$12:$HS$12</c:f>
              <c:numCache>
                <c:formatCode>0</c:formatCode>
                <c:ptCount val="17"/>
                <c:pt idx="0">
                  <c:v>22.799999999999997</c:v>
                </c:pt>
                <c:pt idx="1">
                  <c:v>31.400000000000006</c:v>
                </c:pt>
                <c:pt idx="2">
                  <c:v>18.8</c:v>
                </c:pt>
                <c:pt idx="3">
                  <c:v>33.700000000000003</c:v>
                </c:pt>
                <c:pt idx="4">
                  <c:v>19.099999999999998</c:v>
                </c:pt>
                <c:pt idx="5">
                  <c:v>40.099999999999994</c:v>
                </c:pt>
                <c:pt idx="6">
                  <c:v>51.5</c:v>
                </c:pt>
                <c:pt idx="7">
                  <c:v>63</c:v>
                </c:pt>
                <c:pt idx="8">
                  <c:v>44.9</c:v>
                </c:pt>
                <c:pt idx="9">
                  <c:v>31.700000000000003</c:v>
                </c:pt>
                <c:pt idx="10">
                  <c:v>40.5</c:v>
                </c:pt>
                <c:pt idx="11">
                  <c:v>38.799999999999997</c:v>
                </c:pt>
                <c:pt idx="12">
                  <c:v>28</c:v>
                </c:pt>
                <c:pt idx="13">
                  <c:v>24.8</c:v>
                </c:pt>
                <c:pt idx="14">
                  <c:v>22.099999999999998</c:v>
                </c:pt>
                <c:pt idx="15">
                  <c:v>28.900000000000091</c:v>
                </c:pt>
                <c:pt idx="16">
                  <c:v>8.6999999999999993</c:v>
                </c:pt>
              </c:numCache>
            </c:numRef>
          </c:val>
          <c:extLst>
            <c:ext xmlns:c16="http://schemas.microsoft.com/office/drawing/2014/chart" uri="{C3380CC4-5D6E-409C-BE32-E72D297353CC}">
              <c16:uniqueId val="{00000000-E5D0-4813-9AE2-11E4E487C32A}"/>
            </c:ext>
          </c:extLst>
        </c:ser>
        <c:ser>
          <c:idx val="1"/>
          <c:order val="1"/>
          <c:tx>
            <c:strRef>
              <c:f>'Fläche-L'!$FW$1</c:f>
              <c:strCache>
                <c:ptCount val="1"/>
                <c:pt idx="0">
                  <c:v>SIA 2024:2018</c:v>
                </c:pt>
              </c:strCache>
            </c:strRef>
          </c:tx>
          <c:invertIfNegative val="0"/>
          <c:cat>
            <c:multiLvlStrRef>
              <c:f>'Fläche-L'!$GY$1:$HS$2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'Fläche-L'!$FZ$12:$GT$12</c:f>
              <c:numCache>
                <c:formatCode>0</c:formatCode>
                <c:ptCount val="17"/>
                <c:pt idx="0">
                  <c:v>17.118697116190479</c:v>
                </c:pt>
                <c:pt idx="1">
                  <c:v>25.755990690469968</c:v>
                </c:pt>
                <c:pt idx="2">
                  <c:v>15.93244159853595</c:v>
                </c:pt>
                <c:pt idx="3">
                  <c:v>24.102595846025526</c:v>
                </c:pt>
                <c:pt idx="4">
                  <c:v>21.759684407215687</c:v>
                </c:pt>
                <c:pt idx="5">
                  <c:v>28.257345172387179</c:v>
                </c:pt>
                <c:pt idx="6">
                  <c:v>22.521730218487399</c:v>
                </c:pt>
                <c:pt idx="7">
                  <c:v>22.526088737005914</c:v>
                </c:pt>
                <c:pt idx="8">
                  <c:v>28.038143959663866</c:v>
                </c:pt>
                <c:pt idx="9">
                  <c:v>22.808684153127921</c:v>
                </c:pt>
                <c:pt idx="10">
                  <c:v>27.916694785633368</c:v>
                </c:pt>
                <c:pt idx="11">
                  <c:v>25.658658114260813</c:v>
                </c:pt>
                <c:pt idx="12">
                  <c:v>21.837235110862125</c:v>
                </c:pt>
                <c:pt idx="13">
                  <c:v>7.3169414458378244</c:v>
                </c:pt>
                <c:pt idx="14">
                  <c:v>10.326903703703703</c:v>
                </c:pt>
                <c:pt idx="15">
                  <c:v>15.352250277746656</c:v>
                </c:pt>
                <c:pt idx="16">
                  <c:v>5.6777452991452995</c:v>
                </c:pt>
              </c:numCache>
            </c:numRef>
          </c:val>
          <c:extLst>
            <c:ext xmlns:c16="http://schemas.microsoft.com/office/drawing/2014/chart" uri="{C3380CC4-5D6E-409C-BE32-E72D297353CC}">
              <c16:uniqueId val="{00000001-E5D0-4813-9AE2-11E4E487C32A}"/>
            </c:ext>
          </c:extLst>
        </c:ser>
        <c:dLbls>
          <c:showLegendKey val="0"/>
          <c:showVal val="0"/>
          <c:showCatName val="0"/>
          <c:showSerName val="0"/>
          <c:showPercent val="0"/>
          <c:showBubbleSize val="0"/>
        </c:dLbls>
        <c:gapWidth val="150"/>
        <c:axId val="116214400"/>
        <c:axId val="116224384"/>
      </c:barChart>
      <c:catAx>
        <c:axId val="116214400"/>
        <c:scaling>
          <c:orientation val="minMax"/>
        </c:scaling>
        <c:delete val="0"/>
        <c:axPos val="b"/>
        <c:numFmt formatCode="General" sourceLinked="0"/>
        <c:majorTickMark val="out"/>
        <c:minorTickMark val="none"/>
        <c:tickLblPos val="nextTo"/>
        <c:crossAx val="116224384"/>
        <c:crosses val="autoZero"/>
        <c:auto val="1"/>
        <c:lblAlgn val="ctr"/>
        <c:lblOffset val="100"/>
        <c:noMultiLvlLbl val="0"/>
      </c:catAx>
      <c:valAx>
        <c:axId val="116224384"/>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1621440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Strommodell Zweckbauten</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'Fläche-E'!$FW$3</c:f>
              <c:strCache>
                <c:ptCount val="1"/>
                <c:pt idx="0">
                  <c:v>Heizung</c:v>
                </c:pt>
              </c:strCache>
            </c:strRef>
          </c:tx>
          <c:spPr>
            <a:solidFill>
              <a:srgbClr val="FF0000"/>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'Fläche-E'!$FY$3:$GR$3</c:f>
              <c:numCache>
                <c:formatCode>0.0</c:formatCode>
                <c:ptCount val="15"/>
                <c:pt idx="0">
                  <c:v>2.9316759727925952</c:v>
                </c:pt>
                <c:pt idx="1">
                  <c:v>3.4677420850142067</c:v>
                </c:pt>
                <c:pt idx="2" formatCode="General">
                  <c:v>4.6330725059574887</c:v>
                </c:pt>
                <c:pt idx="3" formatCode="General">
                  <c:v>2.3651921210606131</c:v>
                </c:pt>
                <c:pt idx="4">
                  <c:v>3.3842510288413927</c:v>
                </c:pt>
                <c:pt idx="5">
                  <c:v>2.8340222681519309</c:v>
                </c:pt>
                <c:pt idx="6" formatCode="General">
                  <c:v>1.3340013053685758</c:v>
                </c:pt>
                <c:pt idx="7" formatCode="General">
                  <c:v>1.3961056355262591</c:v>
                </c:pt>
                <c:pt idx="8" formatCode="General">
                  <c:v>3.5568324499345496</c:v>
                </c:pt>
                <c:pt idx="9" formatCode="General">
                  <c:v>2.4617600682191063</c:v>
                </c:pt>
                <c:pt idx="10" formatCode="General">
                  <c:v>2.5934244839999856</c:v>
                </c:pt>
                <c:pt idx="11" formatCode="General">
                  <c:v>2.5980884644114144</c:v>
                </c:pt>
                <c:pt idx="12" formatCode="General">
                  <c:v>2.7601024859473848</c:v>
                </c:pt>
                <c:pt idx="13" formatCode="General">
                  <c:v>2.3134890582969319</c:v>
                </c:pt>
                <c:pt idx="14" formatCode="General">
                  <c:v>5.593406534245787</c:v>
                </c:pt>
              </c:numCache>
            </c:numRef>
          </c:val>
          <c:extLst>
            <c:ext xmlns:c16="http://schemas.microsoft.com/office/drawing/2014/chart" uri="{C3380CC4-5D6E-409C-BE32-E72D297353CC}">
              <c16:uniqueId val="{00000000-0E2D-41A3-9604-4BA420A0C52F}"/>
            </c:ext>
          </c:extLst>
        </c:ser>
        <c:ser>
          <c:idx val="1"/>
          <c:order val="1"/>
          <c:tx>
            <c:strRef>
              <c:f>'Fläche-L'!$FW$5</c:f>
              <c:strCache>
                <c:ptCount val="1"/>
                <c:pt idx="0">
                  <c:v>Lüftung</c:v>
                </c:pt>
              </c:strCache>
            </c:strRef>
          </c:tx>
          <c:spPr>
            <a:solidFill>
              <a:srgbClr val="C00000"/>
            </a:solidFill>
          </c:spPr>
          <c:invertIfNegative val="0"/>
          <c:cat>
            <c:strRef>
              <c:f>'Fläche-L'!$GX$2:$HS$2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'Fläche-L'!$GX$5:$HS$5</c:f>
              <c:numCache>
                <c:formatCode>General</c:formatCode>
                <c:ptCount val="17"/>
                <c:pt idx="0">
                  <c:v>1.2</c:v>
                </c:pt>
                <c:pt idx="1">
                  <c:v>5.9</c:v>
                </c:pt>
                <c:pt idx="2">
                  <c:v>0.8</c:v>
                </c:pt>
                <c:pt idx="3">
                  <c:v>2.7</c:v>
                </c:pt>
                <c:pt idx="4">
                  <c:v>1.9</c:v>
                </c:pt>
                <c:pt idx="5">
                  <c:v>7.3</c:v>
                </c:pt>
                <c:pt idx="6">
                  <c:v>7.9</c:v>
                </c:pt>
                <c:pt idx="7">
                  <c:v>19.3</c:v>
                </c:pt>
                <c:pt idx="8">
                  <c:v>18.8</c:v>
                </c:pt>
                <c:pt idx="9">
                  <c:v>7.8</c:v>
                </c:pt>
                <c:pt idx="10">
                  <c:v>9.1999999999999993</c:v>
                </c:pt>
                <c:pt idx="11">
                  <c:v>9.1</c:v>
                </c:pt>
                <c:pt idx="12">
                  <c:v>1.8</c:v>
                </c:pt>
                <c:pt idx="13">
                  <c:v>1.7</c:v>
                </c:pt>
                <c:pt idx="14">
                  <c:v>3.7</c:v>
                </c:pt>
                <c:pt idx="15">
                  <c:v>5.2</c:v>
                </c:pt>
                <c:pt idx="16">
                  <c:v>0.8</c:v>
                </c:pt>
              </c:numCache>
            </c:numRef>
          </c:val>
          <c:extLst>
            <c:ext xmlns:c16="http://schemas.microsoft.com/office/drawing/2014/chart" uri="{C3380CC4-5D6E-409C-BE32-E72D297353CC}">
              <c16:uniqueId val="{00000001-0E2D-41A3-9604-4BA420A0C52F}"/>
            </c:ext>
          </c:extLst>
        </c:ser>
        <c:ser>
          <c:idx val="2"/>
          <c:order val="2"/>
          <c:tx>
            <c:strRef>
              <c:f>'Fläche-E'!$FW$4</c:f>
              <c:strCache>
                <c:ptCount val="1"/>
                <c:pt idx="0">
                  <c:v>Warmwassser</c:v>
                </c:pt>
              </c:strCache>
            </c:strRef>
          </c:tx>
          <c:spPr>
            <a:solidFill>
              <a:srgbClr val="FFC000"/>
            </a:solidFill>
          </c:spPr>
          <c:invertIfNegative val="0"/>
          <c:cat>
            <c:strRef>
              <c:f>'Fläche-E'!$GX$2:$HS$2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'Fläche-E'!$FY$4:$GR$4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0E2D-41A3-9604-4BA420A0C52F}"/>
            </c:ext>
          </c:extLst>
        </c:ser>
        <c:ser>
          <c:idx val="3"/>
          <c:order val="3"/>
          <c:tx>
            <c:strRef>
              <c:f>'Fläche-L'!$FW$7</c:f>
              <c:strCache>
                <c:ptCount val="1"/>
                <c:pt idx="0">
                  <c:v>Geräte</c:v>
                </c:pt>
              </c:strCache>
            </c:strRef>
          </c:tx>
          <c:spPr>
            <a:solidFill>
              <a:schemeClr val="accent3"/>
            </a:solidFill>
          </c:spPr>
          <c:invertIfNegative val="0"/>
          <c:cat>
            <c:strRef>
              <c:f>'Fläche-L'!$GX$2:$HS$2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'Fläche-L'!$GX$7:$HS$7</c:f>
              <c:numCache>
                <c:formatCode>General</c:formatCode>
                <c:ptCount val="17"/>
                <c:pt idx="0">
                  <c:v>14.5</c:v>
                </c:pt>
                <c:pt idx="1">
                  <c:v>10.9</c:v>
                </c:pt>
                <c:pt idx="2">
                  <c:v>13</c:v>
                </c:pt>
                <c:pt idx="3">
                  <c:v>17.3</c:v>
                </c:pt>
                <c:pt idx="4">
                  <c:v>5.2</c:v>
                </c:pt>
                <c:pt idx="5">
                  <c:v>15.6</c:v>
                </c:pt>
                <c:pt idx="6">
                  <c:v>4.3</c:v>
                </c:pt>
                <c:pt idx="7">
                  <c:v>4.3</c:v>
                </c:pt>
                <c:pt idx="8">
                  <c:v>4.5</c:v>
                </c:pt>
                <c:pt idx="9">
                  <c:v>4</c:v>
                </c:pt>
                <c:pt idx="10">
                  <c:v>8.3000000000000007</c:v>
                </c:pt>
                <c:pt idx="11">
                  <c:v>9.1999999999999993</c:v>
                </c:pt>
                <c:pt idx="12">
                  <c:v>5.6</c:v>
                </c:pt>
                <c:pt idx="13">
                  <c:v>3.7</c:v>
                </c:pt>
                <c:pt idx="14">
                  <c:v>1.8</c:v>
                </c:pt>
                <c:pt idx="15">
                  <c:v>5.4</c:v>
                </c:pt>
                <c:pt idx="16">
                  <c:v>1.7</c:v>
                </c:pt>
              </c:numCache>
            </c:numRef>
          </c:val>
          <c:extLst>
            <c:ext xmlns:c16="http://schemas.microsoft.com/office/drawing/2014/chart" uri="{C3380CC4-5D6E-409C-BE32-E72D297353CC}">
              <c16:uniqueId val="{00000003-0E2D-41A3-9604-4BA420A0C52F}"/>
            </c:ext>
          </c:extLst>
        </c:ser>
        <c:ser>
          <c:idx val="4"/>
          <c:order val="4"/>
          <c:tx>
            <c:strRef>
              <c:f>'Fläche-L'!$FW$9</c:f>
              <c:strCache>
                <c:ptCount val="1"/>
                <c:pt idx="0">
                  <c:v>Beleuchtung</c:v>
                </c:pt>
              </c:strCache>
            </c:strRef>
          </c:tx>
          <c:spPr>
            <a:solidFill>
              <a:srgbClr val="FFFF00"/>
            </a:solidFill>
          </c:spPr>
          <c:invertIfNegative val="0"/>
          <c:cat>
            <c:strRef>
              <c:f>'Fläche-L'!$GX$2:$HS$2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'Fläche-L'!$GX$9:$HS$9</c:f>
              <c:numCache>
                <c:formatCode>General</c:formatCode>
                <c:ptCount val="17"/>
                <c:pt idx="0">
                  <c:v>4.0999999999999996</c:v>
                </c:pt>
                <c:pt idx="1">
                  <c:v>6.4</c:v>
                </c:pt>
                <c:pt idx="2">
                  <c:v>3.6</c:v>
                </c:pt>
                <c:pt idx="3">
                  <c:v>10.1</c:v>
                </c:pt>
                <c:pt idx="4">
                  <c:v>8.6999999999999993</c:v>
                </c:pt>
                <c:pt idx="5">
                  <c:v>9.1999999999999993</c:v>
                </c:pt>
                <c:pt idx="6">
                  <c:v>30.9</c:v>
                </c:pt>
                <c:pt idx="7">
                  <c:v>31</c:v>
                </c:pt>
                <c:pt idx="8">
                  <c:v>12.1</c:v>
                </c:pt>
                <c:pt idx="9">
                  <c:v>15.8</c:v>
                </c:pt>
                <c:pt idx="10">
                  <c:v>13.7</c:v>
                </c:pt>
                <c:pt idx="11">
                  <c:v>11.2</c:v>
                </c:pt>
                <c:pt idx="12">
                  <c:v>12.9</c:v>
                </c:pt>
                <c:pt idx="13">
                  <c:v>17.7</c:v>
                </c:pt>
                <c:pt idx="14">
                  <c:v>13.2</c:v>
                </c:pt>
                <c:pt idx="15">
                  <c:v>11.2</c:v>
                </c:pt>
                <c:pt idx="16">
                  <c:v>2</c:v>
                </c:pt>
              </c:numCache>
            </c:numRef>
          </c:val>
          <c:extLst>
            <c:ext xmlns:c16="http://schemas.microsoft.com/office/drawing/2014/chart" uri="{C3380CC4-5D6E-409C-BE32-E72D297353CC}">
              <c16:uniqueId val="{00000004-0E2D-41A3-9604-4BA420A0C52F}"/>
            </c:ext>
          </c:extLst>
        </c:ser>
        <c:ser>
          <c:idx val="5"/>
          <c:order val="5"/>
          <c:tx>
            <c:strRef>
              <c:f>'Fläche-L'!$FW$10</c:f>
              <c:strCache>
                <c:ptCount val="1"/>
                <c:pt idx="0">
                  <c:v>Allgemeine GT</c:v>
                </c:pt>
              </c:strCache>
            </c:strRef>
          </c:tx>
          <c:spPr>
            <a:solidFill>
              <a:schemeClr val="bg1">
                <a:lumMod val="65000"/>
              </a:schemeClr>
            </a:solidFill>
          </c:spPr>
          <c:invertIfNegative val="0"/>
          <c:cat>
            <c:strRef>
              <c:f>'Fläche-L'!$GX$2:$HS$2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'Fläche-L'!$GX$10:$HS$10</c:f>
              <c:numCache>
                <c:formatCode>General</c:formatCode>
                <c:ptCount val="17"/>
                <c:pt idx="0">
                  <c:v>3</c:v>
                </c:pt>
                <c:pt idx="1">
                  <c:v>8.1999999999999993</c:v>
                </c:pt>
                <c:pt idx="2">
                  <c:v>1.4</c:v>
                </c:pt>
                <c:pt idx="3">
                  <c:v>3.6</c:v>
                </c:pt>
                <c:pt idx="4">
                  <c:v>3.3</c:v>
                </c:pt>
                <c:pt idx="5">
                  <c:v>8</c:v>
                </c:pt>
                <c:pt idx="6">
                  <c:v>8.4</c:v>
                </c:pt>
                <c:pt idx="7">
                  <c:v>8.4</c:v>
                </c:pt>
                <c:pt idx="8">
                  <c:v>9.5</c:v>
                </c:pt>
                <c:pt idx="9">
                  <c:v>4.0999999999999996</c:v>
                </c:pt>
                <c:pt idx="10">
                  <c:v>9.3000000000000007</c:v>
                </c:pt>
                <c:pt idx="11">
                  <c:v>9.3000000000000007</c:v>
                </c:pt>
                <c:pt idx="12">
                  <c:v>7.7</c:v>
                </c:pt>
                <c:pt idx="13">
                  <c:v>1.7</c:v>
                </c:pt>
                <c:pt idx="14">
                  <c:v>3.4</c:v>
                </c:pt>
                <c:pt idx="15">
                  <c:v>7.1</c:v>
                </c:pt>
                <c:pt idx="16">
                  <c:v>4.2</c:v>
                </c:pt>
              </c:numCache>
            </c:numRef>
          </c:val>
          <c:extLst>
            <c:ext xmlns:c16="http://schemas.microsoft.com/office/drawing/2014/chart" uri="{C3380CC4-5D6E-409C-BE32-E72D297353CC}">
              <c16:uniqueId val="{00000005-0E2D-41A3-9604-4BA420A0C52F}"/>
            </c:ext>
          </c:extLst>
        </c:ser>
        <c:dLbls>
          <c:showLegendKey val="0"/>
          <c:showVal val="0"/>
          <c:showCatName val="0"/>
          <c:showSerName val="0"/>
          <c:showPercent val="0"/>
          <c:showBubbleSize val="0"/>
        </c:dLbls>
        <c:gapWidth val="150"/>
        <c:overlap val="100"/>
        <c:axId val="116290304"/>
        <c:axId val="116291840"/>
      </c:barChart>
      <c:catAx>
        <c:axId val="116290304"/>
        <c:scaling>
          <c:orientation val="minMax"/>
        </c:scaling>
        <c:delete val="0"/>
        <c:axPos val="b"/>
        <c:numFmt formatCode="General" sourceLinked="0"/>
        <c:majorTickMark val="out"/>
        <c:minorTickMark val="none"/>
        <c:tickLblPos val="nextTo"/>
        <c:crossAx val="116291840"/>
        <c:crosses val="autoZero"/>
        <c:auto val="1"/>
        <c:lblAlgn val="ctr"/>
        <c:lblOffset val="100"/>
        <c:noMultiLvlLbl val="0"/>
      </c:catAx>
      <c:valAx>
        <c:axId val="116291840"/>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16290304"/>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Geräte</a:t>
            </a:r>
          </a:p>
        </c:rich>
      </c:tx>
      <c:overlay val="0"/>
    </c:title>
    <c:autoTitleDeleted val="0"/>
    <c:plotArea>
      <c:layout/>
      <c:barChart>
        <c:barDir val="col"/>
        <c:grouping val="clustered"/>
        <c:varyColors val="0"/>
        <c:ser>
          <c:idx val="2"/>
          <c:order val="0"/>
          <c:tx>
            <c:strRef>
              <c:f>'Fläche-L'!$GV$1</c:f>
              <c:strCache>
                <c:ptCount val="1"/>
                <c:pt idx="0">
                  <c:v>Minergie Strommodell Zweckbauten</c:v>
                </c:pt>
              </c:strCache>
            </c:strRef>
          </c:tx>
          <c:invertIfNegative val="0"/>
          <c:cat>
            <c:multiLvlStrRef>
              <c:f>'Fläche-L'!$GY$1:$HS$2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'Fläche-L'!$GX$7:$HS$7</c:f>
              <c:numCache>
                <c:formatCode>General</c:formatCode>
                <c:ptCount val="17"/>
                <c:pt idx="0">
                  <c:v>14.5</c:v>
                </c:pt>
                <c:pt idx="1">
                  <c:v>10.9</c:v>
                </c:pt>
                <c:pt idx="2">
                  <c:v>13</c:v>
                </c:pt>
                <c:pt idx="3">
                  <c:v>17.3</c:v>
                </c:pt>
                <c:pt idx="4">
                  <c:v>5.2</c:v>
                </c:pt>
                <c:pt idx="5">
                  <c:v>15.6</c:v>
                </c:pt>
                <c:pt idx="6">
                  <c:v>4.3</c:v>
                </c:pt>
                <c:pt idx="7">
                  <c:v>4.3</c:v>
                </c:pt>
                <c:pt idx="8">
                  <c:v>4.5</c:v>
                </c:pt>
                <c:pt idx="9">
                  <c:v>4</c:v>
                </c:pt>
                <c:pt idx="10">
                  <c:v>8.3000000000000007</c:v>
                </c:pt>
                <c:pt idx="11">
                  <c:v>9.1999999999999993</c:v>
                </c:pt>
                <c:pt idx="12">
                  <c:v>5.6</c:v>
                </c:pt>
                <c:pt idx="13">
                  <c:v>3.7</c:v>
                </c:pt>
                <c:pt idx="14">
                  <c:v>1.8</c:v>
                </c:pt>
                <c:pt idx="15">
                  <c:v>5.4</c:v>
                </c:pt>
                <c:pt idx="16">
                  <c:v>1.7</c:v>
                </c:pt>
              </c:numCache>
            </c:numRef>
          </c:val>
          <c:extLst>
            <c:ext xmlns:c16="http://schemas.microsoft.com/office/drawing/2014/chart" uri="{C3380CC4-5D6E-409C-BE32-E72D297353CC}">
              <c16:uniqueId val="{00000000-B857-4BA9-A8B7-12AC5C2D8F9B}"/>
            </c:ext>
          </c:extLst>
        </c:ser>
        <c:ser>
          <c:idx val="1"/>
          <c:order val="1"/>
          <c:tx>
            <c:strRef>
              <c:f>'Fläche-L'!$FW$1</c:f>
              <c:strCache>
                <c:ptCount val="1"/>
                <c:pt idx="0">
                  <c:v>SIA 2024:2018</c:v>
                </c:pt>
              </c:strCache>
            </c:strRef>
          </c:tx>
          <c:invertIfNegative val="0"/>
          <c:cat>
            <c:multiLvlStrRef>
              <c:f>'Fläche-L'!$GY$1:$HS$2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'Fläche-L'!$FZ$7:$GT$7</c:f>
              <c:numCache>
                <c:formatCode>0.0</c:formatCode>
                <c:ptCount val="17"/>
                <c:pt idx="0">
                  <c:v>6.8000000000000007</c:v>
                </c:pt>
                <c:pt idx="1">
                  <c:v>6.32</c:v>
                </c:pt>
                <c:pt idx="2">
                  <c:v>7.2</c:v>
                </c:pt>
                <c:pt idx="3">
                  <c:v>6.4400000000000013</c:v>
                </c:pt>
                <c:pt idx="4">
                  <c:v>3.6720000000000002</c:v>
                </c:pt>
                <c:pt idx="5">
                  <c:v>5.08</c:v>
                </c:pt>
                <c:pt idx="6">
                  <c:v>1.4000000000000001</c:v>
                </c:pt>
                <c:pt idx="7">
                  <c:v>1.4000000000000001</c:v>
                </c:pt>
                <c:pt idx="8">
                  <c:v>2.04</c:v>
                </c:pt>
                <c:pt idx="9">
                  <c:v>2.52</c:v>
                </c:pt>
                <c:pt idx="10">
                  <c:v>4.32</c:v>
                </c:pt>
                <c:pt idx="11">
                  <c:v>3.84</c:v>
                </c:pt>
                <c:pt idx="12">
                  <c:v>2.84</c:v>
                </c:pt>
                <c:pt idx="13">
                  <c:v>1.56</c:v>
                </c:pt>
                <c:pt idx="14">
                  <c:v>0.48</c:v>
                </c:pt>
                <c:pt idx="15">
                  <c:v>1.8800000000000001</c:v>
                </c:pt>
                <c:pt idx="16">
                  <c:v>0.72000000000000008</c:v>
                </c:pt>
              </c:numCache>
            </c:numRef>
          </c:val>
          <c:extLst>
            <c:ext xmlns:c16="http://schemas.microsoft.com/office/drawing/2014/chart" uri="{C3380CC4-5D6E-409C-BE32-E72D297353CC}">
              <c16:uniqueId val="{00000001-B857-4BA9-A8B7-12AC5C2D8F9B}"/>
            </c:ext>
          </c:extLst>
        </c:ser>
        <c:dLbls>
          <c:showLegendKey val="0"/>
          <c:showVal val="0"/>
          <c:showCatName val="0"/>
          <c:showSerName val="0"/>
          <c:showPercent val="0"/>
          <c:showBubbleSize val="0"/>
        </c:dLbls>
        <c:gapWidth val="150"/>
        <c:axId val="116301184"/>
        <c:axId val="116311168"/>
      </c:barChart>
      <c:catAx>
        <c:axId val="116301184"/>
        <c:scaling>
          <c:orientation val="minMax"/>
        </c:scaling>
        <c:delete val="0"/>
        <c:axPos val="b"/>
        <c:numFmt formatCode="General" sourceLinked="0"/>
        <c:majorTickMark val="out"/>
        <c:minorTickMark val="none"/>
        <c:tickLblPos val="nextTo"/>
        <c:crossAx val="116311168"/>
        <c:crosses val="autoZero"/>
        <c:auto val="1"/>
        <c:lblAlgn val="ctr"/>
        <c:lblOffset val="100"/>
        <c:noMultiLvlLbl val="0"/>
      </c:catAx>
      <c:valAx>
        <c:axId val="116311168"/>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1630118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Elektrizität</a:t>
            </a:r>
          </a:p>
        </c:rich>
      </c:tx>
      <c:overlay val="0"/>
    </c:title>
    <c:autoTitleDeleted val="0"/>
    <c:plotArea>
      <c:layout/>
      <c:barChart>
        <c:barDir val="col"/>
        <c:grouping val="clustered"/>
        <c:varyColors val="0"/>
        <c:ser>
          <c:idx val="0"/>
          <c:order val="0"/>
          <c:tx>
            <c:strRef>
              <c:f>'Fläche-ZW'!$BC$61</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'Fläche-ZW'!$BE$61:$BY$61</c:f>
              <c:numCache>
                <c:formatCode>0</c:formatCode>
                <c:ptCount val="12"/>
                <c:pt idx="0">
                  <c:v>19.599999999999998</c:v>
                </c:pt>
                <c:pt idx="1">
                  <c:v>15.399999999999999</c:v>
                </c:pt>
                <c:pt idx="2">
                  <c:v>19.8</c:v>
                </c:pt>
                <c:pt idx="3">
                  <c:v>9.9</c:v>
                </c:pt>
                <c:pt idx="4">
                  <c:v>26.400000000000002</c:v>
                </c:pt>
                <c:pt idx="5">
                  <c:v>23.099999999999998</c:v>
                </c:pt>
                <c:pt idx="6">
                  <c:v>13.600000000000001</c:v>
                </c:pt>
                <c:pt idx="7">
                  <c:v>19.599999999999998</c:v>
                </c:pt>
                <c:pt idx="8">
                  <c:v>15.3</c:v>
                </c:pt>
                <c:pt idx="9">
                  <c:v>5.4</c:v>
                </c:pt>
                <c:pt idx="10">
                  <c:v>5.4</c:v>
                </c:pt>
                <c:pt idx="11">
                  <c:v>39.199999999999996</c:v>
                </c:pt>
              </c:numCache>
            </c:numRef>
          </c:val>
          <c:extLst>
            <c:ext xmlns:c16="http://schemas.microsoft.com/office/drawing/2014/chart" uri="{C3380CC4-5D6E-409C-BE32-E72D297353CC}">
              <c16:uniqueId val="{00000000-A8CF-4F24-89E7-EA4261F4A3EA}"/>
            </c:ext>
          </c:extLst>
        </c:ser>
        <c:ser>
          <c:idx val="1"/>
          <c:order val="1"/>
          <c:tx>
            <c:strRef>
              <c:f>'Fläche-ZW'!$BC$62</c:f>
              <c:strCache>
                <c:ptCount val="1"/>
                <c:pt idx="0">
                  <c:v>SIA 2024:2019 (Bel. + Ger.)</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'Fläche-ZW'!$BE$62:$BY$62</c:f>
              <c:numCache>
                <c:formatCode>0</c:formatCode>
                <c:ptCount val="12"/>
                <c:pt idx="0">
                  <c:v>8.3999999999999986</c:v>
                </c:pt>
                <c:pt idx="1">
                  <c:v>7.2</c:v>
                </c:pt>
                <c:pt idx="2">
                  <c:v>11.2</c:v>
                </c:pt>
                <c:pt idx="3">
                  <c:v>4.5</c:v>
                </c:pt>
                <c:pt idx="4">
                  <c:v>18.2</c:v>
                </c:pt>
                <c:pt idx="5">
                  <c:v>5.3999999999999995</c:v>
                </c:pt>
                <c:pt idx="6">
                  <c:v>9</c:v>
                </c:pt>
                <c:pt idx="7">
                  <c:v>8</c:v>
                </c:pt>
                <c:pt idx="8">
                  <c:v>8.5</c:v>
                </c:pt>
                <c:pt idx="9">
                  <c:v>5.6</c:v>
                </c:pt>
                <c:pt idx="10">
                  <c:v>2.8000000000000003</c:v>
                </c:pt>
                <c:pt idx="11">
                  <c:v>6.4</c:v>
                </c:pt>
              </c:numCache>
            </c:numRef>
          </c:val>
          <c:extLst>
            <c:ext xmlns:c16="http://schemas.microsoft.com/office/drawing/2014/chart" uri="{C3380CC4-5D6E-409C-BE32-E72D297353CC}">
              <c16:uniqueId val="{00000001-A8CF-4F24-89E7-EA4261F4A3EA}"/>
            </c:ext>
          </c:extLst>
        </c:ser>
        <c:dLbls>
          <c:showLegendKey val="0"/>
          <c:showVal val="0"/>
          <c:showCatName val="0"/>
          <c:showSerName val="0"/>
          <c:showPercent val="0"/>
          <c:showBubbleSize val="0"/>
        </c:dLbls>
        <c:gapWidth val="150"/>
        <c:axId val="105403136"/>
        <c:axId val="105404672"/>
      </c:barChart>
      <c:catAx>
        <c:axId val="105403136"/>
        <c:scaling>
          <c:orientation val="minMax"/>
        </c:scaling>
        <c:delete val="0"/>
        <c:axPos val="b"/>
        <c:numFmt formatCode="General" sourceLinked="0"/>
        <c:majorTickMark val="out"/>
        <c:minorTickMark val="none"/>
        <c:tickLblPos val="nextTo"/>
        <c:crossAx val="105404672"/>
        <c:crosses val="autoZero"/>
        <c:auto val="1"/>
        <c:lblAlgn val="ctr"/>
        <c:lblOffset val="100"/>
        <c:noMultiLvlLbl val="0"/>
      </c:catAx>
      <c:valAx>
        <c:axId val="10540467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5403136"/>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Wärmebedarf Warmwasser inkl. Verluste</a:t>
            </a:r>
          </a:p>
        </c:rich>
      </c:tx>
      <c:overlay val="0"/>
    </c:title>
    <c:autoTitleDeleted val="0"/>
    <c:plotArea>
      <c:layout/>
      <c:barChart>
        <c:barDir val="col"/>
        <c:grouping val="clustered"/>
        <c:varyColors val="0"/>
        <c:ser>
          <c:idx val="0"/>
          <c:order val="0"/>
          <c:tx>
            <c:strRef>
              <c:f>'Fläche-ZW'!$BC$86</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'Fläche-ZW'!$BE$86:$BY$86</c:f>
              <c:numCache>
                <c:formatCode>0</c:formatCode>
                <c:ptCount val="12"/>
                <c:pt idx="0">
                  <c:v>21</c:v>
                </c:pt>
                <c:pt idx="1">
                  <c:v>14</c:v>
                </c:pt>
                <c:pt idx="2">
                  <c:v>7</c:v>
                </c:pt>
                <c:pt idx="3">
                  <c:v>7</c:v>
                </c:pt>
                <c:pt idx="4">
                  <c:v>7</c:v>
                </c:pt>
                <c:pt idx="5">
                  <c:v>56</c:v>
                </c:pt>
                <c:pt idx="6">
                  <c:v>14</c:v>
                </c:pt>
                <c:pt idx="7">
                  <c:v>28</c:v>
                </c:pt>
                <c:pt idx="8">
                  <c:v>7</c:v>
                </c:pt>
                <c:pt idx="9">
                  <c:v>1</c:v>
                </c:pt>
                <c:pt idx="10">
                  <c:v>83</c:v>
                </c:pt>
                <c:pt idx="11">
                  <c:v>83</c:v>
                </c:pt>
              </c:numCache>
            </c:numRef>
          </c:val>
          <c:extLst>
            <c:ext xmlns:c16="http://schemas.microsoft.com/office/drawing/2014/chart" uri="{C3380CC4-5D6E-409C-BE32-E72D297353CC}">
              <c16:uniqueId val="{00000000-C70E-4BB7-A1E8-3A1856D5FFFF}"/>
            </c:ext>
          </c:extLst>
        </c:ser>
        <c:ser>
          <c:idx val="1"/>
          <c:order val="1"/>
          <c:tx>
            <c:strRef>
              <c:f>'Fläche-ZW'!$BC$87</c:f>
              <c:strCache>
                <c:ptCount val="1"/>
                <c:pt idx="0">
                  <c:v>SIA 2024:2019 inkl. Verluste</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'Fläche-ZW'!$BE$87:$BY$87</c:f>
              <c:numCache>
                <c:formatCode>0</c:formatCode>
                <c:ptCount val="12"/>
                <c:pt idx="0">
                  <c:v>17.188776119402988</c:v>
                </c:pt>
                <c:pt idx="1">
                  <c:v>14.559904477611941</c:v>
                </c:pt>
                <c:pt idx="2">
                  <c:v>1.8901519829424307</c:v>
                </c:pt>
                <c:pt idx="3">
                  <c:v>2.4762163566901307</c:v>
                </c:pt>
                <c:pt idx="4">
                  <c:v>2.1058081023454163</c:v>
                </c:pt>
                <c:pt idx="5">
                  <c:v>65.18418422174841</c:v>
                </c:pt>
                <c:pt idx="6">
                  <c:v>5.3572707889125804</c:v>
                </c:pt>
                <c:pt idx="7">
                  <c:v>32.510273773987208</c:v>
                </c:pt>
                <c:pt idx="8">
                  <c:v>1.8901519829424307</c:v>
                </c:pt>
                <c:pt idx="9">
                  <c:v>0.91408989339019198</c:v>
                </c:pt>
                <c:pt idx="10">
                  <c:v>45.478253706808417</c:v>
                </c:pt>
                <c:pt idx="11">
                  <c:v>104.2017364605544</c:v>
                </c:pt>
              </c:numCache>
            </c:numRef>
          </c:val>
          <c:extLst>
            <c:ext xmlns:c16="http://schemas.microsoft.com/office/drawing/2014/chart" uri="{C3380CC4-5D6E-409C-BE32-E72D297353CC}">
              <c16:uniqueId val="{00000001-C70E-4BB7-A1E8-3A1856D5FFFF}"/>
            </c:ext>
          </c:extLst>
        </c:ser>
        <c:dLbls>
          <c:showLegendKey val="0"/>
          <c:showVal val="0"/>
          <c:showCatName val="0"/>
          <c:showSerName val="0"/>
          <c:showPercent val="0"/>
          <c:showBubbleSize val="0"/>
        </c:dLbls>
        <c:gapWidth val="150"/>
        <c:axId val="105442688"/>
        <c:axId val="91030656"/>
      </c:barChart>
      <c:catAx>
        <c:axId val="105442688"/>
        <c:scaling>
          <c:orientation val="minMax"/>
        </c:scaling>
        <c:delete val="0"/>
        <c:axPos val="b"/>
        <c:numFmt formatCode="General" sourceLinked="0"/>
        <c:majorTickMark val="out"/>
        <c:minorTickMark val="none"/>
        <c:tickLblPos val="nextTo"/>
        <c:crossAx val="91030656"/>
        <c:crosses val="autoZero"/>
        <c:auto val="1"/>
        <c:lblAlgn val="ctr"/>
        <c:lblOffset val="100"/>
        <c:noMultiLvlLbl val="0"/>
      </c:catAx>
      <c:valAx>
        <c:axId val="91030656"/>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5442688"/>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'Fläche-ZW'!$BC$112</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72D7-49AB-9498-EFA57EAF9B2D}"/>
            </c:ext>
          </c:extLst>
        </c:ser>
        <c:ser>
          <c:idx val="2"/>
          <c:order val="1"/>
          <c:tx>
            <c:strRef>
              <c:f>'Fläche-ZW'!$BC$113</c:f>
              <c:strCache>
                <c:ptCount val="1"/>
                <c:pt idx="0">
                  <c:v>SIA 2024:2019 (hygienischer Bedarf)</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'Fläche-ZW'!$BE$113:$BY$113</c:f>
              <c:numCache>
                <c:formatCode>0.00</c:formatCode>
                <c:ptCount val="12"/>
                <c:pt idx="0">
                  <c:v>0.27213307240704504</c:v>
                </c:pt>
                <c:pt idx="1">
                  <c:v>0.20169863013698633</c:v>
                </c:pt>
                <c:pt idx="2">
                  <c:v>0.26084148727984346</c:v>
                </c:pt>
                <c:pt idx="3">
                  <c:v>0.53493737769080241</c:v>
                </c:pt>
                <c:pt idx="4">
                  <c:v>0.46673189823874761</c:v>
                </c:pt>
                <c:pt idx="5">
                  <c:v>0.97661448140900209</c:v>
                </c:pt>
                <c:pt idx="6">
                  <c:v>1.3114807566862361</c:v>
                </c:pt>
                <c:pt idx="7">
                  <c:v>0.76928897586431833</c:v>
                </c:pt>
                <c:pt idx="8">
                  <c:v>0.1703283322461405</c:v>
                </c:pt>
                <c:pt idx="9">
                  <c:v>0.13463144161774301</c:v>
                </c:pt>
                <c:pt idx="10">
                  <c:v>0.13275929549902152</c:v>
                </c:pt>
                <c:pt idx="11">
                  <c:v>0.41761252446183961</c:v>
                </c:pt>
              </c:numCache>
            </c:numRef>
          </c:val>
          <c:extLst>
            <c:ext xmlns:c16="http://schemas.microsoft.com/office/drawing/2014/chart" uri="{C3380CC4-5D6E-409C-BE32-E72D297353CC}">
              <c16:uniqueId val="{00000001-72D7-49AB-9498-EFA57EAF9B2D}"/>
            </c:ext>
          </c:extLst>
        </c:ser>
        <c:ser>
          <c:idx val="3"/>
          <c:order val="2"/>
          <c:tx>
            <c:strRef>
              <c:f>'Fläche-ZW'!$BC$114</c:f>
              <c:strCache>
                <c:ptCount val="1"/>
                <c:pt idx="0">
                  <c:v>SIA 2024:2018 (hyg. Bedarf + Infiltration)</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'Fläche-ZW'!$BE$114:$BY$114</c:f>
              <c:numCache>
                <c:formatCode>0.00</c:formatCode>
                <c:ptCount val="12"/>
                <c:pt idx="0">
                  <c:v>0.42213307240704501</c:v>
                </c:pt>
                <c:pt idx="1">
                  <c:v>0.35169863013698632</c:v>
                </c:pt>
                <c:pt idx="2">
                  <c:v>0.41084148727984349</c:v>
                </c:pt>
                <c:pt idx="3">
                  <c:v>0.68493737769080243</c:v>
                </c:pt>
                <c:pt idx="4">
                  <c:v>0.61673189823874763</c:v>
                </c:pt>
                <c:pt idx="5">
                  <c:v>1.126614481409002</c:v>
                </c:pt>
                <c:pt idx="6">
                  <c:v>1.461480756686236</c:v>
                </c:pt>
                <c:pt idx="7">
                  <c:v>0.91928897586431835</c:v>
                </c:pt>
                <c:pt idx="8">
                  <c:v>0.32032833224614049</c:v>
                </c:pt>
                <c:pt idx="9">
                  <c:v>0.28463144161774301</c:v>
                </c:pt>
                <c:pt idx="10">
                  <c:v>0.28275929549902151</c:v>
                </c:pt>
                <c:pt idx="11">
                  <c:v>0.56761252446183963</c:v>
                </c:pt>
              </c:numCache>
            </c:numRef>
          </c:val>
          <c:extLst>
            <c:ext xmlns:c16="http://schemas.microsoft.com/office/drawing/2014/chart" uri="{C3380CC4-5D6E-409C-BE32-E72D297353CC}">
              <c16:uniqueId val="{00000002-72D7-49AB-9498-EFA57EAF9B2D}"/>
            </c:ext>
          </c:extLst>
        </c:ser>
        <c:ser>
          <c:idx val="1"/>
          <c:order val="3"/>
          <c:tx>
            <c:strRef>
              <c:f>'Fläche-ZW'!$BC$115</c:f>
              <c:strCache>
                <c:ptCount val="1"/>
                <c:pt idx="0">
                  <c:v>SIA 2024:2019 (jährlicher Durchschnitt)</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'Fläche-ZW'!$BE$115:$BY$115</c:f>
              <c:numCache>
                <c:formatCode>0.00</c:formatCode>
                <c:ptCount val="12"/>
                <c:pt idx="0">
                  <c:v>0.57351989562948469</c:v>
                </c:pt>
                <c:pt idx="1">
                  <c:v>0.43778264840182646</c:v>
                </c:pt>
                <c:pt idx="2">
                  <c:v>0.67670732767993047</c:v>
                </c:pt>
                <c:pt idx="3">
                  <c:v>0.91802224396607957</c:v>
                </c:pt>
                <c:pt idx="4">
                  <c:v>1.1072035225048922</c:v>
                </c:pt>
                <c:pt idx="5">
                  <c:v>1.9812720156555774</c:v>
                </c:pt>
                <c:pt idx="6">
                  <c:v>1.9270863231137203</c:v>
                </c:pt>
                <c:pt idx="7">
                  <c:v>1.1850163078930203</c:v>
                </c:pt>
                <c:pt idx="8">
                  <c:v>0.61190722620859617</c:v>
                </c:pt>
                <c:pt idx="9">
                  <c:v>0.58085192433137656</c:v>
                </c:pt>
                <c:pt idx="10">
                  <c:v>1.1171232876712329</c:v>
                </c:pt>
                <c:pt idx="11">
                  <c:v>1.6889432485322897</c:v>
                </c:pt>
              </c:numCache>
            </c:numRef>
          </c:val>
          <c:extLst>
            <c:ext xmlns:c16="http://schemas.microsoft.com/office/drawing/2014/chart" uri="{C3380CC4-5D6E-409C-BE32-E72D297353CC}">
              <c16:uniqueId val="{00000003-72D7-49AB-9498-EFA57EAF9B2D}"/>
            </c:ext>
          </c:extLst>
        </c:ser>
        <c:dLbls>
          <c:showLegendKey val="0"/>
          <c:showVal val="0"/>
          <c:showCatName val="0"/>
          <c:showSerName val="0"/>
          <c:showPercent val="0"/>
          <c:showBubbleSize val="0"/>
        </c:dLbls>
        <c:gapWidth val="150"/>
        <c:axId val="91074560"/>
        <c:axId val="91076096"/>
      </c:barChart>
      <c:catAx>
        <c:axId val="91074560"/>
        <c:scaling>
          <c:orientation val="minMax"/>
        </c:scaling>
        <c:delete val="0"/>
        <c:axPos val="b"/>
        <c:numFmt formatCode="General" sourceLinked="0"/>
        <c:majorTickMark val="out"/>
        <c:minorTickMark val="none"/>
        <c:tickLblPos val="nextTo"/>
        <c:crossAx val="91076096"/>
        <c:crosses val="autoZero"/>
        <c:auto val="1"/>
        <c:lblAlgn val="ctr"/>
        <c:lblOffset val="100"/>
        <c:noMultiLvlLbl val="0"/>
      </c:catAx>
      <c:valAx>
        <c:axId val="91076096"/>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9107456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p>
        </c:rich>
      </c:tx>
      <c:overlay val="0"/>
    </c:title>
    <c:autoTitleDeleted val="0"/>
    <c:plotArea>
      <c:layout/>
      <c:barChart>
        <c:barDir val="col"/>
        <c:grouping val="clustered"/>
        <c:varyColors val="0"/>
        <c:ser>
          <c:idx val="0"/>
          <c:order val="0"/>
          <c:tx>
            <c:strRef>
              <c:f>'Fläche-ZW'!$BC$36</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'Fläche-ZW'!$BE$36:$BY$36</c:f>
              <c:numCache>
                <c:formatCode>0</c:formatCode>
                <c:ptCount val="12"/>
                <c:pt idx="0">
                  <c:v>28</c:v>
                </c:pt>
                <c:pt idx="1">
                  <c:v>22</c:v>
                </c:pt>
                <c:pt idx="2">
                  <c:v>22</c:v>
                </c:pt>
                <c:pt idx="3">
                  <c:v>11</c:v>
                </c:pt>
                <c:pt idx="4">
                  <c:v>33</c:v>
                </c:pt>
                <c:pt idx="5">
                  <c:v>33</c:v>
                </c:pt>
                <c:pt idx="6">
                  <c:v>17</c:v>
                </c:pt>
                <c:pt idx="7">
                  <c:v>28</c:v>
                </c:pt>
                <c:pt idx="8">
                  <c:v>17</c:v>
                </c:pt>
                <c:pt idx="9">
                  <c:v>6</c:v>
                </c:pt>
                <c:pt idx="10">
                  <c:v>6</c:v>
                </c:pt>
                <c:pt idx="11">
                  <c:v>56</c:v>
                </c:pt>
              </c:numCache>
            </c:numRef>
          </c:val>
          <c:extLst>
            <c:ext xmlns:c16="http://schemas.microsoft.com/office/drawing/2014/chart" uri="{C3380CC4-5D6E-409C-BE32-E72D297353CC}">
              <c16:uniqueId val="{00000000-6CDE-4C8A-BDE3-17BCC773272A}"/>
            </c:ext>
          </c:extLst>
        </c:ser>
        <c:ser>
          <c:idx val="1"/>
          <c:order val="1"/>
          <c:tx>
            <c:strRef>
              <c:f>'Fläche-ZW'!$BC$37</c:f>
              <c:strCache>
                <c:ptCount val="1"/>
                <c:pt idx="0">
                  <c:v>SIA 2024:2019 (Bel. + Ger. + Lüf. + Allg. GT)</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'Fläche-ZW'!$BE$37:$BY$37</c:f>
              <c:numCache>
                <c:formatCode>0</c:formatCode>
                <c:ptCount val="12"/>
                <c:pt idx="0">
                  <c:v>12.385190365811967</c:v>
                </c:pt>
                <c:pt idx="1">
                  <c:v>9.243952858438746</c:v>
                </c:pt>
                <c:pt idx="2">
                  <c:v>16.192339484200247</c:v>
                </c:pt>
                <c:pt idx="3">
                  <c:v>9.0196664735205552</c:v>
                </c:pt>
                <c:pt idx="4">
                  <c:v>26.11874949103785</c:v>
                </c:pt>
                <c:pt idx="5">
                  <c:v>18.488638716450957</c:v>
                </c:pt>
                <c:pt idx="6">
                  <c:v>17.892010483516483</c:v>
                </c:pt>
                <c:pt idx="7">
                  <c:v>19.603039712006513</c:v>
                </c:pt>
                <c:pt idx="8">
                  <c:v>16.590391074627597</c:v>
                </c:pt>
                <c:pt idx="9">
                  <c:v>7.7719612746275963</c:v>
                </c:pt>
                <c:pt idx="10">
                  <c:v>7.1270726256410253</c:v>
                </c:pt>
                <c:pt idx="11">
                  <c:v>15.777079233374035</c:v>
                </c:pt>
              </c:numCache>
            </c:numRef>
          </c:val>
          <c:extLst>
            <c:ext xmlns:c16="http://schemas.microsoft.com/office/drawing/2014/chart" uri="{C3380CC4-5D6E-409C-BE32-E72D297353CC}">
              <c16:uniqueId val="{00000001-6CDE-4C8A-BDE3-17BCC773272A}"/>
            </c:ext>
          </c:extLst>
        </c:ser>
        <c:dLbls>
          <c:showLegendKey val="0"/>
          <c:showVal val="0"/>
          <c:showCatName val="0"/>
          <c:showSerName val="0"/>
          <c:showPercent val="0"/>
          <c:showBubbleSize val="0"/>
        </c:dLbls>
        <c:gapWidth val="150"/>
        <c:axId val="91105920"/>
        <c:axId val="91107712"/>
      </c:barChart>
      <c:catAx>
        <c:axId val="91105920"/>
        <c:scaling>
          <c:orientation val="minMax"/>
        </c:scaling>
        <c:delete val="0"/>
        <c:axPos val="b"/>
        <c:numFmt formatCode="General" sourceLinked="0"/>
        <c:majorTickMark val="out"/>
        <c:minorTickMark val="none"/>
        <c:tickLblPos val="nextTo"/>
        <c:crossAx val="91107712"/>
        <c:crosses val="autoZero"/>
        <c:auto val="1"/>
        <c:lblAlgn val="ctr"/>
        <c:lblOffset val="100"/>
        <c:noMultiLvlLbl val="0"/>
      </c:catAx>
      <c:valAx>
        <c:axId val="9110771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9110592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Personen</a:t>
            </a:r>
          </a:p>
        </c:rich>
      </c:tx>
      <c:overlay val="0"/>
    </c:title>
    <c:autoTitleDeleted val="0"/>
    <c:plotArea>
      <c:layout/>
      <c:barChart>
        <c:barDir val="col"/>
        <c:grouping val="clustered"/>
        <c:varyColors val="0"/>
        <c:ser>
          <c:idx val="0"/>
          <c:order val="0"/>
          <c:tx>
            <c:strRef>
              <c:f>'Fläche-ZW'!$BC$164</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'Fläche-ZW'!$BE$164:$BY$164</c:f>
              <c:numCache>
                <c:formatCode>0.0</c:formatCode>
                <c:ptCount val="12"/>
                <c:pt idx="0">
                  <c:v>7.665</c:v>
                </c:pt>
                <c:pt idx="1">
                  <c:v>5.1100000000000003</c:v>
                </c:pt>
                <c:pt idx="2">
                  <c:v>8.76</c:v>
                </c:pt>
                <c:pt idx="3">
                  <c:v>10.220000000000001</c:v>
                </c:pt>
                <c:pt idx="4">
                  <c:v>13.14</c:v>
                </c:pt>
                <c:pt idx="5">
                  <c:v>21.9</c:v>
                </c:pt>
                <c:pt idx="6">
                  <c:v>17.52</c:v>
                </c:pt>
                <c:pt idx="7">
                  <c:v>15.573333333333332</c:v>
                </c:pt>
                <c:pt idx="8">
                  <c:v>7.3</c:v>
                </c:pt>
                <c:pt idx="9">
                  <c:v>2.19</c:v>
                </c:pt>
                <c:pt idx="10">
                  <c:v>10.95</c:v>
                </c:pt>
                <c:pt idx="11">
                  <c:v>4.38</c:v>
                </c:pt>
              </c:numCache>
            </c:numRef>
          </c:val>
          <c:extLst>
            <c:ext xmlns:c16="http://schemas.microsoft.com/office/drawing/2014/chart" uri="{C3380CC4-5D6E-409C-BE32-E72D297353CC}">
              <c16:uniqueId val="{00000000-7DC2-436B-8396-E17AB21A81CA}"/>
            </c:ext>
          </c:extLst>
        </c:ser>
        <c:ser>
          <c:idx val="1"/>
          <c:order val="1"/>
          <c:tx>
            <c:strRef>
              <c:f>'Fläche-ZW'!$BC$165</c:f>
              <c:strCache>
                <c:ptCount val="1"/>
                <c:pt idx="0">
                  <c:v>SIA 2024:2019</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'Fläche-ZW'!$BE$165:$BY$165</c:f>
              <c:numCache>
                <c:formatCode>0.0</c:formatCode>
                <c:ptCount val="12"/>
                <c:pt idx="0">
                  <c:v>6.6748800000000008</c:v>
                </c:pt>
                <c:pt idx="1">
                  <c:v>4.9472640000000006</c:v>
                </c:pt>
                <c:pt idx="2">
                  <c:v>6.3979200000000001</c:v>
                </c:pt>
                <c:pt idx="3">
                  <c:v>13.120944000000001</c:v>
                </c:pt>
                <c:pt idx="4">
                  <c:v>11.448</c:v>
                </c:pt>
                <c:pt idx="5">
                  <c:v>23.954400000000003</c:v>
                </c:pt>
                <c:pt idx="6">
                  <c:v>32.167999999999999</c:v>
                </c:pt>
                <c:pt idx="7">
                  <c:v>18.869119999999999</c:v>
                </c:pt>
                <c:pt idx="8">
                  <c:v>4.1778133333333338</c:v>
                </c:pt>
                <c:pt idx="9">
                  <c:v>3.3022399999999998</c:v>
                </c:pt>
                <c:pt idx="10">
                  <c:v>3.2563199999999997</c:v>
                </c:pt>
                <c:pt idx="11">
                  <c:v>10.243200000000002</c:v>
                </c:pt>
              </c:numCache>
            </c:numRef>
          </c:val>
          <c:extLst>
            <c:ext xmlns:c16="http://schemas.microsoft.com/office/drawing/2014/chart" uri="{C3380CC4-5D6E-409C-BE32-E72D297353CC}">
              <c16:uniqueId val="{00000001-7DC2-436B-8396-E17AB21A81CA}"/>
            </c:ext>
          </c:extLst>
        </c:ser>
        <c:dLbls>
          <c:showLegendKey val="0"/>
          <c:showVal val="0"/>
          <c:showCatName val="0"/>
          <c:showSerName val="0"/>
          <c:showPercent val="0"/>
          <c:showBubbleSize val="0"/>
        </c:dLbls>
        <c:gapWidth val="150"/>
        <c:axId val="91133440"/>
        <c:axId val="91134976"/>
      </c:barChart>
      <c:catAx>
        <c:axId val="91133440"/>
        <c:scaling>
          <c:orientation val="minMax"/>
        </c:scaling>
        <c:delete val="0"/>
        <c:axPos val="b"/>
        <c:numFmt formatCode="General" sourceLinked="0"/>
        <c:majorTickMark val="out"/>
        <c:minorTickMark val="none"/>
        <c:tickLblPos val="nextTo"/>
        <c:crossAx val="91134976"/>
        <c:crosses val="autoZero"/>
        <c:auto val="1"/>
        <c:lblAlgn val="ctr"/>
        <c:lblOffset val="100"/>
        <c:noMultiLvlLbl val="0"/>
      </c:catAx>
      <c:valAx>
        <c:axId val="91134976"/>
        <c:scaling>
          <c:orientation val="minMax"/>
        </c:scaling>
        <c:delete val="0"/>
        <c:axPos val="l"/>
        <c:majorGridlines/>
        <c:title>
          <c:tx>
            <c:rich>
              <a:bodyPr rot="-5400000" vert="horz"/>
              <a:lstStyle/>
              <a:p>
                <a:pPr>
                  <a:defRPr b="0"/>
                </a:pPr>
                <a:r>
                  <a:rPr lang="en-US" b="0"/>
                  <a:t>kWh/m2</a:t>
                </a:r>
              </a:p>
            </c:rich>
          </c:tx>
          <c:overlay val="0"/>
        </c:title>
        <c:numFmt formatCode="0.0" sourceLinked="1"/>
        <c:majorTickMark val="out"/>
        <c:minorTickMark val="none"/>
        <c:tickLblPos val="nextTo"/>
        <c:crossAx val="9113344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Personenfläche</a:t>
            </a:r>
          </a:p>
        </c:rich>
      </c:tx>
      <c:overlay val="0"/>
    </c:title>
    <c:autoTitleDeleted val="0"/>
    <c:plotArea>
      <c:layout/>
      <c:barChart>
        <c:barDir val="col"/>
        <c:grouping val="clustered"/>
        <c:varyColors val="0"/>
        <c:ser>
          <c:idx val="0"/>
          <c:order val="0"/>
          <c:tx>
            <c:strRef>
              <c:f>'Fläche-ZW'!$BC$189</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'Fläche-ZW'!$BE$189:$BY$189</c:f>
              <c:numCache>
                <c:formatCode>0</c:formatCode>
                <c:ptCount val="12"/>
                <c:pt idx="0">
                  <c:v>40</c:v>
                </c:pt>
                <c:pt idx="1">
                  <c:v>60</c:v>
                </c:pt>
                <c:pt idx="2">
                  <c:v>20</c:v>
                </c:pt>
                <c:pt idx="3">
                  <c:v>10</c:v>
                </c:pt>
                <c:pt idx="4">
                  <c:v>10</c:v>
                </c:pt>
                <c:pt idx="5">
                  <c:v>5</c:v>
                </c:pt>
                <c:pt idx="6">
                  <c:v>5</c:v>
                </c:pt>
                <c:pt idx="7">
                  <c:v>30</c:v>
                </c:pt>
                <c:pt idx="8">
                  <c:v>30</c:v>
                </c:pt>
                <c:pt idx="9">
                  <c:v>100</c:v>
                </c:pt>
                <c:pt idx="10">
                  <c:v>20</c:v>
                </c:pt>
                <c:pt idx="11">
                  <c:v>20</c:v>
                </c:pt>
              </c:numCache>
            </c:numRef>
          </c:val>
          <c:extLst>
            <c:ext xmlns:c16="http://schemas.microsoft.com/office/drawing/2014/chart" uri="{C3380CC4-5D6E-409C-BE32-E72D297353CC}">
              <c16:uniqueId val="{00000000-C7B5-4B8B-A761-9292038A1DDA}"/>
            </c:ext>
          </c:extLst>
        </c:ser>
        <c:ser>
          <c:idx val="1"/>
          <c:order val="1"/>
          <c:tx>
            <c:strRef>
              <c:f>'Fläche-ZW'!$BC$190</c:f>
              <c:strCache>
                <c:ptCount val="1"/>
                <c:pt idx="0">
                  <c:v>SIA 2024:2019</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'Fläche-ZW'!$BE$190:$BY$190</c:f>
              <c:numCache>
                <c:formatCode>0</c:formatCode>
                <c:ptCount val="12"/>
                <c:pt idx="0">
                  <c:v>51.470588235294116</c:v>
                </c:pt>
                <c:pt idx="1">
                  <c:v>69.444444444444429</c:v>
                </c:pt>
                <c:pt idx="2">
                  <c:v>26.184538653366584</c:v>
                </c:pt>
                <c:pt idx="3">
                  <c:v>9.9150141643059477</c:v>
                </c:pt>
                <c:pt idx="4">
                  <c:v>15.909090909090908</c:v>
                </c:pt>
                <c:pt idx="5">
                  <c:v>4.5691906005221927</c:v>
                </c:pt>
                <c:pt idx="6">
                  <c:v>6.1403508771929829</c:v>
                </c:pt>
                <c:pt idx="7">
                  <c:v>18.683274021352315</c:v>
                </c:pt>
                <c:pt idx="8">
                  <c:v>28.688524590163933</c:v>
                </c:pt>
                <c:pt idx="9">
                  <c:v>59.322033898305079</c:v>
                </c:pt>
                <c:pt idx="10">
                  <c:v>41.666666666666664</c:v>
                </c:pt>
                <c:pt idx="11">
                  <c:v>19.662921348314608</c:v>
                </c:pt>
              </c:numCache>
            </c:numRef>
          </c:val>
          <c:extLst>
            <c:ext xmlns:c16="http://schemas.microsoft.com/office/drawing/2014/chart" uri="{C3380CC4-5D6E-409C-BE32-E72D297353CC}">
              <c16:uniqueId val="{00000001-C7B5-4B8B-A761-9292038A1DDA}"/>
            </c:ext>
          </c:extLst>
        </c:ser>
        <c:dLbls>
          <c:showLegendKey val="0"/>
          <c:showVal val="0"/>
          <c:showCatName val="0"/>
          <c:showSerName val="0"/>
          <c:showPercent val="0"/>
          <c:showBubbleSize val="0"/>
        </c:dLbls>
        <c:gapWidth val="150"/>
        <c:axId val="105275776"/>
        <c:axId val="105277312"/>
      </c:barChart>
      <c:catAx>
        <c:axId val="105275776"/>
        <c:scaling>
          <c:orientation val="minMax"/>
        </c:scaling>
        <c:delete val="0"/>
        <c:axPos val="b"/>
        <c:numFmt formatCode="General" sourceLinked="0"/>
        <c:majorTickMark val="out"/>
        <c:minorTickMark val="none"/>
        <c:tickLblPos val="nextTo"/>
        <c:crossAx val="105277312"/>
        <c:crosses val="autoZero"/>
        <c:auto val="1"/>
        <c:lblAlgn val="ctr"/>
        <c:lblOffset val="100"/>
        <c:noMultiLvlLbl val="0"/>
      </c:catAx>
      <c:valAx>
        <c:axId val="105277312"/>
        <c:scaling>
          <c:orientation val="minMax"/>
        </c:scaling>
        <c:delete val="0"/>
        <c:axPos val="l"/>
        <c:majorGridlines/>
        <c:title>
          <c:tx>
            <c:rich>
              <a:bodyPr rot="-5400000" vert="horz"/>
              <a:lstStyle/>
              <a:p>
                <a:pPr>
                  <a:defRPr b="0"/>
                </a:pPr>
                <a:r>
                  <a:rPr lang="en-US" b="0"/>
                  <a:t>m2/P</a:t>
                </a:r>
              </a:p>
            </c:rich>
          </c:tx>
          <c:overlay val="0"/>
        </c:title>
        <c:numFmt formatCode="0" sourceLinked="1"/>
        <c:majorTickMark val="out"/>
        <c:minorTickMark val="none"/>
        <c:tickLblPos val="nextTo"/>
        <c:crossAx val="105275776"/>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Raumtemperatur</a:t>
            </a:r>
          </a:p>
        </c:rich>
      </c:tx>
      <c:overlay val="0"/>
    </c:title>
    <c:autoTitleDeleted val="0"/>
    <c:plotArea>
      <c:layout/>
      <c:barChart>
        <c:barDir val="col"/>
        <c:grouping val="clustered"/>
        <c:varyColors val="0"/>
        <c:ser>
          <c:idx val="0"/>
          <c:order val="0"/>
          <c:tx>
            <c:strRef>
              <c:f>'Fläche-ZW'!$BC$215</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'Fläche-ZW'!$BE$215:$BY$215</c:f>
              <c:numCache>
                <c:formatCode>0</c:formatCode>
                <c:ptCount val="12"/>
                <c:pt idx="0">
                  <c:v>20</c:v>
                </c:pt>
                <c:pt idx="1">
                  <c:v>20</c:v>
                </c:pt>
                <c:pt idx="2">
                  <c:v>20</c:v>
                </c:pt>
                <c:pt idx="3">
                  <c:v>20</c:v>
                </c:pt>
                <c:pt idx="4">
                  <c:v>20</c:v>
                </c:pt>
                <c:pt idx="5">
                  <c:v>20</c:v>
                </c:pt>
                <c:pt idx="6">
                  <c:v>20</c:v>
                </c:pt>
                <c:pt idx="7">
                  <c:v>22</c:v>
                </c:pt>
                <c:pt idx="8">
                  <c:v>18</c:v>
                </c:pt>
                <c:pt idx="9">
                  <c:v>18</c:v>
                </c:pt>
                <c:pt idx="10">
                  <c:v>18</c:v>
                </c:pt>
                <c:pt idx="11">
                  <c:v>28</c:v>
                </c:pt>
              </c:numCache>
            </c:numRef>
          </c:val>
          <c:extLst>
            <c:ext xmlns:c16="http://schemas.microsoft.com/office/drawing/2014/chart" uri="{C3380CC4-5D6E-409C-BE32-E72D297353CC}">
              <c16:uniqueId val="{00000000-BCCA-4E2D-A0F0-9D31D2CC85EC}"/>
            </c:ext>
          </c:extLst>
        </c:ser>
        <c:ser>
          <c:idx val="1"/>
          <c:order val="1"/>
          <c:tx>
            <c:strRef>
              <c:f>'Fläche-ZW'!$BC$216</c:f>
              <c:strCache>
                <c:ptCount val="1"/>
                <c:pt idx="0">
                  <c:v>SIA 2024:2019</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'Fläche-ZW'!$BE$216:$BY$216</c:f>
              <c:numCache>
                <c:formatCode>0</c:formatCode>
                <c:ptCount val="12"/>
                <c:pt idx="0">
                  <c:v>22</c:v>
                </c:pt>
                <c:pt idx="1">
                  <c:v>22</c:v>
                </c:pt>
                <c:pt idx="2">
                  <c:v>22</c:v>
                </c:pt>
                <c:pt idx="3">
                  <c:v>22</c:v>
                </c:pt>
                <c:pt idx="4">
                  <c:v>22</c:v>
                </c:pt>
                <c:pt idx="5">
                  <c:v>22</c:v>
                </c:pt>
                <c:pt idx="6">
                  <c:v>22</c:v>
                </c:pt>
                <c:pt idx="7">
                  <c:v>22</c:v>
                </c:pt>
                <c:pt idx="8">
                  <c:v>20</c:v>
                </c:pt>
                <c:pt idx="9">
                  <c:v>18</c:v>
                </c:pt>
                <c:pt idx="10">
                  <c:v>18</c:v>
                </c:pt>
                <c:pt idx="11">
                  <c:v>28</c:v>
                </c:pt>
              </c:numCache>
            </c:numRef>
          </c:val>
          <c:extLst>
            <c:ext xmlns:c16="http://schemas.microsoft.com/office/drawing/2014/chart" uri="{C3380CC4-5D6E-409C-BE32-E72D297353CC}">
              <c16:uniqueId val="{00000001-BCCA-4E2D-A0F0-9D31D2CC85EC}"/>
            </c:ext>
          </c:extLst>
        </c:ser>
        <c:dLbls>
          <c:showLegendKey val="0"/>
          <c:showVal val="0"/>
          <c:showCatName val="0"/>
          <c:showSerName val="0"/>
          <c:showPercent val="0"/>
          <c:showBubbleSize val="0"/>
        </c:dLbls>
        <c:gapWidth val="150"/>
        <c:axId val="105294848"/>
        <c:axId val="105321216"/>
      </c:barChart>
      <c:catAx>
        <c:axId val="105294848"/>
        <c:scaling>
          <c:orientation val="minMax"/>
        </c:scaling>
        <c:delete val="0"/>
        <c:axPos val="b"/>
        <c:numFmt formatCode="General" sourceLinked="0"/>
        <c:majorTickMark val="out"/>
        <c:minorTickMark val="none"/>
        <c:tickLblPos val="nextTo"/>
        <c:crossAx val="105321216"/>
        <c:crosses val="autoZero"/>
        <c:auto val="1"/>
        <c:lblAlgn val="ctr"/>
        <c:lblOffset val="100"/>
        <c:noMultiLvlLbl val="0"/>
      </c:catAx>
      <c:valAx>
        <c:axId val="105321216"/>
        <c:scaling>
          <c:orientation val="minMax"/>
          <c:min val="10"/>
        </c:scaling>
        <c:delete val="0"/>
        <c:axPos val="l"/>
        <c:majorGridlines/>
        <c:title>
          <c:tx>
            <c:rich>
              <a:bodyPr rot="-5400000" vert="horz"/>
              <a:lstStyle/>
              <a:p>
                <a:pPr>
                  <a:defRPr b="0"/>
                </a:pPr>
                <a:r>
                  <a:rPr lang="en-US" b="0"/>
                  <a:t>°C</a:t>
                </a:r>
              </a:p>
            </c:rich>
          </c:tx>
          <c:overlay val="0"/>
        </c:title>
        <c:numFmt formatCode="0" sourceLinked="1"/>
        <c:majorTickMark val="out"/>
        <c:minorTickMark val="none"/>
        <c:tickLblPos val="nextTo"/>
        <c:crossAx val="105294848"/>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'Fläche-ZW'!$BC$112</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707A-4E31-ADC2-0563128ABEB3}"/>
            </c:ext>
          </c:extLst>
        </c:ser>
        <c:ser>
          <c:idx val="1"/>
          <c:order val="1"/>
          <c:tx>
            <c:strRef>
              <c:f>'Fläche-ZW'!$BC$113</c:f>
              <c:strCache>
                <c:ptCount val="1"/>
                <c:pt idx="0">
                  <c:v>SIA 2024:2019 (hygienischer Bedarf)</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'Fläche-ZW'!$BE$113:$BY$113</c:f>
              <c:numCache>
                <c:formatCode>0.00</c:formatCode>
                <c:ptCount val="12"/>
                <c:pt idx="0">
                  <c:v>0.27213307240704504</c:v>
                </c:pt>
                <c:pt idx="1">
                  <c:v>0.20169863013698633</c:v>
                </c:pt>
                <c:pt idx="2">
                  <c:v>0.26084148727984346</c:v>
                </c:pt>
                <c:pt idx="3">
                  <c:v>0.53493737769080241</c:v>
                </c:pt>
                <c:pt idx="4">
                  <c:v>0.46673189823874761</c:v>
                </c:pt>
                <c:pt idx="5">
                  <c:v>0.97661448140900209</c:v>
                </c:pt>
                <c:pt idx="6">
                  <c:v>1.3114807566862361</c:v>
                </c:pt>
                <c:pt idx="7">
                  <c:v>0.76928897586431833</c:v>
                </c:pt>
                <c:pt idx="8">
                  <c:v>0.1703283322461405</c:v>
                </c:pt>
                <c:pt idx="9">
                  <c:v>0.13463144161774301</c:v>
                </c:pt>
                <c:pt idx="10">
                  <c:v>0.13275929549902152</c:v>
                </c:pt>
                <c:pt idx="11">
                  <c:v>0.41761252446183961</c:v>
                </c:pt>
              </c:numCache>
            </c:numRef>
          </c:val>
          <c:extLst>
            <c:ext xmlns:c16="http://schemas.microsoft.com/office/drawing/2014/chart" uri="{C3380CC4-5D6E-409C-BE32-E72D297353CC}">
              <c16:uniqueId val="{00000001-707A-4E31-ADC2-0563128ABEB3}"/>
            </c:ext>
          </c:extLst>
        </c:ser>
        <c:dLbls>
          <c:showLegendKey val="0"/>
          <c:showVal val="0"/>
          <c:showCatName val="0"/>
          <c:showSerName val="0"/>
          <c:showPercent val="0"/>
          <c:showBubbleSize val="0"/>
        </c:dLbls>
        <c:gapWidth val="150"/>
        <c:axId val="105371904"/>
        <c:axId val="105373696"/>
      </c:barChart>
      <c:catAx>
        <c:axId val="105371904"/>
        <c:scaling>
          <c:orientation val="minMax"/>
        </c:scaling>
        <c:delete val="0"/>
        <c:axPos val="b"/>
        <c:numFmt formatCode="General" sourceLinked="0"/>
        <c:majorTickMark val="out"/>
        <c:minorTickMark val="none"/>
        <c:tickLblPos val="nextTo"/>
        <c:crossAx val="105373696"/>
        <c:crosses val="autoZero"/>
        <c:auto val="1"/>
        <c:lblAlgn val="ctr"/>
        <c:lblOffset val="100"/>
        <c:noMultiLvlLbl val="0"/>
      </c:catAx>
      <c:valAx>
        <c:axId val="105373696"/>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10537190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 Elektrische Energie</a:t>
            </a:r>
          </a:p>
        </c:rich>
      </c:tx>
      <c:overlay val="0"/>
    </c:title>
    <c:autoTitleDeleted val="0"/>
    <c:plotArea>
      <c:layout>
        <c:manualLayout>
          <c:layoutTarget val="inner"/>
          <c:xMode val="edge"/>
          <c:yMode val="edge"/>
          <c:x val="0.1167441520009202"/>
          <c:y val="9.7302602633093038E-2"/>
          <c:w val="0.85403938053560036"/>
          <c:h val="0.49301769646837312"/>
        </c:manualLayout>
      </c:layout>
      <c:barChart>
        <c:barDir val="col"/>
        <c:grouping val="stacked"/>
        <c:varyColors val="0"/>
        <c:ser>
          <c:idx val="0"/>
          <c:order val="0"/>
          <c:tx>
            <c:strRef>
              <c:f>'Fläche-ZW'!$EX$3</c:f>
              <c:strCache>
                <c:ptCount val="1"/>
                <c:pt idx="0">
                  <c:v>Heizung, Lüftung</c:v>
                </c:pt>
              </c:strCache>
            </c:strRef>
          </c:tx>
          <c:spPr>
            <a:solidFill>
              <a:srgbClr val="FF0000"/>
            </a:solidFill>
          </c:spPr>
          <c:invertIfNegative val="0"/>
          <c:cat>
            <c:strRef>
              <c:f>'Fläche-ZW'!$EZ$2:$FS$2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'Fläche-ZW'!$EZ$3:$FS$3</c:f>
              <c:numCache>
                <c:formatCode>General</c:formatCode>
                <c:ptCount val="11"/>
                <c:pt idx="0">
                  <c:v>7</c:v>
                </c:pt>
                <c:pt idx="1">
                  <c:v>10.5</c:v>
                </c:pt>
                <c:pt idx="2">
                  <c:v>16.5</c:v>
                </c:pt>
                <c:pt idx="3">
                  <c:v>14</c:v>
                </c:pt>
                <c:pt idx="4">
                  <c:v>16.5</c:v>
                </c:pt>
                <c:pt idx="5">
                  <c:v>22.5</c:v>
                </c:pt>
                <c:pt idx="6">
                  <c:v>13</c:v>
                </c:pt>
                <c:pt idx="7">
                  <c:v>21</c:v>
                </c:pt>
                <c:pt idx="8">
                  <c:v>6.5</c:v>
                </c:pt>
                <c:pt idx="9">
                  <c:v>9.5</c:v>
                </c:pt>
                <c:pt idx="10">
                  <c:v>12.5</c:v>
                </c:pt>
              </c:numCache>
            </c:numRef>
          </c:val>
          <c:extLst>
            <c:ext xmlns:c16="http://schemas.microsoft.com/office/drawing/2014/chart" uri="{C3380CC4-5D6E-409C-BE32-E72D297353CC}">
              <c16:uniqueId val="{00000000-3E2B-4017-8495-F79E71069472}"/>
            </c:ext>
          </c:extLst>
        </c:ser>
        <c:ser>
          <c:idx val="1"/>
          <c:order val="1"/>
          <c:tx>
            <c:strRef>
              <c:f>'Fläche-ZW'!$EX$4</c:f>
              <c:strCache>
                <c:ptCount val="1"/>
                <c:pt idx="0">
                  <c:v>Warmwassser</c:v>
                </c:pt>
              </c:strCache>
            </c:strRef>
          </c:tx>
          <c:spPr>
            <a:solidFill>
              <a:srgbClr val="FFC000"/>
            </a:solidFill>
          </c:spPr>
          <c:invertIfNegative val="0"/>
          <c:cat>
            <c:strRef>
              <c:f>'Fläche-ZW'!$EZ$2:$FS$2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'Fläche-ZW'!$EZ$4:$FS$4</c:f>
              <c:numCache>
                <c:formatCode>General</c:formatCode>
                <c:ptCount val="11"/>
                <c:pt idx="0">
                  <c:v>10.5</c:v>
                </c:pt>
                <c:pt idx="1">
                  <c:v>7</c:v>
                </c:pt>
                <c:pt idx="2">
                  <c:v>3.5</c:v>
                </c:pt>
                <c:pt idx="3">
                  <c:v>3.5</c:v>
                </c:pt>
                <c:pt idx="4">
                  <c:v>3.5</c:v>
                </c:pt>
                <c:pt idx="5">
                  <c:v>0</c:v>
                </c:pt>
                <c:pt idx="6">
                  <c:v>7</c:v>
                </c:pt>
                <c:pt idx="7">
                  <c:v>14</c:v>
                </c:pt>
                <c:pt idx="8">
                  <c:v>3.5</c:v>
                </c:pt>
                <c:pt idx="9">
                  <c:v>0.5</c:v>
                </c:pt>
                <c:pt idx="10">
                  <c:v>0</c:v>
                </c:pt>
              </c:numCache>
            </c:numRef>
          </c:val>
          <c:extLst>
            <c:ext xmlns:c16="http://schemas.microsoft.com/office/drawing/2014/chart" uri="{C3380CC4-5D6E-409C-BE32-E72D297353CC}">
              <c16:uniqueId val="{00000001-3E2B-4017-8495-F79E71069472}"/>
            </c:ext>
          </c:extLst>
        </c:ser>
        <c:ser>
          <c:idx val="2"/>
          <c:order val="2"/>
          <c:tx>
            <c:strRef>
              <c:f>'Fläche-ZW'!$EX$5</c:f>
              <c:strCache>
                <c:ptCount val="1"/>
                <c:pt idx="0">
                  <c:v>Geräte</c:v>
                </c:pt>
              </c:strCache>
            </c:strRef>
          </c:tx>
          <c:invertIfNegative val="0"/>
          <c:cat>
            <c:strRef>
              <c:f>'Fläche-ZW'!$EZ$2:$FS$2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'Fläche-ZW'!$EZ$5:$FS$5</c:f>
              <c:numCache>
                <c:formatCode>General</c:formatCode>
                <c:ptCount val="11"/>
                <c:pt idx="0">
                  <c:v>18.5</c:v>
                </c:pt>
                <c:pt idx="1">
                  <c:v>17.5</c:v>
                </c:pt>
                <c:pt idx="2">
                  <c:v>32.5</c:v>
                </c:pt>
                <c:pt idx="3">
                  <c:v>7</c:v>
                </c:pt>
                <c:pt idx="4">
                  <c:v>14.5</c:v>
                </c:pt>
                <c:pt idx="5">
                  <c:v>21.5</c:v>
                </c:pt>
                <c:pt idx="6">
                  <c:v>3.5</c:v>
                </c:pt>
                <c:pt idx="7">
                  <c:v>14.5</c:v>
                </c:pt>
                <c:pt idx="8">
                  <c:v>14.5</c:v>
                </c:pt>
                <c:pt idx="9">
                  <c:v>3.5</c:v>
                </c:pt>
                <c:pt idx="10">
                  <c:v>3.5</c:v>
                </c:pt>
              </c:numCache>
            </c:numRef>
          </c:val>
          <c:extLst>
            <c:ext xmlns:c16="http://schemas.microsoft.com/office/drawing/2014/chart" uri="{C3380CC4-5D6E-409C-BE32-E72D297353CC}">
              <c16:uniqueId val="{00000002-3E2B-4017-8495-F79E71069472}"/>
            </c:ext>
          </c:extLst>
        </c:ser>
        <c:ser>
          <c:idx val="3"/>
          <c:order val="3"/>
          <c:tx>
            <c:strRef>
              <c:f>'Fläche-ZW'!$EX$6</c:f>
              <c:strCache>
                <c:ptCount val="1"/>
                <c:pt idx="0">
                  <c:v>Beleuchtung</c:v>
                </c:pt>
              </c:strCache>
            </c:strRef>
          </c:tx>
          <c:spPr>
            <a:solidFill>
              <a:srgbClr val="FFFF00"/>
            </a:solidFill>
          </c:spPr>
          <c:invertIfNegative val="0"/>
          <c:cat>
            <c:strRef>
              <c:f>'Fläche-ZW'!$EZ$2:$FS$2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'Fläche-ZW'!$EZ$6:$FS$6</c:f>
              <c:numCache>
                <c:formatCode>General</c:formatCode>
                <c:ptCount val="11"/>
                <c:pt idx="0">
                  <c:v>0</c:v>
                </c:pt>
                <c:pt idx="1">
                  <c:v>0</c:v>
                </c:pt>
                <c:pt idx="2">
                  <c:v>9</c:v>
                </c:pt>
                <c:pt idx="3">
                  <c:v>8</c:v>
                </c:pt>
                <c:pt idx="4">
                  <c:v>40</c:v>
                </c:pt>
                <c:pt idx="5">
                  <c:v>14</c:v>
                </c:pt>
                <c:pt idx="6">
                  <c:v>10</c:v>
                </c:pt>
                <c:pt idx="7">
                  <c:v>14</c:v>
                </c:pt>
                <c:pt idx="8">
                  <c:v>14</c:v>
                </c:pt>
                <c:pt idx="9">
                  <c:v>14</c:v>
                </c:pt>
                <c:pt idx="10">
                  <c:v>9</c:v>
                </c:pt>
              </c:numCache>
            </c:numRef>
          </c:val>
          <c:extLst>
            <c:ext xmlns:c16="http://schemas.microsoft.com/office/drawing/2014/chart" uri="{C3380CC4-5D6E-409C-BE32-E72D297353CC}">
              <c16:uniqueId val="{00000003-3E2B-4017-8495-F79E71069472}"/>
            </c:ext>
          </c:extLst>
        </c:ser>
        <c:ser>
          <c:idx val="4"/>
          <c:order val="4"/>
          <c:tx>
            <c:strRef>
              <c:f>'Fläche-ZW'!$EX$7</c:f>
              <c:strCache>
                <c:ptCount val="1"/>
                <c:pt idx="0">
                  <c:v>Allgemeine GT</c:v>
                </c:pt>
              </c:strCache>
            </c:strRef>
          </c:tx>
          <c:spPr>
            <a:solidFill>
              <a:schemeClr val="bg1">
                <a:lumMod val="65000"/>
              </a:schemeClr>
            </a:solidFill>
          </c:spPr>
          <c:invertIfNegative val="0"/>
          <c:cat>
            <c:strRef>
              <c:f>'Fläche-ZW'!$EZ$2:$FS$2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'Fläche-ZW'!$EZ$7:$FS$7</c:f>
              <c:numCache>
                <c:formatCode>General</c:formatCode>
                <c:ptCount val="11"/>
                <c:pt idx="0">
                  <c:v>0</c:v>
                </c:pt>
                <c:pt idx="1">
                  <c:v>0</c:v>
                </c:pt>
                <c:pt idx="2">
                  <c:v>7</c:v>
                </c:pt>
                <c:pt idx="3">
                  <c:v>3.5</c:v>
                </c:pt>
                <c:pt idx="4">
                  <c:v>3.5</c:v>
                </c:pt>
                <c:pt idx="5">
                  <c:v>3.5</c:v>
                </c:pt>
                <c:pt idx="6">
                  <c:v>3.5</c:v>
                </c:pt>
                <c:pt idx="7">
                  <c:v>7</c:v>
                </c:pt>
                <c:pt idx="8">
                  <c:v>3.5</c:v>
                </c:pt>
                <c:pt idx="9">
                  <c:v>3.5</c:v>
                </c:pt>
                <c:pt idx="10">
                  <c:v>3.5</c:v>
                </c:pt>
              </c:numCache>
            </c:numRef>
          </c:val>
          <c:extLst>
            <c:ext xmlns:c16="http://schemas.microsoft.com/office/drawing/2014/chart" uri="{C3380CC4-5D6E-409C-BE32-E72D297353CC}">
              <c16:uniqueId val="{00000004-3E2B-4017-8495-F79E71069472}"/>
            </c:ext>
          </c:extLst>
        </c:ser>
        <c:dLbls>
          <c:showLegendKey val="0"/>
          <c:showVal val="0"/>
          <c:showCatName val="0"/>
          <c:showSerName val="0"/>
          <c:showPercent val="0"/>
          <c:showBubbleSize val="0"/>
        </c:dLbls>
        <c:gapWidth val="150"/>
        <c:overlap val="100"/>
        <c:axId val="105459072"/>
        <c:axId val="105473152"/>
      </c:barChart>
      <c:catAx>
        <c:axId val="105459072"/>
        <c:scaling>
          <c:orientation val="minMax"/>
        </c:scaling>
        <c:delete val="0"/>
        <c:axPos val="b"/>
        <c:numFmt formatCode="General" sourceLinked="0"/>
        <c:majorTickMark val="out"/>
        <c:minorTickMark val="none"/>
        <c:tickLblPos val="nextTo"/>
        <c:crossAx val="105473152"/>
        <c:crosses val="autoZero"/>
        <c:auto val="1"/>
        <c:lblAlgn val="ctr"/>
        <c:lblOffset val="100"/>
        <c:noMultiLvlLbl val="0"/>
      </c:catAx>
      <c:valAx>
        <c:axId val="105473152"/>
        <c:scaling>
          <c:orientation val="minMax"/>
        </c:scaling>
        <c:delete val="0"/>
        <c:axPos val="l"/>
        <c:majorGridlines/>
        <c:title>
          <c:tx>
            <c:rich>
              <a:bodyPr rot="-5400000" vert="horz"/>
              <a:lstStyle/>
              <a:p>
                <a:pPr>
                  <a:defRPr/>
                </a:pPr>
                <a:r>
                  <a:rPr lang="en-US"/>
                  <a:t>kWh/m2</a:t>
                </a:r>
              </a:p>
            </c:rich>
          </c:tx>
          <c:overlay val="0"/>
        </c:title>
        <c:numFmt formatCode="General" sourceLinked="1"/>
        <c:majorTickMark val="out"/>
        <c:minorTickMark val="none"/>
        <c:tickLblPos val="nextTo"/>
        <c:crossAx val="105459072"/>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SIA 2024 - Elektrische Energie</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'Fläche-ZW'!$FW$3</c:f>
              <c:strCache>
                <c:ptCount val="1"/>
                <c:pt idx="0">
                  <c:v>Heizung</c:v>
                </c:pt>
              </c:strCache>
            </c:strRef>
          </c:tx>
          <c:spPr>
            <a:solidFill>
              <a:srgbClr val="FF0000"/>
            </a:solidFill>
          </c:spPr>
          <c:invertIfNegative val="0"/>
          <c:cat>
            <c:strRef>
              <c:f>'Fläche-ZW'!$FY$2:$GT$2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'Fläche-ZW'!$FY$3:$GR$3</c:f>
              <c:numCache>
                <c:formatCode>0.0</c:formatCode>
                <c:ptCount val="15"/>
                <c:pt idx="0">
                  <c:v>2.9316759727925952</c:v>
                </c:pt>
                <c:pt idx="1">
                  <c:v>3.4677420850142067</c:v>
                </c:pt>
                <c:pt idx="2" formatCode="General">
                  <c:v>3.0502648677201059</c:v>
                </c:pt>
                <c:pt idx="3" formatCode="General">
                  <c:v>1.8523198919491006</c:v>
                </c:pt>
                <c:pt idx="4">
                  <c:v>2.3483891487356088</c:v>
                </c:pt>
                <c:pt idx="5">
                  <c:v>1.9680363234112812</c:v>
                </c:pt>
                <c:pt idx="6" formatCode="General">
                  <c:v>0.91076575582265462</c:v>
                </c:pt>
                <c:pt idx="7" formatCode="General">
                  <c:v>0.94965736701929415</c:v>
                </c:pt>
                <c:pt idx="8" formatCode="General">
                  <c:v>2.3325170201539636</c:v>
                </c:pt>
                <c:pt idx="9" formatCode="General">
                  <c:v>1.5668063428867471</c:v>
                </c:pt>
                <c:pt idx="10" formatCode="General">
                  <c:v>1.7111783774138762</c:v>
                </c:pt>
                <c:pt idx="11" formatCode="General">
                  <c:v>1.6790094780884079</c:v>
                </c:pt>
                <c:pt idx="12" formatCode="General">
                  <c:v>1.8248938807526587</c:v>
                </c:pt>
                <c:pt idx="13" formatCode="General">
                  <c:v>1.8097730027225172</c:v>
                </c:pt>
                <c:pt idx="14" formatCode="General">
                  <c:v>4.4599547805917608</c:v>
                </c:pt>
              </c:numCache>
            </c:numRef>
          </c:val>
          <c:extLst>
            <c:ext xmlns:c16="http://schemas.microsoft.com/office/drawing/2014/chart" uri="{C3380CC4-5D6E-409C-BE32-E72D297353CC}">
              <c16:uniqueId val="{00000000-C993-4E80-91B7-20C01B42C5A9}"/>
            </c:ext>
          </c:extLst>
        </c:ser>
        <c:ser>
          <c:idx val="1"/>
          <c:order val="1"/>
          <c:tx>
            <c:strRef>
              <c:f>'Fläche-ZW'!$FW$5</c:f>
              <c:strCache>
                <c:ptCount val="1"/>
                <c:pt idx="0">
                  <c:v>Lüftung</c:v>
                </c:pt>
              </c:strCache>
            </c:strRef>
          </c:tx>
          <c:spPr>
            <a:solidFill>
              <a:srgbClr val="C00000"/>
            </a:solidFill>
          </c:spPr>
          <c:invertIfNegative val="0"/>
          <c:cat>
            <c:strRef>
              <c:f>'Fläche-ZW'!$FY$2:$GT$2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'Fläche-ZW'!$FY$5:$GT$5</c:f>
              <c:numCache>
                <c:formatCode>0.0</c:formatCode>
                <c:ptCount val="17"/>
                <c:pt idx="0">
                  <c:v>2.7887072000000006</c:v>
                </c:pt>
                <c:pt idx="1">
                  <c:v>4.6930259047619058</c:v>
                </c:pt>
                <c:pt idx="2">
                  <c:v>0.61041411199999995</c:v>
                </c:pt>
                <c:pt idx="3">
                  <c:v>1.3441032876190475</c:v>
                </c:pt>
                <c:pt idx="4">
                  <c:v>1.3628216342857147</c:v>
                </c:pt>
                <c:pt idx="5">
                  <c:v>1.8935002019047624</c:v>
                </c:pt>
                <c:pt idx="6">
                  <c:v>1.6138142742857142</c:v>
                </c:pt>
                <c:pt idx="7">
                  <c:v>1.6159523542857142</c:v>
                </c:pt>
                <c:pt idx="8">
                  <c:v>4.1078234742857154</c:v>
                </c:pt>
                <c:pt idx="9">
                  <c:v>4.574929714285715</c:v>
                </c:pt>
                <c:pt idx="10">
                  <c:v>2.7454758476190477</c:v>
                </c:pt>
                <c:pt idx="11">
                  <c:v>3.083422247619048</c:v>
                </c:pt>
                <c:pt idx="12">
                  <c:v>1.1551397498412701</c:v>
                </c:pt>
                <c:pt idx="13">
                  <c:v>0.75148356095238134</c:v>
                </c:pt>
                <c:pt idx="14">
                  <c:v>1.3501816</c:v>
                </c:pt>
                <c:pt idx="15">
                  <c:v>3.0589409142857154</c:v>
                </c:pt>
                <c:pt idx="16">
                  <c:v>7.3372000000000021E-2</c:v>
                </c:pt>
              </c:numCache>
            </c:numRef>
          </c:val>
          <c:extLst>
            <c:ext xmlns:c16="http://schemas.microsoft.com/office/drawing/2014/chart" uri="{C3380CC4-5D6E-409C-BE32-E72D297353CC}">
              <c16:uniqueId val="{00000001-C993-4E80-91B7-20C01B42C5A9}"/>
            </c:ext>
          </c:extLst>
        </c:ser>
        <c:ser>
          <c:idx val="2"/>
          <c:order val="2"/>
          <c:tx>
            <c:strRef>
              <c:f>'Fläche-ZW'!$FW$4</c:f>
              <c:strCache>
                <c:ptCount val="1"/>
                <c:pt idx="0">
                  <c:v>Warmwassser</c:v>
                </c:pt>
              </c:strCache>
            </c:strRef>
          </c:tx>
          <c:spPr>
            <a:solidFill>
              <a:srgbClr val="FFC000"/>
            </a:solidFill>
          </c:spPr>
          <c:invertIfNegative val="0"/>
          <c:cat>
            <c:strRef>
              <c:f>'Fläche-ZW'!$FY$2:$GT$2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C993-4E80-91B7-20C01B42C5A9}"/>
            </c:ext>
          </c:extLst>
        </c:ser>
        <c:ser>
          <c:idx val="3"/>
          <c:order val="3"/>
          <c:tx>
            <c:strRef>
              <c:f>'Fläche-ZW'!$FW$7</c:f>
              <c:strCache>
                <c:ptCount val="1"/>
                <c:pt idx="0">
                  <c:v>Geräte</c:v>
                </c:pt>
              </c:strCache>
            </c:strRef>
          </c:tx>
          <c:spPr>
            <a:solidFill>
              <a:schemeClr val="accent3"/>
            </a:solidFill>
          </c:spPr>
          <c:invertIfNegative val="0"/>
          <c:cat>
            <c:strRef>
              <c:f>'Fläche-ZW'!$FY$2:$GT$2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'Fläche-ZW'!$FY$7:$GT$7</c:f>
              <c:numCache>
                <c:formatCode>0.0</c:formatCode>
                <c:ptCount val="17"/>
                <c:pt idx="0">
                  <c:v>14.688000000000002</c:v>
                </c:pt>
                <c:pt idx="1">
                  <c:v>12.284000000000001</c:v>
                </c:pt>
                <c:pt idx="2">
                  <c:v>6.4080000000000004</c:v>
                </c:pt>
                <c:pt idx="3">
                  <c:v>10.224</c:v>
                </c:pt>
                <c:pt idx="4">
                  <c:v>3.5337600000000005</c:v>
                </c:pt>
                <c:pt idx="5">
                  <c:v>5.7192000000000007</c:v>
                </c:pt>
                <c:pt idx="6">
                  <c:v>2.6232000000000002</c:v>
                </c:pt>
                <c:pt idx="7">
                  <c:v>2.4408000000000003</c:v>
                </c:pt>
                <c:pt idx="8">
                  <c:v>3.6224000000000007</c:v>
                </c:pt>
                <c:pt idx="9">
                  <c:v>3.3864000000000005</c:v>
                </c:pt>
                <c:pt idx="10">
                  <c:v>5.9043999999999999</c:v>
                </c:pt>
                <c:pt idx="11">
                  <c:v>5.0004</c:v>
                </c:pt>
                <c:pt idx="12">
                  <c:v>6.9223999999999997</c:v>
                </c:pt>
                <c:pt idx="13">
                  <c:v>2.468</c:v>
                </c:pt>
                <c:pt idx="14">
                  <c:v>0</c:v>
                </c:pt>
                <c:pt idx="15">
                  <c:v>3.9720000000000009</c:v>
                </c:pt>
                <c:pt idx="16">
                  <c:v>1.5335999999999999</c:v>
                </c:pt>
              </c:numCache>
            </c:numRef>
          </c:val>
          <c:extLst>
            <c:ext xmlns:c16="http://schemas.microsoft.com/office/drawing/2014/chart" uri="{C3380CC4-5D6E-409C-BE32-E72D297353CC}">
              <c16:uniqueId val="{00000003-C993-4E80-91B7-20C01B42C5A9}"/>
            </c:ext>
          </c:extLst>
        </c:ser>
        <c:ser>
          <c:idx val="4"/>
          <c:order val="4"/>
          <c:tx>
            <c:strRef>
              <c:f>'Fläche-ZW'!$FW$9</c:f>
              <c:strCache>
                <c:ptCount val="1"/>
                <c:pt idx="0">
                  <c:v>Beleuchtung</c:v>
                </c:pt>
              </c:strCache>
            </c:strRef>
          </c:tx>
          <c:spPr>
            <a:solidFill>
              <a:srgbClr val="FFFF00"/>
            </a:solidFill>
          </c:spPr>
          <c:invertIfNegative val="0"/>
          <c:cat>
            <c:strRef>
              <c:f>'Fläche-ZW'!$FY$2:$GT$2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'Fläche-ZW'!$FY$9:$GT$9</c:f>
              <c:numCache>
                <c:formatCode>0.0</c:formatCode>
                <c:ptCount val="17"/>
                <c:pt idx="0">
                  <c:v>2.1526810000000007</c:v>
                </c:pt>
                <c:pt idx="1">
                  <c:v>4.8560016666666677</c:v>
                </c:pt>
                <c:pt idx="2">
                  <c:v>0.82553874643874647</c:v>
                </c:pt>
                <c:pt idx="3">
                  <c:v>1.2562361965811963</c:v>
                </c:pt>
                <c:pt idx="4">
                  <c:v>0.99508483923483948</c:v>
                </c:pt>
                <c:pt idx="5">
                  <c:v>1.521361406186406</c:v>
                </c:pt>
                <c:pt idx="6">
                  <c:v>14.512314031339029</c:v>
                </c:pt>
                <c:pt idx="7">
                  <c:v>14.517997136752136</c:v>
                </c:pt>
                <c:pt idx="8">
                  <c:v>2.374415242165242</c:v>
                </c:pt>
                <c:pt idx="9">
                  <c:v>6.0826807692307696</c:v>
                </c:pt>
                <c:pt idx="10">
                  <c:v>3.6043782051282052</c:v>
                </c:pt>
                <c:pt idx="11">
                  <c:v>2.9449035612535615</c:v>
                </c:pt>
                <c:pt idx="12">
                  <c:v>1.8168513247863249</c:v>
                </c:pt>
                <c:pt idx="13">
                  <c:v>2.9044777136752145</c:v>
                </c:pt>
                <c:pt idx="14">
                  <c:v>2.5448910256410247</c:v>
                </c:pt>
                <c:pt idx="15">
                  <c:v>1.8661383190883194</c:v>
                </c:pt>
                <c:pt idx="16">
                  <c:v>1.1488220170940169</c:v>
                </c:pt>
              </c:numCache>
            </c:numRef>
          </c:val>
          <c:extLst>
            <c:ext xmlns:c16="http://schemas.microsoft.com/office/drawing/2014/chart" uri="{C3380CC4-5D6E-409C-BE32-E72D297353CC}">
              <c16:uniqueId val="{00000004-C993-4E80-91B7-20C01B42C5A9}"/>
            </c:ext>
          </c:extLst>
        </c:ser>
        <c:ser>
          <c:idx val="5"/>
          <c:order val="5"/>
          <c:tx>
            <c:strRef>
              <c:f>'Fläche-ZW'!$FW$10</c:f>
              <c:strCache>
                <c:ptCount val="1"/>
                <c:pt idx="0">
                  <c:v>Allgemeine GT</c:v>
                </c:pt>
              </c:strCache>
            </c:strRef>
          </c:tx>
          <c:spPr>
            <a:solidFill>
              <a:schemeClr val="bg1">
                <a:lumMod val="65000"/>
              </a:schemeClr>
            </a:solidFill>
          </c:spPr>
          <c:invertIfNegative val="0"/>
          <c:cat>
            <c:strRef>
              <c:f>'Fläche-ZW'!$FY$2:$GT$2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'Fläche-ZW'!$FY$10:$GT$10</c:f>
              <c:numCache>
                <c:formatCode>0.0</c:formatCode>
                <c:ptCount val="17"/>
                <c:pt idx="0">
                  <c:v>3</c:v>
                </c:pt>
                <c:pt idx="1">
                  <c:v>8.16</c:v>
                </c:pt>
                <c:pt idx="2">
                  <c:v>1.4</c:v>
                </c:pt>
                <c:pt idx="3">
                  <c:v>3.3680000000000003</c:v>
                </c:pt>
                <c:pt idx="4">
                  <c:v>3.1280000000000001</c:v>
                </c:pt>
                <c:pt idx="5">
                  <c:v>8.16</c:v>
                </c:pt>
                <c:pt idx="6">
                  <c:v>7.5440000000000005</c:v>
                </c:pt>
                <c:pt idx="7">
                  <c:v>7.5440000000000005</c:v>
                </c:pt>
                <c:pt idx="8">
                  <c:v>8.3840000000000003</c:v>
                </c:pt>
                <c:pt idx="9">
                  <c:v>3.8479999999999999</c:v>
                </c:pt>
                <c:pt idx="10">
                  <c:v>8.2000000000000011</c:v>
                </c:pt>
                <c:pt idx="11">
                  <c:v>8.2000000000000011</c:v>
                </c:pt>
                <c:pt idx="12">
                  <c:v>6.6959999999999997</c:v>
                </c:pt>
                <c:pt idx="13">
                  <c:v>1.6480000000000001</c:v>
                </c:pt>
                <c:pt idx="14">
                  <c:v>3.2320000000000002</c:v>
                </c:pt>
                <c:pt idx="15">
                  <c:v>6.88</c:v>
                </c:pt>
                <c:pt idx="16">
                  <c:v>4.2160000000000002</c:v>
                </c:pt>
              </c:numCache>
            </c:numRef>
          </c:val>
          <c:extLst>
            <c:ext xmlns:c16="http://schemas.microsoft.com/office/drawing/2014/chart" uri="{C3380CC4-5D6E-409C-BE32-E72D297353CC}">
              <c16:uniqueId val="{00000005-C993-4E80-91B7-20C01B42C5A9}"/>
            </c:ext>
          </c:extLst>
        </c:ser>
        <c:dLbls>
          <c:showLegendKey val="0"/>
          <c:showVal val="0"/>
          <c:showCatName val="0"/>
          <c:showSerName val="0"/>
          <c:showPercent val="0"/>
          <c:showBubbleSize val="0"/>
        </c:dLbls>
        <c:gapWidth val="150"/>
        <c:overlap val="100"/>
        <c:axId val="106444288"/>
        <c:axId val="106445824"/>
      </c:barChart>
      <c:catAx>
        <c:axId val="106444288"/>
        <c:scaling>
          <c:orientation val="minMax"/>
        </c:scaling>
        <c:delete val="0"/>
        <c:axPos val="b"/>
        <c:numFmt formatCode="General" sourceLinked="0"/>
        <c:majorTickMark val="out"/>
        <c:minorTickMark val="none"/>
        <c:tickLblPos val="nextTo"/>
        <c:crossAx val="106445824"/>
        <c:crosses val="autoZero"/>
        <c:auto val="1"/>
        <c:lblAlgn val="ctr"/>
        <c:lblOffset val="100"/>
        <c:noMultiLvlLbl val="0"/>
      </c:catAx>
      <c:valAx>
        <c:axId val="106445824"/>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06444288"/>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'Fläche-ZW'!$BC$143</c:f>
              <c:strCache>
                <c:ptCount val="1"/>
                <c:pt idx="0">
                  <c:v>SIA 380/1</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'Fläche-ZW'!$BE$143:$BY$143</c:f>
              <c:numCache>
                <c:formatCode>General</c:formatCode>
                <c:ptCount val="12"/>
                <c:pt idx="0">
                  <c:v>56</c:v>
                </c:pt>
                <c:pt idx="1">
                  <c:v>84</c:v>
                </c:pt>
                <c:pt idx="2">
                  <c:v>56</c:v>
                </c:pt>
                <c:pt idx="3">
                  <c:v>42</c:v>
                </c:pt>
                <c:pt idx="4">
                  <c:v>42</c:v>
                </c:pt>
                <c:pt idx="5">
                  <c:v>48</c:v>
                </c:pt>
                <c:pt idx="6">
                  <c:v>40</c:v>
                </c:pt>
                <c:pt idx="7">
                  <c:v>45</c:v>
                </c:pt>
                <c:pt idx="8">
                  <c:v>84</c:v>
                </c:pt>
                <c:pt idx="9">
                  <c:v>120</c:v>
                </c:pt>
                <c:pt idx="10">
                  <c:v>56</c:v>
                </c:pt>
                <c:pt idx="11">
                  <c:v>84</c:v>
                </c:pt>
              </c:numCache>
            </c:numRef>
          </c:val>
          <c:extLst>
            <c:ext xmlns:c16="http://schemas.microsoft.com/office/drawing/2014/chart" uri="{C3380CC4-5D6E-409C-BE32-E72D297353CC}">
              <c16:uniqueId val="{00000000-8546-48CE-B7EA-F36D82CB311D}"/>
            </c:ext>
          </c:extLst>
        </c:ser>
        <c:ser>
          <c:idx val="1"/>
          <c:order val="1"/>
          <c:tx>
            <c:strRef>
              <c:f>'Fläche-ZW'!$BC$144</c:f>
              <c:strCache>
                <c:ptCount val="1"/>
                <c:pt idx="0">
                  <c:v>SIA 2024:2019 (Auslegung)</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'Fläche-ZW'!$BE$144:$BY$144</c:f>
              <c:numCache>
                <c:formatCode>General</c:formatCode>
                <c:ptCount val="12"/>
                <c:pt idx="0">
                  <c:v>55.384615384615387</c:v>
                </c:pt>
                <c:pt idx="1">
                  <c:v>51.692307692307693</c:v>
                </c:pt>
                <c:pt idx="2">
                  <c:v>60</c:v>
                </c:pt>
                <c:pt idx="3">
                  <c:v>43.2</c:v>
                </c:pt>
                <c:pt idx="4">
                  <c:v>56.571428571428569</c:v>
                </c:pt>
                <c:pt idx="5">
                  <c:v>60</c:v>
                </c:pt>
                <c:pt idx="6">
                  <c:v>28.5</c:v>
                </c:pt>
                <c:pt idx="7">
                  <c:v>41.142857142857146</c:v>
                </c:pt>
                <c:pt idx="8">
                  <c:v>86.4</c:v>
                </c:pt>
                <c:pt idx="9">
                  <c:v>172.8</c:v>
                </c:pt>
                <c:pt idx="10">
                  <c:v>528</c:v>
                </c:pt>
                <c:pt idx="11">
                  <c:v>102</c:v>
                </c:pt>
              </c:numCache>
            </c:numRef>
          </c:val>
          <c:extLst>
            <c:ext xmlns:c16="http://schemas.microsoft.com/office/drawing/2014/chart" uri="{C3380CC4-5D6E-409C-BE32-E72D297353CC}">
              <c16:uniqueId val="{00000001-8546-48CE-B7EA-F36D82CB311D}"/>
            </c:ext>
          </c:extLst>
        </c:ser>
        <c:ser>
          <c:idx val="2"/>
          <c:order val="2"/>
          <c:tx>
            <c:strRef>
              <c:f>'Fläche-ZW'!$BC$145</c:f>
              <c:strCache>
                <c:ptCount val="1"/>
                <c:pt idx="0">
                  <c:v>SIA 2024:2019 (Hygiene)</c:v>
                </c:pt>
              </c:strCache>
            </c:strRef>
          </c:tx>
          <c:invertIfNegative val="0"/>
          <c:val>
            <c:numRef>
              <c:f>'Fläche-ZW'!$BE$145:$BY$145</c:f>
              <c:numCache>
                <c:formatCode>General</c:formatCode>
                <c:ptCount val="12"/>
                <c:pt idx="0">
                  <c:v>25</c:v>
                </c:pt>
                <c:pt idx="1">
                  <c:v>25</c:v>
                </c:pt>
                <c:pt idx="2">
                  <c:v>25</c:v>
                </c:pt>
                <c:pt idx="3">
                  <c:v>25</c:v>
                </c:pt>
                <c:pt idx="4">
                  <c:v>25</c:v>
                </c:pt>
                <c:pt idx="5">
                  <c:v>25</c:v>
                </c:pt>
                <c:pt idx="6">
                  <c:v>25</c:v>
                </c:pt>
                <c:pt idx="7">
                  <c:v>25</c:v>
                </c:pt>
                <c:pt idx="8">
                  <c:v>25</c:v>
                </c:pt>
                <c:pt idx="9">
                  <c:v>41.666666666666671</c:v>
                </c:pt>
                <c:pt idx="10">
                  <c:v>62.500000000000007</c:v>
                </c:pt>
                <c:pt idx="11">
                  <c:v>25</c:v>
                </c:pt>
              </c:numCache>
            </c:numRef>
          </c:val>
          <c:extLst>
            <c:ext xmlns:c16="http://schemas.microsoft.com/office/drawing/2014/chart" uri="{C3380CC4-5D6E-409C-BE32-E72D297353CC}">
              <c16:uniqueId val="{00000002-8546-48CE-B7EA-F36D82CB311D}"/>
            </c:ext>
          </c:extLst>
        </c:ser>
        <c:dLbls>
          <c:showLegendKey val="0"/>
          <c:showVal val="0"/>
          <c:showCatName val="0"/>
          <c:showSerName val="0"/>
          <c:showPercent val="0"/>
          <c:showBubbleSize val="0"/>
        </c:dLbls>
        <c:gapWidth val="150"/>
        <c:axId val="106484864"/>
        <c:axId val="106486400"/>
      </c:barChart>
      <c:catAx>
        <c:axId val="106484864"/>
        <c:scaling>
          <c:orientation val="minMax"/>
        </c:scaling>
        <c:delete val="0"/>
        <c:axPos val="b"/>
        <c:numFmt formatCode="General" sourceLinked="0"/>
        <c:majorTickMark val="out"/>
        <c:minorTickMark val="none"/>
        <c:tickLblPos val="nextTo"/>
        <c:crossAx val="106486400"/>
        <c:crosses val="autoZero"/>
        <c:auto val="1"/>
        <c:lblAlgn val="ctr"/>
        <c:lblOffset val="100"/>
        <c:noMultiLvlLbl val="0"/>
      </c:catAx>
      <c:valAx>
        <c:axId val="106486400"/>
        <c:scaling>
          <c:orientation val="minMax"/>
        </c:scaling>
        <c:delete val="0"/>
        <c:axPos val="l"/>
        <c:majorGridlines/>
        <c:title>
          <c:tx>
            <c:rich>
              <a:bodyPr rot="-5400000" vert="horz"/>
              <a:lstStyle/>
              <a:p>
                <a:pPr>
                  <a:defRPr b="0"/>
                </a:pPr>
                <a:r>
                  <a:rPr lang="en-US" b="0"/>
                  <a:t>m3/(Ph)</a:t>
                </a:r>
              </a:p>
            </c:rich>
          </c:tx>
          <c:overlay val="0"/>
        </c:title>
        <c:numFmt formatCode="General" sourceLinked="1"/>
        <c:majorTickMark val="out"/>
        <c:minorTickMark val="none"/>
        <c:tickLblPos val="nextTo"/>
        <c:crossAx val="10648486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r>
              <a:rPr lang="de-CH" sz="900" b="0" baseline="0"/>
              <a:t> Total</a:t>
            </a:r>
            <a:endParaRPr lang="de-CH" sz="900" b="0"/>
          </a:p>
        </c:rich>
      </c:tx>
      <c:overlay val="0"/>
    </c:title>
    <c:autoTitleDeleted val="0"/>
    <c:plotArea>
      <c:layout/>
      <c:barChart>
        <c:barDir val="col"/>
        <c:grouping val="clustered"/>
        <c:varyColors val="0"/>
        <c:ser>
          <c:idx val="2"/>
          <c:order val="0"/>
          <c:tx>
            <c:strRef>
              <c:f>'Fläche-ZW'!$EX$26</c:f>
              <c:strCache>
                <c:ptCount val="1"/>
                <c:pt idx="0">
                  <c:v>Minergie Total</c:v>
                </c:pt>
              </c:strCache>
            </c:strRef>
          </c:tx>
          <c:invertIfNegative val="0"/>
          <c:val>
            <c:numRef>
              <c:f>'Fläche-ZW'!$EZ$26:$FS$26</c:f>
              <c:numCache>
                <c:formatCode>General</c:formatCode>
                <c:ptCount val="11"/>
                <c:pt idx="0">
                  <c:v>36</c:v>
                </c:pt>
                <c:pt idx="1">
                  <c:v>35</c:v>
                </c:pt>
                <c:pt idx="2">
                  <c:v>68.5</c:v>
                </c:pt>
                <c:pt idx="3">
                  <c:v>36</c:v>
                </c:pt>
                <c:pt idx="4">
                  <c:v>78</c:v>
                </c:pt>
                <c:pt idx="5">
                  <c:v>61.5</c:v>
                </c:pt>
                <c:pt idx="6">
                  <c:v>37</c:v>
                </c:pt>
                <c:pt idx="7">
                  <c:v>70.5</c:v>
                </c:pt>
                <c:pt idx="8">
                  <c:v>42</c:v>
                </c:pt>
                <c:pt idx="9">
                  <c:v>31</c:v>
                </c:pt>
                <c:pt idx="10">
                  <c:v>28.5</c:v>
                </c:pt>
              </c:numCache>
            </c:numRef>
          </c:val>
          <c:extLst>
            <c:ext xmlns:c16="http://schemas.microsoft.com/office/drawing/2014/chart" uri="{C3380CC4-5D6E-409C-BE32-E72D297353CC}">
              <c16:uniqueId val="{00000000-0C56-4031-AA98-CA8796BA935A}"/>
            </c:ext>
          </c:extLst>
        </c:ser>
        <c:ser>
          <c:idx val="0"/>
          <c:order val="1"/>
          <c:tx>
            <c:strRef>
              <c:f>'Fläche-ZW'!$EX$27</c:f>
              <c:strCache>
                <c:ptCount val="1"/>
                <c:pt idx="0">
                  <c:v>Minergie Grenzwert</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'Fläche-ZW'!$EZ$27:$FT$27</c:f>
              <c:numCache>
                <c:formatCode>General</c:formatCode>
                <c:ptCount val="11"/>
                <c:pt idx="0">
                  <c:v>27.5</c:v>
                </c:pt>
                <c:pt idx="1">
                  <c:v>27.5</c:v>
                </c:pt>
                <c:pt idx="2">
                  <c:v>55</c:v>
                </c:pt>
                <c:pt idx="3">
                  <c:v>22.5</c:v>
                </c:pt>
                <c:pt idx="4">
                  <c:v>60</c:v>
                </c:pt>
                <c:pt idx="5">
                  <c:v>50</c:v>
                </c:pt>
                <c:pt idx="6">
                  <c:v>27.5</c:v>
                </c:pt>
                <c:pt idx="7">
                  <c:v>55</c:v>
                </c:pt>
                <c:pt idx="8">
                  <c:v>40</c:v>
                </c:pt>
                <c:pt idx="9">
                  <c:v>27.5</c:v>
                </c:pt>
                <c:pt idx="10">
                  <c:v>27.5</c:v>
                </c:pt>
              </c:numCache>
            </c:numRef>
          </c:val>
          <c:extLst>
            <c:ext xmlns:c16="http://schemas.microsoft.com/office/drawing/2014/chart" uri="{C3380CC4-5D6E-409C-BE32-E72D297353CC}">
              <c16:uniqueId val="{00000001-0C56-4031-AA98-CA8796BA935A}"/>
            </c:ext>
          </c:extLst>
        </c:ser>
        <c:ser>
          <c:idx val="1"/>
          <c:order val="2"/>
          <c:tx>
            <c:strRef>
              <c:f>'Fläche-ZW'!$EX$28</c:f>
              <c:strCache>
                <c:ptCount val="1"/>
                <c:pt idx="0">
                  <c:v>SIA 2024:2018</c:v>
                </c:pt>
              </c:strCache>
            </c:strRef>
          </c:tx>
          <c:invertIfNegative val="0"/>
          <c:cat>
            <c:multiLvlStrRef>
              <c:f>'Fläche-ZW'!$BE$1:$BY$2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'Fläche-ZW'!$EZ$28:$FT$28</c:f>
              <c:numCache>
                <c:formatCode>General</c:formatCode>
                <c:ptCount val="11"/>
                <c:pt idx="0">
                  <c:v>20.771518854165539</c:v>
                </c:pt>
                <c:pt idx="1">
                  <c:v>8.633538746438747</c:v>
                </c:pt>
                <c:pt idx="2">
                  <c:v>20.456236196581195</c:v>
                </c:pt>
                <c:pt idx="3">
                  <c:v>7.6568448392348403</c:v>
                </c:pt>
                <c:pt idx="4">
                  <c:v>24.502797136752136</c:v>
                </c:pt>
                <c:pt idx="5">
                  <c:v>46.787215242165246</c:v>
                </c:pt>
                <c:pt idx="6">
                  <c:v>13.31708076923077</c:v>
                </c:pt>
                <c:pt idx="7">
                  <c:v>17.668037464387467</c:v>
                </c:pt>
                <c:pt idx="8">
                  <c:v>23.003251324786326</c:v>
                </c:pt>
                <c:pt idx="9">
                  <c:v>7.0204777136752146</c:v>
                </c:pt>
                <c:pt idx="10">
                  <c:v>5.7768910256410244</c:v>
                </c:pt>
              </c:numCache>
            </c:numRef>
          </c:val>
          <c:extLst>
            <c:ext xmlns:c16="http://schemas.microsoft.com/office/drawing/2014/chart" uri="{C3380CC4-5D6E-409C-BE32-E72D297353CC}">
              <c16:uniqueId val="{00000002-0C56-4031-AA98-CA8796BA935A}"/>
            </c:ext>
          </c:extLst>
        </c:ser>
        <c:dLbls>
          <c:showLegendKey val="0"/>
          <c:showVal val="0"/>
          <c:showCatName val="0"/>
          <c:showSerName val="0"/>
          <c:showPercent val="0"/>
          <c:showBubbleSize val="0"/>
        </c:dLbls>
        <c:gapWidth val="150"/>
        <c:axId val="108036864"/>
        <c:axId val="108038400"/>
      </c:barChart>
      <c:catAx>
        <c:axId val="108036864"/>
        <c:scaling>
          <c:orientation val="minMax"/>
        </c:scaling>
        <c:delete val="0"/>
        <c:axPos val="b"/>
        <c:majorTickMark val="out"/>
        <c:minorTickMark val="none"/>
        <c:tickLblPos val="nextTo"/>
        <c:crossAx val="108038400"/>
        <c:crosses val="autoZero"/>
        <c:auto val="1"/>
        <c:lblAlgn val="ctr"/>
        <c:lblOffset val="100"/>
        <c:noMultiLvlLbl val="0"/>
      </c:catAx>
      <c:valAx>
        <c:axId val="108038400"/>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03686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r>
              <a:rPr lang="de-CH" sz="900" b="0" baseline="0"/>
              <a:t>  für</a:t>
            </a:r>
            <a:r>
              <a:rPr lang="de-CH" sz="900" b="0"/>
              <a:t> </a:t>
            </a:r>
            <a:r>
              <a:rPr lang="de-CH" sz="900" b="0" baseline="0"/>
              <a:t> Beleuchtung</a:t>
            </a:r>
            <a:endParaRPr lang="de-CH" sz="900" b="0"/>
          </a:p>
        </c:rich>
      </c:tx>
      <c:overlay val="0"/>
    </c:title>
    <c:autoTitleDeleted val="0"/>
    <c:plotArea>
      <c:layout/>
      <c:barChart>
        <c:barDir val="col"/>
        <c:grouping val="clustered"/>
        <c:varyColors val="0"/>
        <c:ser>
          <c:idx val="2"/>
          <c:order val="0"/>
          <c:tx>
            <c:strRef>
              <c:f>'Fläche-ZW'!$GV$1</c:f>
              <c:strCache>
                <c:ptCount val="1"/>
                <c:pt idx="0">
                  <c:v>Strommodell für Zweckbauten</c:v>
                </c:pt>
              </c:strCache>
            </c:strRef>
          </c:tx>
          <c:invertIfNegative val="0"/>
          <c:cat>
            <c:multiLvlStrRef>
              <c:f>'Fläche-ZW'!$GY$1:$HS$2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'Fläche-ZW'!$GX$9:$HS$9</c:f>
              <c:numCache>
                <c:formatCode>General</c:formatCode>
                <c:ptCount val="17"/>
                <c:pt idx="0">
                  <c:v>5.5</c:v>
                </c:pt>
                <c:pt idx="1">
                  <c:v>6.2</c:v>
                </c:pt>
                <c:pt idx="2">
                  <c:v>5.5</c:v>
                </c:pt>
                <c:pt idx="3">
                  <c:v>10.1</c:v>
                </c:pt>
                <c:pt idx="4">
                  <c:v>8.5</c:v>
                </c:pt>
                <c:pt idx="5">
                  <c:v>9</c:v>
                </c:pt>
                <c:pt idx="6">
                  <c:v>30.5</c:v>
                </c:pt>
                <c:pt idx="7">
                  <c:v>30.5</c:v>
                </c:pt>
                <c:pt idx="8">
                  <c:v>10.5</c:v>
                </c:pt>
                <c:pt idx="9">
                  <c:v>16.5</c:v>
                </c:pt>
                <c:pt idx="10">
                  <c:v>13.5</c:v>
                </c:pt>
                <c:pt idx="11">
                  <c:v>11</c:v>
                </c:pt>
                <c:pt idx="12">
                  <c:v>13.4</c:v>
                </c:pt>
                <c:pt idx="13">
                  <c:v>18.5</c:v>
                </c:pt>
                <c:pt idx="14">
                  <c:v>13.8</c:v>
                </c:pt>
                <c:pt idx="15">
                  <c:v>11.9</c:v>
                </c:pt>
                <c:pt idx="16">
                  <c:v>2</c:v>
                </c:pt>
              </c:numCache>
            </c:numRef>
          </c:val>
          <c:extLst>
            <c:ext xmlns:c16="http://schemas.microsoft.com/office/drawing/2014/chart" uri="{C3380CC4-5D6E-409C-BE32-E72D297353CC}">
              <c16:uniqueId val="{00000000-CEB4-4976-B994-E8AA12C14148}"/>
            </c:ext>
          </c:extLst>
        </c:ser>
        <c:ser>
          <c:idx val="1"/>
          <c:order val="1"/>
          <c:tx>
            <c:strRef>
              <c:f>'Fläche-ZW'!$FW$1</c:f>
              <c:strCache>
                <c:ptCount val="1"/>
                <c:pt idx="0">
                  <c:v>SIA 2024:2021</c:v>
                </c:pt>
              </c:strCache>
            </c:strRef>
          </c:tx>
          <c:invertIfNegative val="0"/>
          <c:cat>
            <c:multiLvlStrRef>
              <c:f>'Fläche-ZW'!$GY$1:$HS$2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'Fläche-ZW'!$FZ$9:$GT$9</c:f>
              <c:numCache>
                <c:formatCode>0.0</c:formatCode>
                <c:ptCount val="17"/>
                <c:pt idx="0">
                  <c:v>2.1526810000000007</c:v>
                </c:pt>
                <c:pt idx="1">
                  <c:v>4.8560016666666677</c:v>
                </c:pt>
                <c:pt idx="2">
                  <c:v>0.82553874643874647</c:v>
                </c:pt>
                <c:pt idx="3">
                  <c:v>1.2562361965811963</c:v>
                </c:pt>
                <c:pt idx="4">
                  <c:v>0.99508483923483948</c:v>
                </c:pt>
                <c:pt idx="5">
                  <c:v>1.521361406186406</c:v>
                </c:pt>
                <c:pt idx="6">
                  <c:v>14.512314031339029</c:v>
                </c:pt>
                <c:pt idx="7">
                  <c:v>14.517997136752136</c:v>
                </c:pt>
                <c:pt idx="8">
                  <c:v>2.374415242165242</c:v>
                </c:pt>
                <c:pt idx="9">
                  <c:v>6.0826807692307696</c:v>
                </c:pt>
                <c:pt idx="10">
                  <c:v>3.6043782051282052</c:v>
                </c:pt>
                <c:pt idx="11">
                  <c:v>2.9449035612535615</c:v>
                </c:pt>
                <c:pt idx="12">
                  <c:v>1.8168513247863249</c:v>
                </c:pt>
                <c:pt idx="13">
                  <c:v>2.9044777136752145</c:v>
                </c:pt>
                <c:pt idx="14">
                  <c:v>2.5448910256410247</c:v>
                </c:pt>
                <c:pt idx="15">
                  <c:v>1.8661383190883194</c:v>
                </c:pt>
                <c:pt idx="16">
                  <c:v>1.1488220170940169</c:v>
                </c:pt>
              </c:numCache>
            </c:numRef>
          </c:val>
          <c:extLst>
            <c:ext xmlns:c16="http://schemas.microsoft.com/office/drawing/2014/chart" uri="{C3380CC4-5D6E-409C-BE32-E72D297353CC}">
              <c16:uniqueId val="{00000001-CEB4-4976-B994-E8AA12C14148}"/>
            </c:ext>
          </c:extLst>
        </c:ser>
        <c:dLbls>
          <c:showLegendKey val="0"/>
          <c:showVal val="0"/>
          <c:showCatName val="0"/>
          <c:showSerName val="0"/>
          <c:showPercent val="0"/>
          <c:showBubbleSize val="0"/>
        </c:dLbls>
        <c:gapWidth val="150"/>
        <c:axId val="108068224"/>
        <c:axId val="108074112"/>
      </c:barChart>
      <c:catAx>
        <c:axId val="108068224"/>
        <c:scaling>
          <c:orientation val="minMax"/>
        </c:scaling>
        <c:delete val="0"/>
        <c:axPos val="b"/>
        <c:numFmt formatCode="General" sourceLinked="0"/>
        <c:majorTickMark val="out"/>
        <c:minorTickMark val="none"/>
        <c:tickLblPos val="nextTo"/>
        <c:crossAx val="108074112"/>
        <c:crosses val="autoZero"/>
        <c:auto val="1"/>
        <c:lblAlgn val="ctr"/>
        <c:lblOffset val="100"/>
        <c:noMultiLvlLbl val="0"/>
      </c:catAx>
      <c:valAx>
        <c:axId val="108074112"/>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06822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Strommodell Zweckbauten</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'Fläche-ZW'!$FW$3</c:f>
              <c:strCache>
                <c:ptCount val="1"/>
                <c:pt idx="0">
                  <c:v>Heizung</c:v>
                </c:pt>
              </c:strCache>
            </c:strRef>
          </c:tx>
          <c:spPr>
            <a:solidFill>
              <a:srgbClr val="FF0000"/>
            </a:solidFill>
          </c:spPr>
          <c:invertIfNegative val="0"/>
          <c:cat>
            <c:strRef>
              <c:f>'Fläche-ZW'!$GX$2:$HS$2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'Fläche-ZW'!$FY$3:$GR$3</c:f>
              <c:numCache>
                <c:formatCode>0.0</c:formatCode>
                <c:ptCount val="15"/>
                <c:pt idx="0">
                  <c:v>2.9316759727925952</c:v>
                </c:pt>
                <c:pt idx="1">
                  <c:v>3.4677420850142067</c:v>
                </c:pt>
                <c:pt idx="2" formatCode="General">
                  <c:v>3.0502648677201059</c:v>
                </c:pt>
                <c:pt idx="3" formatCode="General">
                  <c:v>1.8523198919491006</c:v>
                </c:pt>
                <c:pt idx="4">
                  <c:v>2.3483891487356088</c:v>
                </c:pt>
                <c:pt idx="5">
                  <c:v>1.9680363234112812</c:v>
                </c:pt>
                <c:pt idx="6" formatCode="General">
                  <c:v>0.91076575582265462</c:v>
                </c:pt>
                <c:pt idx="7" formatCode="General">
                  <c:v>0.94965736701929415</c:v>
                </c:pt>
                <c:pt idx="8" formatCode="General">
                  <c:v>2.3325170201539636</c:v>
                </c:pt>
                <c:pt idx="9" formatCode="General">
                  <c:v>1.5668063428867471</c:v>
                </c:pt>
                <c:pt idx="10" formatCode="General">
                  <c:v>1.7111783774138762</c:v>
                </c:pt>
                <c:pt idx="11" formatCode="General">
                  <c:v>1.6790094780884079</c:v>
                </c:pt>
                <c:pt idx="12" formatCode="General">
                  <c:v>1.8248938807526587</c:v>
                </c:pt>
                <c:pt idx="13" formatCode="General">
                  <c:v>1.8097730027225172</c:v>
                </c:pt>
                <c:pt idx="14" formatCode="General">
                  <c:v>4.4599547805917608</c:v>
                </c:pt>
              </c:numCache>
            </c:numRef>
          </c:val>
          <c:extLst>
            <c:ext xmlns:c16="http://schemas.microsoft.com/office/drawing/2014/chart" uri="{C3380CC4-5D6E-409C-BE32-E72D297353CC}">
              <c16:uniqueId val="{00000000-E6A6-40A3-8690-AC341D1ECED3}"/>
            </c:ext>
          </c:extLst>
        </c:ser>
        <c:ser>
          <c:idx val="1"/>
          <c:order val="1"/>
          <c:tx>
            <c:strRef>
              <c:f>'Fläche-ZW'!$FW$5</c:f>
              <c:strCache>
                <c:ptCount val="1"/>
                <c:pt idx="0">
                  <c:v>Lüftung</c:v>
                </c:pt>
              </c:strCache>
            </c:strRef>
          </c:tx>
          <c:spPr>
            <a:solidFill>
              <a:srgbClr val="C00000"/>
            </a:solidFill>
          </c:spPr>
          <c:invertIfNegative val="0"/>
          <c:cat>
            <c:strRef>
              <c:f>'Fläche-ZW'!$GX$2:$HS$2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'Fläche-ZW'!$GX$5:$HS$5</c:f>
              <c:numCache>
                <c:formatCode>General</c:formatCode>
                <c:ptCount val="17"/>
              </c:numCache>
            </c:numRef>
          </c:val>
          <c:extLst>
            <c:ext xmlns:c16="http://schemas.microsoft.com/office/drawing/2014/chart" uri="{C3380CC4-5D6E-409C-BE32-E72D297353CC}">
              <c16:uniqueId val="{00000001-E6A6-40A3-8690-AC341D1ECED3}"/>
            </c:ext>
          </c:extLst>
        </c:ser>
        <c:ser>
          <c:idx val="2"/>
          <c:order val="2"/>
          <c:tx>
            <c:strRef>
              <c:f>'Fläche-ZW'!$FW$4</c:f>
              <c:strCache>
                <c:ptCount val="1"/>
                <c:pt idx="0">
                  <c:v>Warmwassser</c:v>
                </c:pt>
              </c:strCache>
            </c:strRef>
          </c:tx>
          <c:spPr>
            <a:solidFill>
              <a:srgbClr val="FFC000"/>
            </a:solidFill>
          </c:spPr>
          <c:invertIfNegative val="0"/>
          <c:cat>
            <c:strRef>
              <c:f>'Fläche-ZW'!$GX$2:$HS$2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E6A6-40A3-8690-AC341D1ECED3}"/>
            </c:ext>
          </c:extLst>
        </c:ser>
        <c:ser>
          <c:idx val="3"/>
          <c:order val="3"/>
          <c:tx>
            <c:strRef>
              <c:f>'Fläche-ZW'!$FW$7</c:f>
              <c:strCache>
                <c:ptCount val="1"/>
                <c:pt idx="0">
                  <c:v>Geräte</c:v>
                </c:pt>
              </c:strCache>
            </c:strRef>
          </c:tx>
          <c:spPr>
            <a:solidFill>
              <a:schemeClr val="accent3"/>
            </a:solidFill>
          </c:spPr>
          <c:invertIfNegative val="0"/>
          <c:cat>
            <c:strRef>
              <c:f>'Fläche-ZW'!$GX$2:$HS$2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'Fläche-ZW'!$GX$7:$HS$7</c:f>
              <c:numCache>
                <c:formatCode>General</c:formatCode>
                <c:ptCount val="17"/>
                <c:pt idx="0">
                  <c:v>15.5</c:v>
                </c:pt>
                <c:pt idx="1">
                  <c:v>10.9</c:v>
                </c:pt>
                <c:pt idx="2">
                  <c:v>12.5</c:v>
                </c:pt>
                <c:pt idx="3">
                  <c:v>16.5</c:v>
                </c:pt>
                <c:pt idx="4">
                  <c:v>5</c:v>
                </c:pt>
                <c:pt idx="5">
                  <c:v>15.6</c:v>
                </c:pt>
                <c:pt idx="6">
                  <c:v>5</c:v>
                </c:pt>
                <c:pt idx="7">
                  <c:v>5</c:v>
                </c:pt>
                <c:pt idx="8">
                  <c:v>4.5</c:v>
                </c:pt>
                <c:pt idx="9">
                  <c:v>4</c:v>
                </c:pt>
                <c:pt idx="10">
                  <c:v>8.5</c:v>
                </c:pt>
                <c:pt idx="11">
                  <c:v>8.5</c:v>
                </c:pt>
                <c:pt idx="12">
                  <c:v>7</c:v>
                </c:pt>
                <c:pt idx="13">
                  <c:v>4</c:v>
                </c:pt>
                <c:pt idx="14">
                  <c:v>2</c:v>
                </c:pt>
                <c:pt idx="15">
                  <c:v>5.5</c:v>
                </c:pt>
                <c:pt idx="16">
                  <c:v>1.7</c:v>
                </c:pt>
              </c:numCache>
            </c:numRef>
          </c:val>
          <c:extLst>
            <c:ext xmlns:c16="http://schemas.microsoft.com/office/drawing/2014/chart" uri="{C3380CC4-5D6E-409C-BE32-E72D297353CC}">
              <c16:uniqueId val="{00000003-E6A6-40A3-8690-AC341D1ECED3}"/>
            </c:ext>
          </c:extLst>
        </c:ser>
        <c:ser>
          <c:idx val="4"/>
          <c:order val="4"/>
          <c:tx>
            <c:strRef>
              <c:f>'Fläche-ZW'!$FW$9</c:f>
              <c:strCache>
                <c:ptCount val="1"/>
                <c:pt idx="0">
                  <c:v>Beleuchtung</c:v>
                </c:pt>
              </c:strCache>
            </c:strRef>
          </c:tx>
          <c:spPr>
            <a:solidFill>
              <a:srgbClr val="FFFF00"/>
            </a:solidFill>
          </c:spPr>
          <c:invertIfNegative val="0"/>
          <c:cat>
            <c:strRef>
              <c:f>'Fläche-ZW'!$GX$2:$HS$2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'Fläche-ZW'!$GX$9:$HS$9</c:f>
              <c:numCache>
                <c:formatCode>General</c:formatCode>
                <c:ptCount val="17"/>
                <c:pt idx="0">
                  <c:v>5.5</c:v>
                </c:pt>
                <c:pt idx="1">
                  <c:v>6.2</c:v>
                </c:pt>
                <c:pt idx="2">
                  <c:v>5.5</c:v>
                </c:pt>
                <c:pt idx="3">
                  <c:v>10.1</c:v>
                </c:pt>
                <c:pt idx="4">
                  <c:v>8.5</c:v>
                </c:pt>
                <c:pt idx="5">
                  <c:v>9</c:v>
                </c:pt>
                <c:pt idx="6">
                  <c:v>30.5</c:v>
                </c:pt>
                <c:pt idx="7">
                  <c:v>30.5</c:v>
                </c:pt>
                <c:pt idx="8">
                  <c:v>10.5</c:v>
                </c:pt>
                <c:pt idx="9">
                  <c:v>16.5</c:v>
                </c:pt>
                <c:pt idx="10">
                  <c:v>13.5</c:v>
                </c:pt>
                <c:pt idx="11">
                  <c:v>11</c:v>
                </c:pt>
                <c:pt idx="12">
                  <c:v>13.4</c:v>
                </c:pt>
                <c:pt idx="13">
                  <c:v>18.5</c:v>
                </c:pt>
                <c:pt idx="14">
                  <c:v>13.8</c:v>
                </c:pt>
                <c:pt idx="15">
                  <c:v>11.9</c:v>
                </c:pt>
                <c:pt idx="16">
                  <c:v>2</c:v>
                </c:pt>
              </c:numCache>
            </c:numRef>
          </c:val>
          <c:extLst>
            <c:ext xmlns:c16="http://schemas.microsoft.com/office/drawing/2014/chart" uri="{C3380CC4-5D6E-409C-BE32-E72D297353CC}">
              <c16:uniqueId val="{00000004-E6A6-40A3-8690-AC341D1ECED3}"/>
            </c:ext>
          </c:extLst>
        </c:ser>
        <c:ser>
          <c:idx val="5"/>
          <c:order val="5"/>
          <c:tx>
            <c:strRef>
              <c:f>'Fläche-ZW'!$FW$10</c:f>
              <c:strCache>
                <c:ptCount val="1"/>
                <c:pt idx="0">
                  <c:v>Allgemeine GT</c:v>
                </c:pt>
              </c:strCache>
            </c:strRef>
          </c:tx>
          <c:spPr>
            <a:solidFill>
              <a:schemeClr val="bg1">
                <a:lumMod val="65000"/>
              </a:schemeClr>
            </a:solidFill>
          </c:spPr>
          <c:invertIfNegative val="0"/>
          <c:cat>
            <c:strRef>
              <c:f>'Fläche-ZW'!$GX$2:$HS$2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'Fläche-ZW'!$GX$10:$HS$10</c:f>
              <c:numCache>
                <c:formatCode>General</c:formatCode>
                <c:ptCount val="17"/>
                <c:pt idx="0" formatCode="0.0">
                  <c:v>3</c:v>
                </c:pt>
                <c:pt idx="1">
                  <c:v>8.16</c:v>
                </c:pt>
                <c:pt idx="2">
                  <c:v>1.4</c:v>
                </c:pt>
                <c:pt idx="3">
                  <c:v>3.3680000000000003</c:v>
                </c:pt>
                <c:pt idx="4">
                  <c:v>3.1280000000000001</c:v>
                </c:pt>
                <c:pt idx="5">
                  <c:v>8.16</c:v>
                </c:pt>
                <c:pt idx="6">
                  <c:v>7.5440000000000005</c:v>
                </c:pt>
                <c:pt idx="7">
                  <c:v>7.5440000000000005</c:v>
                </c:pt>
                <c:pt idx="8">
                  <c:v>8.3840000000000003</c:v>
                </c:pt>
                <c:pt idx="9">
                  <c:v>3.8479999999999999</c:v>
                </c:pt>
                <c:pt idx="10">
                  <c:v>8.2000000000000011</c:v>
                </c:pt>
                <c:pt idx="11">
                  <c:v>8.2000000000000011</c:v>
                </c:pt>
                <c:pt idx="12">
                  <c:v>6.6959999999999997</c:v>
                </c:pt>
                <c:pt idx="13">
                  <c:v>1.6480000000000001</c:v>
                </c:pt>
                <c:pt idx="14">
                  <c:v>3.2320000000000002</c:v>
                </c:pt>
                <c:pt idx="15">
                  <c:v>6.88</c:v>
                </c:pt>
                <c:pt idx="16">
                  <c:v>4.2160000000000002</c:v>
                </c:pt>
              </c:numCache>
            </c:numRef>
          </c:val>
          <c:extLst>
            <c:ext xmlns:c16="http://schemas.microsoft.com/office/drawing/2014/chart" uri="{C3380CC4-5D6E-409C-BE32-E72D297353CC}">
              <c16:uniqueId val="{00000005-E6A6-40A3-8690-AC341D1ECED3}"/>
            </c:ext>
          </c:extLst>
        </c:ser>
        <c:dLbls>
          <c:showLegendKey val="0"/>
          <c:showVal val="0"/>
          <c:showCatName val="0"/>
          <c:showSerName val="0"/>
          <c:showPercent val="0"/>
          <c:showBubbleSize val="0"/>
        </c:dLbls>
        <c:gapWidth val="150"/>
        <c:overlap val="100"/>
        <c:axId val="108729856"/>
        <c:axId val="108731392"/>
      </c:barChart>
      <c:catAx>
        <c:axId val="108729856"/>
        <c:scaling>
          <c:orientation val="minMax"/>
        </c:scaling>
        <c:delete val="0"/>
        <c:axPos val="b"/>
        <c:numFmt formatCode="General" sourceLinked="0"/>
        <c:majorTickMark val="out"/>
        <c:minorTickMark val="none"/>
        <c:tickLblPos val="nextTo"/>
        <c:crossAx val="108731392"/>
        <c:crosses val="autoZero"/>
        <c:auto val="1"/>
        <c:lblAlgn val="ctr"/>
        <c:lblOffset val="100"/>
        <c:noMultiLvlLbl val="0"/>
      </c:catAx>
      <c:valAx>
        <c:axId val="108731392"/>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08729856"/>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i="0" u="none" strike="noStrike" baseline="0">
                <a:effectLst/>
              </a:rPr>
              <a:t>Elektrizitätsbedarf  für  </a:t>
            </a:r>
            <a:r>
              <a:rPr lang="de-CH" sz="900" b="0"/>
              <a:t>Geräte</a:t>
            </a:r>
          </a:p>
        </c:rich>
      </c:tx>
      <c:overlay val="0"/>
    </c:title>
    <c:autoTitleDeleted val="0"/>
    <c:plotArea>
      <c:layout/>
      <c:barChart>
        <c:barDir val="col"/>
        <c:grouping val="clustered"/>
        <c:varyColors val="0"/>
        <c:ser>
          <c:idx val="2"/>
          <c:order val="0"/>
          <c:tx>
            <c:strRef>
              <c:f>'Fläche-ZW'!$GV$1</c:f>
              <c:strCache>
                <c:ptCount val="1"/>
                <c:pt idx="0">
                  <c:v>Strommodell für Zweckbauten</c:v>
                </c:pt>
              </c:strCache>
            </c:strRef>
          </c:tx>
          <c:invertIfNegative val="0"/>
          <c:cat>
            <c:multiLvlStrRef>
              <c:f>'Fläche-ZW'!$GY$1:$HS$2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'Fläche-ZW'!$GX$7:$HS$7</c:f>
              <c:numCache>
                <c:formatCode>General</c:formatCode>
                <c:ptCount val="17"/>
                <c:pt idx="0">
                  <c:v>15.5</c:v>
                </c:pt>
                <c:pt idx="1">
                  <c:v>10.9</c:v>
                </c:pt>
                <c:pt idx="2">
                  <c:v>12.5</c:v>
                </c:pt>
                <c:pt idx="3">
                  <c:v>16.5</c:v>
                </c:pt>
                <c:pt idx="4">
                  <c:v>5</c:v>
                </c:pt>
                <c:pt idx="5">
                  <c:v>15.6</c:v>
                </c:pt>
                <c:pt idx="6">
                  <c:v>5</c:v>
                </c:pt>
                <c:pt idx="7">
                  <c:v>5</c:v>
                </c:pt>
                <c:pt idx="8">
                  <c:v>4.5</c:v>
                </c:pt>
                <c:pt idx="9">
                  <c:v>4</c:v>
                </c:pt>
                <c:pt idx="10">
                  <c:v>8.5</c:v>
                </c:pt>
                <c:pt idx="11">
                  <c:v>8.5</c:v>
                </c:pt>
                <c:pt idx="12">
                  <c:v>7</c:v>
                </c:pt>
                <c:pt idx="13">
                  <c:v>4</c:v>
                </c:pt>
                <c:pt idx="14">
                  <c:v>2</c:v>
                </c:pt>
                <c:pt idx="15">
                  <c:v>5.5</c:v>
                </c:pt>
                <c:pt idx="16">
                  <c:v>1.7</c:v>
                </c:pt>
              </c:numCache>
            </c:numRef>
          </c:val>
          <c:extLst>
            <c:ext xmlns:c16="http://schemas.microsoft.com/office/drawing/2014/chart" uri="{C3380CC4-5D6E-409C-BE32-E72D297353CC}">
              <c16:uniqueId val="{00000000-0D94-49BD-97BD-D5057C28E970}"/>
            </c:ext>
          </c:extLst>
        </c:ser>
        <c:ser>
          <c:idx val="1"/>
          <c:order val="1"/>
          <c:tx>
            <c:strRef>
              <c:f>'Fläche-ZW'!$FW$1</c:f>
              <c:strCache>
                <c:ptCount val="1"/>
                <c:pt idx="0">
                  <c:v>SIA 2024:2021</c:v>
                </c:pt>
              </c:strCache>
            </c:strRef>
          </c:tx>
          <c:invertIfNegative val="0"/>
          <c:cat>
            <c:multiLvlStrRef>
              <c:f>'Fläche-ZW'!$GY$1:$HS$2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'Fläche-ZW'!$FZ$7:$GT$7</c:f>
              <c:numCache>
                <c:formatCode>0.0</c:formatCode>
                <c:ptCount val="17"/>
                <c:pt idx="0">
                  <c:v>14.688000000000002</c:v>
                </c:pt>
                <c:pt idx="1">
                  <c:v>12.284000000000001</c:v>
                </c:pt>
                <c:pt idx="2">
                  <c:v>6.4080000000000004</c:v>
                </c:pt>
                <c:pt idx="3">
                  <c:v>10.224</c:v>
                </c:pt>
                <c:pt idx="4">
                  <c:v>3.5337600000000005</c:v>
                </c:pt>
                <c:pt idx="5">
                  <c:v>5.7192000000000007</c:v>
                </c:pt>
                <c:pt idx="6">
                  <c:v>2.6232000000000002</c:v>
                </c:pt>
                <c:pt idx="7">
                  <c:v>2.4408000000000003</c:v>
                </c:pt>
                <c:pt idx="8">
                  <c:v>3.6224000000000007</c:v>
                </c:pt>
                <c:pt idx="9">
                  <c:v>3.3864000000000005</c:v>
                </c:pt>
                <c:pt idx="10">
                  <c:v>5.9043999999999999</c:v>
                </c:pt>
                <c:pt idx="11">
                  <c:v>5.0004</c:v>
                </c:pt>
                <c:pt idx="12">
                  <c:v>6.9223999999999997</c:v>
                </c:pt>
                <c:pt idx="13">
                  <c:v>2.468</c:v>
                </c:pt>
                <c:pt idx="14">
                  <c:v>0</c:v>
                </c:pt>
                <c:pt idx="15">
                  <c:v>3.9720000000000009</c:v>
                </c:pt>
                <c:pt idx="16">
                  <c:v>1.5335999999999999</c:v>
                </c:pt>
              </c:numCache>
            </c:numRef>
          </c:val>
          <c:extLst>
            <c:ext xmlns:c16="http://schemas.microsoft.com/office/drawing/2014/chart" uri="{C3380CC4-5D6E-409C-BE32-E72D297353CC}">
              <c16:uniqueId val="{00000001-0D94-49BD-97BD-D5057C28E970}"/>
            </c:ext>
          </c:extLst>
        </c:ser>
        <c:dLbls>
          <c:showLegendKey val="0"/>
          <c:showVal val="0"/>
          <c:showCatName val="0"/>
          <c:showSerName val="0"/>
          <c:showPercent val="0"/>
          <c:showBubbleSize val="0"/>
        </c:dLbls>
        <c:gapWidth val="150"/>
        <c:axId val="108761472"/>
        <c:axId val="108763008"/>
      </c:barChart>
      <c:catAx>
        <c:axId val="108761472"/>
        <c:scaling>
          <c:orientation val="minMax"/>
        </c:scaling>
        <c:delete val="0"/>
        <c:axPos val="b"/>
        <c:numFmt formatCode="General" sourceLinked="0"/>
        <c:majorTickMark val="out"/>
        <c:minorTickMark val="none"/>
        <c:tickLblPos val="nextTo"/>
        <c:crossAx val="108763008"/>
        <c:crosses val="autoZero"/>
        <c:auto val="1"/>
        <c:lblAlgn val="ctr"/>
        <c:lblOffset val="100"/>
        <c:noMultiLvlLbl val="0"/>
      </c:catAx>
      <c:valAx>
        <c:axId val="108763008"/>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761472"/>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Total Elektrizitätsbedarf</a:t>
            </a:r>
            <a:r>
              <a:rPr lang="de-CH" sz="900" b="0" baseline="0"/>
              <a:t> </a:t>
            </a:r>
            <a:endParaRPr lang="de-CH" sz="900" b="0"/>
          </a:p>
        </c:rich>
      </c:tx>
      <c:overlay val="0"/>
    </c:title>
    <c:autoTitleDeleted val="0"/>
    <c:plotArea>
      <c:layout/>
      <c:barChart>
        <c:barDir val="col"/>
        <c:grouping val="clustered"/>
        <c:varyColors val="0"/>
        <c:ser>
          <c:idx val="2"/>
          <c:order val="0"/>
          <c:tx>
            <c:strRef>
              <c:f>'Fläche-ZW'!$GV$1</c:f>
              <c:strCache>
                <c:ptCount val="1"/>
                <c:pt idx="0">
                  <c:v>Strommodell für Zweckbauten</c:v>
                </c:pt>
              </c:strCache>
            </c:strRef>
          </c:tx>
          <c:invertIfNegative val="0"/>
          <c:cat>
            <c:multiLvlStrRef>
              <c:f>'Fläche-ZW'!$GY$1:$HS$2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'Fläche-ZW'!$GX$11:$HS$11</c:f>
              <c:numCache>
                <c:formatCode>0</c:formatCode>
                <c:ptCount val="17"/>
                <c:pt idx="0">
                  <c:v>24</c:v>
                </c:pt>
                <c:pt idx="1">
                  <c:v>69.260000000000005</c:v>
                </c:pt>
                <c:pt idx="2">
                  <c:v>19.399999999999999</c:v>
                </c:pt>
                <c:pt idx="3">
                  <c:v>29.968000000000004</c:v>
                </c:pt>
                <c:pt idx="4">
                  <c:v>16.628</c:v>
                </c:pt>
                <c:pt idx="5">
                  <c:v>42.760000000000005</c:v>
                </c:pt>
                <c:pt idx="6">
                  <c:v>243.04400000000001</c:v>
                </c:pt>
                <c:pt idx="7">
                  <c:v>43.043999999999997</c:v>
                </c:pt>
                <c:pt idx="8">
                  <c:v>23.384</c:v>
                </c:pt>
                <c:pt idx="9">
                  <c:v>24.347999999999999</c:v>
                </c:pt>
                <c:pt idx="10">
                  <c:v>65.2</c:v>
                </c:pt>
                <c:pt idx="11">
                  <c:v>62.7</c:v>
                </c:pt>
                <c:pt idx="12">
                  <c:v>127.096</c:v>
                </c:pt>
                <c:pt idx="13">
                  <c:v>24.148</c:v>
                </c:pt>
                <c:pt idx="14">
                  <c:v>19.032</c:v>
                </c:pt>
                <c:pt idx="15">
                  <c:v>724.28</c:v>
                </c:pt>
                <c:pt idx="16">
                  <c:v>7.9160000000000004</c:v>
                </c:pt>
              </c:numCache>
            </c:numRef>
          </c:val>
          <c:extLst>
            <c:ext xmlns:c16="http://schemas.microsoft.com/office/drawing/2014/chart" uri="{C3380CC4-5D6E-409C-BE32-E72D297353CC}">
              <c16:uniqueId val="{00000000-0CBB-40D4-B5A3-009842A21CD7}"/>
            </c:ext>
          </c:extLst>
        </c:ser>
        <c:ser>
          <c:idx val="1"/>
          <c:order val="1"/>
          <c:tx>
            <c:strRef>
              <c:f>'Fläche-ZW'!$FW$1</c:f>
              <c:strCache>
                <c:ptCount val="1"/>
                <c:pt idx="0">
                  <c:v>SIA 2024:2021</c:v>
                </c:pt>
              </c:strCache>
            </c:strRef>
          </c:tx>
          <c:invertIfNegative val="0"/>
          <c:cat>
            <c:multiLvlStrRef>
              <c:f>'Fläche-ZW'!$GY$1:$HS$2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'Fläche-ZW'!$FZ$11:$GT$11</c:f>
              <c:numCache>
                <c:formatCode>0</c:formatCode>
                <c:ptCount val="17"/>
                <c:pt idx="0">
                  <c:v>19.840681000000004</c:v>
                </c:pt>
                <c:pt idx="1">
                  <c:v>25.30000166666667</c:v>
                </c:pt>
                <c:pt idx="2">
                  <c:v>8.633538746438747</c:v>
                </c:pt>
                <c:pt idx="3">
                  <c:v>20.456236196581195</c:v>
                </c:pt>
                <c:pt idx="4">
                  <c:v>7.6568448392348403</c:v>
                </c:pt>
                <c:pt idx="5">
                  <c:v>21.008561406186409</c:v>
                </c:pt>
                <c:pt idx="6">
                  <c:v>182.73391403133903</c:v>
                </c:pt>
                <c:pt idx="7">
                  <c:v>24.502797136752136</c:v>
                </c:pt>
                <c:pt idx="8">
                  <c:v>46.787215242165246</c:v>
                </c:pt>
                <c:pt idx="9">
                  <c:v>13.31708076923077</c:v>
                </c:pt>
                <c:pt idx="10">
                  <c:v>19.016778205128205</c:v>
                </c:pt>
                <c:pt idx="11">
                  <c:v>16.581303561253563</c:v>
                </c:pt>
                <c:pt idx="12">
                  <c:v>23.003251324786326</c:v>
                </c:pt>
                <c:pt idx="13">
                  <c:v>7.0204777136752146</c:v>
                </c:pt>
                <c:pt idx="14">
                  <c:v>5.7768910256410244</c:v>
                </c:pt>
                <c:pt idx="15">
                  <c:v>94.558138319088314</c:v>
                </c:pt>
                <c:pt idx="16">
                  <c:v>6.8984220170940169</c:v>
                </c:pt>
              </c:numCache>
            </c:numRef>
          </c:val>
          <c:extLst>
            <c:ext xmlns:c16="http://schemas.microsoft.com/office/drawing/2014/chart" uri="{C3380CC4-5D6E-409C-BE32-E72D297353CC}">
              <c16:uniqueId val="{00000001-0CBB-40D4-B5A3-009842A21CD7}"/>
            </c:ext>
          </c:extLst>
        </c:ser>
        <c:dLbls>
          <c:showLegendKey val="0"/>
          <c:showVal val="0"/>
          <c:showCatName val="0"/>
          <c:showSerName val="0"/>
          <c:showPercent val="0"/>
          <c:showBubbleSize val="0"/>
        </c:dLbls>
        <c:gapWidth val="150"/>
        <c:axId val="108068224"/>
        <c:axId val="108074112"/>
      </c:barChart>
      <c:catAx>
        <c:axId val="108068224"/>
        <c:scaling>
          <c:orientation val="minMax"/>
        </c:scaling>
        <c:delete val="0"/>
        <c:axPos val="b"/>
        <c:numFmt formatCode="General" sourceLinked="0"/>
        <c:majorTickMark val="out"/>
        <c:minorTickMark val="none"/>
        <c:tickLblPos val="nextTo"/>
        <c:crossAx val="108074112"/>
        <c:crosses val="autoZero"/>
        <c:auto val="1"/>
        <c:lblAlgn val="ctr"/>
        <c:lblOffset val="100"/>
        <c:noMultiLvlLbl val="0"/>
      </c:catAx>
      <c:valAx>
        <c:axId val="108074112"/>
        <c:scaling>
          <c:orientation val="minMax"/>
          <c:max val="250"/>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806822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Elektrizität</a:t>
            </a:r>
          </a:p>
        </c:rich>
      </c:tx>
      <c:overlay val="0"/>
    </c:title>
    <c:autoTitleDeleted val="0"/>
    <c:plotArea>
      <c:layout/>
      <c:barChart>
        <c:barDir val="col"/>
        <c:grouping val="clustered"/>
        <c:varyColors val="0"/>
        <c:ser>
          <c:idx val="0"/>
          <c:order val="0"/>
          <c:tx>
            <c:strRef>
              <c:f>'Fläche-Best'!$BC$61</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'Fläche-Best'!$BE$61:$BY$61</c:f>
              <c:numCache>
                <c:formatCode>0</c:formatCode>
                <c:ptCount val="12"/>
                <c:pt idx="0">
                  <c:v>19.599999999999998</c:v>
                </c:pt>
                <c:pt idx="1">
                  <c:v>15.399999999999999</c:v>
                </c:pt>
                <c:pt idx="2">
                  <c:v>19.8</c:v>
                </c:pt>
                <c:pt idx="3">
                  <c:v>9.9</c:v>
                </c:pt>
                <c:pt idx="4">
                  <c:v>26.400000000000002</c:v>
                </c:pt>
                <c:pt idx="5">
                  <c:v>23.099999999999998</c:v>
                </c:pt>
                <c:pt idx="6">
                  <c:v>13.600000000000001</c:v>
                </c:pt>
                <c:pt idx="7">
                  <c:v>19.599999999999998</c:v>
                </c:pt>
                <c:pt idx="8">
                  <c:v>15.3</c:v>
                </c:pt>
                <c:pt idx="9">
                  <c:v>5.4</c:v>
                </c:pt>
                <c:pt idx="10">
                  <c:v>5.4</c:v>
                </c:pt>
                <c:pt idx="11">
                  <c:v>39.199999999999996</c:v>
                </c:pt>
              </c:numCache>
            </c:numRef>
          </c:val>
          <c:extLst>
            <c:ext xmlns:c16="http://schemas.microsoft.com/office/drawing/2014/chart" uri="{C3380CC4-5D6E-409C-BE32-E72D297353CC}">
              <c16:uniqueId val="{00000000-26DF-46D3-9EBE-21772AF58A3A}"/>
            </c:ext>
          </c:extLst>
        </c:ser>
        <c:ser>
          <c:idx val="1"/>
          <c:order val="1"/>
          <c:tx>
            <c:strRef>
              <c:f>'Fläche-Best'!$BC$62</c:f>
              <c:strCache>
                <c:ptCount val="1"/>
                <c:pt idx="0">
                  <c:v>SIA 2024:2019 (Bel. + Ger.)</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'Fläche-Best'!$BE$62:$BY$62</c:f>
              <c:numCache>
                <c:formatCode>0</c:formatCode>
                <c:ptCount val="12"/>
                <c:pt idx="0">
                  <c:v>20.7</c:v>
                </c:pt>
                <c:pt idx="1">
                  <c:v>17.100000000000001</c:v>
                </c:pt>
                <c:pt idx="2">
                  <c:v>36</c:v>
                </c:pt>
                <c:pt idx="3">
                  <c:v>18.400000000000002</c:v>
                </c:pt>
                <c:pt idx="4">
                  <c:v>36.4</c:v>
                </c:pt>
                <c:pt idx="5">
                  <c:v>19.200000000000003</c:v>
                </c:pt>
                <c:pt idx="6">
                  <c:v>31.2</c:v>
                </c:pt>
                <c:pt idx="7">
                  <c:v>23.799999999999997</c:v>
                </c:pt>
                <c:pt idx="8">
                  <c:v>27.299999999999997</c:v>
                </c:pt>
                <c:pt idx="9">
                  <c:v>25.2</c:v>
                </c:pt>
                <c:pt idx="10">
                  <c:v>16.8</c:v>
                </c:pt>
                <c:pt idx="11">
                  <c:v>19</c:v>
                </c:pt>
              </c:numCache>
            </c:numRef>
          </c:val>
          <c:extLst>
            <c:ext xmlns:c16="http://schemas.microsoft.com/office/drawing/2014/chart" uri="{C3380CC4-5D6E-409C-BE32-E72D297353CC}">
              <c16:uniqueId val="{00000001-26DF-46D3-9EBE-21772AF58A3A}"/>
            </c:ext>
          </c:extLst>
        </c:ser>
        <c:dLbls>
          <c:showLegendKey val="0"/>
          <c:showVal val="0"/>
          <c:showCatName val="0"/>
          <c:showSerName val="0"/>
          <c:showPercent val="0"/>
          <c:showBubbleSize val="0"/>
        </c:dLbls>
        <c:gapWidth val="150"/>
        <c:axId val="105403136"/>
        <c:axId val="105404672"/>
      </c:barChart>
      <c:catAx>
        <c:axId val="105403136"/>
        <c:scaling>
          <c:orientation val="minMax"/>
        </c:scaling>
        <c:delete val="0"/>
        <c:axPos val="b"/>
        <c:numFmt formatCode="General" sourceLinked="0"/>
        <c:majorTickMark val="out"/>
        <c:minorTickMark val="none"/>
        <c:tickLblPos val="nextTo"/>
        <c:crossAx val="105404672"/>
        <c:crosses val="autoZero"/>
        <c:auto val="1"/>
        <c:lblAlgn val="ctr"/>
        <c:lblOffset val="100"/>
        <c:noMultiLvlLbl val="0"/>
      </c:catAx>
      <c:valAx>
        <c:axId val="10540467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5403136"/>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Wärmebedarf Warmwasser inkl. Verluste</a:t>
            </a:r>
          </a:p>
        </c:rich>
      </c:tx>
      <c:overlay val="0"/>
    </c:title>
    <c:autoTitleDeleted val="0"/>
    <c:plotArea>
      <c:layout/>
      <c:barChart>
        <c:barDir val="col"/>
        <c:grouping val="clustered"/>
        <c:varyColors val="0"/>
        <c:ser>
          <c:idx val="0"/>
          <c:order val="0"/>
          <c:tx>
            <c:strRef>
              <c:f>'Fläche-Best'!$BC$86</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'Fläche-Best'!$BE$86:$BY$86</c:f>
              <c:numCache>
                <c:formatCode>0</c:formatCode>
                <c:ptCount val="12"/>
                <c:pt idx="0">
                  <c:v>21</c:v>
                </c:pt>
                <c:pt idx="1">
                  <c:v>14</c:v>
                </c:pt>
                <c:pt idx="2">
                  <c:v>7</c:v>
                </c:pt>
                <c:pt idx="3">
                  <c:v>7</c:v>
                </c:pt>
                <c:pt idx="4">
                  <c:v>7</c:v>
                </c:pt>
                <c:pt idx="5">
                  <c:v>56</c:v>
                </c:pt>
                <c:pt idx="6">
                  <c:v>14</c:v>
                </c:pt>
                <c:pt idx="7">
                  <c:v>28</c:v>
                </c:pt>
                <c:pt idx="8">
                  <c:v>7</c:v>
                </c:pt>
                <c:pt idx="9">
                  <c:v>1</c:v>
                </c:pt>
                <c:pt idx="10">
                  <c:v>83</c:v>
                </c:pt>
                <c:pt idx="11">
                  <c:v>83</c:v>
                </c:pt>
              </c:numCache>
            </c:numRef>
          </c:val>
          <c:extLst>
            <c:ext xmlns:c16="http://schemas.microsoft.com/office/drawing/2014/chart" uri="{C3380CC4-5D6E-409C-BE32-E72D297353CC}">
              <c16:uniqueId val="{00000000-D7B7-4351-8D7B-DB8A3A50B195}"/>
            </c:ext>
          </c:extLst>
        </c:ser>
        <c:ser>
          <c:idx val="1"/>
          <c:order val="1"/>
          <c:tx>
            <c:strRef>
              <c:f>'Fläche-Best'!$BC$87</c:f>
              <c:strCache>
                <c:ptCount val="1"/>
                <c:pt idx="0">
                  <c:v>SIA 2024:2019 inkl. Verluste</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'Fläche-Best'!$BE$87:$BY$87</c:f>
              <c:numCache>
                <c:formatCode>0</c:formatCode>
                <c:ptCount val="12"/>
                <c:pt idx="0">
                  <c:v>17.188776119402988</c:v>
                </c:pt>
                <c:pt idx="1">
                  <c:v>14.559904477611941</c:v>
                </c:pt>
                <c:pt idx="2">
                  <c:v>1.8901519829424307</c:v>
                </c:pt>
                <c:pt idx="3">
                  <c:v>2.4762163566901307</c:v>
                </c:pt>
                <c:pt idx="4">
                  <c:v>2.1058081023454163</c:v>
                </c:pt>
                <c:pt idx="5">
                  <c:v>65.18418422174841</c:v>
                </c:pt>
                <c:pt idx="6">
                  <c:v>5.3572707889125804</c:v>
                </c:pt>
                <c:pt idx="7">
                  <c:v>32.510273773987208</c:v>
                </c:pt>
                <c:pt idx="8">
                  <c:v>1.8901519829424307</c:v>
                </c:pt>
                <c:pt idx="9">
                  <c:v>0.91408989339019198</c:v>
                </c:pt>
                <c:pt idx="10">
                  <c:v>45.478253706808417</c:v>
                </c:pt>
                <c:pt idx="11">
                  <c:v>104.2017364605544</c:v>
                </c:pt>
              </c:numCache>
            </c:numRef>
          </c:val>
          <c:extLst>
            <c:ext xmlns:c16="http://schemas.microsoft.com/office/drawing/2014/chart" uri="{C3380CC4-5D6E-409C-BE32-E72D297353CC}">
              <c16:uniqueId val="{00000001-D7B7-4351-8D7B-DB8A3A50B195}"/>
            </c:ext>
          </c:extLst>
        </c:ser>
        <c:dLbls>
          <c:showLegendKey val="0"/>
          <c:showVal val="0"/>
          <c:showCatName val="0"/>
          <c:showSerName val="0"/>
          <c:showPercent val="0"/>
          <c:showBubbleSize val="0"/>
        </c:dLbls>
        <c:gapWidth val="150"/>
        <c:axId val="105442688"/>
        <c:axId val="91030656"/>
      </c:barChart>
      <c:catAx>
        <c:axId val="105442688"/>
        <c:scaling>
          <c:orientation val="minMax"/>
        </c:scaling>
        <c:delete val="0"/>
        <c:axPos val="b"/>
        <c:numFmt formatCode="General" sourceLinked="0"/>
        <c:majorTickMark val="out"/>
        <c:minorTickMark val="none"/>
        <c:tickLblPos val="nextTo"/>
        <c:crossAx val="91030656"/>
        <c:crosses val="autoZero"/>
        <c:auto val="1"/>
        <c:lblAlgn val="ctr"/>
        <c:lblOffset val="100"/>
        <c:noMultiLvlLbl val="0"/>
      </c:catAx>
      <c:valAx>
        <c:axId val="91030656"/>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5442688"/>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'Fläche-Best'!$BC$112</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0EA2-4408-A4DC-9F4680B13F1F}"/>
            </c:ext>
          </c:extLst>
        </c:ser>
        <c:ser>
          <c:idx val="2"/>
          <c:order val="1"/>
          <c:tx>
            <c:strRef>
              <c:f>'Fläche-Best'!$BC$113</c:f>
              <c:strCache>
                <c:ptCount val="1"/>
                <c:pt idx="0">
                  <c:v>SIA 2024:2019 (hygienischer Bedarf)</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'Fläche-Best'!$BE$113:$BY$113</c:f>
              <c:numCache>
                <c:formatCode>0.00</c:formatCode>
                <c:ptCount val="12"/>
                <c:pt idx="0">
                  <c:v>0.27213307240704504</c:v>
                </c:pt>
                <c:pt idx="1">
                  <c:v>0.20169863013698633</c:v>
                </c:pt>
                <c:pt idx="2">
                  <c:v>0.26084148727984346</c:v>
                </c:pt>
                <c:pt idx="3">
                  <c:v>0.53493737769080241</c:v>
                </c:pt>
                <c:pt idx="4">
                  <c:v>0.46673189823874761</c:v>
                </c:pt>
                <c:pt idx="5">
                  <c:v>0.97661448140900209</c:v>
                </c:pt>
                <c:pt idx="6">
                  <c:v>1.3114807566862361</c:v>
                </c:pt>
                <c:pt idx="7">
                  <c:v>0.76928897586431833</c:v>
                </c:pt>
                <c:pt idx="8">
                  <c:v>0.1703283322461405</c:v>
                </c:pt>
                <c:pt idx="9">
                  <c:v>0.13463144161774301</c:v>
                </c:pt>
                <c:pt idx="10">
                  <c:v>0.13275929549902152</c:v>
                </c:pt>
                <c:pt idx="11">
                  <c:v>0.41761252446183961</c:v>
                </c:pt>
              </c:numCache>
            </c:numRef>
          </c:val>
          <c:extLst>
            <c:ext xmlns:c16="http://schemas.microsoft.com/office/drawing/2014/chart" uri="{C3380CC4-5D6E-409C-BE32-E72D297353CC}">
              <c16:uniqueId val="{00000001-0EA2-4408-A4DC-9F4680B13F1F}"/>
            </c:ext>
          </c:extLst>
        </c:ser>
        <c:ser>
          <c:idx val="3"/>
          <c:order val="2"/>
          <c:tx>
            <c:strRef>
              <c:f>'Fläche-Best'!$BC$114</c:f>
              <c:strCache>
                <c:ptCount val="1"/>
                <c:pt idx="0">
                  <c:v>SIA 2024:2018 (hyg. Bedarf + Infiltration)</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'Fläche-Best'!$BE$114:$BY$114</c:f>
              <c:numCache>
                <c:formatCode>0.00</c:formatCode>
                <c:ptCount val="12"/>
                <c:pt idx="0">
                  <c:v>0.42213307240704501</c:v>
                </c:pt>
                <c:pt idx="1">
                  <c:v>0.35169863013698632</c:v>
                </c:pt>
                <c:pt idx="2">
                  <c:v>0.41084148727984349</c:v>
                </c:pt>
                <c:pt idx="3">
                  <c:v>0.68493737769080243</c:v>
                </c:pt>
                <c:pt idx="4">
                  <c:v>0.61673189823874763</c:v>
                </c:pt>
                <c:pt idx="5">
                  <c:v>1.126614481409002</c:v>
                </c:pt>
                <c:pt idx="6">
                  <c:v>1.461480756686236</c:v>
                </c:pt>
                <c:pt idx="7">
                  <c:v>0.91928897586431835</c:v>
                </c:pt>
                <c:pt idx="8">
                  <c:v>0.32032833224614049</c:v>
                </c:pt>
                <c:pt idx="9">
                  <c:v>0.28463144161774301</c:v>
                </c:pt>
                <c:pt idx="10">
                  <c:v>0.28275929549902151</c:v>
                </c:pt>
                <c:pt idx="11">
                  <c:v>0.56761252446183963</c:v>
                </c:pt>
              </c:numCache>
            </c:numRef>
          </c:val>
          <c:extLst>
            <c:ext xmlns:c16="http://schemas.microsoft.com/office/drawing/2014/chart" uri="{C3380CC4-5D6E-409C-BE32-E72D297353CC}">
              <c16:uniqueId val="{00000002-0EA2-4408-A4DC-9F4680B13F1F}"/>
            </c:ext>
          </c:extLst>
        </c:ser>
        <c:ser>
          <c:idx val="1"/>
          <c:order val="3"/>
          <c:tx>
            <c:strRef>
              <c:f>'Fläche-Best'!$BC$115</c:f>
              <c:strCache>
                <c:ptCount val="1"/>
                <c:pt idx="0">
                  <c:v>SIA 2024:2019 (jährlicher Durchschnitt)</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'Fläche-Best'!$BE$115:$BY$115</c:f>
              <c:numCache>
                <c:formatCode>0.00</c:formatCode>
                <c:ptCount val="12"/>
                <c:pt idx="0">
                  <c:v>0.57351989562948469</c:v>
                </c:pt>
                <c:pt idx="1">
                  <c:v>0.43778264840182646</c:v>
                </c:pt>
                <c:pt idx="2">
                  <c:v>0.67670732767993047</c:v>
                </c:pt>
                <c:pt idx="3">
                  <c:v>0.91802224396607957</c:v>
                </c:pt>
                <c:pt idx="4">
                  <c:v>1.1072035225048922</c:v>
                </c:pt>
                <c:pt idx="5">
                  <c:v>1.9812720156555774</c:v>
                </c:pt>
                <c:pt idx="6">
                  <c:v>1.9270863231137203</c:v>
                </c:pt>
                <c:pt idx="7">
                  <c:v>1.1850163078930203</c:v>
                </c:pt>
                <c:pt idx="8">
                  <c:v>0.61190722620859617</c:v>
                </c:pt>
                <c:pt idx="9">
                  <c:v>0.58085192433137656</c:v>
                </c:pt>
                <c:pt idx="10">
                  <c:v>1.1171232876712329</c:v>
                </c:pt>
                <c:pt idx="11">
                  <c:v>1.6889432485322897</c:v>
                </c:pt>
              </c:numCache>
            </c:numRef>
          </c:val>
          <c:extLst>
            <c:ext xmlns:c16="http://schemas.microsoft.com/office/drawing/2014/chart" uri="{C3380CC4-5D6E-409C-BE32-E72D297353CC}">
              <c16:uniqueId val="{00000003-0EA2-4408-A4DC-9F4680B13F1F}"/>
            </c:ext>
          </c:extLst>
        </c:ser>
        <c:dLbls>
          <c:showLegendKey val="0"/>
          <c:showVal val="0"/>
          <c:showCatName val="0"/>
          <c:showSerName val="0"/>
          <c:showPercent val="0"/>
          <c:showBubbleSize val="0"/>
        </c:dLbls>
        <c:gapWidth val="150"/>
        <c:axId val="91074560"/>
        <c:axId val="91076096"/>
      </c:barChart>
      <c:catAx>
        <c:axId val="91074560"/>
        <c:scaling>
          <c:orientation val="minMax"/>
        </c:scaling>
        <c:delete val="0"/>
        <c:axPos val="b"/>
        <c:numFmt formatCode="General" sourceLinked="0"/>
        <c:majorTickMark val="out"/>
        <c:minorTickMark val="none"/>
        <c:tickLblPos val="nextTo"/>
        <c:crossAx val="91076096"/>
        <c:crosses val="autoZero"/>
        <c:auto val="1"/>
        <c:lblAlgn val="ctr"/>
        <c:lblOffset val="100"/>
        <c:noMultiLvlLbl val="0"/>
      </c:catAx>
      <c:valAx>
        <c:axId val="91076096"/>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9107456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p>
        </c:rich>
      </c:tx>
      <c:overlay val="0"/>
    </c:title>
    <c:autoTitleDeleted val="0"/>
    <c:plotArea>
      <c:layout/>
      <c:barChart>
        <c:barDir val="col"/>
        <c:grouping val="clustered"/>
        <c:varyColors val="0"/>
        <c:ser>
          <c:idx val="0"/>
          <c:order val="0"/>
          <c:tx>
            <c:strRef>
              <c:f>'Fläche-Best'!$BC$36</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'Fläche-Best'!$BE$36:$BY$36</c:f>
              <c:numCache>
                <c:formatCode>0</c:formatCode>
                <c:ptCount val="12"/>
                <c:pt idx="0">
                  <c:v>28</c:v>
                </c:pt>
                <c:pt idx="1">
                  <c:v>22</c:v>
                </c:pt>
                <c:pt idx="2">
                  <c:v>22</c:v>
                </c:pt>
                <c:pt idx="3">
                  <c:v>11</c:v>
                </c:pt>
                <c:pt idx="4">
                  <c:v>33</c:v>
                </c:pt>
                <c:pt idx="5">
                  <c:v>33</c:v>
                </c:pt>
                <c:pt idx="6">
                  <c:v>17</c:v>
                </c:pt>
                <c:pt idx="7">
                  <c:v>28</c:v>
                </c:pt>
                <c:pt idx="8">
                  <c:v>17</c:v>
                </c:pt>
                <c:pt idx="9">
                  <c:v>6</c:v>
                </c:pt>
                <c:pt idx="10">
                  <c:v>6</c:v>
                </c:pt>
                <c:pt idx="11">
                  <c:v>56</c:v>
                </c:pt>
              </c:numCache>
            </c:numRef>
          </c:val>
          <c:extLst>
            <c:ext xmlns:c16="http://schemas.microsoft.com/office/drawing/2014/chart" uri="{C3380CC4-5D6E-409C-BE32-E72D297353CC}">
              <c16:uniqueId val="{00000000-3D74-4196-93EB-E9D07A663D97}"/>
            </c:ext>
          </c:extLst>
        </c:ser>
        <c:ser>
          <c:idx val="1"/>
          <c:order val="1"/>
          <c:tx>
            <c:strRef>
              <c:f>'Fläche-Best'!$BC$37</c:f>
              <c:strCache>
                <c:ptCount val="1"/>
                <c:pt idx="0">
                  <c:v>SIA 2024:2019 (Bel. + Ger. + Lüf. + Allg. GT)</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'Fläche-Best'!$BE$37:$BY$37</c:f>
              <c:numCache>
                <c:formatCode>0</c:formatCode>
                <c:ptCount val="12"/>
                <c:pt idx="0">
                  <c:v>23.393332714285716</c:v>
                </c:pt>
                <c:pt idx="1">
                  <c:v>19.449227714285716</c:v>
                </c:pt>
                <c:pt idx="2">
                  <c:v>45.166334000000006</c:v>
                </c:pt>
                <c:pt idx="3">
                  <c:v>23.243236653061224</c:v>
                </c:pt>
                <c:pt idx="4">
                  <c:v>51.952858971428569</c:v>
                </c:pt>
                <c:pt idx="5">
                  <c:v>48.216205904761907</c:v>
                </c:pt>
                <c:pt idx="6">
                  <c:v>52.225327809523812</c:v>
                </c:pt>
                <c:pt idx="7">
                  <c:v>33.511461142857151</c:v>
                </c:pt>
                <c:pt idx="8">
                  <c:v>38.743550482539689</c:v>
                </c:pt>
                <c:pt idx="9">
                  <c:v>27.92056794285714</c:v>
                </c:pt>
                <c:pt idx="10">
                  <c:v>20.729681142857142</c:v>
                </c:pt>
                <c:pt idx="11">
                  <c:v>38.104734285714294</c:v>
                </c:pt>
              </c:numCache>
            </c:numRef>
          </c:val>
          <c:extLst>
            <c:ext xmlns:c16="http://schemas.microsoft.com/office/drawing/2014/chart" uri="{C3380CC4-5D6E-409C-BE32-E72D297353CC}">
              <c16:uniqueId val="{00000001-3D74-4196-93EB-E9D07A663D97}"/>
            </c:ext>
          </c:extLst>
        </c:ser>
        <c:dLbls>
          <c:showLegendKey val="0"/>
          <c:showVal val="0"/>
          <c:showCatName val="0"/>
          <c:showSerName val="0"/>
          <c:showPercent val="0"/>
          <c:showBubbleSize val="0"/>
        </c:dLbls>
        <c:gapWidth val="150"/>
        <c:axId val="91105920"/>
        <c:axId val="91107712"/>
      </c:barChart>
      <c:catAx>
        <c:axId val="91105920"/>
        <c:scaling>
          <c:orientation val="minMax"/>
        </c:scaling>
        <c:delete val="0"/>
        <c:axPos val="b"/>
        <c:numFmt formatCode="General" sourceLinked="0"/>
        <c:majorTickMark val="out"/>
        <c:minorTickMark val="none"/>
        <c:tickLblPos val="nextTo"/>
        <c:crossAx val="91107712"/>
        <c:crosses val="autoZero"/>
        <c:auto val="1"/>
        <c:lblAlgn val="ctr"/>
        <c:lblOffset val="100"/>
        <c:noMultiLvlLbl val="0"/>
      </c:catAx>
      <c:valAx>
        <c:axId val="91107712"/>
        <c:scaling>
          <c:orientation val="minMax"/>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9110592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Wärmeeinträge Personen</a:t>
            </a:r>
          </a:p>
        </c:rich>
      </c:tx>
      <c:overlay val="0"/>
    </c:title>
    <c:autoTitleDeleted val="0"/>
    <c:plotArea>
      <c:layout/>
      <c:barChart>
        <c:barDir val="col"/>
        <c:grouping val="clustered"/>
        <c:varyColors val="0"/>
        <c:ser>
          <c:idx val="0"/>
          <c:order val="0"/>
          <c:tx>
            <c:strRef>
              <c:f>'Fläche-Best'!$BC$164</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'Fläche-Best'!$BE$164:$BY$164</c:f>
              <c:numCache>
                <c:formatCode>0.0</c:formatCode>
                <c:ptCount val="12"/>
                <c:pt idx="0">
                  <c:v>7.665</c:v>
                </c:pt>
                <c:pt idx="1">
                  <c:v>5.1100000000000003</c:v>
                </c:pt>
                <c:pt idx="2">
                  <c:v>8.76</c:v>
                </c:pt>
                <c:pt idx="3">
                  <c:v>10.220000000000001</c:v>
                </c:pt>
                <c:pt idx="4">
                  <c:v>13.14</c:v>
                </c:pt>
                <c:pt idx="5">
                  <c:v>21.9</c:v>
                </c:pt>
                <c:pt idx="6">
                  <c:v>17.52</c:v>
                </c:pt>
                <c:pt idx="7">
                  <c:v>15.573333333333332</c:v>
                </c:pt>
                <c:pt idx="8">
                  <c:v>7.3</c:v>
                </c:pt>
                <c:pt idx="9">
                  <c:v>2.19</c:v>
                </c:pt>
                <c:pt idx="10">
                  <c:v>10.95</c:v>
                </c:pt>
                <c:pt idx="11">
                  <c:v>4.38</c:v>
                </c:pt>
              </c:numCache>
            </c:numRef>
          </c:val>
          <c:extLst>
            <c:ext xmlns:c16="http://schemas.microsoft.com/office/drawing/2014/chart" uri="{C3380CC4-5D6E-409C-BE32-E72D297353CC}">
              <c16:uniqueId val="{00000000-EB1E-491B-A643-46314FAE9567}"/>
            </c:ext>
          </c:extLst>
        </c:ser>
        <c:ser>
          <c:idx val="1"/>
          <c:order val="1"/>
          <c:tx>
            <c:strRef>
              <c:f>'Fläche-Best'!$BC$165</c:f>
              <c:strCache>
                <c:ptCount val="1"/>
                <c:pt idx="0">
                  <c:v>SIA 2024:2019</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'Fläche-Best'!$BE$165:$BY$165</c:f>
              <c:numCache>
                <c:formatCode>0.0</c:formatCode>
                <c:ptCount val="12"/>
                <c:pt idx="0">
                  <c:v>6.6748800000000008</c:v>
                </c:pt>
                <c:pt idx="1">
                  <c:v>4.9472640000000006</c:v>
                </c:pt>
                <c:pt idx="2">
                  <c:v>6.3979200000000001</c:v>
                </c:pt>
                <c:pt idx="3">
                  <c:v>13.120944000000001</c:v>
                </c:pt>
                <c:pt idx="4">
                  <c:v>11.448</c:v>
                </c:pt>
                <c:pt idx="5">
                  <c:v>23.954400000000003</c:v>
                </c:pt>
                <c:pt idx="6">
                  <c:v>32.167999999999999</c:v>
                </c:pt>
                <c:pt idx="7">
                  <c:v>18.869119999999999</c:v>
                </c:pt>
                <c:pt idx="8">
                  <c:v>4.1778133333333338</c:v>
                </c:pt>
                <c:pt idx="9">
                  <c:v>3.3022399999999998</c:v>
                </c:pt>
                <c:pt idx="10">
                  <c:v>3.2563199999999997</c:v>
                </c:pt>
                <c:pt idx="11">
                  <c:v>10.243200000000002</c:v>
                </c:pt>
              </c:numCache>
            </c:numRef>
          </c:val>
          <c:extLst>
            <c:ext xmlns:c16="http://schemas.microsoft.com/office/drawing/2014/chart" uri="{C3380CC4-5D6E-409C-BE32-E72D297353CC}">
              <c16:uniqueId val="{00000001-EB1E-491B-A643-46314FAE9567}"/>
            </c:ext>
          </c:extLst>
        </c:ser>
        <c:dLbls>
          <c:showLegendKey val="0"/>
          <c:showVal val="0"/>
          <c:showCatName val="0"/>
          <c:showSerName val="0"/>
          <c:showPercent val="0"/>
          <c:showBubbleSize val="0"/>
        </c:dLbls>
        <c:gapWidth val="150"/>
        <c:axId val="91133440"/>
        <c:axId val="91134976"/>
      </c:barChart>
      <c:catAx>
        <c:axId val="91133440"/>
        <c:scaling>
          <c:orientation val="minMax"/>
        </c:scaling>
        <c:delete val="0"/>
        <c:axPos val="b"/>
        <c:numFmt formatCode="General" sourceLinked="0"/>
        <c:majorTickMark val="out"/>
        <c:minorTickMark val="none"/>
        <c:tickLblPos val="nextTo"/>
        <c:crossAx val="91134976"/>
        <c:crosses val="autoZero"/>
        <c:auto val="1"/>
        <c:lblAlgn val="ctr"/>
        <c:lblOffset val="100"/>
        <c:noMultiLvlLbl val="0"/>
      </c:catAx>
      <c:valAx>
        <c:axId val="91134976"/>
        <c:scaling>
          <c:orientation val="minMax"/>
        </c:scaling>
        <c:delete val="0"/>
        <c:axPos val="l"/>
        <c:majorGridlines/>
        <c:title>
          <c:tx>
            <c:rich>
              <a:bodyPr rot="-5400000" vert="horz"/>
              <a:lstStyle/>
              <a:p>
                <a:pPr>
                  <a:defRPr b="0"/>
                </a:pPr>
                <a:r>
                  <a:rPr lang="en-US" b="0"/>
                  <a:t>kWh/m2</a:t>
                </a:r>
              </a:p>
            </c:rich>
          </c:tx>
          <c:overlay val="0"/>
        </c:title>
        <c:numFmt formatCode="0.0" sourceLinked="1"/>
        <c:majorTickMark val="out"/>
        <c:minorTickMark val="none"/>
        <c:tickLblPos val="nextTo"/>
        <c:crossAx val="91133440"/>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Personenfläche</a:t>
            </a:r>
          </a:p>
        </c:rich>
      </c:tx>
      <c:overlay val="0"/>
    </c:title>
    <c:autoTitleDeleted val="0"/>
    <c:plotArea>
      <c:layout/>
      <c:barChart>
        <c:barDir val="col"/>
        <c:grouping val="clustered"/>
        <c:varyColors val="0"/>
        <c:ser>
          <c:idx val="0"/>
          <c:order val="0"/>
          <c:tx>
            <c:strRef>
              <c:f>'Fläche-Best'!$BC$189</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'Fläche-Best'!$BE$189:$BY$189</c:f>
              <c:numCache>
                <c:formatCode>0</c:formatCode>
                <c:ptCount val="12"/>
                <c:pt idx="0">
                  <c:v>40</c:v>
                </c:pt>
                <c:pt idx="1">
                  <c:v>60</c:v>
                </c:pt>
                <c:pt idx="2">
                  <c:v>20</c:v>
                </c:pt>
                <c:pt idx="3">
                  <c:v>10</c:v>
                </c:pt>
                <c:pt idx="4">
                  <c:v>10</c:v>
                </c:pt>
                <c:pt idx="5">
                  <c:v>5</c:v>
                </c:pt>
                <c:pt idx="6">
                  <c:v>5</c:v>
                </c:pt>
                <c:pt idx="7">
                  <c:v>30</c:v>
                </c:pt>
                <c:pt idx="8">
                  <c:v>30</c:v>
                </c:pt>
                <c:pt idx="9">
                  <c:v>100</c:v>
                </c:pt>
                <c:pt idx="10">
                  <c:v>20</c:v>
                </c:pt>
                <c:pt idx="11">
                  <c:v>20</c:v>
                </c:pt>
              </c:numCache>
            </c:numRef>
          </c:val>
          <c:extLst>
            <c:ext xmlns:c16="http://schemas.microsoft.com/office/drawing/2014/chart" uri="{C3380CC4-5D6E-409C-BE32-E72D297353CC}">
              <c16:uniqueId val="{00000000-E1C3-40D7-93FA-B613244DB246}"/>
            </c:ext>
          </c:extLst>
        </c:ser>
        <c:ser>
          <c:idx val="1"/>
          <c:order val="1"/>
          <c:tx>
            <c:strRef>
              <c:f>'Fläche-Best'!$BC$190</c:f>
              <c:strCache>
                <c:ptCount val="1"/>
                <c:pt idx="0">
                  <c:v>SIA 2024:2019</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'Fläche-Best'!$BE$190:$BY$190</c:f>
              <c:numCache>
                <c:formatCode>0</c:formatCode>
                <c:ptCount val="12"/>
                <c:pt idx="0">
                  <c:v>51.470588235294116</c:v>
                </c:pt>
                <c:pt idx="1">
                  <c:v>69.444444444444429</c:v>
                </c:pt>
                <c:pt idx="2">
                  <c:v>26.184538653366584</c:v>
                </c:pt>
                <c:pt idx="3">
                  <c:v>9.9150141643059477</c:v>
                </c:pt>
                <c:pt idx="4">
                  <c:v>15.909090909090908</c:v>
                </c:pt>
                <c:pt idx="5">
                  <c:v>4.5691906005221927</c:v>
                </c:pt>
                <c:pt idx="6">
                  <c:v>6.1403508771929829</c:v>
                </c:pt>
                <c:pt idx="7">
                  <c:v>18.683274021352315</c:v>
                </c:pt>
                <c:pt idx="8">
                  <c:v>28.688524590163933</c:v>
                </c:pt>
                <c:pt idx="9">
                  <c:v>59.322033898305079</c:v>
                </c:pt>
                <c:pt idx="10">
                  <c:v>41.666666666666664</c:v>
                </c:pt>
                <c:pt idx="11">
                  <c:v>19.662921348314608</c:v>
                </c:pt>
              </c:numCache>
            </c:numRef>
          </c:val>
          <c:extLst>
            <c:ext xmlns:c16="http://schemas.microsoft.com/office/drawing/2014/chart" uri="{C3380CC4-5D6E-409C-BE32-E72D297353CC}">
              <c16:uniqueId val="{00000001-E1C3-40D7-93FA-B613244DB246}"/>
            </c:ext>
          </c:extLst>
        </c:ser>
        <c:dLbls>
          <c:showLegendKey val="0"/>
          <c:showVal val="0"/>
          <c:showCatName val="0"/>
          <c:showSerName val="0"/>
          <c:showPercent val="0"/>
          <c:showBubbleSize val="0"/>
        </c:dLbls>
        <c:gapWidth val="150"/>
        <c:axId val="105275776"/>
        <c:axId val="105277312"/>
      </c:barChart>
      <c:catAx>
        <c:axId val="105275776"/>
        <c:scaling>
          <c:orientation val="minMax"/>
        </c:scaling>
        <c:delete val="0"/>
        <c:axPos val="b"/>
        <c:numFmt formatCode="General" sourceLinked="0"/>
        <c:majorTickMark val="out"/>
        <c:minorTickMark val="none"/>
        <c:tickLblPos val="nextTo"/>
        <c:crossAx val="105277312"/>
        <c:crosses val="autoZero"/>
        <c:auto val="1"/>
        <c:lblAlgn val="ctr"/>
        <c:lblOffset val="100"/>
        <c:noMultiLvlLbl val="0"/>
      </c:catAx>
      <c:valAx>
        <c:axId val="105277312"/>
        <c:scaling>
          <c:orientation val="minMax"/>
        </c:scaling>
        <c:delete val="0"/>
        <c:axPos val="l"/>
        <c:majorGridlines/>
        <c:title>
          <c:tx>
            <c:rich>
              <a:bodyPr rot="-5400000" vert="horz"/>
              <a:lstStyle/>
              <a:p>
                <a:pPr>
                  <a:defRPr b="0"/>
                </a:pPr>
                <a:r>
                  <a:rPr lang="en-US" b="0"/>
                  <a:t>m2/P</a:t>
                </a:r>
              </a:p>
            </c:rich>
          </c:tx>
          <c:overlay val="0"/>
        </c:title>
        <c:numFmt formatCode="0" sourceLinked="1"/>
        <c:majorTickMark val="out"/>
        <c:minorTickMark val="none"/>
        <c:tickLblPos val="nextTo"/>
        <c:crossAx val="105275776"/>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Raumtemperatur</a:t>
            </a:r>
          </a:p>
        </c:rich>
      </c:tx>
      <c:overlay val="0"/>
    </c:title>
    <c:autoTitleDeleted val="0"/>
    <c:plotArea>
      <c:layout/>
      <c:barChart>
        <c:barDir val="col"/>
        <c:grouping val="clustered"/>
        <c:varyColors val="0"/>
        <c:ser>
          <c:idx val="0"/>
          <c:order val="0"/>
          <c:tx>
            <c:strRef>
              <c:f>'Fläche-Best'!$BC$215</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'Fläche-Best'!$BE$215:$BY$215</c:f>
              <c:numCache>
                <c:formatCode>0</c:formatCode>
                <c:ptCount val="12"/>
                <c:pt idx="0">
                  <c:v>20</c:v>
                </c:pt>
                <c:pt idx="1">
                  <c:v>20</c:v>
                </c:pt>
                <c:pt idx="2">
                  <c:v>20</c:v>
                </c:pt>
                <c:pt idx="3">
                  <c:v>20</c:v>
                </c:pt>
                <c:pt idx="4">
                  <c:v>20</c:v>
                </c:pt>
                <c:pt idx="5">
                  <c:v>20</c:v>
                </c:pt>
                <c:pt idx="6">
                  <c:v>20</c:v>
                </c:pt>
                <c:pt idx="7">
                  <c:v>22</c:v>
                </c:pt>
                <c:pt idx="8">
                  <c:v>18</c:v>
                </c:pt>
                <c:pt idx="9">
                  <c:v>18</c:v>
                </c:pt>
                <c:pt idx="10">
                  <c:v>18</c:v>
                </c:pt>
                <c:pt idx="11">
                  <c:v>28</c:v>
                </c:pt>
              </c:numCache>
            </c:numRef>
          </c:val>
          <c:extLst>
            <c:ext xmlns:c16="http://schemas.microsoft.com/office/drawing/2014/chart" uri="{C3380CC4-5D6E-409C-BE32-E72D297353CC}">
              <c16:uniqueId val="{00000000-B993-4091-9979-47922B3DD286}"/>
            </c:ext>
          </c:extLst>
        </c:ser>
        <c:ser>
          <c:idx val="1"/>
          <c:order val="1"/>
          <c:tx>
            <c:strRef>
              <c:f>'Fläche-Best'!$BC$216</c:f>
              <c:strCache>
                <c:ptCount val="1"/>
                <c:pt idx="0">
                  <c:v>SIA 2024:2019</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'Fläche-Best'!$BE$216:$BY$216</c:f>
              <c:numCache>
                <c:formatCode>0</c:formatCode>
                <c:ptCount val="12"/>
                <c:pt idx="0">
                  <c:v>22</c:v>
                </c:pt>
                <c:pt idx="1">
                  <c:v>22</c:v>
                </c:pt>
                <c:pt idx="2">
                  <c:v>22</c:v>
                </c:pt>
                <c:pt idx="3">
                  <c:v>22</c:v>
                </c:pt>
                <c:pt idx="4">
                  <c:v>22</c:v>
                </c:pt>
                <c:pt idx="5">
                  <c:v>22</c:v>
                </c:pt>
                <c:pt idx="6">
                  <c:v>22</c:v>
                </c:pt>
                <c:pt idx="7">
                  <c:v>22</c:v>
                </c:pt>
                <c:pt idx="8">
                  <c:v>20</c:v>
                </c:pt>
                <c:pt idx="9">
                  <c:v>18</c:v>
                </c:pt>
                <c:pt idx="10">
                  <c:v>18</c:v>
                </c:pt>
                <c:pt idx="11">
                  <c:v>28</c:v>
                </c:pt>
              </c:numCache>
            </c:numRef>
          </c:val>
          <c:extLst>
            <c:ext xmlns:c16="http://schemas.microsoft.com/office/drawing/2014/chart" uri="{C3380CC4-5D6E-409C-BE32-E72D297353CC}">
              <c16:uniqueId val="{00000001-B993-4091-9979-47922B3DD286}"/>
            </c:ext>
          </c:extLst>
        </c:ser>
        <c:dLbls>
          <c:showLegendKey val="0"/>
          <c:showVal val="0"/>
          <c:showCatName val="0"/>
          <c:showSerName val="0"/>
          <c:showPercent val="0"/>
          <c:showBubbleSize val="0"/>
        </c:dLbls>
        <c:gapWidth val="150"/>
        <c:axId val="105294848"/>
        <c:axId val="105321216"/>
      </c:barChart>
      <c:catAx>
        <c:axId val="105294848"/>
        <c:scaling>
          <c:orientation val="minMax"/>
        </c:scaling>
        <c:delete val="0"/>
        <c:axPos val="b"/>
        <c:numFmt formatCode="General" sourceLinked="0"/>
        <c:majorTickMark val="out"/>
        <c:minorTickMark val="none"/>
        <c:tickLblPos val="nextTo"/>
        <c:crossAx val="105321216"/>
        <c:crosses val="autoZero"/>
        <c:auto val="1"/>
        <c:lblAlgn val="ctr"/>
        <c:lblOffset val="100"/>
        <c:noMultiLvlLbl val="0"/>
      </c:catAx>
      <c:valAx>
        <c:axId val="105321216"/>
        <c:scaling>
          <c:orientation val="minMax"/>
          <c:min val="10"/>
        </c:scaling>
        <c:delete val="0"/>
        <c:axPos val="l"/>
        <c:majorGridlines/>
        <c:title>
          <c:tx>
            <c:rich>
              <a:bodyPr rot="-5400000" vert="horz"/>
              <a:lstStyle/>
              <a:p>
                <a:pPr>
                  <a:defRPr b="0"/>
                </a:pPr>
                <a:r>
                  <a:rPr lang="en-US" b="0"/>
                  <a:t>°C</a:t>
                </a:r>
              </a:p>
            </c:rich>
          </c:tx>
          <c:overlay val="0"/>
        </c:title>
        <c:numFmt formatCode="0" sourceLinked="1"/>
        <c:majorTickMark val="out"/>
        <c:minorTickMark val="none"/>
        <c:tickLblPos val="nextTo"/>
        <c:crossAx val="105294848"/>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'Fläche-Best'!$BC$112</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'Fläche-Best'!$BE$112:$BY$112</c:f>
              <c:numCache>
                <c:formatCode>0.00</c:formatCode>
                <c:ptCount val="12"/>
                <c:pt idx="0">
                  <c:v>0.7</c:v>
                </c:pt>
                <c:pt idx="1">
                  <c:v>0.7</c:v>
                </c:pt>
                <c:pt idx="2">
                  <c:v>0.7</c:v>
                </c:pt>
                <c:pt idx="3">
                  <c:v>0.7</c:v>
                </c:pt>
                <c:pt idx="4">
                  <c:v>0.7</c:v>
                </c:pt>
                <c:pt idx="5">
                  <c:v>1.2</c:v>
                </c:pt>
                <c:pt idx="6">
                  <c:v>1</c:v>
                </c:pt>
                <c:pt idx="7">
                  <c:v>1</c:v>
                </c:pt>
                <c:pt idx="8">
                  <c:v>0.7</c:v>
                </c:pt>
                <c:pt idx="9">
                  <c:v>0.3</c:v>
                </c:pt>
                <c:pt idx="10">
                  <c:v>0.7</c:v>
                </c:pt>
                <c:pt idx="11">
                  <c:v>0.7</c:v>
                </c:pt>
              </c:numCache>
            </c:numRef>
          </c:val>
          <c:extLst>
            <c:ext xmlns:c16="http://schemas.microsoft.com/office/drawing/2014/chart" uri="{C3380CC4-5D6E-409C-BE32-E72D297353CC}">
              <c16:uniqueId val="{00000000-EBDE-423B-8312-F91CC219DD5F}"/>
            </c:ext>
          </c:extLst>
        </c:ser>
        <c:ser>
          <c:idx val="1"/>
          <c:order val="1"/>
          <c:tx>
            <c:strRef>
              <c:f>'Fläche-Best'!$BC$113</c:f>
              <c:strCache>
                <c:ptCount val="1"/>
                <c:pt idx="0">
                  <c:v>SIA 2024:2019 (hygienischer Bedarf)</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'Fläche-Best'!$BE$113:$BY$113</c:f>
              <c:numCache>
                <c:formatCode>0.00</c:formatCode>
                <c:ptCount val="12"/>
                <c:pt idx="0">
                  <c:v>0.27213307240704504</c:v>
                </c:pt>
                <c:pt idx="1">
                  <c:v>0.20169863013698633</c:v>
                </c:pt>
                <c:pt idx="2">
                  <c:v>0.26084148727984346</c:v>
                </c:pt>
                <c:pt idx="3">
                  <c:v>0.53493737769080241</c:v>
                </c:pt>
                <c:pt idx="4">
                  <c:v>0.46673189823874761</c:v>
                </c:pt>
                <c:pt idx="5">
                  <c:v>0.97661448140900209</c:v>
                </c:pt>
                <c:pt idx="6">
                  <c:v>1.3114807566862361</c:v>
                </c:pt>
                <c:pt idx="7">
                  <c:v>0.76928897586431833</c:v>
                </c:pt>
                <c:pt idx="8">
                  <c:v>0.1703283322461405</c:v>
                </c:pt>
                <c:pt idx="9">
                  <c:v>0.13463144161774301</c:v>
                </c:pt>
                <c:pt idx="10">
                  <c:v>0.13275929549902152</c:v>
                </c:pt>
                <c:pt idx="11">
                  <c:v>0.41761252446183961</c:v>
                </c:pt>
              </c:numCache>
            </c:numRef>
          </c:val>
          <c:extLst>
            <c:ext xmlns:c16="http://schemas.microsoft.com/office/drawing/2014/chart" uri="{C3380CC4-5D6E-409C-BE32-E72D297353CC}">
              <c16:uniqueId val="{00000001-EBDE-423B-8312-F91CC219DD5F}"/>
            </c:ext>
          </c:extLst>
        </c:ser>
        <c:dLbls>
          <c:showLegendKey val="0"/>
          <c:showVal val="0"/>
          <c:showCatName val="0"/>
          <c:showSerName val="0"/>
          <c:showPercent val="0"/>
          <c:showBubbleSize val="0"/>
        </c:dLbls>
        <c:gapWidth val="150"/>
        <c:axId val="105371904"/>
        <c:axId val="105373696"/>
      </c:barChart>
      <c:catAx>
        <c:axId val="105371904"/>
        <c:scaling>
          <c:orientation val="minMax"/>
        </c:scaling>
        <c:delete val="0"/>
        <c:axPos val="b"/>
        <c:numFmt formatCode="General" sourceLinked="0"/>
        <c:majorTickMark val="out"/>
        <c:minorTickMark val="none"/>
        <c:tickLblPos val="nextTo"/>
        <c:crossAx val="105373696"/>
        <c:crosses val="autoZero"/>
        <c:auto val="1"/>
        <c:lblAlgn val="ctr"/>
        <c:lblOffset val="100"/>
        <c:noMultiLvlLbl val="0"/>
      </c:catAx>
      <c:valAx>
        <c:axId val="105373696"/>
        <c:scaling>
          <c:orientation val="minMax"/>
        </c:scaling>
        <c:delete val="0"/>
        <c:axPos val="l"/>
        <c:majorGridlines/>
        <c:title>
          <c:tx>
            <c:rich>
              <a:bodyPr rot="-5400000" vert="horz"/>
              <a:lstStyle/>
              <a:p>
                <a:pPr>
                  <a:defRPr b="0"/>
                </a:pPr>
                <a:r>
                  <a:rPr lang="en-US" b="0"/>
                  <a:t>m3/(m2h)</a:t>
                </a:r>
              </a:p>
            </c:rich>
          </c:tx>
          <c:overlay val="0"/>
        </c:title>
        <c:numFmt formatCode="0.00" sourceLinked="1"/>
        <c:majorTickMark val="out"/>
        <c:minorTickMark val="none"/>
        <c:tickLblPos val="nextTo"/>
        <c:crossAx val="10537190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 Elektrische Energie</a:t>
            </a:r>
          </a:p>
        </c:rich>
      </c:tx>
      <c:overlay val="0"/>
    </c:title>
    <c:autoTitleDeleted val="0"/>
    <c:plotArea>
      <c:layout>
        <c:manualLayout>
          <c:layoutTarget val="inner"/>
          <c:xMode val="edge"/>
          <c:yMode val="edge"/>
          <c:x val="0.1167441520009202"/>
          <c:y val="9.7302602633093038E-2"/>
          <c:w val="0.85403938053560036"/>
          <c:h val="0.49301769646837312"/>
        </c:manualLayout>
      </c:layout>
      <c:barChart>
        <c:barDir val="col"/>
        <c:grouping val="stacked"/>
        <c:varyColors val="0"/>
        <c:ser>
          <c:idx val="0"/>
          <c:order val="0"/>
          <c:tx>
            <c:strRef>
              <c:f>'Fläche-Best'!$EX$3</c:f>
              <c:strCache>
                <c:ptCount val="1"/>
                <c:pt idx="0">
                  <c:v>Heizung, Lüftung</c:v>
                </c:pt>
              </c:strCache>
            </c:strRef>
          </c:tx>
          <c:spPr>
            <a:solidFill>
              <a:srgbClr val="FF0000"/>
            </a:solidFill>
          </c:spPr>
          <c:invertIfNegative val="0"/>
          <c:cat>
            <c:strRef>
              <c:f>'Fläche-Best'!$EZ$2:$FS$2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'Fläche-Best'!$EZ$3:$FS$3</c:f>
              <c:numCache>
                <c:formatCode>General</c:formatCode>
                <c:ptCount val="11"/>
                <c:pt idx="0">
                  <c:v>7</c:v>
                </c:pt>
                <c:pt idx="1">
                  <c:v>10.5</c:v>
                </c:pt>
                <c:pt idx="2">
                  <c:v>16.5</c:v>
                </c:pt>
                <c:pt idx="3">
                  <c:v>14</c:v>
                </c:pt>
                <c:pt idx="4">
                  <c:v>16.5</c:v>
                </c:pt>
                <c:pt idx="5">
                  <c:v>22.5</c:v>
                </c:pt>
                <c:pt idx="6">
                  <c:v>13</c:v>
                </c:pt>
                <c:pt idx="7">
                  <c:v>21</c:v>
                </c:pt>
                <c:pt idx="8">
                  <c:v>6.5</c:v>
                </c:pt>
                <c:pt idx="9">
                  <c:v>9.5</c:v>
                </c:pt>
                <c:pt idx="10">
                  <c:v>12.5</c:v>
                </c:pt>
              </c:numCache>
            </c:numRef>
          </c:val>
          <c:extLst>
            <c:ext xmlns:c16="http://schemas.microsoft.com/office/drawing/2014/chart" uri="{C3380CC4-5D6E-409C-BE32-E72D297353CC}">
              <c16:uniqueId val="{00000000-098C-4160-B0F5-B8852560CF8A}"/>
            </c:ext>
          </c:extLst>
        </c:ser>
        <c:ser>
          <c:idx val="1"/>
          <c:order val="1"/>
          <c:tx>
            <c:strRef>
              <c:f>'Fläche-Best'!$EX$4</c:f>
              <c:strCache>
                <c:ptCount val="1"/>
                <c:pt idx="0">
                  <c:v>Warmwassser</c:v>
                </c:pt>
              </c:strCache>
            </c:strRef>
          </c:tx>
          <c:spPr>
            <a:solidFill>
              <a:srgbClr val="FFC000"/>
            </a:solidFill>
          </c:spPr>
          <c:invertIfNegative val="0"/>
          <c:cat>
            <c:strRef>
              <c:f>'Fläche-Best'!$EZ$2:$FS$2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'Fläche-Best'!$EZ$4:$FS$4</c:f>
              <c:numCache>
                <c:formatCode>General</c:formatCode>
                <c:ptCount val="11"/>
                <c:pt idx="0">
                  <c:v>10.5</c:v>
                </c:pt>
                <c:pt idx="1">
                  <c:v>7</c:v>
                </c:pt>
                <c:pt idx="2">
                  <c:v>3.5</c:v>
                </c:pt>
                <c:pt idx="3">
                  <c:v>3.5</c:v>
                </c:pt>
                <c:pt idx="4">
                  <c:v>3.5</c:v>
                </c:pt>
                <c:pt idx="5">
                  <c:v>0</c:v>
                </c:pt>
                <c:pt idx="6">
                  <c:v>7</c:v>
                </c:pt>
                <c:pt idx="7">
                  <c:v>14</c:v>
                </c:pt>
                <c:pt idx="8">
                  <c:v>3.5</c:v>
                </c:pt>
                <c:pt idx="9">
                  <c:v>0.5</c:v>
                </c:pt>
                <c:pt idx="10">
                  <c:v>0</c:v>
                </c:pt>
              </c:numCache>
            </c:numRef>
          </c:val>
          <c:extLst>
            <c:ext xmlns:c16="http://schemas.microsoft.com/office/drawing/2014/chart" uri="{C3380CC4-5D6E-409C-BE32-E72D297353CC}">
              <c16:uniqueId val="{00000001-098C-4160-B0F5-B8852560CF8A}"/>
            </c:ext>
          </c:extLst>
        </c:ser>
        <c:ser>
          <c:idx val="2"/>
          <c:order val="2"/>
          <c:tx>
            <c:strRef>
              <c:f>'Fläche-Best'!$EX$5</c:f>
              <c:strCache>
                <c:ptCount val="1"/>
                <c:pt idx="0">
                  <c:v>Geräte</c:v>
                </c:pt>
              </c:strCache>
            </c:strRef>
          </c:tx>
          <c:invertIfNegative val="0"/>
          <c:cat>
            <c:strRef>
              <c:f>'Fläche-Best'!$EZ$2:$FS$2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'Fläche-Best'!$EZ$5:$FS$5</c:f>
              <c:numCache>
                <c:formatCode>General</c:formatCode>
                <c:ptCount val="11"/>
                <c:pt idx="0">
                  <c:v>18.5</c:v>
                </c:pt>
                <c:pt idx="1">
                  <c:v>17.5</c:v>
                </c:pt>
                <c:pt idx="2">
                  <c:v>32.5</c:v>
                </c:pt>
                <c:pt idx="3">
                  <c:v>7</c:v>
                </c:pt>
                <c:pt idx="4">
                  <c:v>14.5</c:v>
                </c:pt>
                <c:pt idx="5">
                  <c:v>21.5</c:v>
                </c:pt>
                <c:pt idx="6">
                  <c:v>3.5</c:v>
                </c:pt>
                <c:pt idx="7">
                  <c:v>14.5</c:v>
                </c:pt>
                <c:pt idx="8">
                  <c:v>14.5</c:v>
                </c:pt>
                <c:pt idx="9">
                  <c:v>3.5</c:v>
                </c:pt>
                <c:pt idx="10">
                  <c:v>3.5</c:v>
                </c:pt>
              </c:numCache>
            </c:numRef>
          </c:val>
          <c:extLst>
            <c:ext xmlns:c16="http://schemas.microsoft.com/office/drawing/2014/chart" uri="{C3380CC4-5D6E-409C-BE32-E72D297353CC}">
              <c16:uniqueId val="{00000002-098C-4160-B0F5-B8852560CF8A}"/>
            </c:ext>
          </c:extLst>
        </c:ser>
        <c:ser>
          <c:idx val="3"/>
          <c:order val="3"/>
          <c:tx>
            <c:strRef>
              <c:f>'Fläche-Best'!$EX$6</c:f>
              <c:strCache>
                <c:ptCount val="1"/>
                <c:pt idx="0">
                  <c:v>Beleuchtung</c:v>
                </c:pt>
              </c:strCache>
            </c:strRef>
          </c:tx>
          <c:spPr>
            <a:solidFill>
              <a:srgbClr val="FFFF00"/>
            </a:solidFill>
          </c:spPr>
          <c:invertIfNegative val="0"/>
          <c:cat>
            <c:strRef>
              <c:f>'Fläche-Best'!$EZ$2:$FS$2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'Fläche-Best'!$EZ$6:$FS$6</c:f>
              <c:numCache>
                <c:formatCode>General</c:formatCode>
                <c:ptCount val="11"/>
                <c:pt idx="0">
                  <c:v>0</c:v>
                </c:pt>
                <c:pt idx="1">
                  <c:v>0</c:v>
                </c:pt>
                <c:pt idx="2">
                  <c:v>9</c:v>
                </c:pt>
                <c:pt idx="3">
                  <c:v>8</c:v>
                </c:pt>
                <c:pt idx="4">
                  <c:v>40</c:v>
                </c:pt>
                <c:pt idx="5">
                  <c:v>14</c:v>
                </c:pt>
                <c:pt idx="6">
                  <c:v>10</c:v>
                </c:pt>
                <c:pt idx="7">
                  <c:v>14</c:v>
                </c:pt>
                <c:pt idx="8">
                  <c:v>14</c:v>
                </c:pt>
                <c:pt idx="9">
                  <c:v>14</c:v>
                </c:pt>
                <c:pt idx="10">
                  <c:v>9</c:v>
                </c:pt>
              </c:numCache>
            </c:numRef>
          </c:val>
          <c:extLst>
            <c:ext xmlns:c16="http://schemas.microsoft.com/office/drawing/2014/chart" uri="{C3380CC4-5D6E-409C-BE32-E72D297353CC}">
              <c16:uniqueId val="{00000003-098C-4160-B0F5-B8852560CF8A}"/>
            </c:ext>
          </c:extLst>
        </c:ser>
        <c:ser>
          <c:idx val="4"/>
          <c:order val="4"/>
          <c:tx>
            <c:strRef>
              <c:f>'Fläche-Best'!$EX$7</c:f>
              <c:strCache>
                <c:ptCount val="1"/>
                <c:pt idx="0">
                  <c:v>Allgemeine GT</c:v>
                </c:pt>
              </c:strCache>
            </c:strRef>
          </c:tx>
          <c:spPr>
            <a:solidFill>
              <a:schemeClr val="bg1">
                <a:lumMod val="65000"/>
              </a:schemeClr>
            </a:solidFill>
          </c:spPr>
          <c:invertIfNegative val="0"/>
          <c:cat>
            <c:strRef>
              <c:f>'Fläche-Best'!$EZ$2:$FS$2</c:f>
              <c:strCache>
                <c:ptCount val="11"/>
                <c:pt idx="0">
                  <c:v>Wohnen MFH</c:v>
                </c:pt>
                <c:pt idx="1">
                  <c:v>Wohnen EFH</c:v>
                </c:pt>
                <c:pt idx="2">
                  <c:v>Büro</c:v>
                </c:pt>
                <c:pt idx="3">
                  <c:v>Schule</c:v>
                </c:pt>
                <c:pt idx="4">
                  <c:v>Verkauf</c:v>
                </c:pt>
                <c:pt idx="5">
                  <c:v>Restaurant</c:v>
                </c:pt>
                <c:pt idx="6">
                  <c:v>Versammlungslokal</c:v>
                </c:pt>
                <c:pt idx="7">
                  <c:v>Spital</c:v>
                </c:pt>
                <c:pt idx="8">
                  <c:v>Industrie</c:v>
                </c:pt>
                <c:pt idx="9">
                  <c:v>Lager</c:v>
                </c:pt>
                <c:pt idx="10">
                  <c:v>Sportbaute</c:v>
                </c:pt>
              </c:strCache>
            </c:strRef>
          </c:cat>
          <c:val>
            <c:numRef>
              <c:f>'Fläche-Best'!$EZ$7:$FS$7</c:f>
              <c:numCache>
                <c:formatCode>General</c:formatCode>
                <c:ptCount val="11"/>
                <c:pt idx="0">
                  <c:v>0</c:v>
                </c:pt>
                <c:pt idx="1">
                  <c:v>0</c:v>
                </c:pt>
                <c:pt idx="2">
                  <c:v>7</c:v>
                </c:pt>
                <c:pt idx="3">
                  <c:v>3.5</c:v>
                </c:pt>
                <c:pt idx="4">
                  <c:v>3.5</c:v>
                </c:pt>
                <c:pt idx="5">
                  <c:v>3.5</c:v>
                </c:pt>
                <c:pt idx="6">
                  <c:v>3.5</c:v>
                </c:pt>
                <c:pt idx="7">
                  <c:v>7</c:v>
                </c:pt>
                <c:pt idx="8">
                  <c:v>3.5</c:v>
                </c:pt>
                <c:pt idx="9">
                  <c:v>3.5</c:v>
                </c:pt>
                <c:pt idx="10">
                  <c:v>3.5</c:v>
                </c:pt>
              </c:numCache>
            </c:numRef>
          </c:val>
          <c:extLst>
            <c:ext xmlns:c16="http://schemas.microsoft.com/office/drawing/2014/chart" uri="{C3380CC4-5D6E-409C-BE32-E72D297353CC}">
              <c16:uniqueId val="{00000004-098C-4160-B0F5-B8852560CF8A}"/>
            </c:ext>
          </c:extLst>
        </c:ser>
        <c:dLbls>
          <c:showLegendKey val="0"/>
          <c:showVal val="0"/>
          <c:showCatName val="0"/>
          <c:showSerName val="0"/>
          <c:showPercent val="0"/>
          <c:showBubbleSize val="0"/>
        </c:dLbls>
        <c:gapWidth val="150"/>
        <c:overlap val="100"/>
        <c:axId val="105459072"/>
        <c:axId val="105473152"/>
      </c:barChart>
      <c:catAx>
        <c:axId val="105459072"/>
        <c:scaling>
          <c:orientation val="minMax"/>
        </c:scaling>
        <c:delete val="0"/>
        <c:axPos val="b"/>
        <c:numFmt formatCode="General" sourceLinked="0"/>
        <c:majorTickMark val="out"/>
        <c:minorTickMark val="none"/>
        <c:tickLblPos val="nextTo"/>
        <c:crossAx val="105473152"/>
        <c:crosses val="autoZero"/>
        <c:auto val="1"/>
        <c:lblAlgn val="ctr"/>
        <c:lblOffset val="100"/>
        <c:noMultiLvlLbl val="0"/>
      </c:catAx>
      <c:valAx>
        <c:axId val="105473152"/>
        <c:scaling>
          <c:orientation val="minMax"/>
        </c:scaling>
        <c:delete val="0"/>
        <c:axPos val="l"/>
        <c:majorGridlines/>
        <c:title>
          <c:tx>
            <c:rich>
              <a:bodyPr rot="-5400000" vert="horz"/>
              <a:lstStyle/>
              <a:p>
                <a:pPr>
                  <a:defRPr/>
                </a:pPr>
                <a:r>
                  <a:rPr lang="en-US"/>
                  <a:t>kWh/m2</a:t>
                </a:r>
              </a:p>
            </c:rich>
          </c:tx>
          <c:overlay val="0"/>
        </c:title>
        <c:numFmt formatCode="General" sourceLinked="1"/>
        <c:majorTickMark val="out"/>
        <c:minorTickMark val="none"/>
        <c:tickLblPos val="nextTo"/>
        <c:crossAx val="105459072"/>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SIA 2024 - Elektrische Energie</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'Fläche-Best'!$FW$3</c:f>
              <c:strCache>
                <c:ptCount val="1"/>
                <c:pt idx="0">
                  <c:v>Heizung</c:v>
                </c:pt>
              </c:strCache>
            </c:strRef>
          </c:tx>
          <c:spPr>
            <a:solidFill>
              <a:srgbClr val="FF0000"/>
            </a:solidFill>
          </c:spPr>
          <c:invertIfNegative val="0"/>
          <c:cat>
            <c:strRef>
              <c:f>'Fläche-Best'!$FY$2:$GT$2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'Fläche-Best'!$FY$3:$GR$3</c:f>
              <c:numCache>
                <c:formatCode>0.0</c:formatCode>
                <c:ptCount val="15"/>
                <c:pt idx="0">
                  <c:v>2.9316759727925952</c:v>
                </c:pt>
                <c:pt idx="1">
                  <c:v>3.4677420850142067</c:v>
                </c:pt>
                <c:pt idx="2" formatCode="General">
                  <c:v>30.497437013884866</c:v>
                </c:pt>
                <c:pt idx="3" formatCode="General">
                  <c:v>10.918488312652945</c:v>
                </c:pt>
                <c:pt idx="4">
                  <c:v>17.763315301757526</c:v>
                </c:pt>
                <c:pt idx="5">
                  <c:v>13.725827183373434</c:v>
                </c:pt>
                <c:pt idx="6" formatCode="General">
                  <c:v>13.337853466511655</c:v>
                </c:pt>
                <c:pt idx="7" formatCode="General">
                  <c:v>13.615061917705592</c:v>
                </c:pt>
                <c:pt idx="8" formatCode="General">
                  <c:v>24.122476935428551</c:v>
                </c:pt>
                <c:pt idx="9" formatCode="General">
                  <c:v>19.67787317234162</c:v>
                </c:pt>
                <c:pt idx="10" formatCode="General">
                  <c:v>13.803823937866847</c:v>
                </c:pt>
                <c:pt idx="11" formatCode="General">
                  <c:v>14.530139976958782</c:v>
                </c:pt>
                <c:pt idx="12" formatCode="General">
                  <c:v>12.159327986472688</c:v>
                </c:pt>
                <c:pt idx="13" formatCode="General">
                  <c:v>12.444167593290189</c:v>
                </c:pt>
                <c:pt idx="14" formatCode="General">
                  <c:v>16.391695931214674</c:v>
                </c:pt>
              </c:numCache>
            </c:numRef>
          </c:val>
          <c:extLst>
            <c:ext xmlns:c16="http://schemas.microsoft.com/office/drawing/2014/chart" uri="{C3380CC4-5D6E-409C-BE32-E72D297353CC}">
              <c16:uniqueId val="{00000000-F993-46AE-A063-EC160D924F2D}"/>
            </c:ext>
          </c:extLst>
        </c:ser>
        <c:ser>
          <c:idx val="1"/>
          <c:order val="1"/>
          <c:tx>
            <c:strRef>
              <c:f>'Fläche-Best'!$FW$5</c:f>
              <c:strCache>
                <c:ptCount val="1"/>
                <c:pt idx="0">
                  <c:v>Lüftung</c:v>
                </c:pt>
              </c:strCache>
            </c:strRef>
          </c:tx>
          <c:spPr>
            <a:solidFill>
              <a:srgbClr val="C00000"/>
            </a:solidFill>
          </c:spPr>
          <c:invertIfNegative val="0"/>
          <c:cat>
            <c:strRef>
              <c:f>'Fläche-Best'!$FY$2:$GT$2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'Fläche-Best'!$FY$5:$GT$5</c:f>
              <c:numCache>
                <c:formatCode>0.0</c:formatCode>
                <c:ptCount val="17"/>
                <c:pt idx="0">
                  <c:v>2.7887072000000006</c:v>
                </c:pt>
                <c:pt idx="1">
                  <c:v>4.6930259047619058</c:v>
                </c:pt>
                <c:pt idx="2">
                  <c:v>0</c:v>
                </c:pt>
                <c:pt idx="3">
                  <c:v>5.1105403999999997</c:v>
                </c:pt>
                <c:pt idx="4">
                  <c:v>0.73900400000000022</c:v>
                </c:pt>
                <c:pt idx="5">
                  <c:v>5.6058139999999996</c:v>
                </c:pt>
                <c:pt idx="6">
                  <c:v>6.2902260000000005</c:v>
                </c:pt>
                <c:pt idx="7">
                  <c:v>6.2902260000000005</c:v>
                </c:pt>
                <c:pt idx="8">
                  <c:v>20.377208</c:v>
                </c:pt>
                <c:pt idx="9">
                  <c:v>19.110726666666665</c:v>
                </c:pt>
                <c:pt idx="10">
                  <c:v>0.60253999999999996</c:v>
                </c:pt>
                <c:pt idx="11">
                  <c:v>0.60253999999999996</c:v>
                </c:pt>
                <c:pt idx="12">
                  <c:v>4.0597391111111119</c:v>
                </c:pt>
                <c:pt idx="13">
                  <c:v>0.35575599999999996</c:v>
                </c:pt>
                <c:pt idx="14">
                  <c:v>1.2339200000000001</c:v>
                </c:pt>
                <c:pt idx="15">
                  <c:v>10.656564000000003</c:v>
                </c:pt>
                <c:pt idx="16">
                  <c:v>7.3372000000000021E-2</c:v>
                </c:pt>
              </c:numCache>
            </c:numRef>
          </c:val>
          <c:extLst>
            <c:ext xmlns:c16="http://schemas.microsoft.com/office/drawing/2014/chart" uri="{C3380CC4-5D6E-409C-BE32-E72D297353CC}">
              <c16:uniqueId val="{00000001-F993-46AE-A063-EC160D924F2D}"/>
            </c:ext>
          </c:extLst>
        </c:ser>
        <c:ser>
          <c:idx val="2"/>
          <c:order val="2"/>
          <c:tx>
            <c:strRef>
              <c:f>'Fläche-Best'!$FW$4</c:f>
              <c:strCache>
                <c:ptCount val="1"/>
                <c:pt idx="0">
                  <c:v>Warmwassser</c:v>
                </c:pt>
              </c:strCache>
            </c:strRef>
          </c:tx>
          <c:spPr>
            <a:solidFill>
              <a:srgbClr val="FFC000"/>
            </a:solidFill>
          </c:spPr>
          <c:invertIfNegative val="0"/>
          <c:cat>
            <c:strRef>
              <c:f>'Fläche-Best'!$FY$2:$GT$2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F993-46AE-A063-EC160D924F2D}"/>
            </c:ext>
          </c:extLst>
        </c:ser>
        <c:ser>
          <c:idx val="3"/>
          <c:order val="3"/>
          <c:tx>
            <c:strRef>
              <c:f>'Fläche-Best'!$FW$7</c:f>
              <c:strCache>
                <c:ptCount val="1"/>
                <c:pt idx="0">
                  <c:v>Geräte</c:v>
                </c:pt>
              </c:strCache>
            </c:strRef>
          </c:tx>
          <c:spPr>
            <a:solidFill>
              <a:schemeClr val="accent3"/>
            </a:solidFill>
          </c:spPr>
          <c:invertIfNegative val="0"/>
          <c:cat>
            <c:strRef>
              <c:f>'Fläche-Best'!$FY$2:$GT$2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'Fläche-Best'!$FY$7:$GT$7</c:f>
              <c:numCache>
                <c:formatCode>0.0</c:formatCode>
                <c:ptCount val="17"/>
                <c:pt idx="0">
                  <c:v>14.688000000000002</c:v>
                </c:pt>
                <c:pt idx="1">
                  <c:v>12.284000000000001</c:v>
                </c:pt>
                <c:pt idx="2">
                  <c:v>15.379200000000001</c:v>
                </c:pt>
                <c:pt idx="3">
                  <c:v>26.730400000000003</c:v>
                </c:pt>
                <c:pt idx="4">
                  <c:v>10.88448</c:v>
                </c:pt>
                <c:pt idx="5">
                  <c:v>18.624000000000006</c:v>
                </c:pt>
                <c:pt idx="6">
                  <c:v>7.8696000000000002</c:v>
                </c:pt>
                <c:pt idx="7">
                  <c:v>7.3224000000000018</c:v>
                </c:pt>
                <c:pt idx="8">
                  <c:v>8.8432000000000013</c:v>
                </c:pt>
                <c:pt idx="9">
                  <c:v>12.943200000000003</c:v>
                </c:pt>
                <c:pt idx="10">
                  <c:v>13.137200000000002</c:v>
                </c:pt>
                <c:pt idx="11">
                  <c:v>11.3292</c:v>
                </c:pt>
                <c:pt idx="12">
                  <c:v>14.543200000000002</c:v>
                </c:pt>
                <c:pt idx="13">
                  <c:v>7.4040000000000008</c:v>
                </c:pt>
                <c:pt idx="14">
                  <c:v>2.4863999999999997</c:v>
                </c:pt>
                <c:pt idx="15">
                  <c:v>8.6424000000000021</c:v>
                </c:pt>
                <c:pt idx="16">
                  <c:v>1.5335999999999999</c:v>
                </c:pt>
              </c:numCache>
            </c:numRef>
          </c:val>
          <c:extLst>
            <c:ext xmlns:c16="http://schemas.microsoft.com/office/drawing/2014/chart" uri="{C3380CC4-5D6E-409C-BE32-E72D297353CC}">
              <c16:uniqueId val="{00000003-F993-46AE-A063-EC160D924F2D}"/>
            </c:ext>
          </c:extLst>
        </c:ser>
        <c:ser>
          <c:idx val="4"/>
          <c:order val="4"/>
          <c:tx>
            <c:strRef>
              <c:f>'Fläche-Best'!$FW$9</c:f>
              <c:strCache>
                <c:ptCount val="1"/>
                <c:pt idx="0">
                  <c:v>Beleuchtung</c:v>
                </c:pt>
              </c:strCache>
            </c:strRef>
          </c:tx>
          <c:spPr>
            <a:solidFill>
              <a:srgbClr val="FFFF00"/>
            </a:solidFill>
          </c:spPr>
          <c:invertIfNegative val="0"/>
          <c:cat>
            <c:strRef>
              <c:f>'Fläche-Best'!$FY$2:$GT$2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'Fläche-Best'!$FY$9:$GT$9</c:f>
              <c:numCache>
                <c:formatCode>0.0</c:formatCode>
                <c:ptCount val="17"/>
                <c:pt idx="0">
                  <c:v>2.1526810000000007</c:v>
                </c:pt>
                <c:pt idx="1">
                  <c:v>4.8560016666666677</c:v>
                </c:pt>
                <c:pt idx="2">
                  <c:v>2.6700277142857152</c:v>
                </c:pt>
                <c:pt idx="3">
                  <c:v>9.9573936000000032</c:v>
                </c:pt>
                <c:pt idx="4">
                  <c:v>8.4917526530612246</c:v>
                </c:pt>
                <c:pt idx="5">
                  <c:v>9.0407420816326542</c:v>
                </c:pt>
                <c:pt idx="6">
                  <c:v>30.731214190476187</c:v>
                </c:pt>
                <c:pt idx="7">
                  <c:v>30.796232971428573</c:v>
                </c:pt>
                <c:pt idx="8">
                  <c:v>10.611797904761907</c:v>
                </c:pt>
                <c:pt idx="9">
                  <c:v>16.323401142857143</c:v>
                </c:pt>
                <c:pt idx="10">
                  <c:v>13.775421142857148</c:v>
                </c:pt>
                <c:pt idx="11">
                  <c:v>11.308705714285717</c:v>
                </c:pt>
                <c:pt idx="12">
                  <c:v>13.444611371428577</c:v>
                </c:pt>
                <c:pt idx="13">
                  <c:v>18.512811942857141</c:v>
                </c:pt>
                <c:pt idx="14">
                  <c:v>13.777361142857144</c:v>
                </c:pt>
                <c:pt idx="15">
                  <c:v>11.925770285714288</c:v>
                </c:pt>
                <c:pt idx="16">
                  <c:v>1.1488220170940169</c:v>
                </c:pt>
              </c:numCache>
            </c:numRef>
          </c:val>
          <c:extLst>
            <c:ext xmlns:c16="http://schemas.microsoft.com/office/drawing/2014/chart" uri="{C3380CC4-5D6E-409C-BE32-E72D297353CC}">
              <c16:uniqueId val="{00000004-F993-46AE-A063-EC160D924F2D}"/>
            </c:ext>
          </c:extLst>
        </c:ser>
        <c:ser>
          <c:idx val="5"/>
          <c:order val="5"/>
          <c:tx>
            <c:strRef>
              <c:f>'Fläche-Best'!$FW$10</c:f>
              <c:strCache>
                <c:ptCount val="1"/>
                <c:pt idx="0">
                  <c:v>Allgemeine GT</c:v>
                </c:pt>
              </c:strCache>
            </c:strRef>
          </c:tx>
          <c:spPr>
            <a:solidFill>
              <a:schemeClr val="bg1">
                <a:lumMod val="65000"/>
              </a:schemeClr>
            </a:solidFill>
          </c:spPr>
          <c:invertIfNegative val="0"/>
          <c:cat>
            <c:strRef>
              <c:f>'Fläche-Best'!$FY$2:$GT$2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'Fläche-Best'!$FY$10:$GT$10</c:f>
              <c:numCache>
                <c:formatCode>0.0</c:formatCode>
                <c:ptCount val="17"/>
                <c:pt idx="0">
                  <c:v>3</c:v>
                </c:pt>
                <c:pt idx="1">
                  <c:v>8.16</c:v>
                </c:pt>
                <c:pt idx="2">
                  <c:v>1.4</c:v>
                </c:pt>
                <c:pt idx="3">
                  <c:v>3.3680000000000003</c:v>
                </c:pt>
                <c:pt idx="4">
                  <c:v>3.1280000000000001</c:v>
                </c:pt>
                <c:pt idx="5">
                  <c:v>8.16</c:v>
                </c:pt>
                <c:pt idx="6">
                  <c:v>7.5440000000000005</c:v>
                </c:pt>
                <c:pt idx="7">
                  <c:v>7.5440000000000005</c:v>
                </c:pt>
                <c:pt idx="8">
                  <c:v>8.3840000000000003</c:v>
                </c:pt>
                <c:pt idx="9">
                  <c:v>3.8479999999999999</c:v>
                </c:pt>
                <c:pt idx="10">
                  <c:v>8.2000000000000011</c:v>
                </c:pt>
                <c:pt idx="11">
                  <c:v>8.2000000000000011</c:v>
                </c:pt>
                <c:pt idx="12">
                  <c:v>6.6959999999999997</c:v>
                </c:pt>
                <c:pt idx="13">
                  <c:v>1.6480000000000001</c:v>
                </c:pt>
                <c:pt idx="14">
                  <c:v>3.2320000000000002</c:v>
                </c:pt>
                <c:pt idx="15">
                  <c:v>6.88</c:v>
                </c:pt>
                <c:pt idx="16">
                  <c:v>4.2160000000000002</c:v>
                </c:pt>
              </c:numCache>
            </c:numRef>
          </c:val>
          <c:extLst>
            <c:ext xmlns:c16="http://schemas.microsoft.com/office/drawing/2014/chart" uri="{C3380CC4-5D6E-409C-BE32-E72D297353CC}">
              <c16:uniqueId val="{00000005-F993-46AE-A063-EC160D924F2D}"/>
            </c:ext>
          </c:extLst>
        </c:ser>
        <c:dLbls>
          <c:showLegendKey val="0"/>
          <c:showVal val="0"/>
          <c:showCatName val="0"/>
          <c:showSerName val="0"/>
          <c:showPercent val="0"/>
          <c:showBubbleSize val="0"/>
        </c:dLbls>
        <c:gapWidth val="150"/>
        <c:overlap val="100"/>
        <c:axId val="106444288"/>
        <c:axId val="106445824"/>
      </c:barChart>
      <c:catAx>
        <c:axId val="106444288"/>
        <c:scaling>
          <c:orientation val="minMax"/>
        </c:scaling>
        <c:delete val="0"/>
        <c:axPos val="b"/>
        <c:numFmt formatCode="General" sourceLinked="0"/>
        <c:majorTickMark val="out"/>
        <c:minorTickMark val="none"/>
        <c:tickLblPos val="nextTo"/>
        <c:crossAx val="106445824"/>
        <c:crosses val="autoZero"/>
        <c:auto val="1"/>
        <c:lblAlgn val="ctr"/>
        <c:lblOffset val="100"/>
        <c:noMultiLvlLbl val="0"/>
      </c:catAx>
      <c:valAx>
        <c:axId val="106445824"/>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06444288"/>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Aussenluft-Volumenstrom</a:t>
            </a:r>
          </a:p>
        </c:rich>
      </c:tx>
      <c:overlay val="0"/>
    </c:title>
    <c:autoTitleDeleted val="0"/>
    <c:plotArea>
      <c:layout/>
      <c:barChart>
        <c:barDir val="col"/>
        <c:grouping val="clustered"/>
        <c:varyColors val="0"/>
        <c:ser>
          <c:idx val="0"/>
          <c:order val="0"/>
          <c:tx>
            <c:strRef>
              <c:f>'Fläche-Best'!$BC$143</c:f>
              <c:strCache>
                <c:ptCount val="1"/>
                <c:pt idx="0">
                  <c:v>SIA 380/1</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'Fläche-Best'!$BE$143:$BY$143</c:f>
              <c:numCache>
                <c:formatCode>General</c:formatCode>
                <c:ptCount val="12"/>
                <c:pt idx="0">
                  <c:v>56</c:v>
                </c:pt>
                <c:pt idx="1">
                  <c:v>84</c:v>
                </c:pt>
                <c:pt idx="2">
                  <c:v>56</c:v>
                </c:pt>
                <c:pt idx="3">
                  <c:v>42</c:v>
                </c:pt>
                <c:pt idx="4">
                  <c:v>42</c:v>
                </c:pt>
                <c:pt idx="5">
                  <c:v>48</c:v>
                </c:pt>
                <c:pt idx="6">
                  <c:v>40</c:v>
                </c:pt>
                <c:pt idx="7">
                  <c:v>45</c:v>
                </c:pt>
                <c:pt idx="8">
                  <c:v>84</c:v>
                </c:pt>
                <c:pt idx="9">
                  <c:v>120</c:v>
                </c:pt>
                <c:pt idx="10">
                  <c:v>56</c:v>
                </c:pt>
                <c:pt idx="11">
                  <c:v>84</c:v>
                </c:pt>
              </c:numCache>
            </c:numRef>
          </c:val>
          <c:extLst>
            <c:ext xmlns:c16="http://schemas.microsoft.com/office/drawing/2014/chart" uri="{C3380CC4-5D6E-409C-BE32-E72D297353CC}">
              <c16:uniqueId val="{00000000-41AA-4025-B4B9-19E4CC4D36C2}"/>
            </c:ext>
          </c:extLst>
        </c:ser>
        <c:ser>
          <c:idx val="1"/>
          <c:order val="1"/>
          <c:tx>
            <c:strRef>
              <c:f>'Fläche-Best'!$BC$144</c:f>
              <c:strCache>
                <c:ptCount val="1"/>
                <c:pt idx="0">
                  <c:v>SIA 2024:2019 (Auslegung)</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'Fläche-Best'!$BE$144:$BY$144</c:f>
              <c:numCache>
                <c:formatCode>General</c:formatCode>
                <c:ptCount val="12"/>
                <c:pt idx="0">
                  <c:v>55.384615384615387</c:v>
                </c:pt>
                <c:pt idx="1">
                  <c:v>51.692307692307693</c:v>
                </c:pt>
                <c:pt idx="2">
                  <c:v>60</c:v>
                </c:pt>
                <c:pt idx="3">
                  <c:v>43.2</c:v>
                </c:pt>
                <c:pt idx="4">
                  <c:v>56.571428571428569</c:v>
                </c:pt>
                <c:pt idx="5">
                  <c:v>60</c:v>
                </c:pt>
                <c:pt idx="6">
                  <c:v>28.5</c:v>
                </c:pt>
                <c:pt idx="7">
                  <c:v>41.142857142857146</c:v>
                </c:pt>
                <c:pt idx="8">
                  <c:v>86.4</c:v>
                </c:pt>
                <c:pt idx="9">
                  <c:v>172.8</c:v>
                </c:pt>
                <c:pt idx="10">
                  <c:v>528</c:v>
                </c:pt>
                <c:pt idx="11">
                  <c:v>102</c:v>
                </c:pt>
              </c:numCache>
            </c:numRef>
          </c:val>
          <c:extLst>
            <c:ext xmlns:c16="http://schemas.microsoft.com/office/drawing/2014/chart" uri="{C3380CC4-5D6E-409C-BE32-E72D297353CC}">
              <c16:uniqueId val="{00000001-41AA-4025-B4B9-19E4CC4D36C2}"/>
            </c:ext>
          </c:extLst>
        </c:ser>
        <c:ser>
          <c:idx val="2"/>
          <c:order val="2"/>
          <c:tx>
            <c:strRef>
              <c:f>'Fläche-Best'!$BC$145</c:f>
              <c:strCache>
                <c:ptCount val="1"/>
                <c:pt idx="0">
                  <c:v>SIA 2024:2019 (Hygiene)</c:v>
                </c:pt>
              </c:strCache>
            </c:strRef>
          </c:tx>
          <c:invertIfNegative val="0"/>
          <c:val>
            <c:numRef>
              <c:f>'Fläche-Best'!$BE$145:$BY$145</c:f>
              <c:numCache>
                <c:formatCode>General</c:formatCode>
                <c:ptCount val="12"/>
                <c:pt idx="0">
                  <c:v>25</c:v>
                </c:pt>
                <c:pt idx="1">
                  <c:v>25</c:v>
                </c:pt>
                <c:pt idx="2">
                  <c:v>25</c:v>
                </c:pt>
                <c:pt idx="3">
                  <c:v>25</c:v>
                </c:pt>
                <c:pt idx="4">
                  <c:v>25</c:v>
                </c:pt>
                <c:pt idx="5">
                  <c:v>25</c:v>
                </c:pt>
                <c:pt idx="6">
                  <c:v>25</c:v>
                </c:pt>
                <c:pt idx="7">
                  <c:v>25</c:v>
                </c:pt>
                <c:pt idx="8">
                  <c:v>25</c:v>
                </c:pt>
                <c:pt idx="9">
                  <c:v>41.666666666666671</c:v>
                </c:pt>
                <c:pt idx="10">
                  <c:v>62.500000000000007</c:v>
                </c:pt>
                <c:pt idx="11">
                  <c:v>25</c:v>
                </c:pt>
              </c:numCache>
            </c:numRef>
          </c:val>
          <c:extLst>
            <c:ext xmlns:c16="http://schemas.microsoft.com/office/drawing/2014/chart" uri="{C3380CC4-5D6E-409C-BE32-E72D297353CC}">
              <c16:uniqueId val="{00000002-41AA-4025-B4B9-19E4CC4D36C2}"/>
            </c:ext>
          </c:extLst>
        </c:ser>
        <c:dLbls>
          <c:showLegendKey val="0"/>
          <c:showVal val="0"/>
          <c:showCatName val="0"/>
          <c:showSerName val="0"/>
          <c:showPercent val="0"/>
          <c:showBubbleSize val="0"/>
        </c:dLbls>
        <c:gapWidth val="150"/>
        <c:axId val="106484864"/>
        <c:axId val="106486400"/>
      </c:barChart>
      <c:catAx>
        <c:axId val="106484864"/>
        <c:scaling>
          <c:orientation val="minMax"/>
        </c:scaling>
        <c:delete val="0"/>
        <c:axPos val="b"/>
        <c:numFmt formatCode="General" sourceLinked="0"/>
        <c:majorTickMark val="out"/>
        <c:minorTickMark val="none"/>
        <c:tickLblPos val="nextTo"/>
        <c:crossAx val="106486400"/>
        <c:crosses val="autoZero"/>
        <c:auto val="1"/>
        <c:lblAlgn val="ctr"/>
        <c:lblOffset val="100"/>
        <c:noMultiLvlLbl val="0"/>
      </c:catAx>
      <c:valAx>
        <c:axId val="106486400"/>
        <c:scaling>
          <c:orientation val="minMax"/>
        </c:scaling>
        <c:delete val="0"/>
        <c:axPos val="l"/>
        <c:majorGridlines/>
        <c:title>
          <c:tx>
            <c:rich>
              <a:bodyPr rot="-5400000" vert="horz"/>
              <a:lstStyle/>
              <a:p>
                <a:pPr>
                  <a:defRPr b="0"/>
                </a:pPr>
                <a:r>
                  <a:rPr lang="en-US" b="0"/>
                  <a:t>m3/(Ph)</a:t>
                </a:r>
              </a:p>
            </c:rich>
          </c:tx>
          <c:overlay val="0"/>
        </c:title>
        <c:numFmt formatCode="General" sourceLinked="1"/>
        <c:majorTickMark val="out"/>
        <c:minorTickMark val="none"/>
        <c:tickLblPos val="nextTo"/>
        <c:crossAx val="10648486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r>
              <a:rPr lang="de-CH" sz="900" b="0" baseline="0"/>
              <a:t> Total</a:t>
            </a:r>
            <a:endParaRPr lang="de-CH" sz="900" b="0"/>
          </a:p>
        </c:rich>
      </c:tx>
      <c:overlay val="0"/>
    </c:title>
    <c:autoTitleDeleted val="0"/>
    <c:plotArea>
      <c:layout/>
      <c:barChart>
        <c:barDir val="col"/>
        <c:grouping val="clustered"/>
        <c:varyColors val="0"/>
        <c:ser>
          <c:idx val="2"/>
          <c:order val="0"/>
          <c:tx>
            <c:strRef>
              <c:f>'Fläche-Best'!$EX$26</c:f>
              <c:strCache>
                <c:ptCount val="1"/>
                <c:pt idx="0">
                  <c:v>Minergie Total</c:v>
                </c:pt>
              </c:strCache>
            </c:strRef>
          </c:tx>
          <c:invertIfNegative val="0"/>
          <c:val>
            <c:numRef>
              <c:f>'Fläche-Best'!$EZ$26:$FS$26</c:f>
              <c:numCache>
                <c:formatCode>General</c:formatCode>
                <c:ptCount val="11"/>
                <c:pt idx="0">
                  <c:v>36</c:v>
                </c:pt>
                <c:pt idx="1">
                  <c:v>35</c:v>
                </c:pt>
                <c:pt idx="2">
                  <c:v>68.5</c:v>
                </c:pt>
                <c:pt idx="3">
                  <c:v>36</c:v>
                </c:pt>
                <c:pt idx="4">
                  <c:v>78</c:v>
                </c:pt>
                <c:pt idx="5">
                  <c:v>61.5</c:v>
                </c:pt>
                <c:pt idx="6">
                  <c:v>37</c:v>
                </c:pt>
                <c:pt idx="7">
                  <c:v>70.5</c:v>
                </c:pt>
                <c:pt idx="8">
                  <c:v>42</c:v>
                </c:pt>
                <c:pt idx="9">
                  <c:v>31</c:v>
                </c:pt>
                <c:pt idx="10">
                  <c:v>28.5</c:v>
                </c:pt>
              </c:numCache>
            </c:numRef>
          </c:val>
          <c:extLst>
            <c:ext xmlns:c16="http://schemas.microsoft.com/office/drawing/2014/chart" uri="{C3380CC4-5D6E-409C-BE32-E72D297353CC}">
              <c16:uniqueId val="{00000000-8B75-4CB7-A84E-6EC9FD719FB4}"/>
            </c:ext>
          </c:extLst>
        </c:ser>
        <c:ser>
          <c:idx val="0"/>
          <c:order val="1"/>
          <c:tx>
            <c:strRef>
              <c:f>'Fläche-Best'!$EX$27</c:f>
              <c:strCache>
                <c:ptCount val="1"/>
                <c:pt idx="0">
                  <c:v>Minergie Grenzwert</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'Fläche-Best'!$EZ$27:$FT$27</c:f>
              <c:numCache>
                <c:formatCode>General</c:formatCode>
                <c:ptCount val="11"/>
                <c:pt idx="0">
                  <c:v>27.5</c:v>
                </c:pt>
                <c:pt idx="1">
                  <c:v>27.5</c:v>
                </c:pt>
                <c:pt idx="2">
                  <c:v>55</c:v>
                </c:pt>
                <c:pt idx="3">
                  <c:v>22.5</c:v>
                </c:pt>
                <c:pt idx="4">
                  <c:v>60</c:v>
                </c:pt>
                <c:pt idx="5">
                  <c:v>50</c:v>
                </c:pt>
                <c:pt idx="6">
                  <c:v>27.5</c:v>
                </c:pt>
                <c:pt idx="7">
                  <c:v>55</c:v>
                </c:pt>
                <c:pt idx="8">
                  <c:v>40</c:v>
                </c:pt>
                <c:pt idx="9">
                  <c:v>27.5</c:v>
                </c:pt>
                <c:pt idx="10">
                  <c:v>27.5</c:v>
                </c:pt>
              </c:numCache>
            </c:numRef>
          </c:val>
          <c:extLst>
            <c:ext xmlns:c16="http://schemas.microsoft.com/office/drawing/2014/chart" uri="{C3380CC4-5D6E-409C-BE32-E72D297353CC}">
              <c16:uniqueId val="{00000001-8B75-4CB7-A84E-6EC9FD719FB4}"/>
            </c:ext>
          </c:extLst>
        </c:ser>
        <c:ser>
          <c:idx val="1"/>
          <c:order val="2"/>
          <c:tx>
            <c:strRef>
              <c:f>'Fläche-Best'!$EX$28</c:f>
              <c:strCache>
                <c:ptCount val="1"/>
                <c:pt idx="0">
                  <c:v>SIA 2024:2018</c:v>
                </c:pt>
              </c:strCache>
            </c:strRef>
          </c:tx>
          <c:invertIfNegative val="0"/>
          <c:cat>
            <c:multiLvlStrRef>
              <c:f>'Fläche-Best'!$BE$1:$BY$2</c:f>
              <c:multiLvlStrCache>
                <c:ptCount val="12"/>
                <c:lvl>
                  <c:pt idx="0">
                    <c:v>Wohnen MFH</c:v>
                  </c:pt>
                  <c:pt idx="1">
                    <c:v>Wohnen EFH</c:v>
                  </c:pt>
                  <c:pt idx="2">
                    <c:v>Verwaltung</c:v>
                  </c:pt>
                  <c:pt idx="3">
                    <c:v>Schule</c:v>
                  </c:pt>
                  <c:pt idx="4">
                    <c:v>Verkauf</c:v>
                  </c:pt>
                  <c:pt idx="5">
                    <c:v>Restaurant</c:v>
                  </c:pt>
                  <c:pt idx="6">
                    <c:v>Versammlungslokal</c:v>
                  </c:pt>
                  <c:pt idx="7">
                    <c:v>Spital</c:v>
                  </c:pt>
                  <c:pt idx="8">
                    <c:v>Industrie</c:v>
                  </c:pt>
                  <c:pt idx="9">
                    <c:v>Lager</c:v>
                  </c:pt>
                  <c:pt idx="10">
                    <c:v>Sportbaute</c:v>
                  </c:pt>
                  <c:pt idx="11">
                    <c:v>Hallenbad</c:v>
                  </c:pt>
                </c:lvl>
                <c:lvl>
                  <c:pt idx="0">
                    <c:v>I</c:v>
                  </c:pt>
                  <c:pt idx="1">
                    <c:v>II</c:v>
                  </c:pt>
                  <c:pt idx="2">
                    <c:v>III</c:v>
                  </c:pt>
                  <c:pt idx="3">
                    <c:v>IV</c:v>
                  </c:pt>
                  <c:pt idx="4">
                    <c:v>V</c:v>
                  </c:pt>
                  <c:pt idx="5">
                    <c:v>VI</c:v>
                  </c:pt>
                  <c:pt idx="6">
                    <c:v>VII</c:v>
                  </c:pt>
                  <c:pt idx="7">
                    <c:v>VIII</c:v>
                  </c:pt>
                  <c:pt idx="8">
                    <c:v>IX</c:v>
                  </c:pt>
                  <c:pt idx="9">
                    <c:v>X</c:v>
                  </c:pt>
                  <c:pt idx="10">
                    <c:v>XI</c:v>
                  </c:pt>
                  <c:pt idx="11">
                    <c:v>XII</c:v>
                  </c:pt>
                </c:lvl>
              </c:multiLvlStrCache>
            </c:multiLvlStrRef>
          </c:cat>
          <c:val>
            <c:numRef>
              <c:f>'Fläche-Best'!$EZ$28:$FT$28</c:f>
              <c:numCache>
                <c:formatCode>General</c:formatCode>
                <c:ptCount val="11"/>
                <c:pt idx="0">
                  <c:v>47.442892676590077</c:v>
                </c:pt>
                <c:pt idx="1">
                  <c:v>19.449227714285716</c:v>
                </c:pt>
                <c:pt idx="2">
                  <c:v>51.271793600000009</c:v>
                </c:pt>
                <c:pt idx="3">
                  <c:v>22.504232653061223</c:v>
                </c:pt>
                <c:pt idx="4">
                  <c:v>45.662632971428579</c:v>
                </c:pt>
                <c:pt idx="5">
                  <c:v>80.496597904761913</c:v>
                </c:pt>
                <c:pt idx="6">
                  <c:v>33.114601142857147</c:v>
                </c:pt>
                <c:pt idx="7">
                  <c:v>36.396921142857153</c:v>
                </c:pt>
                <c:pt idx="8">
                  <c:v>62.267811371428579</c:v>
                </c:pt>
                <c:pt idx="9">
                  <c:v>27.564811942857141</c:v>
                </c:pt>
                <c:pt idx="10">
                  <c:v>19.495761142857141</c:v>
                </c:pt>
              </c:numCache>
            </c:numRef>
          </c:val>
          <c:extLst>
            <c:ext xmlns:c16="http://schemas.microsoft.com/office/drawing/2014/chart" uri="{C3380CC4-5D6E-409C-BE32-E72D297353CC}">
              <c16:uniqueId val="{00000002-8B75-4CB7-A84E-6EC9FD719FB4}"/>
            </c:ext>
          </c:extLst>
        </c:ser>
        <c:dLbls>
          <c:showLegendKey val="0"/>
          <c:showVal val="0"/>
          <c:showCatName val="0"/>
          <c:showSerName val="0"/>
          <c:showPercent val="0"/>
          <c:showBubbleSize val="0"/>
        </c:dLbls>
        <c:gapWidth val="150"/>
        <c:axId val="108036864"/>
        <c:axId val="108038400"/>
      </c:barChart>
      <c:catAx>
        <c:axId val="108036864"/>
        <c:scaling>
          <c:orientation val="minMax"/>
        </c:scaling>
        <c:delete val="0"/>
        <c:axPos val="b"/>
        <c:majorTickMark val="out"/>
        <c:minorTickMark val="none"/>
        <c:tickLblPos val="nextTo"/>
        <c:crossAx val="108038400"/>
        <c:crosses val="autoZero"/>
        <c:auto val="1"/>
        <c:lblAlgn val="ctr"/>
        <c:lblOffset val="100"/>
        <c:noMultiLvlLbl val="0"/>
      </c:catAx>
      <c:valAx>
        <c:axId val="108038400"/>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03686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Elektrizitätsbedarf</a:t>
            </a:r>
            <a:r>
              <a:rPr lang="de-CH" sz="900" b="0" baseline="0"/>
              <a:t>  für</a:t>
            </a:r>
            <a:r>
              <a:rPr lang="de-CH" sz="900" b="0"/>
              <a:t> </a:t>
            </a:r>
            <a:r>
              <a:rPr lang="de-CH" sz="900" b="0" baseline="0"/>
              <a:t> Beleuchtung</a:t>
            </a:r>
            <a:endParaRPr lang="de-CH" sz="900" b="0"/>
          </a:p>
        </c:rich>
      </c:tx>
      <c:overlay val="0"/>
    </c:title>
    <c:autoTitleDeleted val="0"/>
    <c:plotArea>
      <c:layout/>
      <c:barChart>
        <c:barDir val="col"/>
        <c:grouping val="clustered"/>
        <c:varyColors val="0"/>
        <c:ser>
          <c:idx val="2"/>
          <c:order val="0"/>
          <c:tx>
            <c:strRef>
              <c:f>'Fläche-Best'!$GV$1</c:f>
              <c:strCache>
                <c:ptCount val="1"/>
                <c:pt idx="0">
                  <c:v>Strommodell für Zweckbauten</c:v>
                </c:pt>
              </c:strCache>
            </c:strRef>
          </c:tx>
          <c:invertIfNegative val="0"/>
          <c:cat>
            <c:multiLvlStrRef>
              <c:f>'Fläche-Best'!$GY$1:$HS$2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'Fläche-Best'!$GX$9:$HS$9</c:f>
              <c:numCache>
                <c:formatCode>General</c:formatCode>
                <c:ptCount val="17"/>
                <c:pt idx="0">
                  <c:v>5.5</c:v>
                </c:pt>
                <c:pt idx="1">
                  <c:v>6.2</c:v>
                </c:pt>
                <c:pt idx="2">
                  <c:v>5.5</c:v>
                </c:pt>
                <c:pt idx="3">
                  <c:v>10.1</c:v>
                </c:pt>
                <c:pt idx="4">
                  <c:v>8.5</c:v>
                </c:pt>
                <c:pt idx="5">
                  <c:v>9</c:v>
                </c:pt>
                <c:pt idx="6">
                  <c:v>30.5</c:v>
                </c:pt>
                <c:pt idx="7">
                  <c:v>30.5</c:v>
                </c:pt>
                <c:pt idx="8">
                  <c:v>10.5</c:v>
                </c:pt>
                <c:pt idx="9">
                  <c:v>16.5</c:v>
                </c:pt>
                <c:pt idx="10">
                  <c:v>13.5</c:v>
                </c:pt>
                <c:pt idx="11">
                  <c:v>11</c:v>
                </c:pt>
                <c:pt idx="12">
                  <c:v>13.4</c:v>
                </c:pt>
                <c:pt idx="13">
                  <c:v>18.5</c:v>
                </c:pt>
                <c:pt idx="14">
                  <c:v>13.8</c:v>
                </c:pt>
                <c:pt idx="15">
                  <c:v>11.9</c:v>
                </c:pt>
                <c:pt idx="16">
                  <c:v>2</c:v>
                </c:pt>
              </c:numCache>
            </c:numRef>
          </c:val>
          <c:extLst>
            <c:ext xmlns:c16="http://schemas.microsoft.com/office/drawing/2014/chart" uri="{C3380CC4-5D6E-409C-BE32-E72D297353CC}">
              <c16:uniqueId val="{00000000-78FF-419B-8E29-E96C87CDD221}"/>
            </c:ext>
          </c:extLst>
        </c:ser>
        <c:ser>
          <c:idx val="1"/>
          <c:order val="1"/>
          <c:tx>
            <c:strRef>
              <c:f>'Fläche-Best'!$FW$1</c:f>
              <c:strCache>
                <c:ptCount val="1"/>
                <c:pt idx="0">
                  <c:v>SIA 2024:2021</c:v>
                </c:pt>
              </c:strCache>
            </c:strRef>
          </c:tx>
          <c:invertIfNegative val="0"/>
          <c:cat>
            <c:multiLvlStrRef>
              <c:f>'Fläche-Best'!$GY$1:$HS$2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'Fläche-Best'!$FZ$9:$GT$9</c:f>
              <c:numCache>
                <c:formatCode>0.0</c:formatCode>
                <c:ptCount val="17"/>
                <c:pt idx="0">
                  <c:v>2.1526810000000007</c:v>
                </c:pt>
                <c:pt idx="1">
                  <c:v>4.8560016666666677</c:v>
                </c:pt>
                <c:pt idx="2">
                  <c:v>2.6700277142857152</c:v>
                </c:pt>
                <c:pt idx="3">
                  <c:v>9.9573936000000032</c:v>
                </c:pt>
                <c:pt idx="4">
                  <c:v>8.4917526530612246</c:v>
                </c:pt>
                <c:pt idx="5">
                  <c:v>9.0407420816326542</c:v>
                </c:pt>
                <c:pt idx="6">
                  <c:v>30.731214190476187</c:v>
                </c:pt>
                <c:pt idx="7">
                  <c:v>30.796232971428573</c:v>
                </c:pt>
                <c:pt idx="8">
                  <c:v>10.611797904761907</c:v>
                </c:pt>
                <c:pt idx="9">
                  <c:v>16.323401142857143</c:v>
                </c:pt>
                <c:pt idx="10">
                  <c:v>13.775421142857148</c:v>
                </c:pt>
                <c:pt idx="11">
                  <c:v>11.308705714285717</c:v>
                </c:pt>
                <c:pt idx="12">
                  <c:v>13.444611371428577</c:v>
                </c:pt>
                <c:pt idx="13">
                  <c:v>18.512811942857141</c:v>
                </c:pt>
                <c:pt idx="14">
                  <c:v>13.777361142857144</c:v>
                </c:pt>
                <c:pt idx="15">
                  <c:v>11.925770285714288</c:v>
                </c:pt>
                <c:pt idx="16">
                  <c:v>1.1488220170940169</c:v>
                </c:pt>
              </c:numCache>
            </c:numRef>
          </c:val>
          <c:extLst>
            <c:ext xmlns:c16="http://schemas.microsoft.com/office/drawing/2014/chart" uri="{C3380CC4-5D6E-409C-BE32-E72D297353CC}">
              <c16:uniqueId val="{00000001-78FF-419B-8E29-E96C87CDD221}"/>
            </c:ext>
          </c:extLst>
        </c:ser>
        <c:dLbls>
          <c:showLegendKey val="0"/>
          <c:showVal val="0"/>
          <c:showCatName val="0"/>
          <c:showSerName val="0"/>
          <c:showPercent val="0"/>
          <c:showBubbleSize val="0"/>
        </c:dLbls>
        <c:gapWidth val="150"/>
        <c:axId val="108068224"/>
        <c:axId val="108074112"/>
      </c:barChart>
      <c:catAx>
        <c:axId val="108068224"/>
        <c:scaling>
          <c:orientation val="minMax"/>
        </c:scaling>
        <c:delete val="0"/>
        <c:axPos val="b"/>
        <c:numFmt formatCode="General" sourceLinked="0"/>
        <c:majorTickMark val="out"/>
        <c:minorTickMark val="none"/>
        <c:tickLblPos val="nextTo"/>
        <c:crossAx val="108074112"/>
        <c:crosses val="autoZero"/>
        <c:auto val="1"/>
        <c:lblAlgn val="ctr"/>
        <c:lblOffset val="100"/>
        <c:noMultiLvlLbl val="0"/>
      </c:catAx>
      <c:valAx>
        <c:axId val="108074112"/>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06822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Minergie Strommodell Zweckbauten</a:t>
            </a:r>
          </a:p>
        </c:rich>
      </c:tx>
      <c:overlay val="0"/>
    </c:title>
    <c:autoTitleDeleted val="0"/>
    <c:plotArea>
      <c:layout>
        <c:manualLayout>
          <c:layoutTarget val="inner"/>
          <c:xMode val="edge"/>
          <c:yMode val="edge"/>
          <c:x val="0.12859953142040148"/>
          <c:y val="0.11835046042973442"/>
          <c:w val="0.84224208554447588"/>
          <c:h val="0.51655486256346572"/>
        </c:manualLayout>
      </c:layout>
      <c:barChart>
        <c:barDir val="col"/>
        <c:grouping val="stacked"/>
        <c:varyColors val="0"/>
        <c:ser>
          <c:idx val="0"/>
          <c:order val="0"/>
          <c:tx>
            <c:strRef>
              <c:f>'Fläche-Best'!$FW$3</c:f>
              <c:strCache>
                <c:ptCount val="1"/>
                <c:pt idx="0">
                  <c:v>Heizung</c:v>
                </c:pt>
              </c:strCache>
            </c:strRef>
          </c:tx>
          <c:spPr>
            <a:solidFill>
              <a:srgbClr val="FF0000"/>
            </a:solidFill>
          </c:spPr>
          <c:invertIfNegative val="0"/>
          <c:cat>
            <c:strRef>
              <c:f>'Fläche-Best'!$GX$2:$HS$2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'Fläche-Best'!$FY$3:$GR$3</c:f>
              <c:numCache>
                <c:formatCode>0.0</c:formatCode>
                <c:ptCount val="15"/>
                <c:pt idx="0">
                  <c:v>2.9316759727925952</c:v>
                </c:pt>
                <c:pt idx="1">
                  <c:v>3.4677420850142067</c:v>
                </c:pt>
                <c:pt idx="2" formatCode="General">
                  <c:v>30.497437013884866</c:v>
                </c:pt>
                <c:pt idx="3" formatCode="General">
                  <c:v>10.918488312652945</c:v>
                </c:pt>
                <c:pt idx="4">
                  <c:v>17.763315301757526</c:v>
                </c:pt>
                <c:pt idx="5">
                  <c:v>13.725827183373434</c:v>
                </c:pt>
                <c:pt idx="6" formatCode="General">
                  <c:v>13.337853466511655</c:v>
                </c:pt>
                <c:pt idx="7" formatCode="General">
                  <c:v>13.615061917705592</c:v>
                </c:pt>
                <c:pt idx="8" formatCode="General">
                  <c:v>24.122476935428551</c:v>
                </c:pt>
                <c:pt idx="9" formatCode="General">
                  <c:v>19.67787317234162</c:v>
                </c:pt>
                <c:pt idx="10" formatCode="General">
                  <c:v>13.803823937866847</c:v>
                </c:pt>
                <c:pt idx="11" formatCode="General">
                  <c:v>14.530139976958782</c:v>
                </c:pt>
                <c:pt idx="12" formatCode="General">
                  <c:v>12.159327986472688</c:v>
                </c:pt>
                <c:pt idx="13" formatCode="General">
                  <c:v>12.444167593290189</c:v>
                </c:pt>
                <c:pt idx="14" formatCode="General">
                  <c:v>16.391695931214674</c:v>
                </c:pt>
              </c:numCache>
            </c:numRef>
          </c:val>
          <c:extLst>
            <c:ext xmlns:c16="http://schemas.microsoft.com/office/drawing/2014/chart" uri="{C3380CC4-5D6E-409C-BE32-E72D297353CC}">
              <c16:uniqueId val="{00000000-D5B7-45BF-8A05-8252E88BF70D}"/>
            </c:ext>
          </c:extLst>
        </c:ser>
        <c:ser>
          <c:idx val="1"/>
          <c:order val="1"/>
          <c:tx>
            <c:strRef>
              <c:f>'Fläche-Best'!$FW$5</c:f>
              <c:strCache>
                <c:ptCount val="1"/>
                <c:pt idx="0">
                  <c:v>Lüftung</c:v>
                </c:pt>
              </c:strCache>
            </c:strRef>
          </c:tx>
          <c:spPr>
            <a:solidFill>
              <a:srgbClr val="C00000"/>
            </a:solidFill>
          </c:spPr>
          <c:invertIfNegative val="0"/>
          <c:cat>
            <c:strRef>
              <c:f>'Fläche-Best'!$GX$2:$HS$2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'Fläche-Best'!$GX$5:$HS$5</c:f>
              <c:numCache>
                <c:formatCode>General</c:formatCode>
                <c:ptCount val="17"/>
              </c:numCache>
            </c:numRef>
          </c:val>
          <c:extLst>
            <c:ext xmlns:c16="http://schemas.microsoft.com/office/drawing/2014/chart" uri="{C3380CC4-5D6E-409C-BE32-E72D297353CC}">
              <c16:uniqueId val="{00000001-D5B7-45BF-8A05-8252E88BF70D}"/>
            </c:ext>
          </c:extLst>
        </c:ser>
        <c:ser>
          <c:idx val="2"/>
          <c:order val="2"/>
          <c:tx>
            <c:strRef>
              <c:f>'Fläche-Best'!$FW$4</c:f>
              <c:strCache>
                <c:ptCount val="1"/>
                <c:pt idx="0">
                  <c:v>Warmwassser</c:v>
                </c:pt>
              </c:strCache>
            </c:strRef>
          </c:tx>
          <c:spPr>
            <a:solidFill>
              <a:srgbClr val="FFC000"/>
            </a:solidFill>
          </c:spPr>
          <c:invertIfNegative val="0"/>
          <c:cat>
            <c:strRef>
              <c:f>'Fläche-Best'!$GX$2:$HS$2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'Fläche-Best'!$FY$4:$GR$4</c:f>
              <c:numCache>
                <c:formatCode>0.0</c:formatCode>
                <c:ptCount val="15"/>
                <c:pt idx="0">
                  <c:v>5.7295920398009956</c:v>
                </c:pt>
                <c:pt idx="1">
                  <c:v>8.7022040274816401</c:v>
                </c:pt>
                <c:pt idx="2" formatCode="General">
                  <c:v>4.8533014925373132</c:v>
                </c:pt>
                <c:pt idx="3" formatCode="General">
                  <c:v>0.6300506609808102</c:v>
                </c:pt>
                <c:pt idx="4">
                  <c:v>0.82540545223004358</c:v>
                </c:pt>
                <c:pt idx="5">
                  <c:v>0.64018304430878881</c:v>
                </c:pt>
                <c:pt idx="6" formatCode="General">
                  <c:v>0.70193603411513872</c:v>
                </c:pt>
                <c:pt idx="7" formatCode="General">
                  <c:v>0.70193603411513872</c:v>
                </c:pt>
                <c:pt idx="8" formatCode="General">
                  <c:v>21.72806140724947</c:v>
                </c:pt>
                <c:pt idx="9" formatCode="General">
                  <c:v>1.7857569296375269</c:v>
                </c:pt>
                <c:pt idx="10" formatCode="General">
                  <c:v>9.4886186211798158</c:v>
                </c:pt>
                <c:pt idx="11" formatCode="General">
                  <c:v>13.533036531627578</c:v>
                </c:pt>
                <c:pt idx="12" formatCode="General">
                  <c:v>0.6300506609808102</c:v>
                </c:pt>
                <c:pt idx="13" formatCode="General">
                  <c:v>0.30469663113006401</c:v>
                </c:pt>
                <c:pt idx="14" formatCode="General">
                  <c:v>15.159417902269473</c:v>
                </c:pt>
              </c:numCache>
            </c:numRef>
          </c:val>
          <c:extLst>
            <c:ext xmlns:c16="http://schemas.microsoft.com/office/drawing/2014/chart" uri="{C3380CC4-5D6E-409C-BE32-E72D297353CC}">
              <c16:uniqueId val="{00000002-D5B7-45BF-8A05-8252E88BF70D}"/>
            </c:ext>
          </c:extLst>
        </c:ser>
        <c:ser>
          <c:idx val="3"/>
          <c:order val="3"/>
          <c:tx>
            <c:strRef>
              <c:f>'Fläche-Best'!$FW$7</c:f>
              <c:strCache>
                <c:ptCount val="1"/>
                <c:pt idx="0">
                  <c:v>Geräte</c:v>
                </c:pt>
              </c:strCache>
            </c:strRef>
          </c:tx>
          <c:spPr>
            <a:solidFill>
              <a:schemeClr val="accent3"/>
            </a:solidFill>
          </c:spPr>
          <c:invertIfNegative val="0"/>
          <c:cat>
            <c:strRef>
              <c:f>'Fläche-Best'!$GX$2:$HS$2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'Fläche-Best'!$GX$7:$HS$7</c:f>
              <c:numCache>
                <c:formatCode>General</c:formatCode>
                <c:ptCount val="17"/>
                <c:pt idx="0">
                  <c:v>15.5</c:v>
                </c:pt>
                <c:pt idx="1">
                  <c:v>10.9</c:v>
                </c:pt>
                <c:pt idx="2">
                  <c:v>12.5</c:v>
                </c:pt>
                <c:pt idx="3">
                  <c:v>16.5</c:v>
                </c:pt>
                <c:pt idx="4">
                  <c:v>5</c:v>
                </c:pt>
                <c:pt idx="5">
                  <c:v>15.6</c:v>
                </c:pt>
                <c:pt idx="6">
                  <c:v>5</c:v>
                </c:pt>
                <c:pt idx="7">
                  <c:v>5</c:v>
                </c:pt>
                <c:pt idx="8">
                  <c:v>4.5</c:v>
                </c:pt>
                <c:pt idx="9">
                  <c:v>4</c:v>
                </c:pt>
                <c:pt idx="10">
                  <c:v>8.5</c:v>
                </c:pt>
                <c:pt idx="11">
                  <c:v>8.5</c:v>
                </c:pt>
                <c:pt idx="12">
                  <c:v>7</c:v>
                </c:pt>
                <c:pt idx="13">
                  <c:v>4</c:v>
                </c:pt>
                <c:pt idx="14">
                  <c:v>2</c:v>
                </c:pt>
                <c:pt idx="15">
                  <c:v>5.5</c:v>
                </c:pt>
                <c:pt idx="16">
                  <c:v>1.7</c:v>
                </c:pt>
              </c:numCache>
            </c:numRef>
          </c:val>
          <c:extLst>
            <c:ext xmlns:c16="http://schemas.microsoft.com/office/drawing/2014/chart" uri="{C3380CC4-5D6E-409C-BE32-E72D297353CC}">
              <c16:uniqueId val="{00000003-D5B7-45BF-8A05-8252E88BF70D}"/>
            </c:ext>
          </c:extLst>
        </c:ser>
        <c:ser>
          <c:idx val="4"/>
          <c:order val="4"/>
          <c:tx>
            <c:strRef>
              <c:f>'Fläche-Best'!$FW$9</c:f>
              <c:strCache>
                <c:ptCount val="1"/>
                <c:pt idx="0">
                  <c:v>Beleuchtung</c:v>
                </c:pt>
              </c:strCache>
            </c:strRef>
          </c:tx>
          <c:spPr>
            <a:solidFill>
              <a:srgbClr val="FFFF00"/>
            </a:solidFill>
          </c:spPr>
          <c:invertIfNegative val="0"/>
          <c:cat>
            <c:strRef>
              <c:f>'Fläche-Best'!$GX$2:$HS$2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'Fläche-Best'!$GX$9:$HS$9</c:f>
              <c:numCache>
                <c:formatCode>General</c:formatCode>
                <c:ptCount val="17"/>
                <c:pt idx="0">
                  <c:v>5.5</c:v>
                </c:pt>
                <c:pt idx="1">
                  <c:v>6.2</c:v>
                </c:pt>
                <c:pt idx="2">
                  <c:v>5.5</c:v>
                </c:pt>
                <c:pt idx="3">
                  <c:v>10.1</c:v>
                </c:pt>
                <c:pt idx="4">
                  <c:v>8.5</c:v>
                </c:pt>
                <c:pt idx="5">
                  <c:v>9</c:v>
                </c:pt>
                <c:pt idx="6">
                  <c:v>30.5</c:v>
                </c:pt>
                <c:pt idx="7">
                  <c:v>30.5</c:v>
                </c:pt>
                <c:pt idx="8">
                  <c:v>10.5</c:v>
                </c:pt>
                <c:pt idx="9">
                  <c:v>16.5</c:v>
                </c:pt>
                <c:pt idx="10">
                  <c:v>13.5</c:v>
                </c:pt>
                <c:pt idx="11">
                  <c:v>11</c:v>
                </c:pt>
                <c:pt idx="12">
                  <c:v>13.4</c:v>
                </c:pt>
                <c:pt idx="13">
                  <c:v>18.5</c:v>
                </c:pt>
                <c:pt idx="14">
                  <c:v>13.8</c:v>
                </c:pt>
                <c:pt idx="15">
                  <c:v>11.9</c:v>
                </c:pt>
                <c:pt idx="16">
                  <c:v>2</c:v>
                </c:pt>
              </c:numCache>
            </c:numRef>
          </c:val>
          <c:extLst>
            <c:ext xmlns:c16="http://schemas.microsoft.com/office/drawing/2014/chart" uri="{C3380CC4-5D6E-409C-BE32-E72D297353CC}">
              <c16:uniqueId val="{00000004-D5B7-45BF-8A05-8252E88BF70D}"/>
            </c:ext>
          </c:extLst>
        </c:ser>
        <c:ser>
          <c:idx val="5"/>
          <c:order val="5"/>
          <c:tx>
            <c:strRef>
              <c:f>'Fläche-Best'!$FW$10</c:f>
              <c:strCache>
                <c:ptCount val="1"/>
                <c:pt idx="0">
                  <c:v>Allgemeine GT</c:v>
                </c:pt>
              </c:strCache>
            </c:strRef>
          </c:tx>
          <c:spPr>
            <a:solidFill>
              <a:schemeClr val="bg1">
                <a:lumMod val="65000"/>
              </a:schemeClr>
            </a:solidFill>
          </c:spPr>
          <c:invertIfNegative val="0"/>
          <c:cat>
            <c:strRef>
              <c:f>'Fläche-Best'!$GX$2:$HS$2</c:f>
              <c:strCache>
                <c:ptCount val="17"/>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strCache>
            </c:strRef>
          </c:cat>
          <c:val>
            <c:numRef>
              <c:f>'Fläche-Best'!$GX$10:$HS$10</c:f>
              <c:numCache>
                <c:formatCode>General</c:formatCode>
                <c:ptCount val="17"/>
                <c:pt idx="0" formatCode="0.0">
                  <c:v>3</c:v>
                </c:pt>
                <c:pt idx="1">
                  <c:v>8.16</c:v>
                </c:pt>
                <c:pt idx="2">
                  <c:v>1.4</c:v>
                </c:pt>
                <c:pt idx="3">
                  <c:v>3.3680000000000003</c:v>
                </c:pt>
                <c:pt idx="4">
                  <c:v>3.1280000000000001</c:v>
                </c:pt>
                <c:pt idx="5">
                  <c:v>8.16</c:v>
                </c:pt>
                <c:pt idx="6">
                  <c:v>7.5440000000000005</c:v>
                </c:pt>
                <c:pt idx="7">
                  <c:v>7.5440000000000005</c:v>
                </c:pt>
                <c:pt idx="8">
                  <c:v>8.3840000000000003</c:v>
                </c:pt>
                <c:pt idx="9">
                  <c:v>3.8479999999999999</c:v>
                </c:pt>
                <c:pt idx="10">
                  <c:v>8.2000000000000011</c:v>
                </c:pt>
                <c:pt idx="11">
                  <c:v>8.2000000000000011</c:v>
                </c:pt>
                <c:pt idx="12">
                  <c:v>6.6959999999999997</c:v>
                </c:pt>
                <c:pt idx="13">
                  <c:v>1.6480000000000001</c:v>
                </c:pt>
                <c:pt idx="14">
                  <c:v>3.2320000000000002</c:v>
                </c:pt>
                <c:pt idx="15">
                  <c:v>6.88</c:v>
                </c:pt>
                <c:pt idx="16">
                  <c:v>4.2160000000000002</c:v>
                </c:pt>
              </c:numCache>
            </c:numRef>
          </c:val>
          <c:extLst>
            <c:ext xmlns:c16="http://schemas.microsoft.com/office/drawing/2014/chart" uri="{C3380CC4-5D6E-409C-BE32-E72D297353CC}">
              <c16:uniqueId val="{00000005-D5B7-45BF-8A05-8252E88BF70D}"/>
            </c:ext>
          </c:extLst>
        </c:ser>
        <c:dLbls>
          <c:showLegendKey val="0"/>
          <c:showVal val="0"/>
          <c:showCatName val="0"/>
          <c:showSerName val="0"/>
          <c:showPercent val="0"/>
          <c:showBubbleSize val="0"/>
        </c:dLbls>
        <c:gapWidth val="150"/>
        <c:overlap val="100"/>
        <c:axId val="108729856"/>
        <c:axId val="108731392"/>
      </c:barChart>
      <c:catAx>
        <c:axId val="108729856"/>
        <c:scaling>
          <c:orientation val="minMax"/>
        </c:scaling>
        <c:delete val="0"/>
        <c:axPos val="b"/>
        <c:numFmt formatCode="General" sourceLinked="0"/>
        <c:majorTickMark val="out"/>
        <c:minorTickMark val="none"/>
        <c:tickLblPos val="nextTo"/>
        <c:crossAx val="108731392"/>
        <c:crosses val="autoZero"/>
        <c:auto val="1"/>
        <c:lblAlgn val="ctr"/>
        <c:lblOffset val="100"/>
        <c:noMultiLvlLbl val="0"/>
      </c:catAx>
      <c:valAx>
        <c:axId val="108731392"/>
        <c:scaling>
          <c:orientation val="minMax"/>
          <c:max val="100"/>
          <c:min val="0"/>
        </c:scaling>
        <c:delete val="0"/>
        <c:axPos val="l"/>
        <c:majorGridlines/>
        <c:title>
          <c:tx>
            <c:rich>
              <a:bodyPr rot="-5400000" vert="horz"/>
              <a:lstStyle/>
              <a:p>
                <a:pPr>
                  <a:defRPr/>
                </a:pPr>
                <a:r>
                  <a:rPr lang="en-US"/>
                  <a:t>kWh/m2</a:t>
                </a:r>
              </a:p>
            </c:rich>
          </c:tx>
          <c:overlay val="0"/>
        </c:title>
        <c:numFmt formatCode="0.0" sourceLinked="1"/>
        <c:majorTickMark val="out"/>
        <c:minorTickMark val="none"/>
        <c:tickLblPos val="nextTo"/>
        <c:crossAx val="108729856"/>
        <c:crosses val="autoZero"/>
        <c:crossBetween val="between"/>
      </c:valAx>
    </c:plotArea>
    <c:legend>
      <c:legendPos val="b"/>
      <c:overlay val="0"/>
    </c:legend>
    <c:plotVisOnly val="1"/>
    <c:dispBlanksAs val="gap"/>
    <c:showDLblsOverMax val="0"/>
  </c:chart>
  <c:spPr>
    <a:ln>
      <a:noFill/>
    </a:ln>
  </c:spPr>
  <c:txPr>
    <a:bodyPr/>
    <a:lstStyle/>
    <a:p>
      <a:pPr>
        <a:defRPr sz="8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i="0" u="none" strike="noStrike" baseline="0">
                <a:effectLst/>
              </a:rPr>
              <a:t>Elektrizitätsbedarf  für  </a:t>
            </a:r>
            <a:r>
              <a:rPr lang="de-CH" sz="900" b="0"/>
              <a:t>Geräte</a:t>
            </a:r>
          </a:p>
        </c:rich>
      </c:tx>
      <c:overlay val="0"/>
    </c:title>
    <c:autoTitleDeleted val="0"/>
    <c:plotArea>
      <c:layout/>
      <c:barChart>
        <c:barDir val="col"/>
        <c:grouping val="clustered"/>
        <c:varyColors val="0"/>
        <c:ser>
          <c:idx val="2"/>
          <c:order val="0"/>
          <c:tx>
            <c:strRef>
              <c:f>'Fläche-Best'!$GV$1</c:f>
              <c:strCache>
                <c:ptCount val="1"/>
                <c:pt idx="0">
                  <c:v>Strommodell für Zweckbauten</c:v>
                </c:pt>
              </c:strCache>
            </c:strRef>
          </c:tx>
          <c:invertIfNegative val="0"/>
          <c:cat>
            <c:multiLvlStrRef>
              <c:f>'Fläche-Best'!$GY$1:$HS$2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'Fläche-Best'!$GX$7:$HS$7</c:f>
              <c:numCache>
                <c:formatCode>General</c:formatCode>
                <c:ptCount val="17"/>
                <c:pt idx="0">
                  <c:v>15.5</c:v>
                </c:pt>
                <c:pt idx="1">
                  <c:v>10.9</c:v>
                </c:pt>
                <c:pt idx="2">
                  <c:v>12.5</c:v>
                </c:pt>
                <c:pt idx="3">
                  <c:v>16.5</c:v>
                </c:pt>
                <c:pt idx="4">
                  <c:v>5</c:v>
                </c:pt>
                <c:pt idx="5">
                  <c:v>15.6</c:v>
                </c:pt>
                <c:pt idx="6">
                  <c:v>5</c:v>
                </c:pt>
                <c:pt idx="7">
                  <c:v>5</c:v>
                </c:pt>
                <c:pt idx="8">
                  <c:v>4.5</c:v>
                </c:pt>
                <c:pt idx="9">
                  <c:v>4</c:v>
                </c:pt>
                <c:pt idx="10">
                  <c:v>8.5</c:v>
                </c:pt>
                <c:pt idx="11">
                  <c:v>8.5</c:v>
                </c:pt>
                <c:pt idx="12">
                  <c:v>7</c:v>
                </c:pt>
                <c:pt idx="13">
                  <c:v>4</c:v>
                </c:pt>
                <c:pt idx="14">
                  <c:v>2</c:v>
                </c:pt>
                <c:pt idx="15">
                  <c:v>5.5</c:v>
                </c:pt>
                <c:pt idx="16">
                  <c:v>1.7</c:v>
                </c:pt>
              </c:numCache>
            </c:numRef>
          </c:val>
          <c:extLst>
            <c:ext xmlns:c16="http://schemas.microsoft.com/office/drawing/2014/chart" uri="{C3380CC4-5D6E-409C-BE32-E72D297353CC}">
              <c16:uniqueId val="{00000000-BE89-4A8A-9564-E63F24638157}"/>
            </c:ext>
          </c:extLst>
        </c:ser>
        <c:ser>
          <c:idx val="1"/>
          <c:order val="1"/>
          <c:tx>
            <c:strRef>
              <c:f>'Fläche-Best'!$FW$1</c:f>
              <c:strCache>
                <c:ptCount val="1"/>
                <c:pt idx="0">
                  <c:v>SIA 2024:2021</c:v>
                </c:pt>
              </c:strCache>
            </c:strRef>
          </c:tx>
          <c:invertIfNegative val="0"/>
          <c:cat>
            <c:multiLvlStrRef>
              <c:f>'Fläche-Best'!$GY$1:$HS$2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'Fläche-Best'!$FZ$7:$GT$7</c:f>
              <c:numCache>
                <c:formatCode>0.0</c:formatCode>
                <c:ptCount val="17"/>
                <c:pt idx="0">
                  <c:v>14.688000000000002</c:v>
                </c:pt>
                <c:pt idx="1">
                  <c:v>12.284000000000001</c:v>
                </c:pt>
                <c:pt idx="2">
                  <c:v>15.379200000000001</c:v>
                </c:pt>
                <c:pt idx="3">
                  <c:v>26.730400000000003</c:v>
                </c:pt>
                <c:pt idx="4">
                  <c:v>10.88448</c:v>
                </c:pt>
                <c:pt idx="5">
                  <c:v>18.624000000000006</c:v>
                </c:pt>
                <c:pt idx="6">
                  <c:v>7.8696000000000002</c:v>
                </c:pt>
                <c:pt idx="7">
                  <c:v>7.3224000000000018</c:v>
                </c:pt>
                <c:pt idx="8">
                  <c:v>8.8432000000000013</c:v>
                </c:pt>
                <c:pt idx="9">
                  <c:v>12.943200000000003</c:v>
                </c:pt>
                <c:pt idx="10">
                  <c:v>13.137200000000002</c:v>
                </c:pt>
                <c:pt idx="11">
                  <c:v>11.3292</c:v>
                </c:pt>
                <c:pt idx="12">
                  <c:v>14.543200000000002</c:v>
                </c:pt>
                <c:pt idx="13">
                  <c:v>7.4040000000000008</c:v>
                </c:pt>
                <c:pt idx="14">
                  <c:v>2.4863999999999997</c:v>
                </c:pt>
                <c:pt idx="15">
                  <c:v>8.6424000000000021</c:v>
                </c:pt>
                <c:pt idx="16">
                  <c:v>1.5335999999999999</c:v>
                </c:pt>
              </c:numCache>
            </c:numRef>
          </c:val>
          <c:extLst>
            <c:ext xmlns:c16="http://schemas.microsoft.com/office/drawing/2014/chart" uri="{C3380CC4-5D6E-409C-BE32-E72D297353CC}">
              <c16:uniqueId val="{00000001-BE89-4A8A-9564-E63F24638157}"/>
            </c:ext>
          </c:extLst>
        </c:ser>
        <c:dLbls>
          <c:showLegendKey val="0"/>
          <c:showVal val="0"/>
          <c:showCatName val="0"/>
          <c:showSerName val="0"/>
          <c:showPercent val="0"/>
          <c:showBubbleSize val="0"/>
        </c:dLbls>
        <c:gapWidth val="150"/>
        <c:axId val="108761472"/>
        <c:axId val="108763008"/>
      </c:barChart>
      <c:catAx>
        <c:axId val="108761472"/>
        <c:scaling>
          <c:orientation val="minMax"/>
        </c:scaling>
        <c:delete val="0"/>
        <c:axPos val="b"/>
        <c:numFmt formatCode="General" sourceLinked="0"/>
        <c:majorTickMark val="out"/>
        <c:minorTickMark val="none"/>
        <c:tickLblPos val="nextTo"/>
        <c:crossAx val="108763008"/>
        <c:crosses val="autoZero"/>
        <c:auto val="1"/>
        <c:lblAlgn val="ctr"/>
        <c:lblOffset val="100"/>
        <c:noMultiLvlLbl val="0"/>
      </c:catAx>
      <c:valAx>
        <c:axId val="108763008"/>
        <c:scaling>
          <c:orientation val="minMax"/>
        </c:scaling>
        <c:delete val="0"/>
        <c:axPos val="l"/>
        <c:majorGridlines/>
        <c:title>
          <c:tx>
            <c:rich>
              <a:bodyPr rot="-5400000" vert="horz"/>
              <a:lstStyle/>
              <a:p>
                <a:pPr>
                  <a:defRPr b="0"/>
                </a:pPr>
                <a:r>
                  <a:rPr lang="en-US" b="0"/>
                  <a:t>kWh/m2</a:t>
                </a:r>
              </a:p>
            </c:rich>
          </c:tx>
          <c:overlay val="0"/>
        </c:title>
        <c:numFmt formatCode="General" sourceLinked="1"/>
        <c:majorTickMark val="out"/>
        <c:minorTickMark val="none"/>
        <c:tickLblPos val="nextTo"/>
        <c:crossAx val="108761472"/>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a:pPr>
            <a:r>
              <a:rPr lang="de-CH" sz="900" b="0"/>
              <a:t>Total Elektrizitätsbedarf</a:t>
            </a:r>
            <a:r>
              <a:rPr lang="de-CH" sz="900" b="0" baseline="0"/>
              <a:t> </a:t>
            </a:r>
            <a:endParaRPr lang="de-CH" sz="900" b="0"/>
          </a:p>
        </c:rich>
      </c:tx>
      <c:overlay val="0"/>
    </c:title>
    <c:autoTitleDeleted val="0"/>
    <c:plotArea>
      <c:layout/>
      <c:barChart>
        <c:barDir val="col"/>
        <c:grouping val="clustered"/>
        <c:varyColors val="0"/>
        <c:ser>
          <c:idx val="2"/>
          <c:order val="0"/>
          <c:tx>
            <c:strRef>
              <c:f>'Fläche-Best'!$GV$1</c:f>
              <c:strCache>
                <c:ptCount val="1"/>
                <c:pt idx="0">
                  <c:v>Strommodell für Zweckbauten</c:v>
                </c:pt>
              </c:strCache>
            </c:strRef>
          </c:tx>
          <c:invertIfNegative val="0"/>
          <c:cat>
            <c:multiLvlStrRef>
              <c:f>'Fläche-Best'!$GY$1:$HS$2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'Fläche-Best'!$GX$11:$HS$11</c:f>
              <c:numCache>
                <c:formatCode>0</c:formatCode>
                <c:ptCount val="17"/>
                <c:pt idx="0">
                  <c:v>24</c:v>
                </c:pt>
                <c:pt idx="1">
                  <c:v>69.260000000000005</c:v>
                </c:pt>
                <c:pt idx="2">
                  <c:v>19.399999999999999</c:v>
                </c:pt>
                <c:pt idx="3">
                  <c:v>29.968000000000004</c:v>
                </c:pt>
                <c:pt idx="4">
                  <c:v>16.628</c:v>
                </c:pt>
                <c:pt idx="5">
                  <c:v>42.760000000000005</c:v>
                </c:pt>
                <c:pt idx="6">
                  <c:v>243.04400000000001</c:v>
                </c:pt>
                <c:pt idx="7">
                  <c:v>43.043999999999997</c:v>
                </c:pt>
                <c:pt idx="8">
                  <c:v>23.384</c:v>
                </c:pt>
                <c:pt idx="9">
                  <c:v>24.347999999999999</c:v>
                </c:pt>
                <c:pt idx="10">
                  <c:v>65.2</c:v>
                </c:pt>
                <c:pt idx="11">
                  <c:v>62.7</c:v>
                </c:pt>
                <c:pt idx="12">
                  <c:v>127.096</c:v>
                </c:pt>
                <c:pt idx="13">
                  <c:v>24.148</c:v>
                </c:pt>
                <c:pt idx="14">
                  <c:v>19.032</c:v>
                </c:pt>
                <c:pt idx="15">
                  <c:v>724.28</c:v>
                </c:pt>
                <c:pt idx="16">
                  <c:v>7.9160000000000004</c:v>
                </c:pt>
              </c:numCache>
            </c:numRef>
          </c:val>
          <c:extLst>
            <c:ext xmlns:c16="http://schemas.microsoft.com/office/drawing/2014/chart" uri="{C3380CC4-5D6E-409C-BE32-E72D297353CC}">
              <c16:uniqueId val="{00000000-34E5-4B8F-A6C1-0ED995435982}"/>
            </c:ext>
          </c:extLst>
        </c:ser>
        <c:ser>
          <c:idx val="1"/>
          <c:order val="1"/>
          <c:tx>
            <c:strRef>
              <c:f>'Fläche-Best'!$FW$1</c:f>
              <c:strCache>
                <c:ptCount val="1"/>
                <c:pt idx="0">
                  <c:v>SIA 2024:2021</c:v>
                </c:pt>
              </c:strCache>
            </c:strRef>
          </c:tx>
          <c:invertIfNegative val="0"/>
          <c:cat>
            <c:multiLvlStrRef>
              <c:f>'Fläche-Best'!$GY$1:$HS$2</c:f>
              <c:multiLvlStrCache>
                <c:ptCount val="17"/>
                <c:lvl>
                  <c:pt idx="0">
                    <c:v>MFH</c:v>
                  </c:pt>
                  <c:pt idx="1">
                    <c:v>Hotel</c:v>
                  </c:pt>
                  <c:pt idx="2">
                    <c:v>Wohnen EFH</c:v>
                  </c:pt>
                  <c:pt idx="3">
                    <c:v>Büro</c:v>
                  </c:pt>
                  <c:pt idx="4">
                    <c:v>Volksschule</c:v>
                  </c:pt>
                  <c:pt idx="5">
                    <c:v>Hochschule</c:v>
                  </c:pt>
                  <c:pt idx="6">
                    <c:v>Lebensmittelgeschäft</c:v>
                  </c:pt>
                  <c:pt idx="7">
                    <c:v>Fachgeschäft</c:v>
                  </c:pt>
                  <c:pt idx="8">
                    <c:v>Restaurant</c:v>
                  </c:pt>
                  <c:pt idx="9">
                    <c:v>Versammlungslokal</c:v>
                  </c:pt>
                  <c:pt idx="10">
                    <c:v>Spital</c:v>
                  </c:pt>
                  <c:pt idx="11">
                    <c:v>Pflege</c:v>
                  </c:pt>
                  <c:pt idx="12">
                    <c:v>Industrie</c:v>
                  </c:pt>
                  <c:pt idx="13">
                    <c:v>Lager</c:v>
                  </c:pt>
                  <c:pt idx="14">
                    <c:v>Sportbaute</c:v>
                  </c:pt>
                  <c:pt idx="15">
                    <c:v>Hallenbad</c:v>
                  </c:pt>
                  <c:pt idx="16">
                    <c:v>Parking</c:v>
                  </c:pt>
                </c:lvl>
                <c:lvl>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pt idx="14">
                    <c:v>XI</c:v>
                  </c:pt>
                  <c:pt idx="15">
                    <c:v>XII</c:v>
                  </c:pt>
                  <c:pt idx="16">
                    <c:v>XIII</c:v>
                  </c:pt>
                </c:lvl>
              </c:multiLvlStrCache>
            </c:multiLvlStrRef>
          </c:cat>
          <c:val>
            <c:numRef>
              <c:f>'Fläche-Best'!$FZ$11:$GT$11</c:f>
              <c:numCache>
                <c:formatCode>0</c:formatCode>
                <c:ptCount val="17"/>
                <c:pt idx="0">
                  <c:v>19.840681000000004</c:v>
                </c:pt>
                <c:pt idx="1">
                  <c:v>25.30000166666667</c:v>
                </c:pt>
                <c:pt idx="2">
                  <c:v>19.449227714285716</c:v>
                </c:pt>
                <c:pt idx="3">
                  <c:v>51.271793600000009</c:v>
                </c:pt>
                <c:pt idx="4">
                  <c:v>22.504232653061223</c:v>
                </c:pt>
                <c:pt idx="5">
                  <c:v>47.040742081632658</c:v>
                </c:pt>
                <c:pt idx="6">
                  <c:v>283.22641419047619</c:v>
                </c:pt>
                <c:pt idx="7">
                  <c:v>45.662632971428579</c:v>
                </c:pt>
                <c:pt idx="8">
                  <c:v>80.496597904761913</c:v>
                </c:pt>
                <c:pt idx="9">
                  <c:v>33.114601142857147</c:v>
                </c:pt>
                <c:pt idx="10">
                  <c:v>40.34462114285715</c:v>
                </c:pt>
                <c:pt idx="11">
                  <c:v>32.581905714285718</c:v>
                </c:pt>
                <c:pt idx="12">
                  <c:v>62.267811371428579</c:v>
                </c:pt>
                <c:pt idx="13">
                  <c:v>27.564811942857141</c:v>
                </c:pt>
                <c:pt idx="14">
                  <c:v>19.495761142857141</c:v>
                </c:pt>
                <c:pt idx="15">
                  <c:v>272.96817028571428</c:v>
                </c:pt>
                <c:pt idx="16">
                  <c:v>6.8984220170940169</c:v>
                </c:pt>
              </c:numCache>
            </c:numRef>
          </c:val>
          <c:extLst>
            <c:ext xmlns:c16="http://schemas.microsoft.com/office/drawing/2014/chart" uri="{C3380CC4-5D6E-409C-BE32-E72D297353CC}">
              <c16:uniqueId val="{00000001-34E5-4B8F-A6C1-0ED995435982}"/>
            </c:ext>
          </c:extLst>
        </c:ser>
        <c:dLbls>
          <c:showLegendKey val="0"/>
          <c:showVal val="0"/>
          <c:showCatName val="0"/>
          <c:showSerName val="0"/>
          <c:showPercent val="0"/>
          <c:showBubbleSize val="0"/>
        </c:dLbls>
        <c:gapWidth val="150"/>
        <c:axId val="108068224"/>
        <c:axId val="108074112"/>
      </c:barChart>
      <c:catAx>
        <c:axId val="108068224"/>
        <c:scaling>
          <c:orientation val="minMax"/>
        </c:scaling>
        <c:delete val="0"/>
        <c:axPos val="b"/>
        <c:numFmt formatCode="General" sourceLinked="0"/>
        <c:majorTickMark val="out"/>
        <c:minorTickMark val="none"/>
        <c:tickLblPos val="nextTo"/>
        <c:crossAx val="108074112"/>
        <c:crosses val="autoZero"/>
        <c:auto val="1"/>
        <c:lblAlgn val="ctr"/>
        <c:lblOffset val="100"/>
        <c:noMultiLvlLbl val="0"/>
      </c:catAx>
      <c:valAx>
        <c:axId val="108074112"/>
        <c:scaling>
          <c:orientation val="minMax"/>
          <c:max val="250"/>
        </c:scaling>
        <c:delete val="0"/>
        <c:axPos val="l"/>
        <c:majorGridlines/>
        <c:title>
          <c:tx>
            <c:rich>
              <a:bodyPr rot="-5400000" vert="horz"/>
              <a:lstStyle/>
              <a:p>
                <a:pPr>
                  <a:defRPr b="0"/>
                </a:pPr>
                <a:r>
                  <a:rPr lang="en-US" b="0"/>
                  <a:t>kWh/m2</a:t>
                </a:r>
              </a:p>
            </c:rich>
          </c:tx>
          <c:overlay val="0"/>
        </c:title>
        <c:numFmt formatCode="0" sourceLinked="1"/>
        <c:majorTickMark val="out"/>
        <c:minorTickMark val="none"/>
        <c:tickLblPos val="nextTo"/>
        <c:crossAx val="108068224"/>
        <c:crosses val="autoZero"/>
        <c:crossBetween val="between"/>
      </c:valAx>
    </c:plotArea>
    <c:legend>
      <c:legendPos val="b"/>
      <c:overlay val="0"/>
    </c:legend>
    <c:plotVisOnly val="1"/>
    <c:dispBlanksAs val="gap"/>
    <c:showDLblsOverMax val="0"/>
  </c:chart>
  <c:spPr>
    <a:ln>
      <a:noFill/>
    </a:ln>
  </c:spPr>
  <c:txPr>
    <a:bodyPr/>
    <a:lstStyle/>
    <a:p>
      <a:pPr>
        <a:defRPr sz="9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Elektrizität (Geräte, Beleuchtung, Lüftung, Klima)</a:t>
            </a:r>
          </a:p>
        </c:rich>
      </c:tx>
      <c:overlay val="0"/>
    </c:title>
    <c:autoTitleDeleted val="0"/>
    <c:plotArea>
      <c:layout>
        <c:manualLayout>
          <c:layoutTarget val="inner"/>
          <c:xMode val="edge"/>
          <c:yMode val="edge"/>
          <c:x val="0.10101356924583588"/>
          <c:y val="0.15009259259259258"/>
          <c:w val="0.68053878966097836"/>
          <c:h val="0.69299650043744532"/>
        </c:manualLayout>
      </c:layout>
      <c:barChart>
        <c:barDir val="col"/>
        <c:grouping val="clustered"/>
        <c:varyColors val="0"/>
        <c:ser>
          <c:idx val="0"/>
          <c:order val="0"/>
          <c:tx>
            <c:strRef>
              <c:f>GEPAMOD!$B$19</c:f>
              <c:strCache>
                <c:ptCount val="1"/>
                <c:pt idx="0">
                  <c:v>GEPAMOD ohne Prozessanlagen</c:v>
                </c:pt>
              </c:strCache>
            </c:strRef>
          </c:tx>
          <c:invertIfNegative val="0"/>
          <c:cat>
            <c:strRef>
              <c:f>GEPAMOD!$D$1:$Q$1</c:f>
              <c:strCache>
                <c:ptCount val="14"/>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strCache>
            </c:strRef>
          </c:cat>
          <c:val>
            <c:numRef>
              <c:f>GEPAMOD!$D$19:$Q$19</c:f>
              <c:numCache>
                <c:formatCode>0</c:formatCode>
                <c:ptCount val="14"/>
                <c:pt idx="0">
                  <c:v>19.96130866612042</c:v>
                </c:pt>
                <c:pt idx="1">
                  <c:v>31.418396592335441</c:v>
                </c:pt>
                <c:pt idx="2">
                  <c:v>13.421610897408277</c:v>
                </c:pt>
                <c:pt idx="3">
                  <c:v>54.939307827267974</c:v>
                </c:pt>
                <c:pt idx="4">
                  <c:v>25.164635375997058</c:v>
                </c:pt>
                <c:pt idx="5">
                  <c:v>35.76613443035265</c:v>
                </c:pt>
                <c:pt idx="6">
                  <c:v>82.148398669646213</c:v>
                </c:pt>
                <c:pt idx="7">
                  <c:v>94.814910437275017</c:v>
                </c:pt>
                <c:pt idx="8">
                  <c:v>42.164495410730723</c:v>
                </c:pt>
                <c:pt idx="9">
                  <c:v>26.715407436338268</c:v>
                </c:pt>
                <c:pt idx="10">
                  <c:v>25.086803183363092</c:v>
                </c:pt>
                <c:pt idx="11">
                  <c:v>31.441378504835214</c:v>
                </c:pt>
                <c:pt idx="12">
                  <c:v>40.404561107672727</c:v>
                </c:pt>
                <c:pt idx="13">
                  <c:v>15.908608144113764</c:v>
                </c:pt>
              </c:numCache>
            </c:numRef>
          </c:val>
          <c:extLst>
            <c:ext xmlns:c16="http://schemas.microsoft.com/office/drawing/2014/chart" uri="{C3380CC4-5D6E-409C-BE32-E72D297353CC}">
              <c16:uniqueId val="{00000000-A885-4920-A7D5-970EEF0D7325}"/>
            </c:ext>
          </c:extLst>
        </c:ser>
        <c:ser>
          <c:idx val="1"/>
          <c:order val="1"/>
          <c:tx>
            <c:strRef>
              <c:f>GEPAMOD!$B$20</c:f>
              <c:strCache>
                <c:ptCount val="1"/>
                <c:pt idx="0">
                  <c:v>SIA 2024:2019 ohne Prozessanlagen</c:v>
                </c:pt>
              </c:strCache>
            </c:strRef>
          </c:tx>
          <c:invertIfNegative val="0"/>
          <c:cat>
            <c:strRef>
              <c:f>GEPAMOD!$D$1:$Q$1</c:f>
              <c:strCache>
                <c:ptCount val="14"/>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strCache>
            </c:strRef>
          </c:cat>
          <c:val>
            <c:numRef>
              <c:f>GEPAMOD!$D$20:$Q$20</c:f>
              <c:numCache>
                <c:formatCode>0</c:formatCode>
                <c:ptCount val="14"/>
                <c:pt idx="0">
                  <c:v>20.759042855134563</c:v>
                </c:pt>
                <c:pt idx="1">
                  <c:v>23.412394997598895</c:v>
                </c:pt>
                <c:pt idx="2">
                  <c:v>16.914856440614603</c:v>
                </c:pt>
                <c:pt idx="3">
                  <c:v>30.699198960120437</c:v>
                </c:pt>
                <c:pt idx="4">
                  <c:v>17.529815616915478</c:v>
                </c:pt>
                <c:pt idx="5">
                  <c:v>24.418515585456927</c:v>
                </c:pt>
                <c:pt idx="6">
                  <c:v>36.990803924761693</c:v>
                </c:pt>
                <c:pt idx="7">
                  <c:v>36.594858449368495</c:v>
                </c:pt>
                <c:pt idx="8">
                  <c:v>22.090804455226724</c:v>
                </c:pt>
                <c:pt idx="9">
                  <c:v>31.5821757828869</c:v>
                </c:pt>
                <c:pt idx="10">
                  <c:v>28.875480517919851</c:v>
                </c:pt>
                <c:pt idx="11">
                  <c:v>25.598695399424454</c:v>
                </c:pt>
                <c:pt idx="12">
                  <c:v>19.431636400073018</c:v>
                </c:pt>
                <c:pt idx="13">
                  <c:v>17.204026375542988</c:v>
                </c:pt>
              </c:numCache>
            </c:numRef>
          </c:val>
          <c:extLst>
            <c:ext xmlns:c16="http://schemas.microsoft.com/office/drawing/2014/chart" uri="{C3380CC4-5D6E-409C-BE32-E72D297353CC}">
              <c16:uniqueId val="{00000001-A885-4920-A7D5-970EEF0D7325}"/>
            </c:ext>
          </c:extLst>
        </c:ser>
        <c:dLbls>
          <c:showLegendKey val="0"/>
          <c:showVal val="0"/>
          <c:showCatName val="0"/>
          <c:showSerName val="0"/>
          <c:showPercent val="0"/>
          <c:showBubbleSize val="0"/>
        </c:dLbls>
        <c:gapWidth val="150"/>
        <c:axId val="116006272"/>
        <c:axId val="116012160"/>
      </c:barChart>
      <c:catAx>
        <c:axId val="116006272"/>
        <c:scaling>
          <c:orientation val="minMax"/>
        </c:scaling>
        <c:delete val="0"/>
        <c:axPos val="b"/>
        <c:numFmt formatCode="General" sourceLinked="0"/>
        <c:majorTickMark val="out"/>
        <c:minorTickMark val="none"/>
        <c:tickLblPos val="nextTo"/>
        <c:crossAx val="116012160"/>
        <c:crosses val="autoZero"/>
        <c:auto val="1"/>
        <c:lblAlgn val="ctr"/>
        <c:lblOffset val="100"/>
        <c:noMultiLvlLbl val="0"/>
      </c:catAx>
      <c:valAx>
        <c:axId val="116012160"/>
        <c:scaling>
          <c:orientation val="minMax"/>
          <c:max val="120"/>
        </c:scaling>
        <c:delete val="0"/>
        <c:axPos val="l"/>
        <c:majorGridlines/>
        <c:title>
          <c:tx>
            <c:rich>
              <a:bodyPr rot="-5400000" vert="horz"/>
              <a:lstStyle/>
              <a:p>
                <a:pPr>
                  <a:defRPr/>
                </a:pPr>
                <a:r>
                  <a:rPr lang="en-US"/>
                  <a:t>kWh/m2</a:t>
                </a:r>
              </a:p>
            </c:rich>
          </c:tx>
          <c:layout>
            <c:manualLayout>
              <c:xMode val="edge"/>
              <c:yMode val="edge"/>
              <c:x val="1.0109578495339271E-2"/>
              <c:y val="0.38316491688538934"/>
            </c:manualLayout>
          </c:layout>
          <c:overlay val="0"/>
        </c:title>
        <c:numFmt formatCode="0" sourceLinked="1"/>
        <c:majorTickMark val="out"/>
        <c:minorTickMark val="none"/>
        <c:tickLblPos val="nextTo"/>
        <c:crossAx val="116006272"/>
        <c:crosses val="autoZero"/>
        <c:crossBetween val="between"/>
      </c:valAx>
    </c:plotArea>
    <c:legend>
      <c:legendPos val="r"/>
      <c:layout>
        <c:manualLayout>
          <c:xMode val="edge"/>
          <c:yMode val="edge"/>
          <c:x val="0.77947389713872739"/>
          <c:y val="0.47574292796733741"/>
          <c:w val="0.20805533225275141"/>
          <c:h val="0.31897710702828813"/>
        </c:manualLayout>
      </c:layout>
      <c:overlay val="0"/>
    </c:legend>
    <c:plotVisOnly val="1"/>
    <c:dispBlanksAs val="gap"/>
    <c:showDLblsOverMax val="0"/>
  </c:chart>
  <c:spPr>
    <a:ln>
      <a:noFill/>
    </a:ln>
  </c:spPr>
  <c:txPr>
    <a:bodyPr/>
    <a:lstStyle/>
    <a:p>
      <a:pPr>
        <a:defRPr sz="9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Heizwärme</a:t>
            </a:r>
          </a:p>
        </c:rich>
      </c:tx>
      <c:overlay val="0"/>
    </c:title>
    <c:autoTitleDeleted val="0"/>
    <c:plotArea>
      <c:layout/>
      <c:barChart>
        <c:barDir val="col"/>
        <c:grouping val="clustered"/>
        <c:varyColors val="0"/>
        <c:ser>
          <c:idx val="0"/>
          <c:order val="0"/>
          <c:tx>
            <c:strRef>
              <c:f>GEPAMOD!$B$40</c:f>
              <c:strCache>
                <c:ptCount val="1"/>
                <c:pt idx="0">
                  <c:v>GEPAMOD</c:v>
                </c:pt>
              </c:strCache>
            </c:strRef>
          </c:tx>
          <c:invertIfNegative val="0"/>
          <c:cat>
            <c:strRef>
              <c:f>GEPAMOD!$D$1:$Q$1</c:f>
              <c:strCache>
                <c:ptCount val="14"/>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strCache>
            </c:strRef>
          </c:cat>
          <c:val>
            <c:numRef>
              <c:f>GEPAMOD!$D$40:$Q$40</c:f>
              <c:numCache>
                <c:formatCode>0</c:formatCode>
                <c:ptCount val="14"/>
                <c:pt idx="0">
                  <c:v>32.548770556875326</c:v>
                </c:pt>
                <c:pt idx="1">
                  <c:v>37.039812558800591</c:v>
                </c:pt>
                <c:pt idx="2">
                  <c:v>52.731928123230972</c:v>
                </c:pt>
                <c:pt idx="3">
                  <c:v>36.311573698809163</c:v>
                </c:pt>
                <c:pt idx="4">
                  <c:v>43.488159350904972</c:v>
                </c:pt>
                <c:pt idx="5">
                  <c:v>44.168126790003448</c:v>
                </c:pt>
                <c:pt idx="6">
                  <c:v>31.393843973454118</c:v>
                </c:pt>
                <c:pt idx="7">
                  <c:v>36.055641648339531</c:v>
                </c:pt>
                <c:pt idx="8">
                  <c:v>34.589786022276414</c:v>
                </c:pt>
                <c:pt idx="9">
                  <c:v>36.947695933259183</c:v>
                </c:pt>
                <c:pt idx="10">
                  <c:v>51.276148227160768</c:v>
                </c:pt>
                <c:pt idx="11">
                  <c:v>50.875036352506775</c:v>
                </c:pt>
                <c:pt idx="12">
                  <c:v>46.603546007868282</c:v>
                </c:pt>
                <c:pt idx="13">
                  <c:v>34.429980136633802</c:v>
                </c:pt>
              </c:numCache>
            </c:numRef>
          </c:val>
          <c:extLst>
            <c:ext xmlns:c16="http://schemas.microsoft.com/office/drawing/2014/chart" uri="{C3380CC4-5D6E-409C-BE32-E72D297353CC}">
              <c16:uniqueId val="{00000000-9D76-4493-A4C2-26873482B46D}"/>
            </c:ext>
          </c:extLst>
        </c:ser>
        <c:ser>
          <c:idx val="1"/>
          <c:order val="1"/>
          <c:tx>
            <c:strRef>
              <c:f>GEPAMOD!$B$41</c:f>
              <c:strCache>
                <c:ptCount val="1"/>
                <c:pt idx="0">
                  <c:v>SIA 2024:2019</c:v>
                </c:pt>
              </c:strCache>
            </c:strRef>
          </c:tx>
          <c:invertIfNegative val="0"/>
          <c:cat>
            <c:strRef>
              <c:f>GEPAMOD!$D$1:$Q$1</c:f>
              <c:strCache>
                <c:ptCount val="14"/>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strCache>
            </c:strRef>
          </c:cat>
          <c:val>
            <c:numRef>
              <c:f>GEPAMOD!$D$41:$Q$41</c:f>
              <c:numCache>
                <c:formatCode>0</c:formatCode>
                <c:ptCount val="14"/>
                <c:pt idx="0">
                  <c:v>11.726703891170381</c:v>
                </c:pt>
                <c:pt idx="1">
                  <c:v>13.870968340056827</c:v>
                </c:pt>
                <c:pt idx="2">
                  <c:v>18.532290023829955</c:v>
                </c:pt>
                <c:pt idx="3">
                  <c:v>9.4607684842424522</c:v>
                </c:pt>
                <c:pt idx="4">
                  <c:v>13.537004115365571</c:v>
                </c:pt>
                <c:pt idx="5">
                  <c:v>11.336089072607724</c:v>
                </c:pt>
                <c:pt idx="6">
                  <c:v>5.336005221474303</c:v>
                </c:pt>
                <c:pt idx="7">
                  <c:v>5.5844225421050364</c:v>
                </c:pt>
                <c:pt idx="8">
                  <c:v>14.227329799738198</c:v>
                </c:pt>
                <c:pt idx="9">
                  <c:v>9.8470402728764252</c:v>
                </c:pt>
                <c:pt idx="10">
                  <c:v>10.373697935999942</c:v>
                </c:pt>
                <c:pt idx="11">
                  <c:v>10.392353857645658</c:v>
                </c:pt>
                <c:pt idx="12">
                  <c:v>11.040409943789539</c:v>
                </c:pt>
                <c:pt idx="13">
                  <c:v>9.2539562331877274</c:v>
                </c:pt>
              </c:numCache>
            </c:numRef>
          </c:val>
          <c:extLst>
            <c:ext xmlns:c16="http://schemas.microsoft.com/office/drawing/2014/chart" uri="{C3380CC4-5D6E-409C-BE32-E72D297353CC}">
              <c16:uniqueId val="{00000001-9D76-4493-A4C2-26873482B46D}"/>
            </c:ext>
          </c:extLst>
        </c:ser>
        <c:dLbls>
          <c:showLegendKey val="0"/>
          <c:showVal val="0"/>
          <c:showCatName val="0"/>
          <c:showSerName val="0"/>
          <c:showPercent val="0"/>
          <c:showBubbleSize val="0"/>
        </c:dLbls>
        <c:gapWidth val="150"/>
        <c:axId val="116041984"/>
        <c:axId val="116047872"/>
      </c:barChart>
      <c:catAx>
        <c:axId val="116041984"/>
        <c:scaling>
          <c:orientation val="minMax"/>
        </c:scaling>
        <c:delete val="0"/>
        <c:axPos val="b"/>
        <c:numFmt formatCode="General" sourceLinked="0"/>
        <c:majorTickMark val="out"/>
        <c:minorTickMark val="none"/>
        <c:tickLblPos val="nextTo"/>
        <c:crossAx val="116047872"/>
        <c:crosses val="autoZero"/>
        <c:auto val="1"/>
        <c:lblAlgn val="ctr"/>
        <c:lblOffset val="100"/>
        <c:noMultiLvlLbl val="0"/>
      </c:catAx>
      <c:valAx>
        <c:axId val="116047872"/>
        <c:scaling>
          <c:orientation val="minMax"/>
          <c:max val="50"/>
        </c:scaling>
        <c:delete val="0"/>
        <c:axPos val="l"/>
        <c:majorGridlines/>
        <c:title>
          <c:tx>
            <c:rich>
              <a:bodyPr rot="-5400000" vert="horz"/>
              <a:lstStyle/>
              <a:p>
                <a:pPr>
                  <a:defRPr/>
                </a:pPr>
                <a:r>
                  <a:rPr lang="en-US"/>
                  <a:t>kWh/m2</a:t>
                </a:r>
              </a:p>
            </c:rich>
          </c:tx>
          <c:layout>
            <c:manualLayout>
              <c:xMode val="edge"/>
              <c:yMode val="edge"/>
              <c:x val="1.1223344556677889E-2"/>
              <c:y val="0.40611111111111109"/>
            </c:manualLayout>
          </c:layout>
          <c:overlay val="0"/>
        </c:title>
        <c:numFmt formatCode="0" sourceLinked="1"/>
        <c:majorTickMark val="out"/>
        <c:minorTickMark val="none"/>
        <c:tickLblPos val="nextTo"/>
        <c:crossAx val="116041984"/>
        <c:crosses val="autoZero"/>
        <c:crossBetween val="between"/>
      </c:valAx>
    </c:plotArea>
    <c:legend>
      <c:legendPos val="r"/>
      <c:overlay val="0"/>
    </c:legend>
    <c:plotVisOnly val="1"/>
    <c:dispBlanksAs val="gap"/>
    <c:showDLblsOverMax val="0"/>
  </c:chart>
  <c:spPr>
    <a:ln>
      <a:noFill/>
    </a:ln>
  </c:spPr>
  <c:txPr>
    <a:bodyPr/>
    <a:lstStyle/>
    <a:p>
      <a:pPr>
        <a:defRPr sz="9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Warmwasser inkl. Verluste</a:t>
            </a:r>
          </a:p>
        </c:rich>
      </c:tx>
      <c:overlay val="0"/>
    </c:title>
    <c:autoTitleDeleted val="0"/>
    <c:plotArea>
      <c:layout/>
      <c:barChart>
        <c:barDir val="col"/>
        <c:grouping val="clustered"/>
        <c:varyColors val="0"/>
        <c:ser>
          <c:idx val="0"/>
          <c:order val="0"/>
          <c:tx>
            <c:strRef>
              <c:f>GEPAMOD!$B$61</c:f>
              <c:strCache>
                <c:ptCount val="1"/>
                <c:pt idx="0">
                  <c:v>GEPAMOD</c:v>
                </c:pt>
              </c:strCache>
            </c:strRef>
          </c:tx>
          <c:invertIfNegative val="0"/>
          <c:cat>
            <c:strRef>
              <c:f>GEPAMOD!$D$1:$Q$1</c:f>
              <c:strCache>
                <c:ptCount val="14"/>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strCache>
            </c:strRef>
          </c:cat>
          <c:val>
            <c:numRef>
              <c:f>GEPAMOD!$D$61:$Q$61</c:f>
              <c:numCache>
                <c:formatCode>0</c:formatCode>
                <c:ptCount val="14"/>
                <c:pt idx="0">
                  <c:v>16.640341992124679</c:v>
                </c:pt>
                <c:pt idx="1">
                  <c:v>23.04195221278562</c:v>
                </c:pt>
                <c:pt idx="2">
                  <c:v>12.180401873622662</c:v>
                </c:pt>
                <c:pt idx="3">
                  <c:v>8.1574589935643012</c:v>
                </c:pt>
                <c:pt idx="4">
                  <c:v>8.9643794601953442</c:v>
                </c:pt>
                <c:pt idx="5">
                  <c:v>8.1897563756360636</c:v>
                </c:pt>
                <c:pt idx="6">
                  <c:v>7.5025507392678481</c:v>
                </c:pt>
                <c:pt idx="7">
                  <c:v>5.6596711957528303</c:v>
                </c:pt>
                <c:pt idx="8">
                  <c:v>22.958782339646579</c:v>
                </c:pt>
                <c:pt idx="9">
                  <c:v>11.241863872751532</c:v>
                </c:pt>
                <c:pt idx="10">
                  <c:v>39.82761374700074</c:v>
                </c:pt>
                <c:pt idx="11">
                  <c:v>21.628088333926957</c:v>
                </c:pt>
                <c:pt idx="12">
                  <c:v>5.9644371748029146</c:v>
                </c:pt>
                <c:pt idx="13">
                  <c:v>4.1900667799557496</c:v>
                </c:pt>
              </c:numCache>
            </c:numRef>
          </c:val>
          <c:extLst>
            <c:ext xmlns:c16="http://schemas.microsoft.com/office/drawing/2014/chart" uri="{C3380CC4-5D6E-409C-BE32-E72D297353CC}">
              <c16:uniqueId val="{00000000-9163-405D-8A4F-01E9824C7098}"/>
            </c:ext>
          </c:extLst>
        </c:ser>
        <c:ser>
          <c:idx val="1"/>
          <c:order val="1"/>
          <c:tx>
            <c:strRef>
              <c:f>GEPAMOD!$B$62</c:f>
              <c:strCache>
                <c:ptCount val="1"/>
                <c:pt idx="0">
                  <c:v>SIA 2024:2019</c:v>
                </c:pt>
              </c:strCache>
            </c:strRef>
          </c:tx>
          <c:invertIfNegative val="0"/>
          <c:cat>
            <c:strRef>
              <c:f>GEPAMOD!$D$1:$Q$1</c:f>
              <c:strCache>
                <c:ptCount val="14"/>
                <c:pt idx="0">
                  <c:v>I.1</c:v>
                </c:pt>
                <c:pt idx="1">
                  <c:v>I.2</c:v>
                </c:pt>
                <c:pt idx="2">
                  <c:v>II</c:v>
                </c:pt>
                <c:pt idx="3">
                  <c:v>III</c:v>
                </c:pt>
                <c:pt idx="4">
                  <c:v>IV.1</c:v>
                </c:pt>
                <c:pt idx="5">
                  <c:v>IV.2</c:v>
                </c:pt>
                <c:pt idx="6">
                  <c:v>V.1</c:v>
                </c:pt>
                <c:pt idx="7">
                  <c:v>V.2</c:v>
                </c:pt>
                <c:pt idx="8">
                  <c:v>VI</c:v>
                </c:pt>
                <c:pt idx="9">
                  <c:v>VII</c:v>
                </c:pt>
                <c:pt idx="10">
                  <c:v>VIII.1</c:v>
                </c:pt>
                <c:pt idx="11">
                  <c:v>VIII.2</c:v>
                </c:pt>
                <c:pt idx="12">
                  <c:v>IX</c:v>
                </c:pt>
                <c:pt idx="13">
                  <c:v>X</c:v>
                </c:pt>
              </c:strCache>
            </c:strRef>
          </c:cat>
          <c:val>
            <c:numRef>
              <c:f>GEPAMOD!$D$62:$Q$62</c:f>
              <c:numCache>
                <c:formatCode>0</c:formatCode>
                <c:ptCount val="14"/>
                <c:pt idx="0">
                  <c:v>17.274720000000006</c:v>
                </c:pt>
                <c:pt idx="1">
                  <c:v>26.237145142857145</c:v>
                </c:pt>
                <c:pt idx="2">
                  <c:v>14.632704</c:v>
                </c:pt>
                <c:pt idx="3">
                  <c:v>1.8996027428571431</c:v>
                </c:pt>
                <c:pt idx="4">
                  <c:v>2.4885974384735814</c:v>
                </c:pt>
                <c:pt idx="5">
                  <c:v>1.9301518785909983</c:v>
                </c:pt>
                <c:pt idx="6">
                  <c:v>2.1163371428571436</c:v>
                </c:pt>
                <c:pt idx="7">
                  <c:v>2.1163371428571436</c:v>
                </c:pt>
                <c:pt idx="8">
                  <c:v>65.510105142857157</c:v>
                </c:pt>
                <c:pt idx="9">
                  <c:v>5.3840571428571433</c:v>
                </c:pt>
                <c:pt idx="10">
                  <c:v>28.608185142857145</c:v>
                </c:pt>
                <c:pt idx="11">
                  <c:v>40.802105142857151</c:v>
                </c:pt>
                <c:pt idx="12">
                  <c:v>1.8996027428571431</c:v>
                </c:pt>
                <c:pt idx="13">
                  <c:v>0.91866034285714293</c:v>
                </c:pt>
              </c:numCache>
            </c:numRef>
          </c:val>
          <c:extLst>
            <c:ext xmlns:c16="http://schemas.microsoft.com/office/drawing/2014/chart" uri="{C3380CC4-5D6E-409C-BE32-E72D297353CC}">
              <c16:uniqueId val="{00000001-9163-405D-8A4F-01E9824C7098}"/>
            </c:ext>
          </c:extLst>
        </c:ser>
        <c:dLbls>
          <c:showLegendKey val="0"/>
          <c:showVal val="0"/>
          <c:showCatName val="0"/>
          <c:showSerName val="0"/>
          <c:showPercent val="0"/>
          <c:showBubbleSize val="0"/>
        </c:dLbls>
        <c:gapWidth val="150"/>
        <c:axId val="116057216"/>
        <c:axId val="116058752"/>
      </c:barChart>
      <c:catAx>
        <c:axId val="116057216"/>
        <c:scaling>
          <c:orientation val="minMax"/>
        </c:scaling>
        <c:delete val="0"/>
        <c:axPos val="b"/>
        <c:numFmt formatCode="General" sourceLinked="0"/>
        <c:majorTickMark val="out"/>
        <c:minorTickMark val="none"/>
        <c:tickLblPos val="nextTo"/>
        <c:crossAx val="116058752"/>
        <c:crosses val="autoZero"/>
        <c:auto val="1"/>
        <c:lblAlgn val="ctr"/>
        <c:lblOffset val="100"/>
        <c:noMultiLvlLbl val="0"/>
      </c:catAx>
      <c:valAx>
        <c:axId val="116058752"/>
        <c:scaling>
          <c:orientation val="minMax"/>
          <c:max val="50"/>
        </c:scaling>
        <c:delete val="0"/>
        <c:axPos val="l"/>
        <c:majorGridlines/>
        <c:numFmt formatCode="0" sourceLinked="1"/>
        <c:majorTickMark val="out"/>
        <c:minorTickMark val="none"/>
        <c:tickLblPos val="nextTo"/>
        <c:crossAx val="116057216"/>
        <c:crosses val="autoZero"/>
        <c:crossBetween val="between"/>
      </c:valAx>
    </c:plotArea>
    <c:legend>
      <c:legendPos val="r"/>
      <c:overlay val="0"/>
    </c:legend>
    <c:plotVisOnly val="1"/>
    <c:dispBlanksAs val="gap"/>
    <c:showDLblsOverMax val="0"/>
  </c:chart>
  <c:spPr>
    <a:ln>
      <a:noFill/>
    </a:ln>
  </c:spPr>
  <c:txPr>
    <a:bodyPr/>
    <a:lstStyle/>
    <a:p>
      <a:pPr>
        <a:defRPr sz="900" b="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Heizwärmebedarf - Standardwert</a:t>
            </a:r>
          </a:p>
        </c:rich>
      </c:tx>
      <c:overlay val="0"/>
    </c:title>
    <c:autoTitleDeleted val="0"/>
    <c:plotArea>
      <c:layout/>
      <c:barChart>
        <c:barDir val="col"/>
        <c:grouping val="clustered"/>
        <c:varyColors val="0"/>
        <c:ser>
          <c:idx val="0"/>
          <c:order val="0"/>
          <c:tx>
            <c:strRef>
              <c:f>'SIA 380-1'!$D$68:$O$68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tx>
          <c:spPr>
            <a:solidFill>
              <a:schemeClr val="accent2"/>
            </a:solidFill>
          </c:spPr>
          <c:invertIfNegative val="0"/>
          <c:cat>
            <c:strRef>
              <c:f>'SIA 380-1'!$D$68:$O$68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cat>
          <c:val>
            <c:numRef>
              <c:f>'SIA 380-1'!$D$133:$O$133</c:f>
              <c:numCache>
                <c:formatCode>0.0</c:formatCode>
                <c:ptCount val="12"/>
                <c:pt idx="0">
                  <c:v>17.474134243997579</c:v>
                </c:pt>
                <c:pt idx="1">
                  <c:v>8.8874786066113423</c:v>
                </c:pt>
                <c:pt idx="2">
                  <c:v>1.0365757974523504</c:v>
                </c:pt>
                <c:pt idx="3">
                  <c:v>2.0380079775069504E-2</c:v>
                </c:pt>
                <c:pt idx="4">
                  <c:v>2.1947176112036004E-6</c:v>
                </c:pt>
                <c:pt idx="5">
                  <c:v>1.1136229716157686E-9</c:v>
                </c:pt>
                <c:pt idx="6">
                  <c:v>2.3092638912203256E-13</c:v>
                </c:pt>
                <c:pt idx="7">
                  <c:v>6.9100281052669743E-13</c:v>
                </c:pt>
                <c:pt idx="8">
                  <c:v>7.6975777023591263E-6</c:v>
                </c:pt>
                <c:pt idx="9">
                  <c:v>0.20947670512151362</c:v>
                </c:pt>
                <c:pt idx="10">
                  <c:v>10.19503869881431</c:v>
                </c:pt>
                <c:pt idx="11">
                  <c:v>15.650683044123623</c:v>
                </c:pt>
              </c:numCache>
            </c:numRef>
          </c:val>
          <c:extLst>
            <c:ext xmlns:c16="http://schemas.microsoft.com/office/drawing/2014/chart" uri="{C3380CC4-5D6E-409C-BE32-E72D297353CC}">
              <c16:uniqueId val="{00000000-48B3-4A6B-BA09-22B2CA030176}"/>
            </c:ext>
          </c:extLst>
        </c:ser>
        <c:dLbls>
          <c:showLegendKey val="0"/>
          <c:showVal val="0"/>
          <c:showCatName val="0"/>
          <c:showSerName val="0"/>
          <c:showPercent val="0"/>
          <c:showBubbleSize val="0"/>
        </c:dLbls>
        <c:gapWidth val="150"/>
        <c:axId val="131340544"/>
        <c:axId val="131342336"/>
      </c:barChart>
      <c:catAx>
        <c:axId val="131340544"/>
        <c:scaling>
          <c:orientation val="minMax"/>
        </c:scaling>
        <c:delete val="0"/>
        <c:axPos val="b"/>
        <c:numFmt formatCode="General" sourceLinked="0"/>
        <c:majorTickMark val="out"/>
        <c:minorTickMark val="none"/>
        <c:tickLblPos val="nextTo"/>
        <c:crossAx val="131342336"/>
        <c:crosses val="autoZero"/>
        <c:auto val="1"/>
        <c:lblAlgn val="ctr"/>
        <c:lblOffset val="100"/>
        <c:noMultiLvlLbl val="0"/>
      </c:catAx>
      <c:valAx>
        <c:axId val="131342336"/>
        <c:scaling>
          <c:orientation val="minMax"/>
        </c:scaling>
        <c:delete val="0"/>
        <c:axPos val="l"/>
        <c:majorGridlines/>
        <c:title>
          <c:tx>
            <c:rich>
              <a:bodyPr/>
              <a:lstStyle/>
              <a:p>
                <a:pPr>
                  <a:defRPr/>
                </a:pPr>
                <a:r>
                  <a:rPr lang="en-US"/>
                  <a:t>MJ/m2</a:t>
                </a:r>
              </a:p>
            </c:rich>
          </c:tx>
          <c:overlay val="0"/>
        </c:title>
        <c:numFmt formatCode="0.0" sourceLinked="1"/>
        <c:majorTickMark val="out"/>
        <c:minorTickMark val="none"/>
        <c:tickLblPos val="nextTo"/>
        <c:crossAx val="131340544"/>
        <c:crosses val="autoZero"/>
        <c:crossBetween val="between"/>
      </c:valAx>
    </c:plotArea>
    <c:plotVisOnly val="1"/>
    <c:dispBlanksAs val="gap"/>
    <c:showDLblsOverMax val="0"/>
  </c:chart>
  <c:spPr>
    <a:ln>
      <a:noFill/>
    </a:ln>
  </c:spPr>
  <c:txPr>
    <a:bodyPr/>
    <a:lstStyle/>
    <a:p>
      <a:pPr>
        <a:defRPr sz="8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Klimakältebedarf - Standardwert</a:t>
            </a:r>
          </a:p>
        </c:rich>
      </c:tx>
      <c:overlay val="0"/>
    </c:title>
    <c:autoTitleDeleted val="0"/>
    <c:plotArea>
      <c:layout/>
      <c:barChart>
        <c:barDir val="col"/>
        <c:grouping val="clustered"/>
        <c:varyColors val="0"/>
        <c:ser>
          <c:idx val="0"/>
          <c:order val="0"/>
          <c:tx>
            <c:strRef>
              <c:f>'SIA 380-1_Qc'!$B$137</c:f>
              <c:strCache>
                <c:ptCount val="1"/>
                <c:pt idx="0">
                  <c:v>Klimakältebedarf Qc</c:v>
                </c:pt>
              </c:strCache>
            </c:strRef>
          </c:tx>
          <c:spPr>
            <a:solidFill>
              <a:srgbClr val="0070C0"/>
            </a:solidFill>
          </c:spPr>
          <c:invertIfNegative val="0"/>
          <c:cat>
            <c:strRef>
              <c:f>'SIA 380-1_Qc'!$D$68:$O$68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cat>
          <c:val>
            <c:numRef>
              <c:f>'SIA 380-1_Qc'!$D$137:$O$137</c:f>
              <c:numCache>
                <c:formatCode>0.0</c:formatCode>
                <c:ptCount val="12"/>
                <c:pt idx="0">
                  <c:v>0</c:v>
                </c:pt>
                <c:pt idx="1">
                  <c:v>0</c:v>
                </c:pt>
                <c:pt idx="2">
                  <c:v>0</c:v>
                </c:pt>
                <c:pt idx="3">
                  <c:v>0</c:v>
                </c:pt>
                <c:pt idx="4">
                  <c:v>0</c:v>
                </c:pt>
                <c:pt idx="5">
                  <c:v>3.6732075472664896</c:v>
                </c:pt>
                <c:pt idx="6">
                  <c:v>7.4899478994941386</c:v>
                </c:pt>
                <c:pt idx="7">
                  <c:v>6.7784184877294305</c:v>
                </c:pt>
                <c:pt idx="8">
                  <c:v>0</c:v>
                </c:pt>
                <c:pt idx="9">
                  <c:v>0</c:v>
                </c:pt>
                <c:pt idx="10">
                  <c:v>0</c:v>
                </c:pt>
                <c:pt idx="11">
                  <c:v>0</c:v>
                </c:pt>
              </c:numCache>
            </c:numRef>
          </c:val>
          <c:extLst>
            <c:ext xmlns:c16="http://schemas.microsoft.com/office/drawing/2014/chart" uri="{C3380CC4-5D6E-409C-BE32-E72D297353CC}">
              <c16:uniqueId val="{00000000-0BF0-4438-86BC-C9BAD81AC10A}"/>
            </c:ext>
          </c:extLst>
        </c:ser>
        <c:ser>
          <c:idx val="1"/>
          <c:order val="1"/>
          <c:tx>
            <c:strRef>
              <c:f>'SIA 380-1_Qc'!$B$135</c:f>
              <c:strCache>
                <c:ptCount val="1"/>
                <c:pt idx="0">
                  <c:v>Gesamtwärmeverlust Qt:</c:v>
                </c:pt>
              </c:strCache>
            </c:strRef>
          </c:tx>
          <c:spPr>
            <a:solidFill>
              <a:schemeClr val="bg1">
                <a:lumMod val="65000"/>
              </a:schemeClr>
            </a:solidFill>
          </c:spPr>
          <c:invertIfNegative val="0"/>
          <c:val>
            <c:numRef>
              <c:f>'SIA 380-1_Qc'!$D$135:$O$135</c:f>
              <c:numCache>
                <c:formatCode>0.0</c:formatCode>
                <c:ptCount val="12"/>
                <c:pt idx="0">
                  <c:v>37.853020911569757</c:v>
                </c:pt>
                <c:pt idx="1">
                  <c:v>32.522028981458831</c:v>
                </c:pt>
                <c:pt idx="2">
                  <c:v>30.005443405512608</c:v>
                </c:pt>
                <c:pt idx="3">
                  <c:v>24.719124592134463</c:v>
                </c:pt>
                <c:pt idx="4">
                  <c:v>17.849391974561346</c:v>
                </c:pt>
                <c:pt idx="5">
                  <c:v>13.104114241613448</c:v>
                </c:pt>
                <c:pt idx="6">
                  <c:v>10.155688537250425</c:v>
                </c:pt>
                <c:pt idx="7">
                  <c:v>10.155688537250425</c:v>
                </c:pt>
                <c:pt idx="8">
                  <c:v>16.38014280201681</c:v>
                </c:pt>
                <c:pt idx="9">
                  <c:v>23.234984380678995</c:v>
                </c:pt>
                <c:pt idx="10">
                  <c:v>30.973360934722699</c:v>
                </c:pt>
                <c:pt idx="11">
                  <c:v>35.698783949122692</c:v>
                </c:pt>
              </c:numCache>
            </c:numRef>
          </c:val>
          <c:extLst>
            <c:ext xmlns:c16="http://schemas.microsoft.com/office/drawing/2014/chart" uri="{C3380CC4-5D6E-409C-BE32-E72D297353CC}">
              <c16:uniqueId val="{00000001-0BF0-4438-86BC-C9BAD81AC10A}"/>
            </c:ext>
          </c:extLst>
        </c:ser>
        <c:ser>
          <c:idx val="2"/>
          <c:order val="2"/>
          <c:tx>
            <c:strRef>
              <c:f>'SIA 380-1_Qc'!$B$136</c:f>
              <c:strCache>
                <c:ptCount val="1"/>
                <c:pt idx="0">
                  <c:v>Wärmegewinne total Qg:</c:v>
                </c:pt>
              </c:strCache>
            </c:strRef>
          </c:tx>
          <c:spPr>
            <a:solidFill>
              <a:srgbClr val="FFC000"/>
            </a:solidFill>
          </c:spPr>
          <c:invertIfNegative val="0"/>
          <c:val>
            <c:numRef>
              <c:f>'SIA 380-1_Qc'!$D$136:$O$136</c:f>
              <c:numCache>
                <c:formatCode>0.0</c:formatCode>
                <c:ptCount val="12"/>
                <c:pt idx="0">
                  <c:v>12.153518789685739</c:v>
                </c:pt>
                <c:pt idx="1">
                  <c:v>12.105633669621277</c:v>
                </c:pt>
                <c:pt idx="2">
                  <c:v>14.777283495568092</c:v>
                </c:pt>
                <c:pt idx="3">
                  <c:v>15.17638061240935</c:v>
                </c:pt>
                <c:pt idx="4">
                  <c:v>16.75622467203868</c:v>
                </c:pt>
                <c:pt idx="5">
                  <c:v>16.777321788879938</c:v>
                </c:pt>
                <c:pt idx="6">
                  <c:v>17.645636436744564</c:v>
                </c:pt>
                <c:pt idx="7">
                  <c:v>16.934107024979856</c:v>
                </c:pt>
                <c:pt idx="8">
                  <c:v>14.887321788879937</c:v>
                </c:pt>
                <c:pt idx="9">
                  <c:v>13.532107024979858</c:v>
                </c:pt>
                <c:pt idx="10">
                  <c:v>11.707674730056407</c:v>
                </c:pt>
                <c:pt idx="11">
                  <c:v>11.686577613215151</c:v>
                </c:pt>
              </c:numCache>
            </c:numRef>
          </c:val>
          <c:extLst>
            <c:ext xmlns:c16="http://schemas.microsoft.com/office/drawing/2014/chart" uri="{C3380CC4-5D6E-409C-BE32-E72D297353CC}">
              <c16:uniqueId val="{00000002-0BF0-4438-86BC-C9BAD81AC10A}"/>
            </c:ext>
          </c:extLst>
        </c:ser>
        <c:dLbls>
          <c:showLegendKey val="0"/>
          <c:showVal val="0"/>
          <c:showCatName val="0"/>
          <c:showSerName val="0"/>
          <c:showPercent val="0"/>
          <c:showBubbleSize val="0"/>
        </c:dLbls>
        <c:gapWidth val="150"/>
        <c:axId val="130826240"/>
        <c:axId val="130827776"/>
      </c:barChart>
      <c:catAx>
        <c:axId val="130826240"/>
        <c:scaling>
          <c:orientation val="minMax"/>
        </c:scaling>
        <c:delete val="0"/>
        <c:axPos val="b"/>
        <c:numFmt formatCode="General" sourceLinked="0"/>
        <c:majorTickMark val="out"/>
        <c:minorTickMark val="none"/>
        <c:tickLblPos val="nextTo"/>
        <c:crossAx val="130827776"/>
        <c:crosses val="autoZero"/>
        <c:auto val="1"/>
        <c:lblAlgn val="ctr"/>
        <c:lblOffset val="100"/>
        <c:noMultiLvlLbl val="0"/>
      </c:catAx>
      <c:valAx>
        <c:axId val="130827776"/>
        <c:scaling>
          <c:orientation val="minMax"/>
        </c:scaling>
        <c:delete val="0"/>
        <c:axPos val="l"/>
        <c:majorGridlines/>
        <c:title>
          <c:tx>
            <c:rich>
              <a:bodyPr rot="-5400000" vert="horz"/>
              <a:lstStyle/>
              <a:p>
                <a:pPr>
                  <a:defRPr b="0"/>
                </a:pPr>
                <a:r>
                  <a:rPr lang="en-US" b="0"/>
                  <a:t>MJ/m</a:t>
                </a:r>
                <a:r>
                  <a:rPr lang="en-US" b="0" baseline="30000"/>
                  <a:t>2</a:t>
                </a:r>
              </a:p>
            </c:rich>
          </c:tx>
          <c:overlay val="0"/>
        </c:title>
        <c:numFmt formatCode="0.0" sourceLinked="1"/>
        <c:majorTickMark val="out"/>
        <c:minorTickMark val="none"/>
        <c:tickLblPos val="nextTo"/>
        <c:crossAx val="130826240"/>
        <c:crosses val="autoZero"/>
        <c:crossBetween val="between"/>
      </c:valAx>
    </c:plotArea>
    <c:plotVisOnly val="1"/>
    <c:dispBlanksAs val="gap"/>
    <c:showDLblsOverMax val="0"/>
  </c:chart>
  <c:spPr>
    <a:ln>
      <a:noFill/>
    </a:ln>
  </c:spPr>
  <c:txPr>
    <a:bodyPr/>
    <a:lstStyle/>
    <a:p>
      <a:pPr>
        <a:defRPr sz="8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Klimakältebedarf - Standardwert</a:t>
            </a:r>
          </a:p>
        </c:rich>
      </c:tx>
      <c:overlay val="0"/>
    </c:title>
    <c:autoTitleDeleted val="0"/>
    <c:plotArea>
      <c:layout/>
      <c:barChart>
        <c:barDir val="col"/>
        <c:grouping val="clustered"/>
        <c:varyColors val="0"/>
        <c:ser>
          <c:idx val="0"/>
          <c:order val="0"/>
          <c:tx>
            <c:strRef>
              <c:f>'SIA 380-1_Qc'!$B$137</c:f>
              <c:strCache>
                <c:ptCount val="1"/>
                <c:pt idx="0">
                  <c:v>Klimakältebedarf Qc</c:v>
                </c:pt>
              </c:strCache>
            </c:strRef>
          </c:tx>
          <c:spPr>
            <a:solidFill>
              <a:srgbClr val="0070C0"/>
            </a:solidFill>
          </c:spPr>
          <c:invertIfNegative val="0"/>
          <c:cat>
            <c:strRef>
              <c:f>'SIA 380-1_Qc'!$D$68:$O$68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cat>
          <c:val>
            <c:numRef>
              <c:f>'SIA 380-1_Qc'!$X$137:$AI$137</c:f>
              <c:numCache>
                <c:formatCode>0.0</c:formatCode>
                <c:ptCount val="12"/>
                <c:pt idx="0">
                  <c:v>0</c:v>
                </c:pt>
                <c:pt idx="1">
                  <c:v>0</c:v>
                </c:pt>
                <c:pt idx="2">
                  <c:v>0</c:v>
                </c:pt>
                <c:pt idx="3">
                  <c:v>0</c:v>
                </c:pt>
                <c:pt idx="4">
                  <c:v>0</c:v>
                </c:pt>
                <c:pt idx="5">
                  <c:v>-1.020335429796247</c:v>
                </c:pt>
                <c:pt idx="6">
                  <c:v>-2.0805410831928164</c:v>
                </c:pt>
                <c:pt idx="7">
                  <c:v>-1.8828940243692862</c:v>
                </c:pt>
                <c:pt idx="8">
                  <c:v>0</c:v>
                </c:pt>
                <c:pt idx="9">
                  <c:v>0</c:v>
                </c:pt>
                <c:pt idx="10">
                  <c:v>0</c:v>
                </c:pt>
                <c:pt idx="11">
                  <c:v>0</c:v>
                </c:pt>
              </c:numCache>
            </c:numRef>
          </c:val>
          <c:extLst>
            <c:ext xmlns:c16="http://schemas.microsoft.com/office/drawing/2014/chart" uri="{C3380CC4-5D6E-409C-BE32-E72D297353CC}">
              <c16:uniqueId val="{00000000-227B-4E9C-B610-341814032B84}"/>
            </c:ext>
          </c:extLst>
        </c:ser>
        <c:ser>
          <c:idx val="1"/>
          <c:order val="1"/>
          <c:tx>
            <c:strRef>
              <c:f>'SIA 380-1_Qc'!$B$135</c:f>
              <c:strCache>
                <c:ptCount val="1"/>
                <c:pt idx="0">
                  <c:v>Gesamtwärmeverlust Qt:</c:v>
                </c:pt>
              </c:strCache>
            </c:strRef>
          </c:tx>
          <c:spPr>
            <a:solidFill>
              <a:schemeClr val="bg1">
                <a:lumMod val="65000"/>
              </a:schemeClr>
            </a:solidFill>
          </c:spPr>
          <c:invertIfNegative val="0"/>
          <c:val>
            <c:numRef>
              <c:f>'SIA 380-1_Qc'!$X$135:$AI$135</c:f>
              <c:numCache>
                <c:formatCode>0.0</c:formatCode>
                <c:ptCount val="12"/>
                <c:pt idx="0">
                  <c:v>-10.514728030991598</c:v>
                </c:pt>
                <c:pt idx="1">
                  <c:v>-9.0338969392941202</c:v>
                </c:pt>
                <c:pt idx="2">
                  <c:v>-8.3348453904201687</c:v>
                </c:pt>
                <c:pt idx="3">
                  <c:v>-6.8664234978151288</c:v>
                </c:pt>
                <c:pt idx="4">
                  <c:v>-4.9581644373781515</c:v>
                </c:pt>
                <c:pt idx="5">
                  <c:v>-3.6400317337815133</c:v>
                </c:pt>
                <c:pt idx="6">
                  <c:v>-2.8210245936806735</c:v>
                </c:pt>
                <c:pt idx="7">
                  <c:v>-2.8210245936806735</c:v>
                </c:pt>
                <c:pt idx="8">
                  <c:v>-4.5500396672268915</c:v>
                </c:pt>
                <c:pt idx="9">
                  <c:v>-6.4541623279663876</c:v>
                </c:pt>
                <c:pt idx="10">
                  <c:v>-8.6037113707563044</c:v>
                </c:pt>
                <c:pt idx="11">
                  <c:v>-9.916328874756303</c:v>
                </c:pt>
              </c:numCache>
            </c:numRef>
          </c:val>
          <c:extLst>
            <c:ext xmlns:c16="http://schemas.microsoft.com/office/drawing/2014/chart" uri="{C3380CC4-5D6E-409C-BE32-E72D297353CC}">
              <c16:uniqueId val="{00000001-227B-4E9C-B610-341814032B84}"/>
            </c:ext>
          </c:extLst>
        </c:ser>
        <c:ser>
          <c:idx val="2"/>
          <c:order val="2"/>
          <c:tx>
            <c:strRef>
              <c:f>'SIA 380-1_Qc'!$B$136</c:f>
              <c:strCache>
                <c:ptCount val="1"/>
                <c:pt idx="0">
                  <c:v>Wärmegewinne total Qg:</c:v>
                </c:pt>
              </c:strCache>
            </c:strRef>
          </c:tx>
          <c:spPr>
            <a:solidFill>
              <a:srgbClr val="FFC000"/>
            </a:solidFill>
          </c:spPr>
          <c:invertIfNegative val="0"/>
          <c:val>
            <c:numRef>
              <c:f>'SIA 380-1_Qc'!$X$136:$AI$136</c:f>
              <c:numCache>
                <c:formatCode>0.0</c:formatCode>
                <c:ptCount val="12"/>
                <c:pt idx="0">
                  <c:v>3.375977441579372</c:v>
                </c:pt>
                <c:pt idx="1">
                  <c:v>3.3626760193392435</c:v>
                </c:pt>
                <c:pt idx="2">
                  <c:v>4.1048009709911364</c:v>
                </c:pt>
                <c:pt idx="3">
                  <c:v>4.2156612812248193</c:v>
                </c:pt>
                <c:pt idx="4">
                  <c:v>4.6545068533440777</c:v>
                </c:pt>
                <c:pt idx="5">
                  <c:v>4.6603671635777602</c:v>
                </c:pt>
                <c:pt idx="6">
                  <c:v>4.9015656768734894</c:v>
                </c:pt>
                <c:pt idx="7">
                  <c:v>4.7039186180499595</c:v>
                </c:pt>
                <c:pt idx="8">
                  <c:v>4.1353671635777607</c:v>
                </c:pt>
                <c:pt idx="9">
                  <c:v>3.7589186180499605</c:v>
                </c:pt>
                <c:pt idx="10">
                  <c:v>3.2521318694601131</c:v>
                </c:pt>
                <c:pt idx="11">
                  <c:v>3.2462715592264306</c:v>
                </c:pt>
              </c:numCache>
            </c:numRef>
          </c:val>
          <c:extLst>
            <c:ext xmlns:c16="http://schemas.microsoft.com/office/drawing/2014/chart" uri="{C3380CC4-5D6E-409C-BE32-E72D297353CC}">
              <c16:uniqueId val="{00000002-227B-4E9C-B610-341814032B84}"/>
            </c:ext>
          </c:extLst>
        </c:ser>
        <c:dLbls>
          <c:showLegendKey val="0"/>
          <c:showVal val="0"/>
          <c:showCatName val="0"/>
          <c:showSerName val="0"/>
          <c:showPercent val="0"/>
          <c:showBubbleSize val="0"/>
        </c:dLbls>
        <c:gapWidth val="150"/>
        <c:axId val="130826240"/>
        <c:axId val="130827776"/>
      </c:barChart>
      <c:catAx>
        <c:axId val="130826240"/>
        <c:scaling>
          <c:orientation val="minMax"/>
        </c:scaling>
        <c:delete val="0"/>
        <c:axPos val="b"/>
        <c:numFmt formatCode="General" sourceLinked="0"/>
        <c:majorTickMark val="out"/>
        <c:minorTickMark val="none"/>
        <c:tickLblPos val="nextTo"/>
        <c:crossAx val="130827776"/>
        <c:crosses val="autoZero"/>
        <c:auto val="1"/>
        <c:lblAlgn val="ctr"/>
        <c:lblOffset val="100"/>
        <c:noMultiLvlLbl val="0"/>
      </c:catAx>
      <c:valAx>
        <c:axId val="130827776"/>
        <c:scaling>
          <c:orientation val="minMax"/>
        </c:scaling>
        <c:delete val="0"/>
        <c:axPos val="l"/>
        <c:majorGridlines/>
        <c:title>
          <c:tx>
            <c:rich>
              <a:bodyPr rot="-5400000" vert="horz"/>
              <a:lstStyle/>
              <a:p>
                <a:pPr>
                  <a:defRPr b="0"/>
                </a:pPr>
                <a:r>
                  <a:rPr lang="en-US" b="0"/>
                  <a:t>kWh//m</a:t>
                </a:r>
                <a:r>
                  <a:rPr lang="en-US" b="0" baseline="30000"/>
                  <a:t>2</a:t>
                </a:r>
              </a:p>
            </c:rich>
          </c:tx>
          <c:overlay val="0"/>
        </c:title>
        <c:numFmt formatCode="0.0" sourceLinked="1"/>
        <c:majorTickMark val="out"/>
        <c:minorTickMark val="none"/>
        <c:tickLblPos val="nextTo"/>
        <c:crossAx val="130826240"/>
        <c:crosses val="autoZero"/>
        <c:crossBetween val="between"/>
      </c:valAx>
    </c:plotArea>
    <c:legend>
      <c:legendPos val="b"/>
      <c:overlay val="0"/>
    </c:legend>
    <c:plotVisOnly val="1"/>
    <c:dispBlanksAs val="gap"/>
    <c:showDLblsOverMax val="0"/>
  </c:chart>
  <c:spPr>
    <a:ln>
      <a:noFill/>
    </a:ln>
  </c:spPr>
  <c:txPr>
    <a:bodyPr/>
    <a:lstStyle/>
    <a:p>
      <a:pPr>
        <a:defRPr sz="8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Heizwärmebedarf - Standardwert</a:t>
            </a:r>
          </a:p>
        </c:rich>
      </c:tx>
      <c:overlay val="0"/>
    </c:title>
    <c:autoTitleDeleted val="0"/>
    <c:plotArea>
      <c:layout/>
      <c:barChart>
        <c:barDir val="col"/>
        <c:grouping val="clustered"/>
        <c:varyColors val="0"/>
        <c:ser>
          <c:idx val="0"/>
          <c:order val="0"/>
          <c:tx>
            <c:strRef>
              <c:f>'SIA 380-1_EN'!$D$68:$O$68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tx>
          <c:spPr>
            <a:solidFill>
              <a:schemeClr val="accent2"/>
            </a:solidFill>
          </c:spPr>
          <c:invertIfNegative val="0"/>
          <c:cat>
            <c:strRef>
              <c:f>'SIA 380-1_EN'!$D$68:$O$68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cat>
          <c:val>
            <c:numRef>
              <c:f>'SIA 380-1_EN'!$D$133:$O$133</c:f>
              <c:numCache>
                <c:formatCode>0.0</c:formatCode>
                <c:ptCount val="12"/>
                <c:pt idx="0">
                  <c:v>14.966779615335167</c:v>
                </c:pt>
                <c:pt idx="1">
                  <c:v>8.1128461137110186</c:v>
                </c:pt>
                <c:pt idx="2">
                  <c:v>1.5073894648858541</c:v>
                </c:pt>
                <c:pt idx="3">
                  <c:v>2.2684156163710689</c:v>
                </c:pt>
                <c:pt idx="4">
                  <c:v>2.9510858381460281E-2</c:v>
                </c:pt>
                <c:pt idx="5">
                  <c:v>1.0294851048424647E-3</c:v>
                </c:pt>
                <c:pt idx="6">
                  <c:v>1.0281821420932147E-5</c:v>
                </c:pt>
                <c:pt idx="7">
                  <c:v>1.1372965976974569E-5</c:v>
                </c:pt>
                <c:pt idx="8">
                  <c:v>3.014481718155082E-2</c:v>
                </c:pt>
                <c:pt idx="9">
                  <c:v>0.27865631742694319</c:v>
                </c:pt>
                <c:pt idx="10">
                  <c:v>9.1643236109571724</c:v>
                </c:pt>
                <c:pt idx="11">
                  <c:v>14.195355621163699</c:v>
                </c:pt>
              </c:numCache>
            </c:numRef>
          </c:val>
          <c:extLst>
            <c:ext xmlns:c16="http://schemas.microsoft.com/office/drawing/2014/chart" uri="{C3380CC4-5D6E-409C-BE32-E72D297353CC}">
              <c16:uniqueId val="{00000000-66C2-4D23-9294-8C572DC86D9B}"/>
            </c:ext>
          </c:extLst>
        </c:ser>
        <c:dLbls>
          <c:showLegendKey val="0"/>
          <c:showVal val="0"/>
          <c:showCatName val="0"/>
          <c:showSerName val="0"/>
          <c:showPercent val="0"/>
          <c:showBubbleSize val="0"/>
        </c:dLbls>
        <c:gapWidth val="150"/>
        <c:axId val="131340544"/>
        <c:axId val="131342336"/>
      </c:barChart>
      <c:catAx>
        <c:axId val="131340544"/>
        <c:scaling>
          <c:orientation val="minMax"/>
        </c:scaling>
        <c:delete val="0"/>
        <c:axPos val="b"/>
        <c:numFmt formatCode="General" sourceLinked="0"/>
        <c:majorTickMark val="out"/>
        <c:minorTickMark val="none"/>
        <c:tickLblPos val="nextTo"/>
        <c:crossAx val="131342336"/>
        <c:crosses val="autoZero"/>
        <c:auto val="1"/>
        <c:lblAlgn val="ctr"/>
        <c:lblOffset val="100"/>
        <c:noMultiLvlLbl val="0"/>
      </c:catAx>
      <c:valAx>
        <c:axId val="131342336"/>
        <c:scaling>
          <c:orientation val="minMax"/>
        </c:scaling>
        <c:delete val="0"/>
        <c:axPos val="l"/>
        <c:majorGridlines/>
        <c:title>
          <c:tx>
            <c:rich>
              <a:bodyPr/>
              <a:lstStyle/>
              <a:p>
                <a:pPr>
                  <a:defRPr/>
                </a:pPr>
                <a:r>
                  <a:rPr lang="en-US"/>
                  <a:t>MJ/m2</a:t>
                </a:r>
              </a:p>
            </c:rich>
          </c:tx>
          <c:overlay val="0"/>
        </c:title>
        <c:numFmt formatCode="0.0" sourceLinked="1"/>
        <c:majorTickMark val="out"/>
        <c:minorTickMark val="none"/>
        <c:tickLblPos val="nextTo"/>
        <c:crossAx val="131340544"/>
        <c:crosses val="autoZero"/>
        <c:crossBetween val="between"/>
      </c:valAx>
    </c:plotArea>
    <c:plotVisOnly val="1"/>
    <c:dispBlanksAs val="gap"/>
    <c:showDLblsOverMax val="0"/>
  </c:chart>
  <c:spPr>
    <a:ln>
      <a:noFill/>
    </a:ln>
  </c:spPr>
  <c:txPr>
    <a:bodyPr/>
    <a:lstStyle/>
    <a:p>
      <a:pPr>
        <a:defRPr sz="8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Klimakältebedarf - Standardwert</a:t>
            </a:r>
          </a:p>
        </c:rich>
      </c:tx>
      <c:overlay val="0"/>
    </c:title>
    <c:autoTitleDeleted val="0"/>
    <c:plotArea>
      <c:layout/>
      <c:barChart>
        <c:barDir val="col"/>
        <c:grouping val="clustered"/>
        <c:varyColors val="0"/>
        <c:ser>
          <c:idx val="0"/>
          <c:order val="0"/>
          <c:tx>
            <c:strRef>
              <c:f>'SIA 380-1_Qc_EN'!$D$68:$O$68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tx>
          <c:spPr>
            <a:solidFill>
              <a:srgbClr val="0070C0"/>
            </a:solidFill>
          </c:spPr>
          <c:invertIfNegative val="0"/>
          <c:cat>
            <c:strRef>
              <c:f>'SIA 380-1_Qc_EN'!$D$68:$O$68</c:f>
              <c:strCache>
                <c:ptCount val="12"/>
                <c:pt idx="0">
                  <c:v>Jan</c:v>
                </c:pt>
                <c:pt idx="1">
                  <c:v>Feb</c:v>
                </c:pt>
                <c:pt idx="2">
                  <c:v>Mär</c:v>
                </c:pt>
                <c:pt idx="3">
                  <c:v>Apr</c:v>
                </c:pt>
                <c:pt idx="4">
                  <c:v>Mai</c:v>
                </c:pt>
                <c:pt idx="5">
                  <c:v>Jun</c:v>
                </c:pt>
                <c:pt idx="6">
                  <c:v>Jul</c:v>
                </c:pt>
                <c:pt idx="7">
                  <c:v>Aug</c:v>
                </c:pt>
                <c:pt idx="8">
                  <c:v>Sep</c:v>
                </c:pt>
                <c:pt idx="9">
                  <c:v>Okt</c:v>
                </c:pt>
                <c:pt idx="10">
                  <c:v>Nov</c:v>
                </c:pt>
                <c:pt idx="11">
                  <c:v>Dez</c:v>
                </c:pt>
              </c:strCache>
            </c:strRef>
          </c:cat>
          <c:val>
            <c:numRef>
              <c:f>'SIA 380-1_Qc_EN'!$D$137:$O$137</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D66-4C10-963C-BA8930BD36AD}"/>
            </c:ext>
          </c:extLst>
        </c:ser>
        <c:dLbls>
          <c:showLegendKey val="0"/>
          <c:showVal val="0"/>
          <c:showCatName val="0"/>
          <c:showSerName val="0"/>
          <c:showPercent val="0"/>
          <c:showBubbleSize val="0"/>
        </c:dLbls>
        <c:gapWidth val="150"/>
        <c:axId val="131703552"/>
        <c:axId val="131705088"/>
      </c:barChart>
      <c:catAx>
        <c:axId val="131703552"/>
        <c:scaling>
          <c:orientation val="minMax"/>
        </c:scaling>
        <c:delete val="0"/>
        <c:axPos val="b"/>
        <c:numFmt formatCode="General" sourceLinked="0"/>
        <c:majorTickMark val="out"/>
        <c:minorTickMark val="none"/>
        <c:tickLblPos val="nextTo"/>
        <c:crossAx val="131705088"/>
        <c:crosses val="autoZero"/>
        <c:auto val="1"/>
        <c:lblAlgn val="ctr"/>
        <c:lblOffset val="100"/>
        <c:noMultiLvlLbl val="0"/>
      </c:catAx>
      <c:valAx>
        <c:axId val="131705088"/>
        <c:scaling>
          <c:orientation val="minMax"/>
        </c:scaling>
        <c:delete val="0"/>
        <c:axPos val="l"/>
        <c:majorGridlines/>
        <c:title>
          <c:tx>
            <c:rich>
              <a:bodyPr rot="-5400000" vert="horz"/>
              <a:lstStyle/>
              <a:p>
                <a:pPr>
                  <a:defRPr/>
                </a:pPr>
                <a:r>
                  <a:rPr lang="en-US"/>
                  <a:t>MJ/m</a:t>
                </a:r>
                <a:r>
                  <a:rPr lang="en-US" baseline="30000"/>
                  <a:t>2</a:t>
                </a:r>
              </a:p>
            </c:rich>
          </c:tx>
          <c:overlay val="0"/>
        </c:title>
        <c:numFmt formatCode="0.0" sourceLinked="1"/>
        <c:majorTickMark val="out"/>
        <c:minorTickMark val="none"/>
        <c:tickLblPos val="nextTo"/>
        <c:crossAx val="131703552"/>
        <c:crosses val="autoZero"/>
        <c:crossBetween val="between"/>
      </c:valAx>
    </c:plotArea>
    <c:plotVisOnly val="1"/>
    <c:dispBlanksAs val="gap"/>
    <c:showDLblsOverMax val="0"/>
  </c:chart>
  <c:spPr>
    <a:ln>
      <a:noFill/>
    </a:ln>
  </c:spPr>
  <c:txPr>
    <a:bodyPr/>
    <a:lstStyle/>
    <a:p>
      <a:pPr>
        <a:defRPr sz="8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Lines="3" dropStyle="combo" dx="31" fmlaLink="$D$6" fmlaRange="$G$4:$G$6" noThreeD="1" sel="1" val="0"/>
</file>

<file path=xl/ctrlProps/ctrlProp2.xml><?xml version="1.0" encoding="utf-8"?>
<formControlPr xmlns="http://schemas.microsoft.com/office/spreadsheetml/2009/9/main" objectType="Drop" dropStyle="combo" dx="16" fmlaLink="nutzid" fmlaRange="Eingabedaten!$C$9:$C$53" noThreeD="1" sel="1" val="0"/>
</file>

<file path=xl/ctrlProps/ctrlProp3.xml><?xml version="1.0" encoding="utf-8"?>
<formControlPr xmlns="http://schemas.microsoft.com/office/spreadsheetml/2009/9/main" objectType="Spin" dx="16" fmlaLink="F1" max="43" min="1" page="10"/>
</file>

<file path=xl/ctrlProps/ctrlProp4.xml><?xml version="1.0" encoding="utf-8"?>
<formControlPr xmlns="http://schemas.microsoft.com/office/spreadsheetml/2009/9/main" objectType="Spin" dx="16" fmlaLink="nutzid" max="45" min="1" page="10"/>
</file>

<file path=xl/ctrlProps/ctrlProp5.xml><?xml version="1.0" encoding="utf-8"?>
<formControlPr xmlns="http://schemas.microsoft.com/office/spreadsheetml/2009/9/main" objectType="Drop" dropStyle="combo" dx="16" fmlaRange="Winter_Auslegung!$A$5:$A$44" noThreeD="1" sel="40" val="32"/>
</file>

<file path=xl/ctrlProps/ctrlProp6.xml><?xml version="1.0" encoding="utf-8"?>
<formControlPr xmlns="http://schemas.microsoft.com/office/spreadsheetml/2009/9/main" objectType="Drop" dropStyle="combo" dx="16" fmlaLink="nutzid" fmlaRange="Eingabedaten!$C$9:$C$54" noThreeD="1" sel="1" val="38"/>
</file>

<file path=xl/ctrlProps/ctrlProp7.xml><?xml version="1.0" encoding="utf-8"?>
<formControlPr xmlns="http://schemas.microsoft.com/office/spreadsheetml/2009/9/main" objectType="Spin" dx="16" fmlaLink="nutzid" max="45" min="1" page="10"/>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Drop" dropStyle="combo" dx="16" fmlaLink="nutzid" fmlaRange="Eingabedaten!$C$9:$C$54" noThreeD="1" sel="1" val="0"/>
</file>

<file path=xl/ctrlProps/ctrlProp11.xml><?xml version="1.0" encoding="utf-8"?>
<formControlPr xmlns="http://schemas.microsoft.com/office/spreadsheetml/2009/9/main" objectType="Spin" dx="16" fmlaLink="nutzid" max="45" min="1" page="10"/>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Drop" dropStyle="combo" dx="16" fmlaLink="G1" fmlaRange="Winter_Auslegung!$A$5:$A$44" noThreeD="1" sel="1" val="0"/>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34.xml"/><Relationship Id="rId13" Type="http://schemas.openxmlformats.org/officeDocument/2006/relationships/chart" Target="../charts/chart39.xml"/><Relationship Id="rId18" Type="http://schemas.openxmlformats.org/officeDocument/2006/relationships/chart" Target="../charts/chart44.xml"/><Relationship Id="rId3" Type="http://schemas.openxmlformats.org/officeDocument/2006/relationships/chart" Target="../charts/chart29.xml"/><Relationship Id="rId21" Type="http://schemas.openxmlformats.org/officeDocument/2006/relationships/chart" Target="../charts/chart47.xml"/><Relationship Id="rId7" Type="http://schemas.openxmlformats.org/officeDocument/2006/relationships/chart" Target="../charts/chart33.xml"/><Relationship Id="rId12" Type="http://schemas.openxmlformats.org/officeDocument/2006/relationships/chart" Target="../charts/chart38.xml"/><Relationship Id="rId17" Type="http://schemas.openxmlformats.org/officeDocument/2006/relationships/chart" Target="../charts/chart43.xml"/><Relationship Id="rId2" Type="http://schemas.openxmlformats.org/officeDocument/2006/relationships/chart" Target="../charts/chart28.xml"/><Relationship Id="rId16" Type="http://schemas.openxmlformats.org/officeDocument/2006/relationships/chart" Target="../charts/chart42.xml"/><Relationship Id="rId20" Type="http://schemas.openxmlformats.org/officeDocument/2006/relationships/chart" Target="../charts/chart46.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24" Type="http://schemas.openxmlformats.org/officeDocument/2006/relationships/chart" Target="../charts/chart50.xml"/><Relationship Id="rId5" Type="http://schemas.openxmlformats.org/officeDocument/2006/relationships/chart" Target="../charts/chart31.xml"/><Relationship Id="rId15" Type="http://schemas.openxmlformats.org/officeDocument/2006/relationships/chart" Target="../charts/chart41.xml"/><Relationship Id="rId23" Type="http://schemas.openxmlformats.org/officeDocument/2006/relationships/chart" Target="../charts/chart49.xml"/><Relationship Id="rId10" Type="http://schemas.openxmlformats.org/officeDocument/2006/relationships/chart" Target="../charts/chart36.xml"/><Relationship Id="rId19" Type="http://schemas.openxmlformats.org/officeDocument/2006/relationships/chart" Target="../charts/chart45.xml"/><Relationship Id="rId4" Type="http://schemas.openxmlformats.org/officeDocument/2006/relationships/chart" Target="../charts/chart30.xml"/><Relationship Id="rId9" Type="http://schemas.openxmlformats.org/officeDocument/2006/relationships/chart" Target="../charts/chart35.xml"/><Relationship Id="rId14" Type="http://schemas.openxmlformats.org/officeDocument/2006/relationships/chart" Target="../charts/chart40.xml"/><Relationship Id="rId22" Type="http://schemas.openxmlformats.org/officeDocument/2006/relationships/chart" Target="../charts/chart4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58.xml"/><Relationship Id="rId13" Type="http://schemas.openxmlformats.org/officeDocument/2006/relationships/chart" Target="../charts/chart63.xml"/><Relationship Id="rId18" Type="http://schemas.openxmlformats.org/officeDocument/2006/relationships/chart" Target="../charts/chart68.xml"/><Relationship Id="rId3" Type="http://schemas.openxmlformats.org/officeDocument/2006/relationships/chart" Target="../charts/chart53.xml"/><Relationship Id="rId21" Type="http://schemas.openxmlformats.org/officeDocument/2006/relationships/chart" Target="../charts/chart71.xml"/><Relationship Id="rId7" Type="http://schemas.openxmlformats.org/officeDocument/2006/relationships/chart" Target="../charts/chart57.xml"/><Relationship Id="rId12" Type="http://schemas.openxmlformats.org/officeDocument/2006/relationships/chart" Target="../charts/chart62.xml"/><Relationship Id="rId17" Type="http://schemas.openxmlformats.org/officeDocument/2006/relationships/chart" Target="../charts/chart67.xml"/><Relationship Id="rId2" Type="http://schemas.openxmlformats.org/officeDocument/2006/relationships/chart" Target="../charts/chart52.xml"/><Relationship Id="rId16" Type="http://schemas.openxmlformats.org/officeDocument/2006/relationships/chart" Target="../charts/chart66.xml"/><Relationship Id="rId20" Type="http://schemas.openxmlformats.org/officeDocument/2006/relationships/chart" Target="../charts/chart70.xml"/><Relationship Id="rId1" Type="http://schemas.openxmlformats.org/officeDocument/2006/relationships/chart" Target="../charts/chart51.xml"/><Relationship Id="rId6" Type="http://schemas.openxmlformats.org/officeDocument/2006/relationships/chart" Target="../charts/chart56.xml"/><Relationship Id="rId11" Type="http://schemas.openxmlformats.org/officeDocument/2006/relationships/chart" Target="../charts/chart61.xml"/><Relationship Id="rId24" Type="http://schemas.openxmlformats.org/officeDocument/2006/relationships/chart" Target="../charts/chart74.xml"/><Relationship Id="rId5" Type="http://schemas.openxmlformats.org/officeDocument/2006/relationships/chart" Target="../charts/chart55.xml"/><Relationship Id="rId15" Type="http://schemas.openxmlformats.org/officeDocument/2006/relationships/chart" Target="../charts/chart65.xml"/><Relationship Id="rId23" Type="http://schemas.openxmlformats.org/officeDocument/2006/relationships/chart" Target="../charts/chart73.xml"/><Relationship Id="rId10" Type="http://schemas.openxmlformats.org/officeDocument/2006/relationships/chart" Target="../charts/chart60.xml"/><Relationship Id="rId19" Type="http://schemas.openxmlformats.org/officeDocument/2006/relationships/chart" Target="../charts/chart69.xml"/><Relationship Id="rId4" Type="http://schemas.openxmlformats.org/officeDocument/2006/relationships/chart" Target="../charts/chart54.xml"/><Relationship Id="rId9" Type="http://schemas.openxmlformats.org/officeDocument/2006/relationships/chart" Target="../charts/chart59.xml"/><Relationship Id="rId14" Type="http://schemas.openxmlformats.org/officeDocument/2006/relationships/chart" Target="../charts/chart64.xml"/><Relationship Id="rId22" Type="http://schemas.openxmlformats.org/officeDocument/2006/relationships/chart" Target="../charts/chart7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82.xml"/><Relationship Id="rId13" Type="http://schemas.openxmlformats.org/officeDocument/2006/relationships/chart" Target="../charts/chart87.xml"/><Relationship Id="rId3" Type="http://schemas.openxmlformats.org/officeDocument/2006/relationships/chart" Target="../charts/chart77.xml"/><Relationship Id="rId7" Type="http://schemas.openxmlformats.org/officeDocument/2006/relationships/chart" Target="../charts/chart81.xml"/><Relationship Id="rId12" Type="http://schemas.openxmlformats.org/officeDocument/2006/relationships/chart" Target="../charts/chart86.xml"/><Relationship Id="rId2" Type="http://schemas.openxmlformats.org/officeDocument/2006/relationships/chart" Target="../charts/chart76.xml"/><Relationship Id="rId16" Type="http://schemas.openxmlformats.org/officeDocument/2006/relationships/chart" Target="../charts/chart90.xml"/><Relationship Id="rId1" Type="http://schemas.openxmlformats.org/officeDocument/2006/relationships/chart" Target="../charts/chart75.xml"/><Relationship Id="rId6" Type="http://schemas.openxmlformats.org/officeDocument/2006/relationships/chart" Target="../charts/chart80.xml"/><Relationship Id="rId11" Type="http://schemas.openxmlformats.org/officeDocument/2006/relationships/chart" Target="../charts/chart85.xml"/><Relationship Id="rId5" Type="http://schemas.openxmlformats.org/officeDocument/2006/relationships/chart" Target="../charts/chart79.xml"/><Relationship Id="rId15" Type="http://schemas.openxmlformats.org/officeDocument/2006/relationships/chart" Target="../charts/chart89.xml"/><Relationship Id="rId10" Type="http://schemas.openxmlformats.org/officeDocument/2006/relationships/chart" Target="../charts/chart84.xml"/><Relationship Id="rId4" Type="http://schemas.openxmlformats.org/officeDocument/2006/relationships/chart" Target="../charts/chart78.xml"/><Relationship Id="rId9" Type="http://schemas.openxmlformats.org/officeDocument/2006/relationships/chart" Target="../charts/chart83.xml"/><Relationship Id="rId14" Type="http://schemas.openxmlformats.org/officeDocument/2006/relationships/chart" Target="../charts/chart88.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8.xml"/><Relationship Id="rId13" Type="http://schemas.openxmlformats.org/officeDocument/2006/relationships/chart" Target="../charts/chart103.xml"/><Relationship Id="rId3" Type="http://schemas.openxmlformats.org/officeDocument/2006/relationships/chart" Target="../charts/chart93.xml"/><Relationship Id="rId7" Type="http://schemas.openxmlformats.org/officeDocument/2006/relationships/chart" Target="../charts/chart97.xml"/><Relationship Id="rId12" Type="http://schemas.openxmlformats.org/officeDocument/2006/relationships/chart" Target="../charts/chart102.xml"/><Relationship Id="rId2" Type="http://schemas.openxmlformats.org/officeDocument/2006/relationships/chart" Target="../charts/chart92.xml"/><Relationship Id="rId1" Type="http://schemas.openxmlformats.org/officeDocument/2006/relationships/chart" Target="../charts/chart91.xml"/><Relationship Id="rId6" Type="http://schemas.openxmlformats.org/officeDocument/2006/relationships/chart" Target="../charts/chart96.xml"/><Relationship Id="rId11" Type="http://schemas.openxmlformats.org/officeDocument/2006/relationships/chart" Target="../charts/chart101.xml"/><Relationship Id="rId5" Type="http://schemas.openxmlformats.org/officeDocument/2006/relationships/chart" Target="../charts/chart95.xml"/><Relationship Id="rId15" Type="http://schemas.openxmlformats.org/officeDocument/2006/relationships/chart" Target="../charts/chart105.xml"/><Relationship Id="rId10" Type="http://schemas.openxmlformats.org/officeDocument/2006/relationships/chart" Target="../charts/chart100.xml"/><Relationship Id="rId4" Type="http://schemas.openxmlformats.org/officeDocument/2006/relationships/chart" Target="../charts/chart94.xml"/><Relationship Id="rId9" Type="http://schemas.openxmlformats.org/officeDocument/2006/relationships/chart" Target="../charts/chart99.xml"/><Relationship Id="rId14" Type="http://schemas.openxmlformats.org/officeDocument/2006/relationships/chart" Target="../charts/chart10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13.xml"/><Relationship Id="rId13" Type="http://schemas.openxmlformats.org/officeDocument/2006/relationships/chart" Target="../charts/chart118.xml"/><Relationship Id="rId3" Type="http://schemas.openxmlformats.org/officeDocument/2006/relationships/chart" Target="../charts/chart108.xml"/><Relationship Id="rId7" Type="http://schemas.openxmlformats.org/officeDocument/2006/relationships/chart" Target="../charts/chart112.xml"/><Relationship Id="rId12" Type="http://schemas.openxmlformats.org/officeDocument/2006/relationships/chart" Target="../charts/chart117.xml"/><Relationship Id="rId2" Type="http://schemas.openxmlformats.org/officeDocument/2006/relationships/chart" Target="../charts/chart107.xml"/><Relationship Id="rId16" Type="http://schemas.openxmlformats.org/officeDocument/2006/relationships/chart" Target="../charts/chart121.xml"/><Relationship Id="rId1" Type="http://schemas.openxmlformats.org/officeDocument/2006/relationships/chart" Target="../charts/chart106.xml"/><Relationship Id="rId6" Type="http://schemas.openxmlformats.org/officeDocument/2006/relationships/chart" Target="../charts/chart111.xml"/><Relationship Id="rId11" Type="http://schemas.openxmlformats.org/officeDocument/2006/relationships/chart" Target="../charts/chart116.xml"/><Relationship Id="rId5" Type="http://schemas.openxmlformats.org/officeDocument/2006/relationships/chart" Target="../charts/chart110.xml"/><Relationship Id="rId15" Type="http://schemas.openxmlformats.org/officeDocument/2006/relationships/chart" Target="../charts/chart120.xml"/><Relationship Id="rId10" Type="http://schemas.openxmlformats.org/officeDocument/2006/relationships/chart" Target="../charts/chart115.xml"/><Relationship Id="rId4" Type="http://schemas.openxmlformats.org/officeDocument/2006/relationships/chart" Target="../charts/chart109.xml"/><Relationship Id="rId9" Type="http://schemas.openxmlformats.org/officeDocument/2006/relationships/chart" Target="../charts/chart114.xml"/><Relationship Id="rId14" Type="http://schemas.openxmlformats.org/officeDocument/2006/relationships/chart" Target="../charts/chart119.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29.xml"/><Relationship Id="rId13" Type="http://schemas.openxmlformats.org/officeDocument/2006/relationships/chart" Target="../charts/chart134.xml"/><Relationship Id="rId3" Type="http://schemas.openxmlformats.org/officeDocument/2006/relationships/chart" Target="../charts/chart124.xml"/><Relationship Id="rId7" Type="http://schemas.openxmlformats.org/officeDocument/2006/relationships/chart" Target="../charts/chart128.xml"/><Relationship Id="rId12" Type="http://schemas.openxmlformats.org/officeDocument/2006/relationships/chart" Target="../charts/chart133.xml"/><Relationship Id="rId2" Type="http://schemas.openxmlformats.org/officeDocument/2006/relationships/chart" Target="../charts/chart123.xml"/><Relationship Id="rId16" Type="http://schemas.openxmlformats.org/officeDocument/2006/relationships/chart" Target="../charts/chart137.xml"/><Relationship Id="rId1" Type="http://schemas.openxmlformats.org/officeDocument/2006/relationships/chart" Target="../charts/chart122.xml"/><Relationship Id="rId6" Type="http://schemas.openxmlformats.org/officeDocument/2006/relationships/chart" Target="../charts/chart127.xml"/><Relationship Id="rId11" Type="http://schemas.openxmlformats.org/officeDocument/2006/relationships/chart" Target="../charts/chart132.xml"/><Relationship Id="rId5" Type="http://schemas.openxmlformats.org/officeDocument/2006/relationships/chart" Target="../charts/chart126.xml"/><Relationship Id="rId15" Type="http://schemas.openxmlformats.org/officeDocument/2006/relationships/chart" Target="../charts/chart136.xml"/><Relationship Id="rId10" Type="http://schemas.openxmlformats.org/officeDocument/2006/relationships/chart" Target="../charts/chart131.xml"/><Relationship Id="rId4" Type="http://schemas.openxmlformats.org/officeDocument/2006/relationships/chart" Target="../charts/chart125.xml"/><Relationship Id="rId9" Type="http://schemas.openxmlformats.org/officeDocument/2006/relationships/chart" Target="../charts/chart130.xml"/><Relationship Id="rId14" Type="http://schemas.openxmlformats.org/officeDocument/2006/relationships/chart" Target="../charts/chart13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40.xml"/><Relationship Id="rId2" Type="http://schemas.openxmlformats.org/officeDocument/2006/relationships/chart" Target="../charts/chart139.xml"/><Relationship Id="rId1" Type="http://schemas.openxmlformats.org/officeDocument/2006/relationships/chart" Target="../charts/chart13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4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43.xml"/><Relationship Id="rId1" Type="http://schemas.openxmlformats.org/officeDocument/2006/relationships/chart" Target="../charts/chart14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5.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1502229</xdr:colOff>
          <xdr:row>13</xdr:row>
          <xdr:rowOff>0</xdr:rowOff>
        </xdr:from>
        <xdr:to>
          <xdr:col>1</xdr:col>
          <xdr:colOff>3031671</xdr:colOff>
          <xdr:row>14</xdr:row>
          <xdr:rowOff>119743</xdr:rowOff>
        </xdr:to>
        <xdr:sp macro="" textlink="">
          <xdr:nvSpPr>
            <xdr:cNvPr id="144385" name="cmdLizenzBestellen" hidden="1">
              <a:extLst>
                <a:ext uri="{63B3BB69-23CF-44E3-9099-C40C66FF867C}">
                  <a14:compatExt spid="_x0000_s144385"/>
                </a:ext>
                <a:ext uri="{FF2B5EF4-FFF2-40B4-BE49-F238E27FC236}">
                  <a16:creationId xmlns:a16="http://schemas.microsoft.com/office/drawing/2014/main" id="{00000000-0008-0000-0000-000001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1502229</xdr:colOff>
          <xdr:row>20</xdr:row>
          <xdr:rowOff>0</xdr:rowOff>
        </xdr:from>
        <xdr:to>
          <xdr:col>1</xdr:col>
          <xdr:colOff>3031671</xdr:colOff>
          <xdr:row>21</xdr:row>
          <xdr:rowOff>119743</xdr:rowOff>
        </xdr:to>
        <xdr:sp macro="" textlink="">
          <xdr:nvSpPr>
            <xdr:cNvPr id="144386" name="cmdLizenzieren" hidden="1">
              <a:extLst>
                <a:ext uri="{63B3BB69-23CF-44E3-9099-C40C66FF867C}">
                  <a14:compatExt spid="_x0000_s144386"/>
                </a:ext>
                <a:ext uri="{FF2B5EF4-FFF2-40B4-BE49-F238E27FC236}">
                  <a16:creationId xmlns:a16="http://schemas.microsoft.com/office/drawing/2014/main" id="{00000000-0008-0000-0000-000002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1502229</xdr:colOff>
          <xdr:row>18</xdr:row>
          <xdr:rowOff>0</xdr:rowOff>
        </xdr:from>
        <xdr:to>
          <xdr:col>1</xdr:col>
          <xdr:colOff>3412671</xdr:colOff>
          <xdr:row>19</xdr:row>
          <xdr:rowOff>43543</xdr:rowOff>
        </xdr:to>
        <xdr:sp macro="" textlink="">
          <xdr:nvSpPr>
            <xdr:cNvPr id="144387" name="txtFreigabeschluessel" hidden="1">
              <a:extLst>
                <a:ext uri="{63B3BB69-23CF-44E3-9099-C40C66FF867C}">
                  <a14:compatExt spid="_x0000_s144387"/>
                </a:ext>
                <a:ext uri="{FF2B5EF4-FFF2-40B4-BE49-F238E27FC236}">
                  <a16:creationId xmlns:a16="http://schemas.microsoft.com/office/drawing/2014/main" id="{00000000-0008-0000-0000-000003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5197929</xdr:colOff>
          <xdr:row>1</xdr:row>
          <xdr:rowOff>0</xdr:rowOff>
        </xdr:from>
        <xdr:to>
          <xdr:col>1</xdr:col>
          <xdr:colOff>6727371</xdr:colOff>
          <xdr:row>2</xdr:row>
          <xdr:rowOff>119743</xdr:rowOff>
        </xdr:to>
        <xdr:sp macro="" textlink="">
          <xdr:nvSpPr>
            <xdr:cNvPr id="144388" name="cmdStart" hidden="1">
              <a:extLst>
                <a:ext uri="{63B3BB69-23CF-44E3-9099-C40C66FF867C}">
                  <a14:compatExt spid="_x0000_s144388"/>
                </a:ext>
                <a:ext uri="{FF2B5EF4-FFF2-40B4-BE49-F238E27FC236}">
                  <a16:creationId xmlns:a16="http://schemas.microsoft.com/office/drawing/2014/main" id="{00000000-0008-0000-0000-000004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1654629</xdr:colOff>
          <xdr:row>1</xdr:row>
          <xdr:rowOff>16329</xdr:rowOff>
        </xdr:from>
        <xdr:to>
          <xdr:col>1</xdr:col>
          <xdr:colOff>3565071</xdr:colOff>
          <xdr:row>2</xdr:row>
          <xdr:rowOff>65314</xdr:rowOff>
        </xdr:to>
        <xdr:sp macro="" textlink="">
          <xdr:nvSpPr>
            <xdr:cNvPr id="144389" name="cboSprachwahl" hidden="1">
              <a:extLst>
                <a:ext uri="{63B3BB69-23CF-44E3-9099-C40C66FF867C}">
                  <a14:compatExt spid="_x0000_s144389"/>
                </a:ext>
                <a:ext uri="{FF2B5EF4-FFF2-40B4-BE49-F238E27FC236}">
                  <a16:creationId xmlns:a16="http://schemas.microsoft.com/office/drawing/2014/main" id="{00000000-0008-0000-0000-000005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1502229</xdr:colOff>
          <xdr:row>11</xdr:row>
          <xdr:rowOff>0</xdr:rowOff>
        </xdr:from>
        <xdr:to>
          <xdr:col>1</xdr:col>
          <xdr:colOff>3412671</xdr:colOff>
          <xdr:row>12</xdr:row>
          <xdr:rowOff>43543</xdr:rowOff>
        </xdr:to>
        <xdr:sp macro="" textlink="">
          <xdr:nvSpPr>
            <xdr:cNvPr id="144390" name="txtFirmenname" hidden="1">
              <a:extLst>
                <a:ext uri="{63B3BB69-23CF-44E3-9099-C40C66FF867C}">
                  <a14:compatExt spid="_x0000_s144390"/>
                </a:ext>
                <a:ext uri="{FF2B5EF4-FFF2-40B4-BE49-F238E27FC236}">
                  <a16:creationId xmlns:a16="http://schemas.microsoft.com/office/drawing/2014/main" id="{00000000-0008-0000-0000-000006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163286</xdr:colOff>
          <xdr:row>0</xdr:row>
          <xdr:rowOff>163286</xdr:rowOff>
        </xdr:to>
        <xdr:sp macro="" textlink="">
          <xdr:nvSpPr>
            <xdr:cNvPr id="144391" name="lblAnfangsbedingungen" hidden="1">
              <a:extLst>
                <a:ext uri="{63B3BB69-23CF-44E3-9099-C40C66FF867C}">
                  <a14:compatExt spid="_x0000_s144391"/>
                </a:ext>
                <a:ext uri="{FF2B5EF4-FFF2-40B4-BE49-F238E27FC236}">
                  <a16:creationId xmlns:a16="http://schemas.microsoft.com/office/drawing/2014/main" id="{00000000-0008-0000-0000-000007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1638300</xdr:colOff>
      <xdr:row>1</xdr:row>
      <xdr:rowOff>9525</xdr:rowOff>
    </xdr:from>
    <xdr:to>
      <xdr:col>5</xdr:col>
      <xdr:colOff>2618740</xdr:colOff>
      <xdr:row>1</xdr:row>
      <xdr:rowOff>447040</xdr:rowOff>
    </xdr:to>
    <xdr:grpSp>
      <xdr:nvGrpSpPr>
        <xdr:cNvPr id="8" name="Group 21">
          <a:extLst>
            <a:ext uri="{FF2B5EF4-FFF2-40B4-BE49-F238E27FC236}">
              <a16:creationId xmlns:a16="http://schemas.microsoft.com/office/drawing/2014/main" id="{00000000-0008-0000-0100-000008000000}"/>
            </a:ext>
          </a:extLst>
        </xdr:cNvPr>
        <xdr:cNvGrpSpPr>
          <a:grpSpLocks noChangeAspect="1"/>
        </xdr:cNvGrpSpPr>
      </xdr:nvGrpSpPr>
      <xdr:grpSpPr bwMode="auto">
        <a:xfrm>
          <a:off x="8134350" y="93889"/>
          <a:ext cx="978626" cy="433887"/>
          <a:chOff x="1" y="1"/>
          <a:chExt cx="1544" cy="689"/>
        </a:xfrm>
      </xdr:grpSpPr>
      <xdr:sp macro="" textlink="">
        <xdr:nvSpPr>
          <xdr:cNvPr id="9" name="AutoShape 22">
            <a:extLst>
              <a:ext uri="{FF2B5EF4-FFF2-40B4-BE49-F238E27FC236}">
                <a16:creationId xmlns:a16="http://schemas.microsoft.com/office/drawing/2014/main" id="{00000000-0008-0000-0100-000009000000}"/>
              </a:ext>
            </a:extLst>
          </xdr:cNvPr>
          <xdr:cNvSpPr>
            <a:spLocks noChangeAspect="1" noChangeArrowheads="1" noTextEdit="1"/>
          </xdr:cNvSpPr>
        </xdr:nvSpPr>
        <xdr:spPr bwMode="auto">
          <a:xfrm>
            <a:off x="1" y="1"/>
            <a:ext cx="1544" cy="6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de-CH"/>
          </a:p>
        </xdr:txBody>
      </xdr:sp>
      <xdr:sp macro="" textlink="">
        <xdr:nvSpPr>
          <xdr:cNvPr id="10" name="Freeform 23">
            <a:extLst>
              <a:ext uri="{FF2B5EF4-FFF2-40B4-BE49-F238E27FC236}">
                <a16:creationId xmlns:a16="http://schemas.microsoft.com/office/drawing/2014/main" id="{00000000-0008-0000-0100-00000A000000}"/>
              </a:ext>
            </a:extLst>
          </xdr:cNvPr>
          <xdr:cNvSpPr>
            <a:spLocks/>
          </xdr:cNvSpPr>
        </xdr:nvSpPr>
        <xdr:spPr bwMode="auto">
          <a:xfrm>
            <a:off x="1" y="200"/>
            <a:ext cx="341" cy="488"/>
          </a:xfrm>
          <a:custGeom>
            <a:avLst/>
            <a:gdLst>
              <a:gd name="T0" fmla="*/ 44 w 659"/>
              <a:gd name="T1" fmla="*/ 266 h 943"/>
              <a:gd name="T2" fmla="*/ 359 w 659"/>
              <a:gd name="T3" fmla="*/ 0 h 943"/>
              <a:gd name="T4" fmla="*/ 645 w 659"/>
              <a:gd name="T5" fmla="*/ 78 h 943"/>
              <a:gd name="T6" fmla="*/ 560 w 659"/>
              <a:gd name="T7" fmla="*/ 252 h 943"/>
              <a:gd name="T8" fmla="*/ 370 w 659"/>
              <a:gd name="T9" fmla="*/ 187 h 943"/>
              <a:gd name="T10" fmla="*/ 277 w 659"/>
              <a:gd name="T11" fmla="*/ 254 h 943"/>
              <a:gd name="T12" fmla="*/ 659 w 659"/>
              <a:gd name="T13" fmla="*/ 652 h 943"/>
              <a:gd name="T14" fmla="*/ 334 w 659"/>
              <a:gd name="T15" fmla="*/ 943 h 943"/>
              <a:gd name="T16" fmla="*/ 0 w 659"/>
              <a:gd name="T17" fmla="*/ 849 h 943"/>
              <a:gd name="T18" fmla="*/ 95 w 659"/>
              <a:gd name="T19" fmla="*/ 654 h 943"/>
              <a:gd name="T20" fmla="*/ 324 w 659"/>
              <a:gd name="T21" fmla="*/ 741 h 943"/>
              <a:gd name="T22" fmla="*/ 422 w 659"/>
              <a:gd name="T23" fmla="*/ 672 h 943"/>
              <a:gd name="T24" fmla="*/ 44 w 659"/>
              <a:gd name="T25" fmla="*/ 266 h 9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9" h="943">
                <a:moveTo>
                  <a:pt x="44" y="266"/>
                </a:moveTo>
                <a:cubicBezTo>
                  <a:pt x="44" y="96"/>
                  <a:pt x="181" y="0"/>
                  <a:pt x="359" y="0"/>
                </a:cubicBezTo>
                <a:cubicBezTo>
                  <a:pt x="473" y="0"/>
                  <a:pt x="578" y="38"/>
                  <a:pt x="645" y="78"/>
                </a:cubicBezTo>
                <a:cubicBezTo>
                  <a:pt x="560" y="252"/>
                  <a:pt x="560" y="252"/>
                  <a:pt x="560" y="252"/>
                </a:cubicBezTo>
                <a:cubicBezTo>
                  <a:pt x="500" y="214"/>
                  <a:pt x="442" y="187"/>
                  <a:pt x="370" y="187"/>
                </a:cubicBezTo>
                <a:cubicBezTo>
                  <a:pt x="314" y="187"/>
                  <a:pt x="277" y="214"/>
                  <a:pt x="277" y="254"/>
                </a:cubicBezTo>
                <a:cubicBezTo>
                  <a:pt x="277" y="384"/>
                  <a:pt x="659" y="350"/>
                  <a:pt x="659" y="652"/>
                </a:cubicBezTo>
                <a:cubicBezTo>
                  <a:pt x="659" y="831"/>
                  <a:pt x="520" y="943"/>
                  <a:pt x="334" y="943"/>
                </a:cubicBezTo>
                <a:cubicBezTo>
                  <a:pt x="220" y="943"/>
                  <a:pt x="98" y="907"/>
                  <a:pt x="0" y="849"/>
                </a:cubicBezTo>
                <a:cubicBezTo>
                  <a:pt x="95" y="654"/>
                  <a:pt x="95" y="654"/>
                  <a:pt x="95" y="654"/>
                </a:cubicBezTo>
                <a:cubicBezTo>
                  <a:pt x="180" y="712"/>
                  <a:pt x="245" y="741"/>
                  <a:pt x="324" y="741"/>
                </a:cubicBezTo>
                <a:cubicBezTo>
                  <a:pt x="384" y="741"/>
                  <a:pt x="422" y="714"/>
                  <a:pt x="422" y="672"/>
                </a:cubicBezTo>
                <a:cubicBezTo>
                  <a:pt x="422" y="529"/>
                  <a:pt x="44" y="569"/>
                  <a:pt x="44" y="266"/>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sp macro="" textlink="">
        <xdr:nvSpPr>
          <xdr:cNvPr id="11" name="Freeform 24">
            <a:extLst>
              <a:ext uri="{FF2B5EF4-FFF2-40B4-BE49-F238E27FC236}">
                <a16:creationId xmlns:a16="http://schemas.microsoft.com/office/drawing/2014/main" id="{00000000-0008-0000-0100-00000B000000}"/>
              </a:ext>
            </a:extLst>
          </xdr:cNvPr>
          <xdr:cNvSpPr>
            <a:spLocks noEditPoints="1"/>
          </xdr:cNvSpPr>
        </xdr:nvSpPr>
        <xdr:spPr bwMode="auto">
          <a:xfrm>
            <a:off x="613" y="1"/>
            <a:ext cx="251" cy="678"/>
          </a:xfrm>
          <a:custGeom>
            <a:avLst/>
            <a:gdLst>
              <a:gd name="T0" fmla="*/ 234 w 484"/>
              <a:gd name="T1" fmla="*/ 586 h 1310"/>
              <a:gd name="T2" fmla="*/ 0 w 484"/>
              <a:gd name="T3" fmla="*/ 586 h 1310"/>
              <a:gd name="T4" fmla="*/ 0 w 484"/>
              <a:gd name="T5" fmla="*/ 403 h 1310"/>
              <a:gd name="T6" fmla="*/ 469 w 484"/>
              <a:gd name="T7" fmla="*/ 403 h 1310"/>
              <a:gd name="T8" fmla="*/ 469 w 484"/>
              <a:gd name="T9" fmla="*/ 1310 h 1310"/>
              <a:gd name="T10" fmla="*/ 234 w 484"/>
              <a:gd name="T11" fmla="*/ 1310 h 1310"/>
              <a:gd name="T12" fmla="*/ 234 w 484"/>
              <a:gd name="T13" fmla="*/ 586 h 1310"/>
              <a:gd name="T14" fmla="*/ 343 w 484"/>
              <a:gd name="T15" fmla="*/ 280 h 1310"/>
              <a:gd name="T16" fmla="*/ 203 w 484"/>
              <a:gd name="T17" fmla="*/ 139 h 1310"/>
              <a:gd name="T18" fmla="*/ 343 w 484"/>
              <a:gd name="T19" fmla="*/ 0 h 1310"/>
              <a:gd name="T20" fmla="*/ 484 w 484"/>
              <a:gd name="T21" fmla="*/ 139 h 1310"/>
              <a:gd name="T22" fmla="*/ 343 w 484"/>
              <a:gd name="T23" fmla="*/ 280 h 131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84" h="1310">
                <a:moveTo>
                  <a:pt x="234" y="586"/>
                </a:moveTo>
                <a:cubicBezTo>
                  <a:pt x="0" y="586"/>
                  <a:pt x="0" y="586"/>
                  <a:pt x="0" y="586"/>
                </a:cubicBezTo>
                <a:cubicBezTo>
                  <a:pt x="0" y="403"/>
                  <a:pt x="0" y="403"/>
                  <a:pt x="0" y="403"/>
                </a:cubicBezTo>
                <a:cubicBezTo>
                  <a:pt x="469" y="403"/>
                  <a:pt x="469" y="403"/>
                  <a:pt x="469" y="403"/>
                </a:cubicBezTo>
                <a:cubicBezTo>
                  <a:pt x="469" y="1310"/>
                  <a:pt x="469" y="1310"/>
                  <a:pt x="469" y="1310"/>
                </a:cubicBezTo>
                <a:cubicBezTo>
                  <a:pt x="234" y="1310"/>
                  <a:pt x="234" y="1310"/>
                  <a:pt x="234" y="1310"/>
                </a:cubicBezTo>
                <a:lnTo>
                  <a:pt x="234" y="586"/>
                </a:lnTo>
                <a:close/>
                <a:moveTo>
                  <a:pt x="343" y="280"/>
                </a:moveTo>
                <a:cubicBezTo>
                  <a:pt x="265" y="280"/>
                  <a:pt x="203" y="217"/>
                  <a:pt x="203" y="139"/>
                </a:cubicBezTo>
                <a:cubicBezTo>
                  <a:pt x="203" y="63"/>
                  <a:pt x="265" y="0"/>
                  <a:pt x="343" y="0"/>
                </a:cubicBezTo>
                <a:cubicBezTo>
                  <a:pt x="422" y="0"/>
                  <a:pt x="484" y="61"/>
                  <a:pt x="484" y="139"/>
                </a:cubicBezTo>
                <a:cubicBezTo>
                  <a:pt x="484" y="217"/>
                  <a:pt x="422" y="280"/>
                  <a:pt x="343" y="280"/>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sp macro="" textlink="">
        <xdr:nvSpPr>
          <xdr:cNvPr id="12" name="Freeform 25">
            <a:extLst>
              <a:ext uri="{FF2B5EF4-FFF2-40B4-BE49-F238E27FC236}">
                <a16:creationId xmlns:a16="http://schemas.microsoft.com/office/drawing/2014/main" id="{00000000-0008-0000-0100-00000C000000}"/>
              </a:ext>
            </a:extLst>
          </xdr:cNvPr>
          <xdr:cNvSpPr>
            <a:spLocks noEditPoints="1"/>
          </xdr:cNvSpPr>
        </xdr:nvSpPr>
        <xdr:spPr bwMode="auto">
          <a:xfrm>
            <a:off x="1157" y="200"/>
            <a:ext cx="387" cy="488"/>
          </a:xfrm>
          <a:custGeom>
            <a:avLst/>
            <a:gdLst>
              <a:gd name="T0" fmla="*/ 476 w 748"/>
              <a:gd name="T1" fmla="*/ 337 h 943"/>
              <a:gd name="T2" fmla="*/ 476 w 748"/>
              <a:gd name="T3" fmla="*/ 306 h 943"/>
              <a:gd name="T4" fmla="*/ 344 w 748"/>
              <a:gd name="T5" fmla="*/ 181 h 943"/>
              <a:gd name="T6" fmla="*/ 133 w 748"/>
              <a:gd name="T7" fmla="*/ 228 h 943"/>
              <a:gd name="T8" fmla="*/ 78 w 748"/>
              <a:gd name="T9" fmla="*/ 53 h 943"/>
              <a:gd name="T10" fmla="*/ 381 w 748"/>
              <a:gd name="T11" fmla="*/ 0 h 943"/>
              <a:gd name="T12" fmla="*/ 714 w 748"/>
              <a:gd name="T13" fmla="*/ 323 h 943"/>
              <a:gd name="T14" fmla="*/ 714 w 748"/>
              <a:gd name="T15" fmla="*/ 628 h 943"/>
              <a:gd name="T16" fmla="*/ 748 w 748"/>
              <a:gd name="T17" fmla="*/ 925 h 943"/>
              <a:gd name="T18" fmla="*/ 538 w 748"/>
              <a:gd name="T19" fmla="*/ 925 h 943"/>
              <a:gd name="T20" fmla="*/ 520 w 748"/>
              <a:gd name="T21" fmla="*/ 811 h 943"/>
              <a:gd name="T22" fmla="*/ 518 w 748"/>
              <a:gd name="T23" fmla="*/ 810 h 943"/>
              <a:gd name="T24" fmla="*/ 266 w 748"/>
              <a:gd name="T25" fmla="*/ 943 h 943"/>
              <a:gd name="T26" fmla="*/ 0 w 748"/>
              <a:gd name="T27" fmla="*/ 647 h 943"/>
              <a:gd name="T28" fmla="*/ 348 w 748"/>
              <a:gd name="T29" fmla="*/ 323 h 943"/>
              <a:gd name="T30" fmla="*/ 467 w 748"/>
              <a:gd name="T31" fmla="*/ 335 h 943"/>
              <a:gd name="T32" fmla="*/ 476 w 748"/>
              <a:gd name="T33" fmla="*/ 337 h 943"/>
              <a:gd name="T34" fmla="*/ 243 w 748"/>
              <a:gd name="T35" fmla="*/ 627 h 943"/>
              <a:gd name="T36" fmla="*/ 346 w 748"/>
              <a:gd name="T37" fmla="*/ 748 h 943"/>
              <a:gd name="T38" fmla="*/ 478 w 748"/>
              <a:gd name="T39" fmla="*/ 571 h 943"/>
              <a:gd name="T40" fmla="*/ 478 w 748"/>
              <a:gd name="T41" fmla="*/ 495 h 943"/>
              <a:gd name="T42" fmla="*/ 473 w 748"/>
              <a:gd name="T43" fmla="*/ 493 h 943"/>
              <a:gd name="T44" fmla="*/ 373 w 748"/>
              <a:gd name="T45" fmla="*/ 476 h 943"/>
              <a:gd name="T46" fmla="*/ 243 w 748"/>
              <a:gd name="T47" fmla="*/ 627 h 9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748" h="943">
                <a:moveTo>
                  <a:pt x="476" y="337"/>
                </a:moveTo>
                <a:cubicBezTo>
                  <a:pt x="476" y="306"/>
                  <a:pt x="476" y="306"/>
                  <a:pt x="476" y="306"/>
                </a:cubicBezTo>
                <a:cubicBezTo>
                  <a:pt x="476" y="216"/>
                  <a:pt x="411" y="181"/>
                  <a:pt x="344" y="181"/>
                </a:cubicBezTo>
                <a:cubicBezTo>
                  <a:pt x="256" y="181"/>
                  <a:pt x="207" y="199"/>
                  <a:pt x="133" y="228"/>
                </a:cubicBezTo>
                <a:cubicBezTo>
                  <a:pt x="78" y="53"/>
                  <a:pt x="78" y="53"/>
                  <a:pt x="78" y="53"/>
                </a:cubicBezTo>
                <a:cubicBezTo>
                  <a:pt x="190" y="15"/>
                  <a:pt x="286" y="0"/>
                  <a:pt x="381" y="0"/>
                </a:cubicBezTo>
                <a:cubicBezTo>
                  <a:pt x="641" y="0"/>
                  <a:pt x="714" y="158"/>
                  <a:pt x="714" y="323"/>
                </a:cubicBezTo>
                <a:cubicBezTo>
                  <a:pt x="714" y="628"/>
                  <a:pt x="714" y="628"/>
                  <a:pt x="714" y="628"/>
                </a:cubicBezTo>
                <a:cubicBezTo>
                  <a:pt x="714" y="726"/>
                  <a:pt x="724" y="828"/>
                  <a:pt x="748" y="925"/>
                </a:cubicBezTo>
                <a:cubicBezTo>
                  <a:pt x="538" y="925"/>
                  <a:pt x="538" y="925"/>
                  <a:pt x="538" y="925"/>
                </a:cubicBezTo>
                <a:cubicBezTo>
                  <a:pt x="529" y="889"/>
                  <a:pt x="522" y="849"/>
                  <a:pt x="520" y="811"/>
                </a:cubicBezTo>
                <a:cubicBezTo>
                  <a:pt x="518" y="810"/>
                  <a:pt x="518" y="810"/>
                  <a:pt x="518" y="810"/>
                </a:cubicBezTo>
                <a:cubicBezTo>
                  <a:pt x="469" y="893"/>
                  <a:pt x="384" y="943"/>
                  <a:pt x="266" y="943"/>
                </a:cubicBezTo>
                <a:cubicBezTo>
                  <a:pt x="152" y="943"/>
                  <a:pt x="0" y="871"/>
                  <a:pt x="0" y="647"/>
                </a:cubicBezTo>
                <a:cubicBezTo>
                  <a:pt x="0" y="424"/>
                  <a:pt x="152" y="323"/>
                  <a:pt x="348" y="323"/>
                </a:cubicBezTo>
                <a:cubicBezTo>
                  <a:pt x="390" y="323"/>
                  <a:pt x="428" y="328"/>
                  <a:pt x="467" y="335"/>
                </a:cubicBezTo>
                <a:lnTo>
                  <a:pt x="476" y="337"/>
                </a:lnTo>
                <a:close/>
                <a:moveTo>
                  <a:pt x="243" y="627"/>
                </a:moveTo>
                <a:cubicBezTo>
                  <a:pt x="243" y="706"/>
                  <a:pt x="286" y="748"/>
                  <a:pt x="346" y="748"/>
                </a:cubicBezTo>
                <a:cubicBezTo>
                  <a:pt x="420" y="748"/>
                  <a:pt x="478" y="697"/>
                  <a:pt x="478" y="571"/>
                </a:cubicBezTo>
                <a:cubicBezTo>
                  <a:pt x="478" y="495"/>
                  <a:pt x="478" y="495"/>
                  <a:pt x="478" y="495"/>
                </a:cubicBezTo>
                <a:cubicBezTo>
                  <a:pt x="473" y="493"/>
                  <a:pt x="473" y="493"/>
                  <a:pt x="473" y="493"/>
                </a:cubicBezTo>
                <a:cubicBezTo>
                  <a:pt x="449" y="485"/>
                  <a:pt x="409" y="476"/>
                  <a:pt x="373" y="476"/>
                </a:cubicBezTo>
                <a:cubicBezTo>
                  <a:pt x="297" y="476"/>
                  <a:pt x="243" y="533"/>
                  <a:pt x="243" y="627"/>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grpSp>
    <xdr:clientData/>
  </xdr:twoCellAnchor>
  <mc:AlternateContent xmlns:mc="http://schemas.openxmlformats.org/markup-compatibility/2006">
    <mc:Choice xmlns:a14="http://schemas.microsoft.com/office/drawing/2010/main" Requires="a14">
      <xdr:twoCellAnchor editAs="oneCell">
        <xdr:from>
          <xdr:col>3</xdr:col>
          <xdr:colOff>59871</xdr:colOff>
          <xdr:row>2</xdr:row>
          <xdr:rowOff>146957</xdr:rowOff>
        </xdr:from>
        <xdr:to>
          <xdr:col>3</xdr:col>
          <xdr:colOff>468086</xdr:colOff>
          <xdr:row>3</xdr:row>
          <xdr:rowOff>32657</xdr:rowOff>
        </xdr:to>
        <xdr:sp macro="" textlink="">
          <xdr:nvSpPr>
            <xdr:cNvPr id="145409" name="cboSprachen3" hidden="1">
              <a:extLst>
                <a:ext uri="{63B3BB69-23CF-44E3-9099-C40C66FF867C}">
                  <a14:compatExt spid="_x0000_s145409"/>
                </a:ext>
                <a:ext uri="{FF2B5EF4-FFF2-40B4-BE49-F238E27FC236}">
                  <a16:creationId xmlns:a16="http://schemas.microsoft.com/office/drawing/2014/main" id="{00000000-0008-0000-0100-000001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720725</xdr:colOff>
      <xdr:row>2</xdr:row>
      <xdr:rowOff>146368</xdr:rowOff>
    </xdr:from>
    <xdr:to>
      <xdr:col>4</xdr:col>
      <xdr:colOff>12700</xdr:colOff>
      <xdr:row>3</xdr:row>
      <xdr:rowOff>55563</xdr:rowOff>
    </xdr:to>
    <xdr:sp macro="" textlink="">
      <xdr:nvSpPr>
        <xdr:cNvPr id="3" name="Rechteck 2">
          <a:extLst>
            <a:ext uri="{FF2B5EF4-FFF2-40B4-BE49-F238E27FC236}">
              <a16:creationId xmlns:a16="http://schemas.microsoft.com/office/drawing/2014/main" id="{00000000-0008-0000-0100-000003000000}"/>
            </a:ext>
          </a:extLst>
        </xdr:cNvPr>
        <xdr:cNvSpPr/>
      </xdr:nvSpPr>
      <xdr:spPr bwMode="auto">
        <a:xfrm>
          <a:off x="1887538" y="686118"/>
          <a:ext cx="1419225" cy="67945"/>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CH" sz="1100"/>
        </a:p>
      </xdr:txBody>
    </xdr:sp>
    <xdr:clientData/>
  </xdr:twoCellAnchor>
  <mc:AlternateContent xmlns:mc="http://schemas.openxmlformats.org/markup-compatibility/2006">
    <mc:Choice xmlns:a14="http://schemas.microsoft.com/office/drawing/2010/main" Requires="a14">
      <xdr:twoCellAnchor editAs="oneCell">
        <xdr:from>
          <xdr:col>2</xdr:col>
          <xdr:colOff>740229</xdr:colOff>
          <xdr:row>4</xdr:row>
          <xdr:rowOff>152400</xdr:rowOff>
        </xdr:from>
        <xdr:to>
          <xdr:col>4</xdr:col>
          <xdr:colOff>54429</xdr:colOff>
          <xdr:row>5</xdr:row>
          <xdr:rowOff>212271</xdr:rowOff>
        </xdr:to>
        <xdr:sp macro="" textlink="">
          <xdr:nvSpPr>
            <xdr:cNvPr id="145412" name="Drop Down 4" hidden="1">
              <a:extLst>
                <a:ext uri="{63B3BB69-23CF-44E3-9099-C40C66FF867C}">
                  <a14:compatExt spid="_x0000_s145412"/>
                </a:ext>
                <a:ext uri="{FF2B5EF4-FFF2-40B4-BE49-F238E27FC236}">
                  <a16:creationId xmlns:a16="http://schemas.microsoft.com/office/drawing/2014/main" id="{00000000-0008-0000-0100-000004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47625</xdr:colOff>
      <xdr:row>5</xdr:row>
      <xdr:rowOff>19050</xdr:rowOff>
    </xdr:from>
    <xdr:to>
      <xdr:col>6</xdr:col>
      <xdr:colOff>438150</xdr:colOff>
      <xdr:row>13</xdr:row>
      <xdr:rowOff>0</xdr:rowOff>
    </xdr:to>
    <xdr:graphicFrame macro="">
      <xdr:nvGraphicFramePr>
        <xdr:cNvPr id="2" name="Diagramm 8">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5</xdr:row>
      <xdr:rowOff>0</xdr:rowOff>
    </xdr:from>
    <xdr:to>
      <xdr:col>11</xdr:col>
      <xdr:colOff>704850</xdr:colOff>
      <xdr:row>13</xdr:row>
      <xdr:rowOff>0</xdr:rowOff>
    </xdr:to>
    <xdr:graphicFrame macro="">
      <xdr:nvGraphicFramePr>
        <xdr:cNvPr id="3" name="Diagramm 8">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5</xdr:row>
      <xdr:rowOff>0</xdr:rowOff>
    </xdr:from>
    <xdr:to>
      <xdr:col>24</xdr:col>
      <xdr:colOff>390525</xdr:colOff>
      <xdr:row>13</xdr:row>
      <xdr:rowOff>0</xdr:rowOff>
    </xdr:to>
    <xdr:graphicFrame macro="">
      <xdr:nvGraphicFramePr>
        <xdr:cNvPr id="4" name="Diagramm 8">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13</xdr:row>
      <xdr:rowOff>0</xdr:rowOff>
    </xdr:from>
    <xdr:to>
      <xdr:col>6</xdr:col>
      <xdr:colOff>390525</xdr:colOff>
      <xdr:row>21</xdr:row>
      <xdr:rowOff>0</xdr:rowOff>
    </xdr:to>
    <xdr:graphicFrame macro="">
      <xdr:nvGraphicFramePr>
        <xdr:cNvPr id="5" name="Diagramm 8">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21</xdr:row>
      <xdr:rowOff>0</xdr:rowOff>
    </xdr:from>
    <xdr:to>
      <xdr:col>6</xdr:col>
      <xdr:colOff>390525</xdr:colOff>
      <xdr:row>29</xdr:row>
      <xdr:rowOff>0</xdr:rowOff>
    </xdr:to>
    <xdr:graphicFrame macro="">
      <xdr:nvGraphicFramePr>
        <xdr:cNvPr id="6" name="Diagramm 8">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5</xdr:row>
      <xdr:rowOff>0</xdr:rowOff>
    </xdr:from>
    <xdr:to>
      <xdr:col>18</xdr:col>
      <xdr:colOff>390525</xdr:colOff>
      <xdr:row>13</xdr:row>
      <xdr:rowOff>0</xdr:rowOff>
    </xdr:to>
    <xdr:graphicFrame macro="">
      <xdr:nvGraphicFramePr>
        <xdr:cNvPr id="7" name="Diagramm 8">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13</xdr:row>
      <xdr:rowOff>0</xdr:rowOff>
    </xdr:from>
    <xdr:to>
      <xdr:col>11</xdr:col>
      <xdr:colOff>704850</xdr:colOff>
      <xdr:row>21</xdr:row>
      <xdr:rowOff>0</xdr:rowOff>
    </xdr:to>
    <xdr:graphicFrame macro="">
      <xdr:nvGraphicFramePr>
        <xdr:cNvPr id="8" name="Diagramm 8">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21</xdr:row>
      <xdr:rowOff>0</xdr:rowOff>
    </xdr:from>
    <xdr:to>
      <xdr:col>11</xdr:col>
      <xdr:colOff>704850</xdr:colOff>
      <xdr:row>29</xdr:row>
      <xdr:rowOff>0</xdr:rowOff>
    </xdr:to>
    <xdr:graphicFrame macro="">
      <xdr:nvGraphicFramePr>
        <xdr:cNvPr id="9" name="Diagramm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70757</xdr:colOff>
          <xdr:row>0</xdr:row>
          <xdr:rowOff>0</xdr:rowOff>
        </xdr:from>
        <xdr:to>
          <xdr:col>4</xdr:col>
          <xdr:colOff>38100</xdr:colOff>
          <xdr:row>1</xdr:row>
          <xdr:rowOff>16329</xdr:rowOff>
        </xdr:to>
        <xdr:sp macro="" textlink="">
          <xdr:nvSpPr>
            <xdr:cNvPr id="96263" name="Drop Down 7" hidden="1">
              <a:extLst>
                <a:ext uri="{63B3BB69-23CF-44E3-9099-C40C66FF867C}">
                  <a14:compatExt spid="_x0000_s96263"/>
                </a:ext>
                <a:ext uri="{FF2B5EF4-FFF2-40B4-BE49-F238E27FC236}">
                  <a16:creationId xmlns:a16="http://schemas.microsoft.com/office/drawing/2014/main" id="{00000000-0008-0000-04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718457</xdr:colOff>
          <xdr:row>0</xdr:row>
          <xdr:rowOff>21771</xdr:rowOff>
        </xdr:from>
        <xdr:to>
          <xdr:col>0</xdr:col>
          <xdr:colOff>718457</xdr:colOff>
          <xdr:row>1</xdr:row>
          <xdr:rowOff>0</xdr:rowOff>
        </xdr:to>
        <xdr:sp macro="" textlink="">
          <xdr:nvSpPr>
            <xdr:cNvPr id="96265" name="Spinner 9" hidden="1">
              <a:extLst>
                <a:ext uri="{63B3BB69-23CF-44E3-9099-C40C66FF867C}">
                  <a14:compatExt spid="_x0000_s96265"/>
                </a:ext>
                <a:ext uri="{FF2B5EF4-FFF2-40B4-BE49-F238E27FC236}">
                  <a16:creationId xmlns:a16="http://schemas.microsoft.com/office/drawing/2014/main" id="{00000000-0008-0000-0400-0000097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xdr:col>
      <xdr:colOff>0</xdr:colOff>
      <xdr:row>30</xdr:row>
      <xdr:rowOff>0</xdr:rowOff>
    </xdr:from>
    <xdr:to>
      <xdr:col>6</xdr:col>
      <xdr:colOff>390525</xdr:colOff>
      <xdr:row>38</xdr:row>
      <xdr:rowOff>0</xdr:rowOff>
    </xdr:to>
    <xdr:graphicFrame macro="">
      <xdr:nvGraphicFramePr>
        <xdr:cNvPr id="12" name="Diagramm 8">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38</xdr:row>
      <xdr:rowOff>0</xdr:rowOff>
    </xdr:from>
    <xdr:to>
      <xdr:col>6</xdr:col>
      <xdr:colOff>390525</xdr:colOff>
      <xdr:row>46</xdr:row>
      <xdr:rowOff>0</xdr:rowOff>
    </xdr:to>
    <xdr:graphicFrame macro="">
      <xdr:nvGraphicFramePr>
        <xdr:cNvPr id="13" name="Diagramm 8">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46</xdr:row>
      <xdr:rowOff>0</xdr:rowOff>
    </xdr:from>
    <xdr:to>
      <xdr:col>6</xdr:col>
      <xdr:colOff>390525</xdr:colOff>
      <xdr:row>54</xdr:row>
      <xdr:rowOff>38100</xdr:rowOff>
    </xdr:to>
    <xdr:graphicFrame macro="">
      <xdr:nvGraphicFramePr>
        <xdr:cNvPr id="14" name="Diagramm 8">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51858</xdr:colOff>
      <xdr:row>129</xdr:row>
      <xdr:rowOff>24342</xdr:rowOff>
    </xdr:from>
    <xdr:to>
      <xdr:col>6</xdr:col>
      <xdr:colOff>232834</xdr:colOff>
      <xdr:row>145</xdr:row>
      <xdr:rowOff>52916</xdr:rowOff>
    </xdr:to>
    <xdr:graphicFrame macro="">
      <xdr:nvGraphicFramePr>
        <xdr:cNvPr id="15" name="Diagramm 8">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3</xdr:col>
          <xdr:colOff>723900</xdr:colOff>
          <xdr:row>0</xdr:row>
          <xdr:rowOff>21771</xdr:rowOff>
        </xdr:from>
        <xdr:to>
          <xdr:col>4</xdr:col>
          <xdr:colOff>70757</xdr:colOff>
          <xdr:row>1</xdr:row>
          <xdr:rowOff>21771</xdr:rowOff>
        </xdr:to>
        <xdr:sp macro="" textlink="">
          <xdr:nvSpPr>
            <xdr:cNvPr id="96267" name="Spinner 11" hidden="1">
              <a:extLst>
                <a:ext uri="{63B3BB69-23CF-44E3-9099-C40C66FF867C}">
                  <a14:compatExt spid="_x0000_s96267"/>
                </a:ext>
                <a:ext uri="{FF2B5EF4-FFF2-40B4-BE49-F238E27FC236}">
                  <a16:creationId xmlns:a16="http://schemas.microsoft.com/office/drawing/2014/main" id="{00000000-0008-0000-0400-00000B7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0</xdr:colOff>
      <xdr:row>30</xdr:row>
      <xdr:rowOff>0</xdr:rowOff>
    </xdr:from>
    <xdr:to>
      <xdr:col>11</xdr:col>
      <xdr:colOff>704850</xdr:colOff>
      <xdr:row>38</xdr:row>
      <xdr:rowOff>0</xdr:rowOff>
    </xdr:to>
    <xdr:graphicFrame macro="">
      <xdr:nvGraphicFramePr>
        <xdr:cNvPr id="17" name="Diagramm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0</xdr:colOff>
      <xdr:row>39</xdr:row>
      <xdr:rowOff>0</xdr:rowOff>
    </xdr:from>
    <xdr:to>
      <xdr:col>11</xdr:col>
      <xdr:colOff>704850</xdr:colOff>
      <xdr:row>47</xdr:row>
      <xdr:rowOff>0</xdr:rowOff>
    </xdr:to>
    <xdr:graphicFrame macro="">
      <xdr:nvGraphicFramePr>
        <xdr:cNvPr id="18" name="Diagramm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338668</xdr:colOff>
      <xdr:row>129</xdr:row>
      <xdr:rowOff>148166</xdr:rowOff>
    </xdr:from>
    <xdr:to>
      <xdr:col>32</xdr:col>
      <xdr:colOff>445560</xdr:colOff>
      <xdr:row>146</xdr:row>
      <xdr:rowOff>17990</xdr:rowOff>
    </xdr:to>
    <xdr:graphicFrame macro="">
      <xdr:nvGraphicFramePr>
        <xdr:cNvPr id="19" name="Diagramm 8">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317499</xdr:colOff>
      <xdr:row>129</xdr:row>
      <xdr:rowOff>74084</xdr:rowOff>
    </xdr:from>
    <xdr:to>
      <xdr:col>13</xdr:col>
      <xdr:colOff>149225</xdr:colOff>
      <xdr:row>145</xdr:row>
      <xdr:rowOff>102658</xdr:rowOff>
    </xdr:to>
    <xdr:graphicFrame macro="">
      <xdr:nvGraphicFramePr>
        <xdr:cNvPr id="20" name="Diagramm 8">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0</xdr:colOff>
          <xdr:row>0</xdr:row>
          <xdr:rowOff>0</xdr:rowOff>
        </xdr:from>
        <xdr:to>
          <xdr:col>6</xdr:col>
          <xdr:colOff>832757</xdr:colOff>
          <xdr:row>1</xdr:row>
          <xdr:rowOff>32657</xdr:rowOff>
        </xdr:to>
        <xdr:sp macro="" textlink="">
          <xdr:nvSpPr>
            <xdr:cNvPr id="96651" name="Drop Down 395" hidden="1">
              <a:extLst>
                <a:ext uri="{63B3BB69-23CF-44E3-9099-C40C66FF867C}">
                  <a14:compatExt spid="_x0000_s96651"/>
                </a:ext>
                <a:ext uri="{FF2B5EF4-FFF2-40B4-BE49-F238E27FC236}">
                  <a16:creationId xmlns:a16="http://schemas.microsoft.com/office/drawing/2014/main" id="{00000000-0008-0000-0400-00008B7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169334</xdr:colOff>
      <xdr:row>129</xdr:row>
      <xdr:rowOff>42333</xdr:rowOff>
    </xdr:from>
    <xdr:to>
      <xdr:col>21</xdr:col>
      <xdr:colOff>255060</xdr:colOff>
      <xdr:row>145</xdr:row>
      <xdr:rowOff>70907</xdr:rowOff>
    </xdr:to>
    <xdr:graphicFrame macro="">
      <xdr:nvGraphicFramePr>
        <xdr:cNvPr id="22" name="Diagramm 8">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22</xdr:col>
      <xdr:colOff>306916</xdr:colOff>
      <xdr:row>567</xdr:row>
      <xdr:rowOff>31750</xdr:rowOff>
    </xdr:from>
    <xdr:to>
      <xdr:col>29</xdr:col>
      <xdr:colOff>731309</xdr:colOff>
      <xdr:row>583</xdr:row>
      <xdr:rowOff>60324</xdr:rowOff>
    </xdr:to>
    <xdr:graphicFrame macro="">
      <xdr:nvGraphicFramePr>
        <xdr:cNvPr id="23" name="Diagramm 8">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25</xdr:col>
      <xdr:colOff>402166</xdr:colOff>
      <xdr:row>150</xdr:row>
      <xdr:rowOff>52917</xdr:rowOff>
    </xdr:from>
    <xdr:to>
      <xdr:col>32</xdr:col>
      <xdr:colOff>530225</xdr:colOff>
      <xdr:row>166</xdr:row>
      <xdr:rowOff>81491</xdr:rowOff>
    </xdr:to>
    <xdr:graphicFrame macro="">
      <xdr:nvGraphicFramePr>
        <xdr:cNvPr id="24" name="Diagramm 8">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25</xdr:col>
      <xdr:colOff>518584</xdr:colOff>
      <xdr:row>192</xdr:row>
      <xdr:rowOff>116416</xdr:rowOff>
    </xdr:from>
    <xdr:to>
      <xdr:col>32</xdr:col>
      <xdr:colOff>646643</xdr:colOff>
      <xdr:row>208</xdr:row>
      <xdr:rowOff>144990</xdr:rowOff>
    </xdr:to>
    <xdr:graphicFrame macro="">
      <xdr:nvGraphicFramePr>
        <xdr:cNvPr id="25" name="Diagramm 8">
          <a:extLst>
            <a:ext uri="{FF2B5EF4-FFF2-40B4-BE49-F238E27FC236}">
              <a16:creationId xmlns:a16="http://schemas.microsoft.com/office/drawing/2014/main" id="{00000000-0008-0000-04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26</xdr:col>
      <xdr:colOff>169333</xdr:colOff>
      <xdr:row>230</xdr:row>
      <xdr:rowOff>127001</xdr:rowOff>
    </xdr:from>
    <xdr:to>
      <xdr:col>33</xdr:col>
      <xdr:colOff>297392</xdr:colOff>
      <xdr:row>246</xdr:row>
      <xdr:rowOff>155575</xdr:rowOff>
    </xdr:to>
    <xdr:graphicFrame macro="">
      <xdr:nvGraphicFramePr>
        <xdr:cNvPr id="26" name="Diagramm 8">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22</xdr:col>
      <xdr:colOff>306916</xdr:colOff>
      <xdr:row>587</xdr:row>
      <xdr:rowOff>31750</xdr:rowOff>
    </xdr:from>
    <xdr:to>
      <xdr:col>29</xdr:col>
      <xdr:colOff>731309</xdr:colOff>
      <xdr:row>603</xdr:row>
      <xdr:rowOff>60324</xdr:rowOff>
    </xdr:to>
    <xdr:graphicFrame macro="">
      <xdr:nvGraphicFramePr>
        <xdr:cNvPr id="27" name="Diagramm 8">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888999</xdr:colOff>
      <xdr:row>306</xdr:row>
      <xdr:rowOff>48683</xdr:rowOff>
    </xdr:from>
    <xdr:to>
      <xdr:col>8</xdr:col>
      <xdr:colOff>539750</xdr:colOff>
      <xdr:row>324</xdr:row>
      <xdr:rowOff>7409</xdr:rowOff>
    </xdr:to>
    <xdr:graphicFrame macro="">
      <xdr:nvGraphicFramePr>
        <xdr:cNvPr id="28" name="Diagramm 8">
          <a:extLst>
            <a:ext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311149</xdr:colOff>
      <xdr:row>306</xdr:row>
      <xdr:rowOff>62706</xdr:rowOff>
    </xdr:from>
    <xdr:to>
      <xdr:col>21</xdr:col>
      <xdr:colOff>310090</xdr:colOff>
      <xdr:row>323</xdr:row>
      <xdr:rowOff>130529</xdr:rowOff>
    </xdr:to>
    <xdr:graphicFrame macro="">
      <xdr:nvGraphicFramePr>
        <xdr:cNvPr id="29" name="Diagramm 8">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888999</xdr:colOff>
      <xdr:row>367</xdr:row>
      <xdr:rowOff>48683</xdr:rowOff>
    </xdr:from>
    <xdr:to>
      <xdr:col>8</xdr:col>
      <xdr:colOff>539750</xdr:colOff>
      <xdr:row>385</xdr:row>
      <xdr:rowOff>7409</xdr:rowOff>
    </xdr:to>
    <xdr:graphicFrame macro="">
      <xdr:nvGraphicFramePr>
        <xdr:cNvPr id="30" name="Diagramm 8">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14</xdr:col>
      <xdr:colOff>607484</xdr:colOff>
      <xdr:row>367</xdr:row>
      <xdr:rowOff>90930</xdr:rowOff>
    </xdr:from>
    <xdr:to>
      <xdr:col>21</xdr:col>
      <xdr:colOff>606425</xdr:colOff>
      <xdr:row>384</xdr:row>
      <xdr:rowOff>158753</xdr:rowOff>
    </xdr:to>
    <xdr:graphicFrame macro="">
      <xdr:nvGraphicFramePr>
        <xdr:cNvPr id="31" name="Diagramm 8">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28</xdr:row>
      <xdr:rowOff>0</xdr:rowOff>
    </xdr:from>
    <xdr:to>
      <xdr:col>3</xdr:col>
      <xdr:colOff>0</xdr:colOff>
      <xdr:row>28</xdr:row>
      <xdr:rowOff>0</xdr:rowOff>
    </xdr:to>
    <xdr:graphicFrame macro="">
      <xdr:nvGraphicFramePr>
        <xdr:cNvPr id="92123" name="Diagramm 2">
          <a:extLst>
            <a:ext uri="{FF2B5EF4-FFF2-40B4-BE49-F238E27FC236}">
              <a16:creationId xmlns:a16="http://schemas.microsoft.com/office/drawing/2014/main" id="{00000000-0008-0000-0800-0000DB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28</xdr:row>
      <xdr:rowOff>0</xdr:rowOff>
    </xdr:from>
    <xdr:to>
      <xdr:col>3</xdr:col>
      <xdr:colOff>0</xdr:colOff>
      <xdr:row>28</xdr:row>
      <xdr:rowOff>0</xdr:rowOff>
    </xdr:to>
    <xdr:graphicFrame macro="">
      <xdr:nvGraphicFramePr>
        <xdr:cNvPr id="92125" name="Diagramm 4">
          <a:extLst>
            <a:ext uri="{FF2B5EF4-FFF2-40B4-BE49-F238E27FC236}">
              <a16:creationId xmlns:a16="http://schemas.microsoft.com/office/drawing/2014/main" id="{00000000-0008-0000-0800-0000DD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46</xdr:row>
      <xdr:rowOff>0</xdr:rowOff>
    </xdr:from>
    <xdr:to>
      <xdr:col>3</xdr:col>
      <xdr:colOff>0</xdr:colOff>
      <xdr:row>46</xdr:row>
      <xdr:rowOff>0</xdr:rowOff>
    </xdr:to>
    <xdr:graphicFrame macro="">
      <xdr:nvGraphicFramePr>
        <xdr:cNvPr id="92126" name="Diagramm 5">
          <a:extLst>
            <a:ext uri="{FF2B5EF4-FFF2-40B4-BE49-F238E27FC236}">
              <a16:creationId xmlns:a16="http://schemas.microsoft.com/office/drawing/2014/main" id="{00000000-0008-0000-0800-0000DE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92127" name="Diagramm 7">
          <a:extLst>
            <a:ext uri="{FF2B5EF4-FFF2-40B4-BE49-F238E27FC236}">
              <a16:creationId xmlns:a16="http://schemas.microsoft.com/office/drawing/2014/main" id="{00000000-0008-0000-0800-0000DF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125</xdr:row>
      <xdr:rowOff>0</xdr:rowOff>
    </xdr:from>
    <xdr:to>
      <xdr:col>17</xdr:col>
      <xdr:colOff>0</xdr:colOff>
      <xdr:row>125</xdr:row>
      <xdr:rowOff>0</xdr:rowOff>
    </xdr:to>
    <xdr:graphicFrame macro="">
      <xdr:nvGraphicFramePr>
        <xdr:cNvPr id="92128" name="Diagramm 12">
          <a:extLst>
            <a:ext uri="{FF2B5EF4-FFF2-40B4-BE49-F238E27FC236}">
              <a16:creationId xmlns:a16="http://schemas.microsoft.com/office/drawing/2014/main" id="{00000000-0008-0000-0800-0000E0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92129" name="Diagramm 28">
          <a:extLst>
            <a:ext uri="{FF2B5EF4-FFF2-40B4-BE49-F238E27FC236}">
              <a16:creationId xmlns:a16="http://schemas.microsoft.com/office/drawing/2014/main" id="{00000000-0008-0000-0800-0000E1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92130" name="Diagramm 29">
          <a:extLst>
            <a:ext uri="{FF2B5EF4-FFF2-40B4-BE49-F238E27FC236}">
              <a16:creationId xmlns:a16="http://schemas.microsoft.com/office/drawing/2014/main" id="{00000000-0008-0000-0800-0000E2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25979</xdr:colOff>
      <xdr:row>281</xdr:row>
      <xdr:rowOff>46759</xdr:rowOff>
    </xdr:from>
    <xdr:to>
      <xdr:col>14</xdr:col>
      <xdr:colOff>817130</xdr:colOff>
      <xdr:row>342</xdr:row>
      <xdr:rowOff>47722</xdr:rowOff>
    </xdr:to>
    <xdr:graphicFrame macro="">
      <xdr:nvGraphicFramePr>
        <xdr:cNvPr id="92131" name="Diagramm 40">
          <a:extLst>
            <a:ext uri="{FF2B5EF4-FFF2-40B4-BE49-F238E27FC236}">
              <a16:creationId xmlns:a16="http://schemas.microsoft.com/office/drawing/2014/main" id="{00000000-0008-0000-0800-0000E3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xdr:col>
      <xdr:colOff>84571</xdr:colOff>
      <xdr:row>45</xdr:row>
      <xdr:rowOff>173172</xdr:rowOff>
    </xdr:from>
    <xdr:to>
      <xdr:col>7</xdr:col>
      <xdr:colOff>589396</xdr:colOff>
      <xdr:row>51</xdr:row>
      <xdr:rowOff>47089</xdr:rowOff>
    </xdr:to>
    <xdr:graphicFrame macro="">
      <xdr:nvGraphicFramePr>
        <xdr:cNvPr id="92135" name="Diagramm 8">
          <a:extLst>
            <a:ext uri="{FF2B5EF4-FFF2-40B4-BE49-F238E27FC236}">
              <a16:creationId xmlns:a16="http://schemas.microsoft.com/office/drawing/2014/main" id="{00000000-0008-0000-0800-0000E7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92136" name="Diagramm 66">
          <a:extLst>
            <a:ext uri="{FF2B5EF4-FFF2-40B4-BE49-F238E27FC236}">
              <a16:creationId xmlns:a16="http://schemas.microsoft.com/office/drawing/2014/main" id="{00000000-0008-0000-0800-0000E8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92137" name="Diagramm 67">
          <a:extLst>
            <a:ext uri="{FF2B5EF4-FFF2-40B4-BE49-F238E27FC236}">
              <a16:creationId xmlns:a16="http://schemas.microsoft.com/office/drawing/2014/main" id="{00000000-0008-0000-0800-0000E9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92138" name="Diagramm 71">
          <a:extLst>
            <a:ext uri="{FF2B5EF4-FFF2-40B4-BE49-F238E27FC236}">
              <a16:creationId xmlns:a16="http://schemas.microsoft.com/office/drawing/2014/main" id="{00000000-0008-0000-0800-0000EA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92139" name="Diagramm 72">
          <a:extLst>
            <a:ext uri="{FF2B5EF4-FFF2-40B4-BE49-F238E27FC236}">
              <a16:creationId xmlns:a16="http://schemas.microsoft.com/office/drawing/2014/main" id="{00000000-0008-0000-0800-0000EB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92140" name="Diagramm 76">
          <a:extLst>
            <a:ext uri="{FF2B5EF4-FFF2-40B4-BE49-F238E27FC236}">
              <a16:creationId xmlns:a16="http://schemas.microsoft.com/office/drawing/2014/main" id="{00000000-0008-0000-0800-0000EC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92141" name="Diagramm 77">
          <a:extLst>
            <a:ext uri="{FF2B5EF4-FFF2-40B4-BE49-F238E27FC236}">
              <a16:creationId xmlns:a16="http://schemas.microsoft.com/office/drawing/2014/main" id="{00000000-0008-0000-0800-0000ED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92142" name="Diagramm 97">
          <a:extLst>
            <a:ext uri="{FF2B5EF4-FFF2-40B4-BE49-F238E27FC236}">
              <a16:creationId xmlns:a16="http://schemas.microsoft.com/office/drawing/2014/main" id="{00000000-0008-0000-0800-0000EE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92143" name="Diagramm 98">
          <a:extLst>
            <a:ext uri="{FF2B5EF4-FFF2-40B4-BE49-F238E27FC236}">
              <a16:creationId xmlns:a16="http://schemas.microsoft.com/office/drawing/2014/main" id="{00000000-0008-0000-0800-0000EF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2</xdr:col>
      <xdr:colOff>97559</xdr:colOff>
      <xdr:row>69</xdr:row>
      <xdr:rowOff>159702</xdr:rowOff>
    </xdr:from>
    <xdr:to>
      <xdr:col>7</xdr:col>
      <xdr:colOff>495443</xdr:colOff>
      <xdr:row>75</xdr:row>
      <xdr:rowOff>29631</xdr:rowOff>
    </xdr:to>
    <xdr:graphicFrame macro="">
      <xdr:nvGraphicFramePr>
        <xdr:cNvPr id="92144" name="Diagramm 102">
          <a:extLst>
            <a:ext uri="{FF2B5EF4-FFF2-40B4-BE49-F238E27FC236}">
              <a16:creationId xmlns:a16="http://schemas.microsoft.com/office/drawing/2014/main" id="{00000000-0008-0000-0800-0000F0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189074</xdr:colOff>
      <xdr:row>282</xdr:row>
      <xdr:rowOff>27109</xdr:rowOff>
    </xdr:from>
    <xdr:to>
      <xdr:col>13</xdr:col>
      <xdr:colOff>189074</xdr:colOff>
      <xdr:row>291</xdr:row>
      <xdr:rowOff>169984</xdr:rowOff>
    </xdr:to>
    <xdr:sp macro="" textlink="">
      <xdr:nvSpPr>
        <xdr:cNvPr id="92145" name="Line 47">
          <a:extLst>
            <a:ext uri="{FF2B5EF4-FFF2-40B4-BE49-F238E27FC236}">
              <a16:creationId xmlns:a16="http://schemas.microsoft.com/office/drawing/2014/main" id="{00000000-0008-0000-0800-0000F1670100}"/>
            </a:ext>
          </a:extLst>
        </xdr:cNvPr>
        <xdr:cNvSpPr>
          <a:spLocks noChangeShapeType="1"/>
        </xdr:cNvSpPr>
      </xdr:nvSpPr>
      <xdr:spPr bwMode="auto">
        <a:xfrm flipH="1" flipV="1">
          <a:off x="9418799" y="26849509"/>
          <a:ext cx="0" cy="1543050"/>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79901</xdr:colOff>
      <xdr:row>329</xdr:row>
      <xdr:rowOff>115356</xdr:rowOff>
    </xdr:from>
    <xdr:to>
      <xdr:col>6</xdr:col>
      <xdr:colOff>324951</xdr:colOff>
      <xdr:row>342</xdr:row>
      <xdr:rowOff>122860</xdr:rowOff>
    </xdr:to>
    <xdr:graphicFrame macro="">
      <xdr:nvGraphicFramePr>
        <xdr:cNvPr id="92146" name="Diagramm 108">
          <a:extLst>
            <a:ext uri="{FF2B5EF4-FFF2-40B4-BE49-F238E27FC236}">
              <a16:creationId xmlns:a16="http://schemas.microsoft.com/office/drawing/2014/main" id="{00000000-0008-0000-0800-0000F2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216604</xdr:colOff>
      <xdr:row>281</xdr:row>
      <xdr:rowOff>166953</xdr:rowOff>
    </xdr:from>
    <xdr:to>
      <xdr:col>4</xdr:col>
      <xdr:colOff>216604</xdr:colOff>
      <xdr:row>291</xdr:row>
      <xdr:rowOff>112625</xdr:rowOff>
    </xdr:to>
    <xdr:sp macro="" textlink="">
      <xdr:nvSpPr>
        <xdr:cNvPr id="92148" name="Line 109">
          <a:extLst>
            <a:ext uri="{FF2B5EF4-FFF2-40B4-BE49-F238E27FC236}">
              <a16:creationId xmlns:a16="http://schemas.microsoft.com/office/drawing/2014/main" id="{00000000-0008-0000-0800-0000F4670100}"/>
            </a:ext>
          </a:extLst>
        </xdr:cNvPr>
        <xdr:cNvSpPr>
          <a:spLocks noChangeShapeType="1"/>
        </xdr:cNvSpPr>
      </xdr:nvSpPr>
      <xdr:spPr bwMode="auto">
        <a:xfrm flipV="1">
          <a:off x="2997904" y="26789328"/>
          <a:ext cx="0" cy="1545872"/>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absolute">
    <xdr:from>
      <xdr:col>7</xdr:col>
      <xdr:colOff>1202026</xdr:colOff>
      <xdr:row>45</xdr:row>
      <xdr:rowOff>180965</xdr:rowOff>
    </xdr:from>
    <xdr:to>
      <xdr:col>14</xdr:col>
      <xdr:colOff>769937</xdr:colOff>
      <xdr:row>51</xdr:row>
      <xdr:rowOff>183989</xdr:rowOff>
    </xdr:to>
    <xdr:graphicFrame macro="">
      <xdr:nvGraphicFramePr>
        <xdr:cNvPr id="92149" name="Diagramm 121">
          <a:extLst>
            <a:ext uri="{FF2B5EF4-FFF2-40B4-BE49-F238E27FC236}">
              <a16:creationId xmlns:a16="http://schemas.microsoft.com/office/drawing/2014/main" id="{00000000-0008-0000-0800-0000F56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54429</xdr:rowOff>
        </xdr:from>
        <xdr:to>
          <xdr:col>3</xdr:col>
          <xdr:colOff>1817914</xdr:colOff>
          <xdr:row>0</xdr:row>
          <xdr:rowOff>266700</xdr:rowOff>
        </xdr:to>
        <xdr:sp macro="" textlink="">
          <xdr:nvSpPr>
            <xdr:cNvPr id="91304" name="Drop Down 168" hidden="1">
              <a:extLst>
                <a:ext uri="{63B3BB69-23CF-44E3-9099-C40C66FF867C}">
                  <a14:compatExt spid="_x0000_s91304"/>
                </a:ext>
                <a:ext uri="{FF2B5EF4-FFF2-40B4-BE49-F238E27FC236}">
                  <a16:creationId xmlns:a16="http://schemas.microsoft.com/office/drawing/2014/main" id="{00000000-0008-0000-0800-0000A8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1540329</xdr:colOff>
          <xdr:row>0</xdr:row>
          <xdr:rowOff>59871</xdr:rowOff>
        </xdr:from>
        <xdr:to>
          <xdr:col>3</xdr:col>
          <xdr:colOff>1845129</xdr:colOff>
          <xdr:row>0</xdr:row>
          <xdr:rowOff>266700</xdr:rowOff>
        </xdr:to>
        <xdr:sp macro="" textlink="">
          <xdr:nvSpPr>
            <xdr:cNvPr id="91437" name="Spinner 301" hidden="1">
              <a:extLst>
                <a:ext uri="{63B3BB69-23CF-44E3-9099-C40C66FF867C}">
                  <a14:compatExt spid="_x0000_s91437"/>
                </a:ext>
                <a:ext uri="{FF2B5EF4-FFF2-40B4-BE49-F238E27FC236}">
                  <a16:creationId xmlns:a16="http://schemas.microsoft.com/office/drawing/2014/main" id="{00000000-0008-0000-0800-00002D65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59871</xdr:colOff>
          <xdr:row>0</xdr:row>
          <xdr:rowOff>16329</xdr:rowOff>
        </xdr:from>
        <xdr:to>
          <xdr:col>13</xdr:col>
          <xdr:colOff>359229</xdr:colOff>
          <xdr:row>1</xdr:row>
          <xdr:rowOff>16329</xdr:rowOff>
        </xdr:to>
        <xdr:sp macro="" textlink="">
          <xdr:nvSpPr>
            <xdr:cNvPr id="91440" name="Button 304" descr="Print data sheets" hidden="1">
              <a:extLst>
                <a:ext uri="{63B3BB69-23CF-44E3-9099-C40C66FF867C}">
                  <a14:compatExt spid="_x0000_s91440"/>
                </a:ext>
                <a:ext uri="{FF2B5EF4-FFF2-40B4-BE49-F238E27FC236}">
                  <a16:creationId xmlns:a16="http://schemas.microsoft.com/office/drawing/2014/main" id="{00000000-0008-0000-0800-0000306501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de-CH" sz="1000" b="0" i="0" u="none" strike="noStrike" baseline="0">
                  <a:solidFill>
                    <a:srgbClr val="000000"/>
                  </a:solidFill>
                  <a:latin typeface="Arial"/>
                  <a:cs typeface="Arial"/>
                </a:rPr>
                <a:t>Print data sheets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435429</xdr:colOff>
          <xdr:row>0</xdr:row>
          <xdr:rowOff>16329</xdr:rowOff>
        </xdr:from>
        <xdr:to>
          <xdr:col>14</xdr:col>
          <xdr:colOff>876300</xdr:colOff>
          <xdr:row>1</xdr:row>
          <xdr:rowOff>16329</xdr:rowOff>
        </xdr:to>
        <xdr:sp macro="" textlink="">
          <xdr:nvSpPr>
            <xdr:cNvPr id="91441" name="Button 305" descr="Save as PDF" hidden="1">
              <a:extLst>
                <a:ext uri="{63B3BB69-23CF-44E3-9099-C40C66FF867C}">
                  <a14:compatExt spid="_x0000_s91441"/>
                </a:ext>
                <a:ext uri="{FF2B5EF4-FFF2-40B4-BE49-F238E27FC236}">
                  <a16:creationId xmlns:a16="http://schemas.microsoft.com/office/drawing/2014/main" id="{00000000-0008-0000-0800-0000316501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de-CH" sz="1000" b="0" i="0" u="none" strike="noStrike" baseline="0">
                  <a:solidFill>
                    <a:srgbClr val="000000"/>
                  </a:solidFill>
                  <a:latin typeface="Arial"/>
                  <a:cs typeface="Arial"/>
                </a:rPr>
                <a:t>Save as PDF</a:t>
              </a:r>
            </a:p>
          </xdr:txBody>
        </xdr:sp>
        <xdr:clientData fLocksWithSheet="0" fPrintsWithSheet="0"/>
      </xdr:twoCellAnchor>
    </mc:Choice>
    <mc:Fallback/>
  </mc:AlternateContent>
  <xdr:twoCellAnchor editAs="absolute">
    <xdr:from>
      <xdr:col>2</xdr:col>
      <xdr:colOff>57150</xdr:colOff>
      <xdr:row>198</xdr:row>
      <xdr:rowOff>28571</xdr:rowOff>
    </xdr:from>
    <xdr:to>
      <xdr:col>6</xdr:col>
      <xdr:colOff>792162</xdr:colOff>
      <xdr:row>211</xdr:row>
      <xdr:rowOff>41264</xdr:rowOff>
    </xdr:to>
    <xdr:graphicFrame macro="">
      <xdr:nvGraphicFramePr>
        <xdr:cNvPr id="29" name="Diagramm 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6</xdr:col>
      <xdr:colOff>827088</xdr:colOff>
      <xdr:row>198</xdr:row>
      <xdr:rowOff>28571</xdr:rowOff>
    </xdr:from>
    <xdr:to>
      <xdr:col>14</xdr:col>
      <xdr:colOff>800100</xdr:colOff>
      <xdr:row>210</xdr:row>
      <xdr:rowOff>142870</xdr:rowOff>
    </xdr:to>
    <xdr:graphicFrame macro="">
      <xdr:nvGraphicFramePr>
        <xdr:cNvPr id="30" name="Diagramm 8">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absolute">
    <xdr:from>
      <xdr:col>1</xdr:col>
      <xdr:colOff>0</xdr:colOff>
      <xdr:row>213</xdr:row>
      <xdr:rowOff>18845</xdr:rowOff>
    </xdr:from>
    <xdr:to>
      <xdr:col>6</xdr:col>
      <xdr:colOff>523441</xdr:colOff>
      <xdr:row>225</xdr:row>
      <xdr:rowOff>82538</xdr:rowOff>
    </xdr:to>
    <xdr:graphicFrame macro="">
      <xdr:nvGraphicFramePr>
        <xdr:cNvPr id="33" name="Diagramm 8">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absolute">
    <xdr:from>
      <xdr:col>6</xdr:col>
      <xdr:colOff>781049</xdr:colOff>
      <xdr:row>212</xdr:row>
      <xdr:rowOff>188027</xdr:rowOff>
    </xdr:from>
    <xdr:to>
      <xdr:col>14</xdr:col>
      <xdr:colOff>172605</xdr:colOff>
      <xdr:row>226</xdr:row>
      <xdr:rowOff>49719</xdr:rowOff>
    </xdr:to>
    <xdr:graphicFrame macro="">
      <xdr:nvGraphicFramePr>
        <xdr:cNvPr id="34" name="Diagramm 8">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6</xdr:col>
      <xdr:colOff>896937</xdr:colOff>
      <xdr:row>199</xdr:row>
      <xdr:rowOff>7936</xdr:rowOff>
    </xdr:from>
    <xdr:to>
      <xdr:col>7</xdr:col>
      <xdr:colOff>198437</xdr:colOff>
      <xdr:row>202</xdr:row>
      <xdr:rowOff>15874</xdr:rowOff>
    </xdr:to>
    <xdr:sp macro="" textlink="">
      <xdr:nvSpPr>
        <xdr:cNvPr id="2" name="Rechteck 1">
          <a:extLst>
            <a:ext uri="{FF2B5EF4-FFF2-40B4-BE49-F238E27FC236}">
              <a16:creationId xmlns:a16="http://schemas.microsoft.com/office/drawing/2014/main" id="{00000000-0008-0000-0800-000002000000}"/>
            </a:ext>
          </a:extLst>
        </xdr:cNvPr>
        <xdr:cNvSpPr/>
      </xdr:nvSpPr>
      <xdr:spPr bwMode="auto">
        <a:xfrm>
          <a:off x="5992812" y="27352624"/>
          <a:ext cx="206375" cy="627063"/>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W/m</a:t>
          </a:r>
          <a:r>
            <a:rPr lang="de-CH" sz="800" baseline="30000">
              <a:latin typeface="Arial" panose="020B0604020202020204" pitchFamily="34" charset="0"/>
              <a:cs typeface="Arial" panose="020B0604020202020204" pitchFamily="34" charset="0"/>
            </a:rPr>
            <a:t>2</a:t>
          </a:r>
        </a:p>
      </xdr:txBody>
    </xdr:sp>
    <xdr:clientData/>
  </xdr:twoCellAnchor>
  <xdr:twoCellAnchor>
    <xdr:from>
      <xdr:col>2</xdr:col>
      <xdr:colOff>107519</xdr:colOff>
      <xdr:row>200</xdr:row>
      <xdr:rowOff>31029</xdr:rowOff>
    </xdr:from>
    <xdr:to>
      <xdr:col>2</xdr:col>
      <xdr:colOff>313894</xdr:colOff>
      <xdr:row>203</xdr:row>
      <xdr:rowOff>38967</xdr:rowOff>
    </xdr:to>
    <xdr:sp macro="" textlink="">
      <xdr:nvSpPr>
        <xdr:cNvPr id="35" name="Rechteck 34">
          <a:extLst>
            <a:ext uri="{FF2B5EF4-FFF2-40B4-BE49-F238E27FC236}">
              <a16:creationId xmlns:a16="http://schemas.microsoft.com/office/drawing/2014/main" id="{00000000-0008-0000-0800-000023000000}"/>
            </a:ext>
          </a:extLst>
        </xdr:cNvPr>
        <xdr:cNvSpPr/>
      </xdr:nvSpPr>
      <xdr:spPr bwMode="auto">
        <a:xfrm>
          <a:off x="349974" y="27630438"/>
          <a:ext cx="206375" cy="614074"/>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kWh/m</a:t>
          </a:r>
          <a:r>
            <a:rPr lang="de-CH" sz="800" baseline="30000">
              <a:latin typeface="Arial" panose="020B0604020202020204" pitchFamily="34" charset="0"/>
              <a:cs typeface="Arial" panose="020B0604020202020204" pitchFamily="34" charset="0"/>
            </a:rPr>
            <a:t>2</a:t>
          </a:r>
        </a:p>
      </xdr:txBody>
    </xdr:sp>
    <xdr:clientData/>
  </xdr:twoCellAnchor>
  <xdr:twoCellAnchor>
    <xdr:from>
      <xdr:col>6</xdr:col>
      <xdr:colOff>225137</xdr:colOff>
      <xdr:row>212</xdr:row>
      <xdr:rowOff>173185</xdr:rowOff>
    </xdr:from>
    <xdr:to>
      <xdr:col>6</xdr:col>
      <xdr:colOff>432956</xdr:colOff>
      <xdr:row>215</xdr:row>
      <xdr:rowOff>181123</xdr:rowOff>
    </xdr:to>
    <xdr:sp macro="" textlink="">
      <xdr:nvSpPr>
        <xdr:cNvPr id="37" name="Rechteck 36">
          <a:extLst>
            <a:ext uri="{FF2B5EF4-FFF2-40B4-BE49-F238E27FC236}">
              <a16:creationId xmlns:a16="http://schemas.microsoft.com/office/drawing/2014/main" id="{00000000-0008-0000-0800-000025000000}"/>
            </a:ext>
          </a:extLst>
        </xdr:cNvPr>
        <xdr:cNvSpPr/>
      </xdr:nvSpPr>
      <xdr:spPr bwMode="auto">
        <a:xfrm>
          <a:off x="5339773" y="30197140"/>
          <a:ext cx="207819" cy="614074"/>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3</a:t>
          </a:r>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2</a:t>
          </a:r>
          <a:r>
            <a:rPr lang="de-CH" sz="800" baseline="0">
              <a:latin typeface="Arial" panose="020B0604020202020204" pitchFamily="34" charset="0"/>
              <a:cs typeface="Arial" panose="020B0604020202020204" pitchFamily="34" charset="0"/>
            </a:rPr>
            <a:t>h)</a:t>
          </a:r>
        </a:p>
      </xdr:txBody>
    </xdr:sp>
    <xdr:clientData/>
  </xdr:twoCellAnchor>
  <xdr:twoCellAnchor>
    <xdr:from>
      <xdr:col>13</xdr:col>
      <xdr:colOff>952499</xdr:colOff>
      <xdr:row>212</xdr:row>
      <xdr:rowOff>127004</xdr:rowOff>
    </xdr:from>
    <xdr:to>
      <xdr:col>14</xdr:col>
      <xdr:colOff>184727</xdr:colOff>
      <xdr:row>215</xdr:row>
      <xdr:rowOff>134942</xdr:rowOff>
    </xdr:to>
    <xdr:sp macro="" textlink="">
      <xdr:nvSpPr>
        <xdr:cNvPr id="38" name="Rechteck 37">
          <a:extLst>
            <a:ext uri="{FF2B5EF4-FFF2-40B4-BE49-F238E27FC236}">
              <a16:creationId xmlns:a16="http://schemas.microsoft.com/office/drawing/2014/main" id="{00000000-0008-0000-0800-000026000000}"/>
            </a:ext>
          </a:extLst>
        </xdr:cNvPr>
        <xdr:cNvSpPr/>
      </xdr:nvSpPr>
      <xdr:spPr bwMode="auto">
        <a:xfrm>
          <a:off x="10893135" y="30150959"/>
          <a:ext cx="207819" cy="614074"/>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3</a:t>
          </a:r>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2</a:t>
          </a:r>
          <a:r>
            <a:rPr lang="de-CH" sz="800" baseline="0">
              <a:latin typeface="Arial" panose="020B0604020202020204" pitchFamily="34" charset="0"/>
              <a:cs typeface="Arial" panose="020B0604020202020204" pitchFamily="34" charset="0"/>
            </a:rPr>
            <a:t>h)</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28</xdr:row>
      <xdr:rowOff>0</xdr:rowOff>
    </xdr:from>
    <xdr:to>
      <xdr:col>3</xdr:col>
      <xdr:colOff>0</xdr:colOff>
      <xdr:row>28</xdr:row>
      <xdr:rowOff>0</xdr:rowOff>
    </xdr:to>
    <xdr:graphicFrame macro="">
      <xdr:nvGraphicFramePr>
        <xdr:cNvPr id="2" name="Diagramm 2">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28</xdr:row>
      <xdr:rowOff>0</xdr:rowOff>
    </xdr:from>
    <xdr:to>
      <xdr:col>3</xdr:col>
      <xdr:colOff>0</xdr:colOff>
      <xdr:row>28</xdr:row>
      <xdr:rowOff>0</xdr:rowOff>
    </xdr:to>
    <xdr:graphicFrame macro="">
      <xdr:nvGraphicFramePr>
        <xdr:cNvPr id="3" name="Diagramm 4">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46</xdr:row>
      <xdr:rowOff>0</xdr:rowOff>
    </xdr:from>
    <xdr:to>
      <xdr:col>3</xdr:col>
      <xdr:colOff>0</xdr:colOff>
      <xdr:row>46</xdr:row>
      <xdr:rowOff>0</xdr:rowOff>
    </xdr:to>
    <xdr:graphicFrame macro="">
      <xdr:nvGraphicFramePr>
        <xdr:cNvPr id="4" name="Diagramm 5">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5" name="Diagramm 7">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125</xdr:row>
      <xdr:rowOff>0</xdr:rowOff>
    </xdr:from>
    <xdr:to>
      <xdr:col>17</xdr:col>
      <xdr:colOff>0</xdr:colOff>
      <xdr:row>125</xdr:row>
      <xdr:rowOff>0</xdr:rowOff>
    </xdr:to>
    <xdr:graphicFrame macro="">
      <xdr:nvGraphicFramePr>
        <xdr:cNvPr id="6" name="Diagramm 12">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7" name="Diagramm 28">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8" name="Diagramm 29">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8</xdr:col>
      <xdr:colOff>25979</xdr:colOff>
      <xdr:row>281</xdr:row>
      <xdr:rowOff>46759</xdr:rowOff>
    </xdr:from>
    <xdr:to>
      <xdr:col>12</xdr:col>
      <xdr:colOff>1160030</xdr:colOff>
      <xdr:row>312</xdr:row>
      <xdr:rowOff>47722</xdr:rowOff>
    </xdr:to>
    <xdr:graphicFrame macro="">
      <xdr:nvGraphicFramePr>
        <xdr:cNvPr id="9" name="Diagramm 40">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90921</xdr:colOff>
      <xdr:row>45</xdr:row>
      <xdr:rowOff>77932</xdr:rowOff>
    </xdr:from>
    <xdr:to>
      <xdr:col>7</xdr:col>
      <xdr:colOff>595746</xdr:colOff>
      <xdr:row>51</xdr:row>
      <xdr:rowOff>43295</xdr:rowOff>
    </xdr:to>
    <xdr:graphicFrame macro="">
      <xdr:nvGraphicFramePr>
        <xdr:cNvPr id="10" name="Diagramm 8">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11" name="Diagramm 66">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12" name="Diagramm 67">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13" name="Diagramm 71">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14" name="Diagramm 72">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15" name="Diagramm 76">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16" name="Diagramm 77">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264</xdr:row>
      <xdr:rowOff>0</xdr:rowOff>
    </xdr:from>
    <xdr:to>
      <xdr:col>2</xdr:col>
      <xdr:colOff>0</xdr:colOff>
      <xdr:row>264</xdr:row>
      <xdr:rowOff>0</xdr:rowOff>
    </xdr:to>
    <xdr:graphicFrame macro="">
      <xdr:nvGraphicFramePr>
        <xdr:cNvPr id="17" name="Diagramm 97">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0</xdr:colOff>
      <xdr:row>70</xdr:row>
      <xdr:rowOff>0</xdr:rowOff>
    </xdr:from>
    <xdr:to>
      <xdr:col>14</xdr:col>
      <xdr:colOff>0</xdr:colOff>
      <xdr:row>70</xdr:row>
      <xdr:rowOff>0</xdr:rowOff>
    </xdr:to>
    <xdr:graphicFrame macro="">
      <xdr:nvGraphicFramePr>
        <xdr:cNvPr id="18" name="Diagramm 98">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103909</xdr:colOff>
      <xdr:row>69</xdr:row>
      <xdr:rowOff>64462</xdr:rowOff>
    </xdr:from>
    <xdr:to>
      <xdr:col>7</xdr:col>
      <xdr:colOff>497031</xdr:colOff>
      <xdr:row>74</xdr:row>
      <xdr:rowOff>205220</xdr:rowOff>
    </xdr:to>
    <xdr:graphicFrame macro="">
      <xdr:nvGraphicFramePr>
        <xdr:cNvPr id="19" name="Diagramm 102">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189074</xdr:colOff>
      <xdr:row>282</xdr:row>
      <xdr:rowOff>27109</xdr:rowOff>
    </xdr:from>
    <xdr:to>
      <xdr:col>13</xdr:col>
      <xdr:colOff>189074</xdr:colOff>
      <xdr:row>291</xdr:row>
      <xdr:rowOff>169984</xdr:rowOff>
    </xdr:to>
    <xdr:sp macro="" textlink="">
      <xdr:nvSpPr>
        <xdr:cNvPr id="20" name="Line 47">
          <a:extLst>
            <a:ext uri="{FF2B5EF4-FFF2-40B4-BE49-F238E27FC236}">
              <a16:creationId xmlns:a16="http://schemas.microsoft.com/office/drawing/2014/main" id="{00000000-0008-0000-0900-000014000000}"/>
            </a:ext>
          </a:extLst>
        </xdr:cNvPr>
        <xdr:cNvSpPr>
          <a:spLocks noChangeShapeType="1"/>
        </xdr:cNvSpPr>
      </xdr:nvSpPr>
      <xdr:spPr bwMode="auto">
        <a:xfrm flipH="1" flipV="1">
          <a:off x="10126824" y="41194159"/>
          <a:ext cx="0" cy="1577975"/>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180974</xdr:colOff>
      <xdr:row>281</xdr:row>
      <xdr:rowOff>38100</xdr:rowOff>
    </xdr:from>
    <xdr:to>
      <xdr:col>6</xdr:col>
      <xdr:colOff>411738</xdr:colOff>
      <xdr:row>312</xdr:row>
      <xdr:rowOff>625</xdr:rowOff>
    </xdr:to>
    <xdr:graphicFrame macro="">
      <xdr:nvGraphicFramePr>
        <xdr:cNvPr id="21" name="Diagramm 108">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216604</xdr:colOff>
      <xdr:row>281</xdr:row>
      <xdr:rowOff>166953</xdr:rowOff>
    </xdr:from>
    <xdr:to>
      <xdr:col>4</xdr:col>
      <xdr:colOff>216604</xdr:colOff>
      <xdr:row>291</xdr:row>
      <xdr:rowOff>112625</xdr:rowOff>
    </xdr:to>
    <xdr:sp macro="" textlink="">
      <xdr:nvSpPr>
        <xdr:cNvPr id="22" name="Line 109">
          <a:extLst>
            <a:ext uri="{FF2B5EF4-FFF2-40B4-BE49-F238E27FC236}">
              <a16:creationId xmlns:a16="http://schemas.microsoft.com/office/drawing/2014/main" id="{00000000-0008-0000-0900-000016000000}"/>
            </a:ext>
          </a:extLst>
        </xdr:cNvPr>
        <xdr:cNvSpPr>
          <a:spLocks noChangeShapeType="1"/>
        </xdr:cNvSpPr>
      </xdr:nvSpPr>
      <xdr:spPr bwMode="auto">
        <a:xfrm flipV="1">
          <a:off x="3131254" y="41168903"/>
          <a:ext cx="0" cy="1558572"/>
        </a:xfrm>
        <a:prstGeom prst="line">
          <a:avLst/>
        </a:prstGeom>
        <a:noFill/>
        <a:ln w="9525">
          <a:solidFill>
            <a:srgbClr xmlns:mc="http://schemas.openxmlformats.org/markup-compatibility/2006" xmlns:a14="http://schemas.microsoft.com/office/drawing/2010/main" val="000000" mc:Ignorable="a14" a14:legacySpreadsheetColorIndex="64"/>
          </a:solidFill>
          <a:prstDash val="sysDot"/>
          <a:round/>
          <a:headEnd/>
          <a:tailEnd/>
        </a:ln>
        <a:extLst>
          <a:ext uri="{909E8E84-426E-40DD-AFC4-6F175D3DCCD1}">
            <a14:hiddenFill xmlns:a14="http://schemas.microsoft.com/office/drawing/2010/main">
              <a:noFill/>
            </a14:hiddenFill>
          </a:ext>
        </a:extLst>
      </xdr:spPr>
    </xdr:sp>
    <xdr:clientData/>
  </xdr:twoCellAnchor>
  <xdr:twoCellAnchor editAs="absolute">
    <xdr:from>
      <xdr:col>7</xdr:col>
      <xdr:colOff>1208376</xdr:colOff>
      <xdr:row>45</xdr:row>
      <xdr:rowOff>85725</xdr:rowOff>
    </xdr:from>
    <xdr:to>
      <xdr:col>12</xdr:col>
      <xdr:colOff>1153535</xdr:colOff>
      <xdr:row>51</xdr:row>
      <xdr:rowOff>26843</xdr:rowOff>
    </xdr:to>
    <xdr:graphicFrame macro="">
      <xdr:nvGraphicFramePr>
        <xdr:cNvPr id="23" name="Diagramm 121">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54429</xdr:rowOff>
        </xdr:from>
        <xdr:to>
          <xdr:col>3</xdr:col>
          <xdr:colOff>1812471</xdr:colOff>
          <xdr:row>0</xdr:row>
          <xdr:rowOff>283029</xdr:rowOff>
        </xdr:to>
        <xdr:sp macro="" textlink="">
          <xdr:nvSpPr>
            <xdr:cNvPr id="295937" name="Drop Down 1" hidden="1">
              <a:extLst>
                <a:ext uri="{63B3BB69-23CF-44E3-9099-C40C66FF867C}">
                  <a14:compatExt spid="_x0000_s295937"/>
                </a:ext>
                <a:ext uri="{FF2B5EF4-FFF2-40B4-BE49-F238E27FC236}">
                  <a16:creationId xmlns:a16="http://schemas.microsoft.com/office/drawing/2014/main" id="{00000000-0008-0000-0900-0000018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1540329</xdr:colOff>
          <xdr:row>0</xdr:row>
          <xdr:rowOff>59871</xdr:rowOff>
        </xdr:from>
        <xdr:to>
          <xdr:col>3</xdr:col>
          <xdr:colOff>1845129</xdr:colOff>
          <xdr:row>0</xdr:row>
          <xdr:rowOff>266700</xdr:rowOff>
        </xdr:to>
        <xdr:sp macro="" textlink="">
          <xdr:nvSpPr>
            <xdr:cNvPr id="295938" name="Spinner 2" hidden="1">
              <a:extLst>
                <a:ext uri="{63B3BB69-23CF-44E3-9099-C40C66FF867C}">
                  <a14:compatExt spid="_x0000_s295938"/>
                </a:ext>
                <a:ext uri="{FF2B5EF4-FFF2-40B4-BE49-F238E27FC236}">
                  <a16:creationId xmlns:a16="http://schemas.microsoft.com/office/drawing/2014/main" id="{00000000-0008-0000-0900-00000284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549729</xdr:colOff>
          <xdr:row>0</xdr:row>
          <xdr:rowOff>16329</xdr:rowOff>
        </xdr:from>
        <xdr:to>
          <xdr:col>11</xdr:col>
          <xdr:colOff>778329</xdr:colOff>
          <xdr:row>1</xdr:row>
          <xdr:rowOff>16329</xdr:rowOff>
        </xdr:to>
        <xdr:sp macro="" textlink="">
          <xdr:nvSpPr>
            <xdr:cNvPr id="295939" name="Button 3" descr="Print data sheets" hidden="1">
              <a:extLst>
                <a:ext uri="{63B3BB69-23CF-44E3-9099-C40C66FF867C}">
                  <a14:compatExt spid="_x0000_s295939"/>
                </a:ext>
                <a:ext uri="{FF2B5EF4-FFF2-40B4-BE49-F238E27FC236}">
                  <a16:creationId xmlns:a16="http://schemas.microsoft.com/office/drawing/2014/main" id="{00000000-0008-0000-0900-0000038404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de-CH" sz="1000" b="0" i="0" u="none" strike="noStrike" baseline="0">
                  <a:solidFill>
                    <a:srgbClr val="000000"/>
                  </a:solidFill>
                  <a:latin typeface="Arial"/>
                  <a:cs typeface="Arial"/>
                </a:rPr>
                <a:t>Print data sheets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859971</xdr:colOff>
          <xdr:row>0</xdr:row>
          <xdr:rowOff>16329</xdr:rowOff>
        </xdr:from>
        <xdr:to>
          <xdr:col>13</xdr:col>
          <xdr:colOff>0</xdr:colOff>
          <xdr:row>1</xdr:row>
          <xdr:rowOff>16329</xdr:rowOff>
        </xdr:to>
        <xdr:sp macro="" textlink="">
          <xdr:nvSpPr>
            <xdr:cNvPr id="295940" name="Button 4" descr="Save as PDF" hidden="1">
              <a:extLst>
                <a:ext uri="{63B3BB69-23CF-44E3-9099-C40C66FF867C}">
                  <a14:compatExt spid="_x0000_s295940"/>
                </a:ext>
                <a:ext uri="{FF2B5EF4-FFF2-40B4-BE49-F238E27FC236}">
                  <a16:creationId xmlns:a16="http://schemas.microsoft.com/office/drawing/2014/main" id="{00000000-0008-0000-0900-0000048404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de-CH" sz="1000" b="0" i="0" u="none" strike="noStrike" baseline="0">
                  <a:solidFill>
                    <a:srgbClr val="000000"/>
                  </a:solidFill>
                  <a:latin typeface="Arial"/>
                  <a:cs typeface="Arial"/>
                </a:rPr>
                <a:t>Save as PDF</a:t>
              </a:r>
            </a:p>
          </xdr:txBody>
        </xdr:sp>
        <xdr:clientData fLocksWithSheet="0" fPrintsWithSheet="0"/>
      </xdr:twoCellAnchor>
    </mc:Choice>
    <mc:Fallback/>
  </mc:AlternateContent>
  <xdr:twoCellAnchor>
    <xdr:from>
      <xdr:col>2</xdr:col>
      <xdr:colOff>63500</xdr:colOff>
      <xdr:row>198</xdr:row>
      <xdr:rowOff>0</xdr:rowOff>
    </xdr:from>
    <xdr:to>
      <xdr:col>6</xdr:col>
      <xdr:colOff>793750</xdr:colOff>
      <xdr:row>210</xdr:row>
      <xdr:rowOff>119063</xdr:rowOff>
    </xdr:to>
    <xdr:graphicFrame macro="">
      <xdr:nvGraphicFramePr>
        <xdr:cNvPr id="28" name="Diagramm 8">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6</xdr:col>
      <xdr:colOff>838200</xdr:colOff>
      <xdr:row>198</xdr:row>
      <xdr:rowOff>0</xdr:rowOff>
    </xdr:from>
    <xdr:to>
      <xdr:col>13</xdr:col>
      <xdr:colOff>0</xdr:colOff>
      <xdr:row>210</xdr:row>
      <xdr:rowOff>95250</xdr:rowOff>
    </xdr:to>
    <xdr:graphicFrame macro="">
      <xdr:nvGraphicFramePr>
        <xdr:cNvPr id="29" name="Diagramm 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17318</xdr:colOff>
      <xdr:row>212</xdr:row>
      <xdr:rowOff>86592</xdr:rowOff>
    </xdr:from>
    <xdr:to>
      <xdr:col>6</xdr:col>
      <xdr:colOff>525029</xdr:colOff>
      <xdr:row>224</xdr:row>
      <xdr:rowOff>170008</xdr:rowOff>
    </xdr:to>
    <xdr:graphicFrame macro="">
      <xdr:nvGraphicFramePr>
        <xdr:cNvPr id="30" name="Diagramm 8">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absolute">
    <xdr:from>
      <xdr:col>6</xdr:col>
      <xdr:colOff>792161</xdr:colOff>
      <xdr:row>212</xdr:row>
      <xdr:rowOff>11833</xdr:rowOff>
    </xdr:from>
    <xdr:to>
      <xdr:col>12</xdr:col>
      <xdr:colOff>559955</xdr:colOff>
      <xdr:row>225</xdr:row>
      <xdr:rowOff>0</xdr:rowOff>
    </xdr:to>
    <xdr:graphicFrame macro="">
      <xdr:nvGraphicFramePr>
        <xdr:cNvPr id="31" name="Diagramm 8">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6</xdr:col>
      <xdr:colOff>896937</xdr:colOff>
      <xdr:row>199</xdr:row>
      <xdr:rowOff>7936</xdr:rowOff>
    </xdr:from>
    <xdr:to>
      <xdr:col>7</xdr:col>
      <xdr:colOff>198437</xdr:colOff>
      <xdr:row>202</xdr:row>
      <xdr:rowOff>15874</xdr:rowOff>
    </xdr:to>
    <xdr:sp macro="" textlink="">
      <xdr:nvSpPr>
        <xdr:cNvPr id="32" name="Rechteck 31">
          <a:extLst>
            <a:ext uri="{FF2B5EF4-FFF2-40B4-BE49-F238E27FC236}">
              <a16:creationId xmlns:a16="http://schemas.microsoft.com/office/drawing/2014/main" id="{00000000-0008-0000-0900-000020000000}"/>
            </a:ext>
          </a:extLst>
        </xdr:cNvPr>
        <xdr:cNvSpPr/>
      </xdr:nvSpPr>
      <xdr:spPr bwMode="auto">
        <a:xfrm>
          <a:off x="6008687" y="27185936"/>
          <a:ext cx="209550" cy="617538"/>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W/m</a:t>
          </a:r>
          <a:r>
            <a:rPr lang="de-CH" sz="800" baseline="30000">
              <a:latin typeface="Arial" panose="020B0604020202020204" pitchFamily="34" charset="0"/>
              <a:cs typeface="Arial" panose="020B0604020202020204" pitchFamily="34" charset="0"/>
            </a:rPr>
            <a:t>2</a:t>
          </a:r>
        </a:p>
      </xdr:txBody>
    </xdr:sp>
    <xdr:clientData/>
  </xdr:twoCellAnchor>
  <xdr:twoCellAnchor>
    <xdr:from>
      <xdr:col>2</xdr:col>
      <xdr:colOff>107519</xdr:colOff>
      <xdr:row>200</xdr:row>
      <xdr:rowOff>31029</xdr:rowOff>
    </xdr:from>
    <xdr:to>
      <xdr:col>2</xdr:col>
      <xdr:colOff>313894</xdr:colOff>
      <xdr:row>203</xdr:row>
      <xdr:rowOff>38967</xdr:rowOff>
    </xdr:to>
    <xdr:sp macro="" textlink="">
      <xdr:nvSpPr>
        <xdr:cNvPr id="33" name="Rechteck 32">
          <a:extLst>
            <a:ext uri="{FF2B5EF4-FFF2-40B4-BE49-F238E27FC236}">
              <a16:creationId xmlns:a16="http://schemas.microsoft.com/office/drawing/2014/main" id="{00000000-0008-0000-0900-000021000000}"/>
            </a:ext>
          </a:extLst>
        </xdr:cNvPr>
        <xdr:cNvSpPr/>
      </xdr:nvSpPr>
      <xdr:spPr bwMode="auto">
        <a:xfrm>
          <a:off x="348819" y="27412229"/>
          <a:ext cx="206375" cy="617538"/>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kWh/m</a:t>
          </a:r>
          <a:r>
            <a:rPr lang="de-CH" sz="800" baseline="30000">
              <a:latin typeface="Arial" panose="020B0604020202020204" pitchFamily="34" charset="0"/>
              <a:cs typeface="Arial" panose="020B0604020202020204" pitchFamily="34" charset="0"/>
            </a:rPr>
            <a:t>2</a:t>
          </a:r>
        </a:p>
      </xdr:txBody>
    </xdr:sp>
    <xdr:clientData/>
  </xdr:twoCellAnchor>
  <xdr:twoCellAnchor>
    <xdr:from>
      <xdr:col>6</xdr:col>
      <xdr:colOff>225137</xdr:colOff>
      <xdr:row>212</xdr:row>
      <xdr:rowOff>173185</xdr:rowOff>
    </xdr:from>
    <xdr:to>
      <xdr:col>6</xdr:col>
      <xdr:colOff>432956</xdr:colOff>
      <xdr:row>215</xdr:row>
      <xdr:rowOff>181123</xdr:rowOff>
    </xdr:to>
    <xdr:sp macro="" textlink="">
      <xdr:nvSpPr>
        <xdr:cNvPr id="34" name="Rechteck 33">
          <a:extLst>
            <a:ext uri="{FF2B5EF4-FFF2-40B4-BE49-F238E27FC236}">
              <a16:creationId xmlns:a16="http://schemas.microsoft.com/office/drawing/2014/main" id="{00000000-0008-0000-0900-000022000000}"/>
            </a:ext>
          </a:extLst>
        </xdr:cNvPr>
        <xdr:cNvSpPr/>
      </xdr:nvSpPr>
      <xdr:spPr bwMode="auto">
        <a:xfrm>
          <a:off x="5336887" y="29992785"/>
          <a:ext cx="207819" cy="617538"/>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3</a:t>
          </a:r>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2</a:t>
          </a:r>
          <a:r>
            <a:rPr lang="de-CH" sz="800" baseline="0">
              <a:latin typeface="Arial" panose="020B0604020202020204" pitchFamily="34" charset="0"/>
              <a:cs typeface="Arial" panose="020B0604020202020204" pitchFamily="34" charset="0"/>
            </a:rPr>
            <a:t>h)</a:t>
          </a:r>
        </a:p>
      </xdr:txBody>
    </xdr:sp>
    <xdr:clientData/>
  </xdr:twoCellAnchor>
  <xdr:twoCellAnchor>
    <xdr:from>
      <xdr:col>13</xdr:col>
      <xdr:colOff>952499</xdr:colOff>
      <xdr:row>212</xdr:row>
      <xdr:rowOff>127004</xdr:rowOff>
    </xdr:from>
    <xdr:to>
      <xdr:col>14</xdr:col>
      <xdr:colOff>184727</xdr:colOff>
      <xdr:row>215</xdr:row>
      <xdr:rowOff>134942</xdr:rowOff>
    </xdr:to>
    <xdr:sp macro="" textlink="">
      <xdr:nvSpPr>
        <xdr:cNvPr id="35" name="Rechteck 34">
          <a:extLst>
            <a:ext uri="{FF2B5EF4-FFF2-40B4-BE49-F238E27FC236}">
              <a16:creationId xmlns:a16="http://schemas.microsoft.com/office/drawing/2014/main" id="{00000000-0008-0000-0900-000023000000}"/>
            </a:ext>
          </a:extLst>
        </xdr:cNvPr>
        <xdr:cNvSpPr/>
      </xdr:nvSpPr>
      <xdr:spPr bwMode="auto">
        <a:xfrm>
          <a:off x="10890249" y="29946604"/>
          <a:ext cx="210128" cy="617538"/>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3</a:t>
          </a:r>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2</a:t>
          </a:r>
          <a:r>
            <a:rPr lang="de-CH" sz="800" baseline="0">
              <a:latin typeface="Arial" panose="020B0604020202020204" pitchFamily="34" charset="0"/>
              <a:cs typeface="Arial" panose="020B0604020202020204" pitchFamily="34" charset="0"/>
            </a:rPr>
            <a:t>h)</a:t>
          </a:r>
        </a:p>
      </xdr:txBody>
    </xdr:sp>
    <xdr:clientData/>
  </xdr:twoCellAnchor>
  <mc:AlternateContent xmlns:mc="http://schemas.openxmlformats.org/markup-compatibility/2006">
    <mc:Choice xmlns:a14="http://schemas.microsoft.com/office/drawing/2010/main" Requires="a14">
      <xdr:twoCellAnchor editAs="oneCell">
        <xdr:from>
          <xdr:col>5</xdr:col>
          <xdr:colOff>326571</xdr:colOff>
          <xdr:row>0</xdr:row>
          <xdr:rowOff>38100</xdr:rowOff>
        </xdr:from>
        <xdr:to>
          <xdr:col>7</xdr:col>
          <xdr:colOff>402771</xdr:colOff>
          <xdr:row>0</xdr:row>
          <xdr:rowOff>283029</xdr:rowOff>
        </xdr:to>
        <xdr:sp macro="" textlink="">
          <xdr:nvSpPr>
            <xdr:cNvPr id="295944" name="Drop Down 8" hidden="1">
              <a:extLst>
                <a:ext uri="{63B3BB69-23CF-44E3-9099-C40C66FF867C}">
                  <a14:compatExt spid="_x0000_s295944"/>
                </a:ext>
                <a:ext uri="{FF2B5EF4-FFF2-40B4-BE49-F238E27FC236}">
                  <a16:creationId xmlns:a16="http://schemas.microsoft.com/office/drawing/2014/main" id="{00000000-0008-0000-0900-0000088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12</xdr:col>
      <xdr:colOff>352136</xdr:colOff>
      <xdr:row>212</xdr:row>
      <xdr:rowOff>127002</xdr:rowOff>
    </xdr:from>
    <xdr:to>
      <xdr:col>12</xdr:col>
      <xdr:colOff>559955</xdr:colOff>
      <xdr:row>215</xdr:row>
      <xdr:rowOff>134940</xdr:rowOff>
    </xdr:to>
    <xdr:sp macro="" textlink="">
      <xdr:nvSpPr>
        <xdr:cNvPr id="37" name="Rechteck 36">
          <a:extLst>
            <a:ext uri="{FF2B5EF4-FFF2-40B4-BE49-F238E27FC236}">
              <a16:creationId xmlns:a16="http://schemas.microsoft.com/office/drawing/2014/main" id="{00000000-0008-0000-0900-000025000000}"/>
            </a:ext>
          </a:extLst>
        </xdr:cNvPr>
        <xdr:cNvSpPr/>
      </xdr:nvSpPr>
      <xdr:spPr bwMode="auto">
        <a:xfrm>
          <a:off x="10887363" y="30150957"/>
          <a:ext cx="207819" cy="614074"/>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vert="vert270" wrap="square" lIns="0" tIns="0" rIns="0" bIns="0" rtlCol="0" anchor="ctr" upright="1"/>
        <a:lstStyle/>
        <a:p>
          <a:pPr algn="l"/>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3</a:t>
          </a:r>
          <a:r>
            <a:rPr lang="de-CH" sz="800">
              <a:latin typeface="Arial" panose="020B0604020202020204" pitchFamily="34" charset="0"/>
              <a:cs typeface="Arial" panose="020B0604020202020204" pitchFamily="34" charset="0"/>
            </a:rPr>
            <a:t>/(m</a:t>
          </a:r>
          <a:r>
            <a:rPr lang="de-CH" sz="800" baseline="30000">
              <a:latin typeface="Arial" panose="020B0604020202020204" pitchFamily="34" charset="0"/>
              <a:cs typeface="Arial" panose="020B0604020202020204" pitchFamily="34" charset="0"/>
            </a:rPr>
            <a:t>2</a:t>
          </a:r>
          <a:r>
            <a:rPr lang="de-CH" sz="800" baseline="0">
              <a:latin typeface="Arial" panose="020B0604020202020204" pitchFamily="34" charset="0"/>
              <a:cs typeface="Arial" panose="020B0604020202020204" pitchFamily="34" charset="0"/>
            </a:rPr>
            <a:t>h)</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78</xdr:col>
      <xdr:colOff>190499</xdr:colOff>
      <xdr:row>58</xdr:row>
      <xdr:rowOff>138547</xdr:rowOff>
    </xdr:from>
    <xdr:to>
      <xdr:col>89</xdr:col>
      <xdr:colOff>164522</xdr:colOff>
      <xdr:row>82</xdr:row>
      <xdr:rowOff>116032</xdr:rowOff>
    </xdr:to>
    <xdr:graphicFrame macro="">
      <xdr:nvGraphicFramePr>
        <xdr:cNvPr id="2" name="Diagramm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78</xdr:col>
      <xdr:colOff>103909</xdr:colOff>
      <xdr:row>84</xdr:row>
      <xdr:rowOff>155864</xdr:rowOff>
    </xdr:from>
    <xdr:to>
      <xdr:col>89</xdr:col>
      <xdr:colOff>77932</xdr:colOff>
      <xdr:row>108</xdr:row>
      <xdr:rowOff>133350</xdr:rowOff>
    </xdr:to>
    <xdr:graphicFrame macro="">
      <xdr:nvGraphicFramePr>
        <xdr:cNvPr id="3" name="Diagramm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78</xdr:col>
      <xdr:colOff>103909</xdr:colOff>
      <xdr:row>110</xdr:row>
      <xdr:rowOff>155864</xdr:rowOff>
    </xdr:from>
    <xdr:to>
      <xdr:col>89</xdr:col>
      <xdr:colOff>77932</xdr:colOff>
      <xdr:row>135</xdr:row>
      <xdr:rowOff>133350</xdr:rowOff>
    </xdr:to>
    <xdr:graphicFrame macro="">
      <xdr:nvGraphicFramePr>
        <xdr:cNvPr id="4" name="Diagramm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78</xdr:col>
      <xdr:colOff>190499</xdr:colOff>
      <xdr:row>33</xdr:row>
      <xdr:rowOff>138547</xdr:rowOff>
    </xdr:from>
    <xdr:to>
      <xdr:col>89</xdr:col>
      <xdr:colOff>164522</xdr:colOff>
      <xdr:row>57</xdr:row>
      <xdr:rowOff>116032</xdr:rowOff>
    </xdr:to>
    <xdr:graphicFrame macro="">
      <xdr:nvGraphicFramePr>
        <xdr:cNvPr id="5" name="Diagramm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78</xdr:col>
      <xdr:colOff>103909</xdr:colOff>
      <xdr:row>162</xdr:row>
      <xdr:rowOff>155864</xdr:rowOff>
    </xdr:from>
    <xdr:to>
      <xdr:col>89</xdr:col>
      <xdr:colOff>77932</xdr:colOff>
      <xdr:row>186</xdr:row>
      <xdr:rowOff>133350</xdr:rowOff>
    </xdr:to>
    <xdr:graphicFrame macro="">
      <xdr:nvGraphicFramePr>
        <xdr:cNvPr id="6" name="Diagramm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78</xdr:col>
      <xdr:colOff>103909</xdr:colOff>
      <xdr:row>187</xdr:row>
      <xdr:rowOff>155864</xdr:rowOff>
    </xdr:from>
    <xdr:to>
      <xdr:col>89</xdr:col>
      <xdr:colOff>77932</xdr:colOff>
      <xdr:row>211</xdr:row>
      <xdr:rowOff>133350</xdr:rowOff>
    </xdr:to>
    <xdr:graphicFrame macro="">
      <xdr:nvGraphicFramePr>
        <xdr:cNvPr id="7" name="Diagramm 6">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78</xdr:col>
      <xdr:colOff>103909</xdr:colOff>
      <xdr:row>213</xdr:row>
      <xdr:rowOff>155864</xdr:rowOff>
    </xdr:from>
    <xdr:to>
      <xdr:col>89</xdr:col>
      <xdr:colOff>77932</xdr:colOff>
      <xdr:row>237</xdr:row>
      <xdr:rowOff>133350</xdr:rowOff>
    </xdr:to>
    <xdr:graphicFrame macro="">
      <xdr:nvGraphicFramePr>
        <xdr:cNvPr id="8" name="Diagramm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90</xdr:col>
      <xdr:colOff>0</xdr:colOff>
      <xdr:row>111</xdr:row>
      <xdr:rowOff>0</xdr:rowOff>
    </xdr:from>
    <xdr:to>
      <xdr:col>105</xdr:col>
      <xdr:colOff>1231323</xdr:colOff>
      <xdr:row>135</xdr:row>
      <xdr:rowOff>129886</xdr:rowOff>
    </xdr:to>
    <xdr:graphicFrame macro="">
      <xdr:nvGraphicFramePr>
        <xdr:cNvPr id="10" name="Diagramm 9">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152</xdr:col>
      <xdr:colOff>742950</xdr:colOff>
      <xdr:row>28</xdr:row>
      <xdr:rowOff>138298</xdr:rowOff>
    </xdr:from>
    <xdr:to>
      <xdr:col>175</xdr:col>
      <xdr:colOff>0</xdr:colOff>
      <xdr:row>47</xdr:row>
      <xdr:rowOff>108815</xdr:rowOff>
    </xdr:to>
    <xdr:graphicFrame macro="">
      <xdr:nvGraphicFramePr>
        <xdr:cNvPr id="11" name="Diagramm 10">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178</xdr:col>
      <xdr:colOff>161925</xdr:colOff>
      <xdr:row>15</xdr:row>
      <xdr:rowOff>40666</xdr:rowOff>
    </xdr:from>
    <xdr:to>
      <xdr:col>202</xdr:col>
      <xdr:colOff>190500</xdr:colOff>
      <xdr:row>38</xdr:row>
      <xdr:rowOff>154780</xdr:rowOff>
    </xdr:to>
    <xdr:graphicFrame macro="">
      <xdr:nvGraphicFramePr>
        <xdr:cNvPr id="12" name="Diagramm 11">
          <a:extLst>
            <a:ext uri="{FF2B5EF4-FFF2-40B4-BE49-F238E27FC236}">
              <a16:creationId xmlns:a16="http://schemas.microsoft.com/office/drawing/2014/main" id="{00000000-0008-0000-0E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78</xdr:col>
      <xdr:colOff>123825</xdr:colOff>
      <xdr:row>136</xdr:row>
      <xdr:rowOff>85725</xdr:rowOff>
    </xdr:from>
    <xdr:to>
      <xdr:col>89</xdr:col>
      <xdr:colOff>97848</xdr:colOff>
      <xdr:row>160</xdr:row>
      <xdr:rowOff>63211</xdr:rowOff>
    </xdr:to>
    <xdr:graphicFrame macro="">
      <xdr:nvGraphicFramePr>
        <xdr:cNvPr id="13" name="Diagramm 12">
          <a:extLst>
            <a:ext uri="{FF2B5EF4-FFF2-40B4-BE49-F238E27FC236}">
              <a16:creationId xmlns:a16="http://schemas.microsoft.com/office/drawing/2014/main" id="{00000000-0008-0000-0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153</xdr:col>
      <xdr:colOff>35720</xdr:colOff>
      <xdr:row>48</xdr:row>
      <xdr:rowOff>115950</xdr:rowOff>
    </xdr:from>
    <xdr:to>
      <xdr:col>174</xdr:col>
      <xdr:colOff>250031</xdr:colOff>
      <xdr:row>69</xdr:row>
      <xdr:rowOff>11906</xdr:rowOff>
    </xdr:to>
    <xdr:graphicFrame macro="">
      <xdr:nvGraphicFramePr>
        <xdr:cNvPr id="14" name="Diagramm 13">
          <a:extLst>
            <a:ext uri="{FF2B5EF4-FFF2-40B4-BE49-F238E27FC236}">
              <a16:creationId xmlns:a16="http://schemas.microsoft.com/office/drawing/2014/main" id="{00000000-0008-0000-0E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202</xdr:col>
      <xdr:colOff>726281</xdr:colOff>
      <xdr:row>15</xdr:row>
      <xdr:rowOff>0</xdr:rowOff>
    </xdr:from>
    <xdr:to>
      <xdr:col>227</xdr:col>
      <xdr:colOff>238125</xdr:colOff>
      <xdr:row>40</xdr:row>
      <xdr:rowOff>53135</xdr:rowOff>
    </xdr:to>
    <xdr:graphicFrame macro="">
      <xdr:nvGraphicFramePr>
        <xdr:cNvPr id="15" name="Diagramm 14">
          <a:extLst>
            <a:ext uri="{FF2B5EF4-FFF2-40B4-BE49-F238E27FC236}">
              <a16:creationId xmlns:a16="http://schemas.microsoft.com/office/drawing/2014/main" id="{00000000-0008-0000-0E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178</xdr:col>
      <xdr:colOff>0</xdr:colOff>
      <xdr:row>40</xdr:row>
      <xdr:rowOff>0</xdr:rowOff>
    </xdr:from>
    <xdr:to>
      <xdr:col>202</xdr:col>
      <xdr:colOff>28575</xdr:colOff>
      <xdr:row>64</xdr:row>
      <xdr:rowOff>18865</xdr:rowOff>
    </xdr:to>
    <xdr:graphicFrame macro="">
      <xdr:nvGraphicFramePr>
        <xdr:cNvPr id="16" name="Diagramm 15">
          <a:extLst>
            <a:ext uri="{FF2B5EF4-FFF2-40B4-BE49-F238E27FC236}">
              <a16:creationId xmlns:a16="http://schemas.microsoft.com/office/drawing/2014/main" id="{00000000-0008-0000-0E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203</xdr:col>
      <xdr:colOff>0</xdr:colOff>
      <xdr:row>42</xdr:row>
      <xdr:rowOff>0</xdr:rowOff>
    </xdr:from>
    <xdr:to>
      <xdr:col>227</xdr:col>
      <xdr:colOff>273844</xdr:colOff>
      <xdr:row>67</xdr:row>
      <xdr:rowOff>112667</xdr:rowOff>
    </xdr:to>
    <xdr:graphicFrame macro="">
      <xdr:nvGraphicFramePr>
        <xdr:cNvPr id="17" name="Diagramm 16">
          <a:extLst>
            <a:ext uri="{FF2B5EF4-FFF2-40B4-BE49-F238E27FC236}">
              <a16:creationId xmlns:a16="http://schemas.microsoft.com/office/drawing/2014/main" id="{00000000-0008-0000-0E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178</xdr:col>
      <xdr:colOff>0</xdr:colOff>
      <xdr:row>66</xdr:row>
      <xdr:rowOff>0</xdr:rowOff>
    </xdr:from>
    <xdr:to>
      <xdr:col>202</xdr:col>
      <xdr:colOff>500063</xdr:colOff>
      <xdr:row>91</xdr:row>
      <xdr:rowOff>148385</xdr:rowOff>
    </xdr:to>
    <xdr:graphicFrame macro="">
      <xdr:nvGraphicFramePr>
        <xdr:cNvPr id="18" name="Diagramm 17">
          <a:extLst>
            <a:ext uri="{FF2B5EF4-FFF2-40B4-BE49-F238E27FC236}">
              <a16:creationId xmlns:a16="http://schemas.microsoft.com/office/drawing/2014/main" id="{00000000-0008-0000-0E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78</xdr:col>
      <xdr:colOff>190499</xdr:colOff>
      <xdr:row>58</xdr:row>
      <xdr:rowOff>138547</xdr:rowOff>
    </xdr:from>
    <xdr:to>
      <xdr:col>89</xdr:col>
      <xdr:colOff>164522</xdr:colOff>
      <xdr:row>82</xdr:row>
      <xdr:rowOff>116032</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78</xdr:col>
      <xdr:colOff>103909</xdr:colOff>
      <xdr:row>84</xdr:row>
      <xdr:rowOff>155864</xdr:rowOff>
    </xdr:from>
    <xdr:to>
      <xdr:col>89</xdr:col>
      <xdr:colOff>77932</xdr:colOff>
      <xdr:row>108</xdr:row>
      <xdr:rowOff>133350</xdr:rowOff>
    </xdr:to>
    <xdr:graphicFrame macro="">
      <xdr:nvGraphicFramePr>
        <xdr:cNvPr id="3" name="Diagramm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78</xdr:col>
      <xdr:colOff>103909</xdr:colOff>
      <xdr:row>110</xdr:row>
      <xdr:rowOff>155864</xdr:rowOff>
    </xdr:from>
    <xdr:to>
      <xdr:col>89</xdr:col>
      <xdr:colOff>77932</xdr:colOff>
      <xdr:row>134</xdr:row>
      <xdr:rowOff>133350</xdr:rowOff>
    </xdr:to>
    <xdr:graphicFrame macro="">
      <xdr:nvGraphicFramePr>
        <xdr:cNvPr id="4" name="Diagramm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78</xdr:col>
      <xdr:colOff>190499</xdr:colOff>
      <xdr:row>33</xdr:row>
      <xdr:rowOff>138547</xdr:rowOff>
    </xdr:from>
    <xdr:to>
      <xdr:col>89</xdr:col>
      <xdr:colOff>164522</xdr:colOff>
      <xdr:row>57</xdr:row>
      <xdr:rowOff>116032</xdr:rowOff>
    </xdr:to>
    <xdr:graphicFrame macro="">
      <xdr:nvGraphicFramePr>
        <xdr:cNvPr id="5" name="Diagramm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78</xdr:col>
      <xdr:colOff>103909</xdr:colOff>
      <xdr:row>161</xdr:row>
      <xdr:rowOff>155864</xdr:rowOff>
    </xdr:from>
    <xdr:to>
      <xdr:col>89</xdr:col>
      <xdr:colOff>77932</xdr:colOff>
      <xdr:row>185</xdr:row>
      <xdr:rowOff>133350</xdr:rowOff>
    </xdr:to>
    <xdr:graphicFrame macro="">
      <xdr:nvGraphicFramePr>
        <xdr:cNvPr id="6" name="Diagramm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78</xdr:col>
      <xdr:colOff>103909</xdr:colOff>
      <xdr:row>186</xdr:row>
      <xdr:rowOff>155864</xdr:rowOff>
    </xdr:from>
    <xdr:to>
      <xdr:col>89</xdr:col>
      <xdr:colOff>77932</xdr:colOff>
      <xdr:row>210</xdr:row>
      <xdr:rowOff>133350</xdr:rowOff>
    </xdr:to>
    <xdr:graphicFrame macro="">
      <xdr:nvGraphicFramePr>
        <xdr:cNvPr id="7" name="Diagramm 6">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78</xdr:col>
      <xdr:colOff>103909</xdr:colOff>
      <xdr:row>212</xdr:row>
      <xdr:rowOff>155864</xdr:rowOff>
    </xdr:from>
    <xdr:to>
      <xdr:col>89</xdr:col>
      <xdr:colOff>77932</xdr:colOff>
      <xdr:row>236</xdr:row>
      <xdr:rowOff>133350</xdr:rowOff>
    </xdr:to>
    <xdr:graphicFrame macro="">
      <xdr:nvGraphicFramePr>
        <xdr:cNvPr id="8" name="Diagramm 7">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90</xdr:col>
      <xdr:colOff>0</xdr:colOff>
      <xdr:row>111</xdr:row>
      <xdr:rowOff>0</xdr:rowOff>
    </xdr:from>
    <xdr:to>
      <xdr:col>105</xdr:col>
      <xdr:colOff>1231323</xdr:colOff>
      <xdr:row>134</xdr:row>
      <xdr:rowOff>129886</xdr:rowOff>
    </xdr:to>
    <xdr:graphicFrame macro="">
      <xdr:nvGraphicFramePr>
        <xdr:cNvPr id="9" name="Diagramm 8">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152</xdr:col>
      <xdr:colOff>742950</xdr:colOff>
      <xdr:row>28</xdr:row>
      <xdr:rowOff>138298</xdr:rowOff>
    </xdr:from>
    <xdr:to>
      <xdr:col>175</xdr:col>
      <xdr:colOff>0</xdr:colOff>
      <xdr:row>47</xdr:row>
      <xdr:rowOff>108815</xdr:rowOff>
    </xdr:to>
    <xdr:graphicFrame macro="">
      <xdr:nvGraphicFramePr>
        <xdr:cNvPr id="10" name="Diagramm 9">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178</xdr:col>
      <xdr:colOff>161925</xdr:colOff>
      <xdr:row>15</xdr:row>
      <xdr:rowOff>40666</xdr:rowOff>
    </xdr:from>
    <xdr:to>
      <xdr:col>202</xdr:col>
      <xdr:colOff>190500</xdr:colOff>
      <xdr:row>38</xdr:row>
      <xdr:rowOff>154780</xdr:rowOff>
    </xdr:to>
    <xdr:graphicFrame macro="">
      <xdr:nvGraphicFramePr>
        <xdr:cNvPr id="11" name="Diagramm 10">
          <a:extLst>
            <a:ext uri="{FF2B5EF4-FFF2-40B4-BE49-F238E27FC236}">
              <a16:creationId xmlns:a16="http://schemas.microsoft.com/office/drawing/2014/main" id="{00000000-0008-0000-0F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78</xdr:col>
      <xdr:colOff>123825</xdr:colOff>
      <xdr:row>135</xdr:row>
      <xdr:rowOff>85725</xdr:rowOff>
    </xdr:from>
    <xdr:to>
      <xdr:col>89</xdr:col>
      <xdr:colOff>97848</xdr:colOff>
      <xdr:row>159</xdr:row>
      <xdr:rowOff>63211</xdr:rowOff>
    </xdr:to>
    <xdr:graphicFrame macro="">
      <xdr:nvGraphicFramePr>
        <xdr:cNvPr id="12" name="Diagramm 11">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153</xdr:col>
      <xdr:colOff>35720</xdr:colOff>
      <xdr:row>48</xdr:row>
      <xdr:rowOff>115950</xdr:rowOff>
    </xdr:from>
    <xdr:to>
      <xdr:col>174</xdr:col>
      <xdr:colOff>250031</xdr:colOff>
      <xdr:row>69</xdr:row>
      <xdr:rowOff>11906</xdr:rowOff>
    </xdr:to>
    <xdr:graphicFrame macro="">
      <xdr:nvGraphicFramePr>
        <xdr:cNvPr id="13" name="Diagramm 12">
          <a:extLst>
            <a:ext uri="{FF2B5EF4-FFF2-40B4-BE49-F238E27FC236}">
              <a16:creationId xmlns:a16="http://schemas.microsoft.com/office/drawing/2014/main" id="{00000000-0008-0000-0F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202</xdr:col>
      <xdr:colOff>726281</xdr:colOff>
      <xdr:row>15</xdr:row>
      <xdr:rowOff>0</xdr:rowOff>
    </xdr:from>
    <xdr:to>
      <xdr:col>227</xdr:col>
      <xdr:colOff>238125</xdr:colOff>
      <xdr:row>40</xdr:row>
      <xdr:rowOff>53135</xdr:rowOff>
    </xdr:to>
    <xdr:graphicFrame macro="">
      <xdr:nvGraphicFramePr>
        <xdr:cNvPr id="14" name="Diagramm 13">
          <a:extLst>
            <a:ext uri="{FF2B5EF4-FFF2-40B4-BE49-F238E27FC236}">
              <a16:creationId xmlns:a16="http://schemas.microsoft.com/office/drawing/2014/main" id="{00000000-0008-0000-0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178</xdr:col>
      <xdr:colOff>0</xdr:colOff>
      <xdr:row>40</xdr:row>
      <xdr:rowOff>0</xdr:rowOff>
    </xdr:from>
    <xdr:to>
      <xdr:col>202</xdr:col>
      <xdr:colOff>28575</xdr:colOff>
      <xdr:row>64</xdr:row>
      <xdr:rowOff>18865</xdr:rowOff>
    </xdr:to>
    <xdr:graphicFrame macro="">
      <xdr:nvGraphicFramePr>
        <xdr:cNvPr id="15" name="Diagramm 14">
          <a:extLst>
            <a:ext uri="{FF2B5EF4-FFF2-40B4-BE49-F238E27FC236}">
              <a16:creationId xmlns:a16="http://schemas.microsoft.com/office/drawing/2014/main" id="{00000000-0008-0000-0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203</xdr:col>
      <xdr:colOff>0</xdr:colOff>
      <xdr:row>42</xdr:row>
      <xdr:rowOff>0</xdr:rowOff>
    </xdr:from>
    <xdr:to>
      <xdr:col>227</xdr:col>
      <xdr:colOff>273844</xdr:colOff>
      <xdr:row>67</xdr:row>
      <xdr:rowOff>112667</xdr:rowOff>
    </xdr:to>
    <xdr:graphicFrame macro="">
      <xdr:nvGraphicFramePr>
        <xdr:cNvPr id="16" name="Diagramm 15">
          <a:extLst>
            <a:ext uri="{FF2B5EF4-FFF2-40B4-BE49-F238E27FC236}">
              <a16:creationId xmlns:a16="http://schemas.microsoft.com/office/drawing/2014/main" id="{00000000-0008-0000-0F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78</xdr:col>
      <xdr:colOff>190499</xdr:colOff>
      <xdr:row>58</xdr:row>
      <xdr:rowOff>138547</xdr:rowOff>
    </xdr:from>
    <xdr:to>
      <xdr:col>89</xdr:col>
      <xdr:colOff>164522</xdr:colOff>
      <xdr:row>82</xdr:row>
      <xdr:rowOff>116032</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78</xdr:col>
      <xdr:colOff>103909</xdr:colOff>
      <xdr:row>84</xdr:row>
      <xdr:rowOff>155864</xdr:rowOff>
    </xdr:from>
    <xdr:to>
      <xdr:col>89</xdr:col>
      <xdr:colOff>77932</xdr:colOff>
      <xdr:row>108</xdr:row>
      <xdr:rowOff>133350</xdr:rowOff>
    </xdr:to>
    <xdr:graphicFrame macro="">
      <xdr:nvGraphicFramePr>
        <xdr:cNvPr id="3" name="Diagramm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78</xdr:col>
      <xdr:colOff>103909</xdr:colOff>
      <xdr:row>110</xdr:row>
      <xdr:rowOff>155864</xdr:rowOff>
    </xdr:from>
    <xdr:to>
      <xdr:col>89</xdr:col>
      <xdr:colOff>77932</xdr:colOff>
      <xdr:row>135</xdr:row>
      <xdr:rowOff>133350</xdr:rowOff>
    </xdr:to>
    <xdr:graphicFrame macro="">
      <xdr:nvGraphicFramePr>
        <xdr:cNvPr id="4" name="Diagramm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78</xdr:col>
      <xdr:colOff>190499</xdr:colOff>
      <xdr:row>33</xdr:row>
      <xdr:rowOff>138547</xdr:rowOff>
    </xdr:from>
    <xdr:to>
      <xdr:col>89</xdr:col>
      <xdr:colOff>164522</xdr:colOff>
      <xdr:row>57</xdr:row>
      <xdr:rowOff>116032</xdr:rowOff>
    </xdr:to>
    <xdr:graphicFrame macro="">
      <xdr:nvGraphicFramePr>
        <xdr:cNvPr id="5" name="Diagramm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78</xdr:col>
      <xdr:colOff>103909</xdr:colOff>
      <xdr:row>162</xdr:row>
      <xdr:rowOff>155864</xdr:rowOff>
    </xdr:from>
    <xdr:to>
      <xdr:col>89</xdr:col>
      <xdr:colOff>77932</xdr:colOff>
      <xdr:row>186</xdr:row>
      <xdr:rowOff>133350</xdr:rowOff>
    </xdr:to>
    <xdr:graphicFrame macro="">
      <xdr:nvGraphicFramePr>
        <xdr:cNvPr id="6" name="Diagramm 5">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78</xdr:col>
      <xdr:colOff>103909</xdr:colOff>
      <xdr:row>187</xdr:row>
      <xdr:rowOff>155864</xdr:rowOff>
    </xdr:from>
    <xdr:to>
      <xdr:col>89</xdr:col>
      <xdr:colOff>77932</xdr:colOff>
      <xdr:row>211</xdr:row>
      <xdr:rowOff>133350</xdr:rowOff>
    </xdr:to>
    <xdr:graphicFrame macro="">
      <xdr:nvGraphicFramePr>
        <xdr:cNvPr id="7" name="Diagramm 6">
          <a:extLst>
            <a:ext uri="{FF2B5EF4-FFF2-40B4-BE49-F238E27FC236}">
              <a16:creationId xmlns:a16="http://schemas.microsoft.com/office/drawing/2014/main" id="{00000000-0008-0000-1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78</xdr:col>
      <xdr:colOff>103909</xdr:colOff>
      <xdr:row>213</xdr:row>
      <xdr:rowOff>155864</xdr:rowOff>
    </xdr:from>
    <xdr:to>
      <xdr:col>89</xdr:col>
      <xdr:colOff>77932</xdr:colOff>
      <xdr:row>237</xdr:row>
      <xdr:rowOff>133350</xdr:rowOff>
    </xdr:to>
    <xdr:graphicFrame macro="">
      <xdr:nvGraphicFramePr>
        <xdr:cNvPr id="8" name="Diagramm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90</xdr:col>
      <xdr:colOff>0</xdr:colOff>
      <xdr:row>111</xdr:row>
      <xdr:rowOff>0</xdr:rowOff>
    </xdr:from>
    <xdr:to>
      <xdr:col>105</xdr:col>
      <xdr:colOff>1231323</xdr:colOff>
      <xdr:row>135</xdr:row>
      <xdr:rowOff>129886</xdr:rowOff>
    </xdr:to>
    <xdr:graphicFrame macro="">
      <xdr:nvGraphicFramePr>
        <xdr:cNvPr id="9" name="Diagramm 8">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152</xdr:col>
      <xdr:colOff>742950</xdr:colOff>
      <xdr:row>28</xdr:row>
      <xdr:rowOff>138298</xdr:rowOff>
    </xdr:from>
    <xdr:to>
      <xdr:col>175</xdr:col>
      <xdr:colOff>0</xdr:colOff>
      <xdr:row>47</xdr:row>
      <xdr:rowOff>108815</xdr:rowOff>
    </xdr:to>
    <xdr:graphicFrame macro="">
      <xdr:nvGraphicFramePr>
        <xdr:cNvPr id="10" name="Diagramm 9">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178</xdr:col>
      <xdr:colOff>161925</xdr:colOff>
      <xdr:row>15</xdr:row>
      <xdr:rowOff>40666</xdr:rowOff>
    </xdr:from>
    <xdr:to>
      <xdr:col>202</xdr:col>
      <xdr:colOff>190500</xdr:colOff>
      <xdr:row>38</xdr:row>
      <xdr:rowOff>154780</xdr:rowOff>
    </xdr:to>
    <xdr:graphicFrame macro="">
      <xdr:nvGraphicFramePr>
        <xdr:cNvPr id="11" name="Diagramm 10">
          <a:extLst>
            <a:ext uri="{FF2B5EF4-FFF2-40B4-BE49-F238E27FC236}">
              <a16:creationId xmlns:a16="http://schemas.microsoft.com/office/drawing/2014/main" id="{00000000-0008-0000-1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78</xdr:col>
      <xdr:colOff>123825</xdr:colOff>
      <xdr:row>136</xdr:row>
      <xdr:rowOff>85725</xdr:rowOff>
    </xdr:from>
    <xdr:to>
      <xdr:col>89</xdr:col>
      <xdr:colOff>97848</xdr:colOff>
      <xdr:row>160</xdr:row>
      <xdr:rowOff>63211</xdr:rowOff>
    </xdr:to>
    <xdr:graphicFrame macro="">
      <xdr:nvGraphicFramePr>
        <xdr:cNvPr id="12" name="Diagramm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153</xdr:col>
      <xdr:colOff>35720</xdr:colOff>
      <xdr:row>48</xdr:row>
      <xdr:rowOff>115950</xdr:rowOff>
    </xdr:from>
    <xdr:to>
      <xdr:col>174</xdr:col>
      <xdr:colOff>250031</xdr:colOff>
      <xdr:row>69</xdr:row>
      <xdr:rowOff>11906</xdr:rowOff>
    </xdr:to>
    <xdr:graphicFrame macro="">
      <xdr:nvGraphicFramePr>
        <xdr:cNvPr id="13" name="Diagramm 12">
          <a:extLst>
            <a:ext uri="{FF2B5EF4-FFF2-40B4-BE49-F238E27FC236}">
              <a16:creationId xmlns:a16="http://schemas.microsoft.com/office/drawing/2014/main" id="{00000000-0008-0000-1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202</xdr:col>
      <xdr:colOff>726281</xdr:colOff>
      <xdr:row>15</xdr:row>
      <xdr:rowOff>0</xdr:rowOff>
    </xdr:from>
    <xdr:to>
      <xdr:col>227</xdr:col>
      <xdr:colOff>238125</xdr:colOff>
      <xdr:row>40</xdr:row>
      <xdr:rowOff>53135</xdr:rowOff>
    </xdr:to>
    <xdr:graphicFrame macro="">
      <xdr:nvGraphicFramePr>
        <xdr:cNvPr id="14" name="Diagramm 13">
          <a:extLst>
            <a:ext uri="{FF2B5EF4-FFF2-40B4-BE49-F238E27FC236}">
              <a16:creationId xmlns:a16="http://schemas.microsoft.com/office/drawing/2014/main" id="{00000000-0008-0000-1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178</xdr:col>
      <xdr:colOff>0</xdr:colOff>
      <xdr:row>40</xdr:row>
      <xdr:rowOff>0</xdr:rowOff>
    </xdr:from>
    <xdr:to>
      <xdr:col>202</xdr:col>
      <xdr:colOff>28575</xdr:colOff>
      <xdr:row>64</xdr:row>
      <xdr:rowOff>18865</xdr:rowOff>
    </xdr:to>
    <xdr:graphicFrame macro="">
      <xdr:nvGraphicFramePr>
        <xdr:cNvPr id="15" name="Diagramm 14">
          <a:extLst>
            <a:ext uri="{FF2B5EF4-FFF2-40B4-BE49-F238E27FC236}">
              <a16:creationId xmlns:a16="http://schemas.microsoft.com/office/drawing/2014/main" id="{00000000-0008-0000-1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203</xdr:col>
      <xdr:colOff>0</xdr:colOff>
      <xdr:row>42</xdr:row>
      <xdr:rowOff>0</xdr:rowOff>
    </xdr:from>
    <xdr:to>
      <xdr:col>227</xdr:col>
      <xdr:colOff>273844</xdr:colOff>
      <xdr:row>67</xdr:row>
      <xdr:rowOff>112667</xdr:rowOff>
    </xdr:to>
    <xdr:graphicFrame macro="">
      <xdr:nvGraphicFramePr>
        <xdr:cNvPr id="16" name="Diagramm 15">
          <a:extLst>
            <a:ext uri="{FF2B5EF4-FFF2-40B4-BE49-F238E27FC236}">
              <a16:creationId xmlns:a16="http://schemas.microsoft.com/office/drawing/2014/main" id="{00000000-0008-0000-1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178</xdr:col>
      <xdr:colOff>0</xdr:colOff>
      <xdr:row>66</xdr:row>
      <xdr:rowOff>0</xdr:rowOff>
    </xdr:from>
    <xdr:to>
      <xdr:col>202</xdr:col>
      <xdr:colOff>500063</xdr:colOff>
      <xdr:row>91</xdr:row>
      <xdr:rowOff>148385</xdr:rowOff>
    </xdr:to>
    <xdr:graphicFrame macro="">
      <xdr:nvGraphicFramePr>
        <xdr:cNvPr id="17" name="Diagramm 16">
          <a:extLst>
            <a:ext uri="{FF2B5EF4-FFF2-40B4-BE49-F238E27FC236}">
              <a16:creationId xmlns:a16="http://schemas.microsoft.com/office/drawing/2014/main" id="{00000000-0008-0000-1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78</xdr:col>
      <xdr:colOff>190499</xdr:colOff>
      <xdr:row>58</xdr:row>
      <xdr:rowOff>138547</xdr:rowOff>
    </xdr:from>
    <xdr:to>
      <xdr:col>89</xdr:col>
      <xdr:colOff>164522</xdr:colOff>
      <xdr:row>82</xdr:row>
      <xdr:rowOff>116032</xdr:rowOff>
    </xdr:to>
    <xdr:graphicFrame macro="">
      <xdr:nvGraphicFramePr>
        <xdr:cNvPr id="2" name="Diagramm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78</xdr:col>
      <xdr:colOff>103909</xdr:colOff>
      <xdr:row>84</xdr:row>
      <xdr:rowOff>155864</xdr:rowOff>
    </xdr:from>
    <xdr:to>
      <xdr:col>89</xdr:col>
      <xdr:colOff>77932</xdr:colOff>
      <xdr:row>108</xdr:row>
      <xdr:rowOff>133350</xdr:rowOff>
    </xdr:to>
    <xdr:graphicFrame macro="">
      <xdr:nvGraphicFramePr>
        <xdr:cNvPr id="3" name="Diagramm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78</xdr:col>
      <xdr:colOff>103909</xdr:colOff>
      <xdr:row>110</xdr:row>
      <xdr:rowOff>155864</xdr:rowOff>
    </xdr:from>
    <xdr:to>
      <xdr:col>89</xdr:col>
      <xdr:colOff>77932</xdr:colOff>
      <xdr:row>135</xdr:row>
      <xdr:rowOff>133350</xdr:rowOff>
    </xdr:to>
    <xdr:graphicFrame macro="">
      <xdr:nvGraphicFramePr>
        <xdr:cNvPr id="4" name="Diagramm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78</xdr:col>
      <xdr:colOff>190499</xdr:colOff>
      <xdr:row>33</xdr:row>
      <xdr:rowOff>138547</xdr:rowOff>
    </xdr:from>
    <xdr:to>
      <xdr:col>89</xdr:col>
      <xdr:colOff>164522</xdr:colOff>
      <xdr:row>57</xdr:row>
      <xdr:rowOff>116032</xdr:rowOff>
    </xdr:to>
    <xdr:graphicFrame macro="">
      <xdr:nvGraphicFramePr>
        <xdr:cNvPr id="5" name="Diagramm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78</xdr:col>
      <xdr:colOff>103909</xdr:colOff>
      <xdr:row>162</xdr:row>
      <xdr:rowOff>155864</xdr:rowOff>
    </xdr:from>
    <xdr:to>
      <xdr:col>89</xdr:col>
      <xdr:colOff>77932</xdr:colOff>
      <xdr:row>186</xdr:row>
      <xdr:rowOff>133350</xdr:rowOff>
    </xdr:to>
    <xdr:graphicFrame macro="">
      <xdr:nvGraphicFramePr>
        <xdr:cNvPr id="6" name="Diagramm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78</xdr:col>
      <xdr:colOff>103909</xdr:colOff>
      <xdr:row>187</xdr:row>
      <xdr:rowOff>155864</xdr:rowOff>
    </xdr:from>
    <xdr:to>
      <xdr:col>89</xdr:col>
      <xdr:colOff>77932</xdr:colOff>
      <xdr:row>211</xdr:row>
      <xdr:rowOff>133350</xdr:rowOff>
    </xdr:to>
    <xdr:graphicFrame macro="">
      <xdr:nvGraphicFramePr>
        <xdr:cNvPr id="7" name="Diagramm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78</xdr:col>
      <xdr:colOff>103909</xdr:colOff>
      <xdr:row>213</xdr:row>
      <xdr:rowOff>155864</xdr:rowOff>
    </xdr:from>
    <xdr:to>
      <xdr:col>89</xdr:col>
      <xdr:colOff>77932</xdr:colOff>
      <xdr:row>237</xdr:row>
      <xdr:rowOff>133350</xdr:rowOff>
    </xdr:to>
    <xdr:graphicFrame macro="">
      <xdr:nvGraphicFramePr>
        <xdr:cNvPr id="8" name="Diagramm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90</xdr:col>
      <xdr:colOff>0</xdr:colOff>
      <xdr:row>111</xdr:row>
      <xdr:rowOff>0</xdr:rowOff>
    </xdr:from>
    <xdr:to>
      <xdr:col>105</xdr:col>
      <xdr:colOff>1231323</xdr:colOff>
      <xdr:row>135</xdr:row>
      <xdr:rowOff>129886</xdr:rowOff>
    </xdr:to>
    <xdr:graphicFrame macro="">
      <xdr:nvGraphicFramePr>
        <xdr:cNvPr id="9" name="Diagramm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152</xdr:col>
      <xdr:colOff>742950</xdr:colOff>
      <xdr:row>28</xdr:row>
      <xdr:rowOff>138298</xdr:rowOff>
    </xdr:from>
    <xdr:to>
      <xdr:col>175</xdr:col>
      <xdr:colOff>0</xdr:colOff>
      <xdr:row>47</xdr:row>
      <xdr:rowOff>108815</xdr:rowOff>
    </xdr:to>
    <xdr:graphicFrame macro="">
      <xdr:nvGraphicFramePr>
        <xdr:cNvPr id="10" name="Diagramm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178</xdr:col>
      <xdr:colOff>161925</xdr:colOff>
      <xdr:row>15</xdr:row>
      <xdr:rowOff>40666</xdr:rowOff>
    </xdr:from>
    <xdr:to>
      <xdr:col>202</xdr:col>
      <xdr:colOff>190500</xdr:colOff>
      <xdr:row>38</xdr:row>
      <xdr:rowOff>154780</xdr:rowOff>
    </xdr:to>
    <xdr:graphicFrame macro="">
      <xdr:nvGraphicFramePr>
        <xdr:cNvPr id="11" name="Diagramm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78</xdr:col>
      <xdr:colOff>123825</xdr:colOff>
      <xdr:row>136</xdr:row>
      <xdr:rowOff>85725</xdr:rowOff>
    </xdr:from>
    <xdr:to>
      <xdr:col>89</xdr:col>
      <xdr:colOff>97848</xdr:colOff>
      <xdr:row>160</xdr:row>
      <xdr:rowOff>63211</xdr:rowOff>
    </xdr:to>
    <xdr:graphicFrame macro="">
      <xdr:nvGraphicFramePr>
        <xdr:cNvPr id="12" name="Diagramm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153</xdr:col>
      <xdr:colOff>35720</xdr:colOff>
      <xdr:row>48</xdr:row>
      <xdr:rowOff>115950</xdr:rowOff>
    </xdr:from>
    <xdr:to>
      <xdr:col>174</xdr:col>
      <xdr:colOff>250031</xdr:colOff>
      <xdr:row>69</xdr:row>
      <xdr:rowOff>11906</xdr:rowOff>
    </xdr:to>
    <xdr:graphicFrame macro="">
      <xdr:nvGraphicFramePr>
        <xdr:cNvPr id="13" name="Diagramm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202</xdr:col>
      <xdr:colOff>726281</xdr:colOff>
      <xdr:row>15</xdr:row>
      <xdr:rowOff>0</xdr:rowOff>
    </xdr:from>
    <xdr:to>
      <xdr:col>227</xdr:col>
      <xdr:colOff>238125</xdr:colOff>
      <xdr:row>40</xdr:row>
      <xdr:rowOff>53135</xdr:rowOff>
    </xdr:to>
    <xdr:graphicFrame macro="">
      <xdr:nvGraphicFramePr>
        <xdr:cNvPr id="14" name="Diagramm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178</xdr:col>
      <xdr:colOff>0</xdr:colOff>
      <xdr:row>40</xdr:row>
      <xdr:rowOff>0</xdr:rowOff>
    </xdr:from>
    <xdr:to>
      <xdr:col>202</xdr:col>
      <xdr:colOff>28575</xdr:colOff>
      <xdr:row>64</xdr:row>
      <xdr:rowOff>18865</xdr:rowOff>
    </xdr:to>
    <xdr:graphicFrame macro="">
      <xdr:nvGraphicFramePr>
        <xdr:cNvPr id="15" name="Diagramm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203</xdr:col>
      <xdr:colOff>0</xdr:colOff>
      <xdr:row>42</xdr:row>
      <xdr:rowOff>0</xdr:rowOff>
    </xdr:from>
    <xdr:to>
      <xdr:col>227</xdr:col>
      <xdr:colOff>273844</xdr:colOff>
      <xdr:row>67</xdr:row>
      <xdr:rowOff>112667</xdr:rowOff>
    </xdr:to>
    <xdr:graphicFrame macro="">
      <xdr:nvGraphicFramePr>
        <xdr:cNvPr id="16" name="Diagramm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178</xdr:col>
      <xdr:colOff>0</xdr:colOff>
      <xdr:row>66</xdr:row>
      <xdr:rowOff>0</xdr:rowOff>
    </xdr:from>
    <xdr:to>
      <xdr:col>202</xdr:col>
      <xdr:colOff>500063</xdr:colOff>
      <xdr:row>91</xdr:row>
      <xdr:rowOff>148385</xdr:rowOff>
    </xdr:to>
    <xdr:graphicFrame macro="">
      <xdr:nvGraphicFramePr>
        <xdr:cNvPr id="17" name="Diagramm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547687</xdr:colOff>
      <xdr:row>20</xdr:row>
      <xdr:rowOff>119062</xdr:rowOff>
    </xdr:from>
    <xdr:to>
      <xdr:col>9</xdr:col>
      <xdr:colOff>676275</xdr:colOff>
      <xdr:row>37</xdr:row>
      <xdr:rowOff>109537</xdr:rowOff>
    </xdr:to>
    <xdr:graphicFrame macro="">
      <xdr:nvGraphicFramePr>
        <xdr:cNvPr id="2" name="Diagramm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333376</xdr:colOff>
      <xdr:row>42</xdr:row>
      <xdr:rowOff>0</xdr:rowOff>
    </xdr:from>
    <xdr:to>
      <xdr:col>10</xdr:col>
      <xdr:colOff>104776</xdr:colOff>
      <xdr:row>58</xdr:row>
      <xdr:rowOff>152400</xdr:rowOff>
    </xdr:to>
    <xdr:graphicFrame macro="">
      <xdr:nvGraphicFramePr>
        <xdr:cNvPr id="4" name="Diagramm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63</xdr:row>
      <xdr:rowOff>0</xdr:rowOff>
    </xdr:from>
    <xdr:to>
      <xdr:col>11</xdr:col>
      <xdr:colOff>14288</xdr:colOff>
      <xdr:row>79</xdr:row>
      <xdr:rowOff>152400</xdr:rowOff>
    </xdr:to>
    <xdr:graphicFrame macro="">
      <xdr:nvGraphicFramePr>
        <xdr:cNvPr id="5" name="Diagramm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20</xdr:col>
      <xdr:colOff>186534</xdr:colOff>
      <xdr:row>112</xdr:row>
      <xdr:rowOff>142874</xdr:rowOff>
    </xdr:from>
    <xdr:to>
      <xdr:col>26</xdr:col>
      <xdr:colOff>95253</xdr:colOff>
      <xdr:row>130</xdr:row>
      <xdr:rowOff>91676</xdr:rowOff>
    </xdr:to>
    <xdr:graphicFrame macro="">
      <xdr:nvGraphicFramePr>
        <xdr:cNvPr id="2" name="Diagramm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19</xdr:col>
      <xdr:colOff>535783</xdr:colOff>
      <xdr:row>86</xdr:row>
      <xdr:rowOff>134055</xdr:rowOff>
    </xdr:from>
    <xdr:to>
      <xdr:col>24</xdr:col>
      <xdr:colOff>148167</xdr:colOff>
      <xdr:row>103</xdr:row>
      <xdr:rowOff>110773</xdr:rowOff>
    </xdr:to>
    <xdr:graphicFrame macro="">
      <xdr:nvGraphicFramePr>
        <xdr:cNvPr id="3" name="Diagramm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0</xdr:colOff>
      <xdr:row>86</xdr:row>
      <xdr:rowOff>98778</xdr:rowOff>
    </xdr:from>
    <xdr:to>
      <xdr:col>35</xdr:col>
      <xdr:colOff>7495</xdr:colOff>
      <xdr:row>105</xdr:row>
      <xdr:rowOff>50801</xdr:rowOff>
    </xdr:to>
    <xdr:graphicFrame macro="">
      <xdr:nvGraphicFramePr>
        <xdr:cNvPr id="2" name="Diagramm 1">
          <a:extLst>
            <a:ext uri="{FF2B5EF4-FFF2-40B4-BE49-F238E27FC236}">
              <a16:creationId xmlns:a16="http://schemas.microsoft.com/office/drawing/2014/main" id="{4C66E22D-DDF8-4725-88DC-D4DB9F5980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20</xdr:col>
      <xdr:colOff>0</xdr:colOff>
      <xdr:row>112</xdr:row>
      <xdr:rowOff>63101</xdr:rowOff>
    </xdr:from>
    <xdr:to>
      <xdr:col>25</xdr:col>
      <xdr:colOff>769938</xdr:colOff>
      <xdr:row>128</xdr:row>
      <xdr:rowOff>139301</xdr:rowOff>
    </xdr:to>
    <xdr:graphicFrame macro="">
      <xdr:nvGraphicFramePr>
        <xdr:cNvPr id="2" name="Diagramm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20</xdr:col>
      <xdr:colOff>23812</xdr:colOff>
      <xdr:row>110</xdr:row>
      <xdr:rowOff>55164</xdr:rowOff>
    </xdr:from>
    <xdr:to>
      <xdr:col>25</xdr:col>
      <xdr:colOff>198438</xdr:colOff>
      <xdr:row>126</xdr:row>
      <xdr:rowOff>7937</xdr:rowOff>
    </xdr:to>
    <xdr:graphicFrame macro="">
      <xdr:nvGraphicFramePr>
        <xdr:cNvPr id="2" name="Diagramm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aten/20000_Projekte/20596_SIA_2024_Update/07_Berechnungen/Excel_Tool/Raumnutzung/SIA2024_Modul-Raum_2012-05-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sdaten"/>
      <sheetName val="Hüllzahl"/>
      <sheetName val="Profile"/>
      <sheetName val="Datenblatt"/>
      <sheetName val="Resultate Standard"/>
      <sheetName val="Resultate Ziel"/>
      <sheetName val="Resultate Bestand"/>
      <sheetName val="Export"/>
    </sheetNames>
    <sheetDataSet>
      <sheetData sheetId="0" refreshError="1"/>
      <sheetData sheetId="1" refreshError="1"/>
      <sheetData sheetId="2" refreshError="1"/>
      <sheetData sheetId="3">
        <row r="1">
          <cell r="C1">
            <v>1</v>
          </cell>
        </row>
      </sheetData>
      <sheetData sheetId="4" refreshError="1"/>
      <sheetData sheetId="5" refreshError="1"/>
      <sheetData sheetId="6" refreshError="1"/>
      <sheetData sheetId="7" refreshError="1"/>
    </sheetDataSet>
  </externalBook>
</externalLink>
</file>

<file path=xl/persons/person.xml><?xml version="1.0" encoding="utf-8"?>
<personList xmlns="http://schemas.microsoft.com/office/spreadsheetml/2018/threadedcomments" xmlns:x="http://schemas.openxmlformats.org/spreadsheetml/2006/main">
  <person displayName="Hager Al Laham | SIA" id="{C718E80E-5DB7-42C4-9100-2FBE5B1BA375}" userId="S::hager.allaham@sia.ch::2eb2f153-7397-4d2e-aac7-6a9bf117be0a" providerId="AD"/>
</personList>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9" dT="2021-10-04T12:17:27.75" personId="{C718E80E-5DB7-42C4-9100-2FBE5B1BA375}" id="{B2CA0806-C68E-4743-A32D-06441572E897}">
    <text>FWE: (selon SIA 2024 édition 2015, il n'y a pas de différence terminologique entre Wärmeeinträge et Wärmeeinträgeleistung)</text>
  </threadedComment>
  <threadedComment ref="D100" dT="2021-10-04T12:18:02.90" personId="{C718E80E-5DB7-42C4-9100-2FBE5B1BA375}" id="{C9FFAB5E-CFC7-4929-B194-989A5C324446}">
    <text>FWE: SIA 2021 1.3.2.12 pour la traduction + sensible</text>
  </threadedComment>
  <threadedComment ref="D218" dT="2021-10-04T12:23:55.58" personId="{C718E80E-5DB7-42C4-9100-2FBE5B1BA375}" id="{799253A3-3E67-4E30-97DC-82F0F2DDEEF0}">
    <text>FWE: à partir de SIA 2056 1.1.2.6</text>
  </threadedComment>
  <threadedComment ref="D418" dT="2021-10-04T12:26:04.28" personId="{C718E80E-5DB7-42C4-9100-2FBE5B1BA375}" id="{4211E186-AA61-43C0-86A1-E722B44AA46E}">
    <text>FWE: (traduction actuelle la SIA 2024 édition 2015 - pourrait être remplacé par profil de présence)</text>
  </threadedComment>
</ThreadedComments>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http://siatools.energycodes.ch/index.htm?lizenzieren.aspx?C=21CCFMMP"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8.emf"/><Relationship Id="rId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7.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6.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8.bin"/><Relationship Id="rId4" Type="http://schemas.openxmlformats.org/officeDocument/2006/relationships/comments" Target="../comments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omments" Target="../comments1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blLizenzieren"/>
  <dimension ref="A2:F40"/>
  <sheetViews>
    <sheetView showGridLines="0" showRowColHeaders="0" zoomScaleNormal="100" workbookViewId="0">
      <selection activeCell="B20" sqref="B20"/>
    </sheetView>
  </sheetViews>
  <sheetFormatPr baseColWidth="10" defaultColWidth="11.4609375" defaultRowHeight="14.6"/>
  <cols>
    <col min="1" max="1" width="2.69140625" style="663" customWidth="1"/>
    <col min="2" max="2" width="100.69140625" style="663" customWidth="1"/>
    <col min="3" max="3" width="2.69140625" style="663" customWidth="1"/>
    <col min="4" max="16384" width="11.4609375" style="663"/>
  </cols>
  <sheetData>
    <row r="2" spans="2:6">
      <c r="B2" s="663" t="s">
        <v>928</v>
      </c>
    </row>
    <row r="4" spans="2:6">
      <c r="B4" s="664" t="s">
        <v>991</v>
      </c>
    </row>
    <row r="5" spans="2:6">
      <c r="D5" s="665">
        <v>45172</v>
      </c>
      <c r="E5" s="666"/>
    </row>
    <row r="6" spans="2:6">
      <c r="B6" s="663" t="s">
        <v>2236</v>
      </c>
      <c r="D6" s="665">
        <v>45007</v>
      </c>
      <c r="E6" s="667">
        <v>2</v>
      </c>
      <c r="F6" s="667">
        <v>2023</v>
      </c>
    </row>
    <row r="8" spans="2:6">
      <c r="B8" s="664" t="s">
        <v>992</v>
      </c>
    </row>
    <row r="10" spans="2:6" ht="43.75">
      <c r="B10" s="712" t="s">
        <v>993</v>
      </c>
    </row>
    <row r="11" spans="2:6">
      <c r="B11" s="668"/>
    </row>
    <row r="12" spans="2:6">
      <c r="B12" s="668" t="s">
        <v>994</v>
      </c>
    </row>
    <row r="17" spans="1:4">
      <c r="B17" s="668" t="s">
        <v>995</v>
      </c>
    </row>
    <row r="19" spans="1:4">
      <c r="B19" s="663" t="s">
        <v>996</v>
      </c>
    </row>
    <row r="22" spans="1:4">
      <c r="B22" s="666"/>
      <c r="D22" s="666"/>
    </row>
    <row r="25" spans="1:4">
      <c r="B25" s="663" t="s">
        <v>2011</v>
      </c>
    </row>
    <row r="27" spans="1:4">
      <c r="B27" s="668" t="s">
        <v>997</v>
      </c>
    </row>
    <row r="30" spans="1:4">
      <c r="B30" s="667" t="s">
        <v>2010</v>
      </c>
    </row>
    <row r="31" spans="1:4">
      <c r="B31" s="667"/>
    </row>
    <row r="32" spans="1:4">
      <c r="A32" s="1729"/>
      <c r="B32" s="667"/>
    </row>
    <row r="33" spans="1:2">
      <c r="A33" s="1729"/>
      <c r="B33" s="667" t="s">
        <v>929</v>
      </c>
    </row>
    <row r="34" spans="1:2">
      <c r="B34" s="667" t="s">
        <v>930</v>
      </c>
    </row>
    <row r="35" spans="1:2">
      <c r="B35" s="667"/>
    </row>
    <row r="40" spans="1:2">
      <c r="A40" s="669"/>
    </row>
  </sheetData>
  <sheetProtection algorithmName="SHA-512" hashValue="g3hSXhHw3a51v9ttrhKW1BjalMmqlQOcVEFEzVFnuBhwg8iQr2cefoZQ3Bs8f/5KtIDBe+s3fjBYA/KuHCToWw==" saltValue="pTU9wYh6Ex4AYcWW4A3Rmw==" spinCount="100000" sheet="1" objects="1" scenarios="1"/>
  <hyperlinks>
    <hyperlink ref="A40" r:id="rId1" display="http://siatools.energycodes.ch/index.htm?lizenzieren.aspx?C=21CCFMMP" xr:uid="{999610D9-5409-47A6-A619-CFAED3AB262C}"/>
  </hyperlinks>
  <pageMargins left="0.70866141732283472" right="0.70866141732283472" top="0.78740157480314965" bottom="0.78740157480314965" header="0.31496062992125984" footer="0.31496062992125984"/>
  <pageSetup paperSize="9" scale="27" orientation="portrait" horizontalDpi="4294967293" verticalDpi="1200" r:id="rId2"/>
  <headerFooter>
    <oddHeader>&amp;CSIA 2024 Raum-Datenblätter</oddHeader>
    <oddFooter>&amp;CSIA 2024, Copyright © 2021 by SIA Zurich</oddFooter>
  </headerFooter>
  <drawing r:id="rId3"/>
  <legacyDrawing r:id="rId4"/>
  <controls>
    <mc:AlternateContent xmlns:mc="http://schemas.openxmlformats.org/markup-compatibility/2006">
      <mc:Choice Requires="x14">
        <control shapeId="144391" r:id="rId5" name="lblAnfangsbedingungen">
          <controlPr defaultSize="0" autoLine="0" r:id="rId6">
            <anchor moveWithCells="1">
              <from>
                <xdr:col>0</xdr:col>
                <xdr:colOff>38100</xdr:colOff>
                <xdr:row>0</xdr:row>
                <xdr:rowOff>38100</xdr:rowOff>
              </from>
              <to>
                <xdr:col>0</xdr:col>
                <xdr:colOff>163286</xdr:colOff>
                <xdr:row>0</xdr:row>
                <xdr:rowOff>163286</xdr:rowOff>
              </to>
            </anchor>
          </controlPr>
        </control>
      </mc:Choice>
      <mc:Fallback>
        <control shapeId="144391" r:id="rId5" name="lblAnfangsbedingungen"/>
      </mc:Fallback>
    </mc:AlternateContent>
    <mc:AlternateContent xmlns:mc="http://schemas.openxmlformats.org/markup-compatibility/2006">
      <mc:Choice Requires="x14">
        <control shapeId="144390" r:id="rId7" name="txtFirmenname">
          <controlPr defaultSize="0" disabled="1" autoLine="0" r:id="rId8">
            <anchor moveWithCells="1">
              <from>
                <xdr:col>1</xdr:col>
                <xdr:colOff>1502229</xdr:colOff>
                <xdr:row>11</xdr:row>
                <xdr:rowOff>0</xdr:rowOff>
              </from>
              <to>
                <xdr:col>1</xdr:col>
                <xdr:colOff>3412671</xdr:colOff>
                <xdr:row>12</xdr:row>
                <xdr:rowOff>43543</xdr:rowOff>
              </to>
            </anchor>
          </controlPr>
        </control>
      </mc:Choice>
      <mc:Fallback>
        <control shapeId="144390" r:id="rId7" name="txtFirmenname"/>
      </mc:Fallback>
    </mc:AlternateContent>
    <mc:AlternateContent xmlns:mc="http://schemas.openxmlformats.org/markup-compatibility/2006">
      <mc:Choice Requires="x14">
        <control shapeId="144389" r:id="rId9" name="cboSprachwahl">
          <controlPr locked="0" defaultSize="0" disabled="1" autoLine="0" listFillRange="B33:B34" r:id="rId10">
            <anchor moveWithCells="1">
              <from>
                <xdr:col>1</xdr:col>
                <xdr:colOff>1654629</xdr:colOff>
                <xdr:row>1</xdr:row>
                <xdr:rowOff>16329</xdr:rowOff>
              </from>
              <to>
                <xdr:col>1</xdr:col>
                <xdr:colOff>3565071</xdr:colOff>
                <xdr:row>2</xdr:row>
                <xdr:rowOff>65314</xdr:rowOff>
              </to>
            </anchor>
          </controlPr>
        </control>
      </mc:Choice>
      <mc:Fallback>
        <control shapeId="144389" r:id="rId9" name="cboSprachwahl"/>
      </mc:Fallback>
    </mc:AlternateContent>
    <mc:AlternateContent xmlns:mc="http://schemas.openxmlformats.org/markup-compatibility/2006">
      <mc:Choice Requires="x14">
        <control shapeId="144388" r:id="rId11" name="cmdStart">
          <controlPr locked="0" defaultSize="0" autoLine="0" r:id="rId12">
            <anchor moveWithCells="1">
              <from>
                <xdr:col>1</xdr:col>
                <xdr:colOff>5197929</xdr:colOff>
                <xdr:row>1</xdr:row>
                <xdr:rowOff>0</xdr:rowOff>
              </from>
              <to>
                <xdr:col>1</xdr:col>
                <xdr:colOff>6727371</xdr:colOff>
                <xdr:row>2</xdr:row>
                <xdr:rowOff>119743</xdr:rowOff>
              </to>
            </anchor>
          </controlPr>
        </control>
      </mc:Choice>
      <mc:Fallback>
        <control shapeId="144388" r:id="rId11" name="cmdStart"/>
      </mc:Fallback>
    </mc:AlternateContent>
    <mc:AlternateContent xmlns:mc="http://schemas.openxmlformats.org/markup-compatibility/2006">
      <mc:Choice Requires="x14">
        <control shapeId="144387" r:id="rId13" name="txtFreigabeschluessel">
          <controlPr defaultSize="0" disabled="1" autoLine="0" r:id="rId14">
            <anchor moveWithCells="1">
              <from>
                <xdr:col>1</xdr:col>
                <xdr:colOff>1502229</xdr:colOff>
                <xdr:row>18</xdr:row>
                <xdr:rowOff>0</xdr:rowOff>
              </from>
              <to>
                <xdr:col>1</xdr:col>
                <xdr:colOff>3412671</xdr:colOff>
                <xdr:row>19</xdr:row>
                <xdr:rowOff>43543</xdr:rowOff>
              </to>
            </anchor>
          </controlPr>
        </control>
      </mc:Choice>
      <mc:Fallback>
        <control shapeId="144387" r:id="rId13" name="txtFreigabeschluessel"/>
      </mc:Fallback>
    </mc:AlternateContent>
    <mc:AlternateContent xmlns:mc="http://schemas.openxmlformats.org/markup-compatibility/2006">
      <mc:Choice Requires="x14">
        <control shapeId="144386" r:id="rId15" name="cmdLizenzieren">
          <controlPr locked="0" defaultSize="0" disabled="1" autoLine="0" r:id="rId16">
            <anchor moveWithCells="1">
              <from>
                <xdr:col>1</xdr:col>
                <xdr:colOff>1502229</xdr:colOff>
                <xdr:row>20</xdr:row>
                <xdr:rowOff>0</xdr:rowOff>
              </from>
              <to>
                <xdr:col>1</xdr:col>
                <xdr:colOff>3031671</xdr:colOff>
                <xdr:row>21</xdr:row>
                <xdr:rowOff>119743</xdr:rowOff>
              </to>
            </anchor>
          </controlPr>
        </control>
      </mc:Choice>
      <mc:Fallback>
        <control shapeId="144386" r:id="rId15" name="cmdLizenzieren"/>
      </mc:Fallback>
    </mc:AlternateContent>
    <mc:AlternateContent xmlns:mc="http://schemas.openxmlformats.org/markup-compatibility/2006">
      <mc:Choice Requires="x14">
        <control shapeId="144385" r:id="rId17" name="cmdLizenzBestellen">
          <controlPr locked="0" defaultSize="0" disabled="1" autoLine="0" r:id="rId18">
            <anchor moveWithCells="1">
              <from>
                <xdr:col>1</xdr:col>
                <xdr:colOff>1502229</xdr:colOff>
                <xdr:row>13</xdr:row>
                <xdr:rowOff>0</xdr:rowOff>
              </from>
              <to>
                <xdr:col>1</xdr:col>
                <xdr:colOff>3031671</xdr:colOff>
                <xdr:row>14</xdr:row>
                <xdr:rowOff>119743</xdr:rowOff>
              </to>
            </anchor>
          </controlPr>
        </control>
      </mc:Choice>
      <mc:Fallback>
        <control shapeId="144385" r:id="rId17" name="cmdLizenzBestelle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blAnleitung"/>
  <dimension ref="A1:J29"/>
  <sheetViews>
    <sheetView showGridLines="0" showRowColHeaders="0" tabSelected="1" zoomScaleNormal="100" workbookViewId="0">
      <selection activeCell="A3" sqref="A3"/>
    </sheetView>
  </sheetViews>
  <sheetFormatPr baseColWidth="10" defaultRowHeight="12.45"/>
  <cols>
    <col min="2" max="2" width="5.765625" customWidth="1"/>
    <col min="4" max="4" width="13.4609375" customWidth="1"/>
    <col min="5" max="5" width="50.53515625" customWidth="1"/>
    <col min="6" max="6" width="42.69140625" customWidth="1"/>
  </cols>
  <sheetData>
    <row r="1" spans="1:10" ht="6.75" customHeight="1"/>
    <row r="2" spans="1:10" ht="36" customHeight="1">
      <c r="A2" s="658" t="str">
        <f>Begriffe!F429</f>
        <v>Anleitung - SIA 2024 Raumdatenblätter</v>
      </c>
      <c r="B2" s="659"/>
      <c r="C2" s="660"/>
      <c r="D2" s="661"/>
      <c r="E2" s="660"/>
      <c r="F2" s="662"/>
      <c r="J2" s="379"/>
    </row>
    <row r="4" spans="1:10" ht="10.5" customHeight="1">
      <c r="C4" s="379"/>
      <c r="E4" s="713"/>
      <c r="G4" s="713" t="s">
        <v>929</v>
      </c>
    </row>
    <row r="5" spans="1:10" ht="7.1" customHeight="1">
      <c r="G5" s="713" t="s">
        <v>930</v>
      </c>
    </row>
    <row r="6" spans="1:10" ht="17.600000000000001">
      <c r="B6" s="1797" t="str">
        <f>Begriffe!F428</f>
        <v>Sprache</v>
      </c>
      <c r="D6" s="1728">
        <v>1</v>
      </c>
      <c r="G6" s="713" t="s">
        <v>999</v>
      </c>
    </row>
    <row r="8" spans="1:10" ht="15" customHeight="1"/>
    <row r="9" spans="1:10" ht="20.6" customHeight="1">
      <c r="B9" s="1797" t="str">
        <f>Begriffe!F429</f>
        <v>Anleitung - SIA 2024 Raumdatenblätter</v>
      </c>
      <c r="C9" s="1798"/>
      <c r="D9" s="1798"/>
      <c r="E9" s="1798"/>
      <c r="F9" s="1798"/>
    </row>
    <row r="10" spans="1:10" ht="18" customHeight="1">
      <c r="B10" s="1798"/>
      <c r="C10" s="1798"/>
      <c r="D10" s="1798"/>
      <c r="E10" s="1798"/>
      <c r="F10" s="1798"/>
    </row>
    <row r="11" spans="1:10" ht="18" customHeight="1">
      <c r="B11" s="1951" t="str">
        <f>Begriffe!F430</f>
        <v>Dieses Excel Tool ermöglicht die Anzeige und den Ausdruck der Raumdatenblätter gemäss SIA 2024. Bei der Anwendung der Raumdatenblätter sind zwingend die Festlegungen in SIA 2024 zu berücksichtigen.</v>
      </c>
      <c r="C11" s="1951"/>
      <c r="D11" s="1951"/>
      <c r="E11" s="1951"/>
      <c r="F11" s="1951"/>
    </row>
    <row r="12" spans="1:10" ht="18" customHeight="1">
      <c r="B12" s="1951"/>
      <c r="C12" s="1951"/>
      <c r="D12" s="1951"/>
      <c r="E12" s="1951"/>
      <c r="F12" s="1951"/>
    </row>
    <row r="13" spans="1:10" ht="18" customHeight="1">
      <c r="B13" s="1951"/>
      <c r="C13" s="1951"/>
      <c r="D13" s="1951"/>
      <c r="E13" s="1951"/>
      <c r="F13" s="1951"/>
    </row>
    <row r="14" spans="1:10" ht="18" customHeight="1"/>
    <row r="15" spans="1:10" ht="18" customHeight="1">
      <c r="B15" s="1951" t="str">
        <f>Begriffe!F431</f>
        <v>SIA 2024 dient der Vereinheitlichung von Annahmen über die Raumnutzungen. Diese Annahmen werden bei den Berechnungen und Nachweisen nach den Normen der Energie- und Gebäudetechnik verwendet, solange keine genaueren Angaben vorliegen. Spätestens im Bauprojekt müssen die projektspezifischen Gebäudedaten, die Nutzungsbedigungen und die Bemessungskriterien festgelegt und für die Dimensionierung der Anlagen verwendet werden.</v>
      </c>
      <c r="C15" s="1951"/>
      <c r="D15" s="1951"/>
      <c r="E15" s="1951"/>
      <c r="F15" s="1951"/>
    </row>
    <row r="16" spans="1:10" ht="18" customHeight="1">
      <c r="B16" s="1951"/>
      <c r="C16" s="1951"/>
      <c r="D16" s="1951"/>
      <c r="E16" s="1951"/>
      <c r="F16" s="1951"/>
    </row>
    <row r="17" spans="2:6" ht="18" customHeight="1">
      <c r="B17" s="1951"/>
      <c r="C17" s="1951"/>
      <c r="D17" s="1951"/>
      <c r="E17" s="1951"/>
      <c r="F17" s="1951"/>
    </row>
    <row r="18" spans="2:6" ht="18" customHeight="1">
      <c r="B18" s="1951"/>
      <c r="C18" s="1951"/>
      <c r="D18" s="1951"/>
      <c r="E18" s="1951"/>
      <c r="F18" s="1951"/>
    </row>
    <row r="19" spans="2:6" ht="18" customHeight="1">
      <c r="B19" s="1951"/>
      <c r="C19" s="1951"/>
      <c r="D19" s="1951"/>
      <c r="E19" s="1951"/>
      <c r="F19" s="1951"/>
    </row>
    <row r="20" spans="2:6" ht="18" customHeight="1"/>
    <row r="21" spans="2:6" ht="18" customHeight="1">
      <c r="B21" s="1951" t="str">
        <f>Begriffe!F432</f>
        <v xml:space="preserve">Für die Abschätzung des Leistungs- und Energiebedarfs von Gebäuden in der frühen Planungsphase steht unter www.energytools.ch das SIA 2024 Gebäude-Tool zur Verfügung. </v>
      </c>
      <c r="C21" s="1951"/>
      <c r="D21" s="1951"/>
      <c r="E21" s="1951"/>
      <c r="F21" s="1951"/>
    </row>
    <row r="22" spans="2:6" ht="18" customHeight="1">
      <c r="B22" s="1951"/>
      <c r="C22" s="1951"/>
      <c r="D22" s="1951"/>
      <c r="E22" s="1951"/>
      <c r="F22" s="1951"/>
    </row>
    <row r="23" spans="2:6" ht="18" customHeight="1"/>
    <row r="24" spans="2:6" ht="18" customHeight="1">
      <c r="B24" s="1951" t="str">
        <f>Begriffe!F433</f>
        <v xml:space="preserve">Hinweis: In Excel müssen die Makros aktiviert werden. Weitere Informationen finden Sie in der Hilfe Ihres Office-Programms. </v>
      </c>
      <c r="C24" s="1951"/>
      <c r="D24" s="1951"/>
      <c r="E24" s="1951"/>
      <c r="F24" s="1951"/>
    </row>
    <row r="25" spans="2:6" ht="18" customHeight="1">
      <c r="B25" s="1951"/>
      <c r="C25" s="1951"/>
      <c r="D25" s="1951"/>
      <c r="E25" s="1951"/>
      <c r="F25" s="1951"/>
    </row>
    <row r="26" spans="2:6" ht="18" customHeight="1">
      <c r="B26" s="1798"/>
      <c r="C26" s="1798"/>
      <c r="D26" s="1798"/>
      <c r="E26" s="1798"/>
      <c r="F26" s="1798"/>
    </row>
    <row r="27" spans="2:6" ht="18" customHeight="1">
      <c r="C27" s="1799"/>
      <c r="D27" s="1799"/>
      <c r="E27" s="1799"/>
      <c r="F27" s="1799"/>
    </row>
    <row r="28" spans="2:6" ht="18" customHeight="1">
      <c r="B28" s="1799"/>
      <c r="C28" s="1799"/>
      <c r="D28" s="1799"/>
      <c r="E28" s="1799"/>
      <c r="F28" s="1799"/>
    </row>
    <row r="29" spans="2:6" ht="17.600000000000001">
      <c r="B29" s="1799"/>
      <c r="C29" s="1799"/>
      <c r="D29" s="1799"/>
      <c r="E29" s="1799"/>
      <c r="F29" s="1799"/>
    </row>
  </sheetData>
  <sheetProtection algorithmName="SHA-512" hashValue="5GjAZcrs1uaSoTl5vruDAoeOUnRVtmAG5caNVHMvlGBD7Dw4JhcfqadOK6QxXwFQ5zaGYNbIUbz1mE9QkY2B3Q==" saltValue="ay0DNwLT3JJiFWX05HrzVA==" spinCount="100000" sheet="1" objects="1" scenarios="1"/>
  <mergeCells count="4">
    <mergeCell ref="B15:F19"/>
    <mergeCell ref="B24:F25"/>
    <mergeCell ref="B11:F13"/>
    <mergeCell ref="B21:F22"/>
  </mergeCells>
  <pageMargins left="0.7" right="0.7" top="0.78740157499999996" bottom="0.78740157499999996" header="0.3" footer="0.3"/>
  <pageSetup paperSize="9" scale="26" orientation="portrait" horizontalDpi="4294967293" verticalDpi="1200" r:id="rId1"/>
  <headerFooter>
    <oddHeader>&amp;CSIA 2024 Raum-Datenblätter</oddHeader>
    <oddFooter>&amp;CSIA 2024, Copyright © 2021 by SIA Zurich</oddFooter>
  </headerFooter>
  <drawing r:id="rId2"/>
  <legacyDrawing r:id="rId3"/>
  <controls>
    <mc:AlternateContent xmlns:mc="http://schemas.openxmlformats.org/markup-compatibility/2006">
      <mc:Choice Requires="x14">
        <control shapeId="145409" r:id="rId4" name="cboSprachen3">
          <controlPr defaultSize="0" autoLine="0" listFillRange="G4:G6" r:id="rId5">
            <anchor moveWithCells="1">
              <from>
                <xdr:col>3</xdr:col>
                <xdr:colOff>59871</xdr:colOff>
                <xdr:row>2</xdr:row>
                <xdr:rowOff>146957</xdr:rowOff>
              </from>
              <to>
                <xdr:col>3</xdr:col>
                <xdr:colOff>468086</xdr:colOff>
                <xdr:row>3</xdr:row>
                <xdr:rowOff>32657</xdr:rowOff>
              </to>
            </anchor>
          </controlPr>
        </control>
      </mc:Choice>
      <mc:Fallback>
        <control shapeId="145409" r:id="rId4" name="cboSprachen3"/>
      </mc:Fallback>
    </mc:AlternateContent>
    <mc:AlternateContent xmlns:mc="http://schemas.openxmlformats.org/markup-compatibility/2006">
      <mc:Choice Requires="x14">
        <control shapeId="145412" r:id="rId6" name="Drop Down 4">
          <controlPr defaultSize="0" autoLine="0" autoPict="0" macro="[0]!SprachWechsel">
            <anchor moveWithCells="1">
              <from>
                <xdr:col>2</xdr:col>
                <xdr:colOff>740229</xdr:colOff>
                <xdr:row>4</xdr:row>
                <xdr:rowOff>152400</xdr:rowOff>
              </from>
              <to>
                <xdr:col>4</xdr:col>
                <xdr:colOff>54429</xdr:colOff>
                <xdr:row>5</xdr:row>
                <xdr:rowOff>212271</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blBegriffe"/>
  <dimension ref="A1:H434"/>
  <sheetViews>
    <sheetView zoomScaleNormal="100" workbookViewId="0">
      <pane ySplit="1" topLeftCell="A228" activePane="bottomLeft" state="frozen"/>
      <selection pane="bottomLeft" activeCell="G1" sqref="G1"/>
    </sheetView>
  </sheetViews>
  <sheetFormatPr baseColWidth="10" defaultColWidth="11.4609375" defaultRowHeight="12.45"/>
  <cols>
    <col min="1" max="1" width="6.23046875" style="489" customWidth="1"/>
    <col min="2" max="2" width="8.53515625" style="492" customWidth="1"/>
    <col min="3" max="3" width="53" style="1065" customWidth="1"/>
    <col min="4" max="4" width="59.23046875" style="1065" customWidth="1"/>
    <col min="5" max="5" width="63.765625" style="1065" customWidth="1"/>
    <col min="6" max="6" width="77.4609375" style="1057" customWidth="1"/>
    <col min="7" max="7" width="11.4609375" style="489"/>
    <col min="8" max="8" width="55.4609375" style="489" bestFit="1" customWidth="1"/>
    <col min="9" max="9" width="44.23046875" style="489" customWidth="1"/>
    <col min="10" max="10" width="66.765625" style="489" bestFit="1" customWidth="1"/>
    <col min="11" max="16384" width="11.4609375" style="489"/>
  </cols>
  <sheetData>
    <row r="1" spans="1:8" ht="24.75" customHeight="1">
      <c r="A1" s="490" t="str">
        <f>Begriffe!F428</f>
        <v>Sprache</v>
      </c>
      <c r="B1" s="491"/>
      <c r="C1" s="1059"/>
      <c r="D1" s="1059"/>
      <c r="E1" s="1059"/>
      <c r="F1" s="1056"/>
      <c r="G1" s="1728">
        <v>1</v>
      </c>
      <c r="H1"/>
    </row>
    <row r="2" spans="1:8">
      <c r="A2" s="528"/>
      <c r="B2" s="529"/>
      <c r="C2" s="1060"/>
      <c r="D2" s="1060"/>
      <c r="E2" s="1060"/>
      <c r="G2"/>
      <c r="H2"/>
    </row>
    <row r="3" spans="1:8" ht="14.15">
      <c r="A3" s="1681" t="s">
        <v>1392</v>
      </c>
      <c r="F3" s="1057">
        <f>IF(Begriffe!$G$1=1,C3,IF(Begriffe!$G$1=2,D3,E3))</f>
        <v>0</v>
      </c>
    </row>
    <row r="4" spans="1:8">
      <c r="C4" s="1065" t="s">
        <v>931</v>
      </c>
      <c r="D4" s="1065" t="s">
        <v>983</v>
      </c>
      <c r="E4" s="1065" t="s">
        <v>985</v>
      </c>
      <c r="F4" s="1057" t="str">
        <f>IF(Begriffe!$G$1=1,C4,IF(Begriffe!$G$1=2,D4,E4))</f>
        <v>Lizenzieren</v>
      </c>
    </row>
    <row r="5" spans="1:8">
      <c r="C5" s="1065" t="s">
        <v>932</v>
      </c>
      <c r="D5" s="1065" t="s">
        <v>1365</v>
      </c>
      <c r="E5" s="1065" t="s">
        <v>1366</v>
      </c>
      <c r="F5" s="1057" t="str">
        <f>IF(Begriffe!$G$1=1,C5,IF(Begriffe!$G$1=2,D5,E5))</f>
        <v>Anleitung</v>
      </c>
    </row>
    <row r="6" spans="1:8">
      <c r="C6" s="1065" t="s">
        <v>933</v>
      </c>
      <c r="D6" s="1065" t="s">
        <v>984</v>
      </c>
      <c r="E6" s="1065" t="s">
        <v>2013</v>
      </c>
      <c r="F6" s="1057" t="str">
        <f>IF(Begriffe!$G$1=1,C6,IF(Begriffe!$G$1=2,D6,E6))</f>
        <v>Eingabedaten</v>
      </c>
    </row>
    <row r="7" spans="1:8">
      <c r="C7" s="1065" t="s">
        <v>934</v>
      </c>
      <c r="D7" s="1065" t="s">
        <v>1367</v>
      </c>
      <c r="E7" s="1065" t="s">
        <v>986</v>
      </c>
      <c r="F7" s="1057" t="str">
        <f>IF(Begriffe!$G$1=1,C7,IF(Begriffe!$G$1=2,D7,E7))</f>
        <v>Datenblatt</v>
      </c>
    </row>
    <row r="8" spans="1:8">
      <c r="C8" s="1065" t="s">
        <v>1859</v>
      </c>
      <c r="D8" s="1067" t="s">
        <v>1860</v>
      </c>
      <c r="E8" s="1067" t="s">
        <v>1861</v>
      </c>
      <c r="F8" s="1057" t="str">
        <f>IF(Begriffe!$G$1=1,C8,IF(Begriffe!$G$1=2,D8,E8))</f>
        <v>Eigene Nutzung</v>
      </c>
    </row>
    <row r="9" spans="1:8">
      <c r="C9" s="1065" t="s">
        <v>937</v>
      </c>
      <c r="D9" s="1065" t="s">
        <v>982</v>
      </c>
      <c r="E9" s="1065" t="s">
        <v>987</v>
      </c>
      <c r="F9" s="1057" t="str">
        <f>IF(Begriffe!$G$1=1,C9,IF(Begriffe!$G$1=2,D9,E9))</f>
        <v>Resultate Standard</v>
      </c>
    </row>
    <row r="10" spans="1:8">
      <c r="C10" s="1065" t="s">
        <v>936</v>
      </c>
      <c r="D10" s="1065" t="s">
        <v>981</v>
      </c>
      <c r="E10" s="1065" t="s">
        <v>1368</v>
      </c>
      <c r="F10" s="1057" t="str">
        <f>IF(Begriffe!$G$1=1,C10,IF(Begriffe!$G$1=2,D10,E10))</f>
        <v>Resultate Zielwert</v>
      </c>
    </row>
    <row r="11" spans="1:8">
      <c r="C11" s="1065" t="s">
        <v>935</v>
      </c>
      <c r="D11" s="1065" t="s">
        <v>1873</v>
      </c>
      <c r="E11" s="1065" t="s">
        <v>988</v>
      </c>
      <c r="F11" s="1057" t="str">
        <f>IF(Begriffe!$G$1=1,C11,IF(Begriffe!$G$1=2,D11,E11))</f>
        <v>Resultate Bestand</v>
      </c>
    </row>
    <row r="12" spans="1:8">
      <c r="F12" s="1057">
        <f>IF(Begriffe!$G$1=1,C12,IF(Begriffe!$G$1=2,D12,E12))</f>
        <v>0</v>
      </c>
    </row>
    <row r="13" spans="1:8" ht="14.15">
      <c r="A13" s="1682" t="s">
        <v>1393</v>
      </c>
      <c r="F13" s="1057">
        <f>IF(Begriffe!$G$1=1,C13,IF(Begriffe!$G$1=2,D13,E13))</f>
        <v>0</v>
      </c>
    </row>
    <row r="14" spans="1:8">
      <c r="C14" s="1065" t="s">
        <v>1369</v>
      </c>
      <c r="D14" s="1065" t="s">
        <v>1370</v>
      </c>
      <c r="E14" s="1065" t="s">
        <v>2012</v>
      </c>
      <c r="F14" s="1057" t="str">
        <f>IF(Begriffe!$G$1=1,C14,IF(Begriffe!$G$1=2,D14,E14))</f>
        <v>SIA 2024 Raum-Datenblätter</v>
      </c>
    </row>
    <row r="15" spans="1:8">
      <c r="A15" s="528"/>
      <c r="B15" s="529"/>
      <c r="C15" s="1060"/>
      <c r="D15" s="1060"/>
      <c r="E15" s="1060"/>
      <c r="G15"/>
      <c r="H15"/>
    </row>
    <row r="16" spans="1:8" ht="14.15">
      <c r="A16" s="1682" t="s">
        <v>1394</v>
      </c>
      <c r="F16" s="1057">
        <f>IF(Begriffe!$G$1=1,C16,IF(Begriffe!$G$1=2,D16,E16))</f>
        <v>0</v>
      </c>
    </row>
    <row r="17" spans="1:8">
      <c r="C17" s="1065" t="s">
        <v>2001</v>
      </c>
      <c r="D17" s="1065" t="s">
        <v>2002</v>
      </c>
      <c r="E17" s="1065" t="s">
        <v>2003</v>
      </c>
      <c r="F17" s="1057" t="str">
        <f>IF(Begriffe!$G$1=1,C17,IF(Begriffe!$G$1=2,D17,E17))</f>
        <v>Datenblätter drucken</v>
      </c>
    </row>
    <row r="18" spans="1:8">
      <c r="C18" s="1065" t="s">
        <v>2004</v>
      </c>
      <c r="D18" s="1065" t="s">
        <v>2005</v>
      </c>
      <c r="E18" s="1065" t="s">
        <v>2006</v>
      </c>
      <c r="F18" s="1057" t="str">
        <f>IF(Begriffe!$G$1=1,C18,IF(Begriffe!$G$1=2,D18,E18))</f>
        <v>Als PDF speichern</v>
      </c>
    </row>
    <row r="19" spans="1:8" ht="13.75">
      <c r="C19" s="1066" t="s">
        <v>1535</v>
      </c>
      <c r="D19" s="1066" t="s">
        <v>1975</v>
      </c>
      <c r="E19" s="1066" t="s">
        <v>1975</v>
      </c>
      <c r="F19" s="1057" t="str">
        <f>IF(Begriffe!$G$1=1,C19,IF(Begriffe!$G$1=2,D19,E19))</f>
        <v>ANGF</v>
      </c>
    </row>
    <row r="20" spans="1:8" ht="14.15">
      <c r="A20" s="1104"/>
      <c r="B20" s="529"/>
      <c r="C20" s="1060"/>
      <c r="D20" s="1060"/>
      <c r="E20" s="1060"/>
      <c r="G20"/>
      <c r="H20"/>
    </row>
    <row r="21" spans="1:8">
      <c r="A21" s="528"/>
      <c r="B21" s="529"/>
      <c r="C21" s="1060"/>
      <c r="D21" s="1060"/>
      <c r="E21" s="1060"/>
      <c r="G21"/>
      <c r="H21"/>
    </row>
    <row r="22" spans="1:8" ht="14.15">
      <c r="A22" s="530" t="s">
        <v>1846</v>
      </c>
      <c r="B22" s="529"/>
      <c r="C22" s="1060"/>
      <c r="D22" s="1060"/>
      <c r="E22" s="1060"/>
      <c r="G22"/>
      <c r="H22"/>
    </row>
    <row r="23" spans="1:8">
      <c r="A23" s="531"/>
      <c r="B23" s="529"/>
      <c r="C23" s="1060"/>
      <c r="D23" s="1060"/>
      <c r="E23" s="1060"/>
    </row>
    <row r="24" spans="1:8">
      <c r="A24" s="531"/>
      <c r="B24" s="532" t="s">
        <v>622</v>
      </c>
      <c r="C24" s="1061" t="s">
        <v>623</v>
      </c>
      <c r="D24" s="1062" t="s">
        <v>624</v>
      </c>
      <c r="E24" s="1062" t="s">
        <v>625</v>
      </c>
      <c r="F24" s="1058" t="s">
        <v>725</v>
      </c>
    </row>
    <row r="25" spans="1:8">
      <c r="A25" s="528"/>
      <c r="B25" s="489" t="s">
        <v>1758</v>
      </c>
      <c r="C25" s="1063" t="s">
        <v>576</v>
      </c>
      <c r="D25" s="533" t="s">
        <v>626</v>
      </c>
      <c r="E25" s="1077" t="s">
        <v>2014</v>
      </c>
      <c r="F25" s="1057" t="str">
        <f>IF(Begriffe!$G$1=1,C25,IF(Begriffe!$G$1=2,D25,E25))</f>
        <v>Abminderungsfaktor für Fensterrahmen</v>
      </c>
    </row>
    <row r="26" spans="1:8">
      <c r="A26" s="528"/>
      <c r="B26" s="489" t="s">
        <v>1759</v>
      </c>
      <c r="C26" s="1063" t="s">
        <v>114</v>
      </c>
      <c r="D26" s="1063" t="s">
        <v>627</v>
      </c>
      <c r="E26" s="1063" t="s">
        <v>899</v>
      </c>
      <c r="F26" s="1057" t="str">
        <f>IF(Begriffe!$G$1=1,C26,IF(Begriffe!$G$1=2,D26,E26))</f>
        <v>Aktivitätsgrad</v>
      </c>
    </row>
    <row r="27" spans="1:8">
      <c r="A27" s="1069"/>
      <c r="B27" s="489" t="s">
        <v>1945</v>
      </c>
      <c r="C27" s="1077" t="s">
        <v>1742</v>
      </c>
      <c r="D27" s="1708" t="s">
        <v>1947</v>
      </c>
      <c r="E27" s="1077" t="s">
        <v>2015</v>
      </c>
      <c r="F27" s="1057" t="str">
        <f>IF(Begriffe!$G$1=1,C27,IF(Begriffe!$G$1=2,D27,E27))</f>
        <v>Anforderungswert an Dauergeräusche gebäudetech. Anlagen</v>
      </c>
    </row>
    <row r="28" spans="1:8">
      <c r="A28" s="528"/>
      <c r="B28" s="489"/>
      <c r="C28" s="1063" t="s">
        <v>192</v>
      </c>
      <c r="D28" s="1063" t="s">
        <v>628</v>
      </c>
      <c r="E28" s="533" t="s">
        <v>629</v>
      </c>
      <c r="F28" s="1057" t="str">
        <f>IF(Begriffe!$G$1=1,C28,IF(Begriffe!$G$1=2,D28,E28))</f>
        <v>Anlagentyp</v>
      </c>
    </row>
    <row r="29" spans="1:8">
      <c r="A29" s="528"/>
      <c r="B29" s="489" t="s">
        <v>1760</v>
      </c>
      <c r="C29" s="1063" t="s">
        <v>601</v>
      </c>
      <c r="D29" s="1063" t="s">
        <v>1303</v>
      </c>
      <c r="E29" s="1063" t="s">
        <v>1304</v>
      </c>
      <c r="F29" s="1057" t="str">
        <f>IF(Begriffe!$G$1=1,C29,IF(Begriffe!$G$1=2,D29,E29))</f>
        <v>Anzahl Bezugseinheiten pro Person</v>
      </c>
    </row>
    <row r="30" spans="1:8">
      <c r="B30" s="489"/>
      <c r="C30" s="1063" t="s">
        <v>398</v>
      </c>
      <c r="D30" s="1063" t="s">
        <v>630</v>
      </c>
      <c r="E30" s="533" t="s">
        <v>2220</v>
      </c>
      <c r="F30" s="1057" t="str">
        <f>IF(Begriffe!$G$1=1,C30,IF(Begriffe!$G$1=2,D30,E30))</f>
        <v>Aussenluft-Volumenstrom</v>
      </c>
    </row>
    <row r="31" spans="1:8">
      <c r="A31" s="528"/>
      <c r="B31" s="489" t="s">
        <v>1761</v>
      </c>
      <c r="C31" s="1693" t="s">
        <v>717</v>
      </c>
      <c r="D31" s="1063" t="s">
        <v>886</v>
      </c>
      <c r="E31" s="533" t="s">
        <v>2221</v>
      </c>
      <c r="F31" s="1057" t="str">
        <f>IF(Begriffe!$G$1=1,C31,IF(Begriffe!$G$1=2,D31,E31))</f>
        <v>Aussenluft-Volumenstrom pro Person</v>
      </c>
    </row>
    <row r="32" spans="1:8">
      <c r="A32" s="528"/>
      <c r="B32" s="489" t="s">
        <v>1762</v>
      </c>
      <c r="C32" s="533" t="s">
        <v>631</v>
      </c>
      <c r="D32" s="533" t="s">
        <v>632</v>
      </c>
      <c r="E32" s="533" t="s">
        <v>2222</v>
      </c>
      <c r="F32" s="1057" t="str">
        <f>IF(Begriffe!$G$1=1,C32,IF(Begriffe!$G$1=2,D32,E32))</f>
        <v>Aussenluft-Volumenstrom durch Infiltration</v>
      </c>
    </row>
    <row r="33" spans="1:6">
      <c r="A33" s="528" t="s">
        <v>22</v>
      </c>
      <c r="B33" s="489" t="s">
        <v>1763</v>
      </c>
      <c r="C33" s="1063" t="s">
        <v>1946</v>
      </c>
      <c r="D33" s="1063" t="s">
        <v>633</v>
      </c>
      <c r="E33" s="533" t="s">
        <v>634</v>
      </c>
      <c r="F33" s="1057" t="str">
        <f>IF(Begriffe!$G$1=1,C33,IF(Begriffe!$G$1=2,D33,E33))</f>
        <v>Bauteilfläche</v>
      </c>
    </row>
    <row r="34" spans="1:6">
      <c r="A34" s="528"/>
      <c r="B34" s="489" t="s">
        <v>1764</v>
      </c>
      <c r="C34" s="1063" t="s">
        <v>635</v>
      </c>
      <c r="D34" s="1063" t="s">
        <v>636</v>
      </c>
      <c r="E34" s="533" t="s">
        <v>900</v>
      </c>
      <c r="F34" s="1057" t="str">
        <f>IF(Begriffe!$G$1=1,C34,IF(Begriffe!$G$1=2,D34,E34))</f>
        <v>Beleuchtungsstärke</v>
      </c>
    </row>
    <row r="35" spans="1:6">
      <c r="A35" s="528"/>
      <c r="B35" s="489" t="s">
        <v>1765</v>
      </c>
      <c r="C35" s="1063" t="s">
        <v>121</v>
      </c>
      <c r="D35" s="533" t="s">
        <v>637</v>
      </c>
      <c r="E35" s="533" t="s">
        <v>638</v>
      </c>
      <c r="F35" s="1057" t="str">
        <f>IF(Begriffe!$G$1=1,C35,IF(Begriffe!$G$1=2,D35,E35))</f>
        <v>Bewertungsebene</v>
      </c>
    </row>
    <row r="36" spans="1:6">
      <c r="A36" s="528"/>
      <c r="B36" s="489" t="s">
        <v>1766</v>
      </c>
      <c r="C36" s="1063" t="s">
        <v>597</v>
      </c>
      <c r="D36" s="1063" t="s">
        <v>639</v>
      </c>
      <c r="E36" s="1063" t="s">
        <v>1001</v>
      </c>
      <c r="F36" s="1057" t="str">
        <f>IF(Begriffe!$G$1=1,C36,IF(Begriffe!$G$1=2,D36,E36))</f>
        <v>Bezugseinheit</v>
      </c>
    </row>
    <row r="37" spans="1:6" ht="15">
      <c r="A37" s="528"/>
      <c r="B37" s="489" t="s">
        <v>1767</v>
      </c>
      <c r="C37" s="1792" t="s">
        <v>2212</v>
      </c>
      <c r="D37" s="1791" t="s">
        <v>2213</v>
      </c>
      <c r="E37" s="1792" t="s">
        <v>2211</v>
      </c>
      <c r="F37" s="1057" t="str">
        <f>IF(Begriffe!$G$1=1,C37,IF(Begriffe!$G$1=2,D37,E37))</f>
        <v>CO2-Konzentration am Nutzungstag</v>
      </c>
    </row>
    <row r="38" spans="1:6">
      <c r="A38" s="528"/>
      <c r="B38" s="489" t="s">
        <v>1768</v>
      </c>
      <c r="C38" s="1077" t="s">
        <v>1093</v>
      </c>
      <c r="D38" s="1694" t="s">
        <v>642</v>
      </c>
      <c r="E38" s="1077" t="s">
        <v>1383</v>
      </c>
      <c r="F38" s="1057" t="str">
        <f>IF(Begriffe!$G$1=1,C38,IF(Begriffe!$G$1=2,D38,E38))</f>
        <v>Elektrische Leistung der Beleuchtung</v>
      </c>
    </row>
    <row r="39" spans="1:6">
      <c r="A39" s="528"/>
      <c r="B39" s="489" t="s">
        <v>1769</v>
      </c>
      <c r="C39" s="1063" t="s">
        <v>643</v>
      </c>
      <c r="D39" s="1063" t="s">
        <v>898</v>
      </c>
      <c r="E39" s="533" t="s">
        <v>644</v>
      </c>
      <c r="F39" s="1057" t="str">
        <f>IF(Begriffe!$G$1=1,C39,IF(Begriffe!$G$1=2,D39,E39))</f>
        <v>Elektrische Leistung der Geräte</v>
      </c>
    </row>
    <row r="40" spans="1:6">
      <c r="A40" s="528"/>
      <c r="B40" s="489"/>
      <c r="C40" s="1063" t="s">
        <v>645</v>
      </c>
      <c r="D40" s="1063" t="s">
        <v>646</v>
      </c>
      <c r="E40" s="1063" t="s">
        <v>647</v>
      </c>
      <c r="F40" s="1057" t="str">
        <f>IF(Begriffe!$G$1=1,C40,IF(Begriffe!$G$1=2,D40,E40))</f>
        <v>Elektrische Leistung der Lüftung</v>
      </c>
    </row>
    <row r="41" spans="1:6">
      <c r="A41" s="528"/>
      <c r="B41" s="489" t="s">
        <v>1770</v>
      </c>
      <c r="C41" s="1077" t="s">
        <v>1381</v>
      </c>
      <c r="D41" s="1694" t="s">
        <v>1386</v>
      </c>
      <c r="E41" s="1077" t="s">
        <v>1382</v>
      </c>
      <c r="F41" s="1057" t="str">
        <f>IF(Begriffe!$G$1=1,C41,IF(Begriffe!$G$1=2,D41,E41))</f>
        <v>Elektrische Leistung der Prozessanlagen</v>
      </c>
    </row>
    <row r="42" spans="1:6">
      <c r="A42" s="528"/>
      <c r="B42" s="489" t="s">
        <v>1771</v>
      </c>
      <c r="C42" s="533" t="s">
        <v>556</v>
      </c>
      <c r="D42" s="1694" t="s">
        <v>648</v>
      </c>
      <c r="E42" s="1077" t="s">
        <v>2016</v>
      </c>
      <c r="F42" s="1057" t="str">
        <f>IF(Begriffe!$G$1=1,C42,IF(Begriffe!$G$1=2,D42,E42))</f>
        <v>Externe Wärmeeintragsleistung</v>
      </c>
    </row>
    <row r="43" spans="1:6">
      <c r="A43" s="528"/>
      <c r="B43" s="489" t="s">
        <v>1772</v>
      </c>
      <c r="C43" s="1063" t="s">
        <v>507</v>
      </c>
      <c r="D43" s="1063" t="s">
        <v>649</v>
      </c>
      <c r="E43" s="533" t="s">
        <v>2017</v>
      </c>
      <c r="F43" s="1057" t="str">
        <f>IF(Begriffe!$G$1=1,C43,IF(Begriffe!$G$1=2,D43,E43))</f>
        <v>Feuchteproduktion Personen</v>
      </c>
    </row>
    <row r="44" spans="1:6">
      <c r="A44" s="528"/>
      <c r="B44" s="489" t="s">
        <v>1773</v>
      </c>
      <c r="C44" s="1063" t="s">
        <v>549</v>
      </c>
      <c r="D44" s="1063" t="s">
        <v>650</v>
      </c>
      <c r="E44" s="533" t="s">
        <v>2018</v>
      </c>
      <c r="F44" s="1057" t="str">
        <f>IF(Begriffe!$G$1=1,C44,IF(Begriffe!$G$1=2,D44,E44))</f>
        <v>Feuchtequellen (ohne Personen)</v>
      </c>
    </row>
    <row r="45" spans="1:6">
      <c r="A45" s="528" t="s">
        <v>22</v>
      </c>
      <c r="B45" s="489" t="s">
        <v>1774</v>
      </c>
      <c r="C45" s="1063" t="s">
        <v>651</v>
      </c>
      <c r="D45" s="1063" t="s">
        <v>1002</v>
      </c>
      <c r="E45" s="1063" t="s">
        <v>2019</v>
      </c>
      <c r="F45" s="1057" t="str">
        <f>IF(Begriffe!$G$1=1,C45,IF(Begriffe!$G$1=2,D45,E45))</f>
        <v>Gesamtenergiedurchlassgrad</v>
      </c>
    </row>
    <row r="46" spans="1:6">
      <c r="A46" s="528"/>
      <c r="B46" s="489" t="s">
        <v>1775</v>
      </c>
      <c r="C46" s="533" t="s">
        <v>484</v>
      </c>
      <c r="D46" s="533" t="s">
        <v>652</v>
      </c>
      <c r="E46" s="533" t="s">
        <v>901</v>
      </c>
      <c r="F46" s="1057" t="str">
        <f>IF(Begriffe!$G$1=1,C46,IF(Begriffe!$G$1=2,D46,E46))</f>
        <v>Glasanteil</v>
      </c>
    </row>
    <row r="47" spans="1:6">
      <c r="A47" s="528"/>
      <c r="B47" s="489" t="s">
        <v>1776</v>
      </c>
      <c r="C47" s="1063" t="s">
        <v>490</v>
      </c>
      <c r="D47" s="533" t="s">
        <v>902</v>
      </c>
      <c r="E47" s="533" t="s">
        <v>2020</v>
      </c>
      <c r="F47" s="1057" t="str">
        <f>IF(Begriffe!$G$1=1,C47,IF(Begriffe!$G$1=2,D47,E47))</f>
        <v>Glasflächenzahl</v>
      </c>
    </row>
    <row r="48" spans="1:6">
      <c r="A48" s="528"/>
      <c r="B48" s="489" t="s">
        <v>1777</v>
      </c>
      <c r="C48" s="1077" t="s">
        <v>1874</v>
      </c>
      <c r="D48" s="1694" t="s">
        <v>1516</v>
      </c>
      <c r="E48" s="1077" t="s">
        <v>2223</v>
      </c>
      <c r="F48" s="1057" t="str">
        <f>IF(Begriffe!$G$1=1,C48,IF(Begriffe!$G$1=2,D48,E48))</f>
        <v>Hygienebedingter Aussenluft-Volumenstrom</v>
      </c>
    </row>
    <row r="49" spans="1:6">
      <c r="A49" s="528"/>
      <c r="B49" s="489" t="s">
        <v>1778</v>
      </c>
      <c r="C49" s="1063" t="s">
        <v>495</v>
      </c>
      <c r="D49" s="1694" t="s">
        <v>903</v>
      </c>
      <c r="E49" s="533" t="s">
        <v>904</v>
      </c>
      <c r="F49" s="1057" t="str">
        <f>IF(Begriffe!$G$1=1,C49,IF(Begriffe!$G$1=2,D49,E49))</f>
        <v>Interne Wärmeeinträge pro Tag</v>
      </c>
    </row>
    <row r="50" spans="1:6">
      <c r="A50" s="528"/>
      <c r="B50" s="489" t="s">
        <v>1779</v>
      </c>
      <c r="C50" s="1063" t="s">
        <v>557</v>
      </c>
      <c r="D50" s="1694" t="s">
        <v>653</v>
      </c>
      <c r="E50" s="533" t="s">
        <v>2021</v>
      </c>
      <c r="F50" s="1057" t="str">
        <f>IF(Begriffe!$G$1=1,C50,IF(Begriffe!$G$1=2,D50,E50))</f>
        <v>Interne Wärmeeintragsleistung</v>
      </c>
    </row>
    <row r="51" spans="1:6">
      <c r="A51" s="528"/>
      <c r="B51" s="489"/>
      <c r="C51" s="1077" t="s">
        <v>1415</v>
      </c>
      <c r="D51" s="1694" t="s">
        <v>1875</v>
      </c>
      <c r="E51" s="1077" t="s">
        <v>2022</v>
      </c>
      <c r="F51" s="1057" t="str">
        <f>IF(Begriffe!$G$1=1,C51,IF(Begriffe!$G$1=2,D51,E51))</f>
        <v>Interne Wärmeeinträge der Geräte pro Jahr</v>
      </c>
    </row>
    <row r="52" spans="1:6">
      <c r="A52" s="528"/>
      <c r="B52" s="489" t="s">
        <v>1780</v>
      </c>
      <c r="C52" s="1063" t="s">
        <v>74</v>
      </c>
      <c r="D52" s="1063" t="s">
        <v>654</v>
      </c>
      <c r="E52" s="1063" t="s">
        <v>2023</v>
      </c>
      <c r="F52" s="1057" t="str">
        <f>IF(Begriffe!$G$1=1,C52,IF(Begriffe!$G$1=2,D52,E52))</f>
        <v>Jahresgleichzeitigkeit</v>
      </c>
    </row>
    <row r="53" spans="1:6">
      <c r="A53" s="528"/>
      <c r="B53" s="489" t="s">
        <v>1781</v>
      </c>
      <c r="C53" s="1063" t="s">
        <v>1867</v>
      </c>
      <c r="D53" s="1695" t="s">
        <v>1876</v>
      </c>
      <c r="E53" s="1077" t="s">
        <v>2024</v>
      </c>
      <c r="F53" s="1057" t="str">
        <f>IF(Begriffe!$G$1=1,C53,IF(Begriffe!$G$1=2,D53,E53))</f>
        <v>Anlagennutzungsgrad der Wärmerückgewinnung</v>
      </c>
    </row>
    <row r="54" spans="1:6">
      <c r="A54" s="528"/>
      <c r="B54" s="489" t="s">
        <v>1782</v>
      </c>
      <c r="C54" s="1063" t="s">
        <v>473</v>
      </c>
      <c r="D54" s="1063" t="s">
        <v>655</v>
      </c>
      <c r="E54" s="1063" t="s">
        <v>656</v>
      </c>
      <c r="F54" s="1057" t="str">
        <f>IF(Begriffe!$G$1=1,C54,IF(Begriffe!$G$1=2,D54,E54))</f>
        <v>Jahresprofil</v>
      </c>
    </row>
    <row r="55" spans="1:6">
      <c r="A55" s="528"/>
      <c r="B55" s="1680" t="s">
        <v>1784</v>
      </c>
      <c r="C55" s="1077" t="s">
        <v>1092</v>
      </c>
      <c r="D55" s="1694" t="s">
        <v>1877</v>
      </c>
      <c r="E55" s="533" t="s">
        <v>2025</v>
      </c>
      <c r="F55" s="1057" t="str">
        <f>IF(Begriffe!$G$1=1,C55,IF(Begriffe!$G$1=2,D55,E55))</f>
        <v xml:space="preserve">Jährliche Volllaststunden der Beleuchtung </v>
      </c>
    </row>
    <row r="56" spans="1:6" ht="24.9">
      <c r="A56" s="528"/>
      <c r="B56" s="492" t="s">
        <v>1783</v>
      </c>
      <c r="C56" s="1077" t="s">
        <v>1389</v>
      </c>
      <c r="D56" s="1694" t="s">
        <v>1388</v>
      </c>
      <c r="E56" s="1077" t="s">
        <v>2026</v>
      </c>
      <c r="F56" s="1057" t="str">
        <f>IF(Begriffe!$G$1=1,C56,IF(Begriffe!$G$1=2,D56,E56))</f>
        <v>Jährliche Volllaststunden der Geräte und Prozessanlagen</v>
      </c>
    </row>
    <row r="57" spans="1:6">
      <c r="A57" s="528"/>
      <c r="B57" s="489"/>
      <c r="C57" s="1063" t="s">
        <v>802</v>
      </c>
      <c r="D57" s="1063" t="s">
        <v>810</v>
      </c>
      <c r="E57" s="533" t="s">
        <v>2027</v>
      </c>
      <c r="F57" s="1057" t="str">
        <f>IF(Begriffe!$G$1=1,C57,IF(Begriffe!$G$1=2,D57,E57))</f>
        <v>Jährliche Volllaststunden der Lüftung</v>
      </c>
    </row>
    <row r="58" spans="1:6">
      <c r="A58" s="528"/>
      <c r="B58" s="489" t="s">
        <v>1785</v>
      </c>
      <c r="C58" s="1077" t="s">
        <v>1525</v>
      </c>
      <c r="D58" s="1694" t="s">
        <v>1526</v>
      </c>
      <c r="E58" s="1077" t="s">
        <v>2028</v>
      </c>
      <c r="F58" s="1057" t="str">
        <f>IF(Begriffe!$G$1=1,C58,IF(Begriffe!$G$1=2,D58,E58))</f>
        <v>Jährliche Volumenstrom-Volllaststunden</v>
      </c>
    </row>
    <row r="59" spans="1:6">
      <c r="A59" s="528"/>
      <c r="B59" s="489" t="s">
        <v>1786</v>
      </c>
      <c r="C59" s="1063" t="s">
        <v>805</v>
      </c>
      <c r="D59" s="1063" t="s">
        <v>873</v>
      </c>
      <c r="E59" s="533" t="s">
        <v>2029</v>
      </c>
      <c r="F59" s="1057" t="str">
        <f>IF(Begriffe!$G$1=1,C59,IF(Begriffe!$G$1=2,D59,E59))</f>
        <v>Jährliche Volllaststunden der Raumheizung</v>
      </c>
    </row>
    <row r="60" spans="1:6">
      <c r="A60" s="528"/>
      <c r="B60" s="489" t="s">
        <v>1787</v>
      </c>
      <c r="C60" s="1063" t="s">
        <v>804</v>
      </c>
      <c r="D60" s="1063" t="s">
        <v>811</v>
      </c>
      <c r="E60" s="533" t="s">
        <v>2030</v>
      </c>
      <c r="F60" s="1057" t="str">
        <f>IF(Begriffe!$G$1=1,C60,IF(Begriffe!$G$1=2,D60,E60))</f>
        <v>Jährliche Volllaststunden der Raumkühlung</v>
      </c>
    </row>
    <row r="61" spans="1:6">
      <c r="A61" s="528"/>
      <c r="B61" s="489" t="s">
        <v>1788</v>
      </c>
      <c r="C61" s="1063" t="s">
        <v>494</v>
      </c>
      <c r="D61" s="533" t="s">
        <v>659</v>
      </c>
      <c r="E61" s="533" t="s">
        <v>2031</v>
      </c>
      <c r="F61" s="1057" t="str">
        <f>IF(Begriffe!$G$1=1,C61,IF(Begriffe!$G$1=2,D61,E61))</f>
        <v>Jährlicher Elektrizitätsbedarf Beleuchtung</v>
      </c>
    </row>
    <row r="62" spans="1:6">
      <c r="A62" s="528"/>
      <c r="B62" s="489" t="s">
        <v>1789</v>
      </c>
      <c r="C62" s="1063" t="s">
        <v>660</v>
      </c>
      <c r="D62" s="533" t="s">
        <v>1003</v>
      </c>
      <c r="E62" s="533" t="s">
        <v>2032</v>
      </c>
      <c r="F62" s="1057" t="str">
        <f>IF(Begriffe!$G$1=1,C62,IF(Begriffe!$G$1=2,D62,E62))</f>
        <v>Jährlicher Elektrizitätsbedarf der Geräte</v>
      </c>
    </row>
    <row r="63" spans="1:6">
      <c r="A63" s="528"/>
      <c r="B63" s="489"/>
      <c r="C63" s="1077" t="s">
        <v>1384</v>
      </c>
      <c r="D63" s="533" t="s">
        <v>662</v>
      </c>
      <c r="E63" s="533" t="s">
        <v>2033</v>
      </c>
      <c r="F63" s="1057" t="str">
        <f>IF(Begriffe!$G$1=1,C63,IF(Begriffe!$G$1=2,D63,E63))</f>
        <v>Jährlicher Elektrizitätsbedarf der Lüftung</v>
      </c>
    </row>
    <row r="64" spans="1:6">
      <c r="A64" s="528"/>
      <c r="B64" s="489" t="s">
        <v>1790</v>
      </c>
      <c r="C64" s="1077" t="s">
        <v>1385</v>
      </c>
      <c r="D64" s="1694" t="s">
        <v>1387</v>
      </c>
      <c r="E64" s="1077" t="s">
        <v>2034</v>
      </c>
      <c r="F64" s="1057" t="str">
        <f>IF(Begriffe!$G$1=1,C64,IF(Begriffe!$G$1=2,D64,E64))</f>
        <v>Jährlicher Elektrizitätsbedarf der Prozessanlagen</v>
      </c>
    </row>
    <row r="65" spans="1:6" ht="12.75" customHeight="1">
      <c r="A65" s="528"/>
      <c r="B65" s="489" t="s">
        <v>1791</v>
      </c>
      <c r="C65" s="1063" t="s">
        <v>663</v>
      </c>
      <c r="D65" s="533" t="s">
        <v>874</v>
      </c>
      <c r="E65" s="533" t="s">
        <v>2035</v>
      </c>
      <c r="F65" s="1057" t="str">
        <f>IF(Begriffe!$G$1=1,C65,IF(Begriffe!$G$1=2,D65,E65))</f>
        <v xml:space="preserve">Jährlicher Heizwärmebedarf </v>
      </c>
    </row>
    <row r="66" spans="1:6">
      <c r="A66" s="528"/>
      <c r="B66" s="489" t="s">
        <v>1792</v>
      </c>
      <c r="C66" s="1063" t="s">
        <v>499</v>
      </c>
      <c r="D66" s="1696" t="s">
        <v>1878</v>
      </c>
      <c r="E66" s="1063" t="s">
        <v>2036</v>
      </c>
      <c r="F66" s="1057" t="str">
        <f>IF(Begriffe!$G$1=1,C66,IF(Begriffe!$G$1=2,D66,E66))</f>
        <v>Jährlicher Klimakältebedarf</v>
      </c>
    </row>
    <row r="67" spans="1:6">
      <c r="A67" s="528"/>
      <c r="B67" s="489" t="s">
        <v>1793</v>
      </c>
      <c r="C67" s="1063" t="s">
        <v>502</v>
      </c>
      <c r="D67" s="533" t="s">
        <v>875</v>
      </c>
      <c r="E67" s="533" t="s">
        <v>2037</v>
      </c>
      <c r="F67" s="1057" t="str">
        <f>IF(Begriffe!$G$1=1,C67,IF(Begriffe!$G$1=2,D67,E67))</f>
        <v>Jährlicher Wärmebedarf für Warmwasser</v>
      </c>
    </row>
    <row r="68" spans="1:6">
      <c r="A68" s="528"/>
      <c r="B68" s="489" t="s">
        <v>1794</v>
      </c>
      <c r="C68" s="1063" t="s">
        <v>497</v>
      </c>
      <c r="D68" s="533" t="s">
        <v>664</v>
      </c>
      <c r="E68" s="1063" t="s">
        <v>2038</v>
      </c>
      <c r="F68" s="1057" t="str">
        <f>IF(Begriffe!$G$1=1,C68,IF(Begriffe!$G$1=2,D68,E68))</f>
        <v>Klimakälteleistungsbedarf</v>
      </c>
    </row>
    <row r="69" spans="1:6" ht="12.75" customHeight="1">
      <c r="A69" s="528"/>
      <c r="B69" s="489" t="s">
        <v>1795</v>
      </c>
      <c r="C69" s="1063" t="s">
        <v>665</v>
      </c>
      <c r="D69" s="1063" t="s">
        <v>666</v>
      </c>
      <c r="E69" s="533" t="s">
        <v>667</v>
      </c>
      <c r="F69" s="1057" t="str">
        <f>IF(Begriffe!$G$1=1,C69,IF(Begriffe!$G$1=2,D69,E69))</f>
        <v>Korrekturfaktor für Präsenzregelung</v>
      </c>
    </row>
    <row r="70" spans="1:6">
      <c r="A70" s="528"/>
      <c r="B70" s="489"/>
      <c r="C70" s="1077" t="s">
        <v>1063</v>
      </c>
      <c r="D70" s="1694" t="s">
        <v>1879</v>
      </c>
      <c r="E70" s="1077" t="s">
        <v>1391</v>
      </c>
      <c r="F70" s="1057" t="str">
        <f>IF(Begriffe!$G$1=1,C70,IF(Begriffe!$G$1=2,D70,E70))</f>
        <v>Korrekturfaktor Gleichzeitigkeit</v>
      </c>
    </row>
    <row r="71" spans="1:6">
      <c r="A71" s="528"/>
      <c r="B71" s="489" t="s">
        <v>1796</v>
      </c>
      <c r="C71" s="1063" t="s">
        <v>113</v>
      </c>
      <c r="D71" s="1063" t="s">
        <v>668</v>
      </c>
      <c r="E71" s="533" t="s">
        <v>669</v>
      </c>
      <c r="F71" s="1057" t="str">
        <f>IF(Begriffe!$G$1=1,C71,IF(Begriffe!$G$1=2,D71,E71))</f>
        <v>Lärmempfindlichkeit</v>
      </c>
    </row>
    <row r="72" spans="1:6">
      <c r="A72" s="528"/>
      <c r="B72" s="489" t="s">
        <v>1797</v>
      </c>
      <c r="C72" s="1077" t="s">
        <v>1609</v>
      </c>
      <c r="D72" s="1694" t="s">
        <v>1610</v>
      </c>
      <c r="E72" s="1077" t="s">
        <v>2039</v>
      </c>
      <c r="F72" s="1057" t="str">
        <f>IF(Begriffe!$G$1=1,C72,IF(Begriffe!$G$1=2,D72,E72))</f>
        <v>Lastprofil</v>
      </c>
    </row>
    <row r="73" spans="1:6" ht="12.75" customHeight="1">
      <c r="A73" s="528"/>
      <c r="B73" s="489" t="s">
        <v>1798</v>
      </c>
      <c r="C73" s="1063" t="s">
        <v>506</v>
      </c>
      <c r="D73" s="1694" t="s">
        <v>1880</v>
      </c>
      <c r="E73" s="533" t="s">
        <v>2040</v>
      </c>
      <c r="F73" s="1057" t="str">
        <f>IF(Begriffe!$G$1=1,C73,IF(Begriffe!$G$1=2,D73,E73))</f>
        <v>Leistung ausserhalb der Nutzungszeit</v>
      </c>
    </row>
    <row r="74" spans="1:6">
      <c r="A74" s="528"/>
      <c r="B74" s="489" t="s">
        <v>1799</v>
      </c>
      <c r="C74" s="1063" t="s">
        <v>492</v>
      </c>
      <c r="D74" s="1063" t="s">
        <v>670</v>
      </c>
      <c r="E74" s="533" t="s">
        <v>671</v>
      </c>
      <c r="F74" s="1057" t="str">
        <f>IF(Begriffe!$G$1=1,C74,IF(Begriffe!$G$1=2,D74,E74))</f>
        <v>Leuchten-Lichtausbeute</v>
      </c>
    </row>
    <row r="75" spans="1:6">
      <c r="A75" s="528"/>
      <c r="B75" s="489" t="s">
        <v>1800</v>
      </c>
      <c r="C75" s="1063" t="s">
        <v>505</v>
      </c>
      <c r="D75" s="533" t="s">
        <v>672</v>
      </c>
      <c r="E75" s="1063" t="s">
        <v>673</v>
      </c>
      <c r="F75" s="1057" t="str">
        <f>IF(Begriffe!$G$1=1,C75,IF(Begriffe!$G$1=2,D75,E75))</f>
        <v>Lichttransmissionsgrad</v>
      </c>
    </row>
    <row r="76" spans="1:6">
      <c r="A76" s="528"/>
      <c r="B76" s="489" t="s">
        <v>1801</v>
      </c>
      <c r="C76" s="1063" t="s">
        <v>674</v>
      </c>
      <c r="D76" s="1063" t="s">
        <v>675</v>
      </c>
      <c r="E76" s="1063" t="s">
        <v>2041</v>
      </c>
      <c r="F76" s="1057" t="str">
        <f>IF(Begriffe!$G$1=1,C76,IF(Begriffe!$G$1=2,D76,E76))</f>
        <v>Lüftungs-Wärmetransferkoeffizient</v>
      </c>
    </row>
    <row r="77" spans="1:6">
      <c r="A77" s="528"/>
      <c r="B77" s="489" t="s">
        <v>1802</v>
      </c>
      <c r="C77" s="1077" t="s">
        <v>1751</v>
      </c>
      <c r="D77" s="1694" t="s">
        <v>1752</v>
      </c>
      <c r="E77" s="1077" t="s">
        <v>1753</v>
      </c>
      <c r="F77" s="1057" t="str">
        <f>IF(Begriffe!$G$1=1,C77,IF(Begriffe!$G$1=2,D77,E77))</f>
        <v>Mittlere Luftgeschwindigkeit</v>
      </c>
    </row>
    <row r="78" spans="1:6">
      <c r="A78" s="528"/>
      <c r="B78" s="489"/>
      <c r="C78" s="1077" t="s">
        <v>1080</v>
      </c>
      <c r="D78" s="1694" t="s">
        <v>1881</v>
      </c>
      <c r="E78" s="1077" t="s">
        <v>2042</v>
      </c>
      <c r="F78" s="1057" t="str">
        <f>IF(Begriffe!$G$1=1,C78,IF(Begriffe!$G$1=2,D78,E78))</f>
        <v>Minimale Volllaststundenzahl</v>
      </c>
    </row>
    <row r="79" spans="1:6">
      <c r="A79" s="528"/>
      <c r="B79" s="489" t="s">
        <v>1803</v>
      </c>
      <c r="C79" s="1077" t="s">
        <v>1750</v>
      </c>
      <c r="D79" s="1696" t="s">
        <v>1882</v>
      </c>
      <c r="E79" s="1077" t="s">
        <v>2043</v>
      </c>
      <c r="F79" s="1057" t="str">
        <f>IF(Begriffe!$G$1=1,C79,IF(Begriffe!$G$1=2,D79,E79))</f>
        <v>Mittlere Raumtemperatur</v>
      </c>
    </row>
    <row r="80" spans="1:6">
      <c r="A80" s="528"/>
      <c r="B80" s="489"/>
      <c r="C80" s="1063" t="s">
        <v>120</v>
      </c>
      <c r="D80" s="1063" t="s">
        <v>676</v>
      </c>
      <c r="E80" s="533" t="s">
        <v>677</v>
      </c>
      <c r="F80" s="1057" t="str">
        <f>IF(Begriffe!$G$1=1,C80,IF(Begriffe!$G$1=2,D80,E80))</f>
        <v>Nachhallzeit</v>
      </c>
    </row>
    <row r="81" spans="1:6">
      <c r="A81" s="528"/>
      <c r="B81" s="489" t="s">
        <v>1804</v>
      </c>
      <c r="C81" s="1077" t="s">
        <v>1469</v>
      </c>
      <c r="D81" s="1694" t="s">
        <v>1883</v>
      </c>
      <c r="E81" s="1273" t="s">
        <v>2044</v>
      </c>
      <c r="F81" s="1057" t="str">
        <f>IF(Begriffe!$G$1=1,C81,IF(Begriffe!$G$1=2,D81,E81))</f>
        <v>Norm-Heizlast</v>
      </c>
    </row>
    <row r="82" spans="1:6">
      <c r="A82" s="528"/>
      <c r="B82" s="489" t="s">
        <v>1805</v>
      </c>
      <c r="C82" s="1063" t="s">
        <v>496</v>
      </c>
      <c r="D82" s="1694" t="s">
        <v>1884</v>
      </c>
      <c r="E82" s="1063" t="s">
        <v>678</v>
      </c>
      <c r="F82" s="1057" t="str">
        <f>IF(Begriffe!$G$1=1,C82,IF(Begriffe!$G$1=2,D82,E82))</f>
        <v>Notwendigkeit einer Kühlung</v>
      </c>
    </row>
    <row r="83" spans="1:6">
      <c r="A83" s="528"/>
      <c r="B83" s="489" t="s">
        <v>1806</v>
      </c>
      <c r="C83" s="1063" t="s">
        <v>578</v>
      </c>
      <c r="D83" s="1063" t="s">
        <v>679</v>
      </c>
      <c r="E83" s="1063" t="s">
        <v>1004</v>
      </c>
      <c r="F83" s="1057" t="str">
        <f>IF(Begriffe!$G$1=1,C83,IF(Begriffe!$G$1=2,D83,E83))</f>
        <v>Nutzungsstunden pro Tag</v>
      </c>
    </row>
    <row r="84" spans="1:6">
      <c r="A84" s="528"/>
      <c r="B84" s="489" t="s">
        <v>1807</v>
      </c>
      <c r="C84" s="1063" t="s">
        <v>680</v>
      </c>
      <c r="D84" s="1063" t="s">
        <v>681</v>
      </c>
      <c r="E84" s="533" t="s">
        <v>2045</v>
      </c>
      <c r="F84" s="1057" t="str">
        <f>IF(Begriffe!$G$1=1,C84,IF(Begriffe!$G$1=2,D84,E84))</f>
        <v>Nutzungsstunden Tag und Nacht</v>
      </c>
    </row>
    <row r="85" spans="1:6">
      <c r="A85" s="528"/>
      <c r="B85" s="489" t="s">
        <v>1808</v>
      </c>
      <c r="C85" s="1063" t="s">
        <v>580</v>
      </c>
      <c r="D85" s="1063" t="s">
        <v>905</v>
      </c>
      <c r="E85" s="1077" t="s">
        <v>2046</v>
      </c>
      <c r="F85" s="1057" t="str">
        <f>IF(Begriffe!$G$1=1,C85,IF(Begriffe!$G$1=2,D85,E85))</f>
        <v>Nutzungstage pro Jahr</v>
      </c>
    </row>
    <row r="86" spans="1:6">
      <c r="A86" s="528"/>
      <c r="B86" s="489" t="s">
        <v>1809</v>
      </c>
      <c r="C86" s="1063" t="s">
        <v>609</v>
      </c>
      <c r="D86" s="1063" t="s">
        <v>682</v>
      </c>
      <c r="E86" s="1063" t="s">
        <v>1005</v>
      </c>
      <c r="F86" s="1057" t="str">
        <f>IF(Begriffe!$G$1=1,C86,IF(Begriffe!$G$1=2,D86,E86))</f>
        <v>Nutzwarmwasserbedarf pro Bezugseinheit</v>
      </c>
    </row>
    <row r="87" spans="1:6">
      <c r="A87" s="528"/>
      <c r="B87" s="489" t="s">
        <v>1810</v>
      </c>
      <c r="C87" s="1063" t="s">
        <v>102</v>
      </c>
      <c r="D87" s="1063" t="s">
        <v>683</v>
      </c>
      <c r="E87" s="533" t="s">
        <v>684</v>
      </c>
      <c r="F87" s="1057" t="str">
        <f>IF(Begriffe!$G$1=1,C87,IF(Begriffe!$G$1=2,D87,E87))</f>
        <v>Personenfläche</v>
      </c>
    </row>
    <row r="88" spans="1:6">
      <c r="A88" s="528"/>
      <c r="B88" s="489" t="s">
        <v>1811</v>
      </c>
      <c r="C88" s="1063" t="s">
        <v>685</v>
      </c>
      <c r="D88" s="1063" t="s">
        <v>1006</v>
      </c>
      <c r="E88" s="533" t="s">
        <v>2047</v>
      </c>
      <c r="F88" s="1057" t="str">
        <f>IF(Begriffe!$G$1=1,C88,IF(Begriffe!$G$1=2,D88,E88))</f>
        <v>Personenprofil</v>
      </c>
    </row>
    <row r="89" spans="1:6">
      <c r="A89" s="528"/>
      <c r="B89" s="489"/>
      <c r="C89" s="1077" t="s">
        <v>1885</v>
      </c>
      <c r="D89" s="1694" t="s">
        <v>1886</v>
      </c>
      <c r="E89" s="1077" t="s">
        <v>2048</v>
      </c>
      <c r="F89" s="1057" t="str">
        <f>IF(Begriffe!$G$1=1,C89,IF(Begriffe!$G$1=2,D89,E89))</f>
        <v>Präsenzart</v>
      </c>
    </row>
    <row r="90" spans="1:6" ht="12.75" customHeight="1">
      <c r="A90" s="528"/>
      <c r="B90" s="489" t="s">
        <v>1812</v>
      </c>
      <c r="C90" s="1077" t="s">
        <v>1420</v>
      </c>
      <c r="D90" s="1694" t="s">
        <v>1887</v>
      </c>
      <c r="E90" s="1077" t="s">
        <v>2049</v>
      </c>
      <c r="F90" s="1057" t="str">
        <f>IF(Begriffe!$G$1=1,C90,IF(Begriffe!$G$1=2,D90,E90))</f>
        <v>Prozessbedingter Aussenluft-Volumenstrom</v>
      </c>
    </row>
    <row r="91" spans="1:6">
      <c r="A91" s="528" t="s">
        <v>22</v>
      </c>
      <c r="B91" s="489" t="s">
        <v>1813</v>
      </c>
      <c r="C91" s="1063" t="s">
        <v>112</v>
      </c>
      <c r="D91" s="1063" t="s">
        <v>1888</v>
      </c>
      <c r="E91" s="1063" t="s">
        <v>2050</v>
      </c>
      <c r="F91" s="1057" t="str">
        <f>IF(Begriffe!$G$1=1,C91,IF(Begriffe!$G$1=2,D91,E91))</f>
        <v>Raumabmessungen</v>
      </c>
    </row>
    <row r="92" spans="1:6">
      <c r="A92" s="528"/>
      <c r="B92" s="489" t="s">
        <v>1814</v>
      </c>
      <c r="C92" s="1063" t="s">
        <v>491</v>
      </c>
      <c r="D92" s="1063" t="s">
        <v>906</v>
      </c>
      <c r="E92" s="533" t="s">
        <v>686</v>
      </c>
      <c r="F92" s="1057" t="str">
        <f>IF(Begriffe!$G$1=1,C92,IF(Begriffe!$G$1=2,D92,E92))</f>
        <v>Raumindex</v>
      </c>
    </row>
    <row r="93" spans="1:6">
      <c r="A93" s="528"/>
      <c r="B93" s="489" t="s">
        <v>1815</v>
      </c>
      <c r="C93" s="1077" t="s">
        <v>1738</v>
      </c>
      <c r="D93" s="1694" t="s">
        <v>1889</v>
      </c>
      <c r="E93" s="1077" t="s">
        <v>2051</v>
      </c>
      <c r="F93" s="1057" t="str">
        <f>IF(Begriffe!$G$1=1,C93,IF(Begriffe!$G$1=2,D93,E93))</f>
        <v>Raumtemperatur-Auslegungswert</v>
      </c>
    </row>
    <row r="94" spans="1:6">
      <c r="A94" s="528"/>
      <c r="B94" s="489" t="s">
        <v>1816</v>
      </c>
      <c r="C94" s="1063" t="s">
        <v>493</v>
      </c>
      <c r="D94" s="1063" t="s">
        <v>687</v>
      </c>
      <c r="E94" s="533" t="s">
        <v>876</v>
      </c>
      <c r="F94" s="1057" t="str">
        <f>IF(Begriffe!$G$1=1,C94,IF(Begriffe!$G$1=2,D94,E94))</f>
        <v>Raumwirkungsgrad</v>
      </c>
    </row>
    <row r="95" spans="1:6">
      <c r="A95" s="528"/>
      <c r="B95" s="489" t="s">
        <v>1817</v>
      </c>
      <c r="C95" s="1063" t="s">
        <v>487</v>
      </c>
      <c r="D95" s="1694" t="s">
        <v>1890</v>
      </c>
      <c r="E95" s="1063" t="s">
        <v>688</v>
      </c>
      <c r="F95" s="1057" t="str">
        <f>IF(Begriffe!$G$1=1,C95,IF(Begriffe!$G$1=2,D95,E95))</f>
        <v>Reduktionsfaktor solare Wärmeeinträge</v>
      </c>
    </row>
    <row r="96" spans="1:6">
      <c r="A96" s="528"/>
      <c r="B96" s="489" t="s">
        <v>1818</v>
      </c>
      <c r="C96" s="1077" t="s">
        <v>1064</v>
      </c>
      <c r="D96" s="1694" t="s">
        <v>1891</v>
      </c>
      <c r="E96" s="1077" t="s">
        <v>2052</v>
      </c>
      <c r="F96" s="1057" t="str">
        <f>IF(Begriffe!$G$1=1,C96,IF(Begriffe!$G$1=2,D96,E96))</f>
        <v>Referenzbeleuchtungsstärke</v>
      </c>
    </row>
    <row r="97" spans="1:6">
      <c r="A97" s="528"/>
      <c r="B97" s="489" t="s">
        <v>1819</v>
      </c>
      <c r="C97" s="1063" t="s">
        <v>877</v>
      </c>
      <c r="D97" s="1694" t="s">
        <v>1892</v>
      </c>
      <c r="E97" s="533" t="s">
        <v>2053</v>
      </c>
      <c r="F97" s="1057" t="str">
        <f>IF(Begriffe!$G$1=1,C97,IF(Begriffe!$G$1=2,D97,E97))</f>
        <v xml:space="preserve">Relative Raumluftfeuchte </v>
      </c>
    </row>
    <row r="98" spans="1:6">
      <c r="A98" s="528"/>
      <c r="B98" s="489" t="s">
        <v>1820</v>
      </c>
      <c r="C98" s="1076" t="s">
        <v>1893</v>
      </c>
      <c r="D98" s="1694" t="s">
        <v>1894</v>
      </c>
      <c r="E98" s="1076" t="s">
        <v>2054</v>
      </c>
      <c r="F98" s="1057" t="str">
        <f>IF(Begriffe!$G$1=1,C98,IF(Begriffe!$G$1=2,D98,E98))</f>
        <v>Relative Raumluftfeuchte am Nutzungstag (März)</v>
      </c>
    </row>
    <row r="99" spans="1:6">
      <c r="A99" s="528"/>
      <c r="B99" s="489" t="s">
        <v>1821</v>
      </c>
      <c r="C99" s="1063" t="s">
        <v>76</v>
      </c>
      <c r="D99" s="1063" t="s">
        <v>689</v>
      </c>
      <c r="E99" s="1063" t="s">
        <v>690</v>
      </c>
      <c r="F99" s="1057" t="str">
        <f>IF(Begriffe!$G$1=1,C99,IF(Begriffe!$G$1=2,D99,E99))</f>
        <v>Ruhetage pro Woche</v>
      </c>
    </row>
    <row r="100" spans="1:6">
      <c r="A100" s="528"/>
      <c r="B100" s="489" t="s">
        <v>1822</v>
      </c>
      <c r="C100" s="1077" t="s">
        <v>1895</v>
      </c>
      <c r="D100" s="1694" t="s">
        <v>1896</v>
      </c>
      <c r="E100" s="1077" t="s">
        <v>2055</v>
      </c>
      <c r="F100" s="1057" t="str">
        <f>IF(Begriffe!$G$1=1,C100,IF(Begriffe!$G$1=2,D100,E100))</f>
        <v>Sensible Wärmeabgabeleistung Pers.</v>
      </c>
    </row>
    <row r="101" spans="1:6">
      <c r="A101" s="528"/>
      <c r="B101" s="489" t="s">
        <v>1823</v>
      </c>
      <c r="C101" s="1077" t="s">
        <v>1698</v>
      </c>
      <c r="D101" s="1694" t="s">
        <v>1897</v>
      </c>
      <c r="E101" s="1077" t="s">
        <v>2056</v>
      </c>
      <c r="F101" s="1057" t="str">
        <f>IF(Begriffe!$G$1=1,C101,IF(Begriffe!$G$1=2,D101,E101))</f>
        <v>Sensible Wärmeeintragsleistung Personen</v>
      </c>
    </row>
    <row r="102" spans="1:6">
      <c r="A102" s="528"/>
      <c r="C102" s="1063" t="s">
        <v>878</v>
      </c>
      <c r="D102" s="1063" t="s">
        <v>879</v>
      </c>
      <c r="E102" s="533" t="s">
        <v>880</v>
      </c>
      <c r="F102" s="1057" t="str">
        <f>IF(Begriffe!$G$1=1,C102,IF(Begriffe!$G$1=2,D102,E102))</f>
        <v>Spezifische Ventilatorleistung</v>
      </c>
    </row>
    <row r="103" spans="1:6" ht="24.9">
      <c r="A103" s="528"/>
      <c r="B103" s="489" t="s">
        <v>1824</v>
      </c>
      <c r="C103" s="1063" t="s">
        <v>907</v>
      </c>
      <c r="D103" s="1694" t="s">
        <v>1898</v>
      </c>
      <c r="E103" s="533" t="s">
        <v>2057</v>
      </c>
      <c r="F103" s="1057" t="str">
        <f>IF(Begriffe!$G$1=1,C103,IF(Begriffe!$G$1=2,D103,E103))</f>
        <v>Steuerung und Regelung des Luftvolumenstroms (einstufig, zweistufig, stufenlos)</v>
      </c>
    </row>
    <row r="104" spans="1:6">
      <c r="A104" s="528"/>
      <c r="B104" s="489" t="s">
        <v>1825</v>
      </c>
      <c r="C104" s="1063" t="s">
        <v>691</v>
      </c>
      <c r="D104" s="1063" t="s">
        <v>692</v>
      </c>
      <c r="E104" s="533" t="s">
        <v>693</v>
      </c>
      <c r="F104" s="1057" t="str">
        <f>IF(Begriffe!$G$1=1,C104,IF(Begriffe!$G$1=2,D104,E104))</f>
        <v>Strahlungsleistung für Betätigung Sonnenschutz</v>
      </c>
    </row>
    <row r="105" spans="1:6" ht="24.9">
      <c r="A105" s="528"/>
      <c r="B105" s="489" t="s">
        <v>1826</v>
      </c>
      <c r="C105" s="1063" t="s">
        <v>604</v>
      </c>
      <c r="D105" s="533" t="s">
        <v>714</v>
      </c>
      <c r="E105" s="1077" t="s">
        <v>694</v>
      </c>
      <c r="F105" s="1057" t="str">
        <f>IF(Begriffe!$G$1=1,C105,IF(Begriffe!$G$1=2,D105,E105))</f>
        <v>Temperatur-Änderungsgrad der Wärmerückgewinnung</v>
      </c>
    </row>
    <row r="106" spans="1:6">
      <c r="A106" s="528"/>
      <c r="B106" s="489" t="s">
        <v>1827</v>
      </c>
      <c r="C106" s="1063" t="s">
        <v>695</v>
      </c>
      <c r="D106" s="1063" t="s">
        <v>696</v>
      </c>
      <c r="E106" s="533" t="s">
        <v>697</v>
      </c>
      <c r="F106" s="1057" t="str">
        <f>IF(Begriffe!$G$1=1,C106,IF(Begriffe!$G$1=2,D106,E106))</f>
        <v>Temperaturkorrektur</v>
      </c>
    </row>
    <row r="107" spans="1:6">
      <c r="A107" s="528"/>
      <c r="B107" s="489"/>
      <c r="C107" s="1077" t="s">
        <v>1460</v>
      </c>
      <c r="D107" s="1694" t="s">
        <v>1899</v>
      </c>
      <c r="E107" s="1077" t="s">
        <v>2058</v>
      </c>
      <c r="F107" s="1057" t="str">
        <f>IF(Begriffe!$G$1=1,C107,IF(Begriffe!$G$1=2,D107,E107))</f>
        <v>Thermisch wirksame Mindest-Luftwechselrate</v>
      </c>
    </row>
    <row r="108" spans="1:6">
      <c r="A108" s="528"/>
      <c r="B108" s="489" t="s">
        <v>1828</v>
      </c>
      <c r="C108" s="1063" t="s">
        <v>698</v>
      </c>
      <c r="D108" s="1063" t="s">
        <v>699</v>
      </c>
      <c r="E108" s="533" t="s">
        <v>2059</v>
      </c>
      <c r="F108" s="1057" t="str">
        <f>IF(Begriffe!$G$1=1,C108,IF(Begriffe!$G$1=2,D108,E108))</f>
        <v>Thermisch wirksamer Aussenluft-Volumenstrom</v>
      </c>
    </row>
    <row r="109" spans="1:6">
      <c r="A109" s="528"/>
      <c r="B109" s="489" t="s">
        <v>1829</v>
      </c>
      <c r="C109" s="533" t="s">
        <v>431</v>
      </c>
      <c r="D109" s="533" t="s">
        <v>700</v>
      </c>
      <c r="E109" s="533" t="s">
        <v>2060</v>
      </c>
      <c r="F109" s="1057" t="str">
        <f>IF(Begriffe!$G$1=1,C109,IF(Begriffe!$G$1=2,D109,E109))</f>
        <v>Thermische Gebäudehüllfläche</v>
      </c>
    </row>
    <row r="110" spans="1:6">
      <c r="A110" s="528"/>
      <c r="B110" s="489" t="s">
        <v>1830</v>
      </c>
      <c r="C110" s="1063" t="s">
        <v>719</v>
      </c>
      <c r="D110" s="1694" t="s">
        <v>1900</v>
      </c>
      <c r="E110" s="533" t="s">
        <v>2061</v>
      </c>
      <c r="F110" s="1057" t="str">
        <f>IF(Begriffe!$G$1=1,C110,IF(Begriffe!$G$1=2,D110,E110))</f>
        <v>Transmissions-Wärmetransferkoeffizient</v>
      </c>
    </row>
    <row r="111" spans="1:6">
      <c r="A111" s="528"/>
      <c r="B111" s="489" t="s">
        <v>1831</v>
      </c>
      <c r="C111" s="1077" t="s">
        <v>1409</v>
      </c>
      <c r="D111" s="1694" t="s">
        <v>1901</v>
      </c>
      <c r="E111" s="1077" t="s">
        <v>2062</v>
      </c>
      <c r="F111" s="1057" t="str">
        <f>IF(Begriffe!$G$1=1,C111,IF(Begriffe!$G$1=2,D111,E111))</f>
        <v>Verhältnis Wasserbedarf zu Warmwasserbedarf</v>
      </c>
    </row>
    <row r="112" spans="1:6">
      <c r="A112" s="528"/>
      <c r="B112" s="489" t="s">
        <v>1832</v>
      </c>
      <c r="C112" s="1063" t="s">
        <v>701</v>
      </c>
      <c r="D112" s="1063" t="s">
        <v>702</v>
      </c>
      <c r="E112" s="533" t="s">
        <v>1305</v>
      </c>
      <c r="F112" s="1057" t="str">
        <f>IF(Begriffe!$G$1=1,C112,IF(Begriffe!$G$1=2,D112,E112))</f>
        <v>Volllaststunden pro Jahr</v>
      </c>
    </row>
    <row r="113" spans="1:6">
      <c r="A113" s="528"/>
      <c r="B113" s="489" t="s">
        <v>1833</v>
      </c>
      <c r="C113" s="1063" t="s">
        <v>579</v>
      </c>
      <c r="D113" s="1063" t="s">
        <v>703</v>
      </c>
      <c r="E113" s="533" t="s">
        <v>1306</v>
      </c>
      <c r="F113" s="1057" t="str">
        <f>IF(Begriffe!$G$1=1,C113,IF(Begriffe!$G$1=2,D113,E113))</f>
        <v>Volllaststunden pro Tag</v>
      </c>
    </row>
    <row r="114" spans="1:6">
      <c r="A114" s="528"/>
      <c r="B114" s="489" t="s">
        <v>1834</v>
      </c>
      <c r="C114" s="1063" t="s">
        <v>579</v>
      </c>
      <c r="D114" s="1063" t="s">
        <v>703</v>
      </c>
      <c r="E114" s="533" t="s">
        <v>1306</v>
      </c>
      <c r="F114" s="1057" t="str">
        <f>IF(Begriffe!$G$1=1,C114,IF(Begriffe!$G$1=2,D114,E114))</f>
        <v>Volllaststunden pro Tag</v>
      </c>
    </row>
    <row r="115" spans="1:6">
      <c r="A115" s="528"/>
      <c r="C115" s="1077" t="s">
        <v>1094</v>
      </c>
      <c r="D115" s="1694" t="s">
        <v>1902</v>
      </c>
      <c r="E115" s="1077" t="s">
        <v>2063</v>
      </c>
      <c r="F115" s="1057" t="str">
        <f>IF(Begriffe!$G$1=1,C115,IF(Begriffe!$G$1=2,D115,E115))</f>
        <v>Volllaststunden pro 11h Tag</v>
      </c>
    </row>
    <row r="116" spans="1:6">
      <c r="A116" s="528" t="s">
        <v>22</v>
      </c>
      <c r="B116" s="489"/>
      <c r="C116" s="1063" t="s">
        <v>704</v>
      </c>
      <c r="D116" s="1694" t="s">
        <v>1903</v>
      </c>
      <c r="E116" s="1063" t="s">
        <v>2064</v>
      </c>
      <c r="F116" s="1057" t="str">
        <f>IF(Begriffe!$G$1=1,C116,IF(Begriffe!$G$1=2,D116,E116))</f>
        <v>Wärmeabgabeleistung Personen</v>
      </c>
    </row>
    <row r="117" spans="1:6">
      <c r="A117" s="528"/>
      <c r="B117" s="489" t="s">
        <v>1835</v>
      </c>
      <c r="C117" s="1076" t="s">
        <v>1676</v>
      </c>
      <c r="D117" s="1694" t="s">
        <v>1906</v>
      </c>
      <c r="E117" s="1076" t="s">
        <v>2065</v>
      </c>
      <c r="F117" s="1057" t="str">
        <f>IF(Begriffe!$G$1=1,C117,IF(Begriffe!$G$1=2,D117,E117))</f>
        <v>Wärmebilanz pro Monat (exkl. Prozessanlagen)</v>
      </c>
    </row>
    <row r="118" spans="1:6">
      <c r="A118" s="528"/>
      <c r="B118" s="489" t="s">
        <v>1836</v>
      </c>
      <c r="C118" s="1063" t="s">
        <v>548</v>
      </c>
      <c r="D118" s="533" t="s">
        <v>705</v>
      </c>
      <c r="E118" s="533" t="s">
        <v>2066</v>
      </c>
      <c r="F118" s="1057" t="str">
        <f>IF(Begriffe!$G$1=1,C118,IF(Begriffe!$G$1=2,D118,E118))</f>
        <v>Wärmedämmwert der Bekleidung</v>
      </c>
    </row>
    <row r="119" spans="1:6">
      <c r="A119" s="528" t="s">
        <v>22</v>
      </c>
      <c r="B119" s="489" t="s">
        <v>1837</v>
      </c>
      <c r="C119" s="1063" t="s">
        <v>706</v>
      </c>
      <c r="D119" s="1063" t="s">
        <v>707</v>
      </c>
      <c r="E119" s="533" t="s">
        <v>708</v>
      </c>
      <c r="F119" s="1057" t="str">
        <f>IF(Begriffe!$G$1=1,C119,IF(Begriffe!$G$1=2,D119,E119))</f>
        <v>Wärmedurchgangskoeffizient</v>
      </c>
    </row>
    <row r="120" spans="1:6">
      <c r="A120" s="528"/>
      <c r="B120" s="489" t="s">
        <v>1839</v>
      </c>
      <c r="C120" s="1696" t="s">
        <v>1375</v>
      </c>
      <c r="D120" s="1694" t="s">
        <v>1905</v>
      </c>
      <c r="E120" s="1787" t="s">
        <v>2067</v>
      </c>
      <c r="F120" s="1057" t="str">
        <f>IF(Begriffe!$G$1=1,C120,IF(Begriffe!$G$1=2,D120,E120))</f>
        <v>Wärmeeintragsleistung der Beleuchtung</v>
      </c>
    </row>
    <row r="121" spans="1:6">
      <c r="A121" s="528"/>
      <c r="B121" s="489" t="s">
        <v>1838</v>
      </c>
      <c r="C121" s="1696" t="s">
        <v>1413</v>
      </c>
      <c r="D121" s="1694" t="s">
        <v>1904</v>
      </c>
      <c r="E121" s="533" t="s">
        <v>2068</v>
      </c>
      <c r="F121" s="1057" t="str">
        <f>IF(Begriffe!$G$1=1,C121,IF(Begriffe!$G$1=2,D121,E121))</f>
        <v>Wärmeeintragsleistung der Geräte</v>
      </c>
    </row>
    <row r="122" spans="1:6" ht="24.9">
      <c r="A122" s="528"/>
      <c r="B122" s="489" t="s">
        <v>1840</v>
      </c>
      <c r="C122" s="1076" t="s">
        <v>1871</v>
      </c>
      <c r="D122" s="1708" t="s">
        <v>1952</v>
      </c>
      <c r="E122" s="1076" t="s">
        <v>2210</v>
      </c>
      <c r="F122" s="1057" t="str">
        <f>IF(Begriffe!$G$1=1,C122,IF(Begriffe!$G$1=2,D122,E122))</f>
        <v>Wärmeleistungsbilanz am August-Auslegungstag  (exkl. Prozessanlagen)</v>
      </c>
    </row>
    <row r="123" spans="1:6">
      <c r="A123" s="528"/>
      <c r="B123" s="489" t="s">
        <v>1841</v>
      </c>
      <c r="C123" s="1063" t="s">
        <v>1907</v>
      </c>
      <c r="D123" s="1063" t="s">
        <v>908</v>
      </c>
      <c r="E123" s="533" t="s">
        <v>2069</v>
      </c>
      <c r="F123" s="1057" t="str">
        <f>IF(Begriffe!$G$1=1,C123,IF(Begriffe!$G$1=2,D123,E123))</f>
        <v>Wärmespeicherfähigkeit des Raumes</v>
      </c>
    </row>
    <row r="124" spans="1:6">
      <c r="A124" s="528"/>
      <c r="B124" s="489" t="s">
        <v>1842</v>
      </c>
      <c r="C124" s="1063" t="s">
        <v>596</v>
      </c>
      <c r="D124" s="533" t="s">
        <v>709</v>
      </c>
      <c r="E124" s="533" t="s">
        <v>2070</v>
      </c>
      <c r="F124" s="1057" t="str">
        <f>IF(Begriffe!$G$1=1,C124,IF(Begriffe!$G$1=2,D124,E124))</f>
        <v>Wärmetransferkoeffizient</v>
      </c>
    </row>
    <row r="125" spans="1:6">
      <c r="A125" s="528"/>
      <c r="B125" s="489" t="s">
        <v>1843</v>
      </c>
      <c r="C125" s="1063" t="s">
        <v>543</v>
      </c>
      <c r="D125" s="1063" t="s">
        <v>710</v>
      </c>
      <c r="E125" s="533" t="s">
        <v>2071</v>
      </c>
      <c r="F125" s="1057" t="str">
        <f>IF(Begriffe!$G$1=1,C125,IF(Begriffe!$G$1=2,D125,E125))</f>
        <v>Warmwasserbedarf pro Person</v>
      </c>
    </row>
    <row r="126" spans="1:6">
      <c r="A126" s="528"/>
      <c r="B126" s="489" t="s">
        <v>1844</v>
      </c>
      <c r="C126" s="1063" t="s">
        <v>542</v>
      </c>
      <c r="D126" s="1063" t="s">
        <v>711</v>
      </c>
      <c r="E126" s="1063" t="s">
        <v>2072</v>
      </c>
      <c r="F126" s="1057" t="str">
        <f>IF(Begriffe!$G$1=1,C126,IF(Begriffe!$G$1=2,D126,E126))</f>
        <v>Wasserbedarf pro Person</v>
      </c>
    </row>
    <row r="127" spans="1:6">
      <c r="A127" s="528"/>
      <c r="B127" s="489" t="s">
        <v>1845</v>
      </c>
      <c r="C127" s="1063" t="s">
        <v>500</v>
      </c>
      <c r="D127" s="1063" t="s">
        <v>712</v>
      </c>
      <c r="E127" s="1063" t="s">
        <v>713</v>
      </c>
      <c r="F127" s="1057" t="str">
        <f>IF(Begriffe!$G$1=1,C127,IF(Begriffe!$G$1=2,D127,E127))</f>
        <v>Zeitkonstante</v>
      </c>
    </row>
    <row r="128" spans="1:6">
      <c r="A128" s="528"/>
      <c r="B128" s="708"/>
    </row>
    <row r="129" spans="1:6">
      <c r="A129" s="528"/>
      <c r="B129" s="708"/>
      <c r="C129" s="1063"/>
      <c r="D129" s="1063"/>
      <c r="E129" s="1063"/>
      <c r="F129" s="1057">
        <f>IF(Begriffe!$G$1=1,C129,IF(Begriffe!$G$1=2,D129,E129))</f>
        <v>0</v>
      </c>
    </row>
    <row r="130" spans="1:6">
      <c r="A130" s="528"/>
      <c r="B130" s="529"/>
      <c r="C130" s="1060"/>
      <c r="D130" s="1060"/>
      <c r="E130" s="1060"/>
      <c r="F130" s="1057">
        <f>IF(Begriffe!$G$1=1,C130,IF(Begriffe!$G$1=2,D130,E130))</f>
        <v>0</v>
      </c>
    </row>
    <row r="131" spans="1:6" ht="14.15">
      <c r="A131" s="530" t="s">
        <v>1374</v>
      </c>
      <c r="B131" s="529"/>
      <c r="C131" s="1060"/>
      <c r="D131" s="1060"/>
      <c r="E131" s="1060"/>
      <c r="F131" s="1057">
        <f>IF(Begriffe!$G$1=1,C131,IF(Begriffe!$G$1=2,D131,E131))</f>
        <v>0</v>
      </c>
    </row>
    <row r="132" spans="1:6">
      <c r="A132" s="528"/>
      <c r="B132" s="529"/>
      <c r="C132" s="1060"/>
      <c r="D132" s="1060"/>
      <c r="E132" s="1060"/>
      <c r="F132" s="1057">
        <f>IF(Begriffe!$G$1=1,C132,IF(Begriffe!$G$1=2,D132,E132))</f>
        <v>0</v>
      </c>
    </row>
    <row r="133" spans="1:6">
      <c r="A133" s="531"/>
      <c r="B133" s="532" t="s">
        <v>105</v>
      </c>
      <c r="C133" s="1697" t="s">
        <v>623</v>
      </c>
      <c r="D133" s="1064" t="s">
        <v>624</v>
      </c>
      <c r="E133" s="1064" t="s">
        <v>625</v>
      </c>
      <c r="F133" s="1057" t="str">
        <f>IF(Begriffe!$G$1=1,C133,IF(Begriffe!$G$1=2,D133,E133))</f>
        <v>Deutsch</v>
      </c>
    </row>
    <row r="134" spans="1:6">
      <c r="A134" s="528"/>
      <c r="B134" s="709">
        <v>1.1000000000000001</v>
      </c>
      <c r="C134" s="1060" t="s">
        <v>572</v>
      </c>
      <c r="D134" s="1060" t="s">
        <v>768</v>
      </c>
      <c r="E134" s="1060" t="s">
        <v>829</v>
      </c>
      <c r="F134" s="1057" t="str">
        <f>IF(Begriffe!$G$1=1,C134,IF(Begriffe!$G$1=2,D134,E134))</f>
        <v>Wohnen MFH</v>
      </c>
    </row>
    <row r="135" spans="1:6">
      <c r="A135" s="528"/>
      <c r="B135" s="709">
        <v>1.2</v>
      </c>
      <c r="C135" s="1060" t="s">
        <v>573</v>
      </c>
      <c r="D135" s="1060" t="s">
        <v>767</v>
      </c>
      <c r="E135" s="1060" t="s">
        <v>830</v>
      </c>
      <c r="F135" s="1057" t="str">
        <f>IF(Begriffe!$G$1=1,C135,IF(Begriffe!$G$1=2,D135,E135))</f>
        <v>Wohnen EFH</v>
      </c>
    </row>
    <row r="136" spans="1:6">
      <c r="A136" s="528"/>
      <c r="B136" s="709">
        <v>2.1</v>
      </c>
      <c r="C136" s="1060" t="s">
        <v>77</v>
      </c>
      <c r="D136" s="1060" t="s">
        <v>734</v>
      </c>
      <c r="E136" s="1060" t="s">
        <v>815</v>
      </c>
      <c r="F136" s="1057" t="str">
        <f>IF(Begriffe!$G$1=1,C136,IF(Begriffe!$G$1=2,D136,E136))</f>
        <v xml:space="preserve">Hotelzimmer </v>
      </c>
    </row>
    <row r="137" spans="1:6">
      <c r="A137" s="528"/>
      <c r="B137" s="709">
        <v>2.2000000000000002</v>
      </c>
      <c r="C137" s="1060" t="s">
        <v>195</v>
      </c>
      <c r="D137" s="1060" t="s">
        <v>735</v>
      </c>
      <c r="E137" s="1060" t="s">
        <v>2074</v>
      </c>
      <c r="F137" s="1057" t="str">
        <f>IF(Begriffe!$G$1=1,C137,IF(Begriffe!$G$1=2,D137,E137))</f>
        <v>Empfang, Lobby</v>
      </c>
    </row>
    <row r="138" spans="1:6">
      <c r="A138" s="528"/>
      <c r="B138" s="709">
        <v>3.1</v>
      </c>
      <c r="C138" s="1060" t="s">
        <v>196</v>
      </c>
      <c r="D138" s="1060" t="s">
        <v>736</v>
      </c>
      <c r="E138" s="1060" t="s">
        <v>1007</v>
      </c>
      <c r="F138" s="1057" t="str">
        <f>IF(Begriffe!$G$1=1,C138,IF(Begriffe!$G$1=2,D138,E138))</f>
        <v>Einzel-, Gruppenbüro</v>
      </c>
    </row>
    <row r="139" spans="1:6">
      <c r="A139" s="528"/>
      <c r="B139" s="709">
        <v>3.2</v>
      </c>
      <c r="C139" s="1060" t="s">
        <v>79</v>
      </c>
      <c r="D139" s="1060" t="s">
        <v>737</v>
      </c>
      <c r="E139" s="1060" t="s">
        <v>1008</v>
      </c>
      <c r="F139" s="1057" t="str">
        <f>IF(Begriffe!$G$1=1,C139,IF(Begriffe!$G$1=2,D139,E139))</f>
        <v>Grossraumbüro</v>
      </c>
    </row>
    <row r="140" spans="1:6">
      <c r="A140" s="528"/>
      <c r="B140" s="709">
        <v>3.3</v>
      </c>
      <c r="C140" s="1060" t="s">
        <v>80</v>
      </c>
      <c r="D140" s="1060" t="s">
        <v>738</v>
      </c>
      <c r="E140" s="1060" t="s">
        <v>816</v>
      </c>
      <c r="F140" s="1057" t="str">
        <f>IF(Begriffe!$G$1=1,C140,IF(Begriffe!$G$1=2,D140,E140))</f>
        <v>Sitzungszimmer</v>
      </c>
    </row>
    <row r="141" spans="1:6">
      <c r="A141" s="528"/>
      <c r="B141" s="709">
        <v>3.4</v>
      </c>
      <c r="C141" s="1060" t="s">
        <v>197</v>
      </c>
      <c r="D141" s="1060" t="s">
        <v>739</v>
      </c>
      <c r="E141" s="1060" t="s">
        <v>1009</v>
      </c>
      <c r="F141" s="1057" t="str">
        <f>IF(Begriffe!$G$1=1,C141,IF(Begriffe!$G$1=2,D141,E141))</f>
        <v>Schalterhalle, Empfang</v>
      </c>
    </row>
    <row r="142" spans="1:6">
      <c r="A142" s="528"/>
      <c r="B142" s="709">
        <v>4.0999999999999996</v>
      </c>
      <c r="C142" s="1060" t="s">
        <v>60</v>
      </c>
      <c r="D142" s="1060" t="s">
        <v>740</v>
      </c>
      <c r="E142" s="1076" t="s">
        <v>2073</v>
      </c>
      <c r="F142" s="1057" t="str">
        <f>IF(Begriffe!$G$1=1,C142,IF(Begriffe!$G$1=2,D142,E142))</f>
        <v>Schulzimmer</v>
      </c>
    </row>
    <row r="143" spans="1:6">
      <c r="A143" s="528"/>
      <c r="B143" s="709">
        <v>4.2</v>
      </c>
      <c r="C143" s="1060" t="s">
        <v>156</v>
      </c>
      <c r="D143" s="1060" t="s">
        <v>741</v>
      </c>
      <c r="E143" s="1060" t="s">
        <v>1010</v>
      </c>
      <c r="F143" s="1057" t="str">
        <f>IF(Begriffe!$G$1=1,C143,IF(Begriffe!$G$1=2,D143,E143))</f>
        <v>Lehrerzimmer</v>
      </c>
    </row>
    <row r="144" spans="1:6">
      <c r="A144" s="528"/>
      <c r="B144" s="709">
        <v>4.3</v>
      </c>
      <c r="C144" s="1060" t="s">
        <v>81</v>
      </c>
      <c r="D144" s="1060" t="s">
        <v>742</v>
      </c>
      <c r="E144" s="1060" t="s">
        <v>817</v>
      </c>
      <c r="F144" s="1057" t="str">
        <f>IF(Begriffe!$G$1=1,C144,IF(Begriffe!$G$1=2,D144,E144))</f>
        <v>Bibliothek</v>
      </c>
    </row>
    <row r="145" spans="1:6">
      <c r="A145" s="528"/>
      <c r="B145" s="709">
        <v>4.4000000000000004</v>
      </c>
      <c r="C145" s="1060" t="s">
        <v>65</v>
      </c>
      <c r="D145" s="1060" t="s">
        <v>743</v>
      </c>
      <c r="E145" s="1060" t="s">
        <v>818</v>
      </c>
      <c r="F145" s="1057" t="str">
        <f>IF(Begriffe!$G$1=1,C145,IF(Begriffe!$G$1=2,D145,E145))</f>
        <v>Hörsaal</v>
      </c>
    </row>
    <row r="146" spans="1:6">
      <c r="A146" s="528"/>
      <c r="B146" s="709">
        <v>4.5</v>
      </c>
      <c r="C146" s="1060" t="s">
        <v>881</v>
      </c>
      <c r="D146" s="1694" t="s">
        <v>1908</v>
      </c>
      <c r="E146" s="1060" t="s">
        <v>1011</v>
      </c>
      <c r="F146" s="1057" t="str">
        <f>IF(Begriffe!$G$1=1,C146,IF(Begriffe!$G$1=2,D146,E146))</f>
        <v>Schulfachraum (Spezialraum)</v>
      </c>
    </row>
    <row r="147" spans="1:6">
      <c r="A147" s="528"/>
      <c r="B147" s="709">
        <v>5.0999999999999996</v>
      </c>
      <c r="C147" s="1060" t="s">
        <v>82</v>
      </c>
      <c r="D147" s="1060" t="s">
        <v>744</v>
      </c>
      <c r="E147" s="1060" t="s">
        <v>1012</v>
      </c>
      <c r="F147" s="1057" t="str">
        <f>IF(Begriffe!$G$1=1,C147,IF(Begriffe!$G$1=2,D147,E147))</f>
        <v>Lebensmittelverkauf</v>
      </c>
    </row>
    <row r="148" spans="1:6">
      <c r="A148" s="528"/>
      <c r="B148" s="709">
        <v>5.2</v>
      </c>
      <c r="C148" s="1060" t="s">
        <v>434</v>
      </c>
      <c r="D148" s="1060" t="s">
        <v>745</v>
      </c>
      <c r="E148" s="1060" t="s">
        <v>1013</v>
      </c>
      <c r="F148" s="1057" t="str">
        <f>IF(Begriffe!$G$1=1,C148,IF(Begriffe!$G$1=2,D148,E148))</f>
        <v>Fachgeschäft</v>
      </c>
    </row>
    <row r="149" spans="1:6">
      <c r="A149" s="528"/>
      <c r="B149" s="709">
        <v>5.3</v>
      </c>
      <c r="C149" s="1060" t="s">
        <v>433</v>
      </c>
      <c r="D149" s="1060" t="s">
        <v>2214</v>
      </c>
      <c r="E149" s="1060" t="s">
        <v>2155</v>
      </c>
      <c r="F149" s="1057" t="str">
        <f>IF(Begriffe!$G$1=1,C149,IF(Begriffe!$G$1=2,D149,E149))</f>
        <v>Verkauf Möbel, Bau, Garten</v>
      </c>
    </row>
    <row r="150" spans="1:6">
      <c r="A150" s="528"/>
      <c r="B150" s="709">
        <v>6.1</v>
      </c>
      <c r="C150" s="1060" t="s">
        <v>83</v>
      </c>
      <c r="D150" s="1060" t="s">
        <v>83</v>
      </c>
      <c r="E150" s="1060" t="s">
        <v>819</v>
      </c>
      <c r="F150" s="1057" t="str">
        <f>IF(Begriffe!$G$1=1,C150,IF(Begriffe!$G$1=2,D150,E150))</f>
        <v>Restaurant</v>
      </c>
    </row>
    <row r="151" spans="1:6">
      <c r="A151" s="528"/>
      <c r="B151" s="709">
        <v>6.2</v>
      </c>
      <c r="C151" s="1060" t="s">
        <v>84</v>
      </c>
      <c r="D151" s="1060" t="s">
        <v>746</v>
      </c>
      <c r="E151" s="1060" t="s">
        <v>820</v>
      </c>
      <c r="F151" s="1057" t="str">
        <f>IF(Begriffe!$G$1=1,C151,IF(Begriffe!$G$1=2,D151,E151))</f>
        <v>Selbstbedienungsrestaurant</v>
      </c>
    </row>
    <row r="152" spans="1:6">
      <c r="A152" s="528"/>
      <c r="B152" s="709">
        <v>6.3</v>
      </c>
      <c r="C152" s="1060" t="s">
        <v>198</v>
      </c>
      <c r="D152" s="1060" t="s">
        <v>747</v>
      </c>
      <c r="E152" s="1060" t="s">
        <v>1014</v>
      </c>
      <c r="F152" s="1057" t="str">
        <f>IF(Begriffe!$G$1=1,C152,IF(Begriffe!$G$1=2,D152,E152))</f>
        <v>Küche zu Restaurant</v>
      </c>
    </row>
    <row r="153" spans="1:6">
      <c r="A153" s="528"/>
      <c r="B153" s="709">
        <v>6.4</v>
      </c>
      <c r="C153" s="1060" t="s">
        <v>199</v>
      </c>
      <c r="D153" s="1060" t="s">
        <v>748</v>
      </c>
      <c r="E153" s="1060" t="s">
        <v>1015</v>
      </c>
      <c r="F153" s="1057" t="str">
        <f>IF(Begriffe!$G$1=1,C153,IF(Begriffe!$G$1=2,D153,E153))</f>
        <v>Küche zu Selbstbedienungsrest.</v>
      </c>
    </row>
    <row r="154" spans="1:6">
      <c r="A154" s="528"/>
      <c r="B154" s="709">
        <v>7.1</v>
      </c>
      <c r="C154" s="1060" t="s">
        <v>87</v>
      </c>
      <c r="D154" s="1060" t="s">
        <v>749</v>
      </c>
      <c r="E154" s="1060" t="s">
        <v>1016</v>
      </c>
      <c r="F154" s="1057" t="str">
        <f>IF(Begriffe!$G$1=1,C154,IF(Begriffe!$G$1=2,D154,E154))</f>
        <v>Vorstellungsraum</v>
      </c>
    </row>
    <row r="155" spans="1:6">
      <c r="A155" s="528"/>
      <c r="B155" s="709">
        <v>7.2</v>
      </c>
      <c r="C155" s="1060" t="s">
        <v>88</v>
      </c>
      <c r="D155" s="1060" t="s">
        <v>927</v>
      </c>
      <c r="E155" s="1060" t="s">
        <v>1017</v>
      </c>
      <c r="F155" s="1057" t="str">
        <f>IF(Begriffe!$G$1=1,C155,IF(Begriffe!$G$1=2,D155,E155))</f>
        <v>Mehrzweckhalle</v>
      </c>
    </row>
    <row r="156" spans="1:6">
      <c r="A156" s="528"/>
      <c r="B156" s="709">
        <v>7.3</v>
      </c>
      <c r="C156" s="1060" t="s">
        <v>115</v>
      </c>
      <c r="D156" s="1060" t="s">
        <v>750</v>
      </c>
      <c r="E156" s="1060" t="s">
        <v>1018</v>
      </c>
      <c r="F156" s="1057" t="str">
        <f>IF(Begriffe!$G$1=1,C156,IF(Begriffe!$G$1=2,D156,E156))</f>
        <v>Ausstellungshalle</v>
      </c>
    </row>
    <row r="157" spans="1:6">
      <c r="A157" s="528"/>
      <c r="B157" s="710">
        <v>8.1</v>
      </c>
      <c r="C157" s="1060" t="s">
        <v>89</v>
      </c>
      <c r="D157" s="1060" t="s">
        <v>751</v>
      </c>
      <c r="E157" s="1060" t="s">
        <v>1019</v>
      </c>
      <c r="F157" s="1057" t="str">
        <f>IF(Begriffe!$G$1=1,C157,IF(Begriffe!$G$1=2,D157,E157))</f>
        <v xml:space="preserve">Bettenzimmer </v>
      </c>
    </row>
    <row r="158" spans="1:6">
      <c r="A158" s="528"/>
      <c r="B158" s="709">
        <v>8.1999999999999993</v>
      </c>
      <c r="C158" s="1060" t="s">
        <v>90</v>
      </c>
      <c r="D158" s="1060" t="s">
        <v>752</v>
      </c>
      <c r="E158" s="1060" t="s">
        <v>1020</v>
      </c>
      <c r="F158" s="1057" t="str">
        <f>IF(Begriffe!$G$1=1,C158,IF(Begriffe!$G$1=2,D158,E158))</f>
        <v xml:space="preserve">Stationszimmer </v>
      </c>
    </row>
    <row r="159" spans="1:6">
      <c r="A159" s="528"/>
      <c r="B159" s="709">
        <v>8.3000000000000007</v>
      </c>
      <c r="C159" s="1060" t="s">
        <v>435</v>
      </c>
      <c r="D159" s="1060" t="s">
        <v>753</v>
      </c>
      <c r="E159" s="1060" t="s">
        <v>1021</v>
      </c>
      <c r="F159" s="1057" t="str">
        <f>IF(Begriffe!$G$1=1,C159,IF(Begriffe!$G$1=2,D159,E159))</f>
        <v>Behandlungsraum</v>
      </c>
    </row>
    <row r="160" spans="1:6">
      <c r="A160" s="528"/>
      <c r="B160" s="709">
        <v>9.1</v>
      </c>
      <c r="C160" s="1060" t="s">
        <v>91</v>
      </c>
      <c r="D160" s="1060" t="s">
        <v>754</v>
      </c>
      <c r="E160" s="1060" t="s">
        <v>1022</v>
      </c>
      <c r="F160" s="1057" t="str">
        <f>IF(Begriffe!$G$1=1,C160,IF(Begriffe!$G$1=2,D160,E160))</f>
        <v>Produktion (grobe Arbeit)</v>
      </c>
    </row>
    <row r="161" spans="1:6">
      <c r="A161" s="528"/>
      <c r="B161" s="709">
        <v>9.1999999999999993</v>
      </c>
      <c r="C161" s="1060" t="s">
        <v>92</v>
      </c>
      <c r="D161" s="1060" t="s">
        <v>755</v>
      </c>
      <c r="E161" s="1060" t="s">
        <v>1023</v>
      </c>
      <c r="F161" s="1057" t="str">
        <f>IF(Begriffe!$G$1=1,C161,IF(Begriffe!$G$1=2,D161,E161))</f>
        <v>Produktion (feine Arbeit)</v>
      </c>
    </row>
    <row r="162" spans="1:6">
      <c r="A162" s="528"/>
      <c r="B162" s="709">
        <v>9.3000000000000007</v>
      </c>
      <c r="C162" s="1060" t="s">
        <v>428</v>
      </c>
      <c r="D162" s="1694" t="s">
        <v>1909</v>
      </c>
      <c r="E162" s="1060" t="s">
        <v>827</v>
      </c>
      <c r="F162" s="1057" t="str">
        <f>IF(Begriffe!$G$1=1,C162,IF(Begriffe!$G$1=2,D162,E162))</f>
        <v>Laborraum</v>
      </c>
    </row>
    <row r="163" spans="1:6">
      <c r="A163" s="528"/>
      <c r="B163" s="709">
        <v>10.1</v>
      </c>
      <c r="C163" s="1060" t="s">
        <v>93</v>
      </c>
      <c r="D163" s="1060" t="s">
        <v>756</v>
      </c>
      <c r="E163" s="1060" t="s">
        <v>909</v>
      </c>
      <c r="F163" s="1057" t="str">
        <f>IF(Begriffe!$G$1=1,C163,IF(Begriffe!$G$1=2,D163,E163))</f>
        <v>Lagerhalle</v>
      </c>
    </row>
    <row r="164" spans="1:6">
      <c r="A164" s="528"/>
      <c r="B164" s="709">
        <v>11.1</v>
      </c>
      <c r="C164" s="1060" t="s">
        <v>94</v>
      </c>
      <c r="D164" s="1060" t="s">
        <v>757</v>
      </c>
      <c r="E164" s="1060" t="s">
        <v>821</v>
      </c>
      <c r="F164" s="1057" t="str">
        <f>IF(Begriffe!$G$1=1,C164,IF(Begriffe!$G$1=2,D164,E164))</f>
        <v>Turnhalle</v>
      </c>
    </row>
    <row r="165" spans="1:6">
      <c r="A165" s="528"/>
      <c r="B165" s="709">
        <v>11.2</v>
      </c>
      <c r="C165" s="1060" t="s">
        <v>95</v>
      </c>
      <c r="D165" s="1060" t="s">
        <v>758</v>
      </c>
      <c r="E165" s="1060" t="s">
        <v>822</v>
      </c>
      <c r="F165" s="1057" t="str">
        <f>IF(Begriffe!$G$1=1,C165,IF(Begriffe!$G$1=2,D165,E165))</f>
        <v>Fitnessraum</v>
      </c>
    </row>
    <row r="166" spans="1:6">
      <c r="A166" s="528"/>
      <c r="B166" s="709">
        <v>11.3</v>
      </c>
      <c r="C166" s="1060" t="s">
        <v>96</v>
      </c>
      <c r="D166" s="1060" t="s">
        <v>759</v>
      </c>
      <c r="E166" s="1060" t="s">
        <v>823</v>
      </c>
      <c r="F166" s="1057" t="str">
        <f>IF(Begriffe!$G$1=1,C166,IF(Begriffe!$G$1=2,D166,E166))</f>
        <v>Schwimmhalle</v>
      </c>
    </row>
    <row r="167" spans="1:6">
      <c r="A167" s="528"/>
      <c r="B167" s="709">
        <v>12.1</v>
      </c>
      <c r="C167" s="1060" t="s">
        <v>97</v>
      </c>
      <c r="D167" s="1060" t="s">
        <v>760</v>
      </c>
      <c r="E167" s="1060" t="s">
        <v>824</v>
      </c>
      <c r="F167" s="1057" t="str">
        <f>IF(Begriffe!$G$1=1,C167,IF(Begriffe!$G$1=2,D167,E167))</f>
        <v>Verkehrsfläche</v>
      </c>
    </row>
    <row r="168" spans="1:6">
      <c r="A168" s="528"/>
      <c r="B168" s="709">
        <v>12.2</v>
      </c>
      <c r="C168" s="1060" t="s">
        <v>255</v>
      </c>
      <c r="D168" s="1060" t="s">
        <v>766</v>
      </c>
      <c r="E168" s="1060" t="s">
        <v>828</v>
      </c>
      <c r="F168" s="1057" t="str">
        <f>IF(Begriffe!$G$1=1,C168,IF(Begriffe!$G$1=2,D168,E168))</f>
        <v>Verkehrsfläche 24 h</v>
      </c>
    </row>
    <row r="169" spans="1:6">
      <c r="A169" s="528"/>
      <c r="B169" s="709">
        <v>12.3</v>
      </c>
      <c r="C169" s="1060" t="s">
        <v>430</v>
      </c>
      <c r="D169" s="1060" t="s">
        <v>882</v>
      </c>
      <c r="E169" s="1060" t="s">
        <v>1024</v>
      </c>
      <c r="F169" s="1057" t="str">
        <f>IF(Begriffe!$G$1=1,C169,IF(Begriffe!$G$1=2,D169,E169))</f>
        <v>Treppenhaus</v>
      </c>
    </row>
    <row r="170" spans="1:6">
      <c r="A170" s="528"/>
      <c r="B170" s="709">
        <v>12.4</v>
      </c>
      <c r="C170" s="1060" t="s">
        <v>436</v>
      </c>
      <c r="D170" s="1694" t="s">
        <v>1910</v>
      </c>
      <c r="E170" s="1060" t="s">
        <v>1025</v>
      </c>
      <c r="F170" s="1057" t="str">
        <f>IF(Begriffe!$G$1=1,C170,IF(Begriffe!$G$1=2,D170,E170))</f>
        <v>Nebenraum</v>
      </c>
    </row>
    <row r="171" spans="1:6">
      <c r="A171" s="528"/>
      <c r="B171" s="709">
        <v>12.5</v>
      </c>
      <c r="C171" s="1060" t="s">
        <v>210</v>
      </c>
      <c r="D171" s="1694" t="s">
        <v>1911</v>
      </c>
      <c r="E171" s="1060" t="s">
        <v>1026</v>
      </c>
      <c r="F171" s="1057" t="str">
        <f>IF(Begriffe!$G$1=1,C171,IF(Begriffe!$G$1=2,D171,E171))</f>
        <v>Küche, Teeküche</v>
      </c>
    </row>
    <row r="172" spans="1:6">
      <c r="A172" s="528"/>
      <c r="B172" s="709">
        <v>12.6</v>
      </c>
      <c r="C172" s="1060" t="s">
        <v>200</v>
      </c>
      <c r="D172" s="1060" t="s">
        <v>761</v>
      </c>
      <c r="E172" s="1060" t="s">
        <v>825</v>
      </c>
      <c r="F172" s="1057" t="str">
        <f>IF(Begriffe!$G$1=1,C172,IF(Begriffe!$G$1=2,D172,E172))</f>
        <v xml:space="preserve">WC, Bad, Dusche </v>
      </c>
    </row>
    <row r="173" spans="1:6">
      <c r="A173" s="528"/>
      <c r="B173" s="709">
        <v>12.7</v>
      </c>
      <c r="C173" s="1060" t="s">
        <v>98</v>
      </c>
      <c r="D173" s="1060" t="s">
        <v>98</v>
      </c>
      <c r="E173" s="1060" t="s">
        <v>98</v>
      </c>
      <c r="F173" s="1057" t="str">
        <f>IF(Begriffe!$G$1=1,C173,IF(Begriffe!$G$1=2,D173,E173))</f>
        <v>WC</v>
      </c>
    </row>
    <row r="174" spans="1:6">
      <c r="A174" s="528"/>
      <c r="B174" s="709">
        <v>12.8</v>
      </c>
      <c r="C174" s="1060" t="s">
        <v>437</v>
      </c>
      <c r="D174" s="1060" t="s">
        <v>798</v>
      </c>
      <c r="E174" s="1060" t="s">
        <v>1027</v>
      </c>
      <c r="F174" s="1057" t="str">
        <f>IF(Begriffe!$G$1=1,C174,IF(Begriffe!$G$1=2,D174,E174))</f>
        <v>Garderobe, Dusche</v>
      </c>
    </row>
    <row r="175" spans="1:6">
      <c r="A175" s="528"/>
      <c r="B175" s="709">
        <v>12.9</v>
      </c>
      <c r="C175" s="1060" t="s">
        <v>99</v>
      </c>
      <c r="D175" s="1060" t="s">
        <v>762</v>
      </c>
      <c r="E175" s="1060" t="s">
        <v>1028</v>
      </c>
      <c r="F175" s="1057" t="str">
        <f>IF(Begriffe!$G$1=1,C175,IF(Begriffe!$G$1=2,D175,E175))</f>
        <v>Parkhaus</v>
      </c>
    </row>
    <row r="176" spans="1:6">
      <c r="A176" s="528"/>
      <c r="B176" s="711">
        <v>12.1</v>
      </c>
      <c r="C176" s="1060" t="s">
        <v>100</v>
      </c>
      <c r="D176" s="1060" t="s">
        <v>763</v>
      </c>
      <c r="E176" s="1060" t="s">
        <v>1029</v>
      </c>
      <c r="F176" s="1057" t="str">
        <f>IF(Begriffe!$G$1=1,C176,IF(Begriffe!$G$1=2,D176,E176))</f>
        <v>Wasch- und Trockenraum</v>
      </c>
    </row>
    <row r="177" spans="1:6">
      <c r="A177" s="528"/>
      <c r="B177" s="711">
        <v>12.11</v>
      </c>
      <c r="C177" s="1060" t="s">
        <v>101</v>
      </c>
      <c r="D177" s="1060" t="s">
        <v>764</v>
      </c>
      <c r="E177" s="1060" t="s">
        <v>1030</v>
      </c>
      <c r="F177" s="1057" t="str">
        <f>IF(Begriffe!$G$1=1,C177,IF(Begriffe!$G$1=2,D177,E177))</f>
        <v>Kühlraum</v>
      </c>
    </row>
    <row r="178" spans="1:6">
      <c r="A178" s="528"/>
      <c r="B178" s="711">
        <v>12.12</v>
      </c>
      <c r="C178" s="1060" t="s">
        <v>446</v>
      </c>
      <c r="D178" s="1060" t="s">
        <v>765</v>
      </c>
      <c r="E178" s="1060" t="s">
        <v>826</v>
      </c>
      <c r="F178" s="1057" t="str">
        <f>IF(Begriffe!$G$1=1,C178,IF(Begriffe!$G$1=2,D178,E178))</f>
        <v>Serverraum</v>
      </c>
    </row>
    <row r="179" spans="1:6">
      <c r="A179" s="528"/>
      <c r="B179" s="529"/>
      <c r="C179" s="1060"/>
      <c r="D179" s="1060"/>
      <c r="E179" s="1060"/>
      <c r="F179" s="1057">
        <f>IF(Begriffe!$G$1=1,C179,IF(Begriffe!$G$1=2,D179,E179))</f>
        <v>0</v>
      </c>
    </row>
    <row r="180" spans="1:6">
      <c r="A180" s="528"/>
      <c r="B180" s="529"/>
      <c r="C180" s="1060"/>
      <c r="D180" s="1060"/>
      <c r="E180" s="1060"/>
      <c r="F180" s="1057">
        <f>IF(Begriffe!$G$1=1,C180,IF(Begriffe!$G$1=2,D180,E180))</f>
        <v>0</v>
      </c>
    </row>
    <row r="181" spans="1:6" ht="14.15">
      <c r="A181" s="530" t="s">
        <v>1373</v>
      </c>
      <c r="B181" s="529"/>
      <c r="C181" s="1060"/>
      <c r="D181" s="1060"/>
      <c r="E181" s="1060"/>
      <c r="F181" s="1057">
        <f>IF(Begriffe!$G$1=1,C181,IF(Begriffe!$G$1=2,D181,E181))</f>
        <v>0</v>
      </c>
    </row>
    <row r="182" spans="1:6">
      <c r="A182" s="528"/>
      <c r="B182" s="529"/>
      <c r="C182" s="1060"/>
      <c r="D182" s="1060"/>
      <c r="E182" s="1060"/>
      <c r="F182" s="1057">
        <f>IF(Begriffe!$G$1=1,C182,IF(Begriffe!$G$1=2,D182,E182))</f>
        <v>0</v>
      </c>
    </row>
    <row r="183" spans="1:6">
      <c r="A183" s="531"/>
      <c r="B183" s="532"/>
      <c r="C183" s="1061" t="s">
        <v>623</v>
      </c>
      <c r="D183" s="1062" t="s">
        <v>624</v>
      </c>
      <c r="E183" s="1062" t="s">
        <v>625</v>
      </c>
      <c r="F183" s="1057" t="str">
        <f>IF(Begriffe!$G$1=1,C183,IF(Begriffe!$G$1=2,D183,E183))</f>
        <v>Deutsch</v>
      </c>
    </row>
    <row r="184" spans="1:6">
      <c r="A184" s="528"/>
      <c r="B184" s="529"/>
      <c r="C184" s="1060" t="s">
        <v>608</v>
      </c>
      <c r="D184" s="1060" t="s">
        <v>989</v>
      </c>
      <c r="E184" s="1060" t="s">
        <v>2075</v>
      </c>
      <c r="F184" s="1057" t="str">
        <f>IF(Begriffe!$G$1=1,C184,IF(Begriffe!$G$1=2,D184,E184))</f>
        <v>SIA 2024 - Eingabedaten</v>
      </c>
    </row>
    <row r="185" spans="1:6">
      <c r="A185" s="528"/>
      <c r="B185" s="529"/>
      <c r="C185" s="1060" t="s">
        <v>155</v>
      </c>
      <c r="D185" s="1060" t="s">
        <v>770</v>
      </c>
      <c r="E185" s="1060" t="s">
        <v>1040</v>
      </c>
      <c r="F185" s="1057" t="str">
        <f>IF(Begriffe!$G$1=1,C185,IF(Begriffe!$G$1=2,D185,E185))</f>
        <v>Bezeichnung</v>
      </c>
    </row>
    <row r="186" spans="1:6">
      <c r="A186" s="528"/>
      <c r="B186" s="529"/>
      <c r="C186" s="1696" t="s">
        <v>539</v>
      </c>
      <c r="D186" s="1060" t="s">
        <v>771</v>
      </c>
      <c r="E186" s="1060" t="s">
        <v>2076</v>
      </c>
      <c r="F186" s="1057" t="str">
        <f>IF(Begriffe!$G$1=1,C186,IF(Begriffe!$G$1=2,D186,E186))</f>
        <v>Raumnutzung</v>
      </c>
    </row>
    <row r="187" spans="1:6">
      <c r="A187" s="528"/>
      <c r="B187" s="529"/>
      <c r="C187" s="1060" t="s">
        <v>0</v>
      </c>
      <c r="D187" s="1060" t="s">
        <v>790</v>
      </c>
      <c r="E187" s="1060" t="s">
        <v>831</v>
      </c>
      <c r="F187" s="1057" t="str">
        <f>IF(Begriffe!$G$1=1,C187,IF(Begriffe!$G$1=2,D187,E187))</f>
        <v>Raum</v>
      </c>
    </row>
    <row r="188" spans="1:6">
      <c r="A188" s="528"/>
      <c r="B188" s="529"/>
      <c r="C188" s="1696" t="s">
        <v>112</v>
      </c>
      <c r="D188" s="1060" t="s">
        <v>772</v>
      </c>
      <c r="E188" s="1060" t="s">
        <v>910</v>
      </c>
      <c r="F188" s="1057" t="str">
        <f>IF(Begriffe!$G$1=1,C188,IF(Begriffe!$G$1=2,D188,E188))</f>
        <v>Raumabmessungen</v>
      </c>
    </row>
    <row r="189" spans="1:6">
      <c r="A189" s="528"/>
      <c r="B189" s="529"/>
      <c r="C189" s="1693" t="s">
        <v>481</v>
      </c>
      <c r="D189" s="1060" t="s">
        <v>1031</v>
      </c>
      <c r="E189" s="1060" t="s">
        <v>1032</v>
      </c>
      <c r="F189" s="1057" t="str">
        <f>IF(Begriffe!$G$1=1,C189,IF(Begriffe!$G$1=2,D189,E189))</f>
        <v>Raumlänge</v>
      </c>
    </row>
    <row r="190" spans="1:6">
      <c r="A190" s="528"/>
      <c r="B190" s="529"/>
      <c r="C190" s="1693" t="s">
        <v>482</v>
      </c>
      <c r="D190" s="1060" t="s">
        <v>1033</v>
      </c>
      <c r="E190" s="1060" t="s">
        <v>1034</v>
      </c>
      <c r="F190" s="1057" t="str">
        <f>IF(Begriffe!$G$1=1,C190,IF(Begriffe!$G$1=2,D190,E190))</f>
        <v>Raumtiefe</v>
      </c>
    </row>
    <row r="191" spans="1:6">
      <c r="A191" s="528"/>
      <c r="B191" s="529"/>
      <c r="C191" s="1693" t="s">
        <v>483</v>
      </c>
      <c r="D191" s="1060" t="s">
        <v>1035</v>
      </c>
      <c r="E191" s="1060" t="s">
        <v>1036</v>
      </c>
      <c r="F191" s="1057" t="str">
        <f>IF(Begriffe!$G$1=1,C191,IF(Begriffe!$G$1=2,D191,E191))</f>
        <v>Raumhöhe</v>
      </c>
    </row>
    <row r="192" spans="1:6">
      <c r="A192" s="528"/>
      <c r="B192" s="529"/>
      <c r="C192" s="1693" t="s">
        <v>269</v>
      </c>
      <c r="D192" s="1060" t="s">
        <v>1037</v>
      </c>
      <c r="E192" s="1076" t="s">
        <v>2077</v>
      </c>
      <c r="F192" s="1057" t="str">
        <f>IF(Begriffe!$G$1=1,C192,IF(Begriffe!$G$1=2,D192,E192))</f>
        <v>Nettogeschossfläche</v>
      </c>
    </row>
    <row r="193" spans="1:6">
      <c r="A193" s="528"/>
      <c r="B193" s="529"/>
      <c r="C193" s="1693" t="s">
        <v>883</v>
      </c>
      <c r="D193" s="1060" t="s">
        <v>884</v>
      </c>
      <c r="E193" s="1076" t="s">
        <v>2078</v>
      </c>
      <c r="F193" s="1057" t="str">
        <f>IF(Begriffe!$G$1=1,C193,IF(Begriffe!$G$1=2,D193,E193))</f>
        <v>Fensteranteil, Bruttofassade</v>
      </c>
    </row>
    <row r="194" spans="1:6">
      <c r="A194" s="528"/>
      <c r="B194" s="529"/>
      <c r="C194" s="1696" t="s">
        <v>472</v>
      </c>
      <c r="D194" s="1693" t="s">
        <v>1309</v>
      </c>
      <c r="E194" s="1076" t="s">
        <v>2079</v>
      </c>
      <c r="F194" s="1057" t="str">
        <f>IF(Begriffe!$G$1=1,C194,IF(Begriffe!$G$1=2,D194,E194))</f>
        <v>Bauphysikalische Eigenschaften</v>
      </c>
    </row>
    <row r="195" spans="1:6">
      <c r="A195" s="528"/>
      <c r="B195" s="529"/>
      <c r="C195" s="1693" t="s">
        <v>485</v>
      </c>
      <c r="D195" s="1060" t="s">
        <v>1307</v>
      </c>
      <c r="E195" s="1076" t="s">
        <v>2080</v>
      </c>
      <c r="F195" s="1057" t="str">
        <f>IF(Begriffe!$G$1=1,C195,IF(Begriffe!$G$1=2,D195,E195))</f>
        <v>U-Wert Fenster</v>
      </c>
    </row>
    <row r="196" spans="1:6">
      <c r="A196" s="528"/>
      <c r="B196" s="529"/>
      <c r="C196" s="1693" t="s">
        <v>486</v>
      </c>
      <c r="D196" s="1060" t="s">
        <v>1308</v>
      </c>
      <c r="E196" s="1076" t="s">
        <v>2081</v>
      </c>
      <c r="F196" s="1057" t="str">
        <f>IF(Begriffe!$G$1=1,C196,IF(Begriffe!$G$1=2,D196,E196))</f>
        <v>U-Wert opake Bauteile</v>
      </c>
    </row>
    <row r="197" spans="1:6">
      <c r="A197" s="528"/>
      <c r="B197" s="529"/>
      <c r="C197" s="1696" t="s">
        <v>503</v>
      </c>
      <c r="D197" s="1060" t="s">
        <v>1038</v>
      </c>
      <c r="E197" s="1060" t="s">
        <v>2082</v>
      </c>
      <c r="F197" s="1057" t="str">
        <f>IF(Begriffe!$G$1=1,C197,IF(Begriffe!$G$1=2,D197,E197))</f>
        <v>Gesamtenergiedurchlassgrad Verglasung</v>
      </c>
    </row>
    <row r="198" spans="1:6" ht="24.9">
      <c r="A198" s="528"/>
      <c r="B198" s="529"/>
      <c r="C198" s="1696" t="s">
        <v>504</v>
      </c>
      <c r="D198" s="1060" t="s">
        <v>1039</v>
      </c>
      <c r="E198" s="1060" t="s">
        <v>2083</v>
      </c>
      <c r="F198" s="1057" t="str">
        <f>IF(Begriffe!$G$1=1,C198,IF(Begriffe!$G$1=2,D198,E198))</f>
        <v>Gesamtenergiedurchlassgrad Verglasung und Sonnenschutz</v>
      </c>
    </row>
    <row r="199" spans="1:6">
      <c r="A199" s="528"/>
      <c r="B199" s="529"/>
      <c r="C199" s="1696" t="s">
        <v>205</v>
      </c>
      <c r="D199" s="1060" t="s">
        <v>773</v>
      </c>
      <c r="E199" s="1060" t="s">
        <v>1041</v>
      </c>
      <c r="F199" s="1057" t="str">
        <f>IF(Begriffe!$G$1=1,C199,IF(Begriffe!$G$1=2,D199,E199))</f>
        <v>Raumklima</v>
      </c>
    </row>
    <row r="200" spans="1:6">
      <c r="A200" s="528"/>
      <c r="B200" s="529"/>
      <c r="C200" s="1693" t="s">
        <v>194</v>
      </c>
      <c r="D200" s="1060" t="s">
        <v>769</v>
      </c>
      <c r="E200" s="1060" t="s">
        <v>885</v>
      </c>
      <c r="F200" s="1057" t="str">
        <f>IF(Begriffe!$G$1=1,C200,IF(Begriffe!$G$1=2,D200,E200))</f>
        <v>Nutzung mit Klimatisierung</v>
      </c>
    </row>
    <row r="201" spans="1:6">
      <c r="A201" s="528"/>
      <c r="B201" s="529"/>
      <c r="C201" s="1077" t="s">
        <v>1563</v>
      </c>
      <c r="D201" s="1694" t="s">
        <v>1564</v>
      </c>
      <c r="E201" s="1076" t="s">
        <v>1565</v>
      </c>
      <c r="F201" s="1057" t="str">
        <f>IF(Begriffe!$G$1=1,C201,IF(Begriffe!$G$1=2,D201,E201))</f>
        <v>Schallschutz</v>
      </c>
    </row>
    <row r="202" spans="1:6">
      <c r="A202" s="528"/>
      <c r="B202" s="529"/>
      <c r="C202" s="1077" t="s">
        <v>1488</v>
      </c>
      <c r="D202" s="1694" t="s">
        <v>1971</v>
      </c>
      <c r="E202" s="1076" t="s">
        <v>1974</v>
      </c>
      <c r="F202" s="1057" t="str">
        <f>IF(Begriffe!$G$1=1,C202,IF(Begriffe!$G$1=2,D202,E202))</f>
        <v>Einzelgeräusche, Funktionsgeräusche</v>
      </c>
    </row>
    <row r="203" spans="1:6">
      <c r="A203" s="528"/>
      <c r="B203" s="529"/>
      <c r="C203" s="1077" t="s">
        <v>1490</v>
      </c>
      <c r="D203" s="1694" t="s">
        <v>1972</v>
      </c>
      <c r="E203" s="1076" t="s">
        <v>1973</v>
      </c>
      <c r="F203" s="1057" t="str">
        <f>IF(Begriffe!$G$1=1,C203,IF(Begriffe!$G$1=2,D203,E203))</f>
        <v>Einzelgeräusche, Benutzungsgeräusche</v>
      </c>
    </row>
    <row r="204" spans="1:6">
      <c r="A204" s="528"/>
      <c r="B204" s="529"/>
      <c r="C204" s="1696" t="s">
        <v>10</v>
      </c>
      <c r="D204" s="1060" t="s">
        <v>774</v>
      </c>
      <c r="E204" s="1060" t="s">
        <v>832</v>
      </c>
      <c r="F204" s="1057" t="str">
        <f>IF(Begriffe!$G$1=1,C204,IF(Begriffe!$G$1=2,D204,E204))</f>
        <v>Personen</v>
      </c>
    </row>
    <row r="205" spans="1:6">
      <c r="A205" s="528"/>
      <c r="B205" s="529"/>
      <c r="C205" s="1077" t="s">
        <v>1380</v>
      </c>
      <c r="D205" s="1694" t="s">
        <v>1962</v>
      </c>
      <c r="E205" s="1076" t="s">
        <v>1963</v>
      </c>
      <c r="F205" s="1057" t="str">
        <f>IF(Begriffe!$G$1=1,C205,IF(Begriffe!$G$1=2,D205,E205))</f>
        <v>Geräte und Prozessanlagen</v>
      </c>
    </row>
    <row r="206" spans="1:6">
      <c r="A206" s="528"/>
      <c r="B206" s="529"/>
      <c r="C206" s="1696" t="s">
        <v>17</v>
      </c>
      <c r="D206" s="1060" t="s">
        <v>974</v>
      </c>
      <c r="E206" s="1060" t="s">
        <v>834</v>
      </c>
      <c r="F206" s="1057" t="str">
        <f>IF(Begriffe!$G$1=1,C206,IF(Begriffe!$G$1=2,D206,E206))</f>
        <v>Beleuchtung</v>
      </c>
    </row>
    <row r="207" spans="1:6">
      <c r="A207" s="528"/>
      <c r="B207" s="529"/>
      <c r="C207" s="1077" t="s">
        <v>1066</v>
      </c>
      <c r="D207" s="1076" t="s">
        <v>1979</v>
      </c>
      <c r="E207" s="1076" t="s">
        <v>1979</v>
      </c>
      <c r="F207" s="1057" t="str">
        <f>IF(Begriffe!$G$1=1,C207,IF(Begriffe!$G$1=2,D207,E207))</f>
        <v>DP</v>
      </c>
    </row>
    <row r="208" spans="1:6">
      <c r="A208" s="528"/>
      <c r="B208" s="529"/>
      <c r="C208" s="1077" t="s">
        <v>1065</v>
      </c>
      <c r="D208" s="1076" t="s">
        <v>1980</v>
      </c>
      <c r="E208" s="1076" t="s">
        <v>1980</v>
      </c>
      <c r="F208" s="1057" t="str">
        <f>IF(Begriffe!$G$1=1,C208,IF(Begriffe!$G$1=2,D208,E208))</f>
        <v>NP</v>
      </c>
    </row>
    <row r="209" spans="1:6">
      <c r="A209" s="528"/>
      <c r="B209" s="529"/>
      <c r="C209" s="1077" t="s">
        <v>1067</v>
      </c>
      <c r="D209" s="1076" t="s">
        <v>1981</v>
      </c>
      <c r="E209" s="1076" t="s">
        <v>1981</v>
      </c>
      <c r="F209" s="1057" t="str">
        <f>IF(Begriffe!$G$1=1,C209,IF(Begriffe!$G$1=2,D209,E209))</f>
        <v>SP</v>
      </c>
    </row>
    <row r="210" spans="1:6">
      <c r="A210" s="528"/>
      <c r="B210" s="529"/>
      <c r="C210" s="1693" t="s">
        <v>718</v>
      </c>
      <c r="D210" s="1060" t="s">
        <v>800</v>
      </c>
      <c r="E210" s="533" t="s">
        <v>2084</v>
      </c>
      <c r="F210" s="1057" t="str">
        <f>IF(Begriffe!$G$1=1,C210,IF(Begriffe!$G$1=2,D210,E210))</f>
        <v>Nutzungsstunden pro Nacht</v>
      </c>
    </row>
    <row r="211" spans="1:6">
      <c r="A211" s="528"/>
      <c r="B211" s="529"/>
      <c r="C211" s="1693" t="s">
        <v>23</v>
      </c>
      <c r="D211" s="1694" t="s">
        <v>1912</v>
      </c>
      <c r="E211" s="1076" t="s">
        <v>2085</v>
      </c>
      <c r="F211" s="1057" t="str">
        <f>IF(Begriffe!$G$1=1,C211,IF(Begriffe!$G$1=2,D211,E211))</f>
        <v>Nutzungsstunden</v>
      </c>
    </row>
    <row r="212" spans="1:6">
      <c r="A212" s="528"/>
      <c r="B212" s="529"/>
      <c r="C212" s="1693" t="s">
        <v>1978</v>
      </c>
      <c r="D212" s="1694" t="s">
        <v>1977</v>
      </c>
      <c r="E212" s="1076" t="s">
        <v>1976</v>
      </c>
      <c r="F212" s="1057" t="str">
        <f>IF(Begriffe!$G$1=1,C212,IF(Begriffe!$G$1=2,D212,E212))</f>
        <v>Korrekturfaktor k0</v>
      </c>
    </row>
    <row r="213" spans="1:6">
      <c r="A213" s="528"/>
      <c r="B213" s="529"/>
      <c r="C213" s="1693" t="s">
        <v>73</v>
      </c>
      <c r="D213" s="1694" t="s">
        <v>1913</v>
      </c>
      <c r="E213" s="1076" t="s">
        <v>2086</v>
      </c>
      <c r="F213" s="1057" t="str">
        <f>IF(Begriffe!$G$1=1,C213,IF(Begriffe!$G$1=2,D213,E213))</f>
        <v>Volllaststunden</v>
      </c>
    </row>
    <row r="214" spans="1:6">
      <c r="A214" s="528"/>
      <c r="B214" s="529"/>
      <c r="C214" s="1698" t="s">
        <v>140</v>
      </c>
      <c r="D214" s="1694" t="s">
        <v>1914</v>
      </c>
      <c r="E214" s="1076" t="s">
        <v>2087</v>
      </c>
      <c r="F214" s="1057" t="str">
        <f>IF(Begriffe!$G$1=1,C214,IF(Begriffe!$G$1=2,D214,E214))</f>
        <v>Volllaststunden (7-18h)</v>
      </c>
    </row>
    <row r="215" spans="1:6">
      <c r="A215" s="528"/>
      <c r="B215" s="529"/>
      <c r="C215" s="1698" t="s">
        <v>141</v>
      </c>
      <c r="D215" s="1694" t="s">
        <v>1915</v>
      </c>
      <c r="E215" s="1076" t="s">
        <v>2088</v>
      </c>
      <c r="F215" s="1057" t="str">
        <f>IF(Begriffe!$G$1=1,C215,IF(Begriffe!$G$1=2,D215,E215))</f>
        <v>Vollaststunden (18-7h)</v>
      </c>
    </row>
    <row r="216" spans="1:6">
      <c r="A216" s="528"/>
      <c r="B216" s="529"/>
      <c r="C216" s="1693" t="s">
        <v>23</v>
      </c>
      <c r="D216" s="1694" t="s">
        <v>1912</v>
      </c>
      <c r="E216" s="1076" t="s">
        <v>2085</v>
      </c>
      <c r="F216" s="1057" t="str">
        <f>IF(Begriffe!$G$1=1,C216,IF(Begriffe!$G$1=2,D216,E216))</f>
        <v>Nutzungsstunden</v>
      </c>
    </row>
    <row r="217" spans="1:6">
      <c r="A217" s="528"/>
      <c r="B217" s="529"/>
      <c r="C217" s="1693" t="s">
        <v>73</v>
      </c>
      <c r="D217" s="1694" t="s">
        <v>1913</v>
      </c>
      <c r="E217" s="1076" t="s">
        <v>2086</v>
      </c>
      <c r="F217" s="1057" t="str">
        <f>IF(Begriffe!$G$1=1,C217,IF(Begriffe!$G$1=2,D217,E217))</f>
        <v>Volllaststunden</v>
      </c>
    </row>
    <row r="218" spans="1:6">
      <c r="A218" s="528"/>
      <c r="B218" s="529"/>
      <c r="C218" s="1077" t="s">
        <v>1421</v>
      </c>
      <c r="D218" s="1694" t="s">
        <v>1916</v>
      </c>
      <c r="E218" s="1076" t="s">
        <v>2089</v>
      </c>
      <c r="F218" s="1057" t="str">
        <f>IF(Begriffe!$G$1=1,C218,IF(Begriffe!$G$1=2,D218,E218))</f>
        <v>Betriebsleistung</v>
      </c>
    </row>
    <row r="219" spans="1:6">
      <c r="A219" s="528"/>
      <c r="B219" s="529"/>
      <c r="C219" s="1696" t="s">
        <v>19</v>
      </c>
      <c r="D219" s="1060" t="s">
        <v>776</v>
      </c>
      <c r="E219" s="1060" t="s">
        <v>835</v>
      </c>
      <c r="F219" s="1057" t="str">
        <f>IF(Begriffe!$G$1=1,C219,IF(Begriffe!$G$1=2,D219,E219))</f>
        <v>Lüftung</v>
      </c>
    </row>
    <row r="220" spans="1:6">
      <c r="A220" s="528"/>
      <c r="B220" s="529"/>
      <c r="C220" s="1696" t="s">
        <v>265</v>
      </c>
      <c r="D220" s="1060" t="s">
        <v>777</v>
      </c>
      <c r="E220" s="1707" t="s">
        <v>1939</v>
      </c>
      <c r="F220" s="1057" t="str">
        <f>IF(Begriffe!$G$1=1,C220,IF(Begriffe!$G$1=2,D220,E220))</f>
        <v>Raumkühlung</v>
      </c>
    </row>
    <row r="221" spans="1:6">
      <c r="A221" s="528"/>
      <c r="B221" s="529"/>
      <c r="C221" s="1696" t="s">
        <v>20</v>
      </c>
      <c r="D221" s="1060" t="s">
        <v>911</v>
      </c>
      <c r="E221" s="1060" t="s">
        <v>912</v>
      </c>
      <c r="F221" s="1057" t="str">
        <f>IF(Begriffe!$G$1=1,C221,IF(Begriffe!$G$1=2,D221,E221))</f>
        <v>Befeuchtung</v>
      </c>
    </row>
    <row r="222" spans="1:6">
      <c r="A222" s="528"/>
      <c r="B222" s="529"/>
      <c r="C222" s="1696" t="s">
        <v>266</v>
      </c>
      <c r="D222" s="1060" t="s">
        <v>778</v>
      </c>
      <c r="E222" s="1060" t="s">
        <v>1940</v>
      </c>
      <c r="F222" s="1057" t="str">
        <f>IF(Begriffe!$G$1=1,C222,IF(Begriffe!$G$1=2,D222,E222))</f>
        <v>Raumheizung</v>
      </c>
    </row>
    <row r="223" spans="1:6">
      <c r="A223" s="528"/>
      <c r="B223" s="529"/>
      <c r="C223" s="1060" t="s">
        <v>519</v>
      </c>
      <c r="D223" s="1060" t="s">
        <v>791</v>
      </c>
      <c r="E223" s="1060" t="s">
        <v>836</v>
      </c>
      <c r="F223" s="1057" t="str">
        <f>IF(Begriffe!$G$1=1,C223,IF(Begriffe!$G$1=2,D223,E223))</f>
        <v>Wasser</v>
      </c>
    </row>
    <row r="224" spans="1:6">
      <c r="A224" s="528"/>
      <c r="B224" s="529"/>
      <c r="C224" s="1696" t="s">
        <v>268</v>
      </c>
      <c r="D224" s="1060" t="s">
        <v>779</v>
      </c>
      <c r="E224" s="1060" t="s">
        <v>2090</v>
      </c>
      <c r="F224" s="1057" t="str">
        <f>IF(Begriffe!$G$1=1,C224,IF(Begriffe!$G$1=2,D224,E224))</f>
        <v>Warmwasser</v>
      </c>
    </row>
    <row r="225" spans="1:6">
      <c r="A225" s="528"/>
      <c r="B225" s="529"/>
      <c r="C225" s="1696" t="s">
        <v>603</v>
      </c>
      <c r="D225" s="1060" t="s">
        <v>913</v>
      </c>
      <c r="E225" s="1060" t="s">
        <v>2091</v>
      </c>
      <c r="F225" s="1057" t="str">
        <f>IF(Begriffe!$G$1=1,C225,IF(Begriffe!$G$1=2,D225,E225))</f>
        <v>Wasser und Warmwasser</v>
      </c>
    </row>
    <row r="226" spans="1:6">
      <c r="A226" s="528"/>
      <c r="B226" s="529"/>
      <c r="C226" s="1696" t="s">
        <v>117</v>
      </c>
      <c r="D226" s="1063" t="s">
        <v>914</v>
      </c>
      <c r="E226" s="1063" t="s">
        <v>915</v>
      </c>
      <c r="F226" s="1057" t="str">
        <f>IF(Begriffe!$G$1=1,C226,IF(Begriffe!$G$1=2,D226,E226))</f>
        <v>Tagesprofil-Typ</v>
      </c>
    </row>
    <row r="227" spans="1:6">
      <c r="A227" s="528"/>
      <c r="B227" s="529"/>
      <c r="C227" s="1696" t="s">
        <v>270</v>
      </c>
      <c r="D227" s="1063" t="s">
        <v>887</v>
      </c>
      <c r="E227" s="533" t="s">
        <v>2092</v>
      </c>
      <c r="F227" s="1057" t="str">
        <f>IF(Begriffe!$G$1=1,C227,IF(Begriffe!$G$1=2,D227,E227))</f>
        <v>Personenprofil (Nutzungstag)</v>
      </c>
    </row>
    <row r="228" spans="1:6">
      <c r="A228" s="528"/>
      <c r="B228" s="529"/>
      <c r="C228" s="1696" t="s">
        <v>540</v>
      </c>
      <c r="D228" s="1063" t="s">
        <v>888</v>
      </c>
      <c r="E228" s="1063" t="s">
        <v>2093</v>
      </c>
      <c r="F228" s="1057" t="str">
        <f>IF(Begriffe!$G$1=1,C228,IF(Begriffe!$G$1=2,D228,E228))</f>
        <v>Geräteprofil (Nutzungstag)</v>
      </c>
    </row>
    <row r="229" spans="1:6">
      <c r="A229" s="528"/>
      <c r="B229" s="529"/>
      <c r="C229" s="1696" t="s">
        <v>71</v>
      </c>
      <c r="D229" s="1060" t="s">
        <v>889</v>
      </c>
      <c r="E229" s="1060" t="s">
        <v>2094</v>
      </c>
      <c r="F229" s="1057" t="str">
        <f>IF(Begriffe!$G$1=1,C229,IF(Begriffe!$G$1=2,D229,E229))</f>
        <v>Nutzungstage</v>
      </c>
    </row>
    <row r="230" spans="1:6">
      <c r="A230" s="528"/>
      <c r="B230" s="529"/>
      <c r="C230" s="1696" t="s">
        <v>118</v>
      </c>
      <c r="D230" s="1060" t="s">
        <v>2206</v>
      </c>
      <c r="E230" s="1060" t="s">
        <v>2204</v>
      </c>
      <c r="F230" s="1057" t="str">
        <f>IF(Begriffe!$G$1=1,C230,IF(Begriffe!$G$1=2,D230,E230))</f>
        <v>Personen-Stunden</v>
      </c>
    </row>
    <row r="231" spans="1:6">
      <c r="A231" s="528"/>
      <c r="B231" s="529"/>
      <c r="C231" s="1696" t="s">
        <v>119</v>
      </c>
      <c r="D231" s="1060" t="s">
        <v>2207</v>
      </c>
      <c r="E231" s="1060" t="s">
        <v>2205</v>
      </c>
      <c r="F231" s="1057" t="str">
        <f>IF(Begriffe!$G$1=1,C231,IF(Begriffe!$G$1=2,D231,E231))</f>
        <v>Geräte-Stunden</v>
      </c>
    </row>
    <row r="232" spans="1:6">
      <c r="A232" s="528"/>
      <c r="B232" s="529"/>
      <c r="C232" s="1696" t="s">
        <v>148</v>
      </c>
      <c r="D232" s="1060" t="s">
        <v>801</v>
      </c>
      <c r="E232" s="1060" t="s">
        <v>916</v>
      </c>
      <c r="F232" s="1057" t="str">
        <f>IF(Begriffe!$G$1=1,C232,IF(Begriffe!$G$1=2,D232,E232))</f>
        <v>Kommentare</v>
      </c>
    </row>
    <row r="233" spans="1:6">
      <c r="A233" s="528"/>
      <c r="B233" s="529"/>
      <c r="C233" s="1067" t="s">
        <v>1376</v>
      </c>
      <c r="D233" s="1694" t="s">
        <v>1917</v>
      </c>
      <c r="E233" s="1067" t="s">
        <v>1377</v>
      </c>
      <c r="F233" s="1057" t="str">
        <f>IF(Begriffe!$G$1=1,C233,IF(Begriffe!$G$1=2,D233,E233))</f>
        <v>Auslegung</v>
      </c>
    </row>
    <row r="234" spans="1:6">
      <c r="A234" s="528"/>
      <c r="B234" s="529"/>
      <c r="C234" s="1067" t="s">
        <v>1193</v>
      </c>
      <c r="D234" s="1694" t="s">
        <v>1378</v>
      </c>
      <c r="E234" s="1067" t="s">
        <v>1379</v>
      </c>
      <c r="F234" s="1057" t="str">
        <f>IF(Begriffe!$G$1=1,C234,IF(Begriffe!$G$1=2,D234,E234))</f>
        <v>Energiebedarf</v>
      </c>
    </row>
    <row r="235" spans="1:6">
      <c r="A235" s="528"/>
      <c r="B235" s="529"/>
      <c r="C235" s="1693" t="s">
        <v>25</v>
      </c>
      <c r="D235" s="1060" t="s">
        <v>25</v>
      </c>
      <c r="E235" s="1060" t="s">
        <v>25</v>
      </c>
      <c r="F235" s="1057" t="str">
        <f>IF(Begriffe!$G$1=1,C235,IF(Begriffe!$G$1=2,D235,E235))</f>
        <v>Standard</v>
      </c>
    </row>
    <row r="236" spans="1:6">
      <c r="A236" s="528"/>
      <c r="B236" s="529"/>
      <c r="C236" s="1693" t="s">
        <v>50</v>
      </c>
      <c r="D236" s="1060" t="s">
        <v>720</v>
      </c>
      <c r="E236" s="1060" t="s">
        <v>724</v>
      </c>
      <c r="F236" s="1057" t="str">
        <f>IF(Begriffe!$G$1=1,C236,IF(Begriffe!$G$1=2,D236,E236))</f>
        <v>Zielwert</v>
      </c>
    </row>
    <row r="237" spans="1:6">
      <c r="A237" s="528"/>
      <c r="B237" s="529"/>
      <c r="C237" s="1693" t="s">
        <v>260</v>
      </c>
      <c r="D237" s="1060" t="s">
        <v>721</v>
      </c>
      <c r="E237" s="1060" t="s">
        <v>917</v>
      </c>
      <c r="F237" s="1057" t="str">
        <f>IF(Begriffe!$G$1=1,C237,IF(Begriffe!$G$1=2,D237,E237))</f>
        <v>Bestand</v>
      </c>
    </row>
    <row r="238" spans="1:6">
      <c r="A238" s="528"/>
      <c r="B238" s="529"/>
      <c r="C238" s="1060" t="s">
        <v>432</v>
      </c>
      <c r="D238" s="1060" t="s">
        <v>722</v>
      </c>
      <c r="E238" s="1076" t="s">
        <v>2095</v>
      </c>
      <c r="F238" s="1057" t="str">
        <f>IF(Begriffe!$G$1=1,C238,IF(Begriffe!$G$1=2,D238,E238))</f>
        <v>Standard, Zielwert</v>
      </c>
    </row>
    <row r="239" spans="1:6">
      <c r="A239" s="528" t="s">
        <v>22</v>
      </c>
      <c r="B239" s="529"/>
      <c r="C239" s="1060" t="s">
        <v>602</v>
      </c>
      <c r="D239" s="1060" t="s">
        <v>723</v>
      </c>
      <c r="E239" s="1076" t="s">
        <v>2096</v>
      </c>
      <c r="F239" s="1057" t="str">
        <f>IF(Begriffe!$G$1=1,C239,IF(Begriffe!$G$1=2,D239,E239))</f>
        <v>Standard, Bestand</v>
      </c>
    </row>
    <row r="240" spans="1:6">
      <c r="A240" s="528"/>
      <c r="B240" s="529"/>
      <c r="C240" s="1076" t="s">
        <v>1739</v>
      </c>
      <c r="D240" s="1694" t="s">
        <v>1918</v>
      </c>
      <c r="E240" s="1076" t="s">
        <v>2159</v>
      </c>
      <c r="F240" s="1057" t="str">
        <f>IF(Begriffe!$G$1=1,C240,IF(Begriffe!$G$1=2,D240,E240))</f>
        <v>Kühlfall</v>
      </c>
    </row>
    <row r="241" spans="1:6">
      <c r="A241" s="528"/>
      <c r="B241" s="529"/>
      <c r="C241" s="1076" t="s">
        <v>1740</v>
      </c>
      <c r="D241" s="1694" t="s">
        <v>1919</v>
      </c>
      <c r="E241" s="1076" t="s">
        <v>2160</v>
      </c>
      <c r="F241" s="1057" t="str">
        <f>IF(Begriffe!$G$1=1,C241,IF(Begriffe!$G$1=2,D241,E241))</f>
        <v>Heizfall</v>
      </c>
    </row>
    <row r="242" spans="1:6">
      <c r="A242" s="528"/>
      <c r="B242" s="529"/>
      <c r="C242" s="1076" t="s">
        <v>1417</v>
      </c>
      <c r="D242" s="1694" t="s">
        <v>1982</v>
      </c>
      <c r="E242" s="1076" t="s">
        <v>1983</v>
      </c>
      <c r="F242" s="1057" t="str">
        <f>IF(Begriffe!$G$1=1,C242,IF(Begriffe!$G$1=2,D242,E242))</f>
        <v>Kategorie der Raumluftqualität</v>
      </c>
    </row>
    <row r="243" spans="1:6">
      <c r="A243" s="528"/>
      <c r="B243" s="529"/>
      <c r="C243" s="1076" t="s">
        <v>1418</v>
      </c>
      <c r="D243" s="1694" t="s">
        <v>1967</v>
      </c>
      <c r="E243" s="1076" t="s">
        <v>1969</v>
      </c>
      <c r="F243" s="1057" t="str">
        <f>IF(Begriffe!$G$1=1,C243,IF(Begriffe!$G$1=2,D243,E243))</f>
        <v>Tag</v>
      </c>
    </row>
    <row r="244" spans="1:6">
      <c r="A244" s="528"/>
      <c r="B244" s="529"/>
      <c r="C244" s="1076" t="s">
        <v>1419</v>
      </c>
      <c r="D244" s="1694" t="s">
        <v>1968</v>
      </c>
      <c r="E244" s="1076" t="s">
        <v>1970</v>
      </c>
      <c r="F244" s="1057" t="str">
        <f>IF(Begriffe!$G$1=1,C244,IF(Begriffe!$G$1=2,D244,E244))</f>
        <v>Nacht</v>
      </c>
    </row>
    <row r="245" spans="1:6">
      <c r="A245" s="528"/>
      <c r="B245" s="529"/>
      <c r="C245" s="1076" t="s">
        <v>1486</v>
      </c>
      <c r="D245" s="1694" t="s">
        <v>1920</v>
      </c>
      <c r="E245" s="1076" t="s">
        <v>1487</v>
      </c>
      <c r="F245" s="1057" t="str">
        <f>IF(Begriffe!$G$1=1,C245,IF(Begriffe!$G$1=2,D245,E245))</f>
        <v>keine</v>
      </c>
    </row>
    <row r="246" spans="1:6">
      <c r="A246" s="528"/>
      <c r="B246" s="529"/>
      <c r="C246" s="1060" t="s">
        <v>7</v>
      </c>
      <c r="D246" s="1060" t="s">
        <v>780</v>
      </c>
      <c r="E246" s="1060" t="s">
        <v>1042</v>
      </c>
      <c r="F246" s="1057" t="str">
        <f>IF(Begriffe!$G$1=1,C246,IF(Begriffe!$G$1=2,D246,E246))</f>
        <v>mittel</v>
      </c>
    </row>
    <row r="247" spans="1:6">
      <c r="A247" s="528"/>
      <c r="B247" s="529"/>
      <c r="C247" s="1060" t="s">
        <v>64</v>
      </c>
      <c r="D247" s="1060" t="s">
        <v>781</v>
      </c>
      <c r="E247" s="1060" t="s">
        <v>1043</v>
      </c>
      <c r="F247" s="1057" t="str">
        <f>IF(Begriffe!$G$1=1,C247,IF(Begriffe!$G$1=2,D247,E247))</f>
        <v>gering</v>
      </c>
    </row>
    <row r="248" spans="1:6">
      <c r="A248" s="528"/>
      <c r="B248" s="529"/>
      <c r="C248" s="1076" t="s">
        <v>1521</v>
      </c>
      <c r="D248" s="1060" t="s">
        <v>975</v>
      </c>
      <c r="E248" s="1060" t="s">
        <v>1044</v>
      </c>
      <c r="F248" s="1057" t="str">
        <f>IF(Begriffe!$G$1=1,C248,IF(Begriffe!$G$1=2,D248,E248))</f>
        <v>einstufig</v>
      </c>
    </row>
    <row r="249" spans="1:6">
      <c r="A249" s="528"/>
      <c r="B249" s="529"/>
      <c r="C249" s="1076" t="s">
        <v>1522</v>
      </c>
      <c r="D249" s="1060" t="s">
        <v>976</v>
      </c>
      <c r="E249" s="1060" t="s">
        <v>1045</v>
      </c>
      <c r="F249" s="1057" t="str">
        <f>IF(Begriffe!$G$1=1,C249,IF(Begriffe!$G$1=2,D249,E249))</f>
        <v>zweistufig</v>
      </c>
    </row>
    <row r="250" spans="1:6">
      <c r="A250" s="528"/>
      <c r="B250" s="529"/>
      <c r="C250" s="1060" t="s">
        <v>191</v>
      </c>
      <c r="D250" s="1060" t="s">
        <v>977</v>
      </c>
      <c r="E250" s="1060" t="s">
        <v>1046</v>
      </c>
      <c r="F250" s="1057" t="str">
        <f>IF(Begriffe!$G$1=1,C250,IF(Begriffe!$G$1=2,D250,E250))</f>
        <v>stufenlos</v>
      </c>
    </row>
    <row r="251" spans="1:6">
      <c r="A251" s="528"/>
      <c r="B251" s="529"/>
      <c r="C251" s="1060" t="s">
        <v>262</v>
      </c>
      <c r="D251" s="1060" t="s">
        <v>1310</v>
      </c>
      <c r="E251" s="1060" t="s">
        <v>1311</v>
      </c>
      <c r="F251" s="1057" t="str">
        <f>IF(Begriffe!$G$1=1,C251,IF(Begriffe!$G$1=2,D251,E251))</f>
        <v>Einfache Lüftungsanlage</v>
      </c>
    </row>
    <row r="252" spans="1:6">
      <c r="A252" s="528"/>
      <c r="B252" s="529"/>
      <c r="C252" s="1060" t="s">
        <v>263</v>
      </c>
      <c r="D252" s="1060" t="s">
        <v>1312</v>
      </c>
      <c r="E252" s="1060" t="s">
        <v>1047</v>
      </c>
      <c r="F252" s="1057" t="str">
        <f>IF(Begriffe!$G$1=1,C252,IF(Begriffe!$G$1=2,D252,E252))</f>
        <v>Einfache Klimaanlage</v>
      </c>
    </row>
    <row r="253" spans="1:6">
      <c r="A253" s="528"/>
      <c r="B253" s="529"/>
      <c r="C253" s="1060" t="s">
        <v>1313</v>
      </c>
      <c r="D253" s="1060" t="s">
        <v>1314</v>
      </c>
      <c r="E253" s="1060" t="s">
        <v>837</v>
      </c>
      <c r="F253" s="1057" t="str">
        <f>IF(Begriffe!$G$1=1,C253,IF(Begriffe!$G$1=2,D253,E253))</f>
        <v>Lüftungsanlage mit Lufterwärmung</v>
      </c>
    </row>
    <row r="254" spans="1:6">
      <c r="A254" s="528"/>
      <c r="B254" s="529"/>
      <c r="C254" s="1060" t="s">
        <v>1315</v>
      </c>
      <c r="D254" s="1060" t="s">
        <v>1316</v>
      </c>
      <c r="E254" s="1060" t="s">
        <v>1048</v>
      </c>
      <c r="F254" s="1057" t="str">
        <f>IF(Begriffe!$G$1=1,C254,IF(Begriffe!$G$1=2,D254,E254))</f>
        <v>Klimaanlage mit Luftbefeuchtung und -entfeuchtung</v>
      </c>
    </row>
    <row r="255" spans="1:6">
      <c r="A255" s="528"/>
      <c r="B255" s="529"/>
      <c r="C255" s="1060" t="s">
        <v>264</v>
      </c>
      <c r="D255" s="1060" t="s">
        <v>782</v>
      </c>
      <c r="E255" s="1076" t="s">
        <v>2097</v>
      </c>
      <c r="F255" s="1057" t="str">
        <f>IF(Begriffe!$G$1=1,C255,IF(Begriffe!$G$1=2,D255,E255))</f>
        <v>Einfache Abluftanlage</v>
      </c>
    </row>
    <row r="256" spans="1:6">
      <c r="A256" s="528"/>
      <c r="B256" s="529"/>
      <c r="C256" s="1060" t="s">
        <v>201</v>
      </c>
      <c r="D256" s="1060" t="s">
        <v>783</v>
      </c>
      <c r="E256" s="1060" t="s">
        <v>838</v>
      </c>
      <c r="F256" s="1057" t="str">
        <f>IF(Begriffe!$G$1=1,C256,IF(Begriffe!$G$1=2,D256,E256))</f>
        <v>keine Lüftungsanlage</v>
      </c>
    </row>
    <row r="257" spans="1:6">
      <c r="A257" s="528"/>
      <c r="B257" s="529"/>
      <c r="C257" s="1060" t="s">
        <v>1317</v>
      </c>
      <c r="D257" s="1060" t="s">
        <v>1318</v>
      </c>
      <c r="E257" s="1060" t="s">
        <v>839</v>
      </c>
      <c r="F257" s="1057" t="str">
        <f>IF(Begriffe!$G$1=1,C257,IF(Begriffe!$G$1=2,D257,E257))</f>
        <v>nicht notwendig</v>
      </c>
    </row>
    <row r="258" spans="1:6">
      <c r="A258" s="528"/>
      <c r="B258" s="529"/>
      <c r="C258" s="1060" t="s">
        <v>527</v>
      </c>
      <c r="D258" s="1060" t="s">
        <v>785</v>
      </c>
      <c r="E258" s="1060" t="s">
        <v>840</v>
      </c>
      <c r="F258" s="1057" t="str">
        <f>IF(Begriffe!$G$1=1,C258,IF(Begriffe!$G$1=2,D258,E258))</f>
        <v>erwünscht</v>
      </c>
    </row>
    <row r="259" spans="1:6">
      <c r="A259" s="528"/>
      <c r="B259" s="529"/>
      <c r="C259" s="1060" t="s">
        <v>528</v>
      </c>
      <c r="D259" s="1060" t="s">
        <v>784</v>
      </c>
      <c r="E259" s="1060" t="s">
        <v>841</v>
      </c>
      <c r="F259" s="1057" t="str">
        <f>IF(Begriffe!$G$1=1,C259,IF(Begriffe!$G$1=2,D259,E259))</f>
        <v>notwendig</v>
      </c>
    </row>
    <row r="260" spans="1:6">
      <c r="A260" s="528"/>
      <c r="B260" s="529"/>
      <c r="C260" s="1060" t="s">
        <v>562</v>
      </c>
      <c r="D260" s="1060" t="s">
        <v>918</v>
      </c>
      <c r="E260" s="1060" t="s">
        <v>919</v>
      </c>
      <c r="F260" s="1057" t="str">
        <f>IF(Begriffe!$G$1=1,C260,IF(Begriffe!$G$1=2,D260,E260))</f>
        <v>Person</v>
      </c>
    </row>
    <row r="261" spans="1:6">
      <c r="A261" s="528"/>
      <c r="B261" s="529"/>
      <c r="C261" s="1060" t="s">
        <v>563</v>
      </c>
      <c r="D261" s="1060" t="s">
        <v>786</v>
      </c>
      <c r="E261" s="1060" t="s">
        <v>920</v>
      </c>
      <c r="F261" s="1057" t="str">
        <f>IF(Begriffe!$G$1=1,C261,IF(Begriffe!$G$1=2,D261,E261))</f>
        <v>Bett</v>
      </c>
    </row>
    <row r="262" spans="1:6">
      <c r="A262" s="528"/>
      <c r="B262" s="529"/>
      <c r="C262" s="1060" t="s">
        <v>564</v>
      </c>
      <c r="D262" s="1060" t="s">
        <v>890</v>
      </c>
      <c r="E262" s="1060" t="s">
        <v>1049</v>
      </c>
      <c r="F262" s="1057" t="str">
        <f>IF(Begriffe!$G$1=1,C262,IF(Begriffe!$G$1=2,D262,E262))</f>
        <v>Sitzplatz</v>
      </c>
    </row>
    <row r="263" spans="1:6">
      <c r="A263" s="528"/>
      <c r="B263" s="529"/>
      <c r="C263" s="1060" t="s">
        <v>600</v>
      </c>
      <c r="D263" s="1060" t="s">
        <v>787</v>
      </c>
      <c r="E263" s="1060" t="s">
        <v>921</v>
      </c>
      <c r="F263" s="1057" t="str">
        <f>IF(Begriffe!$G$1=1,C263,IF(Begriffe!$G$1=2,D263,E263))</f>
        <v>Dusche</v>
      </c>
    </row>
    <row r="264" spans="1:6">
      <c r="A264" s="528"/>
      <c r="B264" s="529"/>
      <c r="C264" s="1693" t="s">
        <v>75</v>
      </c>
      <c r="D264" s="1060"/>
      <c r="E264" s="1076" t="s">
        <v>2098</v>
      </c>
      <c r="F264" s="1057" t="str">
        <f>IF(Begriffe!$G$1=1,C264,IF(Begriffe!$G$1=2,D264,E264))</f>
        <v>Volllaststunden Ruhetag</v>
      </c>
    </row>
    <row r="265" spans="1:6">
      <c r="A265" s="528"/>
      <c r="B265" s="529"/>
      <c r="C265" s="1693" t="s">
        <v>715</v>
      </c>
      <c r="D265" s="1060"/>
      <c r="E265" s="1076" t="s">
        <v>2099</v>
      </c>
      <c r="F265" s="1057" t="str">
        <f>IF(Begriffe!$G$1=1,C265,IF(Begriffe!$G$1=2,D265,E265))</f>
        <v>Jährliche Geräte-Volllaststunden</v>
      </c>
    </row>
    <row r="266" spans="1:6">
      <c r="A266" s="528"/>
      <c r="B266" s="529"/>
      <c r="C266" s="1060"/>
      <c r="D266" s="1060"/>
      <c r="E266" s="1060"/>
    </row>
    <row r="267" spans="1:6" ht="14.15">
      <c r="A267" s="530" t="s">
        <v>1847</v>
      </c>
      <c r="B267" s="529"/>
      <c r="C267" s="1060"/>
      <c r="D267" s="1060"/>
      <c r="E267" s="1060"/>
    </row>
    <row r="268" spans="1:6">
      <c r="A268" s="528"/>
      <c r="B268" s="529"/>
      <c r="C268" s="1060"/>
      <c r="D268" s="1060"/>
      <c r="E268" s="1060"/>
    </row>
    <row r="269" spans="1:6">
      <c r="A269" s="528"/>
      <c r="B269" s="529"/>
      <c r="C269" s="1699" t="s">
        <v>182</v>
      </c>
      <c r="D269" s="1060" t="s">
        <v>1319</v>
      </c>
      <c r="E269" s="1788" t="s">
        <v>2100</v>
      </c>
      <c r="F269" s="1057" t="str">
        <f>IF(Begriffe!$G$1=1,C269,IF(Begriffe!$G$1=2,D269,E269))</f>
        <v>- Im Schlafzimmer erhöhter Schallschutz</v>
      </c>
    </row>
    <row r="270" spans="1:6">
      <c r="A270" s="528"/>
      <c r="B270" s="529"/>
      <c r="C270" s="1699" t="s">
        <v>181</v>
      </c>
      <c r="D270" s="1060" t="s">
        <v>1320</v>
      </c>
      <c r="E270" s="1788" t="s">
        <v>2101</v>
      </c>
      <c r="F270" s="1057" t="str">
        <f>IF(Begriffe!$G$1=1,C270,IF(Begriffe!$G$1=2,D270,E270))</f>
        <v>- Im Direktionsbüro erhöhter Schallschutz</v>
      </c>
    </row>
    <row r="271" spans="1:6">
      <c r="A271" s="528"/>
      <c r="B271" s="529"/>
      <c r="C271" s="1699" t="s">
        <v>179</v>
      </c>
      <c r="D271" s="1699" t="s">
        <v>1321</v>
      </c>
      <c r="E271" s="1789" t="s">
        <v>2102</v>
      </c>
      <c r="F271" s="1057" t="str">
        <f>IF(Begriffe!$G$1=1,C271,IF(Begriffe!$G$1=2,D271,E271))</f>
        <v>- Im Kindergarten Beleuchtungsstärke 300 lx</v>
      </c>
    </row>
    <row r="272" spans="1:6">
      <c r="A272" s="528"/>
      <c r="B272" s="529"/>
      <c r="C272" s="1699" t="s">
        <v>183</v>
      </c>
      <c r="D272" s="1060" t="s">
        <v>1322</v>
      </c>
      <c r="E272" s="1788" t="s">
        <v>2103</v>
      </c>
      <c r="F272" s="1057" t="str">
        <f>IF(Begriffe!$G$1=1,C272,IF(Begriffe!$G$1=2,D272,E272))</f>
        <v>- Im Lesebereich Beleuchtungsstärke 500 lx</v>
      </c>
    </row>
    <row r="273" spans="1:6">
      <c r="A273" s="528"/>
      <c r="B273" s="529"/>
      <c r="C273" s="1699" t="s">
        <v>180</v>
      </c>
      <c r="D273" s="1060" t="s">
        <v>1323</v>
      </c>
      <c r="E273" s="1788" t="s">
        <v>2104</v>
      </c>
      <c r="F273" s="1057" t="str">
        <f>IF(Begriffe!$G$1=1,C273,IF(Begriffe!$G$1=2,D273,E273))</f>
        <v>- Im Musikzimmer erhöhter Schallschutz</v>
      </c>
    </row>
    <row r="274" spans="1:6">
      <c r="A274" s="528"/>
      <c r="B274" s="529"/>
      <c r="C274" s="1574" t="s">
        <v>1692</v>
      </c>
      <c r="D274" s="1694" t="s">
        <v>1921</v>
      </c>
      <c r="E274" s="1701" t="s">
        <v>2105</v>
      </c>
      <c r="F274" s="1057" t="str">
        <f>IF(Begriffe!$G$1=1,C274,IF(Begriffe!$G$1=2,D274,E274))</f>
        <v>- Verkaufsflächen mit einem Foodanteil &gt; 80%</v>
      </c>
    </row>
    <row r="275" spans="1:6">
      <c r="A275" s="528"/>
      <c r="B275" s="529"/>
      <c r="C275" s="1574" t="s">
        <v>1693</v>
      </c>
      <c r="D275" s="1694" t="s">
        <v>1922</v>
      </c>
      <c r="E275" s="1701" t="s">
        <v>2106</v>
      </c>
      <c r="F275" s="1057" t="str">
        <f>IF(Begriffe!$G$1=1,C275,IF(Begriffe!$G$1=2,D275,E275))</f>
        <v>- Verkaufsflächen mit einem Foodanteil &lt; 20%</v>
      </c>
    </row>
    <row r="276" spans="1:6">
      <c r="A276" s="528"/>
      <c r="B276" s="529"/>
      <c r="C276" s="1574" t="s">
        <v>1691</v>
      </c>
      <c r="D276" s="1694" t="s">
        <v>1923</v>
      </c>
      <c r="E276" s="1701" t="s">
        <v>2107</v>
      </c>
      <c r="F276" s="1057" t="str">
        <f>IF(Begriffe!$G$1=1,C276,IF(Begriffe!$G$1=2,D276,E276))</f>
        <v>- Grosse Verkaufsflächen mit geringer Personendichte</v>
      </c>
    </row>
    <row r="277" spans="1:6" ht="24.9">
      <c r="A277" s="528"/>
      <c r="B277" s="529"/>
      <c r="C277" s="1700" t="s">
        <v>1678</v>
      </c>
      <c r="D277" s="1694" t="s">
        <v>1924</v>
      </c>
      <c r="E277" s="1701" t="s">
        <v>2108</v>
      </c>
      <c r="F277" s="1057" t="str">
        <f>IF(Begriffe!$G$1=1,C277,IF(Begriffe!$G$1=2,D277,E277))</f>
        <v>- Der prozessbedingte Aussenluftvolumenstrom ist in den Diagrammen nicht berücksichtigt</v>
      </c>
    </row>
    <row r="278" spans="1:6" ht="24.9">
      <c r="A278" s="528"/>
      <c r="B278" s="529"/>
      <c r="C278" s="1700" t="s">
        <v>1679</v>
      </c>
      <c r="D278" s="1694" t="s">
        <v>1925</v>
      </c>
      <c r="E278" s="1701" t="s">
        <v>1680</v>
      </c>
      <c r="F278" s="1057" t="str">
        <f>IF(Begriffe!$G$1=1,C278,IF(Begriffe!$G$1=2,D278,E278))</f>
        <v>- Gewerbliche Kälte ist unter Prozessanlagen verbucht</v>
      </c>
    </row>
    <row r="279" spans="1:6" ht="24.9">
      <c r="A279" s="528"/>
      <c r="B279" s="529"/>
      <c r="C279" s="1700" t="s">
        <v>1681</v>
      </c>
      <c r="D279" s="1694" t="s">
        <v>1926</v>
      </c>
      <c r="E279" s="1701" t="s">
        <v>2109</v>
      </c>
      <c r="F279" s="1057" t="str">
        <f>IF(Begriffe!$G$1=1,C279,IF(Begriffe!$G$1=2,D279,E279))</f>
        <v>- Küchengeräte inkl. Ablufthauben sind unter Prozessanlagen verbucht</v>
      </c>
    </row>
    <row r="280" spans="1:6" ht="24.9">
      <c r="A280" s="528"/>
      <c r="B280" s="529"/>
      <c r="C280" s="1700" t="s">
        <v>1682</v>
      </c>
      <c r="D280" s="1694" t="s">
        <v>1927</v>
      </c>
      <c r="E280" s="1701" t="s">
        <v>2110</v>
      </c>
      <c r="F280" s="1057" t="str">
        <f>IF(Begriffe!$G$1=1,C280,IF(Begriffe!$G$1=2,D280,E280))</f>
        <v>- Diagnose- und Behandlungsgeräte sind unter Prozessanlagen verbucht</v>
      </c>
    </row>
    <row r="281" spans="1:6" ht="24.9">
      <c r="A281" s="528"/>
      <c r="B281" s="529"/>
      <c r="C281" s="1700" t="s">
        <v>1683</v>
      </c>
      <c r="D281" s="1694" t="s">
        <v>1928</v>
      </c>
      <c r="E281" s="1701" t="s">
        <v>2111</v>
      </c>
      <c r="F281" s="1057" t="str">
        <f>IF(Begriffe!$G$1=1,C281,IF(Begriffe!$G$1=2,D281,E281))</f>
        <v>- Produktionsanlagen sind unter Prozessanlagen verbucht</v>
      </c>
    </row>
    <row r="282" spans="1:6" ht="24.9">
      <c r="A282" s="528"/>
      <c r="B282" s="529"/>
      <c r="C282" s="1700" t="s">
        <v>1684</v>
      </c>
      <c r="D282" s="1694" t="s">
        <v>1929</v>
      </c>
      <c r="E282" s="1701" t="s">
        <v>2112</v>
      </c>
      <c r="F282" s="1057" t="str">
        <f>IF(Begriffe!$G$1=1,C282,IF(Begriffe!$G$1=2,D282,E282))</f>
        <v>- Laboranlagen inkl. Reinraumlüftung sind unter Prozessanlagen verbucht</v>
      </c>
    </row>
    <row r="283" spans="1:6" ht="24.9">
      <c r="A283" s="528"/>
      <c r="B283" s="529"/>
      <c r="C283" s="1700" t="s">
        <v>1685</v>
      </c>
      <c r="D283" s="1694" t="s">
        <v>1930</v>
      </c>
      <c r="E283" s="1701" t="s">
        <v>2113</v>
      </c>
      <c r="F283" s="1057" t="str">
        <f>IF(Begriffe!$G$1=1,C283,IF(Begriffe!$G$1=2,D283,E283))</f>
        <v>- Badtechnik inkl. Hallenlüftung und Luftentfeuchtung sind unter Prozessanlagen verbucht</v>
      </c>
    </row>
    <row r="284" spans="1:6" ht="24.9">
      <c r="A284" s="528"/>
      <c r="B284" s="529"/>
      <c r="C284" s="1700" t="s">
        <v>1686</v>
      </c>
      <c r="D284" s="1710" t="s">
        <v>1961</v>
      </c>
      <c r="E284" s="1701" t="s">
        <v>2114</v>
      </c>
      <c r="F284" s="1057" t="str">
        <f>IF(Begriffe!$G$1=1,C284,IF(Begriffe!$G$1=2,D284,E284))</f>
        <v>- Serveranlagen inkl. Umluftkühler und Kälteerzeugung sind unter Prozessanlagen verbucht</v>
      </c>
    </row>
    <row r="285" spans="1:6" ht="37.299999999999997">
      <c r="A285" s="528"/>
      <c r="B285" s="529"/>
      <c r="C285" s="1700" t="s">
        <v>2215</v>
      </c>
      <c r="D285" s="1710" t="s">
        <v>2216</v>
      </c>
      <c r="E285" s="1701" t="s">
        <v>2217</v>
      </c>
      <c r="F285" s="1057" t="str">
        <f>IF(Begriffe!$G$1=1,C285,IF(Begriffe!$G$1=2,D285,E285))</f>
        <v>- Der Klimakälteleistungsbedarf und der jährliche Klimakältebedarf gelten für Räume ohne unterstützende Fensterlüftung</v>
      </c>
    </row>
    <row r="286" spans="1:6" ht="37.299999999999997">
      <c r="A286" s="528"/>
      <c r="B286" s="529"/>
      <c r="C286" s="1700" t="s">
        <v>1687</v>
      </c>
      <c r="D286" s="1694" t="s">
        <v>1931</v>
      </c>
      <c r="E286" s="1701" t="s">
        <v>2115</v>
      </c>
      <c r="F286" s="1057" t="str">
        <f>IF(Begriffe!$G$1=1,C286,IF(Begriffe!$G$1=2,D286,E286))</f>
        <v>- Die Wärmeeinträge von Prozessanlagen sind beim Klimakälte- und Heizwärmebedarf nicht berücksichtigt</v>
      </c>
    </row>
    <row r="287" spans="1:6" ht="24.9">
      <c r="A287" s="528"/>
      <c r="B287" s="529"/>
      <c r="C287" s="1700" t="s">
        <v>1872</v>
      </c>
      <c r="D287" s="1710" t="s">
        <v>2157</v>
      </c>
      <c r="E287" s="1701" t="s">
        <v>2224</v>
      </c>
      <c r="F287" s="1057" t="str">
        <f>IF(Begriffe!$G$1=1,C287,IF(Begriffe!$G$1=2,D287,E287))</f>
        <v>- Richtwerte für den Abluft-Volumenstrom sind in SIA 382/1 definiert</v>
      </c>
    </row>
    <row r="288" spans="1:6">
      <c r="A288" s="528"/>
      <c r="B288" s="529"/>
      <c r="C288" s="1699" t="s">
        <v>184</v>
      </c>
      <c r="D288" s="1060" t="s">
        <v>1324</v>
      </c>
      <c r="E288" s="1788" t="s">
        <v>1325</v>
      </c>
      <c r="F288" s="1057" t="str">
        <f>IF(Begriffe!$G$1=1,C288,IF(Begriffe!$G$1=2,D288,E288))</f>
        <v>- Bühnenbereich des Theaters mit speziellen Anforderungen</v>
      </c>
    </row>
    <row r="289" spans="1:6">
      <c r="A289" s="528"/>
      <c r="B289" s="529"/>
      <c r="C289" s="1699" t="s">
        <v>185</v>
      </c>
      <c r="D289" s="1060" t="s">
        <v>1326</v>
      </c>
      <c r="E289" s="1788" t="s">
        <v>2116</v>
      </c>
      <c r="F289" s="1057" t="str">
        <f>IF(Begriffe!$G$1=1,C289,IF(Begriffe!$G$1=2,D289,E289))</f>
        <v>- Für einfache Untersuchungen Beleuchtungsstärke 300 lx</v>
      </c>
    </row>
    <row r="290" spans="1:6">
      <c r="A290" s="528"/>
      <c r="B290" s="529"/>
      <c r="C290" s="1699" t="s">
        <v>186</v>
      </c>
      <c r="D290" s="1060" t="s">
        <v>1327</v>
      </c>
      <c r="E290" s="1788" t="s">
        <v>1328</v>
      </c>
      <c r="F290" s="1057" t="str">
        <f>IF(Begriffe!$G$1=1,C290,IF(Begriffe!$G$1=2,D290,E290))</f>
        <v>- Verpackungsbereich mit speziellen Anforderungen</v>
      </c>
    </row>
    <row r="291" spans="1:6" ht="24.9">
      <c r="A291" s="528"/>
      <c r="B291" s="529"/>
      <c r="C291" s="1699" t="s">
        <v>187</v>
      </c>
      <c r="D291" s="1060" t="s">
        <v>1329</v>
      </c>
      <c r="E291" s="1788" t="s">
        <v>2117</v>
      </c>
      <c r="F291" s="1057" t="str">
        <f>IF(Begriffe!$G$1=1,C291,IF(Begriffe!$G$1=2,D291,E291))</f>
        <v>- Für Wettkampfsport Beleuchtungsstärke 500 lx und erhöhter Luftwechsel</v>
      </c>
    </row>
    <row r="292" spans="1:6" ht="24.9">
      <c r="A292" s="528"/>
      <c r="B292" s="529"/>
      <c r="C292" s="1699" t="s">
        <v>581</v>
      </c>
      <c r="D292" s="1060" t="s">
        <v>1330</v>
      </c>
      <c r="E292" s="1788" t="s">
        <v>1331</v>
      </c>
      <c r="F292" s="1057" t="str">
        <f>IF(Begriffe!$G$1=1,C292,IF(Begriffe!$G$1=2,D292,E292))</f>
        <v>- Die Raumlufttemperatur Winter (Auslegung Heizung) richtet sich nach der zugehörigen Hauptnutzung</v>
      </c>
    </row>
    <row r="293" spans="1:6">
      <c r="A293" s="528"/>
      <c r="B293" s="529"/>
      <c r="C293" s="1699" t="s">
        <v>188</v>
      </c>
      <c r="D293" s="1060" t="s">
        <v>1332</v>
      </c>
      <c r="E293" s="1788" t="s">
        <v>1333</v>
      </c>
      <c r="F293" s="1057" t="str">
        <f>IF(Begriffe!$G$1=1,C293,IF(Begriffe!$G$1=2,D293,E293))</f>
        <v>- Je nach Hauptnutzung unterschiedliche Luftwechsel</v>
      </c>
    </row>
    <row r="294" spans="1:6">
      <c r="A294" s="528"/>
      <c r="B294" s="529"/>
      <c r="C294" s="1700" t="s">
        <v>1696</v>
      </c>
      <c r="D294" s="1694" t="s">
        <v>1697</v>
      </c>
      <c r="E294" s="1701" t="s">
        <v>2118</v>
      </c>
      <c r="F294" s="1057" t="str">
        <f>IF(Begriffe!$G$1=1,C294,IF(Begriffe!$G$1=2,D294,E294))</f>
        <v>- Pluskälte 2°C</v>
      </c>
    </row>
    <row r="295" spans="1:6" ht="37.299999999999997">
      <c r="A295" s="528" t="s">
        <v>22</v>
      </c>
      <c r="B295" s="529"/>
      <c r="C295" s="1699" t="s">
        <v>477</v>
      </c>
      <c r="D295" s="1060" t="s">
        <v>1334</v>
      </c>
      <c r="E295" s="1788" t="s">
        <v>2119</v>
      </c>
      <c r="F295" s="1057" t="str">
        <f>IF(Begriffe!$G$1=1,C295,IF(Begriffe!$G$1=2,D295,E295))</f>
        <v>- Berechnung Klimakältebedarf: negative Wärmeeinträge durch Kühlmöbel (Standard: -10, Zielwert: -8, Bestand: -12 W/m2)</v>
      </c>
    </row>
    <row r="296" spans="1:6" ht="24.9">
      <c r="A296" s="528"/>
      <c r="B296" s="529"/>
      <c r="C296" s="1699" t="s">
        <v>570</v>
      </c>
      <c r="D296" s="1060" t="s">
        <v>1335</v>
      </c>
      <c r="E296" s="1788" t="s">
        <v>2120</v>
      </c>
      <c r="F296" s="1057" t="str">
        <f>IF(Begriffe!$G$1=1,C296,IF(Begriffe!$G$1=2,D296,E296))</f>
        <v>- Beurteilungspegel für Dauergeräusche von Haustechnikanlagen in Abhängigkeit der zugehörigen Hauptnutzung</v>
      </c>
    </row>
    <row r="297" spans="1:6">
      <c r="A297" s="528"/>
      <c r="B297" s="529"/>
      <c r="C297" s="1699" t="s">
        <v>586</v>
      </c>
      <c r="D297" s="1060" t="s">
        <v>1336</v>
      </c>
      <c r="E297" s="1788" t="s">
        <v>2121</v>
      </c>
      <c r="F297" s="1057" t="str">
        <f>IF(Begriffe!$G$1=1,C297,IF(Begriffe!$G$1=2,D297,E297))</f>
        <v>- Keine Lüftungsanlage im Bestand</v>
      </c>
    </row>
    <row r="298" spans="1:6" ht="24.9">
      <c r="A298" s="528"/>
      <c r="B298" s="529"/>
      <c r="C298" s="1700" t="s">
        <v>1695</v>
      </c>
      <c r="D298" s="1694" t="s">
        <v>1932</v>
      </c>
      <c r="E298" s="1700" t="s">
        <v>2122</v>
      </c>
      <c r="F298" s="1057" t="str">
        <f>IF(Begriffe!$G$1=1,C298,IF(Begriffe!$G$1=2,D298,E298))</f>
        <v>- Öffentliche Parkhäuser mit erhöhtem Aussenluft-Volumenstrom: 6 m3/m2h</v>
      </c>
    </row>
    <row r="299" spans="1:6">
      <c r="A299" s="528"/>
      <c r="B299" s="529"/>
      <c r="C299" s="1699" t="s">
        <v>598</v>
      </c>
      <c r="D299" s="1063" t="s">
        <v>1337</v>
      </c>
      <c r="E299" s="1700" t="s">
        <v>2123</v>
      </c>
      <c r="F299" s="1057" t="str">
        <f>IF(Begriffe!$G$1=1,C299,IF(Begriffe!$G$1=2,D299,E299))</f>
        <v>- Wasser- und Warmwasserbedarf pro Person</v>
      </c>
    </row>
    <row r="300" spans="1:6" ht="13.5" customHeight="1">
      <c r="A300" s="528"/>
      <c r="B300" s="529"/>
      <c r="C300" s="1699" t="s">
        <v>598</v>
      </c>
      <c r="D300" s="1063" t="s">
        <v>1337</v>
      </c>
      <c r="E300" s="1700" t="s">
        <v>2123</v>
      </c>
      <c r="F300" s="1057" t="str">
        <f>IF(Begriffe!$G$1=1,C300,IF(Begriffe!$G$1=2,D300,E300))</f>
        <v>- Wasser- und Warmwasserbedarf pro Person</v>
      </c>
    </row>
    <row r="301" spans="1:6" ht="24.9">
      <c r="A301" s="528"/>
      <c r="B301" s="529"/>
      <c r="C301" s="1699" t="s">
        <v>610</v>
      </c>
      <c r="D301" s="1063" t="s">
        <v>1338</v>
      </c>
      <c r="E301" s="1700" t="s">
        <v>2124</v>
      </c>
      <c r="F301" s="1057" t="str">
        <f>IF(Begriffe!$G$1=1,C301,IF(Begriffe!$G$1=2,D301,E301))</f>
        <v>- Wasser- und Warmwasserbedarf pro Bett, ohne Küche und Wäscherei</v>
      </c>
    </row>
    <row r="302" spans="1:6" ht="24.9">
      <c r="A302" s="528"/>
      <c r="B302" s="529"/>
      <c r="C302" s="1699" t="s">
        <v>566</v>
      </c>
      <c r="D302" s="1063" t="s">
        <v>1339</v>
      </c>
      <c r="E302" s="1700" t="s">
        <v>2125</v>
      </c>
      <c r="F302" s="1057" t="str">
        <f>IF(Begriffe!$G$1=1,C302,IF(Begriffe!$G$1=2,D302,E302))</f>
        <v>- Wasser- und Warmwasserbedarf sind in der Raumnutzung 2.1 enthalten</v>
      </c>
    </row>
    <row r="303" spans="1:6" ht="24.9">
      <c r="A303" s="528"/>
      <c r="B303" s="529"/>
      <c r="C303" s="1699" t="s">
        <v>611</v>
      </c>
      <c r="D303" s="1063" t="s">
        <v>1340</v>
      </c>
      <c r="E303" s="1700" t="s">
        <v>2126</v>
      </c>
      <c r="F303" s="1057" t="str">
        <f>IF(Begriffe!$G$1=1,C303,IF(Begriffe!$G$1=2,D303,E303))</f>
        <v>- Wasser- und Warmwasserbedarf pro Person, ohne Personalrestaurant</v>
      </c>
    </row>
    <row r="304" spans="1:6" ht="24.9">
      <c r="A304" s="528"/>
      <c r="B304" s="529"/>
      <c r="C304" s="1699" t="s">
        <v>611</v>
      </c>
      <c r="D304" s="1063" t="s">
        <v>1340</v>
      </c>
      <c r="E304" s="1700" t="s">
        <v>2126</v>
      </c>
      <c r="F304" s="1057" t="str">
        <f>IF(Begriffe!$G$1=1,C304,IF(Begriffe!$G$1=2,D304,E304))</f>
        <v>- Wasser- und Warmwasserbedarf pro Person, ohne Personalrestaurant</v>
      </c>
    </row>
    <row r="305" spans="1:6" ht="24.9">
      <c r="A305" s="528"/>
      <c r="B305" s="529"/>
      <c r="C305" s="1699" t="s">
        <v>560</v>
      </c>
      <c r="D305" s="1063" t="s">
        <v>1341</v>
      </c>
      <c r="E305" s="1700" t="s">
        <v>2127</v>
      </c>
      <c r="F305" s="1057" t="str">
        <f>IF(Begriffe!$G$1=1,C305,IF(Begriffe!$G$1=2,D305,E305))</f>
        <v>- Wasser- und Warmwasserbedarf sind in den Raumnutzungen 3.1 und 3.2 enthalten</v>
      </c>
    </row>
    <row r="306" spans="1:6" ht="24.9">
      <c r="A306" s="528"/>
      <c r="B306" s="529"/>
      <c r="C306" s="1699" t="s">
        <v>560</v>
      </c>
      <c r="D306" s="1063" t="s">
        <v>1341</v>
      </c>
      <c r="E306" s="1700" t="s">
        <v>2127</v>
      </c>
      <c r="F306" s="1057" t="str">
        <f>IF(Begriffe!$G$1=1,C306,IF(Begriffe!$G$1=2,D306,E306))</f>
        <v>- Wasser- und Warmwasserbedarf sind in den Raumnutzungen 3.1 und 3.2 enthalten</v>
      </c>
    </row>
    <row r="307" spans="1:6" ht="24.9">
      <c r="A307" s="528"/>
      <c r="B307" s="529"/>
      <c r="C307" s="1699" t="s">
        <v>612</v>
      </c>
      <c r="D307" s="1063" t="s">
        <v>1342</v>
      </c>
      <c r="E307" s="1700" t="s">
        <v>2128</v>
      </c>
      <c r="F307" s="1057" t="str">
        <f>IF(Begriffe!$G$1=1,C307,IF(Begriffe!$G$1=2,D307,E307))</f>
        <v>- Wasser- und Warmwasserbedarf pro Person (Schüler), ohne Mensa und Sportanlagen</v>
      </c>
    </row>
    <row r="308" spans="1:6" ht="24.9">
      <c r="A308" s="528"/>
      <c r="B308" s="529"/>
      <c r="C308" s="1699" t="s">
        <v>567</v>
      </c>
      <c r="D308" s="1063" t="s">
        <v>1343</v>
      </c>
      <c r="E308" s="1700" t="s">
        <v>2129</v>
      </c>
      <c r="F308" s="1057" t="str">
        <f>IF(Begriffe!$G$1=1,C308,IF(Begriffe!$G$1=2,D308,E308))</f>
        <v>- Wasser- und Warmwasserbedarf sind in der Raumnutzung 4.1 enthalten</v>
      </c>
    </row>
    <row r="309" spans="1:6" ht="24.9">
      <c r="A309" s="528"/>
      <c r="B309" s="529"/>
      <c r="C309" s="1699" t="s">
        <v>567</v>
      </c>
      <c r="D309" s="1063" t="s">
        <v>1343</v>
      </c>
      <c r="E309" s="1700" t="s">
        <v>2129</v>
      </c>
      <c r="F309" s="1057" t="str">
        <f>IF(Begriffe!$G$1=1,C309,IF(Begriffe!$G$1=2,D309,E309))</f>
        <v>- Wasser- und Warmwasserbedarf sind in der Raumnutzung 4.1 enthalten</v>
      </c>
    </row>
    <row r="310" spans="1:6" ht="24.9">
      <c r="A310" s="528"/>
      <c r="B310" s="529"/>
      <c r="C310" s="1699" t="s">
        <v>612</v>
      </c>
      <c r="D310" s="1063" t="s">
        <v>1342</v>
      </c>
      <c r="E310" s="1700" t="s">
        <v>2128</v>
      </c>
      <c r="F310" s="1057" t="str">
        <f>IF(Begriffe!$G$1=1,C310,IF(Begriffe!$G$1=2,D310,E310))</f>
        <v>- Wasser- und Warmwasserbedarf pro Person (Schüler), ohne Mensa und Sportanlagen</v>
      </c>
    </row>
    <row r="311" spans="1:6" ht="24.9">
      <c r="A311" s="528"/>
      <c r="B311" s="529"/>
      <c r="C311" s="1699" t="s">
        <v>612</v>
      </c>
      <c r="D311" s="1063" t="s">
        <v>1342</v>
      </c>
      <c r="E311" s="1700" t="s">
        <v>2128</v>
      </c>
      <c r="F311" s="1057" t="str">
        <f>IF(Begriffe!$G$1=1,C311,IF(Begriffe!$G$1=2,D311,E311))</f>
        <v>- Wasser- und Warmwasserbedarf pro Person (Schüler), ohne Mensa und Sportanlagen</v>
      </c>
    </row>
    <row r="312" spans="1:6">
      <c r="A312" s="528"/>
      <c r="B312" s="529"/>
      <c r="C312" s="1699" t="s">
        <v>613</v>
      </c>
      <c r="D312" s="1063" t="s">
        <v>1344</v>
      </c>
      <c r="E312" s="1700" t="s">
        <v>2130</v>
      </c>
      <c r="F312" s="1057" t="str">
        <f>IF(Begriffe!$G$1=1,C312,IF(Begriffe!$G$1=2,D312,E312))</f>
        <v>- Wasser- und Warmwasserbedarf pro Person (Kunden)</v>
      </c>
    </row>
    <row r="313" spans="1:6">
      <c r="A313" s="528"/>
      <c r="B313" s="529"/>
      <c r="C313" s="1699" t="s">
        <v>613</v>
      </c>
      <c r="D313" s="1063" t="s">
        <v>1344</v>
      </c>
      <c r="E313" s="1700" t="s">
        <v>2130</v>
      </c>
      <c r="F313" s="1057" t="str">
        <f>IF(Begriffe!$G$1=1,C313,IF(Begriffe!$G$1=2,D313,E313))</f>
        <v>- Wasser- und Warmwasserbedarf pro Person (Kunden)</v>
      </c>
    </row>
    <row r="314" spans="1:6">
      <c r="A314" s="528"/>
      <c r="B314" s="529"/>
      <c r="C314" s="1699" t="s">
        <v>613</v>
      </c>
      <c r="D314" s="1063" t="s">
        <v>1344</v>
      </c>
      <c r="E314" s="1700" t="s">
        <v>2130</v>
      </c>
      <c r="F314" s="1057" t="str">
        <f>IF(Begriffe!$G$1=1,C314,IF(Begriffe!$G$1=2,D314,E314))</f>
        <v>- Wasser- und Warmwasserbedarf pro Person (Kunden)</v>
      </c>
    </row>
    <row r="315" spans="1:6" ht="24.9">
      <c r="A315" s="528"/>
      <c r="B315" s="529"/>
      <c r="C315" s="1699" t="s">
        <v>599</v>
      </c>
      <c r="D315" s="1063" t="s">
        <v>1345</v>
      </c>
      <c r="E315" s="1700" t="s">
        <v>2131</v>
      </c>
      <c r="F315" s="1057" t="str">
        <f>IF(Begriffe!$G$1=1,C315,IF(Begriffe!$G$1=2,D315,E315))</f>
        <v>- Wasser- und Warmwasserbedarf für Restaurants inkl. Küche pro Sitzplatz</v>
      </c>
    </row>
    <row r="316" spans="1:6" ht="24.9">
      <c r="A316" s="528"/>
      <c r="B316" s="529"/>
      <c r="C316" s="1699" t="s">
        <v>599</v>
      </c>
      <c r="D316" s="1063" t="s">
        <v>1345</v>
      </c>
      <c r="E316" s="1700" t="s">
        <v>2131</v>
      </c>
      <c r="F316" s="1057" t="str">
        <f>IF(Begriffe!$G$1=1,C316,IF(Begriffe!$G$1=2,D316,E316))</f>
        <v>- Wasser- und Warmwasserbedarf für Restaurants inkl. Küche pro Sitzplatz</v>
      </c>
    </row>
    <row r="317" spans="1:6" ht="24.9">
      <c r="A317" s="528"/>
      <c r="B317" s="529"/>
      <c r="C317" s="1699" t="s">
        <v>614</v>
      </c>
      <c r="D317" s="1063" t="s">
        <v>1346</v>
      </c>
      <c r="E317" s="1700" t="s">
        <v>2132</v>
      </c>
      <c r="F317" s="1057" t="str">
        <f>IF(Begriffe!$G$1=1,C317,IF(Begriffe!$G$1=2,D317,E317))</f>
        <v>- Wasser- und Warmwasserbedarf sind in der Raumnutzung 6.1 enthalten</v>
      </c>
    </row>
    <row r="318" spans="1:6" ht="24.9">
      <c r="A318" s="528"/>
      <c r="B318" s="529"/>
      <c r="C318" s="1699" t="s">
        <v>1694</v>
      </c>
      <c r="D318" s="1063" t="s">
        <v>1347</v>
      </c>
      <c r="E318" s="1700" t="s">
        <v>2132</v>
      </c>
      <c r="F318" s="1057" t="str">
        <f>IF(Begriffe!$G$1=1,C318,IF(Begriffe!$G$1=2,D318,E318))</f>
        <v>- Wasser- und Warmwasserbedarf sind in der Raumnutzung 6.2 enthalten</v>
      </c>
    </row>
    <row r="319" spans="1:6">
      <c r="A319" s="528"/>
      <c r="B319" s="529"/>
      <c r="C319" s="1699" t="s">
        <v>615</v>
      </c>
      <c r="D319" s="1063" t="s">
        <v>1348</v>
      </c>
      <c r="E319" s="1700" t="s">
        <v>2133</v>
      </c>
      <c r="F319" s="1057" t="str">
        <f>IF(Begriffe!$G$1=1,C319,IF(Begriffe!$G$1=2,D319,E319))</f>
        <v>- Wasser- und Warmwasserbedarf pro Person (Besucher)</v>
      </c>
    </row>
    <row r="320" spans="1:6">
      <c r="A320" s="528"/>
      <c r="B320" s="529"/>
      <c r="C320" s="1699" t="s">
        <v>615</v>
      </c>
      <c r="D320" s="1063" t="s">
        <v>1348</v>
      </c>
      <c r="E320" s="1700" t="s">
        <v>2133</v>
      </c>
      <c r="F320" s="1057" t="str">
        <f>IF(Begriffe!$G$1=1,C320,IF(Begriffe!$G$1=2,D320,E320))</f>
        <v>- Wasser- und Warmwasserbedarf pro Person (Besucher)</v>
      </c>
    </row>
    <row r="321" spans="1:6">
      <c r="A321" s="528"/>
      <c r="B321" s="529"/>
      <c r="C321" s="1699" t="s">
        <v>615</v>
      </c>
      <c r="D321" s="1063" t="s">
        <v>1348</v>
      </c>
      <c r="E321" s="1700" t="s">
        <v>2133</v>
      </c>
      <c r="F321" s="1057" t="str">
        <f>IF(Begriffe!$G$1=1,C321,IF(Begriffe!$G$1=2,D321,E321))</f>
        <v>- Wasser- und Warmwasserbedarf pro Person (Besucher)</v>
      </c>
    </row>
    <row r="322" spans="1:6">
      <c r="A322" s="528"/>
      <c r="B322" s="529"/>
      <c r="C322" s="1699" t="s">
        <v>616</v>
      </c>
      <c r="D322" s="1063" t="s">
        <v>1349</v>
      </c>
      <c r="E322" s="1700" t="s">
        <v>2134</v>
      </c>
      <c r="F322" s="1057" t="str">
        <f>IF(Begriffe!$G$1=1,C322,IF(Begriffe!$G$1=2,D322,E322))</f>
        <v>- Wasser- und Warmwasserbedarf pro Bett, ohne Restaurant</v>
      </c>
    </row>
    <row r="323" spans="1:6" ht="24.9">
      <c r="A323" s="528"/>
      <c r="B323" s="529"/>
      <c r="C323" s="1699" t="s">
        <v>617</v>
      </c>
      <c r="D323" s="1060" t="s">
        <v>1350</v>
      </c>
      <c r="E323" s="1700" t="s">
        <v>2135</v>
      </c>
      <c r="F323" s="1057" t="str">
        <f>IF(Begriffe!$G$1=1,C323,IF(Begriffe!$G$1=2,D323,E323))</f>
        <v>- Wasser- und Warmwasserbedarf sind in der Raumnutzung 8.1 enthalten</v>
      </c>
    </row>
    <row r="324" spans="1:6" ht="24.9">
      <c r="A324" s="528"/>
      <c r="B324" s="529"/>
      <c r="C324" s="1699" t="s">
        <v>617</v>
      </c>
      <c r="D324" s="1060" t="s">
        <v>1350</v>
      </c>
      <c r="E324" s="1700" t="s">
        <v>2135</v>
      </c>
      <c r="F324" s="1057" t="str">
        <f>IF(Begriffe!$G$1=1,C324,IF(Begriffe!$G$1=2,D324,E324))</f>
        <v>- Wasser- und Warmwasserbedarf sind in der Raumnutzung 8.1 enthalten</v>
      </c>
    </row>
    <row r="325" spans="1:6" ht="24.9">
      <c r="A325" s="528"/>
      <c r="B325" s="529"/>
      <c r="C325" s="1699" t="s">
        <v>891</v>
      </c>
      <c r="D325" s="1060" t="s">
        <v>1351</v>
      </c>
      <c r="E325" s="1701" t="s">
        <v>2136</v>
      </c>
      <c r="F325" s="1057" t="str">
        <f>IF(Begriffe!$G$1=1,C325,IF(Begriffe!$G$1=2,D325,E325))</f>
        <v xml:space="preserve">- Wasser- und Warmwasserbedarf pro Person, ohne Prozesswasser </v>
      </c>
    </row>
    <row r="326" spans="1:6" ht="24.9">
      <c r="A326" s="528"/>
      <c r="B326" s="529"/>
      <c r="C326" s="1699" t="s">
        <v>891</v>
      </c>
      <c r="D326" s="1060" t="s">
        <v>1351</v>
      </c>
      <c r="E326" s="1701" t="s">
        <v>2137</v>
      </c>
      <c r="F326" s="1057" t="str">
        <f>IF(Begriffe!$G$1=1,C326,IF(Begriffe!$G$1=2,D326,E326))</f>
        <v xml:space="preserve">- Wasser- und Warmwasserbedarf pro Person, ohne Prozesswasser </v>
      </c>
    </row>
    <row r="327" spans="1:6" ht="24.9">
      <c r="A327" s="528"/>
      <c r="B327" s="529"/>
      <c r="C327" s="1699" t="s">
        <v>891</v>
      </c>
      <c r="D327" s="1060" t="s">
        <v>1351</v>
      </c>
      <c r="E327" s="1701" t="s">
        <v>2137</v>
      </c>
      <c r="F327" s="1057" t="str">
        <f>IF(Begriffe!$G$1=1,C327,IF(Begriffe!$G$1=2,D327,E327))</f>
        <v xml:space="preserve">- Wasser- und Warmwasserbedarf pro Person, ohne Prozesswasser </v>
      </c>
    </row>
    <row r="328" spans="1:6">
      <c r="A328" s="528"/>
      <c r="B328" s="529"/>
      <c r="C328" s="1699" t="s">
        <v>598</v>
      </c>
      <c r="D328" s="1063" t="s">
        <v>1337</v>
      </c>
      <c r="E328" s="1700" t="s">
        <v>2123</v>
      </c>
      <c r="F328" s="1057" t="str">
        <f>IF(Begriffe!$G$1=1,C328,IF(Begriffe!$G$1=2,D328,E328))</f>
        <v>- Wasser- und Warmwasserbedarf pro Person</v>
      </c>
    </row>
    <row r="329" spans="1:6">
      <c r="A329" s="528"/>
      <c r="B329" s="529"/>
      <c r="C329" s="1699" t="s">
        <v>568</v>
      </c>
      <c r="D329" s="1063" t="s">
        <v>1352</v>
      </c>
      <c r="E329" s="1700" t="s">
        <v>2138</v>
      </c>
      <c r="F329" s="1057" t="str">
        <f>IF(Begriffe!$G$1=1,C329,IF(Begriffe!$G$1=2,D329,E329))</f>
        <v>- Wasser- und Warmwasserbedarf pro Dusche für Sportanlagen</v>
      </c>
    </row>
    <row r="330" spans="1:6">
      <c r="A330" s="528"/>
      <c r="B330" s="529"/>
      <c r="C330" s="1699" t="s">
        <v>568</v>
      </c>
      <c r="D330" s="1063" t="s">
        <v>1352</v>
      </c>
      <c r="E330" s="1700" t="s">
        <v>2138</v>
      </c>
      <c r="F330" s="1057" t="str">
        <f>IF(Begriffe!$G$1=1,C330,IF(Begriffe!$G$1=2,D330,E330))</f>
        <v>- Wasser- und Warmwasserbedarf pro Dusche für Sportanlagen</v>
      </c>
    </row>
    <row r="331" spans="1:6" ht="24.9">
      <c r="A331" s="528"/>
      <c r="B331" s="529"/>
      <c r="C331" s="1699" t="s">
        <v>569</v>
      </c>
      <c r="D331" s="1060" t="s">
        <v>1353</v>
      </c>
      <c r="E331" s="1701" t="s">
        <v>2139</v>
      </c>
      <c r="F331" s="1057" t="str">
        <f>IF(Begriffe!$G$1=1,C331,IF(Begriffe!$G$1=2,D331,E331))</f>
        <v>- Wasser- und Warmwasserbedarf pro Dusche ohne Badewasserbedarf</v>
      </c>
    </row>
    <row r="332" spans="1:6" ht="24.9">
      <c r="A332" s="528"/>
      <c r="B332" s="529"/>
      <c r="C332" s="1699" t="s">
        <v>571</v>
      </c>
      <c r="D332" s="1060" t="s">
        <v>1354</v>
      </c>
      <c r="E332" s="1701" t="s">
        <v>2140</v>
      </c>
      <c r="F332" s="1057" t="str">
        <f>IF(Begriffe!$G$1=1,C332,IF(Begriffe!$G$1=2,D332,E332))</f>
        <v>- Wasser- und Warmwasserbedarf werden durch die Hauptnutzung bestimmt</v>
      </c>
    </row>
    <row r="333" spans="1:6">
      <c r="A333" s="528"/>
      <c r="B333" s="529"/>
      <c r="C333" s="1699"/>
      <c r="D333" s="1060"/>
      <c r="E333" s="1060"/>
      <c r="F333" s="1057">
        <f>IF(Begriffe!$G$1=1,C333,IF(Begriffe!$G$1=2,D333,E333))</f>
        <v>0</v>
      </c>
    </row>
    <row r="334" spans="1:6">
      <c r="A334" s="528"/>
      <c r="B334" s="529"/>
      <c r="C334" s="1699"/>
      <c r="D334" s="1060"/>
      <c r="E334" s="1060"/>
      <c r="F334" s="1057">
        <f>IF(Begriffe!$G$1=1,C334,IF(Begriffe!$G$1=2,D334,E334))</f>
        <v>0</v>
      </c>
    </row>
    <row r="335" spans="1:6">
      <c r="A335" s="528"/>
      <c r="B335" s="529"/>
      <c r="C335" s="1060"/>
      <c r="D335" s="1060"/>
      <c r="E335" s="1060"/>
      <c r="F335" s="1057">
        <f>IF(Begriffe!$G$1=1,C335,IF(Begriffe!$G$1=2,D335,E335))</f>
        <v>0</v>
      </c>
    </row>
    <row r="336" spans="1:6" ht="14.15">
      <c r="A336" s="530" t="s">
        <v>1372</v>
      </c>
      <c r="B336" s="529"/>
      <c r="C336" s="1060"/>
      <c r="D336" s="1060"/>
      <c r="E336" s="1060"/>
      <c r="F336" s="1057">
        <f>IF(Begriffe!$G$1=1,C336,IF(Begriffe!$G$1=2,D336,E336))</f>
        <v>0</v>
      </c>
    </row>
    <row r="337" spans="1:6">
      <c r="A337" s="528" t="s">
        <v>22</v>
      </c>
      <c r="B337" s="529"/>
      <c r="C337" s="1060" t="s">
        <v>518</v>
      </c>
      <c r="D337" s="1060" t="s">
        <v>799</v>
      </c>
      <c r="E337" s="1060" t="s">
        <v>1050</v>
      </c>
      <c r="F337" s="1057" t="str">
        <f>IF(Begriffe!$G$1=1,C337,IF(Begriffe!$G$1=2,D337,E337))</f>
        <v>Elektrische Leistung Beleuchtung</v>
      </c>
    </row>
    <row r="338" spans="1:6">
      <c r="A338" s="528"/>
      <c r="B338" s="529"/>
      <c r="C338" s="1060" t="s">
        <v>26</v>
      </c>
      <c r="D338" s="1060" t="s">
        <v>788</v>
      </c>
      <c r="E338" s="1060" t="s">
        <v>845</v>
      </c>
      <c r="F338" s="1057" t="str">
        <f>IF(Begriffe!$G$1=1,C338,IF(Begriffe!$G$1=2,D338,E338))</f>
        <v>Symbol</v>
      </c>
    </row>
    <row r="339" spans="1:6">
      <c r="A339" s="528"/>
      <c r="B339" s="529"/>
      <c r="C339" s="1060" t="s">
        <v>1</v>
      </c>
      <c r="D339" s="1060" t="s">
        <v>789</v>
      </c>
      <c r="E339" s="1060" t="s">
        <v>846</v>
      </c>
      <c r="F339" s="1057" t="str">
        <f>IF(Begriffe!$G$1=1,C339,IF(Begriffe!$G$1=2,D339,E339))</f>
        <v>Einheit</v>
      </c>
    </row>
    <row r="340" spans="1:6">
      <c r="A340" s="528"/>
      <c r="B340" s="529"/>
      <c r="C340" s="1060" t="s">
        <v>842</v>
      </c>
      <c r="D340" s="1060" t="s">
        <v>843</v>
      </c>
      <c r="E340" s="1060" t="s">
        <v>1051</v>
      </c>
      <c r="F340" s="1057" t="str">
        <f>IF(Begriffe!$G$1=1,C340,IF(Begriffe!$G$1=2,D340,E340))</f>
        <v>Projektwert</v>
      </c>
    </row>
    <row r="341" spans="1:6">
      <c r="A341" s="528"/>
      <c r="B341" s="529"/>
      <c r="C341" s="1696" t="s">
        <v>48</v>
      </c>
      <c r="D341" s="1060" t="s">
        <v>897</v>
      </c>
      <c r="E341" s="1060" t="s">
        <v>844</v>
      </c>
      <c r="F341" s="1057" t="str">
        <f>IF(Begriffe!$G$1=1,C341,IF(Begriffe!$G$1=2,D341,E341))</f>
        <v>Standardwert</v>
      </c>
    </row>
    <row r="342" spans="1:6">
      <c r="A342" s="528"/>
      <c r="B342" s="529"/>
      <c r="C342" s="1060"/>
      <c r="D342" s="1060"/>
      <c r="E342" s="1060"/>
      <c r="F342" s="1057">
        <f>IF(Begriffe!$G$1=1,C342,IF(Begriffe!$G$1=2,D342,E342))</f>
        <v>0</v>
      </c>
    </row>
    <row r="343" spans="1:6">
      <c r="A343" s="528"/>
      <c r="B343" s="529"/>
      <c r="C343" s="1060" t="s">
        <v>267</v>
      </c>
      <c r="D343" s="1060" t="s">
        <v>990</v>
      </c>
      <c r="E343" s="1060" t="s">
        <v>1052</v>
      </c>
      <c r="F343" s="1057" t="str">
        <f>IF(Begriffe!$G$1=1,C343,IF(Begriffe!$G$1=2,D343,E343))</f>
        <v>Energie- und Leistungsbedarf</v>
      </c>
    </row>
    <row r="344" spans="1:6">
      <c r="A344" s="528"/>
      <c r="B344" s="529"/>
      <c r="C344" s="1696"/>
      <c r="D344" s="1060"/>
      <c r="E344" s="1060"/>
      <c r="F344" s="1057">
        <f>IF(Begriffe!$G$1=1,C344,IF(Begriffe!$G$1=2,D344,E344))</f>
        <v>0</v>
      </c>
    </row>
    <row r="345" spans="1:6">
      <c r="A345" s="528"/>
      <c r="B345" s="529"/>
      <c r="C345" s="1060" t="s">
        <v>2194</v>
      </c>
      <c r="D345" s="1060" t="s">
        <v>2178</v>
      </c>
      <c r="E345" s="1060" t="s">
        <v>2161</v>
      </c>
      <c r="F345" s="1057" t="str">
        <f>IF(Begriffe!$G$1=1,C345,IF(Begriffe!$G$1=2,D345,E345))</f>
        <v>Nach Westen orientiert</v>
      </c>
    </row>
    <row r="346" spans="1:6">
      <c r="A346" s="528"/>
      <c r="B346" s="529"/>
      <c r="C346" s="1060" t="s">
        <v>620</v>
      </c>
      <c r="D346" s="1707" t="s">
        <v>1948</v>
      </c>
      <c r="E346" s="1060" t="s">
        <v>2226</v>
      </c>
      <c r="F346" s="1057" t="str">
        <f>IF(Begriffe!$G$1=1,C346,IF(Begriffe!$G$1=2,D346,E346))</f>
        <v>Auslegung Kühlung</v>
      </c>
    </row>
    <row r="347" spans="1:6">
      <c r="A347" s="528"/>
      <c r="B347" s="529"/>
      <c r="C347" s="1060" t="s">
        <v>621</v>
      </c>
      <c r="D347" s="1707" t="s">
        <v>1949</v>
      </c>
      <c r="E347" s="1060" t="s">
        <v>2227</v>
      </c>
      <c r="F347" s="1057" t="str">
        <f>IF(Begriffe!$G$1=1,C347,IF(Begriffe!$G$1=2,D347,E347))</f>
        <v>Auslegung Heizung</v>
      </c>
    </row>
    <row r="348" spans="1:6">
      <c r="A348" s="528"/>
      <c r="B348" s="529"/>
      <c r="C348" s="1076" t="s">
        <v>1536</v>
      </c>
      <c r="D348" s="1707" t="s">
        <v>1950</v>
      </c>
      <c r="E348" s="1076" t="s">
        <v>2228</v>
      </c>
      <c r="F348" s="1057" t="str">
        <f>IF(Begriffe!$G$1=1,C348,IF(Begriffe!$G$1=2,D348,E348))</f>
        <v>Auslegung Entfeuchtung</v>
      </c>
    </row>
    <row r="349" spans="1:6">
      <c r="A349" s="528"/>
      <c r="B349" s="529"/>
      <c r="C349" s="1076" t="s">
        <v>1537</v>
      </c>
      <c r="D349" s="1707" t="s">
        <v>1951</v>
      </c>
      <c r="E349" s="1076" t="s">
        <v>2229</v>
      </c>
      <c r="F349" s="1057" t="str">
        <f>IF(Begriffe!$G$1=1,C349,IF(Begriffe!$G$1=2,D349,E349))</f>
        <v>Auslegung Befeuchtung</v>
      </c>
    </row>
    <row r="350" spans="1:6">
      <c r="A350" s="528"/>
      <c r="B350" s="529"/>
      <c r="C350" s="1076" t="s">
        <v>499</v>
      </c>
      <c r="D350" s="1694" t="s">
        <v>1933</v>
      </c>
      <c r="E350" s="1076" t="s">
        <v>2141</v>
      </c>
      <c r="F350" s="1057" t="str">
        <f>IF(Begriffe!$G$1=1,C350,IF(Begriffe!$G$1=2,D350,E350))</f>
        <v>Jährlicher Klimakältebedarf</v>
      </c>
    </row>
    <row r="351" spans="1:6">
      <c r="A351" s="528"/>
      <c r="B351" s="529"/>
      <c r="C351" s="1076" t="s">
        <v>1741</v>
      </c>
      <c r="D351" s="1694" t="s">
        <v>1934</v>
      </c>
      <c r="E351" s="1076" t="s">
        <v>2142</v>
      </c>
      <c r="F351" s="1057" t="str">
        <f>IF(Begriffe!$G$1=1,C351,IF(Begriffe!$G$1=2,D351,E351))</f>
        <v>Jährlicher Heizwärmebedarf</v>
      </c>
    </row>
    <row r="352" spans="1:6">
      <c r="A352" s="528"/>
      <c r="B352" s="529"/>
      <c r="C352" s="1060" t="s">
        <v>479</v>
      </c>
      <c r="D352" s="1707" t="s">
        <v>2179</v>
      </c>
      <c r="E352" s="1060" t="s">
        <v>2162</v>
      </c>
      <c r="F352" s="1057" t="str">
        <f>IF(Begriffe!$G$1=1,C352,IF(Begriffe!$G$1=2,D352,E352))</f>
        <v>Aussen-/Innenlärm, Trittschall</v>
      </c>
    </row>
    <row r="353" spans="1:6">
      <c r="A353" s="528"/>
      <c r="B353" s="529"/>
      <c r="C353" s="1060" t="s">
        <v>593</v>
      </c>
      <c r="D353" s="1060" t="s">
        <v>922</v>
      </c>
      <c r="E353" s="1060" t="s">
        <v>2163</v>
      </c>
      <c r="F353" s="1057" t="str">
        <f>IF(Begriffe!$G$1=1,C353,IF(Begriffe!$G$1=2,D353,E353))</f>
        <v>Auslegung Dauergeräusche</v>
      </c>
    </row>
    <row r="354" spans="1:6">
      <c r="A354" s="528"/>
      <c r="B354" s="529"/>
      <c r="C354" s="1060" t="s">
        <v>2195</v>
      </c>
      <c r="D354" s="1060" t="s">
        <v>2180</v>
      </c>
      <c r="E354" s="1060" t="s">
        <v>2164</v>
      </c>
      <c r="F354" s="1057" t="str">
        <f>IF(Begriffe!$G$1=1,C354,IF(Begriffe!$G$1=2,D354,E354))</f>
        <v>Mit Möblierung</v>
      </c>
    </row>
    <row r="355" spans="1:6">
      <c r="A355" s="528"/>
      <c r="B355" s="529"/>
      <c r="C355" s="1703" t="s">
        <v>547</v>
      </c>
      <c r="D355" s="1060" t="s">
        <v>2181</v>
      </c>
      <c r="E355" s="1060" t="s">
        <v>2165</v>
      </c>
      <c r="F355" s="1057" t="str">
        <f>IF(Begriffe!$G$1=1,C355,IF(Begriffe!$G$1=2,D355,E355))</f>
        <v>Nettogeschossfläche pro Person</v>
      </c>
    </row>
    <row r="356" spans="1:6">
      <c r="A356" s="528"/>
      <c r="B356" s="529"/>
      <c r="C356" s="1060" t="s">
        <v>2196</v>
      </c>
      <c r="D356" s="1060" t="s">
        <v>2182</v>
      </c>
      <c r="E356" s="1060" t="s">
        <v>2170</v>
      </c>
      <c r="F356" s="1057" t="str">
        <f>IF(Begriffe!$G$1=1,C356,IF(Begriffe!$G$1=2,D356,E356))</f>
        <v>Bei</v>
      </c>
    </row>
    <row r="357" spans="1:6">
      <c r="A357" s="528"/>
      <c r="B357" s="528"/>
      <c r="C357" s="1704" t="s">
        <v>2232</v>
      </c>
      <c r="D357" s="1060" t="s">
        <v>2231</v>
      </c>
      <c r="E357" s="1060" t="s">
        <v>2230</v>
      </c>
      <c r="F357" s="1057" t="str">
        <f>IF(Begriffe!$G$1=1,C357,IF(Begriffe!$G$1=2,D357,E357))</f>
        <v>Z.B. Pflanzen</v>
      </c>
    </row>
    <row r="358" spans="1:6">
      <c r="A358" s="528"/>
      <c r="B358" s="529"/>
      <c r="C358" s="1060" t="s">
        <v>471</v>
      </c>
      <c r="D358" s="1060" t="s">
        <v>2183</v>
      </c>
      <c r="E358" s="1060" t="s">
        <v>2143</v>
      </c>
      <c r="F358" s="1057" t="str">
        <f>IF(Begriffe!$G$1=1,C358,IF(Begriffe!$G$1=2,D358,E358))</f>
        <v>Maximaler Stundenwert</v>
      </c>
    </row>
    <row r="359" spans="1:6">
      <c r="A359" s="528"/>
      <c r="B359" s="529"/>
      <c r="C359" s="1704" t="s">
        <v>716</v>
      </c>
      <c r="D359" s="1060" t="s">
        <v>2184</v>
      </c>
      <c r="E359" s="1060" t="s">
        <v>2144</v>
      </c>
      <c r="F359" s="1057" t="str">
        <f>IF(Begriffe!$G$1=1,C359,IF(Begriffe!$G$1=2,D359,E359))</f>
        <v>Wartungswert</v>
      </c>
    </row>
    <row r="360" spans="1:6">
      <c r="A360" s="528"/>
      <c r="B360" s="529"/>
      <c r="C360" s="1704" t="s">
        <v>728</v>
      </c>
      <c r="D360" s="1060" t="s">
        <v>2185</v>
      </c>
      <c r="E360" s="1060" t="s">
        <v>2166</v>
      </c>
      <c r="F360" s="1057" t="str">
        <f>IF(Begriffe!$G$1=1,C360,IF(Begriffe!$G$1=2,D360,E360))</f>
        <v>Höhe = 0.75 m oder 0.05 m</v>
      </c>
    </row>
    <row r="361" spans="1:6">
      <c r="A361" s="528"/>
      <c r="B361" s="529"/>
      <c r="C361" s="1076" t="s">
        <v>2197</v>
      </c>
      <c r="D361" s="1694" t="s">
        <v>2186</v>
      </c>
      <c r="E361" s="1076" t="s">
        <v>2167</v>
      </c>
      <c r="F361" s="1057" t="str">
        <f>IF(Begriffe!$G$1=1,C361,IF(Begriffe!$G$1=2,D361,E361))</f>
        <v>Mit unterstützender Fensterlüftung</v>
      </c>
    </row>
    <row r="362" spans="1:6">
      <c r="A362" s="528"/>
      <c r="B362" s="529"/>
      <c r="C362" s="1060" t="s">
        <v>2198</v>
      </c>
      <c r="D362" s="1060" t="s">
        <v>2187</v>
      </c>
      <c r="E362" s="1060" t="s">
        <v>2168</v>
      </c>
      <c r="F362" s="1057" t="str">
        <f>IF(Begriffe!$G$1=1,C362,IF(Begriffe!$G$1=2,D362,E362))</f>
        <v>Pro Nettogeschossfläche</v>
      </c>
    </row>
    <row r="363" spans="1:6">
      <c r="A363" s="528"/>
      <c r="B363" s="529"/>
      <c r="C363" s="1060" t="s">
        <v>63</v>
      </c>
      <c r="D363" s="1060" t="s">
        <v>2188</v>
      </c>
      <c r="E363" s="1060" t="s">
        <v>2169</v>
      </c>
      <c r="F363" s="1057" t="str">
        <f>IF(Begriffe!$G$1=1,C363,IF(Begriffe!$G$1=2,D363,E363))</f>
        <v>Total Zu- und Abluft</v>
      </c>
    </row>
    <row r="364" spans="1:6">
      <c r="A364" s="528"/>
      <c r="B364" s="529"/>
      <c r="C364" s="1060" t="s">
        <v>517</v>
      </c>
      <c r="D364" s="1060" t="s">
        <v>808</v>
      </c>
      <c r="E364" s="1060" t="s">
        <v>2171</v>
      </c>
      <c r="F364" s="1057" t="str">
        <f>IF(Begriffe!$G$1=1,C364,IF(Begriffe!$G$1=2,D364,E364))</f>
        <v>Elektrizitätsbedarf</v>
      </c>
    </row>
    <row r="365" spans="1:6">
      <c r="A365" s="528"/>
      <c r="B365" s="529"/>
      <c r="C365" s="1060" t="s">
        <v>559</v>
      </c>
      <c r="D365" s="1060" t="s">
        <v>807</v>
      </c>
      <c r="E365" s="1060" t="s">
        <v>2172</v>
      </c>
      <c r="F365" s="1057" t="str">
        <f>IF(Begriffe!$G$1=1,C365,IF(Begriffe!$G$1=2,D365,E365))</f>
        <v>Solar, Transmission, Lüftung</v>
      </c>
    </row>
    <row r="366" spans="1:6">
      <c r="A366" s="528"/>
      <c r="B366" s="529"/>
      <c r="C366" s="1060" t="s">
        <v>558</v>
      </c>
      <c r="D366" s="1060" t="s">
        <v>809</v>
      </c>
      <c r="E366" s="1060" t="s">
        <v>2173</v>
      </c>
      <c r="F366" s="1057" t="str">
        <f>IF(Begriffe!$G$1=1,C366,IF(Begriffe!$G$1=2,D366,E366))</f>
        <v>Personen, Geräte, Beleuchtung</v>
      </c>
    </row>
    <row r="367" spans="1:6">
      <c r="A367" s="528"/>
      <c r="B367" s="529"/>
      <c r="C367" s="1060" t="s">
        <v>2199</v>
      </c>
      <c r="D367" s="1708" t="s">
        <v>2189</v>
      </c>
      <c r="E367" s="1060" t="s">
        <v>2208</v>
      </c>
      <c r="F367" s="1057" t="str">
        <f>IF(Begriffe!$G$1=1,C367,IF(Begriffe!$G$1=2,D367,E367))</f>
        <v>Mit unterstützender Fensterlüftung Tag und Nacht</v>
      </c>
    </row>
    <row r="368" spans="1:6">
      <c r="A368" s="528"/>
      <c r="B368" s="529"/>
      <c r="C368" s="1060" t="s">
        <v>2200</v>
      </c>
      <c r="D368" s="1708" t="s">
        <v>2190</v>
      </c>
      <c r="E368" s="1707" t="s">
        <v>2233</v>
      </c>
      <c r="F368" s="1057" t="str">
        <f>IF(Begriffe!$G$1=1,C368,IF(Begriffe!$G$1=2,D368,E368))</f>
        <v>Mit unterstützender Fensterlüftung bei Belegung</v>
      </c>
    </row>
    <row r="369" spans="1:6">
      <c r="A369" s="528"/>
      <c r="B369" s="529"/>
      <c r="C369" s="1060" t="s">
        <v>2201</v>
      </c>
      <c r="D369" s="1060" t="s">
        <v>2191</v>
      </c>
      <c r="E369" s="1060" t="s">
        <v>2174</v>
      </c>
      <c r="F369" s="1057" t="str">
        <f>IF(Begriffe!$G$1=1,C369,IF(Begriffe!$G$1=2,D369,E369))</f>
        <v>Ohne Fensterlüftung</v>
      </c>
    </row>
    <row r="370" spans="1:6">
      <c r="A370" s="528"/>
      <c r="B370" s="529"/>
      <c r="C370" s="1704" t="s">
        <v>565</v>
      </c>
      <c r="D370" s="1060" t="s">
        <v>806</v>
      </c>
      <c r="E370" s="1060" t="s">
        <v>2175</v>
      </c>
      <c r="F370" s="1057" t="str">
        <f>IF(Begriffe!$G$1=1,C370,IF(Begriffe!$G$1=2,D370,E370))</f>
        <v>Warm- und Kaltwasser</v>
      </c>
    </row>
    <row r="371" spans="1:6">
      <c r="A371" s="528"/>
      <c r="B371" s="529"/>
      <c r="C371" s="1060" t="s">
        <v>466</v>
      </c>
      <c r="D371" s="1060" t="s">
        <v>792</v>
      </c>
      <c r="E371" s="1060" t="s">
        <v>923</v>
      </c>
      <c r="F371" s="1057" t="str">
        <f>IF(Begriffe!$G$1=1,C371,IF(Begriffe!$G$1=2,D371,E371))</f>
        <v>Elektrischer und thermischer Energiebedarf</v>
      </c>
    </row>
    <row r="372" spans="1:6">
      <c r="A372" s="528"/>
      <c r="B372" s="529"/>
      <c r="C372" s="1060" t="s">
        <v>465</v>
      </c>
      <c r="D372" s="1060" t="s">
        <v>793</v>
      </c>
      <c r="E372" s="1060" t="s">
        <v>924</v>
      </c>
      <c r="F372" s="1057" t="str">
        <f>IF(Begriffe!$G$1=1,C372,IF(Begriffe!$G$1=2,D372,E372))</f>
        <v xml:space="preserve">Elektrischer und thermischer Leistungsbedarf </v>
      </c>
    </row>
    <row r="373" spans="1:6">
      <c r="A373" s="528"/>
      <c r="B373" s="529"/>
      <c r="C373" s="1060" t="s">
        <v>730</v>
      </c>
      <c r="D373" s="1060" t="s">
        <v>794</v>
      </c>
      <c r="E373" s="1060" t="s">
        <v>892</v>
      </c>
      <c r="F373" s="1057" t="str">
        <f>IF(Begriffe!$G$1=1,C373,IF(Begriffe!$G$1=2,D373,E373))</f>
        <v xml:space="preserve">Elektrischer Energiebedarf                              </v>
      </c>
    </row>
    <row r="374" spans="1:6">
      <c r="A374" s="528"/>
      <c r="B374" s="529"/>
      <c r="C374" s="1060" t="s">
        <v>731</v>
      </c>
      <c r="D374" s="1060" t="s">
        <v>795</v>
      </c>
      <c r="E374" s="1060" t="s">
        <v>925</v>
      </c>
      <c r="F374" s="1057" t="str">
        <f>IF(Begriffe!$G$1=1,C374,IF(Begriffe!$G$1=2,D374,E374))</f>
        <v xml:space="preserve">Thermischer Energiebedarf                              </v>
      </c>
    </row>
    <row r="375" spans="1:6">
      <c r="A375" s="528"/>
      <c r="B375" s="529"/>
      <c r="C375" s="1060" t="s">
        <v>732</v>
      </c>
      <c r="D375" s="1060" t="s">
        <v>796</v>
      </c>
      <c r="E375" s="1060" t="s">
        <v>926</v>
      </c>
      <c r="F375" s="1057" t="str">
        <f>IF(Begriffe!$G$1=1,C375,IF(Begriffe!$G$1=2,D375,E375))</f>
        <v xml:space="preserve">Elektrischer Leistungsbedarf                              </v>
      </c>
    </row>
    <row r="376" spans="1:6">
      <c r="A376" s="528"/>
      <c r="B376" s="529"/>
      <c r="C376" s="1060" t="s">
        <v>733</v>
      </c>
      <c r="D376" s="1060" t="s">
        <v>797</v>
      </c>
      <c r="E376" s="1060" t="s">
        <v>893</v>
      </c>
      <c r="F376" s="1057" t="str">
        <f>IF(Begriffe!$G$1=1,C376,IF(Begriffe!$G$1=2,D376,E376))</f>
        <v xml:space="preserve">Thermischer Leistungsbedarf                              </v>
      </c>
    </row>
    <row r="377" spans="1:6">
      <c r="A377" s="528"/>
      <c r="B377" s="529"/>
      <c r="C377" s="1060" t="s">
        <v>894</v>
      </c>
      <c r="D377" s="1060" t="s">
        <v>1053</v>
      </c>
      <c r="E377" s="1060" t="s">
        <v>1054</v>
      </c>
      <c r="F377" s="1057" t="str">
        <f>IF(Begriffe!$G$1=1,C377,IF(Begriffe!$G$1=2,D377,E377))</f>
        <v>Leistungsbedarf, W/m2</v>
      </c>
    </row>
    <row r="378" spans="1:6">
      <c r="A378" s="528"/>
      <c r="B378" s="529"/>
      <c r="C378" s="1060" t="s">
        <v>895</v>
      </c>
      <c r="D378" s="1060" t="s">
        <v>1055</v>
      </c>
      <c r="E378" s="1060" t="s">
        <v>1056</v>
      </c>
      <c r="F378" s="1057" t="str">
        <f>IF(Begriffe!$G$1=1,C378,IF(Begriffe!$G$1=2,D378,E378))</f>
        <v>Energiebedarf, kWh/m2</v>
      </c>
    </row>
    <row r="379" spans="1:6">
      <c r="A379" s="528"/>
      <c r="B379" s="529"/>
      <c r="C379" s="1060" t="s">
        <v>2202</v>
      </c>
      <c r="D379" s="1060" t="s">
        <v>2192</v>
      </c>
      <c r="E379" s="1060" t="s">
        <v>2176</v>
      </c>
      <c r="F379" s="1057" t="str">
        <f>IF(Begriffe!$G$1=1,C379,IF(Begriffe!$G$1=2,D379,E379))</f>
        <v>Keine Anlagen</v>
      </c>
    </row>
    <row r="380" spans="1:6">
      <c r="A380" s="528"/>
      <c r="B380" s="529"/>
      <c r="C380" s="1076" t="s">
        <v>2203</v>
      </c>
      <c r="D380" s="1708" t="s">
        <v>2193</v>
      </c>
      <c r="E380" s="1076" t="s">
        <v>2209</v>
      </c>
      <c r="F380" s="1057" t="str">
        <f>IF(Begriffe!$G$1=1,C380,IF(Begriffe!$G$1=2,D380,E380))</f>
        <v>Ohne Fensterlüftung, ohne Prozessanlagen</v>
      </c>
    </row>
    <row r="381" spans="1:6">
      <c r="A381" s="528"/>
      <c r="B381" s="529"/>
      <c r="C381" s="1076" t="s">
        <v>1527</v>
      </c>
      <c r="D381" s="1702" t="s">
        <v>1935</v>
      </c>
      <c r="E381" s="1076" t="s">
        <v>2177</v>
      </c>
      <c r="F381" s="1057" t="str">
        <f>IF(Begriffe!$G$1=1,C381,IF(Begriffe!$G$1=2,D381,E381))</f>
        <v>Hygienelüftung</v>
      </c>
    </row>
    <row r="382" spans="1:6">
      <c r="A382" s="528"/>
      <c r="B382" s="529"/>
      <c r="C382" s="1076"/>
      <c r="D382" s="1702"/>
      <c r="E382" s="1076"/>
      <c r="F382" s="1057">
        <f>IF(Begriffe!$G$1=1,C382,IF(Begriffe!$G$1=2,D382,E382))</f>
        <v>0</v>
      </c>
    </row>
    <row r="383" spans="1:6">
      <c r="A383" s="528"/>
      <c r="B383" s="529"/>
      <c r="C383" s="1076"/>
      <c r="D383" s="1702"/>
      <c r="E383" s="1076"/>
      <c r="F383" s="1057">
        <f>IF(Begriffe!$G$1=1,C383,IF(Begriffe!$G$1=2,D383,E383))</f>
        <v>0</v>
      </c>
    </row>
    <row r="384" spans="1:6" ht="14.15">
      <c r="A384" s="530" t="s">
        <v>2008</v>
      </c>
      <c r="B384" s="529"/>
      <c r="C384" s="1076"/>
      <c r="D384" s="1702"/>
      <c r="E384" s="1076"/>
      <c r="F384" s="1057">
        <f>IF(Begriffe!$G$1=1,C384,IF(Begriffe!$G$1=2,D384,E384))</f>
        <v>0</v>
      </c>
    </row>
    <row r="385" spans="1:6">
      <c r="A385" s="528"/>
      <c r="B385" s="529"/>
      <c r="C385" s="1076" t="s">
        <v>2009</v>
      </c>
      <c r="D385" s="1694" t="s">
        <v>2218</v>
      </c>
      <c r="E385" s="1076" t="s">
        <v>2158</v>
      </c>
      <c r="F385" s="1057" t="str">
        <f>IF(Begriffe!$G$1=1,C385,IF(Begriffe!$G$1=2,D385,E385))</f>
        <v>Relative Raumluftfeuchte am Nutzungstag</v>
      </c>
    </row>
    <row r="386" spans="1:6">
      <c r="A386" s="528"/>
      <c r="B386" s="529"/>
      <c r="C386" s="1076"/>
      <c r="D386" s="1702"/>
      <c r="E386" s="1076"/>
      <c r="F386" s="1057">
        <f>IF(Begriffe!$G$1=1,C386,IF(Begriffe!$G$1=2,D386,E386))</f>
        <v>0</v>
      </c>
    </row>
    <row r="387" spans="1:6">
      <c r="A387" s="528"/>
      <c r="B387" s="529"/>
      <c r="C387" s="1076"/>
      <c r="D387" s="1702"/>
      <c r="E387" s="1076"/>
      <c r="F387" s="1057">
        <f>IF(Begriffe!$G$1=1,C387,IF(Begriffe!$G$1=2,D387,E387))</f>
        <v>0</v>
      </c>
    </row>
    <row r="388" spans="1:6">
      <c r="A388" s="528"/>
      <c r="B388" s="529"/>
      <c r="C388" s="1076"/>
      <c r="D388" s="1702"/>
      <c r="E388" s="1076"/>
      <c r="F388" s="1057">
        <f>IF(Begriffe!$G$1=1,C388,IF(Begriffe!$G$1=2,D388,E388))</f>
        <v>0</v>
      </c>
    </row>
    <row r="389" spans="1:6">
      <c r="A389" s="528"/>
      <c r="B389" s="529"/>
      <c r="C389" s="1705"/>
      <c r="D389" s="1077"/>
      <c r="E389" s="1077"/>
      <c r="F389" s="1057">
        <f>IF(Begriffe!$G$1=1,C389,IF(Begriffe!$G$1=2,D389,E389))</f>
        <v>0</v>
      </c>
    </row>
    <row r="390" spans="1:6" ht="14.15">
      <c r="A390" s="530" t="s">
        <v>1371</v>
      </c>
      <c r="B390" s="529"/>
      <c r="C390" s="1060"/>
      <c r="D390" s="1060"/>
      <c r="E390" s="1060"/>
      <c r="F390" s="1057">
        <f>IF(Begriffe!$G$1=1,C390,IF(Begriffe!$G$1=2,D390,E390))</f>
        <v>0</v>
      </c>
    </row>
    <row r="391" spans="1:6">
      <c r="A391" s="528"/>
      <c r="B391" s="529"/>
      <c r="C391" s="1060" t="s">
        <v>37</v>
      </c>
      <c r="D391" s="1060" t="s">
        <v>37</v>
      </c>
      <c r="E391" s="1060" t="s">
        <v>863</v>
      </c>
      <c r="F391" s="1057" t="str">
        <f>IF(Begriffe!$G$1=1,C391,IF(Begriffe!$G$1=2,D391,E391))</f>
        <v>Jan</v>
      </c>
    </row>
    <row r="392" spans="1:6">
      <c r="A392" s="528"/>
      <c r="B392" s="529"/>
      <c r="C392" s="1060" t="s">
        <v>38</v>
      </c>
      <c r="D392" s="1060" t="s">
        <v>857</v>
      </c>
      <c r="E392" s="1060" t="s">
        <v>38</v>
      </c>
      <c r="F392" s="1057" t="str">
        <f>IF(Begriffe!$G$1=1,C392,IF(Begriffe!$G$1=2,D392,E392))</f>
        <v>Feb</v>
      </c>
    </row>
    <row r="393" spans="1:6">
      <c r="A393" s="528"/>
      <c r="B393" s="529"/>
      <c r="C393" s="1060" t="s">
        <v>59</v>
      </c>
      <c r="D393" s="1060" t="s">
        <v>858</v>
      </c>
      <c r="E393" s="1060" t="s">
        <v>858</v>
      </c>
      <c r="F393" s="1057" t="str">
        <f>IF(Begriffe!$G$1=1,C393,IF(Begriffe!$G$1=2,D393,E393))</f>
        <v>Mrz</v>
      </c>
    </row>
    <row r="394" spans="1:6">
      <c r="A394" s="528"/>
      <c r="B394" s="529"/>
      <c r="C394" s="1060" t="s">
        <v>39</v>
      </c>
      <c r="D394" s="1060" t="s">
        <v>859</v>
      </c>
      <c r="E394" s="1060" t="s">
        <v>39</v>
      </c>
      <c r="F394" s="1057" t="str">
        <f>IF(Begriffe!$G$1=1,C394,IF(Begriffe!$G$1=2,D394,E394))</f>
        <v>Apr</v>
      </c>
    </row>
    <row r="395" spans="1:6">
      <c r="A395" s="528"/>
      <c r="B395" s="529"/>
      <c r="C395" s="1060" t="s">
        <v>40</v>
      </c>
      <c r="D395" s="1060" t="s">
        <v>40</v>
      </c>
      <c r="E395" s="1060" t="s">
        <v>864</v>
      </c>
      <c r="F395" s="1057" t="str">
        <f>IF(Begriffe!$G$1=1,C395,IF(Begriffe!$G$1=2,D395,E395))</f>
        <v>Mai</v>
      </c>
    </row>
    <row r="396" spans="1:6">
      <c r="A396" s="528"/>
      <c r="B396" s="529"/>
      <c r="C396" s="1060" t="s">
        <v>41</v>
      </c>
      <c r="D396" s="1060" t="s">
        <v>860</v>
      </c>
      <c r="E396" s="1060" t="s">
        <v>865</v>
      </c>
      <c r="F396" s="1057" t="str">
        <f>IF(Begriffe!$G$1=1,C396,IF(Begriffe!$G$1=2,D396,E396))</f>
        <v>Jun</v>
      </c>
    </row>
    <row r="397" spans="1:6">
      <c r="A397" s="528"/>
      <c r="B397" s="529"/>
      <c r="C397" s="1060" t="s">
        <v>42</v>
      </c>
      <c r="D397" s="1060" t="s">
        <v>42</v>
      </c>
      <c r="E397" s="1060" t="s">
        <v>866</v>
      </c>
      <c r="F397" s="1057" t="str">
        <f>IF(Begriffe!$G$1=1,C397,IF(Begriffe!$G$1=2,D397,E397))</f>
        <v>Jul</v>
      </c>
    </row>
    <row r="398" spans="1:6">
      <c r="A398" s="528"/>
      <c r="B398" s="529"/>
      <c r="C398" s="1060" t="s">
        <v>43</v>
      </c>
      <c r="D398" s="1060" t="s">
        <v>871</v>
      </c>
      <c r="E398" s="1060" t="s">
        <v>867</v>
      </c>
      <c r="F398" s="1057" t="str">
        <f>IF(Begriffe!$G$1=1,C398,IF(Begriffe!$G$1=2,D398,E398))</f>
        <v>Aug</v>
      </c>
    </row>
    <row r="399" spans="1:6">
      <c r="A399" s="528"/>
      <c r="B399" s="529"/>
      <c r="C399" s="1060" t="s">
        <v>44</v>
      </c>
      <c r="D399" s="1060" t="s">
        <v>44</v>
      </c>
      <c r="E399" s="1060" t="s">
        <v>868</v>
      </c>
      <c r="F399" s="1057" t="str">
        <f>IF(Begriffe!$G$1=1,C399,IF(Begriffe!$G$1=2,D399,E399))</f>
        <v>Sep</v>
      </c>
    </row>
    <row r="400" spans="1:6">
      <c r="A400" s="528"/>
      <c r="B400" s="529"/>
      <c r="C400" s="1060" t="s">
        <v>45</v>
      </c>
      <c r="D400" s="1060" t="s">
        <v>861</v>
      </c>
      <c r="E400" s="1060" t="s">
        <v>869</v>
      </c>
      <c r="F400" s="1057" t="str">
        <f>IF(Begriffe!$G$1=1,C400,IF(Begriffe!$G$1=2,D400,E400))</f>
        <v>Okt</v>
      </c>
    </row>
    <row r="401" spans="1:6">
      <c r="A401" s="528"/>
      <c r="B401" s="529"/>
      <c r="C401" s="1060" t="s">
        <v>46</v>
      </c>
      <c r="D401" s="1060" t="s">
        <v>46</v>
      </c>
      <c r="E401" s="1060" t="s">
        <v>46</v>
      </c>
      <c r="F401" s="1057" t="str">
        <f>IF(Begriffe!$G$1=1,C401,IF(Begriffe!$G$1=2,D401,E401))</f>
        <v>Nov</v>
      </c>
    </row>
    <row r="402" spans="1:6">
      <c r="A402" s="528"/>
      <c r="B402" s="529"/>
      <c r="C402" s="1060" t="s">
        <v>47</v>
      </c>
      <c r="D402" s="1060" t="s">
        <v>862</v>
      </c>
      <c r="E402" s="1060" t="s">
        <v>870</v>
      </c>
      <c r="F402" s="1057" t="str">
        <f>IF(Begriffe!$G$1=1,C402,IF(Begriffe!$G$1=2,D402,E402))</f>
        <v>Dez</v>
      </c>
    </row>
    <row r="403" spans="1:6">
      <c r="A403" s="528"/>
      <c r="B403" s="529"/>
      <c r="C403" s="1060"/>
      <c r="D403" s="1060"/>
      <c r="E403" s="1060"/>
      <c r="F403" s="1057">
        <f>IF(Begriffe!$G$1=1,C403,IF(Begriffe!$G$1=2,D403,E403))</f>
        <v>0</v>
      </c>
    </row>
    <row r="404" spans="1:6">
      <c r="A404" s="528"/>
      <c r="B404" s="529"/>
      <c r="C404" s="1706" t="s">
        <v>10</v>
      </c>
      <c r="D404" s="1707" t="s">
        <v>918</v>
      </c>
      <c r="E404" s="1076" t="s">
        <v>832</v>
      </c>
      <c r="F404" s="1057" t="str">
        <f>IF(Begriffe!$G$1=1,C404,IF(Begriffe!$G$1=2,D404,E404))</f>
        <v>Personen</v>
      </c>
    </row>
    <row r="405" spans="1:6">
      <c r="A405" s="528"/>
      <c r="B405" s="529"/>
      <c r="C405" s="1706" t="s">
        <v>51</v>
      </c>
      <c r="D405" s="1702" t="s">
        <v>775</v>
      </c>
      <c r="E405" s="1076" t="s">
        <v>833</v>
      </c>
      <c r="F405" s="1057" t="str">
        <f>IF(Begriffe!$G$1=1,C405,IF(Begriffe!$G$1=2,D405,E405))</f>
        <v>Geräte</v>
      </c>
    </row>
    <row r="406" spans="1:6">
      <c r="A406" s="528"/>
      <c r="B406" s="529"/>
      <c r="C406" s="1706" t="s">
        <v>1181</v>
      </c>
      <c r="D406" s="1694" t="s">
        <v>1936</v>
      </c>
      <c r="E406" s="1076" t="s">
        <v>1852</v>
      </c>
      <c r="F406" s="1057" t="str">
        <f>IF(Begriffe!$G$1=1,C406,IF(Begriffe!$G$1=2,D406,E406))</f>
        <v>Prozessanlagen</v>
      </c>
    </row>
    <row r="407" spans="1:6">
      <c r="A407" s="528"/>
      <c r="B407" s="529"/>
      <c r="C407" s="1706" t="s">
        <v>17</v>
      </c>
      <c r="D407" s="1060" t="s">
        <v>974</v>
      </c>
      <c r="E407" s="1060" t="s">
        <v>834</v>
      </c>
      <c r="F407" s="1057" t="str">
        <f>IF(Begriffe!$G$1=1,C407,IF(Begriffe!$G$1=2,D407,E407))</f>
        <v>Beleuchtung</v>
      </c>
    </row>
    <row r="408" spans="1:6">
      <c r="A408" s="528"/>
      <c r="B408" s="529"/>
      <c r="C408" s="1706" t="s">
        <v>1584</v>
      </c>
      <c r="D408" s="1060" t="s">
        <v>1851</v>
      </c>
      <c r="E408" s="1076" t="s">
        <v>2145</v>
      </c>
      <c r="F408" s="1057" t="str">
        <f>IF(Begriffe!$G$1=1,C408,IF(Begriffe!$G$1=2,D408,E408))</f>
        <v>Geräte+Bel.</v>
      </c>
    </row>
    <row r="409" spans="1:6">
      <c r="A409" s="528"/>
      <c r="B409" s="529"/>
      <c r="C409" s="1060" t="s">
        <v>222</v>
      </c>
      <c r="D409" s="1694" t="s">
        <v>1937</v>
      </c>
      <c r="E409" s="1076" t="s">
        <v>2146</v>
      </c>
      <c r="F409" s="1057" t="str">
        <f>IF(Begriffe!$G$1=1,C409,IF(Begriffe!$G$1=2,D409,E409))</f>
        <v>Solarstrahlung</v>
      </c>
    </row>
    <row r="410" spans="1:6">
      <c r="A410" s="528"/>
      <c r="B410" s="529"/>
      <c r="C410" s="1060" t="s">
        <v>19</v>
      </c>
      <c r="D410" s="1060" t="s">
        <v>776</v>
      </c>
      <c r="E410" s="1060" t="s">
        <v>835</v>
      </c>
      <c r="F410" s="1057" t="str">
        <f>IF(Begriffe!$G$1=1,C410,IF(Begriffe!$G$1=2,D410,E410))</f>
        <v>Lüftung</v>
      </c>
    </row>
    <row r="411" spans="1:6">
      <c r="A411" s="528"/>
      <c r="B411" s="529"/>
      <c r="C411" s="1706" t="s">
        <v>1442</v>
      </c>
      <c r="D411" s="1060" t="s">
        <v>1442</v>
      </c>
      <c r="E411" s="1060" t="s">
        <v>1853</v>
      </c>
      <c r="F411" s="1057" t="str">
        <f>IF(Begriffe!$G$1=1,C411,IF(Begriffe!$G$1=2,D411,E411))</f>
        <v>Transmission</v>
      </c>
    </row>
    <row r="412" spans="1:6">
      <c r="A412" s="528"/>
      <c r="B412" s="529"/>
      <c r="C412" s="1706" t="s">
        <v>463</v>
      </c>
      <c r="D412" s="1694" t="s">
        <v>1938</v>
      </c>
      <c r="E412" s="1707" t="s">
        <v>1939</v>
      </c>
      <c r="F412" s="1057" t="str">
        <f>IF(Begriffe!$G$1=1,C412,IF(Begriffe!$G$1=2,D412,E412))</f>
        <v>Klimakälte</v>
      </c>
    </row>
    <row r="413" spans="1:6">
      <c r="A413" s="528"/>
      <c r="B413" s="529"/>
      <c r="C413" s="1706" t="s">
        <v>464</v>
      </c>
      <c r="D413" s="1694" t="s">
        <v>778</v>
      </c>
      <c r="E413" s="1707" t="s">
        <v>1940</v>
      </c>
      <c r="F413" s="1057" t="str">
        <f>IF(Begriffe!$G$1=1,C413,IF(Begriffe!$G$1=2,D413,E413))</f>
        <v>Heizwärme</v>
      </c>
    </row>
    <row r="414" spans="1:6" ht="14.15">
      <c r="A414" s="528"/>
      <c r="B414" s="529"/>
      <c r="C414" s="1060" t="s">
        <v>1625</v>
      </c>
      <c r="D414" s="1060" t="s">
        <v>1941</v>
      </c>
      <c r="E414" s="1076" t="s">
        <v>2147</v>
      </c>
      <c r="F414" s="1057" t="str">
        <f>IF(Begriffe!$G$1=1,C414,IF(Begriffe!$G$1=2,D414,E414))</f>
        <v>CO2-Konzentration</v>
      </c>
    </row>
    <row r="415" spans="1:6" ht="14.15">
      <c r="A415" s="528"/>
      <c r="B415" s="529"/>
      <c r="C415" s="1060" t="s">
        <v>1849</v>
      </c>
      <c r="D415" s="1060" t="s">
        <v>1942</v>
      </c>
      <c r="E415" s="1076" t="s">
        <v>1953</v>
      </c>
      <c r="F415" s="1057" t="str">
        <f>IF(Begriffe!$G$1=1,C415,IF(Begriffe!$G$1=2,D415,E415))</f>
        <v>CO2-Konzentration, ppm</v>
      </c>
    </row>
    <row r="416" spans="1:6">
      <c r="A416" s="528"/>
      <c r="B416" s="529"/>
      <c r="C416" s="1060" t="s">
        <v>1675</v>
      </c>
      <c r="D416" s="1694" t="s">
        <v>1943</v>
      </c>
      <c r="E416" s="1076" t="s">
        <v>2148</v>
      </c>
      <c r="F416" s="1057" t="str">
        <f>IF(Begriffe!$G$1=1,C416,IF(Begriffe!$G$1=2,D416,E416))</f>
        <v>Max. zulässige Raumluftfeuchte</v>
      </c>
    </row>
    <row r="417" spans="1:6">
      <c r="A417" s="528"/>
      <c r="B417" s="529"/>
      <c r="C417" s="1060" t="s">
        <v>1850</v>
      </c>
      <c r="D417" s="1694" t="s">
        <v>1960</v>
      </c>
      <c r="E417" s="1076" t="s">
        <v>2149</v>
      </c>
      <c r="F417" s="1057" t="str">
        <f>IF(Begriffe!$G$1=1,C417,IF(Begriffe!$G$1=2,D417,E417))</f>
        <v>Relative Raumluftfeuchte, % r.F.</v>
      </c>
    </row>
    <row r="418" spans="1:6" ht="24.9">
      <c r="A418" s="528"/>
      <c r="B418" s="529"/>
      <c r="C418" s="1683" t="s">
        <v>1848</v>
      </c>
      <c r="D418" s="1694" t="s">
        <v>1944</v>
      </c>
      <c r="E418" s="1076" t="s">
        <v>2150</v>
      </c>
      <c r="F418" s="1057" t="str">
        <f>IF(Begriffe!$G$1=1,C418,IF(Begriffe!$G$1=2,D418,E418))</f>
        <v>Personenprofil, -
Aussenluft-Volumenstrom, m3/m2h</v>
      </c>
    </row>
    <row r="419" spans="1:6">
      <c r="A419" s="528"/>
      <c r="B419" s="529"/>
      <c r="C419" s="1709" t="s">
        <v>1954</v>
      </c>
      <c r="D419" s="1060" t="s">
        <v>1955</v>
      </c>
      <c r="E419" s="1076" t="s">
        <v>1956</v>
      </c>
      <c r="F419" s="1057" t="str">
        <f>IF(Begriffe!$G$1=1,C419,IF(Begriffe!$G$1=2,D419,E419))</f>
        <v>Wärmebilanz, kWh/m2</v>
      </c>
    </row>
    <row r="420" spans="1:6">
      <c r="A420" s="528"/>
      <c r="B420" s="529"/>
      <c r="C420" s="1709" t="s">
        <v>1957</v>
      </c>
      <c r="D420" s="1060" t="s">
        <v>1958</v>
      </c>
      <c r="E420" s="1076" t="s">
        <v>1959</v>
      </c>
      <c r="F420" s="1057" t="str">
        <f>IF(Begriffe!$G$1=1,C420,IF(Begriffe!$G$1=2,D420,E420))</f>
        <v>Wärmeleistungsbilanz, W/m2</v>
      </c>
    </row>
    <row r="421" spans="1:6">
      <c r="A421" s="528"/>
      <c r="B421" s="529"/>
      <c r="C421" s="489"/>
      <c r="D421" s="489"/>
      <c r="E421" s="489"/>
      <c r="F421" s="1057">
        <f>IF(Begriffe!$G$1=1,C421,IF(Begriffe!$G$1=2,D421,E421))</f>
        <v>0</v>
      </c>
    </row>
    <row r="422" spans="1:6" ht="14.15">
      <c r="A422" s="530" t="s">
        <v>1301</v>
      </c>
      <c r="B422" s="529"/>
      <c r="C422" s="1060"/>
      <c r="D422" s="1060"/>
      <c r="E422" s="1060"/>
      <c r="F422" s="1057">
        <f>IF(Begriffe!$G$1=1,C422,IF(Begriffe!$G$1=2,D422,E422))</f>
        <v>0</v>
      </c>
    </row>
    <row r="423" spans="1:6">
      <c r="A423" s="528"/>
      <c r="B423" s="529"/>
      <c r="C423" s="1060" t="s">
        <v>606</v>
      </c>
      <c r="D423" s="1060" t="s">
        <v>812</v>
      </c>
      <c r="E423" s="1060" t="s">
        <v>1057</v>
      </c>
      <c r="F423" s="1057" t="str">
        <f>IF(Begriffe!$G$1=1,C423,IF(Begriffe!$G$1=2,D423,E423))</f>
        <v>SIA 2024 - Resultate Standard</v>
      </c>
    </row>
    <row r="424" spans="1:6">
      <c r="A424" s="528"/>
      <c r="B424" s="529"/>
      <c r="C424" s="1060" t="s">
        <v>605</v>
      </c>
      <c r="D424" s="1060" t="s">
        <v>813</v>
      </c>
      <c r="E424" s="1060" t="s">
        <v>847</v>
      </c>
      <c r="F424" s="1057" t="str">
        <f>IF(Begriffe!$G$1=1,C424,IF(Begriffe!$G$1=2,D424,E424))</f>
        <v>SIA 2024 - Resultate Zielwert</v>
      </c>
    </row>
    <row r="425" spans="1:6">
      <c r="A425" s="528"/>
      <c r="B425" s="529"/>
      <c r="C425" s="1060" t="s">
        <v>607</v>
      </c>
      <c r="D425" s="1060" t="s">
        <v>814</v>
      </c>
      <c r="E425" s="1060" t="s">
        <v>2156</v>
      </c>
      <c r="F425" s="1057" t="str">
        <f>IF(Begriffe!$G$1=1,C425,IF(Begriffe!$G$1=2,D425,E425))</f>
        <v>SIA 2024 - Resultate Bestand</v>
      </c>
    </row>
    <row r="426" spans="1:6">
      <c r="F426" s="1057">
        <f>IF(Begriffe!$G$1=1,C426,IF(Begriffe!$G$1=2,D426,E426))</f>
        <v>0</v>
      </c>
    </row>
    <row r="427" spans="1:6" ht="14.15">
      <c r="A427" s="530" t="s">
        <v>1302</v>
      </c>
      <c r="F427" s="1057">
        <f>IF(Begriffe!$G$1=1,C427,IF(Begriffe!$G$1=2,D427,E427))</f>
        <v>0</v>
      </c>
    </row>
    <row r="428" spans="1:6">
      <c r="C428" s="1065" t="s">
        <v>998</v>
      </c>
      <c r="D428" s="1068" t="s">
        <v>1000</v>
      </c>
      <c r="E428" s="1068" t="s">
        <v>1355</v>
      </c>
      <c r="F428" s="1057" t="str">
        <f>IF(Begriffe!$G$1=1,C428,IF(Begriffe!$G$1=2,D428,E428))</f>
        <v>Sprache</v>
      </c>
    </row>
    <row r="429" spans="1:6">
      <c r="C429" s="1065" t="s">
        <v>1356</v>
      </c>
      <c r="D429" s="1065" t="s">
        <v>1357</v>
      </c>
      <c r="E429" s="1065" t="s">
        <v>1358</v>
      </c>
      <c r="F429" s="1057" t="str">
        <f>IF(Begriffe!$G$1=1,C429,IF(Begriffe!$G$1=2,D429,E429))</f>
        <v>Anleitung - SIA 2024 Raumdatenblätter</v>
      </c>
    </row>
    <row r="430" spans="1:6" ht="49.75">
      <c r="C430" s="1065" t="s">
        <v>2225</v>
      </c>
      <c r="D430" s="1065" t="s">
        <v>1359</v>
      </c>
      <c r="E430" s="1065" t="s">
        <v>2151</v>
      </c>
      <c r="F430" s="1057" t="str">
        <f>IF(Begriffe!$G$1=1,C430,IF(Begriffe!$G$1=2,D430,E430))</f>
        <v>Dieses Excel Tool ermöglicht die Anzeige und den Ausdruck der Raumdatenblätter gemäss SIA 2024. Bei der Anwendung der Raumdatenblätter sind zwingend die Festlegungen in SIA 2024 zu berücksichtigen.</v>
      </c>
    </row>
    <row r="431" spans="1:6" ht="99.45">
      <c r="C431" s="1065" t="s">
        <v>1360</v>
      </c>
      <c r="D431" s="1065" t="s">
        <v>1361</v>
      </c>
      <c r="E431" s="1065" t="s">
        <v>2152</v>
      </c>
      <c r="F431" s="1057" t="str">
        <f>IF(Begriffe!$G$1=1,C431,IF(Begriffe!$G$1=2,D431,E431))</f>
        <v>SIA 2024 dient der Vereinheitlichung von Annahmen über die Raumnutzungen. Diese Annahmen werden bei den Berechnungen und Nachweisen nach den Normen der Energie- und Gebäudetechnik verwendet, solange keine genaueren Angaben vorliegen. Spätestens im Bauprojekt müssen die projektspezifischen Gebäudedaten, die Nutzungsbedigungen und die Bemessungskriterien festgelegt und für die Dimensionierung der Anlagen verwendet werden.</v>
      </c>
    </row>
    <row r="432" spans="1:6" ht="37.299999999999997">
      <c r="C432" s="1065" t="s">
        <v>1362</v>
      </c>
      <c r="D432" s="1065" t="s">
        <v>1363</v>
      </c>
      <c r="E432" s="1065" t="s">
        <v>2153</v>
      </c>
      <c r="F432" s="1057" t="str">
        <f>IF(Begriffe!$G$1=1,C432,IF(Begriffe!$G$1=2,D432,E432))</f>
        <v xml:space="preserve">Für die Abschätzung des Leistungs- und Energiebedarfs von Gebäuden in der frühen Planungsphase steht unter www.energytools.ch das SIA 2024 Gebäude-Tool zur Verfügung. </v>
      </c>
    </row>
    <row r="433" spans="3:6" ht="24.9">
      <c r="C433" s="1065" t="s">
        <v>1364</v>
      </c>
      <c r="D433" s="1694" t="s">
        <v>2219</v>
      </c>
      <c r="E433" s="1065" t="s">
        <v>2154</v>
      </c>
      <c r="F433" s="1057" t="str">
        <f>IF(Begriffe!$G$1=1,C433,IF(Begriffe!$G$1=2,D433,E433))</f>
        <v xml:space="preserve">Hinweis: In Excel müssen die Makros aktiviert werden. Weitere Informationen finden Sie in der Hilfe Ihres Office-Programms. </v>
      </c>
    </row>
    <row r="434" spans="3:6">
      <c r="F434" s="1057">
        <f>IF(Begriffe!$G$1=1,C434,IF(Begriffe!$G$1=2,D434,E434))</f>
        <v>0</v>
      </c>
    </row>
  </sheetData>
  <pageMargins left="0.78740157480314965" right="0.78740157480314965" top="0.78740157480314965" bottom="0.78740157480314965" header="0.31496062992125984" footer="0.31496062992125984"/>
  <pageSetup paperSize="9" orientation="portrait" verticalDpi="1200" r:id="rId1"/>
  <headerFooter>
    <oddHeader>&amp;LLemon Consult&amp;R&amp;D&amp;CSIA 2024 Raum-Datenblätter</oddHeader>
    <oddFooter>&amp;R&amp;F&amp;CSIA 2024, Copyright © 2021 by SIA Zurich</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blEingabedaten">
    <pageSetUpPr fitToPage="1"/>
  </sheetPr>
  <dimension ref="A1:IE56"/>
  <sheetViews>
    <sheetView showGridLines="0" showRowColHeaders="0" zoomScaleNormal="100" zoomScaleSheetLayoutView="100" workbookViewId="0">
      <pane xSplit="3" ySplit="8" topLeftCell="AA9" activePane="bottomRight" state="frozen"/>
      <selection pane="topRight" activeCell="D1" sqref="D1"/>
      <selection pane="bottomLeft" activeCell="A9" sqref="A9"/>
      <selection pane="bottomRight"/>
    </sheetView>
  </sheetViews>
  <sheetFormatPr baseColWidth="10" defaultColWidth="11.4609375" defaultRowHeight="12.45"/>
  <cols>
    <col min="1" max="1" width="6" customWidth="1"/>
    <col min="2" max="2" width="4" style="146" hidden="1" customWidth="1"/>
    <col min="3" max="3" width="38" bestFit="1" customWidth="1"/>
    <col min="4" max="4" width="5.53515625" customWidth="1"/>
    <col min="5" max="6" width="5" customWidth="1"/>
    <col min="7" max="7" width="6" hidden="1" customWidth="1"/>
    <col min="8" max="8" width="6" customWidth="1"/>
    <col min="9" max="9" width="4.69140625" customWidth="1"/>
    <col min="10" max="10" width="5.23046875" customWidth="1"/>
    <col min="11" max="11" width="6.23046875" customWidth="1"/>
    <col min="12" max="12" width="5.23046875" customWidth="1"/>
    <col min="13" max="13" width="4.23046875" customWidth="1"/>
    <col min="14" max="14" width="3.69140625" customWidth="1"/>
    <col min="15" max="15" width="5.23046875" customWidth="1"/>
    <col min="16" max="16" width="3.69140625" customWidth="1"/>
    <col min="17" max="17" width="4.23046875" customWidth="1"/>
    <col min="18" max="18" width="6" customWidth="1"/>
    <col min="19" max="21" width="5.23046875" customWidth="1"/>
    <col min="22" max="22" width="4.765625" customWidth="1"/>
    <col min="23" max="23" width="5.23046875" customWidth="1"/>
    <col min="24" max="24" width="4.53515625" customWidth="1"/>
    <col min="25" max="25" width="5.23046875" customWidth="1"/>
    <col min="26" max="26" width="7.53515625" customWidth="1"/>
    <col min="27" max="27" width="6.23046875" customWidth="1"/>
    <col min="28" max="28" width="5.69140625" style="536" customWidth="1"/>
    <col min="29" max="29" width="5.23046875" style="29" customWidth="1"/>
    <col min="30" max="30" width="5.4609375" style="29" customWidth="1"/>
    <col min="31" max="31" width="6.53515625" style="29" customWidth="1"/>
    <col min="32" max="32" width="4.23046875" style="536" hidden="1" customWidth="1"/>
    <col min="33" max="33" width="3.69140625" style="536" hidden="1" customWidth="1"/>
    <col min="34" max="34" width="4.4609375" style="29" customWidth="1"/>
    <col min="35" max="35" width="4.69140625" style="29" customWidth="1"/>
    <col min="36" max="36" width="7.53515625" style="29" customWidth="1"/>
    <col min="37" max="37" width="6.69140625" style="29" hidden="1" customWidth="1"/>
    <col min="38" max="39" width="6.69140625" style="29" customWidth="1"/>
    <col min="40" max="40" width="7.53515625" style="29" customWidth="1"/>
    <col min="41" max="41" width="7.69140625" style="29" hidden="1" customWidth="1"/>
    <col min="42" max="50" width="5.4609375" customWidth="1"/>
    <col min="51" max="60" width="5" customWidth="1"/>
    <col min="61" max="63" width="7.23046875" hidden="1" customWidth="1"/>
    <col min="64" max="74" width="5.53515625" customWidth="1"/>
    <col min="75" max="75" width="4.69140625" customWidth="1"/>
    <col min="76" max="76" width="5.53515625" customWidth="1"/>
    <col min="77" max="77" width="4" customWidth="1"/>
    <col min="78" max="79" width="5.53515625" customWidth="1"/>
    <col min="80" max="80" width="5.23046875" style="537" hidden="1" customWidth="1"/>
    <col min="81" max="81" width="5.4609375" hidden="1" customWidth="1"/>
    <col min="82" max="82" width="5.4609375" customWidth="1"/>
    <col min="83" max="83" width="5.23046875" customWidth="1"/>
    <col min="84" max="84" width="7" hidden="1" customWidth="1"/>
    <col min="85" max="85" width="6.4609375" hidden="1" customWidth="1"/>
    <col min="86" max="86" width="6.765625" hidden="1" customWidth="1"/>
    <col min="87" max="87" width="14.23046875" customWidth="1"/>
    <col min="88" max="88" width="13.4609375" customWidth="1"/>
    <col min="89" max="89" width="9.69140625" customWidth="1"/>
    <col min="90" max="90" width="5.765625" customWidth="1"/>
    <col min="91" max="91" width="6.53515625" customWidth="1"/>
    <col min="92" max="92" width="6" customWidth="1"/>
    <col min="93" max="93" width="6.4609375" customWidth="1"/>
    <col min="94" max="94" width="5.53515625" customWidth="1"/>
    <col min="95" max="95" width="5.765625" customWidth="1"/>
    <col min="96" max="96" width="29.53515625" hidden="1" customWidth="1"/>
    <col min="97" max="97" width="7" hidden="1" customWidth="1"/>
    <col min="98" max="98" width="6.23046875" hidden="1" customWidth="1"/>
    <col min="99" max="100" width="6" hidden="1" customWidth="1"/>
    <col min="101" max="101" width="15.53515625" hidden="1" customWidth="1"/>
    <col min="102" max="102" width="14" hidden="1" customWidth="1"/>
    <col min="103" max="103" width="10.23046875" hidden="1" customWidth="1"/>
    <col min="104" max="106" width="14" hidden="1" customWidth="1"/>
    <col min="107" max="110" width="4.69140625" hidden="1" customWidth="1"/>
    <col min="111" max="111" width="7.53515625" customWidth="1"/>
    <col min="112" max="112" width="7.23046875" customWidth="1"/>
    <col min="113" max="113" width="10.23046875" customWidth="1"/>
    <col min="114" max="115" width="5.53515625" customWidth="1"/>
    <col min="116" max="116" width="6" customWidth="1"/>
    <col min="117" max="117" width="5.69140625" customWidth="1"/>
    <col min="118" max="118" width="4.4609375" customWidth="1"/>
    <col min="119" max="119" width="16.69140625" style="1" hidden="1" customWidth="1"/>
    <col min="120" max="167" width="4.23046875" customWidth="1"/>
    <col min="168" max="168" width="7.69140625" style="1" hidden="1" customWidth="1"/>
    <col min="169" max="180" width="4" customWidth="1"/>
    <col min="181" max="181" width="7" style="1" customWidth="1"/>
    <col min="182" max="182" width="9.4609375" style="1" customWidth="1"/>
    <col min="183" max="183" width="5.23046875" style="1" hidden="1" customWidth="1"/>
    <col min="184" max="184" width="5" style="1" hidden="1" customWidth="1"/>
    <col min="185" max="186" width="4.69140625" style="1" hidden="1" customWidth="1"/>
    <col min="187" max="187" width="5.23046875" style="1" hidden="1" customWidth="1"/>
    <col min="188" max="189" width="6.765625" style="1" hidden="1" customWidth="1"/>
    <col min="190" max="190" width="5.765625" style="1" hidden="1" customWidth="1"/>
    <col min="191" max="191" width="5.23046875" style="1" hidden="1" customWidth="1"/>
    <col min="192" max="192" width="5" style="1" hidden="1" customWidth="1"/>
    <col min="193" max="193" width="4.23046875" style="1" hidden="1" customWidth="1"/>
    <col min="194" max="194" width="5.53515625" style="1" hidden="1" customWidth="1"/>
    <col min="195" max="195" width="38" hidden="1" customWidth="1"/>
    <col min="196" max="196" width="7.23046875" hidden="1" customWidth="1"/>
    <col min="197" max="197" width="8" hidden="1" customWidth="1"/>
    <col min="198" max="198" width="5.69140625" hidden="1" customWidth="1"/>
    <col min="199" max="201" width="11.4609375" hidden="1" customWidth="1"/>
    <col min="202" max="206" width="4.4609375" hidden="1" customWidth="1"/>
    <col min="207" max="207" width="8" hidden="1" customWidth="1"/>
    <col min="208" max="208" width="7.23046875" hidden="1" customWidth="1"/>
    <col min="209" max="209" width="5.53515625" hidden="1" customWidth="1"/>
    <col min="210" max="210" width="9.23046875" hidden="1" customWidth="1"/>
    <col min="211" max="222" width="4.4609375" hidden="1" customWidth="1"/>
    <col min="223" max="223" width="6.69140625" hidden="1" customWidth="1"/>
    <col min="224" max="224" width="3.69140625" hidden="1" customWidth="1"/>
    <col min="225" max="225" width="3.53515625" hidden="1" customWidth="1"/>
    <col min="226" max="226" width="5.53515625" hidden="1" customWidth="1"/>
    <col min="227" max="233" width="5.23046875" style="538" hidden="1" customWidth="1"/>
    <col min="234" max="234" width="9.4609375" hidden="1" customWidth="1"/>
    <col min="235" max="236" width="8.23046875" hidden="1" customWidth="1"/>
    <col min="237" max="237" width="7.23046875" hidden="1" customWidth="1"/>
    <col min="238" max="238" width="6.53515625" hidden="1" customWidth="1"/>
    <col min="239" max="239" width="5.4609375" hidden="1" customWidth="1"/>
    <col min="240" max="256" width="11.4609375" customWidth="1"/>
  </cols>
  <sheetData>
    <row r="1" spans="1:239" ht="15.45">
      <c r="A1" s="77" t="str">
        <f>Begriffe!F184</f>
        <v>SIA 2024 - Eingabedaten</v>
      </c>
      <c r="HZ1" s="379"/>
    </row>
    <row r="2" spans="1:239" ht="7.5" customHeight="1">
      <c r="A2" s="77"/>
      <c r="HZ2" s="379"/>
    </row>
    <row r="3" spans="1:239" s="379" customFormat="1" ht="12" customHeight="1">
      <c r="B3" s="539" t="s">
        <v>22</v>
      </c>
      <c r="G3" s="379" t="s">
        <v>22</v>
      </c>
      <c r="AC3" s="540"/>
      <c r="AD3" s="540"/>
      <c r="AE3" s="540"/>
      <c r="AF3" s="540" t="s">
        <v>22</v>
      </c>
      <c r="AG3" s="540" t="s">
        <v>22</v>
      </c>
      <c r="AH3" s="540"/>
      <c r="AI3" s="540"/>
      <c r="AK3" s="379" t="s">
        <v>22</v>
      </c>
      <c r="AN3" s="540"/>
      <c r="AO3" s="540" t="s">
        <v>22</v>
      </c>
      <c r="BI3" s="379" t="s">
        <v>22</v>
      </c>
      <c r="BJ3" s="379" t="s">
        <v>22</v>
      </c>
      <c r="BK3" s="379" t="s">
        <v>22</v>
      </c>
      <c r="CB3" s="379" t="s">
        <v>22</v>
      </c>
      <c r="CC3" s="379" t="s">
        <v>22</v>
      </c>
      <c r="CF3" s="379" t="s">
        <v>22</v>
      </c>
      <c r="CG3" s="379" t="s">
        <v>22</v>
      </c>
      <c r="CH3" s="379" t="s">
        <v>22</v>
      </c>
      <c r="CR3" s="379" t="s">
        <v>22</v>
      </c>
      <c r="CS3" s="379" t="s">
        <v>22</v>
      </c>
      <c r="CT3" s="379" t="s">
        <v>22</v>
      </c>
      <c r="CU3" s="379" t="s">
        <v>22</v>
      </c>
      <c r="CV3" s="379" t="s">
        <v>22</v>
      </c>
      <c r="CW3" s="379" t="s">
        <v>22</v>
      </c>
      <c r="CX3" s="379" t="s">
        <v>22</v>
      </c>
      <c r="CY3" s="379" t="s">
        <v>22</v>
      </c>
      <c r="CZ3" s="379" t="s">
        <v>22</v>
      </c>
      <c r="DA3" s="379" t="s">
        <v>22</v>
      </c>
      <c r="DB3" s="379" t="s">
        <v>22</v>
      </c>
      <c r="DC3" s="379" t="s">
        <v>22</v>
      </c>
      <c r="DD3" s="379" t="s">
        <v>22</v>
      </c>
      <c r="DE3" s="379" t="s">
        <v>22</v>
      </c>
      <c r="DF3" s="379" t="s">
        <v>22</v>
      </c>
      <c r="DO3" s="379" t="s">
        <v>22</v>
      </c>
      <c r="FL3" s="379" t="s">
        <v>22</v>
      </c>
      <c r="GA3" s="379" t="s">
        <v>22</v>
      </c>
      <c r="GB3" s="379" t="s">
        <v>22</v>
      </c>
      <c r="GC3" s="379" t="s">
        <v>22</v>
      </c>
      <c r="GD3" s="379" t="s">
        <v>22</v>
      </c>
      <c r="GE3" s="379" t="s">
        <v>22</v>
      </c>
      <c r="GH3" s="379" t="s">
        <v>22</v>
      </c>
      <c r="GI3" s="379" t="s">
        <v>22</v>
      </c>
      <c r="GJ3" s="379" t="s">
        <v>22</v>
      </c>
      <c r="GK3" s="379" t="s">
        <v>22</v>
      </c>
      <c r="GL3" s="379" t="s">
        <v>22</v>
      </c>
      <c r="GM3" s="379" t="s">
        <v>22</v>
      </c>
      <c r="GN3" s="379" t="s">
        <v>22</v>
      </c>
      <c r="GO3" s="379" t="s">
        <v>22</v>
      </c>
      <c r="GP3" s="379" t="s">
        <v>22</v>
      </c>
      <c r="GQ3" s="379" t="s">
        <v>22</v>
      </c>
      <c r="GR3" s="379" t="s">
        <v>22</v>
      </c>
      <c r="GS3" s="379" t="s">
        <v>22</v>
      </c>
      <c r="GT3" s="379" t="s">
        <v>22</v>
      </c>
      <c r="GU3" s="379" t="s">
        <v>22</v>
      </c>
      <c r="GV3" s="379" t="s">
        <v>22</v>
      </c>
      <c r="GW3" s="379" t="s">
        <v>22</v>
      </c>
      <c r="GX3" s="379" t="s">
        <v>22</v>
      </c>
      <c r="GY3" s="379" t="s">
        <v>22</v>
      </c>
      <c r="GZ3" s="379" t="s">
        <v>22</v>
      </c>
      <c r="HA3" s="379" t="s">
        <v>22</v>
      </c>
      <c r="HB3" s="379" t="s">
        <v>22</v>
      </c>
      <c r="HC3" s="379" t="s">
        <v>22</v>
      </c>
      <c r="HD3" s="379" t="s">
        <v>22</v>
      </c>
      <c r="HE3" s="379" t="s">
        <v>22</v>
      </c>
      <c r="HF3" s="379" t="s">
        <v>22</v>
      </c>
      <c r="HG3" s="379" t="s">
        <v>22</v>
      </c>
      <c r="HH3" s="379" t="s">
        <v>22</v>
      </c>
      <c r="HI3" s="379" t="s">
        <v>22</v>
      </c>
      <c r="HJ3" s="379" t="s">
        <v>22</v>
      </c>
      <c r="HK3" s="379" t="s">
        <v>22</v>
      </c>
      <c r="HL3" s="379" t="s">
        <v>22</v>
      </c>
      <c r="HM3" s="379" t="s">
        <v>22</v>
      </c>
      <c r="HN3" s="379" t="s">
        <v>22</v>
      </c>
      <c r="HO3" s="379" t="s">
        <v>22</v>
      </c>
      <c r="HP3" s="379" t="s">
        <v>22</v>
      </c>
      <c r="HQ3" s="379" t="s">
        <v>22</v>
      </c>
      <c r="HS3" s="541"/>
      <c r="HT3" s="541"/>
      <c r="HU3" s="541"/>
      <c r="HV3" s="541"/>
      <c r="HW3" s="541"/>
      <c r="HX3" s="541"/>
      <c r="HY3" s="541"/>
    </row>
    <row r="4" spans="1:239" s="28" customFormat="1">
      <c r="A4" s="1610" t="str">
        <f>Begriffe!F186</f>
        <v>Raumnutzung</v>
      </c>
      <c r="B4" s="1620"/>
      <c r="C4" s="1621"/>
      <c r="D4" s="1610" t="str">
        <f>Begriffe!F188</f>
        <v>Raumabmessungen</v>
      </c>
      <c r="E4" s="1611"/>
      <c r="F4" s="1611"/>
      <c r="G4" s="1611"/>
      <c r="H4" s="1611"/>
      <c r="I4" s="1611"/>
      <c r="J4" s="1611"/>
      <c r="K4" s="1612"/>
      <c r="L4" s="33" t="str">
        <f>Begriffe!F194</f>
        <v>Bauphysikalische Eigenschaften</v>
      </c>
      <c r="M4" s="32"/>
      <c r="N4" s="32"/>
      <c r="O4" s="32"/>
      <c r="P4" s="32"/>
      <c r="Q4" s="32"/>
      <c r="R4" s="32"/>
      <c r="S4" s="32"/>
      <c r="T4" s="32"/>
      <c r="U4" s="32"/>
      <c r="V4" s="32"/>
      <c r="W4" s="32"/>
      <c r="X4" s="32"/>
      <c r="Y4" s="32"/>
      <c r="Z4" s="32"/>
      <c r="AA4" s="32"/>
      <c r="AB4" s="33" t="str">
        <f>Begriffe!F199</f>
        <v>Raumklima</v>
      </c>
      <c r="AC4" s="542"/>
      <c r="AD4" s="542"/>
      <c r="AE4" s="542"/>
      <c r="AF4" s="542"/>
      <c r="AG4" s="542"/>
      <c r="AH4" s="543"/>
      <c r="AI4" s="1075"/>
      <c r="AJ4" s="33" t="str">
        <f>Begriffe!F201</f>
        <v>Schallschutz</v>
      </c>
      <c r="AK4" s="543"/>
      <c r="AL4" s="543"/>
      <c r="AM4" s="543"/>
      <c r="AN4" s="544"/>
      <c r="AO4" s="544"/>
      <c r="AP4" s="33" t="str">
        <f>Begriffe!F204</f>
        <v>Personen</v>
      </c>
      <c r="AQ4" s="32"/>
      <c r="AR4" s="32"/>
      <c r="AS4" s="32"/>
      <c r="AT4" s="1611"/>
      <c r="AU4" s="1611"/>
      <c r="AV4" s="1611"/>
      <c r="AW4" s="1611"/>
      <c r="AX4" s="545"/>
      <c r="AY4" s="33" t="str">
        <f>Begriffe!F205</f>
        <v>Geräte und Prozessanlagen</v>
      </c>
      <c r="AZ4" s="32"/>
      <c r="BA4" s="32"/>
      <c r="BB4" s="32"/>
      <c r="BC4" s="32"/>
      <c r="BD4" s="32"/>
      <c r="BE4" s="32"/>
      <c r="BF4" s="32"/>
      <c r="BG4" s="32"/>
      <c r="BH4" s="545"/>
      <c r="BI4" s="34" t="str">
        <f>Begriffe!F218</f>
        <v>Betriebsleistung</v>
      </c>
      <c r="BJ4" s="32"/>
      <c r="BK4" s="32"/>
      <c r="BL4" s="33" t="str">
        <f>Begriffe!F206</f>
        <v>Beleuchtung</v>
      </c>
      <c r="BM4" s="32"/>
      <c r="BN4" s="32"/>
      <c r="BO4" s="32"/>
      <c r="BP4" s="32"/>
      <c r="BQ4" s="32"/>
      <c r="BR4" s="32"/>
      <c r="BS4" s="1611"/>
      <c r="BT4" s="1611"/>
      <c r="BU4" s="32"/>
      <c r="BV4" s="1612"/>
      <c r="BW4" s="1654" t="str">
        <f>Begriffe!F219</f>
        <v>Lüftung</v>
      </c>
      <c r="BX4" s="1611"/>
      <c r="BY4" s="1611"/>
      <c r="BZ4" s="1611"/>
      <c r="CA4" s="1611"/>
      <c r="CB4" s="32"/>
      <c r="CC4" s="32"/>
      <c r="CD4" s="32"/>
      <c r="CE4" s="32"/>
      <c r="CF4" s="32"/>
      <c r="CG4" s="32"/>
      <c r="CH4" s="32"/>
      <c r="CI4" s="32"/>
      <c r="CJ4" s="32"/>
      <c r="CK4" s="32"/>
      <c r="CL4" s="32"/>
      <c r="CM4" s="32"/>
      <c r="CN4" s="32"/>
      <c r="CO4" s="32"/>
      <c r="CP4" s="32"/>
      <c r="CQ4" s="545"/>
      <c r="CR4" s="32"/>
      <c r="CS4" s="32"/>
      <c r="CT4" s="32"/>
      <c r="CU4" s="32"/>
      <c r="CV4" s="545"/>
      <c r="CW4" s="34" t="str">
        <f>Begriffe!F220</f>
        <v>Raumkühlung</v>
      </c>
      <c r="CX4" s="32"/>
      <c r="CY4" s="32"/>
      <c r="CZ4" s="32"/>
      <c r="DA4" s="32"/>
      <c r="DB4" s="545"/>
      <c r="DC4" s="34" t="str">
        <f>Begriffe!F221</f>
        <v>Befeuchtung</v>
      </c>
      <c r="DD4" s="32"/>
      <c r="DE4" s="32"/>
      <c r="DF4" s="545"/>
      <c r="DG4" s="34" t="str">
        <f>Begriffe!F222</f>
        <v>Raumheizung</v>
      </c>
      <c r="DH4" s="545"/>
      <c r="DI4" s="33" t="str">
        <f>Begriffe!F225</f>
        <v>Wasser und Warmwasser</v>
      </c>
      <c r="DJ4" s="32"/>
      <c r="DK4" s="32"/>
      <c r="DL4" s="32"/>
      <c r="DM4" s="32"/>
      <c r="DN4" s="545"/>
      <c r="DO4" s="546" t="str">
        <f>Begriffe!F226</f>
        <v>Tagesprofil-Typ</v>
      </c>
      <c r="DP4" s="33" t="str">
        <f>Begriffe!F227</f>
        <v>Personenprofil (Nutzungstag)</v>
      </c>
      <c r="DQ4" s="32"/>
      <c r="DR4" s="32"/>
      <c r="DS4" s="32"/>
      <c r="DT4" s="32"/>
      <c r="DU4" s="32"/>
      <c r="DV4" s="32"/>
      <c r="DW4" s="32"/>
      <c r="DX4" s="32"/>
      <c r="DY4" s="32"/>
      <c r="DZ4" s="32"/>
      <c r="EA4" s="32"/>
      <c r="EB4" s="32"/>
      <c r="EC4" s="32"/>
      <c r="ED4" s="32"/>
      <c r="EE4" s="32"/>
      <c r="EF4" s="32"/>
      <c r="EG4" s="32"/>
      <c r="EH4" s="32"/>
      <c r="EI4" s="32"/>
      <c r="EJ4" s="32"/>
      <c r="EK4" s="32"/>
      <c r="EL4" s="32"/>
      <c r="EM4" s="545"/>
      <c r="EN4" s="33" t="str">
        <f>Begriffe!F228</f>
        <v>Geräteprofil (Nutzungstag)</v>
      </c>
      <c r="EO4" s="32"/>
      <c r="EP4" s="32"/>
      <c r="EQ4" s="32"/>
      <c r="ER4" s="32"/>
      <c r="ES4" s="32"/>
      <c r="ET4" s="32"/>
      <c r="EU4" s="32"/>
      <c r="EV4" s="32"/>
      <c r="EW4" s="32"/>
      <c r="EX4" s="32"/>
      <c r="EY4" s="32"/>
      <c r="EZ4" s="32"/>
      <c r="FA4" s="32"/>
      <c r="FB4" s="32"/>
      <c r="FC4" s="32"/>
      <c r="FD4" s="32"/>
      <c r="FE4" s="32"/>
      <c r="FF4" s="32"/>
      <c r="FG4" s="32"/>
      <c r="FH4" s="32"/>
      <c r="FI4" s="32"/>
      <c r="FJ4" s="32"/>
      <c r="FK4" s="545"/>
      <c r="FL4" s="34"/>
      <c r="FM4" s="33" t="str">
        <f>Begriffe!F54</f>
        <v>Jahresprofil</v>
      </c>
      <c r="FN4" s="32"/>
      <c r="FO4" s="32"/>
      <c r="FP4" s="32"/>
      <c r="FQ4" s="32"/>
      <c r="FR4" s="32"/>
      <c r="FS4" s="32"/>
      <c r="FT4" s="32"/>
      <c r="FU4" s="32"/>
      <c r="FV4" s="32"/>
      <c r="FW4" s="32"/>
      <c r="FX4" s="545"/>
      <c r="FY4" s="33" t="str">
        <f>Begriffe!F229</f>
        <v>Nutzungstage</v>
      </c>
      <c r="FZ4" s="545"/>
      <c r="GA4" s="34" t="str">
        <f>Begriffe!F230</f>
        <v>Personen-Stunden</v>
      </c>
      <c r="GB4" s="32"/>
      <c r="GC4" s="32"/>
      <c r="GD4" s="32"/>
      <c r="GE4" s="32"/>
      <c r="GF4" s="32"/>
      <c r="GG4" s="32"/>
      <c r="GH4" s="545"/>
      <c r="GI4" s="34" t="str">
        <f>Begriffe!F231</f>
        <v>Geräte-Stunden</v>
      </c>
      <c r="GJ4" s="32"/>
      <c r="GK4" s="32"/>
      <c r="GL4" s="545"/>
      <c r="GM4" s="34" t="str">
        <f>Begriffe!F232</f>
        <v>Kommentare</v>
      </c>
      <c r="GN4" s="32"/>
      <c r="GO4" s="32"/>
      <c r="GP4" s="32"/>
      <c r="GQ4" s="32"/>
      <c r="GR4" s="545"/>
      <c r="HB4" s="28" t="s">
        <v>163</v>
      </c>
      <c r="HS4" s="547" t="s">
        <v>235</v>
      </c>
      <c r="HT4" s="547"/>
      <c r="HU4" s="547"/>
      <c r="HV4" s="547"/>
      <c r="HW4" s="547"/>
      <c r="HX4" s="547"/>
      <c r="HY4" s="547"/>
      <c r="HZ4" s="28" t="s">
        <v>251</v>
      </c>
    </row>
    <row r="5" spans="1:239" s="549" customFormat="1" ht="12" customHeight="1">
      <c r="A5" s="1397"/>
      <c r="B5" s="548"/>
      <c r="C5" s="1622"/>
      <c r="D5" s="552"/>
      <c r="K5" s="1070"/>
      <c r="L5" s="552"/>
      <c r="AB5" s="550"/>
      <c r="AC5" s="551"/>
      <c r="AD5" s="1074"/>
      <c r="AE5" s="551"/>
      <c r="AF5" s="551"/>
      <c r="AG5" s="551"/>
      <c r="AH5" s="1074"/>
      <c r="AI5" s="1398"/>
      <c r="AJ5" s="550" t="s">
        <v>158</v>
      </c>
      <c r="AK5" s="1074"/>
      <c r="AL5" s="1074"/>
      <c r="AM5" s="1074"/>
      <c r="AN5" s="1399"/>
      <c r="AO5" s="1399"/>
      <c r="AP5" s="552"/>
      <c r="AX5" s="1070"/>
      <c r="AY5" s="552"/>
      <c r="BH5" s="1070"/>
      <c r="BI5" s="552"/>
      <c r="BL5" s="552" t="s">
        <v>1062</v>
      </c>
      <c r="BV5" s="1070"/>
      <c r="BW5" s="552" t="s">
        <v>577</v>
      </c>
      <c r="CQ5" s="1070"/>
      <c r="CV5" s="1070"/>
      <c r="CW5" s="552"/>
      <c r="DB5" s="1070"/>
      <c r="DC5" s="552"/>
      <c r="DF5" s="1070"/>
      <c r="DG5" s="552"/>
      <c r="DH5" s="1070"/>
      <c r="DI5" s="552" t="s">
        <v>561</v>
      </c>
      <c r="DN5" s="1070"/>
      <c r="DO5" s="1400"/>
      <c r="DP5" s="552"/>
      <c r="EM5" s="1070"/>
      <c r="EN5" s="552"/>
      <c r="FK5" s="1070"/>
      <c r="FL5" s="552"/>
      <c r="FM5" s="552"/>
      <c r="FX5" s="1070"/>
      <c r="FY5" s="552"/>
      <c r="FZ5" s="1070"/>
      <c r="GA5" s="552"/>
      <c r="GH5" s="1070"/>
      <c r="GI5" s="552"/>
      <c r="GL5" s="1070"/>
      <c r="GM5" s="552"/>
      <c r="GR5" s="1070"/>
      <c r="HS5" s="1401"/>
      <c r="HT5" s="1401"/>
      <c r="HU5" s="1401"/>
      <c r="HV5" s="1401"/>
      <c r="HW5" s="1401"/>
      <c r="HX5" s="1401"/>
      <c r="HY5" s="1401"/>
    </row>
    <row r="6" spans="1:239" s="360" customFormat="1" ht="148.5" customHeight="1">
      <c r="A6" s="1623" t="s">
        <v>476</v>
      </c>
      <c r="B6" s="1624" t="s">
        <v>475</v>
      </c>
      <c r="C6" s="208" t="str">
        <f>Begriffe!F185</f>
        <v>Bezeichnung</v>
      </c>
      <c r="D6" s="209" t="str">
        <f>Begriffe!F189</f>
        <v>Raumlänge</v>
      </c>
      <c r="E6" s="360" t="str">
        <f>Begriffe!F190</f>
        <v>Raumtiefe</v>
      </c>
      <c r="F6" s="360" t="str">
        <f>Begriffe!F191</f>
        <v>Raumhöhe</v>
      </c>
      <c r="G6" s="360" t="str">
        <f>Begriffe!F192</f>
        <v>Nettogeschossfläche</v>
      </c>
      <c r="H6" s="360" t="str">
        <f>Begriffe!F109</f>
        <v>Thermische Gebäudehüllfläche</v>
      </c>
      <c r="I6" s="1608" t="str">
        <f>Begriffe!F46</f>
        <v>Glasanteil</v>
      </c>
      <c r="J6" s="360" t="str">
        <f>Begriffe!F25</f>
        <v>Abminderungsfaktor für Fensterrahmen</v>
      </c>
      <c r="K6" s="208" t="str">
        <f>Begriffe!F193</f>
        <v>Fensteranteil, Bruttofassade</v>
      </c>
      <c r="L6" s="209" t="str">
        <f>Begriffe!F195</f>
        <v>U-Wert Fenster</v>
      </c>
      <c r="M6" s="360" t="str">
        <f>""</f>
        <v/>
      </c>
      <c r="N6" s="360" t="str">
        <f>""</f>
        <v/>
      </c>
      <c r="O6" s="360" t="str">
        <f>Begriffe!F196</f>
        <v>U-Wert opake Bauteile</v>
      </c>
      <c r="P6" s="360" t="str">
        <f>""</f>
        <v/>
      </c>
      <c r="Q6" s="360" t="str">
        <f>""</f>
        <v/>
      </c>
      <c r="R6" s="360" t="str">
        <f>Begriffe!F197</f>
        <v>Gesamtenergiedurchlassgrad Verglasung</v>
      </c>
      <c r="S6" s="360" t="str">
        <f>""</f>
        <v/>
      </c>
      <c r="T6" s="360" t="str">
        <f>""</f>
        <v/>
      </c>
      <c r="U6" s="360" t="str">
        <f>Begriffe!F198</f>
        <v>Gesamtenergiedurchlassgrad Verglasung und Sonnenschutz</v>
      </c>
      <c r="V6" s="360" t="str">
        <f>""</f>
        <v/>
      </c>
      <c r="W6" s="360" t="str">
        <f>""</f>
        <v/>
      </c>
      <c r="X6" s="360" t="str">
        <f>Begriffe!F75</f>
        <v>Lichttransmissionsgrad</v>
      </c>
      <c r="Y6" s="360" t="str">
        <f>Begriffe!F95</f>
        <v>Reduktionsfaktor solare Wärmeeinträge</v>
      </c>
      <c r="Z6" s="360" t="str">
        <f>Begriffe!F104</f>
        <v>Strahlungsleistung für Betätigung Sonnenschutz</v>
      </c>
      <c r="AA6" s="360" t="str">
        <f>Begriffe!F123</f>
        <v>Wärmespeicherfähigkeit des Raumes</v>
      </c>
      <c r="AB6" s="209" t="str">
        <f>Begriffe!F93</f>
        <v>Raumtemperatur-Auslegungswert</v>
      </c>
      <c r="AC6" s="360" t="str">
        <f>""</f>
        <v/>
      </c>
      <c r="AD6" s="360" t="str">
        <f>Begriffe!F79</f>
        <v>Mittlere Raumtemperatur</v>
      </c>
      <c r="AE6" s="360" t="s">
        <v>193</v>
      </c>
      <c r="AF6" s="360" t="str">
        <f>Begriffe!F200</f>
        <v>Nutzung mit Klimatisierung</v>
      </c>
      <c r="AG6" s="360" t="str">
        <f>""</f>
        <v/>
      </c>
      <c r="AH6" s="360" t="str">
        <f>Begriffe!F97</f>
        <v xml:space="preserve">Relative Raumluftfeuchte </v>
      </c>
      <c r="AI6" s="556" t="str">
        <f>""</f>
        <v/>
      </c>
      <c r="AJ6" s="209" t="str">
        <f>Begriffe!F71</f>
        <v>Lärmempfindlichkeit</v>
      </c>
      <c r="AL6" s="360" t="str">
        <f>Begriffe!F202</f>
        <v>Einzelgeräusche, Funktionsgeräusche</v>
      </c>
      <c r="AM6" s="360" t="str">
        <f>Begriffe!F203</f>
        <v>Einzelgeräusche, Benutzungsgeräusche</v>
      </c>
      <c r="AN6" s="208" t="str">
        <f>Begriffe!F27</f>
        <v>Anforderungswert an Dauergeräusche gebäudetech. Anlagen</v>
      </c>
      <c r="AO6" s="208" t="str">
        <f>Begriffe!F80</f>
        <v>Nachhallzeit</v>
      </c>
      <c r="AP6" s="209" t="str">
        <f>Begriffe!F87</f>
        <v>Personenfläche</v>
      </c>
      <c r="AQ6" s="1607" t="str">
        <f>Begriffe!F26</f>
        <v>Aktivitätsgrad</v>
      </c>
      <c r="AR6" s="1608" t="str">
        <f>Begriffe!F118</f>
        <v>Wärmedämmwert der Bekleidung</v>
      </c>
      <c r="AS6" s="360" t="str">
        <f>""</f>
        <v/>
      </c>
      <c r="AT6" s="360" t="str">
        <f>Begriffe!F100</f>
        <v>Sensible Wärmeabgabeleistung Pers.</v>
      </c>
      <c r="AV6" s="360" t="str">
        <f>Begriffe!F43</f>
        <v>Feuchteproduktion Personen</v>
      </c>
      <c r="AX6" s="208" t="str">
        <f>Begriffe!F44</f>
        <v>Feuchtequellen (ohne Personen)</v>
      </c>
      <c r="AY6" s="209" t="str">
        <f>Begriffe!F39</f>
        <v>Elektrische Leistung der Geräte</v>
      </c>
      <c r="AZ6" s="360" t="str">
        <f>""</f>
        <v/>
      </c>
      <c r="BA6" s="555" t="str">
        <f>""</f>
        <v/>
      </c>
      <c r="BB6" s="555" t="str">
        <f>Begriffe!F41</f>
        <v>Elektrische Leistung der Prozessanlagen</v>
      </c>
      <c r="BC6" s="555" t="str">
        <f>""</f>
        <v/>
      </c>
      <c r="BD6" s="555" t="str">
        <f>""</f>
        <v/>
      </c>
      <c r="BE6" s="360" t="str">
        <f>Begriffe!F121</f>
        <v>Wärmeeintragsleistung der Geräte</v>
      </c>
      <c r="BF6" s="360" t="str">
        <f>""</f>
        <v/>
      </c>
      <c r="BG6" s="360" t="str">
        <f>""</f>
        <v/>
      </c>
      <c r="BH6" s="208" t="str">
        <f>Begriffe!F73</f>
        <v>Leistung ausserhalb der Nutzungszeit</v>
      </c>
      <c r="BI6" s="209" t="str">
        <f>""</f>
        <v/>
      </c>
      <c r="BJ6" s="360" t="str">
        <f>""</f>
        <v/>
      </c>
      <c r="BK6" s="360" t="s">
        <v>1422</v>
      </c>
      <c r="BL6" s="209" t="str">
        <f>Begriffe!F34</f>
        <v>Beleuchtungsstärke</v>
      </c>
      <c r="BM6" s="360" t="str">
        <f>Begriffe!F212</f>
        <v>Korrekturfaktor k0</v>
      </c>
      <c r="BN6" s="360" t="str">
        <f>Begriffe!F96</f>
        <v>Referenzbeleuchtungsstärke</v>
      </c>
      <c r="BO6" s="360" t="str">
        <f>Begriffe!F89</f>
        <v>Präsenzart</v>
      </c>
      <c r="BP6" s="360" t="str">
        <f>Begriffe!F69</f>
        <v>Korrekturfaktor für Präsenzregelung</v>
      </c>
      <c r="BQ6" s="360" t="str">
        <f>Begriffe!F70</f>
        <v>Korrekturfaktor Gleichzeitigkeit</v>
      </c>
      <c r="BR6" s="360" t="str">
        <f>Begriffe!F35</f>
        <v>Bewertungsebene</v>
      </c>
      <c r="BS6" s="360" t="str">
        <f>Begriffe!F74</f>
        <v>Leuchten-Lichtausbeute</v>
      </c>
      <c r="BU6" s="1071" t="str">
        <f>Begriffe!F83</f>
        <v>Nutzungsstunden pro Tag</v>
      </c>
      <c r="BV6" s="1072" t="str">
        <f>Begriffe!F210</f>
        <v>Nutzungsstunden pro Nacht</v>
      </c>
      <c r="BW6" s="1608" t="str">
        <f>Begriffe!F242</f>
        <v>Kategorie der Raumluftqualität</v>
      </c>
      <c r="BX6" s="1608" t="str">
        <f>Begriffe!F31</f>
        <v>Aussenluft-Volumenstrom pro Person</v>
      </c>
      <c r="BY6" s="1608" t="str">
        <f>""</f>
        <v/>
      </c>
      <c r="BZ6" s="1608" t="str">
        <f>Begriffe!F48</f>
        <v>Hygienebedingter Aussenluft-Volumenstrom</v>
      </c>
      <c r="CA6" s="1608" t="str">
        <f>Begriffe!F90</f>
        <v>Prozessbedingter Aussenluft-Volumenstrom</v>
      </c>
      <c r="CB6" s="360" t="str">
        <f>Begriffe!F30</f>
        <v>Aussenluft-Volumenstrom</v>
      </c>
      <c r="CC6" s="360" t="str">
        <f>""</f>
        <v/>
      </c>
      <c r="CD6" s="360" t="str">
        <f>Begriffe!F32</f>
        <v>Aussenluft-Volumenstrom durch Infiltration</v>
      </c>
      <c r="CE6" s="360" t="str">
        <f>""</f>
        <v/>
      </c>
      <c r="CF6" s="360" t="str">
        <f>Begriffe!F103</f>
        <v>Steuerung und Regelung des Luftvolumenstroms (einstufig, zweistufig, stufenlos)</v>
      </c>
      <c r="CG6" s="360" t="str">
        <f>""</f>
        <v/>
      </c>
      <c r="CH6" s="360" t="str">
        <f>""</f>
        <v/>
      </c>
      <c r="CI6" s="360" t="str">
        <f>Begriffe!F103</f>
        <v>Steuerung und Regelung des Luftvolumenstroms (einstufig, zweistufig, stufenlos)</v>
      </c>
      <c r="CJ6" s="360" t="str">
        <f>""</f>
        <v/>
      </c>
      <c r="CK6" s="360" t="str">
        <f>""</f>
        <v/>
      </c>
      <c r="CL6" s="360" t="str">
        <f>Begriffe!F105</f>
        <v>Temperatur-Änderungsgrad der Wärmerückgewinnung</v>
      </c>
      <c r="CM6" s="360" t="str">
        <f>""</f>
        <v/>
      </c>
      <c r="CN6" s="360" t="str">
        <f>""</f>
        <v/>
      </c>
      <c r="CO6" s="360" t="str">
        <f>Begriffe!F53</f>
        <v>Anlagennutzungsgrad der Wärmerückgewinnung</v>
      </c>
      <c r="CP6" s="360" t="str">
        <f>""</f>
        <v/>
      </c>
      <c r="CQ6" s="208" t="str">
        <f>""</f>
        <v/>
      </c>
      <c r="CR6" s="555" t="str">
        <f>Begriffe!F28</f>
        <v>Anlagentyp</v>
      </c>
      <c r="CS6" s="360" t="s">
        <v>1431</v>
      </c>
      <c r="CT6" s="360" t="str">
        <f>Begriffe!F102</f>
        <v>Spezifische Ventilatorleistung</v>
      </c>
      <c r="CU6" s="360" t="str">
        <f>""</f>
        <v/>
      </c>
      <c r="CV6" s="208" t="str">
        <f>""</f>
        <v/>
      </c>
      <c r="CW6" s="209" t="str">
        <f>Begriffe!F82</f>
        <v>Notwendigkeit einer Kühlung</v>
      </c>
      <c r="DB6" s="208"/>
      <c r="DC6" s="209" t="str">
        <f>Begriffe!F44</f>
        <v>Feuchtequellen (ohne Personen)</v>
      </c>
      <c r="DD6" s="360" t="str">
        <f>""</f>
        <v/>
      </c>
      <c r="DE6" s="360" t="str">
        <f>""</f>
        <v/>
      </c>
      <c r="DF6" s="556" t="str">
        <f>""</f>
        <v/>
      </c>
      <c r="DG6" s="554" t="str">
        <f>Begriffe!F107</f>
        <v>Thermisch wirksame Mindest-Luftwechselrate</v>
      </c>
      <c r="DH6" s="556" t="str">
        <f>""</f>
        <v/>
      </c>
      <c r="DI6" s="554" t="str">
        <f>Begriffe!F36</f>
        <v>Bezugseinheit</v>
      </c>
      <c r="DJ6" s="360" t="str">
        <f>Begriffe!F86</f>
        <v>Nutzwarmwasserbedarf pro Bezugseinheit</v>
      </c>
      <c r="DK6" s="360" t="str">
        <f>Begriffe!F29</f>
        <v>Anzahl Bezugseinheiten pro Person</v>
      </c>
      <c r="DL6" s="360" t="str">
        <f>Begriffe!F125</f>
        <v>Warmwasserbedarf pro Person</v>
      </c>
      <c r="DM6" s="555" t="str">
        <f>Begriffe!F111</f>
        <v>Verhältnis Wasserbedarf zu Warmwasserbedarf</v>
      </c>
      <c r="DN6" s="556" t="str">
        <f>Begriffe!F126</f>
        <v>Wasserbedarf pro Person</v>
      </c>
      <c r="DO6" s="1402" t="str">
        <f>""</f>
        <v/>
      </c>
      <c r="DP6" s="209">
        <v>1</v>
      </c>
      <c r="DQ6" s="360">
        <v>2</v>
      </c>
      <c r="DR6" s="360">
        <v>3</v>
      </c>
      <c r="DS6" s="553">
        <v>4</v>
      </c>
      <c r="DT6" s="555">
        <v>5</v>
      </c>
      <c r="DU6" s="1403">
        <v>6</v>
      </c>
      <c r="DV6" s="360">
        <v>7</v>
      </c>
      <c r="DW6" s="360">
        <v>8</v>
      </c>
      <c r="DX6" s="360">
        <v>9</v>
      </c>
      <c r="DY6" s="553">
        <v>10</v>
      </c>
      <c r="DZ6" s="555">
        <v>11</v>
      </c>
      <c r="EA6" s="1403">
        <v>12</v>
      </c>
      <c r="EB6" s="360">
        <v>13</v>
      </c>
      <c r="EC6" s="360">
        <v>14</v>
      </c>
      <c r="ED6" s="360">
        <v>15</v>
      </c>
      <c r="EE6" s="553">
        <v>16</v>
      </c>
      <c r="EF6" s="555">
        <v>17</v>
      </c>
      <c r="EG6" s="1403">
        <v>18</v>
      </c>
      <c r="EH6" s="360">
        <v>19</v>
      </c>
      <c r="EI6" s="360">
        <v>20</v>
      </c>
      <c r="EJ6" s="360">
        <v>21</v>
      </c>
      <c r="EK6" s="553">
        <v>22</v>
      </c>
      <c r="EL6" s="360">
        <v>23</v>
      </c>
      <c r="EM6" s="208">
        <v>24</v>
      </c>
      <c r="EN6" s="209">
        <v>1</v>
      </c>
      <c r="EO6" s="360">
        <v>2</v>
      </c>
      <c r="EP6" s="360">
        <v>3</v>
      </c>
      <c r="EQ6" s="553">
        <v>4</v>
      </c>
      <c r="ER6" s="555">
        <v>5</v>
      </c>
      <c r="ES6" s="1403">
        <v>6</v>
      </c>
      <c r="ET6" s="360">
        <v>7</v>
      </c>
      <c r="EU6" s="360">
        <v>8</v>
      </c>
      <c r="EV6" s="360">
        <v>9</v>
      </c>
      <c r="EW6" s="553">
        <v>10</v>
      </c>
      <c r="EX6" s="555">
        <v>11</v>
      </c>
      <c r="EY6" s="1403">
        <v>12</v>
      </c>
      <c r="EZ6" s="360">
        <v>13</v>
      </c>
      <c r="FA6" s="360">
        <v>14</v>
      </c>
      <c r="FB6" s="360">
        <v>15</v>
      </c>
      <c r="FC6" s="553">
        <v>16</v>
      </c>
      <c r="FD6" s="555">
        <v>17</v>
      </c>
      <c r="FE6" s="1403">
        <v>18</v>
      </c>
      <c r="FF6" s="360">
        <v>19</v>
      </c>
      <c r="FG6" s="360">
        <v>20</v>
      </c>
      <c r="FH6" s="360">
        <v>21</v>
      </c>
      <c r="FI6" s="553">
        <v>22</v>
      </c>
      <c r="FJ6" s="360">
        <v>23</v>
      </c>
      <c r="FK6" s="208">
        <v>24</v>
      </c>
      <c r="FL6" s="209" t="str">
        <f>""</f>
        <v/>
      </c>
      <c r="FM6" s="209" t="str">
        <f>Begriffe!$F391</f>
        <v>Jan</v>
      </c>
      <c r="FN6" s="360" t="str">
        <f>Begriffe!$F392</f>
        <v>Feb</v>
      </c>
      <c r="FO6" s="1404" t="str">
        <f>Begriffe!$F393</f>
        <v>Mrz</v>
      </c>
      <c r="FP6" s="360" t="str">
        <f>Begriffe!$F394</f>
        <v>Apr</v>
      </c>
      <c r="FQ6" s="360" t="str">
        <f>Begriffe!$F395</f>
        <v>Mai</v>
      </c>
      <c r="FR6" s="1404" t="str">
        <f>Begriffe!$F396</f>
        <v>Jun</v>
      </c>
      <c r="FS6" s="360" t="str">
        <f>Begriffe!$F397</f>
        <v>Jul</v>
      </c>
      <c r="FT6" s="360" t="str">
        <f>Begriffe!$F398</f>
        <v>Aug</v>
      </c>
      <c r="FU6" s="1404" t="str">
        <f>Begriffe!$F399</f>
        <v>Sep</v>
      </c>
      <c r="FV6" s="360" t="str">
        <f>Begriffe!$F400</f>
        <v>Okt</v>
      </c>
      <c r="FW6" s="360" t="str">
        <f>Begriffe!$F401</f>
        <v>Nov</v>
      </c>
      <c r="FX6" s="208" t="str">
        <f>Begriffe!$F402</f>
        <v>Dez</v>
      </c>
      <c r="FY6" s="557" t="str">
        <f>Begriffe!F99</f>
        <v>Ruhetage pro Woche</v>
      </c>
      <c r="FZ6" s="558" t="str">
        <f>Begriffe!F85</f>
        <v>Nutzungstage pro Jahr</v>
      </c>
      <c r="GA6" s="209" t="str">
        <f>Begriffe!F211</f>
        <v>Nutzungsstunden</v>
      </c>
      <c r="GB6" s="360" t="str">
        <f>Begriffe!F213</f>
        <v>Volllaststunden</v>
      </c>
      <c r="GC6" s="559" t="str">
        <f>Begriffe!F214</f>
        <v>Volllaststunden (7-18h)</v>
      </c>
      <c r="GD6" s="559" t="str">
        <f>Begriffe!F215</f>
        <v>Vollaststunden (18-7h)</v>
      </c>
      <c r="GE6" s="360" t="str">
        <f>Begriffe!F52</f>
        <v>Jahresgleichzeitigkeit</v>
      </c>
      <c r="GF6" s="360" t="s">
        <v>1430</v>
      </c>
      <c r="GG6" s="360" t="s">
        <v>1455</v>
      </c>
      <c r="GH6" s="208" t="str">
        <f>Begriffe!F112</f>
        <v>Volllaststunden pro Jahr</v>
      </c>
      <c r="GI6" s="209" t="str">
        <f>Begriffe!F216</f>
        <v>Nutzungsstunden</v>
      </c>
      <c r="GJ6" s="360" t="str">
        <f>Begriffe!F217</f>
        <v>Volllaststunden</v>
      </c>
      <c r="GK6" s="360" t="str">
        <f>Begriffe!F264</f>
        <v>Volllaststunden Ruhetag</v>
      </c>
      <c r="GL6" s="208" t="str">
        <f>Begriffe!F265</f>
        <v>Jährliche Geräte-Volllaststunden</v>
      </c>
      <c r="GM6" s="557" t="s">
        <v>142</v>
      </c>
      <c r="GN6" s="559" t="s">
        <v>143</v>
      </c>
      <c r="GO6" s="559" t="s">
        <v>144</v>
      </c>
      <c r="GP6" s="559" t="s">
        <v>145</v>
      </c>
      <c r="GQ6" s="559" t="s">
        <v>146</v>
      </c>
      <c r="GR6" s="558" t="s">
        <v>147</v>
      </c>
      <c r="HB6" s="360" t="s">
        <v>152</v>
      </c>
      <c r="HC6" s="360">
        <v>1</v>
      </c>
      <c r="HD6" s="360">
        <v>2</v>
      </c>
      <c r="HE6" s="360">
        <v>3</v>
      </c>
      <c r="HF6" s="360">
        <v>4</v>
      </c>
      <c r="HG6" s="360">
        <v>5</v>
      </c>
      <c r="HH6" s="360">
        <v>6</v>
      </c>
      <c r="HI6" s="360">
        <v>7</v>
      </c>
      <c r="HJ6" s="360">
        <v>8</v>
      </c>
      <c r="HK6" s="360">
        <v>9</v>
      </c>
      <c r="HL6" s="360">
        <v>10</v>
      </c>
      <c r="HM6" s="360">
        <v>11</v>
      </c>
      <c r="HN6" s="360">
        <v>12</v>
      </c>
      <c r="HO6" s="360" t="s">
        <v>162</v>
      </c>
      <c r="HQ6" s="360" t="s">
        <v>76</v>
      </c>
      <c r="HS6" s="1405">
        <v>1</v>
      </c>
      <c r="HT6" s="1405">
        <v>2</v>
      </c>
      <c r="HU6" s="1405">
        <v>3</v>
      </c>
      <c r="HV6" s="1405">
        <v>4</v>
      </c>
      <c r="HW6" s="1405">
        <v>5</v>
      </c>
      <c r="HX6" s="1405">
        <v>6</v>
      </c>
      <c r="HY6" s="1405">
        <v>7</v>
      </c>
      <c r="HZ6" s="360" t="s">
        <v>252</v>
      </c>
      <c r="IA6" s="360" t="s">
        <v>253</v>
      </c>
      <c r="IB6" s="360" t="s">
        <v>1528</v>
      </c>
      <c r="IC6" s="360" t="s">
        <v>421</v>
      </c>
      <c r="ID6" s="360" t="s">
        <v>525</v>
      </c>
      <c r="IE6" s="360" t="s">
        <v>524</v>
      </c>
    </row>
    <row r="7" spans="1:239" s="250" customFormat="1" ht="59.6" customHeight="1">
      <c r="A7" s="1613"/>
      <c r="B7" s="1625"/>
      <c r="C7" s="1614"/>
      <c r="D7" s="1613"/>
      <c r="E7" s="1607"/>
      <c r="F7" s="1607"/>
      <c r="G7" s="1607"/>
      <c r="H7" s="1607"/>
      <c r="I7" s="1607"/>
      <c r="J7" s="1607"/>
      <c r="K7" s="1614"/>
      <c r="L7" s="251" t="str">
        <f>Begriffe!$F235</f>
        <v>Standard</v>
      </c>
      <c r="M7" s="250" t="str">
        <f>Begriffe!$F236</f>
        <v>Zielwert</v>
      </c>
      <c r="N7" s="250" t="str">
        <f>Begriffe!$F237</f>
        <v>Bestand</v>
      </c>
      <c r="O7" s="250" t="str">
        <f>Begriffe!$F235</f>
        <v>Standard</v>
      </c>
      <c r="P7" s="250" t="str">
        <f>Begriffe!$F236</f>
        <v>Zielwert</v>
      </c>
      <c r="Q7" s="250" t="str">
        <f>Begriffe!$F237</f>
        <v>Bestand</v>
      </c>
      <c r="R7" s="250" t="str">
        <f>Begriffe!$F235</f>
        <v>Standard</v>
      </c>
      <c r="S7" s="250" t="str">
        <f>Begriffe!$F236</f>
        <v>Zielwert</v>
      </c>
      <c r="T7" s="250" t="str">
        <f>Begriffe!$F237</f>
        <v>Bestand</v>
      </c>
      <c r="U7" s="250" t="str">
        <f>Begriffe!$F235</f>
        <v>Standard</v>
      </c>
      <c r="V7" s="250" t="str">
        <f>Begriffe!$F236</f>
        <v>Zielwert</v>
      </c>
      <c r="W7" s="250" t="str">
        <f>Begriffe!$F237</f>
        <v>Bestand</v>
      </c>
      <c r="AB7" s="251" t="str">
        <f>Begriffe!$F240</f>
        <v>Kühlfall</v>
      </c>
      <c r="AC7" s="250" t="str">
        <f>Begriffe!$F241</f>
        <v>Heizfall</v>
      </c>
      <c r="AD7" s="250" t="str">
        <f>Begriffe!$F240</f>
        <v>Kühlfall</v>
      </c>
      <c r="AE7" s="250" t="str">
        <f>Begriffe!$F241</f>
        <v>Heizfall</v>
      </c>
      <c r="AH7" s="250" t="str">
        <f>Begriffe!$F240</f>
        <v>Kühlfall</v>
      </c>
      <c r="AI7" s="252" t="str">
        <f>Begriffe!$F241</f>
        <v>Heizfall</v>
      </c>
      <c r="AJ7" s="251"/>
      <c r="AN7" s="252"/>
      <c r="AO7" s="252"/>
      <c r="AP7" s="251"/>
      <c r="AQ7" s="1607"/>
      <c r="AR7" s="1607" t="str">
        <f>Begriffe!$F240</f>
        <v>Kühlfall</v>
      </c>
      <c r="AS7" s="250" t="str">
        <f>Begriffe!$F241</f>
        <v>Heizfall</v>
      </c>
      <c r="AT7" s="1607" t="str">
        <f>Begriffe!$F240</f>
        <v>Kühlfall</v>
      </c>
      <c r="AU7" s="250" t="str">
        <f>Begriffe!$F241</f>
        <v>Heizfall</v>
      </c>
      <c r="AV7" s="1607" t="str">
        <f>Begriffe!$F240</f>
        <v>Kühlfall</v>
      </c>
      <c r="AW7" s="250" t="str">
        <f>Begriffe!$F241</f>
        <v>Heizfall</v>
      </c>
      <c r="AX7" s="252"/>
      <c r="AY7" s="251" t="str">
        <f>Begriffe!$F235</f>
        <v>Standard</v>
      </c>
      <c r="AZ7" s="250" t="str">
        <f>Begriffe!$F236</f>
        <v>Zielwert</v>
      </c>
      <c r="BA7" s="250" t="str">
        <f>Begriffe!$F237</f>
        <v>Bestand</v>
      </c>
      <c r="BB7" s="250" t="str">
        <f>Begriffe!$F235</f>
        <v>Standard</v>
      </c>
      <c r="BC7" s="250" t="str">
        <f>Begriffe!$F236</f>
        <v>Zielwert</v>
      </c>
      <c r="BD7" s="250" t="str">
        <f>Begriffe!$F237</f>
        <v>Bestand</v>
      </c>
      <c r="BE7" s="250" t="str">
        <f>Begriffe!$F235</f>
        <v>Standard</v>
      </c>
      <c r="BF7" s="250" t="str">
        <f>Begriffe!$F236</f>
        <v>Zielwert</v>
      </c>
      <c r="BG7" s="250" t="str">
        <f>Begriffe!$F237</f>
        <v>Bestand</v>
      </c>
      <c r="BH7" s="252"/>
      <c r="BI7" s="251" t="str">
        <f>Begriffe!$F235</f>
        <v>Standard</v>
      </c>
      <c r="BJ7" s="250" t="str">
        <f>Begriffe!$F235</f>
        <v>Standard</v>
      </c>
      <c r="BL7" s="251"/>
      <c r="BP7" s="250" t="str">
        <f>Begriffe!$F236</f>
        <v>Zielwert</v>
      </c>
      <c r="BS7" s="250" t="str">
        <f>Begriffe!$F235</f>
        <v>Standard</v>
      </c>
      <c r="BT7" s="250" t="str">
        <f>Begriffe!$F236</f>
        <v>Zielwert</v>
      </c>
      <c r="BU7" s="1217"/>
      <c r="BV7" s="1222"/>
      <c r="BW7" s="1607"/>
      <c r="BX7" s="1607" t="str">
        <f>Begriffe!F243</f>
        <v>Tag</v>
      </c>
      <c r="BY7" s="1607" t="str">
        <f>Begriffe!F244</f>
        <v>Nacht</v>
      </c>
      <c r="BZ7" s="1607"/>
      <c r="CA7" s="1607"/>
      <c r="CB7" s="250" t="str">
        <f>Begriffe!$F235</f>
        <v>Standard</v>
      </c>
      <c r="CD7" s="250" t="str">
        <f>Begriffe!$F238</f>
        <v>Standard, Zielwert</v>
      </c>
      <c r="CE7" s="250" t="str">
        <f>Begriffe!$F237</f>
        <v>Bestand</v>
      </c>
      <c r="CF7" s="250" t="str">
        <f>Begriffe!$F235</f>
        <v>Standard</v>
      </c>
      <c r="CG7" s="250" t="str">
        <f>Begriffe!$F236</f>
        <v>Zielwert</v>
      </c>
      <c r="CH7" s="250" t="str">
        <f>Begriffe!$F237</f>
        <v>Bestand</v>
      </c>
      <c r="CI7" s="250" t="str">
        <f>Begriffe!$F235</f>
        <v>Standard</v>
      </c>
      <c r="CJ7" s="250" t="str">
        <f>Begriffe!$F236</f>
        <v>Zielwert</v>
      </c>
      <c r="CK7" s="250" t="str">
        <f>Begriffe!$F237</f>
        <v>Bestand</v>
      </c>
      <c r="CL7" s="250" t="str">
        <f>Begriffe!$F235</f>
        <v>Standard</v>
      </c>
      <c r="CM7" s="250" t="str">
        <f>Begriffe!$F236</f>
        <v>Zielwert</v>
      </c>
      <c r="CN7" s="250" t="str">
        <f>Begriffe!$F237</f>
        <v>Bestand</v>
      </c>
      <c r="CO7" s="250" t="str">
        <f>Begriffe!$F235</f>
        <v>Standard</v>
      </c>
      <c r="CP7" s="250" t="str">
        <f>Begriffe!$F236</f>
        <v>Zielwert</v>
      </c>
      <c r="CQ7" s="252" t="str">
        <f>Begriffe!$F237</f>
        <v>Bestand</v>
      </c>
      <c r="CS7" s="250" t="str">
        <f>Begriffe!$F235</f>
        <v>Standard</v>
      </c>
      <c r="CT7" s="250" t="str">
        <f>Begriffe!$F235</f>
        <v>Standard</v>
      </c>
      <c r="CU7" s="250" t="str">
        <f>Begriffe!$F236</f>
        <v>Zielwert</v>
      </c>
      <c r="CV7" s="252" t="str">
        <f>Begriffe!$F237</f>
        <v>Bestand</v>
      </c>
      <c r="CW7" s="251" t="str">
        <f>Begriffe!$F235</f>
        <v>Standard</v>
      </c>
      <c r="CX7" s="250" t="str">
        <f>Begriffe!$F235</f>
        <v>Standard</v>
      </c>
      <c r="CY7" s="250" t="str">
        <f>Begriffe!$F235</f>
        <v>Standard</v>
      </c>
      <c r="CZ7" s="250" t="str">
        <f>Begriffe!$F236</f>
        <v>Zielwert</v>
      </c>
      <c r="DA7" s="250" t="str">
        <f>Begriffe!$F236</f>
        <v>Zielwert</v>
      </c>
      <c r="DB7" s="252" t="str">
        <f>Begriffe!$F236</f>
        <v>Zielwert</v>
      </c>
      <c r="DC7" s="251" t="str">
        <f>Begriffe!$F235</f>
        <v>Standard</v>
      </c>
      <c r="DD7" s="250" t="str">
        <f>Begriffe!$F236</f>
        <v>Zielwert</v>
      </c>
      <c r="DE7" s="250" t="str">
        <f>Begriffe!$F237</f>
        <v>Bestand</v>
      </c>
      <c r="DF7" s="252"/>
      <c r="DG7" s="251" t="str">
        <f>Begriffe!$F238</f>
        <v>Standard, Zielwert</v>
      </c>
      <c r="DH7" s="252" t="str">
        <f>Begriffe!$F237</f>
        <v>Bestand</v>
      </c>
      <c r="DI7" s="251"/>
      <c r="DN7" s="252"/>
      <c r="DO7" s="1406"/>
      <c r="DP7" s="251"/>
      <c r="DS7" s="560"/>
      <c r="DU7" s="1407"/>
      <c r="DY7" s="560"/>
      <c r="EA7" s="1407"/>
      <c r="EE7" s="560"/>
      <c r="EG7" s="1407"/>
      <c r="EK7" s="560"/>
      <c r="EM7" s="252"/>
      <c r="EN7" s="251"/>
      <c r="EQ7" s="560"/>
      <c r="ES7" s="1407"/>
      <c r="EW7" s="560"/>
      <c r="EY7" s="1407"/>
      <c r="FC7" s="560"/>
      <c r="FE7" s="1407"/>
      <c r="FI7" s="560"/>
      <c r="FK7" s="252"/>
      <c r="FL7" s="251"/>
      <c r="FM7" s="251"/>
      <c r="FP7" s="560"/>
      <c r="FR7" s="1407"/>
      <c r="FV7" s="560"/>
      <c r="FX7" s="252"/>
      <c r="FY7" s="1408"/>
      <c r="FZ7" s="1409"/>
      <c r="GA7" s="251"/>
      <c r="GC7" s="1410"/>
      <c r="GD7" s="1410"/>
      <c r="GE7" s="1411"/>
      <c r="GF7" s="1411"/>
      <c r="GG7" s="1411"/>
      <c r="GH7" s="252"/>
      <c r="GI7" s="251"/>
      <c r="GL7" s="252"/>
      <c r="GM7" s="1408" t="s">
        <v>1690</v>
      </c>
      <c r="GN7" s="1410" t="s">
        <v>1181</v>
      </c>
      <c r="GO7" s="1410" t="s">
        <v>19</v>
      </c>
      <c r="GP7" s="250" t="s">
        <v>1688</v>
      </c>
      <c r="GQ7" s="250" t="s">
        <v>1689</v>
      </c>
      <c r="GR7" s="252" t="s">
        <v>519</v>
      </c>
      <c r="HS7" s="1412"/>
      <c r="HT7" s="1412"/>
      <c r="HU7" s="1412"/>
      <c r="HV7" s="1412"/>
      <c r="HW7" s="1412"/>
      <c r="HX7" s="1412"/>
      <c r="HY7" s="1412"/>
    </row>
    <row r="8" spans="1:239" s="360" customFormat="1" ht="48" customHeight="1">
      <c r="A8" s="561" t="s">
        <v>105</v>
      </c>
      <c r="B8" s="257" t="s">
        <v>105</v>
      </c>
      <c r="C8" s="562"/>
      <c r="D8" s="561" t="s">
        <v>29</v>
      </c>
      <c r="E8" s="257" t="s">
        <v>29</v>
      </c>
      <c r="F8" s="257" t="s">
        <v>29</v>
      </c>
      <c r="G8" s="257" t="s">
        <v>439</v>
      </c>
      <c r="H8" s="257" t="s">
        <v>439</v>
      </c>
      <c r="I8" s="257" t="s">
        <v>5</v>
      </c>
      <c r="J8" s="257" t="s">
        <v>16</v>
      </c>
      <c r="K8" s="562" t="s">
        <v>5</v>
      </c>
      <c r="L8" s="561" t="s">
        <v>618</v>
      </c>
      <c r="M8" s="257" t="s">
        <v>618</v>
      </c>
      <c r="N8" s="257" t="s">
        <v>618</v>
      </c>
      <c r="O8" s="257" t="s">
        <v>618</v>
      </c>
      <c r="P8" s="257" t="s">
        <v>618</v>
      </c>
      <c r="Q8" s="257" t="s">
        <v>618</v>
      </c>
      <c r="R8" s="257" t="s">
        <v>16</v>
      </c>
      <c r="S8" s="257"/>
      <c r="T8" s="257"/>
      <c r="U8" s="257"/>
      <c r="V8" s="257"/>
      <c r="W8" s="257"/>
      <c r="X8" s="257" t="s">
        <v>16</v>
      </c>
      <c r="Y8" s="563" t="s">
        <v>16</v>
      </c>
      <c r="Z8" s="257" t="s">
        <v>52</v>
      </c>
      <c r="AA8" s="257" t="s">
        <v>154</v>
      </c>
      <c r="AB8" s="561" t="s">
        <v>3</v>
      </c>
      <c r="AC8" s="257" t="s">
        <v>3</v>
      </c>
      <c r="AD8" s="257" t="s">
        <v>3</v>
      </c>
      <c r="AE8" s="257" t="s">
        <v>3</v>
      </c>
      <c r="AF8" s="257"/>
      <c r="AG8" s="257"/>
      <c r="AH8" s="257" t="s">
        <v>5</v>
      </c>
      <c r="AI8" s="562" t="s">
        <v>5</v>
      </c>
      <c r="AJ8" s="561"/>
      <c r="AK8" s="257"/>
      <c r="AL8" s="257" t="s">
        <v>1489</v>
      </c>
      <c r="AM8" s="257" t="s">
        <v>1489</v>
      </c>
      <c r="AN8" s="562" t="s">
        <v>1489</v>
      </c>
      <c r="AO8" s="562" t="s">
        <v>9</v>
      </c>
      <c r="AP8" s="561" t="s">
        <v>545</v>
      </c>
      <c r="AQ8" s="257" t="s">
        <v>12</v>
      </c>
      <c r="AR8" s="257" t="s">
        <v>13</v>
      </c>
      <c r="AS8" s="257" t="s">
        <v>13</v>
      </c>
      <c r="AT8" s="257" t="s">
        <v>592</v>
      </c>
      <c r="AU8" s="257" t="s">
        <v>592</v>
      </c>
      <c r="AV8" s="257" t="s">
        <v>1634</v>
      </c>
      <c r="AW8" s="257" t="s">
        <v>1634</v>
      </c>
      <c r="AX8" s="562" t="s">
        <v>440</v>
      </c>
      <c r="AY8" s="561" t="s">
        <v>149</v>
      </c>
      <c r="AZ8" s="257" t="s">
        <v>149</v>
      </c>
      <c r="BA8" s="257" t="s">
        <v>149</v>
      </c>
      <c r="BB8" s="257" t="s">
        <v>149</v>
      </c>
      <c r="BC8" s="257" t="s">
        <v>149</v>
      </c>
      <c r="BD8" s="257" t="s">
        <v>149</v>
      </c>
      <c r="BE8" s="257" t="s">
        <v>149</v>
      </c>
      <c r="BF8" s="257" t="s">
        <v>149</v>
      </c>
      <c r="BG8" s="257" t="s">
        <v>149</v>
      </c>
      <c r="BH8" s="562" t="s">
        <v>5</v>
      </c>
      <c r="BI8" s="561" t="s">
        <v>149</v>
      </c>
      <c r="BJ8" s="257" t="s">
        <v>149</v>
      </c>
      <c r="BK8" s="257" t="s">
        <v>16</v>
      </c>
      <c r="BL8" s="561" t="s">
        <v>18</v>
      </c>
      <c r="BM8" s="257"/>
      <c r="BN8" s="257" t="s">
        <v>18</v>
      </c>
      <c r="BO8" s="257"/>
      <c r="BP8" s="257"/>
      <c r="BQ8" s="257" t="s">
        <v>16</v>
      </c>
      <c r="BR8" s="257" t="s">
        <v>29</v>
      </c>
      <c r="BS8" s="257" t="s">
        <v>70</v>
      </c>
      <c r="BT8" s="257" t="s">
        <v>70</v>
      </c>
      <c r="BU8" s="257" t="s">
        <v>15</v>
      </c>
      <c r="BV8" s="562" t="s">
        <v>15</v>
      </c>
      <c r="BW8" s="561" t="s">
        <v>16</v>
      </c>
      <c r="BX8" s="257" t="s">
        <v>546</v>
      </c>
      <c r="BY8" s="257" t="s">
        <v>546</v>
      </c>
      <c r="BZ8" s="257" t="s">
        <v>619</v>
      </c>
      <c r="CA8" s="257" t="s">
        <v>619</v>
      </c>
      <c r="CB8" s="257" t="s">
        <v>619</v>
      </c>
      <c r="CC8" s="257" t="s">
        <v>5</v>
      </c>
      <c r="CD8" s="257" t="s">
        <v>619</v>
      </c>
      <c r="CE8" s="257" t="s">
        <v>619</v>
      </c>
      <c r="CF8" s="257"/>
      <c r="CG8" s="257"/>
      <c r="CH8" s="257"/>
      <c r="CI8" s="257"/>
      <c r="CJ8" s="257"/>
      <c r="CK8" s="257"/>
      <c r="CL8" s="563" t="s">
        <v>16</v>
      </c>
      <c r="CM8" s="563" t="s">
        <v>16</v>
      </c>
      <c r="CN8" s="563" t="s">
        <v>16</v>
      </c>
      <c r="CO8" s="563" t="s">
        <v>16</v>
      </c>
      <c r="CP8" s="563" t="s">
        <v>16</v>
      </c>
      <c r="CQ8" s="1414" t="s">
        <v>16</v>
      </c>
      <c r="CR8" s="257"/>
      <c r="CS8" s="257" t="s">
        <v>966</v>
      </c>
      <c r="CT8" s="257" t="s">
        <v>966</v>
      </c>
      <c r="CU8" s="257" t="s">
        <v>966</v>
      </c>
      <c r="CV8" s="562" t="s">
        <v>966</v>
      </c>
      <c r="CW8" s="561"/>
      <c r="CX8" s="257"/>
      <c r="CY8" s="257"/>
      <c r="CZ8" s="257"/>
      <c r="DA8" s="257"/>
      <c r="DB8" s="562"/>
      <c r="DC8" s="561" t="s">
        <v>206</v>
      </c>
      <c r="DD8" s="257" t="s">
        <v>206</v>
      </c>
      <c r="DE8" s="257" t="s">
        <v>206</v>
      </c>
      <c r="DF8" s="1414" t="s">
        <v>16</v>
      </c>
      <c r="DG8" s="1415" t="s">
        <v>1461</v>
      </c>
      <c r="DH8" s="1416" t="s">
        <v>1461</v>
      </c>
      <c r="DI8" s="1417"/>
      <c r="DJ8" s="257" t="s">
        <v>544</v>
      </c>
      <c r="DK8" s="563" t="s">
        <v>16</v>
      </c>
      <c r="DL8" s="257" t="s">
        <v>544</v>
      </c>
      <c r="DM8" s="563" t="s">
        <v>16</v>
      </c>
      <c r="DN8" s="562" t="s">
        <v>544</v>
      </c>
      <c r="DO8" s="1418"/>
      <c r="DP8" s="561">
        <v>1</v>
      </c>
      <c r="DQ8" s="257">
        <v>1</v>
      </c>
      <c r="DR8" s="257">
        <v>1</v>
      </c>
      <c r="DS8" s="1413">
        <v>1</v>
      </c>
      <c r="DT8" s="257">
        <v>1</v>
      </c>
      <c r="DU8" s="1419">
        <v>1</v>
      </c>
      <c r="DV8" s="257">
        <v>1</v>
      </c>
      <c r="DW8" s="257">
        <v>1</v>
      </c>
      <c r="DX8" s="257">
        <v>1</v>
      </c>
      <c r="DY8" s="1413">
        <v>1</v>
      </c>
      <c r="DZ8" s="257">
        <v>1</v>
      </c>
      <c r="EA8" s="1419">
        <v>1</v>
      </c>
      <c r="EB8" s="257">
        <v>1</v>
      </c>
      <c r="EC8" s="257">
        <v>1</v>
      </c>
      <c r="ED8" s="257">
        <v>1</v>
      </c>
      <c r="EE8" s="1413">
        <v>1</v>
      </c>
      <c r="EF8" s="257">
        <v>1</v>
      </c>
      <c r="EG8" s="1419">
        <v>1</v>
      </c>
      <c r="EH8" s="257">
        <v>1</v>
      </c>
      <c r="EI8" s="257">
        <v>1</v>
      </c>
      <c r="EJ8" s="257">
        <v>1</v>
      </c>
      <c r="EK8" s="1413">
        <v>1</v>
      </c>
      <c r="EL8" s="257">
        <v>1</v>
      </c>
      <c r="EM8" s="562">
        <v>1</v>
      </c>
      <c r="EN8" s="561">
        <v>1</v>
      </c>
      <c r="EO8" s="257">
        <v>1</v>
      </c>
      <c r="EP8" s="257">
        <v>1</v>
      </c>
      <c r="EQ8" s="1413">
        <v>1</v>
      </c>
      <c r="ER8" s="257">
        <v>1</v>
      </c>
      <c r="ES8" s="1419">
        <v>1</v>
      </c>
      <c r="ET8" s="257">
        <v>1</v>
      </c>
      <c r="EU8" s="257">
        <v>1</v>
      </c>
      <c r="EV8" s="257">
        <v>1</v>
      </c>
      <c r="EW8" s="1413">
        <v>1</v>
      </c>
      <c r="EX8" s="257">
        <v>1</v>
      </c>
      <c r="EY8" s="1419">
        <v>1</v>
      </c>
      <c r="EZ8" s="257">
        <v>1</v>
      </c>
      <c r="FA8" s="257">
        <v>1</v>
      </c>
      <c r="FB8" s="257">
        <v>1</v>
      </c>
      <c r="FC8" s="1413">
        <v>1</v>
      </c>
      <c r="FD8" s="257">
        <v>1</v>
      </c>
      <c r="FE8" s="1419">
        <v>1</v>
      </c>
      <c r="FF8" s="257">
        <v>1</v>
      </c>
      <c r="FG8" s="257">
        <v>1</v>
      </c>
      <c r="FH8" s="257">
        <v>1</v>
      </c>
      <c r="FI8" s="1413">
        <v>1</v>
      </c>
      <c r="FJ8" s="257">
        <v>1</v>
      </c>
      <c r="FK8" s="562">
        <v>1</v>
      </c>
      <c r="FL8" s="561"/>
      <c r="FM8" s="561">
        <v>31</v>
      </c>
      <c r="FN8" s="257">
        <v>28</v>
      </c>
      <c r="FO8" s="257">
        <v>31</v>
      </c>
      <c r="FP8" s="1413">
        <v>30</v>
      </c>
      <c r="FQ8" s="257">
        <v>31</v>
      </c>
      <c r="FR8" s="1419">
        <v>30</v>
      </c>
      <c r="FS8" s="257">
        <v>31</v>
      </c>
      <c r="FT8" s="257">
        <v>31</v>
      </c>
      <c r="FU8" s="257">
        <v>30</v>
      </c>
      <c r="FV8" s="1413">
        <v>31</v>
      </c>
      <c r="FW8" s="257">
        <v>30</v>
      </c>
      <c r="FX8" s="562">
        <v>31</v>
      </c>
      <c r="FY8" s="564" t="s">
        <v>35</v>
      </c>
      <c r="FZ8" s="565" t="s">
        <v>35</v>
      </c>
      <c r="GA8" s="561" t="s">
        <v>14</v>
      </c>
      <c r="GB8" s="257" t="s">
        <v>14</v>
      </c>
      <c r="GC8" s="1420" t="s">
        <v>14</v>
      </c>
      <c r="GD8" s="1420" t="s">
        <v>14</v>
      </c>
      <c r="GE8" s="257" t="s">
        <v>16</v>
      </c>
      <c r="GF8" s="257" t="s">
        <v>72</v>
      </c>
      <c r="GG8" s="257" t="s">
        <v>72</v>
      </c>
      <c r="GH8" s="562" t="s">
        <v>72</v>
      </c>
      <c r="GI8" s="561" t="s">
        <v>14</v>
      </c>
      <c r="GJ8" s="257" t="s">
        <v>14</v>
      </c>
      <c r="GK8" s="257" t="s">
        <v>14</v>
      </c>
      <c r="GL8" s="562" t="s">
        <v>72</v>
      </c>
      <c r="GM8" s="561"/>
      <c r="GN8" s="257"/>
      <c r="GO8" s="257"/>
      <c r="GP8" s="257"/>
      <c r="GQ8" s="257"/>
      <c r="GR8" s="562"/>
      <c r="HC8" s="360">
        <v>31</v>
      </c>
      <c r="HD8" s="360">
        <v>28</v>
      </c>
      <c r="HE8" s="360">
        <v>31</v>
      </c>
      <c r="HF8" s="360">
        <v>30</v>
      </c>
      <c r="HG8" s="360">
        <v>31</v>
      </c>
      <c r="HH8" s="360">
        <v>30</v>
      </c>
      <c r="HI8" s="360">
        <v>31</v>
      </c>
      <c r="HJ8" s="360">
        <v>31</v>
      </c>
      <c r="HK8" s="360">
        <v>30</v>
      </c>
      <c r="HL8" s="360">
        <v>31</v>
      </c>
      <c r="HM8" s="360">
        <v>30</v>
      </c>
      <c r="HN8" s="360">
        <v>31</v>
      </c>
      <c r="HQ8" s="360" t="s">
        <v>35</v>
      </c>
      <c r="HS8" s="1421"/>
      <c r="HT8" s="1421"/>
      <c r="HU8" s="1421"/>
      <c r="HV8" s="1421"/>
      <c r="HW8" s="1421"/>
      <c r="HX8" s="1421"/>
      <c r="HY8" s="1421"/>
      <c r="HZ8" s="360" t="s">
        <v>134</v>
      </c>
      <c r="IA8" s="360" t="s">
        <v>134</v>
      </c>
      <c r="IB8" s="360" t="s">
        <v>256</v>
      </c>
      <c r="IE8" s="360" t="s">
        <v>134</v>
      </c>
    </row>
    <row r="9" spans="1:239" s="390" customFormat="1" ht="12" customHeight="1">
      <c r="A9" s="1626">
        <v>1.01</v>
      </c>
      <c r="B9" s="1627"/>
      <c r="C9" s="1617" t="str">
        <f>Begriffe!F134</f>
        <v>Wohnen MFH</v>
      </c>
      <c r="D9" s="1838">
        <v>4</v>
      </c>
      <c r="E9" s="1609">
        <v>5</v>
      </c>
      <c r="F9" s="1609">
        <v>2.5</v>
      </c>
      <c r="G9" s="1615">
        <f>D9*E9</f>
        <v>20</v>
      </c>
      <c r="H9" s="1615">
        <v>26.47058823529412</v>
      </c>
      <c r="I9" s="1601">
        <v>30</v>
      </c>
      <c r="J9" s="1616">
        <v>0.75</v>
      </c>
      <c r="K9" s="1617">
        <f>I9/J9</f>
        <v>40</v>
      </c>
      <c r="L9" s="1422">
        <v>1</v>
      </c>
      <c r="M9" s="599">
        <v>0.8</v>
      </c>
      <c r="N9" s="599">
        <v>1.5</v>
      </c>
      <c r="O9" s="1423">
        <v>0.17</v>
      </c>
      <c r="P9" s="599">
        <v>0.1</v>
      </c>
      <c r="Q9" s="599">
        <v>0.8</v>
      </c>
      <c r="R9" s="1423">
        <v>0.5</v>
      </c>
      <c r="S9" s="1423">
        <v>0.5</v>
      </c>
      <c r="T9" s="1423">
        <v>0.65</v>
      </c>
      <c r="U9" s="1423">
        <v>0.14000000000000001</v>
      </c>
      <c r="V9" s="1423">
        <v>0.1</v>
      </c>
      <c r="W9" s="1423">
        <v>0.2</v>
      </c>
      <c r="X9" s="384">
        <v>0.7</v>
      </c>
      <c r="Y9" s="384">
        <v>0.9</v>
      </c>
      <c r="Z9" s="384">
        <v>90</v>
      </c>
      <c r="AA9" s="597">
        <v>120</v>
      </c>
      <c r="AB9" s="570">
        <v>26</v>
      </c>
      <c r="AC9" s="1431">
        <v>21</v>
      </c>
      <c r="AD9" s="1431">
        <v>25</v>
      </c>
      <c r="AE9" s="1431">
        <v>22</v>
      </c>
      <c r="AF9" s="584"/>
      <c r="AG9" s="1424" t="s">
        <v>122</v>
      </c>
      <c r="AH9" s="1424">
        <v>60</v>
      </c>
      <c r="AI9" s="1425">
        <v>30</v>
      </c>
      <c r="AJ9" s="1657" t="str">
        <f>Begriffe!F$246</f>
        <v>mittel</v>
      </c>
      <c r="AK9" s="1424">
        <v>2</v>
      </c>
      <c r="AL9" s="1424">
        <f>IF(AK9=2,33,IF(AK9=1,38,""))</f>
        <v>33</v>
      </c>
      <c r="AM9" s="1424">
        <f>IF(AK9=2,38,IF(AK9=1,43,""))</f>
        <v>38</v>
      </c>
      <c r="AN9" s="1425">
        <f>IF(AK9=2,28,IF(AK9=1,33,""))</f>
        <v>28</v>
      </c>
      <c r="AO9" s="1426">
        <v>0.6</v>
      </c>
      <c r="AP9" s="568">
        <v>35</v>
      </c>
      <c r="AQ9" s="1609">
        <v>1.2</v>
      </c>
      <c r="AR9" s="1609">
        <v>0.5</v>
      </c>
      <c r="AS9" s="599">
        <v>1</v>
      </c>
      <c r="AT9" s="1615">
        <f>IF(AQ9=1.2,84,IF(AQ9=2,71,IF(AQ9=3,55,0)))</f>
        <v>84</v>
      </c>
      <c r="AU9" s="1615">
        <f>IF(AQ9=1.2,94,IF(AQ9=2,86,IF(AQ9=3,76,0)))</f>
        <v>94</v>
      </c>
      <c r="AV9" s="1615">
        <f>IF(AQ9=1.2,51,IF(AQ9=2,109,IF(AQ9=3,181,0)))</f>
        <v>51</v>
      </c>
      <c r="AW9" s="1615">
        <f>IF(AQ9=1.2,66,IF(AQ9=2,126,IF(AQ9=3,201,0)))</f>
        <v>66</v>
      </c>
      <c r="AX9" s="1428">
        <v>0.5</v>
      </c>
      <c r="AY9" s="568">
        <v>10</v>
      </c>
      <c r="AZ9" s="384">
        <v>5</v>
      </c>
      <c r="BA9" s="384">
        <v>12</v>
      </c>
      <c r="BB9" s="384"/>
      <c r="BC9" s="384"/>
      <c r="BD9" s="384"/>
      <c r="BE9" s="384">
        <f>AY9</f>
        <v>10</v>
      </c>
      <c r="BF9" s="384">
        <f>AZ9</f>
        <v>5</v>
      </c>
      <c r="BG9" s="384">
        <f>BA9</f>
        <v>12</v>
      </c>
      <c r="BH9" s="1429">
        <v>20</v>
      </c>
      <c r="BI9" s="1430">
        <f>AY9+BB9</f>
        <v>10</v>
      </c>
      <c r="BJ9" s="384">
        <v>30</v>
      </c>
      <c r="BK9" s="599">
        <f>IF(BI9=0,0,BJ9/BI9)</f>
        <v>3</v>
      </c>
      <c r="BL9" s="1812">
        <v>150</v>
      </c>
      <c r="BM9" s="1813">
        <v>1</v>
      </c>
      <c r="BN9" s="765">
        <v>150</v>
      </c>
      <c r="BO9" s="765" t="s">
        <v>1066</v>
      </c>
      <c r="BP9" s="599">
        <v>1</v>
      </c>
      <c r="BQ9" s="599">
        <v>0.5</v>
      </c>
      <c r="BR9" s="1423">
        <v>0.75</v>
      </c>
      <c r="BS9" s="1805">
        <v>90</v>
      </c>
      <c r="BT9" s="1805">
        <v>130</v>
      </c>
      <c r="BU9" s="597">
        <f t="shared" ref="BU9:BU10" si="0">SUMIF(DW9:EG9,"&gt;0",DW$8:EG$8)</f>
        <v>4</v>
      </c>
      <c r="BV9" s="1429">
        <f>IF(OR(A9=12.11,A9=12.12),0,IF(OR(A9=1.01,A9=1.02,A9=2.01,A9=8.01),SUMIF(DW9:EJ9,"&gt;0",DW$8:EJ$8),SUMIF(DP9:EM9,"&gt;0",DP$8:EM$8))-BU9)</f>
        <v>3</v>
      </c>
      <c r="BW9" s="1655" t="s">
        <v>380</v>
      </c>
      <c r="BX9" s="1615">
        <f>IF(BW9="I",57/1.2*AQ9,IF(BW9="II",29/1.2*AQ9,15/1.2*AQ9))</f>
        <v>29</v>
      </c>
      <c r="BY9" s="1601">
        <v>15</v>
      </c>
      <c r="BZ9" s="1616">
        <f>BX9/AP9</f>
        <v>0.82857142857142863</v>
      </c>
      <c r="CA9" s="1616"/>
      <c r="CB9" s="599">
        <f t="shared" ref="CB9:CB53" si="1">BZ9</f>
        <v>0.82857142857142863</v>
      </c>
      <c r="CC9" s="384">
        <v>50</v>
      </c>
      <c r="CD9" s="1423">
        <v>0.15</v>
      </c>
      <c r="CE9" s="1423">
        <v>0.3</v>
      </c>
      <c r="CF9" s="386" t="str">
        <f>IF(CB9&lt;3,"IDA-C3",IF(CB9&lt;6,"IDA-C4","IDA-C6"))</f>
        <v>IDA-C3</v>
      </c>
      <c r="CG9" s="386" t="str">
        <f>IF(CB9&lt;3,"IDA-C4",IF(CB9&lt;6,"IDA-C6","IDA-C6"))</f>
        <v>IDA-C4</v>
      </c>
      <c r="CH9" s="386"/>
      <c r="CI9" s="386" t="str">
        <f>IF(CF9="IDA-C3",Begriffe!$F$248,IF(Eingabedaten!CF9="IDA-C4",Begriffe!$F$249,IF(Eingabedaten!CF9="IDA-C6",Begriffe!$F$250,"")))</f>
        <v>einstufig</v>
      </c>
      <c r="CJ9" s="386" t="str">
        <f>IF(CG9="IDA-C3",Begriffe!$F$248,IF(Eingabedaten!CG9="IDA-C4",Begriffe!$F$249,IF(Eingabedaten!CG9="IDA-C6",Begriffe!$F$250,"")))</f>
        <v>zweistufig</v>
      </c>
      <c r="CK9" s="386" t="str">
        <f>IF(CH9="IDA-C3",Begriffe!$F$248,IF(Eingabedaten!CH9="IDA-C4",Begriffe!$F$249,IF(Eingabedaten!CH9="IDA-C6",Begriffe!$F$250,"")))</f>
        <v/>
      </c>
      <c r="CL9" s="1423">
        <v>0.73</v>
      </c>
      <c r="CM9" s="1423">
        <v>0.78</v>
      </c>
      <c r="CN9" s="1423"/>
      <c r="CO9" s="1423">
        <v>0.7</v>
      </c>
      <c r="CP9" s="1423">
        <v>0.75</v>
      </c>
      <c r="CQ9" s="1432"/>
      <c r="CR9" s="586" t="str">
        <f>Begriffe!$F$253</f>
        <v>Lüftungsanlage mit Lufterwärmung</v>
      </c>
      <c r="CS9" s="586">
        <v>0.56000000000000005</v>
      </c>
      <c r="CT9" s="586">
        <f>CS9</f>
        <v>0.56000000000000005</v>
      </c>
      <c r="CU9" s="586">
        <v>0.34</v>
      </c>
      <c r="CV9" s="1433">
        <v>0.55000000000000004</v>
      </c>
      <c r="CW9" s="1434" t="s">
        <v>16</v>
      </c>
      <c r="CX9" s="567" t="s">
        <v>16</v>
      </c>
      <c r="CY9" s="567" t="s">
        <v>16</v>
      </c>
      <c r="CZ9" s="567" t="s">
        <v>16</v>
      </c>
      <c r="DA9" s="567" t="s">
        <v>16</v>
      </c>
      <c r="DB9" s="1435" t="s">
        <v>16</v>
      </c>
      <c r="DC9" s="568">
        <v>1</v>
      </c>
      <c r="DD9" s="384">
        <v>2</v>
      </c>
      <c r="DE9" s="384">
        <v>0</v>
      </c>
      <c r="DF9" s="566">
        <v>0.5</v>
      </c>
      <c r="DG9" s="568">
        <v>0.1</v>
      </c>
      <c r="DH9" s="566">
        <f>IF(CN9="",0.5,0.3)</f>
        <v>0.5</v>
      </c>
      <c r="DI9" s="568" t="str">
        <f>Begriffe!$F$260</f>
        <v>Person</v>
      </c>
      <c r="DJ9" s="384">
        <v>35</v>
      </c>
      <c r="DK9" s="384">
        <v>1</v>
      </c>
      <c r="DL9" s="597">
        <f>IF(DK9=0,DJ9,DJ9*DK9)</f>
        <v>35</v>
      </c>
      <c r="DM9" s="384">
        <v>4</v>
      </c>
      <c r="DN9" s="1429">
        <f>DL9*DM9</f>
        <v>140</v>
      </c>
      <c r="DO9" s="1436" t="s">
        <v>104</v>
      </c>
      <c r="DP9" s="1422">
        <v>1</v>
      </c>
      <c r="DQ9" s="599">
        <v>1</v>
      </c>
      <c r="DR9" s="599">
        <v>1</v>
      </c>
      <c r="DS9" s="1427">
        <v>1</v>
      </c>
      <c r="DT9" s="599">
        <v>1</v>
      </c>
      <c r="DU9" s="1437">
        <v>1</v>
      </c>
      <c r="DV9" s="599">
        <v>0.6</v>
      </c>
      <c r="DW9" s="599">
        <v>0.4</v>
      </c>
      <c r="DX9" s="599">
        <v>0</v>
      </c>
      <c r="DY9" s="1427">
        <v>0</v>
      </c>
      <c r="DZ9" s="599">
        <v>0</v>
      </c>
      <c r="EA9" s="1437">
        <v>0</v>
      </c>
      <c r="EB9" s="599">
        <v>0.8</v>
      </c>
      <c r="EC9" s="599">
        <v>0.4</v>
      </c>
      <c r="ED9" s="599">
        <v>0</v>
      </c>
      <c r="EE9" s="1427">
        <v>0</v>
      </c>
      <c r="EF9" s="599">
        <v>0</v>
      </c>
      <c r="EG9" s="1437">
        <v>0.4</v>
      </c>
      <c r="EH9" s="599">
        <v>0.8</v>
      </c>
      <c r="EI9" s="599">
        <v>0.8</v>
      </c>
      <c r="EJ9" s="599">
        <v>0.8</v>
      </c>
      <c r="EK9" s="1427">
        <v>1</v>
      </c>
      <c r="EL9" s="599">
        <v>1</v>
      </c>
      <c r="EM9" s="1428">
        <v>1</v>
      </c>
      <c r="EN9" s="1422">
        <v>0.2</v>
      </c>
      <c r="EO9" s="599">
        <v>0.2</v>
      </c>
      <c r="EP9" s="625">
        <v>0.2</v>
      </c>
      <c r="EQ9" s="1144">
        <v>0.2</v>
      </c>
      <c r="ER9" s="599">
        <v>0.2</v>
      </c>
      <c r="ES9" s="1437">
        <v>0.2</v>
      </c>
      <c r="ET9" s="599">
        <v>0.8</v>
      </c>
      <c r="EU9" s="599">
        <v>0.2</v>
      </c>
      <c r="EV9" s="1437">
        <v>0.2</v>
      </c>
      <c r="EW9" s="1427">
        <v>0.2</v>
      </c>
      <c r="EX9" s="599">
        <v>0.2</v>
      </c>
      <c r="EY9" s="1437">
        <v>0.2</v>
      </c>
      <c r="EZ9" s="599">
        <v>0.8</v>
      </c>
      <c r="FA9" s="599">
        <v>0.2</v>
      </c>
      <c r="FB9" s="1437">
        <v>0.2</v>
      </c>
      <c r="FC9" s="1427">
        <v>0.2</v>
      </c>
      <c r="FD9" s="599">
        <v>0.2</v>
      </c>
      <c r="FE9" s="1437">
        <v>0.2</v>
      </c>
      <c r="FF9" s="599">
        <v>0.8</v>
      </c>
      <c r="FG9" s="599">
        <v>1</v>
      </c>
      <c r="FH9" s="599">
        <v>0.2</v>
      </c>
      <c r="FI9" s="1427">
        <v>0.2</v>
      </c>
      <c r="FJ9" s="599">
        <v>0.2</v>
      </c>
      <c r="FK9" s="1428">
        <v>0.2</v>
      </c>
      <c r="FL9" s="569" t="s">
        <v>575</v>
      </c>
      <c r="FM9" s="624">
        <v>0.8</v>
      </c>
      <c r="FN9" s="625">
        <v>0.8</v>
      </c>
      <c r="FO9" s="625">
        <v>0.8</v>
      </c>
      <c r="FP9" s="1144">
        <v>0.8</v>
      </c>
      <c r="FQ9" s="625">
        <v>0.8</v>
      </c>
      <c r="FR9" s="1145">
        <v>0.8</v>
      </c>
      <c r="FS9" s="625">
        <v>0.8</v>
      </c>
      <c r="FT9" s="625">
        <v>0.8</v>
      </c>
      <c r="FU9" s="625">
        <v>0.8</v>
      </c>
      <c r="FV9" s="1144">
        <v>0.8</v>
      </c>
      <c r="FW9" s="625">
        <v>0.8</v>
      </c>
      <c r="FX9" s="1146">
        <v>0.8</v>
      </c>
      <c r="FY9" s="570">
        <v>0</v>
      </c>
      <c r="FZ9" s="623">
        <f>365-(52*FY9)</f>
        <v>365</v>
      </c>
      <c r="GA9" s="624">
        <f t="shared" ref="GA9:GA53" si="2">SUMIF(DP9:EM9,"&gt;0",DP$8:EM$8)</f>
        <v>17</v>
      </c>
      <c r="GB9" s="625">
        <f t="shared" ref="GB9:GB53" si="3">SUM(DP9:EM9)</f>
        <v>14.000000000000002</v>
      </c>
      <c r="GC9" s="625">
        <f t="shared" ref="GC9:GC53" si="4">SUM(DW9:EG9)</f>
        <v>2</v>
      </c>
      <c r="GD9" s="625">
        <f t="shared" ref="GD9:GD53" si="5">SUM(DP9:DV9,EH9:EM9)</f>
        <v>12</v>
      </c>
      <c r="GE9" s="626">
        <f t="shared" ref="GE9:GE41" si="6">SUMPRODUCT(FM9:FX9,FM$8:FX$8)/365</f>
        <v>0.80000000000000016</v>
      </c>
      <c r="GF9" s="619">
        <f>ROUND(FZ9*GA9,-1)</f>
        <v>6210</v>
      </c>
      <c r="GG9" s="619">
        <f t="shared" ref="GG9:GG53" si="7">ROUND(FZ9*(BU9+BV9),-1)</f>
        <v>2560</v>
      </c>
      <c r="GH9" s="388">
        <f>ROUND(GB9*FZ9*GE9,-1)</f>
        <v>4090</v>
      </c>
      <c r="GI9" s="624">
        <f t="shared" ref="GI9:GI53" si="8">SUMIF(EN9:FK9,"&gt;0",DP$8:EM$8)</f>
        <v>24</v>
      </c>
      <c r="GJ9" s="625">
        <f t="shared" ref="GJ9:GJ53" si="9">SUM(EN9:FK9)</f>
        <v>7.4000000000000021</v>
      </c>
      <c r="GK9" s="625">
        <f t="shared" ref="GK9:GK53" si="10">BH9%*24</f>
        <v>4.8000000000000007</v>
      </c>
      <c r="GL9" s="388">
        <f>ROUND((GJ9*FZ9+GK9*(365-FZ9))*GE9,-1)</f>
        <v>2160</v>
      </c>
      <c r="GM9" s="1438" t="str">
        <f>Begriffe!F269</f>
        <v>- Im Schlafzimmer erhöhter Schallschutz</v>
      </c>
      <c r="GN9" s="571"/>
      <c r="GO9" s="571" t="str">
        <f>IF(CH9=0,Begriffe!$F$297,"")</f>
        <v>- Keine Lüftungsanlage im Bestand</v>
      </c>
      <c r="GP9" s="571" t="str">
        <f>Begriffe!$F$285</f>
        <v>- Der Klimakälteleistungsbedarf und der jährliche Klimakältebedarf gelten für Räume ohne unterstützende Fensterlüftung</v>
      </c>
      <c r="GQ9" s="571"/>
      <c r="GR9" s="571" t="str">
        <f>Begriffe!$F299</f>
        <v>- Wasser- und Warmwasserbedarf pro Person</v>
      </c>
      <c r="HB9" s="390" t="s">
        <v>123</v>
      </c>
      <c r="HC9" s="390">
        <v>0.8</v>
      </c>
      <c r="HD9" s="390">
        <v>0.6</v>
      </c>
      <c r="HE9" s="390">
        <v>1</v>
      </c>
      <c r="HF9" s="390">
        <v>0.8</v>
      </c>
      <c r="HG9" s="390">
        <v>0.6</v>
      </c>
      <c r="HH9" s="390">
        <v>1</v>
      </c>
      <c r="HI9" s="390">
        <v>0.6</v>
      </c>
      <c r="HJ9" s="390">
        <v>0.6</v>
      </c>
      <c r="HK9" s="390">
        <v>1</v>
      </c>
      <c r="HL9" s="390">
        <v>0.8</v>
      </c>
      <c r="HM9" s="390">
        <v>1</v>
      </c>
      <c r="HN9" s="390">
        <v>0.6</v>
      </c>
      <c r="HO9" s="390">
        <f t="shared" ref="HO9:HO41" si="11">SUM(HC9:HN9)/12</f>
        <v>0.78333333333333333</v>
      </c>
      <c r="HQ9" s="390">
        <v>0</v>
      </c>
      <c r="HS9" s="600">
        <v>1</v>
      </c>
      <c r="HT9" s="600">
        <v>1</v>
      </c>
      <c r="HU9" s="600">
        <v>1</v>
      </c>
      <c r="HV9" s="600">
        <v>1</v>
      </c>
      <c r="HW9" s="600">
        <v>1</v>
      </c>
      <c r="HX9" s="600">
        <v>1</v>
      </c>
      <c r="HY9" s="600">
        <v>1</v>
      </c>
      <c r="HZ9" s="390">
        <v>13</v>
      </c>
      <c r="IA9" s="390">
        <v>14</v>
      </c>
      <c r="IB9" s="390">
        <v>0.7</v>
      </c>
      <c r="IC9" s="390">
        <v>1</v>
      </c>
      <c r="ID9" s="1439">
        <v>1.1911764705882355</v>
      </c>
      <c r="IE9" s="1440">
        <f>(HZ9+IA9*ID9)</f>
        <v>29.676470588235297</v>
      </c>
    </row>
    <row r="10" spans="1:239" s="390" customFormat="1" ht="12" customHeight="1">
      <c r="A10" s="1628">
        <v>1.02</v>
      </c>
      <c r="B10" s="1629"/>
      <c r="C10" s="572" t="str">
        <f>Begriffe!F135</f>
        <v>Wohnen EFH</v>
      </c>
      <c r="D10" s="1441">
        <v>4</v>
      </c>
      <c r="E10" s="601">
        <v>5</v>
      </c>
      <c r="F10" s="601">
        <v>2.5</v>
      </c>
      <c r="G10" s="602">
        <f>D10*E10</f>
        <v>20</v>
      </c>
      <c r="H10" s="602">
        <v>38.235294117647058</v>
      </c>
      <c r="I10" s="385">
        <v>30</v>
      </c>
      <c r="J10" s="1442">
        <v>0.75</v>
      </c>
      <c r="K10" s="572">
        <f t="shared" ref="K10:K53" si="12">I10/J10</f>
        <v>40</v>
      </c>
      <c r="L10" s="1441">
        <v>1</v>
      </c>
      <c r="M10" s="601">
        <v>0.8</v>
      </c>
      <c r="N10" s="601">
        <v>1.5</v>
      </c>
      <c r="O10" s="1442">
        <v>0.17</v>
      </c>
      <c r="P10" s="601">
        <v>0.1</v>
      </c>
      <c r="Q10" s="601">
        <v>0.8</v>
      </c>
      <c r="R10" s="1442">
        <v>0.5</v>
      </c>
      <c r="S10" s="1442">
        <v>0.5</v>
      </c>
      <c r="T10" s="1442">
        <v>0.65</v>
      </c>
      <c r="U10" s="1442">
        <v>0.14000000000000001</v>
      </c>
      <c r="V10" s="1442">
        <v>0.1</v>
      </c>
      <c r="W10" s="1442">
        <v>0.2</v>
      </c>
      <c r="X10" s="385">
        <v>0.7</v>
      </c>
      <c r="Y10" s="385">
        <v>0.9</v>
      </c>
      <c r="Z10" s="385">
        <v>90</v>
      </c>
      <c r="AA10" s="602">
        <v>120</v>
      </c>
      <c r="AB10" s="576">
        <v>26</v>
      </c>
      <c r="AC10" s="639">
        <v>21</v>
      </c>
      <c r="AD10" s="639">
        <v>25</v>
      </c>
      <c r="AE10" s="639">
        <v>22</v>
      </c>
      <c r="AF10" s="588"/>
      <c r="AG10" s="1443" t="s">
        <v>122</v>
      </c>
      <c r="AH10" s="1443">
        <v>60</v>
      </c>
      <c r="AI10" s="1444">
        <v>30</v>
      </c>
      <c r="AJ10" s="1658" t="str">
        <f>Begriffe!F$246</f>
        <v>mittel</v>
      </c>
      <c r="AK10" s="1443">
        <v>2</v>
      </c>
      <c r="AL10" s="1443">
        <f t="shared" ref="AL10:AL43" si="13">IF(AK10=2,33,IF(AK10=1,38,""))</f>
        <v>33</v>
      </c>
      <c r="AM10" s="1443">
        <f t="shared" ref="AM10:AM53" si="14">IF(AK10=2,38,IF(AK10=1,43,""))</f>
        <v>38</v>
      </c>
      <c r="AN10" s="1444">
        <f t="shared" ref="AN10:AN53" si="15">IF(AK10=2,28,IF(AK10=1,33,""))</f>
        <v>28</v>
      </c>
      <c r="AO10" s="1445">
        <v>0.6</v>
      </c>
      <c r="AP10" s="574">
        <v>50</v>
      </c>
      <c r="AQ10" s="601">
        <v>1.2</v>
      </c>
      <c r="AR10" s="601">
        <v>0.5</v>
      </c>
      <c r="AS10" s="601">
        <v>1</v>
      </c>
      <c r="AT10" s="602">
        <f t="shared" ref="AT10:AT53" si="16">IF(AQ10=1.2,84,IF(AQ10=2,71,IF(AQ10=3,55,0)))</f>
        <v>84</v>
      </c>
      <c r="AU10" s="602">
        <f t="shared" ref="AU10:AU53" si="17">IF(AQ10=1.2,94,IF(AQ10=2,86,IF(AQ10=3,76,0)))</f>
        <v>94</v>
      </c>
      <c r="AV10" s="602">
        <f t="shared" ref="AV10:AV53" si="18">IF(AQ10=1.2,51,IF(AQ10=2,109,IF(AQ10=3,181,0)))</f>
        <v>51</v>
      </c>
      <c r="AW10" s="602">
        <f t="shared" ref="AW10:AW53" si="19">IF(AQ10=1.2,66,IF(AQ10=2,126,IF(AQ10=3,201,0)))</f>
        <v>66</v>
      </c>
      <c r="AX10" s="1447">
        <v>0.5</v>
      </c>
      <c r="AY10" s="574">
        <v>10</v>
      </c>
      <c r="AZ10" s="385">
        <v>5</v>
      </c>
      <c r="BA10" s="385">
        <v>12</v>
      </c>
      <c r="BB10" s="385"/>
      <c r="BC10" s="385"/>
      <c r="BD10" s="385"/>
      <c r="BE10" s="385">
        <f t="shared" ref="BE10:BE21" si="20">AY10</f>
        <v>10</v>
      </c>
      <c r="BF10" s="385">
        <f t="shared" ref="BF10:BF21" si="21">AZ10</f>
        <v>5</v>
      </c>
      <c r="BG10" s="385">
        <f t="shared" ref="BG10:BG21" si="22">BA10</f>
        <v>12</v>
      </c>
      <c r="BH10" s="1073">
        <v>10</v>
      </c>
      <c r="BI10" s="1448">
        <f t="shared" ref="BI10:BI53" si="23">AY10+BB10</f>
        <v>10</v>
      </c>
      <c r="BJ10" s="385">
        <v>30</v>
      </c>
      <c r="BK10" s="601">
        <f t="shared" ref="BK10:BK53" si="24">IF(BI10=0,0,BJ10/BI10)</f>
        <v>3</v>
      </c>
      <c r="BL10" s="1814">
        <v>150</v>
      </c>
      <c r="BM10" s="1815">
        <v>1</v>
      </c>
      <c r="BN10" s="1816">
        <v>150</v>
      </c>
      <c r="BO10" s="1816" t="s">
        <v>1066</v>
      </c>
      <c r="BP10" s="601">
        <v>1</v>
      </c>
      <c r="BQ10" s="601">
        <v>0.5</v>
      </c>
      <c r="BR10" s="1442">
        <v>0.75</v>
      </c>
      <c r="BS10" s="1806">
        <v>90</v>
      </c>
      <c r="BT10" s="1806">
        <v>130</v>
      </c>
      <c r="BU10" s="602">
        <f t="shared" si="0"/>
        <v>4</v>
      </c>
      <c r="BV10" s="1073">
        <f t="shared" ref="BV10:BV53" si="25">IF(OR(A10=12.11,A10=12.12),0,IF(OR(A10=1.01,A10=1.02,A10=2.01,A10=8.01),SUMIF(DW10:EJ10,"&gt;0",DW$8:EJ$8),SUMIF(DP10:EM10,"&gt;0",DP$8:EM$8))-BU10)</f>
        <v>3</v>
      </c>
      <c r="BW10" s="576" t="s">
        <v>380</v>
      </c>
      <c r="BX10" s="602">
        <f t="shared" ref="BX10:BX41" si="26">IF(BW10="I",57/1.2*AQ10,IF(BW10="II",29/1.2*AQ10,15/1.2*AQ10))</f>
        <v>29</v>
      </c>
      <c r="BY10" s="385">
        <v>15</v>
      </c>
      <c r="BZ10" s="1442">
        <f t="shared" ref="BZ10:BZ16" si="27">BX10/AP10</f>
        <v>0.57999999999999996</v>
      </c>
      <c r="CA10" s="1442"/>
      <c r="CB10" s="601">
        <f t="shared" si="1"/>
        <v>0.57999999999999996</v>
      </c>
      <c r="CC10" s="385">
        <v>50</v>
      </c>
      <c r="CD10" s="1442">
        <v>0.15</v>
      </c>
      <c r="CE10" s="1442">
        <v>0.3</v>
      </c>
      <c r="CF10" s="387" t="str">
        <f t="shared" ref="CF10:CF53" si="28">IF(CB10&lt;3,"IDA-C3",IF(CB10&lt;6,"IDA-C4","IDA-C6"))</f>
        <v>IDA-C3</v>
      </c>
      <c r="CG10" s="387" t="str">
        <f t="shared" ref="CG10:CG53" si="29">IF(CB10&lt;3,"IDA-C4",IF(CB10&lt;6,"IDA-C6","IDA-C6"))</f>
        <v>IDA-C4</v>
      </c>
      <c r="CH10" s="387"/>
      <c r="CI10" s="387" t="str">
        <f>IF(CF10="IDA-C3",Begriffe!$F$248,IF(Eingabedaten!CF10="IDA-C4",Begriffe!$F$249,IF(Eingabedaten!CF10="IDA-C6",Begriffe!$F$250,"")))</f>
        <v>einstufig</v>
      </c>
      <c r="CJ10" s="387" t="str">
        <f>IF(CG10="IDA-C3",Begriffe!$F$248,IF(Eingabedaten!CG10="IDA-C4",Begriffe!$F$249,IF(Eingabedaten!CG10="IDA-C6",Begriffe!$F$250,"")))</f>
        <v>zweistufig</v>
      </c>
      <c r="CK10" s="387" t="str">
        <f>IF(CH10="IDA-C3",Begriffe!$F$248,IF(Eingabedaten!CH10="IDA-C4",Begriffe!$F$249,IF(Eingabedaten!CH10="IDA-C6",Begriffe!$F$250,"")))</f>
        <v/>
      </c>
      <c r="CL10" s="1442">
        <v>0.73</v>
      </c>
      <c r="CM10" s="1442">
        <v>0.78</v>
      </c>
      <c r="CN10" s="1442"/>
      <c r="CO10" s="1442">
        <v>0.7</v>
      </c>
      <c r="CP10" s="1442">
        <v>0.75</v>
      </c>
      <c r="CQ10" s="1449"/>
      <c r="CR10" s="573" t="str">
        <f>Begriffe!$F$251</f>
        <v>Einfache Lüftungsanlage</v>
      </c>
      <c r="CS10" s="573">
        <v>0.41</v>
      </c>
      <c r="CT10" s="1450">
        <f>CS10</f>
        <v>0.41</v>
      </c>
      <c r="CU10" s="1450">
        <v>0.223</v>
      </c>
      <c r="CV10" s="1451">
        <v>0.4</v>
      </c>
      <c r="CW10" s="1452" t="s">
        <v>16</v>
      </c>
      <c r="CX10" s="573" t="s">
        <v>16</v>
      </c>
      <c r="CY10" s="573" t="s">
        <v>16</v>
      </c>
      <c r="CZ10" s="573" t="s">
        <v>16</v>
      </c>
      <c r="DA10" s="573" t="s">
        <v>16</v>
      </c>
      <c r="DB10" s="1453" t="s">
        <v>16</v>
      </c>
      <c r="DC10" s="574">
        <v>1</v>
      </c>
      <c r="DD10" s="385">
        <v>2</v>
      </c>
      <c r="DE10" s="385">
        <v>0</v>
      </c>
      <c r="DF10" s="572">
        <v>0.5</v>
      </c>
      <c r="DG10" s="574">
        <v>0.1</v>
      </c>
      <c r="DH10" s="572">
        <f t="shared" ref="DH10:DH53" si="30">IF(CN10="",0.5,0.3)</f>
        <v>0.5</v>
      </c>
      <c r="DI10" s="574" t="str">
        <f>Begriffe!$F$260</f>
        <v>Person</v>
      </c>
      <c r="DJ10" s="385">
        <v>40</v>
      </c>
      <c r="DK10" s="385">
        <v>1</v>
      </c>
      <c r="DL10" s="602">
        <f>IF(DK10=0,DJ10,DJ10*DK10)</f>
        <v>40</v>
      </c>
      <c r="DM10" s="385">
        <v>4</v>
      </c>
      <c r="DN10" s="1073">
        <f>DL10*DM10</f>
        <v>160</v>
      </c>
      <c r="DO10" s="603" t="s">
        <v>104</v>
      </c>
      <c r="DP10" s="1441">
        <v>1</v>
      </c>
      <c r="DQ10" s="601">
        <v>1</v>
      </c>
      <c r="DR10" s="601">
        <v>1</v>
      </c>
      <c r="DS10" s="1446">
        <v>1</v>
      </c>
      <c r="DT10" s="601">
        <v>1</v>
      </c>
      <c r="DU10" s="1454">
        <v>1</v>
      </c>
      <c r="DV10" s="601">
        <v>0.6</v>
      </c>
      <c r="DW10" s="601">
        <v>0.4</v>
      </c>
      <c r="DX10" s="601">
        <v>0</v>
      </c>
      <c r="DY10" s="1446">
        <v>0</v>
      </c>
      <c r="DZ10" s="601">
        <v>0</v>
      </c>
      <c r="EA10" s="1454">
        <v>0</v>
      </c>
      <c r="EB10" s="601">
        <v>0.8</v>
      </c>
      <c r="EC10" s="601">
        <v>0.4</v>
      </c>
      <c r="ED10" s="601">
        <v>0</v>
      </c>
      <c r="EE10" s="1446">
        <v>0</v>
      </c>
      <c r="EF10" s="601">
        <v>0</v>
      </c>
      <c r="EG10" s="1454">
        <v>0.4</v>
      </c>
      <c r="EH10" s="601">
        <v>0.8</v>
      </c>
      <c r="EI10" s="601">
        <v>0.8</v>
      </c>
      <c r="EJ10" s="601">
        <v>0.8</v>
      </c>
      <c r="EK10" s="1446">
        <v>1</v>
      </c>
      <c r="EL10" s="601">
        <v>1</v>
      </c>
      <c r="EM10" s="1447">
        <v>1</v>
      </c>
      <c r="EN10" s="1441">
        <v>0.1</v>
      </c>
      <c r="EO10" s="601">
        <v>0.1</v>
      </c>
      <c r="EP10" s="601">
        <v>0.1</v>
      </c>
      <c r="EQ10" s="1446">
        <v>0.1</v>
      </c>
      <c r="ER10" s="601">
        <v>0.1</v>
      </c>
      <c r="ES10" s="1454">
        <v>0.2</v>
      </c>
      <c r="ET10" s="601">
        <v>0.8</v>
      </c>
      <c r="EU10" s="601">
        <v>0.2</v>
      </c>
      <c r="EV10" s="601">
        <v>0.1</v>
      </c>
      <c r="EW10" s="1446">
        <v>0.1</v>
      </c>
      <c r="EX10" s="601">
        <v>0.1</v>
      </c>
      <c r="EY10" s="1454">
        <v>0.1</v>
      </c>
      <c r="EZ10" s="601">
        <v>0.8</v>
      </c>
      <c r="FA10" s="601">
        <v>0.2</v>
      </c>
      <c r="FB10" s="601">
        <v>0.1</v>
      </c>
      <c r="FC10" s="1446">
        <v>0.1</v>
      </c>
      <c r="FD10" s="601">
        <v>0.1</v>
      </c>
      <c r="FE10" s="1454">
        <v>0.2</v>
      </c>
      <c r="FF10" s="601">
        <v>0.8</v>
      </c>
      <c r="FG10" s="601">
        <v>1</v>
      </c>
      <c r="FH10" s="601">
        <v>0.2</v>
      </c>
      <c r="FI10" s="1446">
        <v>0.2</v>
      </c>
      <c r="FJ10" s="601">
        <v>0.2</v>
      </c>
      <c r="FK10" s="1447">
        <v>0.1</v>
      </c>
      <c r="FL10" s="575" t="s">
        <v>575</v>
      </c>
      <c r="FM10" s="604">
        <v>0.8</v>
      </c>
      <c r="FN10" s="642">
        <v>0.8</v>
      </c>
      <c r="FO10" s="642">
        <v>0.8</v>
      </c>
      <c r="FP10" s="644">
        <v>0.8</v>
      </c>
      <c r="FQ10" s="642">
        <v>0.8</v>
      </c>
      <c r="FR10" s="645">
        <v>0.8</v>
      </c>
      <c r="FS10" s="642">
        <v>0.8</v>
      </c>
      <c r="FT10" s="642">
        <v>0.8</v>
      </c>
      <c r="FU10" s="642">
        <v>0.8</v>
      </c>
      <c r="FV10" s="644">
        <v>0.8</v>
      </c>
      <c r="FW10" s="642">
        <v>0.8</v>
      </c>
      <c r="FX10" s="646">
        <v>0.8</v>
      </c>
      <c r="FY10" s="576">
        <v>0</v>
      </c>
      <c r="FZ10" s="640">
        <f>365-(52*FY10)</f>
        <v>365</v>
      </c>
      <c r="GA10" s="604">
        <f t="shared" si="2"/>
        <v>17</v>
      </c>
      <c r="GB10" s="642">
        <f t="shared" si="3"/>
        <v>14.000000000000002</v>
      </c>
      <c r="GC10" s="642">
        <f t="shared" si="4"/>
        <v>2</v>
      </c>
      <c r="GD10" s="642">
        <f t="shared" si="5"/>
        <v>12</v>
      </c>
      <c r="GE10" s="648">
        <f>SUMPRODUCT(FM10:FX10,FM$8:FX$8)/365</f>
        <v>0.80000000000000016</v>
      </c>
      <c r="GF10" s="641">
        <f t="shared" ref="GF10:GF53" si="31">ROUND(FZ10*GA10,-1)</f>
        <v>6210</v>
      </c>
      <c r="GG10" s="641">
        <f t="shared" si="7"/>
        <v>2560</v>
      </c>
      <c r="GH10" s="592">
        <f>ROUND(GB10*FZ10*GE10,-1)</f>
        <v>4090</v>
      </c>
      <c r="GI10" s="604">
        <f t="shared" si="8"/>
        <v>24</v>
      </c>
      <c r="GJ10" s="642">
        <f t="shared" si="9"/>
        <v>6.1000000000000014</v>
      </c>
      <c r="GK10" s="642">
        <f t="shared" si="10"/>
        <v>2.4000000000000004</v>
      </c>
      <c r="GL10" s="592">
        <f>ROUND((GJ10*FZ10+GK10*(365-FZ10))*GE10,-1)</f>
        <v>1780</v>
      </c>
      <c r="GM10" s="1455" t="str">
        <f>Begriffe!F269</f>
        <v>- Im Schlafzimmer erhöhter Schallschutz</v>
      </c>
      <c r="GN10" s="577"/>
      <c r="GO10" s="577" t="str">
        <f>IF(CH10=0,Begriffe!$F$297,"")</f>
        <v>- Keine Lüftungsanlage im Bestand</v>
      </c>
      <c r="GP10" s="577" t="str">
        <f>Begriffe!$F$285</f>
        <v>- Der Klimakälteleistungsbedarf und der jährliche Klimakältebedarf gelten für Räume ohne unterstützende Fensterlüftung</v>
      </c>
      <c r="GQ10" s="577"/>
      <c r="GR10" s="577" t="str">
        <f>Begriffe!$F300</f>
        <v>- Wasser- und Warmwasserbedarf pro Person</v>
      </c>
      <c r="HB10" s="390" t="s">
        <v>123</v>
      </c>
      <c r="HC10" s="390">
        <v>0.8</v>
      </c>
      <c r="HD10" s="390">
        <v>0.6</v>
      </c>
      <c r="HE10" s="390">
        <v>1</v>
      </c>
      <c r="HF10" s="390">
        <v>0.8</v>
      </c>
      <c r="HG10" s="390">
        <v>0.6</v>
      </c>
      <c r="HH10" s="390">
        <v>1</v>
      </c>
      <c r="HI10" s="390">
        <v>0.6</v>
      </c>
      <c r="HJ10" s="390">
        <v>0.6</v>
      </c>
      <c r="HK10" s="390">
        <v>1</v>
      </c>
      <c r="HL10" s="390">
        <v>0.8</v>
      </c>
      <c r="HM10" s="390">
        <v>1</v>
      </c>
      <c r="HN10" s="390">
        <v>0.6</v>
      </c>
      <c r="HO10" s="390">
        <f>SUM(HC10:HN10)/12</f>
        <v>0.78333333333333333</v>
      </c>
      <c r="HQ10" s="390">
        <v>0</v>
      </c>
      <c r="HS10" s="600">
        <v>1</v>
      </c>
      <c r="HT10" s="600">
        <v>1</v>
      </c>
      <c r="HU10" s="600">
        <v>1</v>
      </c>
      <c r="HV10" s="600">
        <v>1</v>
      </c>
      <c r="HW10" s="600">
        <v>1</v>
      </c>
      <c r="HX10" s="600">
        <v>1</v>
      </c>
      <c r="HY10" s="600">
        <v>1</v>
      </c>
      <c r="HZ10" s="390">
        <v>13</v>
      </c>
      <c r="IA10" s="390">
        <v>14</v>
      </c>
      <c r="IB10" s="390">
        <v>0.7</v>
      </c>
      <c r="IC10" s="390">
        <v>2</v>
      </c>
      <c r="ID10" s="1439">
        <v>1.7205882352941178</v>
      </c>
      <c r="IE10" s="1440">
        <f t="shared" ref="IE10:IE53" si="32">(HZ10+IA10*ID10)</f>
        <v>37.088235294117652</v>
      </c>
    </row>
    <row r="11" spans="1:239" s="390" customFormat="1" ht="12" customHeight="1">
      <c r="A11" s="1630">
        <v>2.0099999999999998</v>
      </c>
      <c r="B11" s="1631" t="s">
        <v>106</v>
      </c>
      <c r="C11" s="628" t="str">
        <f>Begriffe!F136</f>
        <v xml:space="preserve">Hotelzimmer </v>
      </c>
      <c r="D11" s="630">
        <v>4</v>
      </c>
      <c r="E11" s="595">
        <v>5</v>
      </c>
      <c r="F11" s="595">
        <v>2.5</v>
      </c>
      <c r="G11" s="598">
        <f t="shared" ref="G11:G53" si="33">D11*E11</f>
        <v>20</v>
      </c>
      <c r="H11" s="598">
        <v>26.47058823529412</v>
      </c>
      <c r="I11" s="390">
        <v>30</v>
      </c>
      <c r="J11" s="1439">
        <v>0.75</v>
      </c>
      <c r="K11" s="628">
        <f t="shared" si="12"/>
        <v>40</v>
      </c>
      <c r="L11" s="630">
        <v>1</v>
      </c>
      <c r="M11" s="595">
        <v>0.8</v>
      </c>
      <c r="N11" s="595">
        <v>1.5</v>
      </c>
      <c r="O11" s="1439">
        <v>0.17</v>
      </c>
      <c r="P11" s="595">
        <v>0.1</v>
      </c>
      <c r="Q11" s="595">
        <v>0.8</v>
      </c>
      <c r="R11" s="1439">
        <v>0.5</v>
      </c>
      <c r="S11" s="1439">
        <v>0.5</v>
      </c>
      <c r="T11" s="1439">
        <v>0.65</v>
      </c>
      <c r="U11" s="1439">
        <v>0.14000000000000001</v>
      </c>
      <c r="V11" s="1439">
        <v>0.1</v>
      </c>
      <c r="W11" s="1439">
        <v>0.2</v>
      </c>
      <c r="X11" s="390">
        <v>0.7</v>
      </c>
      <c r="Y11" s="390">
        <v>0.9</v>
      </c>
      <c r="Z11" s="390">
        <v>90</v>
      </c>
      <c r="AA11" s="598">
        <v>120</v>
      </c>
      <c r="AB11" s="582">
        <v>26</v>
      </c>
      <c r="AC11" s="1440">
        <v>21</v>
      </c>
      <c r="AD11" s="1440">
        <v>25</v>
      </c>
      <c r="AE11" s="1440">
        <v>22</v>
      </c>
      <c r="AF11" s="578" t="s">
        <v>22</v>
      </c>
      <c r="AG11" s="1456" t="s">
        <v>122</v>
      </c>
      <c r="AH11" s="1456">
        <v>60</v>
      </c>
      <c r="AI11" s="1457">
        <v>30</v>
      </c>
      <c r="AJ11" s="1659" t="str">
        <f>Begriffe!F$246</f>
        <v>mittel</v>
      </c>
      <c r="AK11" s="1456">
        <v>2</v>
      </c>
      <c r="AL11" s="1456">
        <f t="shared" si="13"/>
        <v>33</v>
      </c>
      <c r="AM11" s="1456">
        <f t="shared" si="14"/>
        <v>38</v>
      </c>
      <c r="AN11" s="1457">
        <f t="shared" si="15"/>
        <v>28</v>
      </c>
      <c r="AO11" s="1458">
        <v>0.6</v>
      </c>
      <c r="AP11" s="580">
        <v>15</v>
      </c>
      <c r="AQ11" s="595">
        <v>1.2</v>
      </c>
      <c r="AR11" s="595">
        <v>0.5</v>
      </c>
      <c r="AS11" s="595">
        <v>1</v>
      </c>
      <c r="AT11" s="598">
        <f t="shared" si="16"/>
        <v>84</v>
      </c>
      <c r="AU11" s="598">
        <f t="shared" si="17"/>
        <v>94</v>
      </c>
      <c r="AV11" s="598">
        <f t="shared" si="18"/>
        <v>51</v>
      </c>
      <c r="AW11" s="598">
        <f t="shared" si="19"/>
        <v>66</v>
      </c>
      <c r="AX11" s="632">
        <v>0.5</v>
      </c>
      <c r="AY11" s="580">
        <v>12</v>
      </c>
      <c r="AZ11" s="390">
        <v>6</v>
      </c>
      <c r="BA11" s="390">
        <v>18</v>
      </c>
      <c r="BE11" s="390">
        <f t="shared" si="20"/>
        <v>12</v>
      </c>
      <c r="BF11" s="390">
        <f t="shared" si="21"/>
        <v>6</v>
      </c>
      <c r="BG11" s="390">
        <f t="shared" si="22"/>
        <v>18</v>
      </c>
      <c r="BH11" s="629">
        <v>20</v>
      </c>
      <c r="BI11" s="1460">
        <f t="shared" si="23"/>
        <v>12</v>
      </c>
      <c r="BJ11" s="390">
        <v>60</v>
      </c>
      <c r="BK11" s="595">
        <f t="shared" si="24"/>
        <v>5</v>
      </c>
      <c r="BL11" s="580">
        <f t="shared" ref="BL11:BL52" si="34">BN11/BM11</f>
        <v>50</v>
      </c>
      <c r="BM11" s="595">
        <v>6</v>
      </c>
      <c r="BN11" s="390">
        <v>300</v>
      </c>
      <c r="BO11" s="390" t="str">
        <f>Begriffe!$F$207</f>
        <v>DP</v>
      </c>
      <c r="BP11" s="595">
        <v>1</v>
      </c>
      <c r="BQ11" s="595">
        <v>0.5</v>
      </c>
      <c r="BR11" s="1439">
        <v>0.75</v>
      </c>
      <c r="BS11" s="1807">
        <v>90</v>
      </c>
      <c r="BT11" s="1807">
        <v>130</v>
      </c>
      <c r="BU11" s="598">
        <f>SUMIF(DW11:EG11,"&gt;0",DW$8:EG$8)</f>
        <v>3</v>
      </c>
      <c r="BV11" s="629">
        <f t="shared" si="25"/>
        <v>3</v>
      </c>
      <c r="BW11" s="582" t="s">
        <v>380</v>
      </c>
      <c r="BX11" s="598">
        <f t="shared" si="26"/>
        <v>29</v>
      </c>
      <c r="BY11" s="390">
        <v>15</v>
      </c>
      <c r="BZ11" s="595">
        <f t="shared" si="27"/>
        <v>1.9333333333333333</v>
      </c>
      <c r="CB11" s="595">
        <f t="shared" si="1"/>
        <v>1.9333333333333333</v>
      </c>
      <c r="CC11" s="390">
        <v>50</v>
      </c>
      <c r="CD11" s="1439">
        <v>0.15</v>
      </c>
      <c r="CE11" s="1439">
        <v>0.3</v>
      </c>
      <c r="CF11" s="379" t="str">
        <f t="shared" si="28"/>
        <v>IDA-C3</v>
      </c>
      <c r="CG11" s="379" t="str">
        <f t="shared" si="29"/>
        <v>IDA-C4</v>
      </c>
      <c r="CH11" s="379" t="str">
        <f>IF(CB11&lt;3,"IDA-C3","IDA-C4")</f>
        <v>IDA-C3</v>
      </c>
      <c r="CI11" s="379" t="str">
        <f>IF(CF11="IDA-C3",Begriffe!$F$248,IF(Eingabedaten!CF11="IDA-C4",Begriffe!$F$249,IF(Eingabedaten!CF11="IDA-C6",Begriffe!$F$250,"")))</f>
        <v>einstufig</v>
      </c>
      <c r="CJ11" s="379" t="str">
        <f>IF(CG11="IDA-C3",Begriffe!$F$248,IF(Eingabedaten!CG11="IDA-C4",Begriffe!$F$249,IF(Eingabedaten!CG11="IDA-C6",Begriffe!$F$250,"")))</f>
        <v>zweistufig</v>
      </c>
      <c r="CK11" s="379" t="str">
        <f>IF(CH11="IDA-C3",Begriffe!$F$248,IF(Eingabedaten!CH11="IDA-C4",Begriffe!$F$249,IF(Eingabedaten!CH11="IDA-C6",Begriffe!$F$250,"")))</f>
        <v>einstufig</v>
      </c>
      <c r="CL11" s="1439">
        <v>0.73</v>
      </c>
      <c r="CM11" s="1439">
        <v>0.78</v>
      </c>
      <c r="CN11" s="1439">
        <v>0.5</v>
      </c>
      <c r="CO11" s="1439">
        <v>0.7</v>
      </c>
      <c r="CP11" s="1439">
        <v>0.75</v>
      </c>
      <c r="CQ11" s="1461">
        <v>0.5</v>
      </c>
      <c r="CR11" s="579" t="str">
        <f>Begriffe!$F$252</f>
        <v>Einfache Klimaanlage</v>
      </c>
      <c r="CS11" s="579">
        <v>0.91</v>
      </c>
      <c r="CT11" s="1462">
        <v>0.55000000000000004</v>
      </c>
      <c r="CU11" s="1462">
        <v>0.34</v>
      </c>
      <c r="CV11" s="1463">
        <v>0.91</v>
      </c>
      <c r="CW11" s="1464" t="str">
        <f>Begriffe!$F$257</f>
        <v>nicht notwendig</v>
      </c>
      <c r="CX11" s="579" t="str">
        <f>Begriffe!$F$258</f>
        <v>erwünscht</v>
      </c>
      <c r="CY11" s="579" t="str">
        <f>Begriffe!$F$258</f>
        <v>erwünscht</v>
      </c>
      <c r="CZ11" s="579" t="str">
        <f>Begriffe!$F$257</f>
        <v>nicht notwendig</v>
      </c>
      <c r="DA11" s="579" t="str">
        <f>Begriffe!$F$257</f>
        <v>nicht notwendig</v>
      </c>
      <c r="DB11" s="1465" t="str">
        <f>Begriffe!$F$258</f>
        <v>erwünscht</v>
      </c>
      <c r="DC11" s="580">
        <v>1</v>
      </c>
      <c r="DD11" s="390">
        <v>2</v>
      </c>
      <c r="DE11" s="390">
        <v>0</v>
      </c>
      <c r="DF11" s="628">
        <v>0.5</v>
      </c>
      <c r="DG11" s="580">
        <v>0.1</v>
      </c>
      <c r="DH11" s="628">
        <f t="shared" si="30"/>
        <v>0.3</v>
      </c>
      <c r="DI11" s="580" t="str">
        <f>Begriffe!$F$261</f>
        <v>Bett</v>
      </c>
      <c r="DJ11" s="390">
        <v>40</v>
      </c>
      <c r="DK11" s="390">
        <v>1</v>
      </c>
      <c r="DL11" s="598">
        <f>IF(DK11=0,DJ11,DJ11*DK11)</f>
        <v>40</v>
      </c>
      <c r="DM11" s="390">
        <v>4</v>
      </c>
      <c r="DN11" s="629">
        <f>DL11*DM11</f>
        <v>160</v>
      </c>
      <c r="DO11" s="593" t="s">
        <v>125</v>
      </c>
      <c r="DP11" s="630">
        <v>1</v>
      </c>
      <c r="DQ11" s="595">
        <v>1</v>
      </c>
      <c r="DR11" s="595">
        <v>1</v>
      </c>
      <c r="DS11" s="1459">
        <v>1</v>
      </c>
      <c r="DT11" s="595">
        <v>1</v>
      </c>
      <c r="DU11" s="1466">
        <v>1</v>
      </c>
      <c r="DV11" s="595">
        <v>0.8</v>
      </c>
      <c r="DW11" s="595">
        <v>0.4</v>
      </c>
      <c r="DX11" s="595">
        <v>0.2</v>
      </c>
      <c r="DY11" s="1459">
        <v>0</v>
      </c>
      <c r="DZ11" s="595">
        <v>0</v>
      </c>
      <c r="EA11" s="1466">
        <v>0</v>
      </c>
      <c r="EB11" s="595">
        <v>0</v>
      </c>
      <c r="EC11" s="595">
        <v>0</v>
      </c>
      <c r="ED11" s="595">
        <v>0</v>
      </c>
      <c r="EE11" s="1459">
        <v>0</v>
      </c>
      <c r="EF11" s="595">
        <v>0</v>
      </c>
      <c r="EG11" s="1466">
        <v>0.2</v>
      </c>
      <c r="EH11" s="595">
        <v>0.4</v>
      </c>
      <c r="EI11" s="595">
        <v>0.6</v>
      </c>
      <c r="EJ11" s="595">
        <v>0.8</v>
      </c>
      <c r="EK11" s="1459">
        <v>0.8</v>
      </c>
      <c r="EL11" s="595">
        <v>1</v>
      </c>
      <c r="EM11" s="632">
        <v>1</v>
      </c>
      <c r="EN11" s="630">
        <v>0.2</v>
      </c>
      <c r="EO11" s="595">
        <v>0.2</v>
      </c>
      <c r="EP11" s="595">
        <v>0.2</v>
      </c>
      <c r="EQ11" s="1459">
        <v>0.2</v>
      </c>
      <c r="ER11" s="595">
        <v>0.2</v>
      </c>
      <c r="ES11" s="1466">
        <v>0.2</v>
      </c>
      <c r="ET11" s="595">
        <v>0.2</v>
      </c>
      <c r="EU11" s="595">
        <v>0.4</v>
      </c>
      <c r="EV11" s="595">
        <v>0.8</v>
      </c>
      <c r="EW11" s="1459">
        <v>0.2</v>
      </c>
      <c r="EX11" s="595">
        <v>0.2</v>
      </c>
      <c r="EY11" s="595">
        <v>0.2</v>
      </c>
      <c r="EZ11" s="595">
        <v>0.2</v>
      </c>
      <c r="FA11" s="595">
        <v>0.2</v>
      </c>
      <c r="FB11" s="595">
        <v>0.2</v>
      </c>
      <c r="FC11" s="595">
        <v>0.2</v>
      </c>
      <c r="FD11" s="595">
        <v>0.2</v>
      </c>
      <c r="FE11" s="1466">
        <v>0.2</v>
      </c>
      <c r="FF11" s="595">
        <v>0.4</v>
      </c>
      <c r="FG11" s="595">
        <v>1</v>
      </c>
      <c r="FH11" s="595">
        <v>0.6</v>
      </c>
      <c r="FI11" s="1459">
        <v>0.4</v>
      </c>
      <c r="FJ11" s="595">
        <v>0.2</v>
      </c>
      <c r="FK11" s="632">
        <v>0.2</v>
      </c>
      <c r="FL11" s="581" t="s">
        <v>474</v>
      </c>
      <c r="FM11" s="620">
        <v>0.7</v>
      </c>
      <c r="FN11" s="618">
        <v>0.7</v>
      </c>
      <c r="FO11" s="618">
        <v>0.7</v>
      </c>
      <c r="FP11" s="621">
        <v>0.7</v>
      </c>
      <c r="FQ11" s="618">
        <v>0.7</v>
      </c>
      <c r="FR11" s="617">
        <v>0.7</v>
      </c>
      <c r="FS11" s="618">
        <v>0.7</v>
      </c>
      <c r="FT11" s="618">
        <v>0.7</v>
      </c>
      <c r="FU11" s="618">
        <v>0.7</v>
      </c>
      <c r="FV11" s="621">
        <v>0.7</v>
      </c>
      <c r="FW11" s="618">
        <v>0.7</v>
      </c>
      <c r="FX11" s="622">
        <v>0.7</v>
      </c>
      <c r="FY11" s="582">
        <v>0</v>
      </c>
      <c r="FZ11" s="613">
        <f t="shared" ref="FZ11:FZ41" si="35">365-(52*FY11)</f>
        <v>365</v>
      </c>
      <c r="GA11" s="620">
        <f t="shared" si="2"/>
        <v>16</v>
      </c>
      <c r="GB11" s="618">
        <f t="shared" si="3"/>
        <v>12.200000000000001</v>
      </c>
      <c r="GC11" s="618">
        <f t="shared" si="4"/>
        <v>0.8</v>
      </c>
      <c r="GD11" s="618">
        <f t="shared" si="5"/>
        <v>11.4</v>
      </c>
      <c r="GE11" s="627">
        <f t="shared" si="6"/>
        <v>0.7</v>
      </c>
      <c r="GF11" s="205">
        <f>ROUND(FZ11*GA11,-1)</f>
        <v>5840</v>
      </c>
      <c r="GG11" s="205">
        <f t="shared" si="7"/>
        <v>2190</v>
      </c>
      <c r="GH11" s="463">
        <f t="shared" ref="GH11:GH41" si="36">ROUND(GB11*FZ11*GE11,-1)</f>
        <v>3120</v>
      </c>
      <c r="GI11" s="620">
        <f t="shared" si="8"/>
        <v>24</v>
      </c>
      <c r="GJ11" s="618">
        <f t="shared" si="9"/>
        <v>7.200000000000002</v>
      </c>
      <c r="GK11" s="618">
        <f t="shared" si="10"/>
        <v>4.8000000000000007</v>
      </c>
      <c r="GL11" s="463">
        <f t="shared" ref="GL11:GL41" si="37">ROUND((GJ11*FZ11+GK11*(365-FZ11))*GE11,-1)</f>
        <v>1840</v>
      </c>
      <c r="GM11" s="583"/>
      <c r="GN11" s="260"/>
      <c r="GO11" s="260" t="str">
        <f>IF(CH11=0,Begriffe!$F$297,"")</f>
        <v/>
      </c>
      <c r="GP11" s="583" t="str">
        <f>Begriffe!$F$285</f>
        <v>- Der Klimakälteleistungsbedarf und der jährliche Klimakältebedarf gelten für Räume ohne unterstützende Fensterlüftung</v>
      </c>
      <c r="GQ11" s="583"/>
      <c r="GR11" s="583" t="str">
        <f>Begriffe!$F301</f>
        <v>- Wasser- und Warmwasserbedarf pro Bett, ohne Küche und Wäscherei</v>
      </c>
      <c r="HB11" s="390" t="s">
        <v>123</v>
      </c>
      <c r="HC11" s="390">
        <v>0.8</v>
      </c>
      <c r="HD11" s="390">
        <v>0.6</v>
      </c>
      <c r="HE11" s="390">
        <v>1</v>
      </c>
      <c r="HF11" s="390">
        <v>0.8</v>
      </c>
      <c r="HG11" s="390">
        <v>0.6</v>
      </c>
      <c r="HH11" s="390">
        <v>1</v>
      </c>
      <c r="HI11" s="390">
        <v>0.6</v>
      </c>
      <c r="HJ11" s="390">
        <v>0.6</v>
      </c>
      <c r="HK11" s="390">
        <v>1</v>
      </c>
      <c r="HL11" s="390">
        <v>0.8</v>
      </c>
      <c r="HM11" s="390">
        <v>1</v>
      </c>
      <c r="HN11" s="390">
        <v>0.6</v>
      </c>
      <c r="HO11" s="390">
        <f t="shared" si="11"/>
        <v>0.78333333333333333</v>
      </c>
      <c r="HQ11" s="390">
        <v>0</v>
      </c>
      <c r="HS11" s="600">
        <v>1</v>
      </c>
      <c r="HT11" s="600">
        <v>1</v>
      </c>
      <c r="HU11" s="600">
        <v>1</v>
      </c>
      <c r="HV11" s="600">
        <v>1</v>
      </c>
      <c r="HW11" s="600">
        <v>1</v>
      </c>
      <c r="HX11" s="600">
        <v>1</v>
      </c>
      <c r="HY11" s="600">
        <v>1</v>
      </c>
      <c r="HZ11" s="390">
        <v>13</v>
      </c>
      <c r="IA11" s="390">
        <v>14</v>
      </c>
      <c r="IB11" s="390">
        <v>0.7</v>
      </c>
      <c r="IC11" s="390">
        <v>1</v>
      </c>
      <c r="ID11" s="1439">
        <v>1.1911764705882355</v>
      </c>
      <c r="IE11" s="1440">
        <f t="shared" si="32"/>
        <v>29.676470588235297</v>
      </c>
    </row>
    <row r="12" spans="1:239" s="390" customFormat="1" ht="12" customHeight="1">
      <c r="A12" s="1628">
        <v>2.02</v>
      </c>
      <c r="B12" s="1632"/>
      <c r="C12" s="572" t="str">
        <f>Begriffe!F137</f>
        <v>Empfang, Lobby</v>
      </c>
      <c r="D12" s="1441">
        <v>12</v>
      </c>
      <c r="E12" s="601">
        <v>12</v>
      </c>
      <c r="F12" s="601">
        <v>4</v>
      </c>
      <c r="G12" s="602">
        <f t="shared" si="33"/>
        <v>144</v>
      </c>
      <c r="H12" s="602">
        <v>112.94117647058823</v>
      </c>
      <c r="I12" s="385">
        <v>50</v>
      </c>
      <c r="J12" s="1442">
        <v>0.75</v>
      </c>
      <c r="K12" s="1447">
        <f t="shared" si="12"/>
        <v>66.666666666666671</v>
      </c>
      <c r="L12" s="1441">
        <v>1</v>
      </c>
      <c r="M12" s="601">
        <v>0.8</v>
      </c>
      <c r="N12" s="601">
        <v>1.5</v>
      </c>
      <c r="O12" s="1442">
        <v>0.17</v>
      </c>
      <c r="P12" s="601">
        <v>0.1</v>
      </c>
      <c r="Q12" s="601">
        <v>0.8</v>
      </c>
      <c r="R12" s="1442">
        <v>0.5</v>
      </c>
      <c r="S12" s="1442">
        <v>0.5</v>
      </c>
      <c r="T12" s="1442">
        <v>0.65</v>
      </c>
      <c r="U12" s="1442">
        <v>0.14000000000000001</v>
      </c>
      <c r="V12" s="1442">
        <v>0.1</v>
      </c>
      <c r="W12" s="1442">
        <v>0.2</v>
      </c>
      <c r="X12" s="385">
        <v>0.7</v>
      </c>
      <c r="Y12" s="385">
        <v>0.9</v>
      </c>
      <c r="Z12" s="385">
        <v>90</v>
      </c>
      <c r="AA12" s="602">
        <v>101.6</v>
      </c>
      <c r="AB12" s="576">
        <v>26</v>
      </c>
      <c r="AC12" s="639">
        <v>21</v>
      </c>
      <c r="AD12" s="639">
        <v>25</v>
      </c>
      <c r="AE12" s="639">
        <v>22</v>
      </c>
      <c r="AF12" s="588" t="s">
        <v>22</v>
      </c>
      <c r="AG12" s="1443" t="s">
        <v>122</v>
      </c>
      <c r="AH12" s="1443">
        <v>60</v>
      </c>
      <c r="AI12" s="1444">
        <v>30</v>
      </c>
      <c r="AJ12" s="1658" t="str">
        <f>Begriffe!F$247</f>
        <v>gering</v>
      </c>
      <c r="AK12" s="1443">
        <v>1</v>
      </c>
      <c r="AL12" s="1443">
        <f t="shared" si="13"/>
        <v>38</v>
      </c>
      <c r="AM12" s="1443">
        <f t="shared" si="14"/>
        <v>43</v>
      </c>
      <c r="AN12" s="1444">
        <f t="shared" si="15"/>
        <v>33</v>
      </c>
      <c r="AO12" s="1445">
        <v>0.9</v>
      </c>
      <c r="AP12" s="574">
        <v>5</v>
      </c>
      <c r="AQ12" s="601">
        <v>1.2</v>
      </c>
      <c r="AR12" s="601">
        <v>0.5</v>
      </c>
      <c r="AS12" s="601">
        <v>1</v>
      </c>
      <c r="AT12" s="602">
        <f t="shared" si="16"/>
        <v>84</v>
      </c>
      <c r="AU12" s="602">
        <f t="shared" si="17"/>
        <v>94</v>
      </c>
      <c r="AV12" s="602">
        <f t="shared" si="18"/>
        <v>51</v>
      </c>
      <c r="AW12" s="602">
        <f t="shared" si="19"/>
        <v>66</v>
      </c>
      <c r="AX12" s="1447">
        <v>0.5</v>
      </c>
      <c r="AY12" s="574">
        <v>7</v>
      </c>
      <c r="AZ12" s="385">
        <v>3</v>
      </c>
      <c r="BA12" s="385">
        <v>15</v>
      </c>
      <c r="BB12" s="385"/>
      <c r="BC12" s="385"/>
      <c r="BD12" s="385"/>
      <c r="BE12" s="385">
        <f t="shared" si="20"/>
        <v>7</v>
      </c>
      <c r="BF12" s="385">
        <f t="shared" si="21"/>
        <v>3</v>
      </c>
      <c r="BG12" s="385">
        <f t="shared" si="22"/>
        <v>15</v>
      </c>
      <c r="BH12" s="1073">
        <v>10</v>
      </c>
      <c r="BI12" s="1448">
        <f t="shared" si="23"/>
        <v>7</v>
      </c>
      <c r="BJ12" s="385">
        <v>60</v>
      </c>
      <c r="BK12" s="601">
        <f t="shared" si="24"/>
        <v>8.5714285714285712</v>
      </c>
      <c r="BL12" s="1814">
        <v>300</v>
      </c>
      <c r="BM12" s="1815">
        <v>1</v>
      </c>
      <c r="BN12" s="385">
        <v>300</v>
      </c>
      <c r="BO12" s="385" t="str">
        <f>Begriffe!$F$207</f>
        <v>DP</v>
      </c>
      <c r="BP12" s="601">
        <v>1</v>
      </c>
      <c r="BQ12" s="601">
        <v>1</v>
      </c>
      <c r="BR12" s="1442">
        <v>0.75</v>
      </c>
      <c r="BS12" s="1806">
        <v>90</v>
      </c>
      <c r="BT12" s="1806">
        <v>130</v>
      </c>
      <c r="BU12" s="602">
        <f t="shared" ref="BU12:BU51" si="38">SUMIF(DW12:EG12,"&gt;0",DW$8:EG$8)</f>
        <v>11</v>
      </c>
      <c r="BV12" s="1073">
        <f t="shared" si="25"/>
        <v>9</v>
      </c>
      <c r="BW12" s="576" t="s">
        <v>380</v>
      </c>
      <c r="BX12" s="602">
        <f t="shared" si="26"/>
        <v>29</v>
      </c>
      <c r="BY12" s="385"/>
      <c r="BZ12" s="595">
        <f t="shared" si="27"/>
        <v>5.8</v>
      </c>
      <c r="CB12" s="601">
        <f t="shared" si="1"/>
        <v>5.8</v>
      </c>
      <c r="CC12" s="385">
        <v>0</v>
      </c>
      <c r="CD12" s="1442">
        <v>0.15</v>
      </c>
      <c r="CE12" s="1442">
        <v>0.3</v>
      </c>
      <c r="CF12" s="387" t="str">
        <f t="shared" si="28"/>
        <v>IDA-C4</v>
      </c>
      <c r="CG12" s="387" t="str">
        <f t="shared" si="29"/>
        <v>IDA-C6</v>
      </c>
      <c r="CH12" s="387" t="str">
        <f t="shared" ref="CH12:CH16" si="39">IF(CB12&lt;3,"IDA-C3","IDA-C4")</f>
        <v>IDA-C4</v>
      </c>
      <c r="CI12" s="387" t="str">
        <f>IF(CF12="IDA-C3",Begriffe!$F$248,IF(Eingabedaten!CF12="IDA-C4",Begriffe!$F$249,IF(Eingabedaten!CF12="IDA-C6",Begriffe!$F$250,"")))</f>
        <v>zweistufig</v>
      </c>
      <c r="CJ12" s="387" t="str">
        <f>IF(CG12="IDA-C3",Begriffe!$F$248,IF(Eingabedaten!CG12="IDA-C4",Begriffe!$F$249,IF(Eingabedaten!CG12="IDA-C6",Begriffe!$F$250,"")))</f>
        <v>stufenlos</v>
      </c>
      <c r="CK12" s="387" t="str">
        <f>IF(CH12="IDA-C3",Begriffe!$F$248,IF(Eingabedaten!CH12="IDA-C4",Begriffe!$F$249,IF(Eingabedaten!CH12="IDA-C6",Begriffe!$F$250,"")))</f>
        <v>zweistufig</v>
      </c>
      <c r="CL12" s="1442">
        <v>0.73</v>
      </c>
      <c r="CM12" s="1442">
        <v>0.78</v>
      </c>
      <c r="CN12" s="1442">
        <v>0.5</v>
      </c>
      <c r="CO12" s="1442">
        <v>0.7</v>
      </c>
      <c r="CP12" s="1442">
        <v>0.75</v>
      </c>
      <c r="CQ12" s="1449">
        <v>0.5</v>
      </c>
      <c r="CR12" s="573" t="str">
        <f>Begriffe!$F$252</f>
        <v>Einfache Klimaanlage</v>
      </c>
      <c r="CS12" s="573">
        <v>0.91</v>
      </c>
      <c r="CT12" s="1450">
        <v>0.55000000000000004</v>
      </c>
      <c r="CU12" s="1450">
        <v>0.34</v>
      </c>
      <c r="CV12" s="1451">
        <v>0.91</v>
      </c>
      <c r="CW12" s="1452" t="str">
        <f>Begriffe!$F$259</f>
        <v>notwendig</v>
      </c>
      <c r="CX12" s="573" t="str">
        <f>Begriffe!$F$259</f>
        <v>notwendig</v>
      </c>
      <c r="CY12" s="573" t="str">
        <f>Begriffe!$F$259</f>
        <v>notwendig</v>
      </c>
      <c r="CZ12" s="573" t="str">
        <f>Begriffe!$F$259</f>
        <v>notwendig</v>
      </c>
      <c r="DA12" s="573" t="str">
        <f>Begriffe!$F$259</f>
        <v>notwendig</v>
      </c>
      <c r="DB12" s="1453" t="str">
        <f>Begriffe!$F$259</f>
        <v>notwendig</v>
      </c>
      <c r="DC12" s="574">
        <v>1</v>
      </c>
      <c r="DD12" s="385">
        <v>2</v>
      </c>
      <c r="DE12" s="385">
        <v>0</v>
      </c>
      <c r="DF12" s="572">
        <v>0.5</v>
      </c>
      <c r="DG12" s="574">
        <v>0.1</v>
      </c>
      <c r="DH12" s="572">
        <f t="shared" si="30"/>
        <v>0.3</v>
      </c>
      <c r="DI12" s="574"/>
      <c r="DJ12" s="385"/>
      <c r="DK12" s="385"/>
      <c r="DL12" s="602"/>
      <c r="DM12" s="385"/>
      <c r="DN12" s="1073"/>
      <c r="DO12" s="603" t="s">
        <v>78</v>
      </c>
      <c r="DP12" s="1441"/>
      <c r="DQ12" s="601"/>
      <c r="DR12" s="601"/>
      <c r="DS12" s="1446"/>
      <c r="DT12" s="601">
        <v>0.1</v>
      </c>
      <c r="DU12" s="1454">
        <v>0.1</v>
      </c>
      <c r="DV12" s="601">
        <v>0.5</v>
      </c>
      <c r="DW12" s="601">
        <v>1</v>
      </c>
      <c r="DX12" s="601">
        <v>1</v>
      </c>
      <c r="DY12" s="1446">
        <v>0.5</v>
      </c>
      <c r="DZ12" s="601">
        <v>0.5</v>
      </c>
      <c r="EA12" s="1454">
        <v>0.5</v>
      </c>
      <c r="EB12" s="601">
        <v>0.5</v>
      </c>
      <c r="EC12" s="601">
        <v>0.5</v>
      </c>
      <c r="ED12" s="601">
        <v>0.5</v>
      </c>
      <c r="EE12" s="1446">
        <v>0.5</v>
      </c>
      <c r="EF12" s="601">
        <v>0.5</v>
      </c>
      <c r="EG12" s="1454">
        <v>1</v>
      </c>
      <c r="EH12" s="601">
        <v>1</v>
      </c>
      <c r="EI12" s="601">
        <v>1</v>
      </c>
      <c r="EJ12" s="601">
        <v>0.5</v>
      </c>
      <c r="EK12" s="1446">
        <v>0.5</v>
      </c>
      <c r="EL12" s="601">
        <v>0.5</v>
      </c>
      <c r="EM12" s="1447">
        <v>0.1</v>
      </c>
      <c r="EN12" s="1441">
        <v>0.1</v>
      </c>
      <c r="EO12" s="601">
        <v>0.1</v>
      </c>
      <c r="EP12" s="601">
        <v>0.1</v>
      </c>
      <c r="EQ12" s="1446">
        <v>0.1</v>
      </c>
      <c r="ER12" s="601">
        <v>0.1</v>
      </c>
      <c r="ES12" s="1454">
        <v>0.1</v>
      </c>
      <c r="ET12" s="601">
        <v>0.5</v>
      </c>
      <c r="EU12" s="601">
        <v>1</v>
      </c>
      <c r="EV12" s="601">
        <v>1</v>
      </c>
      <c r="EW12" s="1446">
        <v>0.5</v>
      </c>
      <c r="EX12" s="601">
        <v>0.5</v>
      </c>
      <c r="EY12" s="1454">
        <v>0.5</v>
      </c>
      <c r="EZ12" s="601">
        <v>0.5</v>
      </c>
      <c r="FA12" s="601">
        <v>0.5</v>
      </c>
      <c r="FB12" s="601">
        <v>0.5</v>
      </c>
      <c r="FC12" s="1446">
        <v>0.5</v>
      </c>
      <c r="FD12" s="601">
        <v>0.5</v>
      </c>
      <c r="FE12" s="1454">
        <v>1</v>
      </c>
      <c r="FF12" s="601">
        <v>1</v>
      </c>
      <c r="FG12" s="601">
        <v>1</v>
      </c>
      <c r="FH12" s="601">
        <v>0.5</v>
      </c>
      <c r="FI12" s="1446">
        <v>0.5</v>
      </c>
      <c r="FJ12" s="601">
        <v>0.5</v>
      </c>
      <c r="FK12" s="1447">
        <v>0.1</v>
      </c>
      <c r="FL12" s="575" t="s">
        <v>474</v>
      </c>
      <c r="FM12" s="604">
        <v>0.7</v>
      </c>
      <c r="FN12" s="642">
        <v>0.7</v>
      </c>
      <c r="FO12" s="642">
        <v>0.7</v>
      </c>
      <c r="FP12" s="644">
        <v>0.7</v>
      </c>
      <c r="FQ12" s="642">
        <v>0.7</v>
      </c>
      <c r="FR12" s="645">
        <v>0.7</v>
      </c>
      <c r="FS12" s="642">
        <v>0.7</v>
      </c>
      <c r="FT12" s="642">
        <v>0.7</v>
      </c>
      <c r="FU12" s="642">
        <v>0.7</v>
      </c>
      <c r="FV12" s="644">
        <v>0.7</v>
      </c>
      <c r="FW12" s="642">
        <v>0.7</v>
      </c>
      <c r="FX12" s="646">
        <v>0.7</v>
      </c>
      <c r="FY12" s="576">
        <v>0</v>
      </c>
      <c r="FZ12" s="640">
        <f t="shared" si="35"/>
        <v>365</v>
      </c>
      <c r="GA12" s="604">
        <f t="shared" si="2"/>
        <v>20</v>
      </c>
      <c r="GB12" s="642">
        <f t="shared" si="3"/>
        <v>11.299999999999999</v>
      </c>
      <c r="GC12" s="642">
        <f t="shared" si="4"/>
        <v>7</v>
      </c>
      <c r="GD12" s="642">
        <f t="shared" si="5"/>
        <v>4.3</v>
      </c>
      <c r="GE12" s="648">
        <f t="shared" si="6"/>
        <v>0.7</v>
      </c>
      <c r="GF12" s="641">
        <f t="shared" si="31"/>
        <v>7300</v>
      </c>
      <c r="GG12" s="641">
        <f t="shared" si="7"/>
        <v>7300</v>
      </c>
      <c r="GH12" s="592">
        <f t="shared" si="36"/>
        <v>2890</v>
      </c>
      <c r="GI12" s="604">
        <f t="shared" si="8"/>
        <v>24</v>
      </c>
      <c r="GJ12" s="642">
        <f t="shared" si="9"/>
        <v>11.7</v>
      </c>
      <c r="GK12" s="642">
        <f t="shared" si="10"/>
        <v>2.4000000000000004</v>
      </c>
      <c r="GL12" s="592">
        <f t="shared" si="37"/>
        <v>2990</v>
      </c>
      <c r="GN12" s="260"/>
      <c r="GO12" s="260" t="str">
        <f>IF(CH12=0,Begriffe!$F$297,"")</f>
        <v/>
      </c>
      <c r="GP12" s="583" t="str">
        <f>Begriffe!$F$285</f>
        <v>- Der Klimakälteleistungsbedarf und der jährliche Klimakältebedarf gelten für Räume ohne unterstützende Fensterlüftung</v>
      </c>
      <c r="GQ12" s="583"/>
      <c r="GR12" s="583" t="str">
        <f>Begriffe!$F302</f>
        <v>- Wasser- und Warmwasserbedarf sind in der Raumnutzung 2.1 enthalten</v>
      </c>
      <c r="HB12" s="390" t="s">
        <v>123</v>
      </c>
      <c r="HC12" s="390">
        <v>0.8</v>
      </c>
      <c r="HD12" s="390">
        <v>0.6</v>
      </c>
      <c r="HE12" s="390">
        <v>1</v>
      </c>
      <c r="HF12" s="390">
        <v>0.8</v>
      </c>
      <c r="HG12" s="390">
        <v>0.6</v>
      </c>
      <c r="HH12" s="390">
        <v>1</v>
      </c>
      <c r="HI12" s="390">
        <v>0.6</v>
      </c>
      <c r="HJ12" s="390">
        <v>0.6</v>
      </c>
      <c r="HK12" s="390">
        <v>1</v>
      </c>
      <c r="HL12" s="390">
        <v>0.8</v>
      </c>
      <c r="HM12" s="390">
        <v>1</v>
      </c>
      <c r="HN12" s="390">
        <v>0.6</v>
      </c>
      <c r="HO12" s="390">
        <f t="shared" si="11"/>
        <v>0.78333333333333333</v>
      </c>
      <c r="HQ12" s="390">
        <v>0</v>
      </c>
      <c r="HS12" s="600">
        <v>1</v>
      </c>
      <c r="HT12" s="600">
        <v>1</v>
      </c>
      <c r="HU12" s="600">
        <v>1</v>
      </c>
      <c r="HV12" s="600">
        <v>1</v>
      </c>
      <c r="HW12" s="600">
        <v>1</v>
      </c>
      <c r="HX12" s="600">
        <v>1</v>
      </c>
      <c r="HY12" s="600">
        <v>1</v>
      </c>
      <c r="HZ12" s="390">
        <v>13</v>
      </c>
      <c r="IA12" s="390">
        <v>14</v>
      </c>
      <c r="IB12" s="390">
        <v>0.7</v>
      </c>
      <c r="IC12" s="390">
        <v>1</v>
      </c>
      <c r="ID12" s="1439">
        <v>0.70588235294117641</v>
      </c>
      <c r="IE12" s="1440">
        <f t="shared" si="32"/>
        <v>22.882352941176471</v>
      </c>
    </row>
    <row r="13" spans="1:239" s="379" customFormat="1" ht="12" customHeight="1">
      <c r="A13" s="1633">
        <v>3.01</v>
      </c>
      <c r="B13" s="1634" t="s">
        <v>107</v>
      </c>
      <c r="C13" s="1635" t="str">
        <f>Begriffe!F138</f>
        <v>Einzel-, Gruppenbüro</v>
      </c>
      <c r="D13" s="1618">
        <v>6</v>
      </c>
      <c r="E13" s="1605">
        <v>6</v>
      </c>
      <c r="F13" s="1605">
        <v>3</v>
      </c>
      <c r="G13" s="1619">
        <f t="shared" si="33"/>
        <v>36</v>
      </c>
      <c r="H13" s="1619">
        <v>42.352941176470587</v>
      </c>
      <c r="I13" s="1601">
        <v>50</v>
      </c>
      <c r="J13" s="1616">
        <v>0.75</v>
      </c>
      <c r="K13" s="1687">
        <f t="shared" si="12"/>
        <v>66.666666666666671</v>
      </c>
      <c r="L13" s="1422">
        <v>1</v>
      </c>
      <c r="M13" s="599">
        <v>0.8</v>
      </c>
      <c r="N13" s="599">
        <v>1.5</v>
      </c>
      <c r="O13" s="1423">
        <v>0.17</v>
      </c>
      <c r="P13" s="599">
        <v>0.1</v>
      </c>
      <c r="Q13" s="599">
        <v>0.8</v>
      </c>
      <c r="R13" s="1423">
        <v>0.5</v>
      </c>
      <c r="S13" s="1423">
        <v>0.5</v>
      </c>
      <c r="T13" s="1423">
        <v>0.65</v>
      </c>
      <c r="U13" s="1423">
        <v>0.14000000000000001</v>
      </c>
      <c r="V13" s="1423">
        <v>0.1</v>
      </c>
      <c r="W13" s="1423">
        <v>0.2</v>
      </c>
      <c r="X13" s="384">
        <v>0.7</v>
      </c>
      <c r="Y13" s="384">
        <v>0.9</v>
      </c>
      <c r="Z13" s="384">
        <v>90</v>
      </c>
      <c r="AA13" s="597">
        <v>111.9</v>
      </c>
      <c r="AB13" s="570">
        <v>26</v>
      </c>
      <c r="AC13" s="1431">
        <v>21</v>
      </c>
      <c r="AD13" s="1431">
        <v>25</v>
      </c>
      <c r="AE13" s="1431">
        <v>22</v>
      </c>
      <c r="AF13" s="584" t="s">
        <v>22</v>
      </c>
      <c r="AG13" s="1424" t="s">
        <v>122</v>
      </c>
      <c r="AH13" s="1424">
        <v>60</v>
      </c>
      <c r="AI13" s="1425">
        <v>30</v>
      </c>
      <c r="AJ13" s="1657" t="str">
        <f>Begriffe!F$246</f>
        <v>mittel</v>
      </c>
      <c r="AK13" s="1424">
        <v>2</v>
      </c>
      <c r="AL13" s="1424">
        <f t="shared" si="13"/>
        <v>33</v>
      </c>
      <c r="AM13" s="1424">
        <f t="shared" si="14"/>
        <v>38</v>
      </c>
      <c r="AN13" s="1425">
        <f t="shared" si="15"/>
        <v>28</v>
      </c>
      <c r="AO13" s="1426">
        <v>0.6</v>
      </c>
      <c r="AP13" s="568">
        <v>14</v>
      </c>
      <c r="AQ13" s="1609">
        <v>1.2</v>
      </c>
      <c r="AR13" s="1609">
        <v>0.5</v>
      </c>
      <c r="AS13" s="599">
        <v>1</v>
      </c>
      <c r="AT13" s="1615">
        <f t="shared" si="16"/>
        <v>84</v>
      </c>
      <c r="AU13" s="1615">
        <f t="shared" si="17"/>
        <v>94</v>
      </c>
      <c r="AV13" s="1615">
        <f t="shared" si="18"/>
        <v>51</v>
      </c>
      <c r="AW13" s="1615">
        <f t="shared" si="19"/>
        <v>66</v>
      </c>
      <c r="AX13" s="1428">
        <v>0.5</v>
      </c>
      <c r="AY13" s="568">
        <v>11</v>
      </c>
      <c r="AZ13" s="384">
        <v>6</v>
      </c>
      <c r="BA13" s="384">
        <v>18</v>
      </c>
      <c r="BB13" s="384"/>
      <c r="BC13" s="384"/>
      <c r="BD13" s="384"/>
      <c r="BE13" s="384">
        <f t="shared" si="20"/>
        <v>11</v>
      </c>
      <c r="BF13" s="384">
        <f t="shared" si="21"/>
        <v>6</v>
      </c>
      <c r="BG13" s="384">
        <f t="shared" si="22"/>
        <v>18</v>
      </c>
      <c r="BH13" s="623">
        <v>30</v>
      </c>
      <c r="BI13" s="1430">
        <f t="shared" si="23"/>
        <v>11</v>
      </c>
      <c r="BJ13" s="384">
        <v>50</v>
      </c>
      <c r="BK13" s="599">
        <f t="shared" si="24"/>
        <v>4.5454545454545459</v>
      </c>
      <c r="BL13" s="568">
        <f t="shared" si="34"/>
        <v>500</v>
      </c>
      <c r="BM13" s="599">
        <v>1</v>
      </c>
      <c r="BN13" s="384">
        <v>500</v>
      </c>
      <c r="BO13" s="384" t="str">
        <f>Begriffe!$F$208</f>
        <v>NP</v>
      </c>
      <c r="BP13" s="1813">
        <v>0.5</v>
      </c>
      <c r="BQ13" s="599">
        <v>1</v>
      </c>
      <c r="BR13" s="626">
        <v>0.75</v>
      </c>
      <c r="BS13" s="1808">
        <v>90</v>
      </c>
      <c r="BT13" s="1808">
        <v>130</v>
      </c>
      <c r="BU13" s="597">
        <f t="shared" si="38"/>
        <v>11</v>
      </c>
      <c r="BV13" s="1429">
        <f t="shared" si="25"/>
        <v>0</v>
      </c>
      <c r="BW13" s="1655" t="s">
        <v>380</v>
      </c>
      <c r="BX13" s="1615">
        <f t="shared" si="26"/>
        <v>29</v>
      </c>
      <c r="BY13" s="1601"/>
      <c r="BZ13" s="1609">
        <f t="shared" si="27"/>
        <v>2.0714285714285716</v>
      </c>
      <c r="CA13" s="1609"/>
      <c r="CB13" s="599">
        <f t="shared" si="1"/>
        <v>2.0714285714285716</v>
      </c>
      <c r="CC13" s="384">
        <v>0</v>
      </c>
      <c r="CD13" s="1423">
        <v>0.15</v>
      </c>
      <c r="CE13" s="1423">
        <v>0.3</v>
      </c>
      <c r="CF13" s="386" t="str">
        <f t="shared" si="28"/>
        <v>IDA-C3</v>
      </c>
      <c r="CG13" s="386" t="str">
        <f t="shared" si="29"/>
        <v>IDA-C4</v>
      </c>
      <c r="CH13" s="386" t="str">
        <f t="shared" si="39"/>
        <v>IDA-C3</v>
      </c>
      <c r="CI13" s="386" t="str">
        <f>IF(CF13="IDA-C3",Begriffe!$F$248,IF(Eingabedaten!CF13="IDA-C4",Begriffe!$F$249,IF(Eingabedaten!CF13="IDA-C6",Begriffe!$F$250,"")))</f>
        <v>einstufig</v>
      </c>
      <c r="CJ13" s="386" t="str">
        <f>IF(CG13="IDA-C3",Begriffe!$F$248,IF(Eingabedaten!CG13="IDA-C4",Begriffe!$F$249,IF(Eingabedaten!CG13="IDA-C6",Begriffe!$F$250,"")))</f>
        <v>zweistufig</v>
      </c>
      <c r="CK13" s="386" t="str">
        <f>IF(CH13="IDA-C3",Begriffe!$F$248,IF(Eingabedaten!CH13="IDA-C4",Begriffe!$F$249,IF(Eingabedaten!CH13="IDA-C6",Begriffe!$F$250,"")))</f>
        <v>einstufig</v>
      </c>
      <c r="CL13" s="1423">
        <v>0.73</v>
      </c>
      <c r="CM13" s="1423">
        <v>0.78</v>
      </c>
      <c r="CN13" s="1423">
        <v>0.5</v>
      </c>
      <c r="CO13" s="1423">
        <v>0.7</v>
      </c>
      <c r="CP13" s="1423">
        <v>0.75</v>
      </c>
      <c r="CQ13" s="1432">
        <v>0.5</v>
      </c>
      <c r="CR13" s="567" t="str">
        <f>Begriffe!$F$252</f>
        <v>Einfache Klimaanlage</v>
      </c>
      <c r="CS13" s="567">
        <v>0.91</v>
      </c>
      <c r="CT13" s="596">
        <v>0.55000000000000004</v>
      </c>
      <c r="CU13" s="596">
        <v>0.34</v>
      </c>
      <c r="CV13" s="1467">
        <v>0.91</v>
      </c>
      <c r="CW13" s="1468" t="str">
        <f>Begriffe!$F$257</f>
        <v>nicht notwendig</v>
      </c>
      <c r="CX13" s="596" t="str">
        <f>Begriffe!$F$258</f>
        <v>erwünscht</v>
      </c>
      <c r="CY13" s="596" t="str">
        <f>Begriffe!$F$258</f>
        <v>erwünscht</v>
      </c>
      <c r="CZ13" s="596" t="str">
        <f>Begriffe!$F$257</f>
        <v>nicht notwendig</v>
      </c>
      <c r="DA13" s="596" t="str">
        <f>Begriffe!$F$257</f>
        <v>nicht notwendig</v>
      </c>
      <c r="DB13" s="1467" t="str">
        <f>Begriffe!$F$257</f>
        <v>nicht notwendig</v>
      </c>
      <c r="DC13" s="568">
        <v>1</v>
      </c>
      <c r="DD13" s="384">
        <v>2</v>
      </c>
      <c r="DE13" s="384">
        <v>0</v>
      </c>
      <c r="DF13" s="566">
        <v>0.5</v>
      </c>
      <c r="DG13" s="568">
        <v>0.1</v>
      </c>
      <c r="DH13" s="566">
        <f t="shared" si="30"/>
        <v>0.3</v>
      </c>
      <c r="DI13" s="568" t="str">
        <f>Begriffe!$F$260</f>
        <v>Person</v>
      </c>
      <c r="DJ13" s="384">
        <v>3</v>
      </c>
      <c r="DK13" s="384">
        <v>1</v>
      </c>
      <c r="DL13" s="597">
        <f>IF(DK13=0,DJ13,DJ13*DK13)</f>
        <v>3</v>
      </c>
      <c r="DM13" s="384">
        <v>20</v>
      </c>
      <c r="DN13" s="1429">
        <f>DL13*DM13</f>
        <v>60</v>
      </c>
      <c r="DO13" s="1436" t="s">
        <v>126</v>
      </c>
      <c r="DP13" s="624"/>
      <c r="DQ13" s="625"/>
      <c r="DR13" s="625"/>
      <c r="DS13" s="1144"/>
      <c r="DT13" s="625"/>
      <c r="DU13" s="1145"/>
      <c r="DV13" s="625"/>
      <c r="DW13" s="625">
        <v>0.2</v>
      </c>
      <c r="DX13" s="625">
        <v>0.6</v>
      </c>
      <c r="DY13" s="1144">
        <v>1</v>
      </c>
      <c r="DZ13" s="625">
        <v>1</v>
      </c>
      <c r="EA13" s="1145">
        <v>0.8</v>
      </c>
      <c r="EB13" s="625">
        <v>0.4</v>
      </c>
      <c r="EC13" s="625">
        <v>0.6</v>
      </c>
      <c r="ED13" s="625">
        <v>1</v>
      </c>
      <c r="EE13" s="1144">
        <v>0.8</v>
      </c>
      <c r="EF13" s="625">
        <v>0.6</v>
      </c>
      <c r="EG13" s="1145">
        <v>0.2</v>
      </c>
      <c r="EH13" s="625"/>
      <c r="EI13" s="625"/>
      <c r="EJ13" s="625"/>
      <c r="EK13" s="1144"/>
      <c r="EL13" s="625"/>
      <c r="EM13" s="1146"/>
      <c r="EN13" s="624">
        <v>0.3</v>
      </c>
      <c r="EO13" s="625">
        <v>0.3</v>
      </c>
      <c r="EP13" s="625">
        <v>0.3</v>
      </c>
      <c r="EQ13" s="1144">
        <v>0.3</v>
      </c>
      <c r="ER13" s="625">
        <v>0.3</v>
      </c>
      <c r="ES13" s="1145">
        <v>0.3</v>
      </c>
      <c r="ET13" s="625">
        <v>0.3</v>
      </c>
      <c r="EU13" s="625">
        <v>0.3</v>
      </c>
      <c r="EV13" s="625">
        <v>0.6</v>
      </c>
      <c r="EW13" s="1144">
        <v>0.8</v>
      </c>
      <c r="EX13" s="625">
        <v>1</v>
      </c>
      <c r="EY13" s="1145">
        <v>0.8</v>
      </c>
      <c r="EZ13" s="625">
        <v>0.4</v>
      </c>
      <c r="FA13" s="625">
        <v>0.6</v>
      </c>
      <c r="FB13" s="625">
        <v>1</v>
      </c>
      <c r="FC13" s="1144">
        <v>0.8</v>
      </c>
      <c r="FD13" s="625">
        <v>0.6</v>
      </c>
      <c r="FE13" s="1145">
        <v>0.3</v>
      </c>
      <c r="FF13" s="625">
        <v>0.3</v>
      </c>
      <c r="FG13" s="625">
        <v>0.3</v>
      </c>
      <c r="FH13" s="625">
        <v>0.3</v>
      </c>
      <c r="FI13" s="1144">
        <v>0.3</v>
      </c>
      <c r="FJ13" s="625">
        <v>0.3</v>
      </c>
      <c r="FK13" s="1146">
        <v>0.3</v>
      </c>
      <c r="FL13" s="569" t="s">
        <v>575</v>
      </c>
      <c r="FM13" s="624">
        <v>0.8</v>
      </c>
      <c r="FN13" s="625">
        <v>0.8</v>
      </c>
      <c r="FO13" s="625">
        <v>0.8</v>
      </c>
      <c r="FP13" s="1144">
        <v>0.8</v>
      </c>
      <c r="FQ13" s="625">
        <v>0.8</v>
      </c>
      <c r="FR13" s="1145">
        <v>0.8</v>
      </c>
      <c r="FS13" s="625">
        <v>0.8</v>
      </c>
      <c r="FT13" s="625">
        <v>0.8</v>
      </c>
      <c r="FU13" s="625">
        <v>0.8</v>
      </c>
      <c r="FV13" s="1144">
        <v>0.8</v>
      </c>
      <c r="FW13" s="625">
        <v>0.8</v>
      </c>
      <c r="FX13" s="1146">
        <v>0.8</v>
      </c>
      <c r="FY13" s="585">
        <v>2</v>
      </c>
      <c r="FZ13" s="613">
        <f t="shared" si="35"/>
        <v>261</v>
      </c>
      <c r="GA13" s="620">
        <f t="shared" si="2"/>
        <v>11</v>
      </c>
      <c r="GB13" s="618">
        <f t="shared" si="3"/>
        <v>7.1999999999999993</v>
      </c>
      <c r="GC13" s="618">
        <f t="shared" si="4"/>
        <v>7.1999999999999993</v>
      </c>
      <c r="GD13" s="618">
        <f t="shared" si="5"/>
        <v>0</v>
      </c>
      <c r="GE13" s="627">
        <f t="shared" si="6"/>
        <v>0.80000000000000016</v>
      </c>
      <c r="GF13" s="205">
        <f t="shared" si="31"/>
        <v>2870</v>
      </c>
      <c r="GG13" s="205">
        <f t="shared" si="7"/>
        <v>2870</v>
      </c>
      <c r="GH13" s="463">
        <f>ROUND(GB13*FZ13*GE13,-1)</f>
        <v>1500</v>
      </c>
      <c r="GI13" s="620">
        <f t="shared" si="8"/>
        <v>24</v>
      </c>
      <c r="GJ13" s="618">
        <f t="shared" si="9"/>
        <v>11.100000000000005</v>
      </c>
      <c r="GK13" s="618">
        <f t="shared" si="10"/>
        <v>7.1999999999999993</v>
      </c>
      <c r="GL13" s="463">
        <f>ROUND((GJ13*FZ13+GK13*(365-FZ13))*GE13,-1)</f>
        <v>2920</v>
      </c>
      <c r="GM13" s="594" t="str">
        <f>Begriffe!F270</f>
        <v>- Im Direktionsbüro erhöhter Schallschutz</v>
      </c>
      <c r="GO13" s="379" t="str">
        <f>IF(CH13=0,Begriffe!$F$297,"")</f>
        <v/>
      </c>
      <c r="GP13" s="583" t="str">
        <f>Begriffe!$F$285</f>
        <v>- Der Klimakälteleistungsbedarf und der jährliche Klimakältebedarf gelten für Räume ohne unterstützende Fensterlüftung</v>
      </c>
      <c r="GQ13" s="583"/>
      <c r="GR13" s="583" t="str">
        <f>Begriffe!$F303</f>
        <v>- Wasser- und Warmwasserbedarf pro Person, ohne Personalrestaurant</v>
      </c>
      <c r="HB13" s="379" t="s">
        <v>123</v>
      </c>
      <c r="HC13" s="379">
        <v>0.8</v>
      </c>
      <c r="HD13" s="379">
        <v>0.6</v>
      </c>
      <c r="HE13" s="379">
        <v>1</v>
      </c>
      <c r="HF13" s="379">
        <v>0.8</v>
      </c>
      <c r="HG13" s="379">
        <v>0.6</v>
      </c>
      <c r="HH13" s="379">
        <v>1</v>
      </c>
      <c r="HI13" s="379">
        <v>0.6</v>
      </c>
      <c r="HJ13" s="379">
        <v>0.6</v>
      </c>
      <c r="HK13" s="379">
        <v>1</v>
      </c>
      <c r="HL13" s="379">
        <v>0.8</v>
      </c>
      <c r="HM13" s="379">
        <v>1</v>
      </c>
      <c r="HN13" s="379">
        <v>0.6</v>
      </c>
      <c r="HO13" s="390">
        <f t="shared" si="11"/>
        <v>0.78333333333333333</v>
      </c>
      <c r="HQ13" s="390">
        <v>2</v>
      </c>
      <c r="HS13" s="541">
        <v>0</v>
      </c>
      <c r="HT13" s="541">
        <v>0</v>
      </c>
      <c r="HU13" s="600">
        <v>1</v>
      </c>
      <c r="HV13" s="600">
        <v>1</v>
      </c>
      <c r="HW13" s="600">
        <v>1</v>
      </c>
      <c r="HX13" s="600">
        <v>1</v>
      </c>
      <c r="HY13" s="600">
        <v>1</v>
      </c>
      <c r="HZ13" s="379">
        <v>12</v>
      </c>
      <c r="IA13" s="379">
        <v>14</v>
      </c>
      <c r="IB13" s="379">
        <v>0.7</v>
      </c>
      <c r="IC13" s="379">
        <v>3</v>
      </c>
      <c r="ID13" s="1439">
        <v>1.0588235294117647</v>
      </c>
      <c r="IE13" s="1440">
        <f t="shared" si="32"/>
        <v>26.823529411764707</v>
      </c>
    </row>
    <row r="14" spans="1:239" s="379" customFormat="1" ht="12" customHeight="1">
      <c r="A14" s="1636">
        <v>3.02</v>
      </c>
      <c r="B14" s="1637" t="s">
        <v>108</v>
      </c>
      <c r="C14" s="463" t="str">
        <f>Begriffe!F139</f>
        <v>Grossraumbüro</v>
      </c>
      <c r="D14" s="620">
        <v>12</v>
      </c>
      <c r="E14" s="618">
        <v>12</v>
      </c>
      <c r="F14" s="618">
        <v>3</v>
      </c>
      <c r="G14" s="205">
        <f t="shared" si="33"/>
        <v>144</v>
      </c>
      <c r="H14" s="205">
        <v>127.05882352941177</v>
      </c>
      <c r="I14" s="390">
        <v>50</v>
      </c>
      <c r="J14" s="1439">
        <v>0.75</v>
      </c>
      <c r="K14" s="632">
        <f t="shared" si="12"/>
        <v>66.666666666666671</v>
      </c>
      <c r="L14" s="630">
        <v>1</v>
      </c>
      <c r="M14" s="595">
        <v>0.8</v>
      </c>
      <c r="N14" s="595">
        <v>1.5</v>
      </c>
      <c r="O14" s="1439">
        <v>0.17</v>
      </c>
      <c r="P14" s="595">
        <v>0.1</v>
      </c>
      <c r="Q14" s="595">
        <v>0.8</v>
      </c>
      <c r="R14" s="1439">
        <v>0.5</v>
      </c>
      <c r="S14" s="1439">
        <v>0.5</v>
      </c>
      <c r="T14" s="1439">
        <v>0.65</v>
      </c>
      <c r="U14" s="1439">
        <v>0.14000000000000001</v>
      </c>
      <c r="V14" s="1439">
        <v>0.1</v>
      </c>
      <c r="W14" s="1439">
        <v>0.2</v>
      </c>
      <c r="X14" s="390">
        <v>0.7</v>
      </c>
      <c r="Y14" s="390">
        <v>0.9</v>
      </c>
      <c r="Z14" s="390">
        <v>90</v>
      </c>
      <c r="AA14" s="598">
        <v>98.7</v>
      </c>
      <c r="AB14" s="582">
        <v>26</v>
      </c>
      <c r="AC14" s="1440">
        <v>21</v>
      </c>
      <c r="AD14" s="1440">
        <v>25</v>
      </c>
      <c r="AE14" s="1440">
        <v>22</v>
      </c>
      <c r="AF14" s="578" t="s">
        <v>22</v>
      </c>
      <c r="AG14" s="1456" t="s">
        <v>122</v>
      </c>
      <c r="AH14" s="1456">
        <v>60</v>
      </c>
      <c r="AI14" s="1457">
        <v>30</v>
      </c>
      <c r="AJ14" s="1659" t="str">
        <f>Begriffe!F$247</f>
        <v>gering</v>
      </c>
      <c r="AK14" s="1456">
        <v>1</v>
      </c>
      <c r="AL14" s="1456">
        <f t="shared" si="13"/>
        <v>38</v>
      </c>
      <c r="AM14" s="1456">
        <f t="shared" si="14"/>
        <v>43</v>
      </c>
      <c r="AN14" s="1457">
        <f t="shared" si="15"/>
        <v>33</v>
      </c>
      <c r="AO14" s="1458">
        <v>0.8</v>
      </c>
      <c r="AP14" s="580">
        <v>10</v>
      </c>
      <c r="AQ14" s="595">
        <v>1.2</v>
      </c>
      <c r="AR14" s="595">
        <v>0.5</v>
      </c>
      <c r="AS14" s="595">
        <v>1</v>
      </c>
      <c r="AT14" s="598">
        <f t="shared" si="16"/>
        <v>84</v>
      </c>
      <c r="AU14" s="598">
        <f t="shared" si="17"/>
        <v>94</v>
      </c>
      <c r="AV14" s="598">
        <f t="shared" si="18"/>
        <v>51</v>
      </c>
      <c r="AW14" s="598">
        <f t="shared" si="19"/>
        <v>66</v>
      </c>
      <c r="AX14" s="632">
        <v>0.5</v>
      </c>
      <c r="AY14" s="580">
        <v>15</v>
      </c>
      <c r="AZ14" s="390">
        <v>10</v>
      </c>
      <c r="BA14" s="390">
        <v>20</v>
      </c>
      <c r="BB14" s="390"/>
      <c r="BC14" s="390"/>
      <c r="BD14" s="390"/>
      <c r="BE14" s="390">
        <f t="shared" si="20"/>
        <v>15</v>
      </c>
      <c r="BF14" s="390">
        <f t="shared" si="21"/>
        <v>10</v>
      </c>
      <c r="BG14" s="390">
        <f t="shared" si="22"/>
        <v>20</v>
      </c>
      <c r="BH14" s="613">
        <v>30</v>
      </c>
      <c r="BI14" s="1460">
        <f t="shared" si="23"/>
        <v>15</v>
      </c>
      <c r="BJ14" s="390">
        <v>50</v>
      </c>
      <c r="BK14" s="595">
        <f t="shared" si="24"/>
        <v>3.3333333333333335</v>
      </c>
      <c r="BL14" s="580">
        <f t="shared" si="34"/>
        <v>500</v>
      </c>
      <c r="BM14" s="595">
        <v>1</v>
      </c>
      <c r="BN14" s="390">
        <v>500</v>
      </c>
      <c r="BO14" s="390" t="str">
        <f>Begriffe!$F$208</f>
        <v>NP</v>
      </c>
      <c r="BP14" s="1825">
        <v>0.5</v>
      </c>
      <c r="BQ14" s="595">
        <v>1</v>
      </c>
      <c r="BR14" s="627">
        <v>0.75</v>
      </c>
      <c r="BS14" s="1120">
        <v>90</v>
      </c>
      <c r="BT14" s="1120">
        <v>130</v>
      </c>
      <c r="BU14" s="598">
        <f t="shared" si="38"/>
        <v>11</v>
      </c>
      <c r="BV14" s="629">
        <f t="shared" si="25"/>
        <v>0</v>
      </c>
      <c r="BW14" s="582" t="s">
        <v>380</v>
      </c>
      <c r="BX14" s="598">
        <f t="shared" si="26"/>
        <v>29</v>
      </c>
      <c r="BY14" s="390"/>
      <c r="BZ14" s="595">
        <f t="shared" si="27"/>
        <v>2.9</v>
      </c>
      <c r="CA14" s="595"/>
      <c r="CB14" s="595">
        <f t="shared" si="1"/>
        <v>2.9</v>
      </c>
      <c r="CC14" s="390">
        <v>0</v>
      </c>
      <c r="CD14" s="1439">
        <v>0.15</v>
      </c>
      <c r="CE14" s="1439">
        <v>0.3</v>
      </c>
      <c r="CF14" s="379" t="str">
        <f t="shared" si="28"/>
        <v>IDA-C3</v>
      </c>
      <c r="CG14" s="379" t="str">
        <f t="shared" si="29"/>
        <v>IDA-C4</v>
      </c>
      <c r="CH14" s="379" t="str">
        <f t="shared" si="39"/>
        <v>IDA-C3</v>
      </c>
      <c r="CI14" s="379" t="str">
        <f>IF(CF14="IDA-C3",Begriffe!$F$248,IF(Eingabedaten!CF14="IDA-C4",Begriffe!$F$249,IF(Eingabedaten!CF14="IDA-C6",Begriffe!$F$250,"")))</f>
        <v>einstufig</v>
      </c>
      <c r="CJ14" s="379" t="str">
        <f>IF(CG14="IDA-C3",Begriffe!$F$248,IF(Eingabedaten!CG14="IDA-C4",Begriffe!$F$249,IF(Eingabedaten!CG14="IDA-C6",Begriffe!$F$250,"")))</f>
        <v>zweistufig</v>
      </c>
      <c r="CK14" s="379" t="str">
        <f>IF(CH14="IDA-C3",Begriffe!$F$248,IF(Eingabedaten!CH14="IDA-C4",Begriffe!$F$249,IF(Eingabedaten!CH14="IDA-C6",Begriffe!$F$250,"")))</f>
        <v>einstufig</v>
      </c>
      <c r="CL14" s="1439">
        <v>0.73</v>
      </c>
      <c r="CM14" s="1439">
        <v>0.78</v>
      </c>
      <c r="CN14" s="1439">
        <v>0.5</v>
      </c>
      <c r="CO14" s="1439">
        <v>0.7</v>
      </c>
      <c r="CP14" s="1439">
        <v>0.75</v>
      </c>
      <c r="CQ14" s="1461">
        <v>0.5</v>
      </c>
      <c r="CR14" s="586" t="str">
        <f>Begriffe!$F$252</f>
        <v>Einfache Klimaanlage</v>
      </c>
      <c r="CS14" s="586">
        <v>0.91</v>
      </c>
      <c r="CT14" s="586">
        <v>0.55000000000000004</v>
      </c>
      <c r="CU14" s="586">
        <v>0.34</v>
      </c>
      <c r="CV14" s="1433">
        <v>0.91</v>
      </c>
      <c r="CW14" s="1469" t="str">
        <f>Begriffe!$F$259</f>
        <v>notwendig</v>
      </c>
      <c r="CX14" s="586" t="str">
        <f>Begriffe!$F$259</f>
        <v>notwendig</v>
      </c>
      <c r="CY14" s="586" t="str">
        <f>Begriffe!$F$259</f>
        <v>notwendig</v>
      </c>
      <c r="CZ14" s="586" t="str">
        <f>Begriffe!$F$258</f>
        <v>erwünscht</v>
      </c>
      <c r="DA14" s="586" t="str">
        <f>Begriffe!$F$259</f>
        <v>notwendig</v>
      </c>
      <c r="DB14" s="1433" t="str">
        <f>Begriffe!$F$259</f>
        <v>notwendig</v>
      </c>
      <c r="DC14" s="580">
        <v>1</v>
      </c>
      <c r="DD14" s="390">
        <v>2</v>
      </c>
      <c r="DE14" s="390">
        <v>0</v>
      </c>
      <c r="DF14" s="628">
        <v>0.5</v>
      </c>
      <c r="DG14" s="580">
        <v>0.1</v>
      </c>
      <c r="DH14" s="628">
        <f t="shared" si="30"/>
        <v>0.3</v>
      </c>
      <c r="DI14" s="580" t="str">
        <f>Begriffe!$F$260</f>
        <v>Person</v>
      </c>
      <c r="DJ14" s="390">
        <v>3</v>
      </c>
      <c r="DK14" s="390">
        <v>1</v>
      </c>
      <c r="DL14" s="598">
        <f>IF(DK14=0,DJ14,DJ14*DK14)</f>
        <v>3</v>
      </c>
      <c r="DM14" s="390">
        <v>20</v>
      </c>
      <c r="DN14" s="629">
        <f>DL14*DM14</f>
        <v>60</v>
      </c>
      <c r="DO14" s="593" t="s">
        <v>126</v>
      </c>
      <c r="DP14" s="620"/>
      <c r="DQ14" s="618"/>
      <c r="DR14" s="618"/>
      <c r="DS14" s="621"/>
      <c r="DT14" s="618"/>
      <c r="DU14" s="617"/>
      <c r="DV14" s="618"/>
      <c r="DW14" s="618">
        <v>0.2</v>
      </c>
      <c r="DX14" s="618">
        <v>0.6</v>
      </c>
      <c r="DY14" s="621">
        <v>1</v>
      </c>
      <c r="DZ14" s="618">
        <v>1</v>
      </c>
      <c r="EA14" s="617">
        <v>0.8</v>
      </c>
      <c r="EB14" s="618">
        <v>0.4</v>
      </c>
      <c r="EC14" s="618">
        <v>0.6</v>
      </c>
      <c r="ED14" s="618">
        <v>1</v>
      </c>
      <c r="EE14" s="621">
        <v>0.8</v>
      </c>
      <c r="EF14" s="618">
        <v>0.6</v>
      </c>
      <c r="EG14" s="617">
        <v>0.2</v>
      </c>
      <c r="EH14" s="618"/>
      <c r="EI14" s="618"/>
      <c r="EJ14" s="618"/>
      <c r="EK14" s="621"/>
      <c r="EL14" s="618"/>
      <c r="EM14" s="622"/>
      <c r="EN14" s="620">
        <v>0.3</v>
      </c>
      <c r="EO14" s="618">
        <v>0.3</v>
      </c>
      <c r="EP14" s="618">
        <v>0.3</v>
      </c>
      <c r="EQ14" s="621">
        <v>0.3</v>
      </c>
      <c r="ER14" s="618">
        <v>0.3</v>
      </c>
      <c r="ES14" s="617">
        <v>0.3</v>
      </c>
      <c r="ET14" s="618">
        <v>0.3</v>
      </c>
      <c r="EU14" s="618">
        <v>0.3</v>
      </c>
      <c r="EV14" s="618">
        <v>0.6</v>
      </c>
      <c r="EW14" s="621">
        <v>0.8</v>
      </c>
      <c r="EX14" s="618">
        <v>1</v>
      </c>
      <c r="EY14" s="617">
        <v>0.8</v>
      </c>
      <c r="EZ14" s="618">
        <v>0.4</v>
      </c>
      <c r="FA14" s="618">
        <v>0.6</v>
      </c>
      <c r="FB14" s="618">
        <v>1</v>
      </c>
      <c r="FC14" s="621">
        <v>0.8</v>
      </c>
      <c r="FD14" s="618">
        <v>0.6</v>
      </c>
      <c r="FE14" s="617">
        <v>0.3</v>
      </c>
      <c r="FF14" s="618">
        <v>0.3</v>
      </c>
      <c r="FG14" s="618">
        <v>0.3</v>
      </c>
      <c r="FH14" s="618">
        <v>0.3</v>
      </c>
      <c r="FI14" s="621">
        <v>0.3</v>
      </c>
      <c r="FJ14" s="618">
        <v>0.3</v>
      </c>
      <c r="FK14" s="622">
        <v>0.3</v>
      </c>
      <c r="FL14" s="620" t="s">
        <v>575</v>
      </c>
      <c r="FM14" s="620">
        <v>0.8</v>
      </c>
      <c r="FN14" s="618">
        <v>0.8</v>
      </c>
      <c r="FO14" s="618">
        <v>0.8</v>
      </c>
      <c r="FP14" s="621">
        <v>0.8</v>
      </c>
      <c r="FQ14" s="618">
        <v>0.8</v>
      </c>
      <c r="FR14" s="617">
        <v>0.8</v>
      </c>
      <c r="FS14" s="618">
        <v>0.8</v>
      </c>
      <c r="FT14" s="618">
        <v>0.8</v>
      </c>
      <c r="FU14" s="618">
        <v>0.8</v>
      </c>
      <c r="FV14" s="621">
        <v>0.8</v>
      </c>
      <c r="FW14" s="618">
        <v>0.8</v>
      </c>
      <c r="FX14" s="622">
        <v>0.8</v>
      </c>
      <c r="FY14" s="587">
        <v>2</v>
      </c>
      <c r="FZ14" s="613">
        <f t="shared" si="35"/>
        <v>261</v>
      </c>
      <c r="GA14" s="620">
        <f t="shared" si="2"/>
        <v>11</v>
      </c>
      <c r="GB14" s="618">
        <f t="shared" si="3"/>
        <v>7.1999999999999993</v>
      </c>
      <c r="GC14" s="618">
        <f t="shared" si="4"/>
        <v>7.1999999999999993</v>
      </c>
      <c r="GD14" s="618">
        <f t="shared" si="5"/>
        <v>0</v>
      </c>
      <c r="GE14" s="627">
        <f t="shared" si="6"/>
        <v>0.80000000000000016</v>
      </c>
      <c r="GF14" s="205">
        <f t="shared" si="31"/>
        <v>2870</v>
      </c>
      <c r="GG14" s="205">
        <f t="shared" si="7"/>
        <v>2870</v>
      </c>
      <c r="GH14" s="463">
        <f t="shared" si="36"/>
        <v>1500</v>
      </c>
      <c r="GI14" s="620">
        <f t="shared" si="8"/>
        <v>24</v>
      </c>
      <c r="GJ14" s="618">
        <f t="shared" si="9"/>
        <v>11.100000000000005</v>
      </c>
      <c r="GK14" s="618">
        <f t="shared" si="10"/>
        <v>7.1999999999999993</v>
      </c>
      <c r="GL14" s="463">
        <f t="shared" si="37"/>
        <v>2920</v>
      </c>
      <c r="GO14" s="379" t="str">
        <f>IF(CH14=0,Begriffe!$F$297,"")</f>
        <v/>
      </c>
      <c r="GP14" s="583" t="str">
        <f>Begriffe!$F$285</f>
        <v>- Der Klimakälteleistungsbedarf und der jährliche Klimakältebedarf gelten für Räume ohne unterstützende Fensterlüftung</v>
      </c>
      <c r="GQ14" s="583"/>
      <c r="GR14" s="583" t="str">
        <f>Begriffe!$F304</f>
        <v>- Wasser- und Warmwasserbedarf pro Person, ohne Personalrestaurant</v>
      </c>
      <c r="HB14" s="379" t="s">
        <v>123</v>
      </c>
      <c r="HC14" s="379">
        <v>0.8</v>
      </c>
      <c r="HD14" s="379">
        <v>0.6</v>
      </c>
      <c r="HE14" s="379">
        <v>1</v>
      </c>
      <c r="HF14" s="379">
        <v>0.8</v>
      </c>
      <c r="HG14" s="379">
        <v>0.6</v>
      </c>
      <c r="HH14" s="379">
        <v>1</v>
      </c>
      <c r="HI14" s="379">
        <v>0.6</v>
      </c>
      <c r="HJ14" s="379">
        <v>0.6</v>
      </c>
      <c r="HK14" s="379">
        <v>1</v>
      </c>
      <c r="HL14" s="379">
        <v>0.8</v>
      </c>
      <c r="HM14" s="379">
        <v>1</v>
      </c>
      <c r="HN14" s="379">
        <v>0.6</v>
      </c>
      <c r="HO14" s="390">
        <f t="shared" si="11"/>
        <v>0.78333333333333333</v>
      </c>
      <c r="HQ14" s="390">
        <v>2</v>
      </c>
      <c r="HS14" s="541">
        <v>0</v>
      </c>
      <c r="HT14" s="541">
        <v>0</v>
      </c>
      <c r="HU14" s="600">
        <v>1</v>
      </c>
      <c r="HV14" s="600">
        <v>1</v>
      </c>
      <c r="HW14" s="600">
        <v>1</v>
      </c>
      <c r="HX14" s="600">
        <v>1</v>
      </c>
      <c r="HY14" s="600">
        <v>1</v>
      </c>
      <c r="HZ14" s="379">
        <v>12</v>
      </c>
      <c r="IA14" s="379">
        <v>14</v>
      </c>
      <c r="IB14" s="379">
        <v>0.7</v>
      </c>
      <c r="IC14" s="379">
        <v>3</v>
      </c>
      <c r="ID14" s="1439">
        <v>0.79411764705882359</v>
      </c>
      <c r="IE14" s="1440">
        <f t="shared" si="32"/>
        <v>23.117647058823529</v>
      </c>
    </row>
    <row r="15" spans="1:239" s="379" customFormat="1" ht="12" customHeight="1">
      <c r="A15" s="1636">
        <v>3.03</v>
      </c>
      <c r="B15" s="1637">
        <v>3</v>
      </c>
      <c r="C15" s="463" t="str">
        <f>Begriffe!F140</f>
        <v>Sitzungszimmer</v>
      </c>
      <c r="D15" s="620">
        <v>6</v>
      </c>
      <c r="E15" s="618">
        <v>6</v>
      </c>
      <c r="F15" s="618">
        <v>3</v>
      </c>
      <c r="G15" s="205">
        <f t="shared" si="33"/>
        <v>36</v>
      </c>
      <c r="H15" s="205">
        <v>42.352941176470587</v>
      </c>
      <c r="I15" s="390">
        <v>50</v>
      </c>
      <c r="J15" s="1439">
        <v>0.75</v>
      </c>
      <c r="K15" s="632">
        <f t="shared" si="12"/>
        <v>66.666666666666671</v>
      </c>
      <c r="L15" s="630">
        <v>1</v>
      </c>
      <c r="M15" s="595">
        <v>0.8</v>
      </c>
      <c r="N15" s="595">
        <v>1.5</v>
      </c>
      <c r="O15" s="1439">
        <v>0.17</v>
      </c>
      <c r="P15" s="595">
        <v>0.1</v>
      </c>
      <c r="Q15" s="595">
        <v>0.8</v>
      </c>
      <c r="R15" s="1439">
        <v>0.5</v>
      </c>
      <c r="S15" s="1439">
        <v>0.5</v>
      </c>
      <c r="T15" s="1439">
        <v>0.65</v>
      </c>
      <c r="U15" s="1439">
        <v>0.14000000000000001</v>
      </c>
      <c r="V15" s="1439">
        <v>0.1</v>
      </c>
      <c r="W15" s="1439">
        <v>0.2</v>
      </c>
      <c r="X15" s="390">
        <v>0.7</v>
      </c>
      <c r="Y15" s="390">
        <v>0.9</v>
      </c>
      <c r="Z15" s="390">
        <v>90</v>
      </c>
      <c r="AA15" s="598">
        <v>111.9</v>
      </c>
      <c r="AB15" s="582">
        <v>26</v>
      </c>
      <c r="AC15" s="1440">
        <v>21</v>
      </c>
      <c r="AD15" s="1440">
        <v>25</v>
      </c>
      <c r="AE15" s="1440">
        <v>22</v>
      </c>
      <c r="AF15" s="578" t="s">
        <v>22</v>
      </c>
      <c r="AG15" s="1456" t="s">
        <v>122</v>
      </c>
      <c r="AH15" s="1456">
        <v>60</v>
      </c>
      <c r="AI15" s="1457">
        <v>30</v>
      </c>
      <c r="AJ15" s="1659" t="str">
        <f>Begriffe!F$247</f>
        <v>gering</v>
      </c>
      <c r="AK15" s="1456">
        <v>1</v>
      </c>
      <c r="AL15" s="1456">
        <f t="shared" si="13"/>
        <v>38</v>
      </c>
      <c r="AM15" s="1456">
        <f t="shared" si="14"/>
        <v>43</v>
      </c>
      <c r="AN15" s="1457">
        <f t="shared" si="15"/>
        <v>33</v>
      </c>
      <c r="AO15" s="1458">
        <v>0.6</v>
      </c>
      <c r="AP15" s="580">
        <v>3</v>
      </c>
      <c r="AQ15" s="595">
        <v>1.2</v>
      </c>
      <c r="AR15" s="595">
        <v>0.5</v>
      </c>
      <c r="AS15" s="595">
        <v>1</v>
      </c>
      <c r="AT15" s="598">
        <f t="shared" si="16"/>
        <v>84</v>
      </c>
      <c r="AU15" s="598">
        <f t="shared" si="17"/>
        <v>94</v>
      </c>
      <c r="AV15" s="598">
        <f t="shared" si="18"/>
        <v>51</v>
      </c>
      <c r="AW15" s="598">
        <f t="shared" si="19"/>
        <v>66</v>
      </c>
      <c r="AX15" s="632">
        <v>0.5</v>
      </c>
      <c r="AY15" s="580">
        <v>8</v>
      </c>
      <c r="AZ15" s="390">
        <v>4</v>
      </c>
      <c r="BA15" s="390">
        <v>12</v>
      </c>
      <c r="BB15" s="390"/>
      <c r="BC15" s="390"/>
      <c r="BD15" s="390"/>
      <c r="BE15" s="390">
        <f t="shared" si="20"/>
        <v>8</v>
      </c>
      <c r="BF15" s="390">
        <f t="shared" si="21"/>
        <v>4</v>
      </c>
      <c r="BG15" s="390">
        <f t="shared" si="22"/>
        <v>12</v>
      </c>
      <c r="BH15" s="613">
        <v>10</v>
      </c>
      <c r="BI15" s="1460">
        <f t="shared" si="23"/>
        <v>8</v>
      </c>
      <c r="BJ15" s="390">
        <v>50</v>
      </c>
      <c r="BK15" s="595">
        <f t="shared" si="24"/>
        <v>6.25</v>
      </c>
      <c r="BL15" s="580">
        <f t="shared" si="34"/>
        <v>500</v>
      </c>
      <c r="BM15" s="595">
        <v>1</v>
      </c>
      <c r="BN15" s="390">
        <v>500</v>
      </c>
      <c r="BO15" s="390" t="str">
        <f>Begriffe!$F$208</f>
        <v>NP</v>
      </c>
      <c r="BP15" s="1825">
        <v>0.5</v>
      </c>
      <c r="BQ15" s="595">
        <v>1</v>
      </c>
      <c r="BR15" s="627">
        <v>0.75</v>
      </c>
      <c r="BS15" s="1120">
        <v>90</v>
      </c>
      <c r="BT15" s="1120">
        <v>130</v>
      </c>
      <c r="BU15" s="598">
        <f t="shared" si="38"/>
        <v>6</v>
      </c>
      <c r="BV15" s="629">
        <f t="shared" si="25"/>
        <v>0</v>
      </c>
      <c r="BW15" s="582" t="s">
        <v>380</v>
      </c>
      <c r="BX15" s="598">
        <f t="shared" si="26"/>
        <v>29</v>
      </c>
      <c r="BY15" s="390"/>
      <c r="BZ15" s="595">
        <f t="shared" si="27"/>
        <v>9.6666666666666661</v>
      </c>
      <c r="CA15" s="595"/>
      <c r="CB15" s="595">
        <f t="shared" si="1"/>
        <v>9.6666666666666661</v>
      </c>
      <c r="CC15" s="390">
        <v>0</v>
      </c>
      <c r="CD15" s="1439">
        <v>0.15</v>
      </c>
      <c r="CE15" s="1439">
        <v>0.3</v>
      </c>
      <c r="CF15" s="379" t="str">
        <f t="shared" si="28"/>
        <v>IDA-C6</v>
      </c>
      <c r="CG15" s="379" t="str">
        <f t="shared" si="29"/>
        <v>IDA-C6</v>
      </c>
      <c r="CH15" s="379" t="str">
        <f t="shared" si="39"/>
        <v>IDA-C4</v>
      </c>
      <c r="CI15" s="379" t="str">
        <f>IF(CF15="IDA-C3",Begriffe!$F$248,IF(Eingabedaten!CF15="IDA-C4",Begriffe!$F$249,IF(Eingabedaten!CF15="IDA-C6",Begriffe!$F$250,"")))</f>
        <v>stufenlos</v>
      </c>
      <c r="CJ15" s="379" t="str">
        <f>IF(CG15="IDA-C3",Begriffe!$F$248,IF(Eingabedaten!CG15="IDA-C4",Begriffe!$F$249,IF(Eingabedaten!CG15="IDA-C6",Begriffe!$F$250,"")))</f>
        <v>stufenlos</v>
      </c>
      <c r="CK15" s="379" t="str">
        <f>IF(CH15="IDA-C3",Begriffe!$F$248,IF(Eingabedaten!CH15="IDA-C4",Begriffe!$F$249,IF(Eingabedaten!CH15="IDA-C6",Begriffe!$F$250,"")))</f>
        <v>zweistufig</v>
      </c>
      <c r="CL15" s="1439">
        <v>0.73</v>
      </c>
      <c r="CM15" s="1439">
        <v>0.78</v>
      </c>
      <c r="CN15" s="1439">
        <v>0.5</v>
      </c>
      <c r="CO15" s="1439">
        <v>0.7</v>
      </c>
      <c r="CP15" s="1439">
        <v>0.75</v>
      </c>
      <c r="CQ15" s="1461">
        <v>0.5</v>
      </c>
      <c r="CR15" s="586" t="str">
        <f>Begriffe!$F$252</f>
        <v>Einfache Klimaanlage</v>
      </c>
      <c r="CS15" s="586">
        <v>0.91</v>
      </c>
      <c r="CT15" s="586">
        <v>0.55000000000000004</v>
      </c>
      <c r="CU15" s="586">
        <v>0.34</v>
      </c>
      <c r="CV15" s="1433">
        <v>0.91</v>
      </c>
      <c r="CW15" s="1469" t="str">
        <f>Begriffe!$F$257</f>
        <v>nicht notwendig</v>
      </c>
      <c r="CX15" s="586" t="str">
        <f>Begriffe!$F$258</f>
        <v>erwünscht</v>
      </c>
      <c r="CY15" s="586" t="str">
        <f>Begriffe!$F$258</f>
        <v>erwünscht</v>
      </c>
      <c r="CZ15" s="586" t="str">
        <f>Begriffe!$F$257</f>
        <v>nicht notwendig</v>
      </c>
      <c r="DA15" s="586" t="str">
        <f>Begriffe!$F$258</f>
        <v>erwünscht</v>
      </c>
      <c r="DB15" s="1433" t="str">
        <f>Begriffe!$F$258</f>
        <v>erwünscht</v>
      </c>
      <c r="DC15" s="580">
        <v>1</v>
      </c>
      <c r="DD15" s="390">
        <v>2</v>
      </c>
      <c r="DE15" s="390">
        <v>0</v>
      </c>
      <c r="DF15" s="628">
        <v>0.5</v>
      </c>
      <c r="DG15" s="580">
        <v>0.1</v>
      </c>
      <c r="DH15" s="628">
        <f t="shared" si="30"/>
        <v>0.3</v>
      </c>
      <c r="DI15" s="580"/>
      <c r="DJ15" s="390"/>
      <c r="DK15" s="390"/>
      <c r="DL15" s="598"/>
      <c r="DM15" s="390"/>
      <c r="DN15" s="629"/>
      <c r="DO15" s="593" t="s">
        <v>127</v>
      </c>
      <c r="DP15" s="620"/>
      <c r="DQ15" s="618"/>
      <c r="DR15" s="618"/>
      <c r="DS15" s="621"/>
      <c r="DT15" s="618"/>
      <c r="DU15" s="617"/>
      <c r="DV15" s="618"/>
      <c r="DW15" s="618"/>
      <c r="DX15" s="618"/>
      <c r="DY15" s="621">
        <v>0.6</v>
      </c>
      <c r="DZ15" s="618">
        <v>1</v>
      </c>
      <c r="EA15" s="617">
        <v>0.4</v>
      </c>
      <c r="EB15" s="618"/>
      <c r="EC15" s="618"/>
      <c r="ED15" s="618">
        <v>0.6</v>
      </c>
      <c r="EE15" s="621">
        <v>1</v>
      </c>
      <c r="EF15" s="618">
        <v>0.4</v>
      </c>
      <c r="EG15" s="617"/>
      <c r="EH15" s="618"/>
      <c r="EI15" s="618"/>
      <c r="EJ15" s="618"/>
      <c r="EK15" s="621"/>
      <c r="EL15" s="618"/>
      <c r="EM15" s="622"/>
      <c r="EN15" s="620">
        <v>0.1</v>
      </c>
      <c r="EO15" s="618">
        <v>0.1</v>
      </c>
      <c r="EP15" s="618">
        <v>0.1</v>
      </c>
      <c r="EQ15" s="621">
        <v>0.1</v>
      </c>
      <c r="ER15" s="618">
        <v>0.1</v>
      </c>
      <c r="ES15" s="617">
        <v>0.1</v>
      </c>
      <c r="ET15" s="618">
        <v>0.1</v>
      </c>
      <c r="EU15" s="618">
        <v>0.1</v>
      </c>
      <c r="EV15" s="618">
        <v>0.1</v>
      </c>
      <c r="EW15" s="621">
        <v>0.6</v>
      </c>
      <c r="EX15" s="618">
        <v>1</v>
      </c>
      <c r="EY15" s="617">
        <v>0.4</v>
      </c>
      <c r="EZ15" s="618">
        <v>0.1</v>
      </c>
      <c r="FA15" s="618">
        <v>0.1</v>
      </c>
      <c r="FB15" s="618">
        <v>0.6</v>
      </c>
      <c r="FC15" s="621">
        <v>1</v>
      </c>
      <c r="FD15" s="618">
        <v>0.4</v>
      </c>
      <c r="FE15" s="617">
        <v>0.1</v>
      </c>
      <c r="FF15" s="618">
        <v>0.1</v>
      </c>
      <c r="FG15" s="618">
        <v>0.1</v>
      </c>
      <c r="FH15" s="618">
        <v>0.1</v>
      </c>
      <c r="FI15" s="621">
        <v>0.1</v>
      </c>
      <c r="FJ15" s="618">
        <v>0.1</v>
      </c>
      <c r="FK15" s="622">
        <v>0.1</v>
      </c>
      <c r="FL15" s="620" t="s">
        <v>575</v>
      </c>
      <c r="FM15" s="620">
        <v>0.8</v>
      </c>
      <c r="FN15" s="618">
        <v>0.8</v>
      </c>
      <c r="FO15" s="618">
        <v>0.8</v>
      </c>
      <c r="FP15" s="621">
        <v>0.8</v>
      </c>
      <c r="FQ15" s="618">
        <v>0.8</v>
      </c>
      <c r="FR15" s="617">
        <v>0.8</v>
      </c>
      <c r="FS15" s="618">
        <v>0.8</v>
      </c>
      <c r="FT15" s="618">
        <v>0.8</v>
      </c>
      <c r="FU15" s="618">
        <v>0.8</v>
      </c>
      <c r="FV15" s="621">
        <v>0.8</v>
      </c>
      <c r="FW15" s="618">
        <v>0.8</v>
      </c>
      <c r="FX15" s="622">
        <v>0.8</v>
      </c>
      <c r="FY15" s="587">
        <v>2</v>
      </c>
      <c r="FZ15" s="613">
        <f t="shared" si="35"/>
        <v>261</v>
      </c>
      <c r="GA15" s="620">
        <f t="shared" si="2"/>
        <v>6</v>
      </c>
      <c r="GB15" s="618">
        <f t="shared" si="3"/>
        <v>4</v>
      </c>
      <c r="GC15" s="618">
        <f t="shared" si="4"/>
        <v>4</v>
      </c>
      <c r="GD15" s="618">
        <f t="shared" si="5"/>
        <v>0</v>
      </c>
      <c r="GE15" s="627">
        <f t="shared" si="6"/>
        <v>0.80000000000000016</v>
      </c>
      <c r="GF15" s="205">
        <f t="shared" si="31"/>
        <v>1570</v>
      </c>
      <c r="GG15" s="205">
        <f t="shared" si="7"/>
        <v>1570</v>
      </c>
      <c r="GH15" s="463">
        <f t="shared" si="36"/>
        <v>840</v>
      </c>
      <c r="GI15" s="620">
        <f t="shared" si="8"/>
        <v>24</v>
      </c>
      <c r="GJ15" s="618">
        <f t="shared" si="9"/>
        <v>5.799999999999998</v>
      </c>
      <c r="GK15" s="618">
        <f t="shared" si="10"/>
        <v>2.4000000000000004</v>
      </c>
      <c r="GL15" s="463">
        <f t="shared" si="37"/>
        <v>1410</v>
      </c>
      <c r="GO15" s="379" t="str">
        <f>IF(CH15=0,Begriffe!$F$297,"")</f>
        <v/>
      </c>
      <c r="GP15" s="583" t="str">
        <f>Begriffe!$F$285</f>
        <v>- Der Klimakälteleistungsbedarf und der jährliche Klimakältebedarf gelten für Räume ohne unterstützende Fensterlüftung</v>
      </c>
      <c r="GQ15" s="583"/>
      <c r="GR15" s="583" t="str">
        <f>Begriffe!$F305</f>
        <v>- Wasser- und Warmwasserbedarf sind in den Raumnutzungen 3.1 und 3.2 enthalten</v>
      </c>
      <c r="HB15" s="379" t="s">
        <v>123</v>
      </c>
      <c r="HC15" s="379">
        <v>0.8</v>
      </c>
      <c r="HD15" s="379">
        <v>0.6</v>
      </c>
      <c r="HE15" s="379">
        <v>1</v>
      </c>
      <c r="HF15" s="379">
        <v>0.8</v>
      </c>
      <c r="HG15" s="379">
        <v>0.6</v>
      </c>
      <c r="HH15" s="379">
        <v>1</v>
      </c>
      <c r="HI15" s="379">
        <v>0.6</v>
      </c>
      <c r="HJ15" s="379">
        <v>0.6</v>
      </c>
      <c r="HK15" s="379">
        <v>1</v>
      </c>
      <c r="HL15" s="379">
        <v>0.8</v>
      </c>
      <c r="HM15" s="379">
        <v>1</v>
      </c>
      <c r="HN15" s="379">
        <v>0.6</v>
      </c>
      <c r="HO15" s="390">
        <f t="shared" si="11"/>
        <v>0.78333333333333333</v>
      </c>
      <c r="HQ15" s="390">
        <v>2</v>
      </c>
      <c r="HS15" s="541">
        <v>0</v>
      </c>
      <c r="HT15" s="541">
        <v>0</v>
      </c>
      <c r="HU15" s="600">
        <v>1</v>
      </c>
      <c r="HV15" s="600">
        <v>1</v>
      </c>
      <c r="HW15" s="600">
        <v>1</v>
      </c>
      <c r="HX15" s="600">
        <v>1</v>
      </c>
      <c r="HY15" s="600">
        <v>1</v>
      </c>
      <c r="HZ15" s="379">
        <v>12</v>
      </c>
      <c r="IA15" s="379">
        <v>14</v>
      </c>
      <c r="IB15" s="379">
        <v>0.7</v>
      </c>
      <c r="IC15" s="379">
        <v>3</v>
      </c>
      <c r="ID15" s="1439">
        <v>1.0588235294117647</v>
      </c>
      <c r="IE15" s="1440">
        <f t="shared" si="32"/>
        <v>26.823529411764707</v>
      </c>
    </row>
    <row r="16" spans="1:239" s="379" customFormat="1" ht="12" customHeight="1">
      <c r="A16" s="1638">
        <v>3.04</v>
      </c>
      <c r="B16" s="1639">
        <v>4</v>
      </c>
      <c r="C16" s="592" t="str">
        <f>Begriffe!F141</f>
        <v>Schalterhalle, Empfang</v>
      </c>
      <c r="D16" s="604">
        <v>12</v>
      </c>
      <c r="E16" s="642">
        <v>12</v>
      </c>
      <c r="F16" s="642">
        <v>4</v>
      </c>
      <c r="G16" s="641">
        <f t="shared" si="33"/>
        <v>144</v>
      </c>
      <c r="H16" s="641">
        <v>112.94117647058823</v>
      </c>
      <c r="I16" s="385">
        <v>50</v>
      </c>
      <c r="J16" s="1442">
        <v>0.75</v>
      </c>
      <c r="K16" s="1447">
        <f t="shared" si="12"/>
        <v>66.666666666666671</v>
      </c>
      <c r="L16" s="1441">
        <v>1</v>
      </c>
      <c r="M16" s="601">
        <v>0.8</v>
      </c>
      <c r="N16" s="601">
        <v>1.5</v>
      </c>
      <c r="O16" s="1442">
        <v>0.17</v>
      </c>
      <c r="P16" s="601">
        <v>0.1</v>
      </c>
      <c r="Q16" s="601">
        <v>0.8</v>
      </c>
      <c r="R16" s="1442">
        <v>0.5</v>
      </c>
      <c r="S16" s="1442">
        <v>0.5</v>
      </c>
      <c r="T16" s="1442">
        <v>0.65</v>
      </c>
      <c r="U16" s="1442">
        <v>0.14000000000000001</v>
      </c>
      <c r="V16" s="1442">
        <v>0.1</v>
      </c>
      <c r="W16" s="1442">
        <v>0.2</v>
      </c>
      <c r="X16" s="385">
        <v>0.7</v>
      </c>
      <c r="Y16" s="385">
        <v>0.9</v>
      </c>
      <c r="Z16" s="385">
        <v>90</v>
      </c>
      <c r="AA16" s="602">
        <v>101.6</v>
      </c>
      <c r="AB16" s="576">
        <v>26</v>
      </c>
      <c r="AC16" s="639">
        <v>20</v>
      </c>
      <c r="AD16" s="639">
        <v>25</v>
      </c>
      <c r="AE16" s="639">
        <v>22</v>
      </c>
      <c r="AF16" s="588" t="s">
        <v>22</v>
      </c>
      <c r="AG16" s="1443" t="s">
        <v>124</v>
      </c>
      <c r="AH16" s="1443">
        <v>60</v>
      </c>
      <c r="AI16" s="1444">
        <v>30</v>
      </c>
      <c r="AJ16" s="1658" t="str">
        <f>Begriffe!F$247</f>
        <v>gering</v>
      </c>
      <c r="AK16" s="1443">
        <v>1</v>
      </c>
      <c r="AL16" s="1443">
        <f t="shared" si="13"/>
        <v>38</v>
      </c>
      <c r="AM16" s="1443">
        <f t="shared" si="14"/>
        <v>43</v>
      </c>
      <c r="AN16" s="1444">
        <f t="shared" si="15"/>
        <v>33</v>
      </c>
      <c r="AO16" s="1445">
        <v>0.9</v>
      </c>
      <c r="AP16" s="574">
        <v>12</v>
      </c>
      <c r="AQ16" s="601">
        <v>1.2</v>
      </c>
      <c r="AR16" s="601">
        <v>0.5</v>
      </c>
      <c r="AS16" s="601">
        <v>1</v>
      </c>
      <c r="AT16" s="602">
        <f t="shared" si="16"/>
        <v>84</v>
      </c>
      <c r="AU16" s="602">
        <v>100</v>
      </c>
      <c r="AV16" s="602">
        <f t="shared" si="18"/>
        <v>51</v>
      </c>
      <c r="AW16" s="602">
        <f t="shared" si="19"/>
        <v>66</v>
      </c>
      <c r="AX16" s="1447">
        <v>0.5</v>
      </c>
      <c r="AY16" s="574">
        <v>4</v>
      </c>
      <c r="AZ16" s="385">
        <v>2</v>
      </c>
      <c r="BA16" s="385">
        <v>10</v>
      </c>
      <c r="BB16" s="385"/>
      <c r="BC16" s="385"/>
      <c r="BD16" s="385"/>
      <c r="BE16" s="385">
        <f t="shared" si="20"/>
        <v>4</v>
      </c>
      <c r="BF16" s="385">
        <f t="shared" si="21"/>
        <v>2</v>
      </c>
      <c r="BG16" s="385">
        <f t="shared" si="22"/>
        <v>10</v>
      </c>
      <c r="BH16" s="640">
        <v>30</v>
      </c>
      <c r="BI16" s="1448">
        <f t="shared" si="23"/>
        <v>4</v>
      </c>
      <c r="BJ16" s="385">
        <v>50</v>
      </c>
      <c r="BK16" s="601">
        <f t="shared" si="24"/>
        <v>12.5</v>
      </c>
      <c r="BL16" s="1814">
        <v>300</v>
      </c>
      <c r="BM16" s="1815">
        <v>1</v>
      </c>
      <c r="BN16" s="385">
        <v>300</v>
      </c>
      <c r="BO16" s="385" t="str">
        <f>Begriffe!$F$207</f>
        <v>DP</v>
      </c>
      <c r="BP16" s="601">
        <v>1</v>
      </c>
      <c r="BQ16" s="601">
        <v>1</v>
      </c>
      <c r="BR16" s="648">
        <v>0.05</v>
      </c>
      <c r="BS16" s="1809">
        <v>90</v>
      </c>
      <c r="BT16" s="1809">
        <v>130</v>
      </c>
      <c r="BU16" s="602">
        <f t="shared" si="38"/>
        <v>11</v>
      </c>
      <c r="BV16" s="1073">
        <f t="shared" si="25"/>
        <v>0</v>
      </c>
      <c r="BW16" s="576" t="s">
        <v>380</v>
      </c>
      <c r="BX16" s="602">
        <f t="shared" si="26"/>
        <v>29</v>
      </c>
      <c r="BY16" s="385"/>
      <c r="BZ16" s="601">
        <f t="shared" si="27"/>
        <v>2.4166666666666665</v>
      </c>
      <c r="CA16" s="601"/>
      <c r="CB16" s="601">
        <f t="shared" si="1"/>
        <v>2.4166666666666665</v>
      </c>
      <c r="CC16" s="385">
        <v>0</v>
      </c>
      <c r="CD16" s="1442">
        <v>0.15</v>
      </c>
      <c r="CE16" s="1442">
        <v>0.3</v>
      </c>
      <c r="CF16" s="387" t="str">
        <f t="shared" si="28"/>
        <v>IDA-C3</v>
      </c>
      <c r="CG16" s="387" t="str">
        <f t="shared" si="29"/>
        <v>IDA-C4</v>
      </c>
      <c r="CH16" s="387" t="str">
        <f t="shared" si="39"/>
        <v>IDA-C3</v>
      </c>
      <c r="CI16" s="387" t="str">
        <f>IF(CF16="IDA-C3",Begriffe!$F$248,IF(Eingabedaten!CF16="IDA-C4",Begriffe!$F$249,IF(Eingabedaten!CF16="IDA-C6",Begriffe!$F$250,"")))</f>
        <v>einstufig</v>
      </c>
      <c r="CJ16" s="387" t="str">
        <f>IF(CG16="IDA-C3",Begriffe!$F$248,IF(Eingabedaten!CG16="IDA-C4",Begriffe!$F$249,IF(Eingabedaten!CG16="IDA-C6",Begriffe!$F$250,"")))</f>
        <v>zweistufig</v>
      </c>
      <c r="CK16" s="387" t="str">
        <f>IF(CH16="IDA-C3",Begriffe!$F$248,IF(Eingabedaten!CH16="IDA-C4",Begriffe!$F$249,IF(Eingabedaten!CH16="IDA-C6",Begriffe!$F$250,"")))</f>
        <v>einstufig</v>
      </c>
      <c r="CL16" s="1442">
        <v>0.73</v>
      </c>
      <c r="CM16" s="1442">
        <v>0.78</v>
      </c>
      <c r="CN16" s="1442">
        <v>0.5</v>
      </c>
      <c r="CO16" s="1442">
        <v>0.7</v>
      </c>
      <c r="CP16" s="1442">
        <v>0.75</v>
      </c>
      <c r="CQ16" s="1449">
        <v>0.5</v>
      </c>
      <c r="CR16" s="589" t="str">
        <f>Begriffe!$F$252</f>
        <v>Einfache Klimaanlage</v>
      </c>
      <c r="CS16" s="589">
        <v>0.91</v>
      </c>
      <c r="CT16" s="589">
        <v>0.55000000000000004</v>
      </c>
      <c r="CU16" s="589">
        <v>0.34</v>
      </c>
      <c r="CV16" s="1470">
        <v>0.91</v>
      </c>
      <c r="CW16" s="1471" t="str">
        <f>Begriffe!$F$257</f>
        <v>nicht notwendig</v>
      </c>
      <c r="CX16" s="589" t="str">
        <f>Begriffe!$F$257</f>
        <v>nicht notwendig</v>
      </c>
      <c r="CY16" s="589" t="str">
        <f>Begriffe!$F$258</f>
        <v>erwünscht</v>
      </c>
      <c r="CZ16" s="589" t="str">
        <f>Begriffe!$F$257</f>
        <v>nicht notwendig</v>
      </c>
      <c r="DA16" s="589" t="str">
        <f>Begriffe!$F$257</f>
        <v>nicht notwendig</v>
      </c>
      <c r="DB16" s="1470" t="str">
        <f>Begriffe!$F$257</f>
        <v>nicht notwendig</v>
      </c>
      <c r="DC16" s="574">
        <v>1</v>
      </c>
      <c r="DD16" s="385">
        <v>2</v>
      </c>
      <c r="DE16" s="385">
        <v>0</v>
      </c>
      <c r="DF16" s="572">
        <v>0.5</v>
      </c>
      <c r="DG16" s="574">
        <v>0.1</v>
      </c>
      <c r="DH16" s="572">
        <f t="shared" si="30"/>
        <v>0.3</v>
      </c>
      <c r="DI16" s="574"/>
      <c r="DJ16" s="385"/>
      <c r="DK16" s="385"/>
      <c r="DL16" s="602"/>
      <c r="DM16" s="385"/>
      <c r="DN16" s="1073"/>
      <c r="DO16" s="590" t="s">
        <v>126</v>
      </c>
      <c r="DP16" s="604"/>
      <c r="DQ16" s="642"/>
      <c r="DR16" s="642"/>
      <c r="DS16" s="644"/>
      <c r="DT16" s="642"/>
      <c r="DU16" s="645"/>
      <c r="DV16" s="642"/>
      <c r="DW16" s="642">
        <v>0.2</v>
      </c>
      <c r="DX16" s="642">
        <v>0.6</v>
      </c>
      <c r="DY16" s="644">
        <v>1</v>
      </c>
      <c r="DZ16" s="642">
        <v>1</v>
      </c>
      <c r="EA16" s="645">
        <v>0.8</v>
      </c>
      <c r="EB16" s="642">
        <v>0.4</v>
      </c>
      <c r="EC16" s="642">
        <v>0.6</v>
      </c>
      <c r="ED16" s="642">
        <v>1</v>
      </c>
      <c r="EE16" s="644">
        <v>0.8</v>
      </c>
      <c r="EF16" s="642">
        <v>0.6</v>
      </c>
      <c r="EG16" s="645">
        <v>0.2</v>
      </c>
      <c r="EH16" s="642"/>
      <c r="EI16" s="642"/>
      <c r="EJ16" s="642"/>
      <c r="EK16" s="644"/>
      <c r="EL16" s="642"/>
      <c r="EM16" s="646"/>
      <c r="EN16" s="604">
        <v>0.3</v>
      </c>
      <c r="EO16" s="642">
        <v>0.3</v>
      </c>
      <c r="EP16" s="642">
        <v>0.3</v>
      </c>
      <c r="EQ16" s="644">
        <v>0.3</v>
      </c>
      <c r="ER16" s="642">
        <v>0.3</v>
      </c>
      <c r="ES16" s="645">
        <v>0.3</v>
      </c>
      <c r="ET16" s="642">
        <v>0.3</v>
      </c>
      <c r="EU16" s="642">
        <v>0.3</v>
      </c>
      <c r="EV16" s="642">
        <v>0.6</v>
      </c>
      <c r="EW16" s="644">
        <v>0.8</v>
      </c>
      <c r="EX16" s="642">
        <v>1</v>
      </c>
      <c r="EY16" s="645">
        <v>0.8</v>
      </c>
      <c r="EZ16" s="642">
        <v>0.4</v>
      </c>
      <c r="FA16" s="642">
        <v>0.6</v>
      </c>
      <c r="FB16" s="642">
        <v>1</v>
      </c>
      <c r="FC16" s="644">
        <v>0.8</v>
      </c>
      <c r="FD16" s="642">
        <v>0.6</v>
      </c>
      <c r="FE16" s="645">
        <v>0.3</v>
      </c>
      <c r="FF16" s="642">
        <v>0.3</v>
      </c>
      <c r="FG16" s="642">
        <v>0.3</v>
      </c>
      <c r="FH16" s="642">
        <v>0.3</v>
      </c>
      <c r="FI16" s="644">
        <v>0.3</v>
      </c>
      <c r="FJ16" s="642">
        <v>0.3</v>
      </c>
      <c r="FK16" s="646">
        <v>0.3</v>
      </c>
      <c r="FL16" s="604" t="s">
        <v>575</v>
      </c>
      <c r="FM16" s="604">
        <v>0.8</v>
      </c>
      <c r="FN16" s="642">
        <v>0.8</v>
      </c>
      <c r="FO16" s="642">
        <v>0.8</v>
      </c>
      <c r="FP16" s="644">
        <v>0.8</v>
      </c>
      <c r="FQ16" s="642">
        <v>0.8</v>
      </c>
      <c r="FR16" s="645">
        <v>0.8</v>
      </c>
      <c r="FS16" s="642">
        <v>0.8</v>
      </c>
      <c r="FT16" s="642">
        <v>0.8</v>
      </c>
      <c r="FU16" s="642">
        <v>0.8</v>
      </c>
      <c r="FV16" s="644">
        <v>0.8</v>
      </c>
      <c r="FW16" s="642">
        <v>0.8</v>
      </c>
      <c r="FX16" s="646">
        <v>0.8</v>
      </c>
      <c r="FY16" s="591">
        <v>2</v>
      </c>
      <c r="FZ16" s="640">
        <f t="shared" si="35"/>
        <v>261</v>
      </c>
      <c r="GA16" s="604">
        <f t="shared" si="2"/>
        <v>11</v>
      </c>
      <c r="GB16" s="642">
        <f t="shared" si="3"/>
        <v>7.1999999999999993</v>
      </c>
      <c r="GC16" s="642">
        <f t="shared" si="4"/>
        <v>7.1999999999999993</v>
      </c>
      <c r="GD16" s="642">
        <f t="shared" si="5"/>
        <v>0</v>
      </c>
      <c r="GE16" s="648">
        <f t="shared" si="6"/>
        <v>0.80000000000000016</v>
      </c>
      <c r="GF16" s="641">
        <f t="shared" si="31"/>
        <v>2870</v>
      </c>
      <c r="GG16" s="641">
        <f t="shared" si="7"/>
        <v>2870</v>
      </c>
      <c r="GH16" s="592">
        <f t="shared" si="36"/>
        <v>1500</v>
      </c>
      <c r="GI16" s="604">
        <f t="shared" si="8"/>
        <v>24</v>
      </c>
      <c r="GJ16" s="642">
        <f t="shared" si="9"/>
        <v>11.100000000000005</v>
      </c>
      <c r="GK16" s="642">
        <f t="shared" si="10"/>
        <v>7.1999999999999993</v>
      </c>
      <c r="GL16" s="592">
        <f t="shared" si="37"/>
        <v>2920</v>
      </c>
      <c r="GO16" s="379" t="str">
        <f>IF(CH16=0,Begriffe!$F$297,"")</f>
        <v/>
      </c>
      <c r="GP16" s="583" t="str">
        <f>Begriffe!$F$285</f>
        <v>- Der Klimakälteleistungsbedarf und der jährliche Klimakältebedarf gelten für Räume ohne unterstützende Fensterlüftung</v>
      </c>
      <c r="GQ16" s="583"/>
      <c r="GR16" s="583" t="str">
        <f>Begriffe!$F306</f>
        <v>- Wasser- und Warmwasserbedarf sind in den Raumnutzungen 3.1 und 3.2 enthalten</v>
      </c>
      <c r="HB16" s="379" t="s">
        <v>123</v>
      </c>
      <c r="HC16" s="379">
        <v>0.8</v>
      </c>
      <c r="HD16" s="379">
        <v>0.6</v>
      </c>
      <c r="HE16" s="379">
        <v>1</v>
      </c>
      <c r="HF16" s="379">
        <v>0.8</v>
      </c>
      <c r="HG16" s="379">
        <v>0.6</v>
      </c>
      <c r="HH16" s="379">
        <v>1</v>
      </c>
      <c r="HI16" s="379">
        <v>0.6</v>
      </c>
      <c r="HJ16" s="379">
        <v>0.6</v>
      </c>
      <c r="HK16" s="379">
        <v>1</v>
      </c>
      <c r="HL16" s="379">
        <v>0.8</v>
      </c>
      <c r="HM16" s="379">
        <v>1</v>
      </c>
      <c r="HN16" s="379">
        <v>0.6</v>
      </c>
      <c r="HO16" s="390">
        <f t="shared" si="11"/>
        <v>0.78333333333333333</v>
      </c>
      <c r="HQ16" s="390">
        <v>2</v>
      </c>
      <c r="HS16" s="541">
        <v>0</v>
      </c>
      <c r="HT16" s="541">
        <v>0</v>
      </c>
      <c r="HU16" s="600">
        <v>1</v>
      </c>
      <c r="HV16" s="600">
        <v>1</v>
      </c>
      <c r="HW16" s="600">
        <v>1</v>
      </c>
      <c r="HX16" s="600">
        <v>1</v>
      </c>
      <c r="HY16" s="600">
        <v>1</v>
      </c>
      <c r="HZ16" s="379">
        <v>12</v>
      </c>
      <c r="IA16" s="379">
        <v>14</v>
      </c>
      <c r="IB16" s="379">
        <v>0.7</v>
      </c>
      <c r="IC16" s="379">
        <v>3</v>
      </c>
      <c r="ID16" s="1439">
        <v>0.70588235294117641</v>
      </c>
      <c r="IE16" s="1440">
        <f t="shared" si="32"/>
        <v>21.882352941176471</v>
      </c>
    </row>
    <row r="17" spans="1:239" s="379" customFormat="1" ht="12" customHeight="1">
      <c r="A17" s="1633">
        <v>4.01</v>
      </c>
      <c r="B17" s="1634">
        <v>8</v>
      </c>
      <c r="C17" s="1635" t="str">
        <f>Begriffe!F142</f>
        <v>Schulzimmer</v>
      </c>
      <c r="D17" s="1618">
        <v>10</v>
      </c>
      <c r="E17" s="1605">
        <v>7</v>
      </c>
      <c r="F17" s="1605">
        <v>3</v>
      </c>
      <c r="G17" s="1619">
        <f t="shared" si="33"/>
        <v>70</v>
      </c>
      <c r="H17" s="1619">
        <v>95.294117647058826</v>
      </c>
      <c r="I17" s="1601">
        <v>50</v>
      </c>
      <c r="J17" s="1616">
        <v>0.75</v>
      </c>
      <c r="K17" s="1687">
        <f t="shared" si="12"/>
        <v>66.666666666666671</v>
      </c>
      <c r="L17" s="1422">
        <v>1</v>
      </c>
      <c r="M17" s="599">
        <v>0.8</v>
      </c>
      <c r="N17" s="599">
        <v>1.5</v>
      </c>
      <c r="O17" s="1423">
        <v>0.17</v>
      </c>
      <c r="P17" s="599">
        <v>0.1</v>
      </c>
      <c r="Q17" s="599">
        <v>0.8</v>
      </c>
      <c r="R17" s="1423">
        <v>0.5</v>
      </c>
      <c r="S17" s="1423">
        <v>0.5</v>
      </c>
      <c r="T17" s="1423">
        <v>0.65</v>
      </c>
      <c r="U17" s="1423">
        <v>0.14000000000000001</v>
      </c>
      <c r="V17" s="1423">
        <v>0.1</v>
      </c>
      <c r="W17" s="1423">
        <v>0.2</v>
      </c>
      <c r="X17" s="384">
        <v>0.7</v>
      </c>
      <c r="Y17" s="384">
        <v>0.9</v>
      </c>
      <c r="Z17" s="384">
        <v>90</v>
      </c>
      <c r="AA17" s="597">
        <v>106.4</v>
      </c>
      <c r="AB17" s="570">
        <v>26</v>
      </c>
      <c r="AC17" s="1431">
        <v>21</v>
      </c>
      <c r="AD17" s="1431">
        <v>25</v>
      </c>
      <c r="AE17" s="1431">
        <v>22</v>
      </c>
      <c r="AF17" s="584" t="s">
        <v>22</v>
      </c>
      <c r="AG17" s="1424" t="s">
        <v>122</v>
      </c>
      <c r="AH17" s="1424">
        <v>60</v>
      </c>
      <c r="AI17" s="1425">
        <v>30</v>
      </c>
      <c r="AJ17" s="1657" t="str">
        <f>Begriffe!F$246</f>
        <v>mittel</v>
      </c>
      <c r="AK17" s="1424">
        <v>2</v>
      </c>
      <c r="AL17" s="1424">
        <f t="shared" si="13"/>
        <v>33</v>
      </c>
      <c r="AM17" s="1424">
        <f t="shared" si="14"/>
        <v>38</v>
      </c>
      <c r="AN17" s="1425">
        <f t="shared" si="15"/>
        <v>28</v>
      </c>
      <c r="AO17" s="1426">
        <v>0.6</v>
      </c>
      <c r="AP17" s="568">
        <v>4</v>
      </c>
      <c r="AQ17" s="1609">
        <v>1.2</v>
      </c>
      <c r="AR17" s="1609">
        <v>0.5</v>
      </c>
      <c r="AS17" s="599">
        <v>1</v>
      </c>
      <c r="AT17" s="1615">
        <f t="shared" si="16"/>
        <v>84</v>
      </c>
      <c r="AU17" s="1615">
        <f t="shared" si="17"/>
        <v>94</v>
      </c>
      <c r="AV17" s="1615">
        <f t="shared" si="18"/>
        <v>51</v>
      </c>
      <c r="AW17" s="1615">
        <f t="shared" si="19"/>
        <v>66</v>
      </c>
      <c r="AX17" s="1428">
        <v>0.5</v>
      </c>
      <c r="AY17" s="568">
        <v>8</v>
      </c>
      <c r="AZ17" s="384">
        <v>4</v>
      </c>
      <c r="BA17" s="384">
        <v>12</v>
      </c>
      <c r="BB17" s="384"/>
      <c r="BC17" s="384"/>
      <c r="BD17" s="384"/>
      <c r="BE17" s="384">
        <f t="shared" si="20"/>
        <v>8</v>
      </c>
      <c r="BF17" s="384">
        <f t="shared" si="21"/>
        <v>4</v>
      </c>
      <c r="BG17" s="384">
        <f t="shared" si="22"/>
        <v>12</v>
      </c>
      <c r="BH17" s="623">
        <v>10</v>
      </c>
      <c r="BI17" s="1430">
        <f t="shared" si="23"/>
        <v>8</v>
      </c>
      <c r="BJ17" s="384">
        <v>30</v>
      </c>
      <c r="BK17" s="599">
        <f t="shared" si="24"/>
        <v>3.75</v>
      </c>
      <c r="BL17" s="568">
        <f t="shared" si="34"/>
        <v>500</v>
      </c>
      <c r="BM17" s="599">
        <v>1</v>
      </c>
      <c r="BN17" s="384">
        <v>500</v>
      </c>
      <c r="BO17" s="384" t="str">
        <f>Begriffe!$F$208</f>
        <v>NP</v>
      </c>
      <c r="BP17" s="1813">
        <v>0.5</v>
      </c>
      <c r="BQ17" s="599">
        <v>1</v>
      </c>
      <c r="BR17" s="626">
        <v>0.75</v>
      </c>
      <c r="BS17" s="1808">
        <v>90</v>
      </c>
      <c r="BT17" s="1808">
        <v>130</v>
      </c>
      <c r="BU17" s="597">
        <f t="shared" si="38"/>
        <v>11</v>
      </c>
      <c r="BV17" s="1429">
        <f t="shared" si="25"/>
        <v>0</v>
      </c>
      <c r="BW17" s="1655" t="s">
        <v>380</v>
      </c>
      <c r="BX17" s="1615">
        <f t="shared" si="26"/>
        <v>29</v>
      </c>
      <c r="BY17" s="1601"/>
      <c r="BZ17" s="1609">
        <f t="shared" ref="BZ17:BZ40" si="40">BX17/AP17</f>
        <v>7.25</v>
      </c>
      <c r="CA17" s="1601"/>
      <c r="CB17" s="599">
        <f t="shared" si="1"/>
        <v>7.25</v>
      </c>
      <c r="CC17" s="384">
        <v>0</v>
      </c>
      <c r="CD17" s="1423">
        <v>0.15</v>
      </c>
      <c r="CE17" s="1423">
        <v>0.3</v>
      </c>
      <c r="CF17" s="386" t="str">
        <f t="shared" si="28"/>
        <v>IDA-C6</v>
      </c>
      <c r="CG17" s="386" t="str">
        <f t="shared" si="29"/>
        <v>IDA-C6</v>
      </c>
      <c r="CH17" s="386"/>
      <c r="CI17" s="386" t="str">
        <f>IF(CF17="IDA-C3",Begriffe!$F$248,IF(Eingabedaten!CF17="IDA-C4",Begriffe!$F$249,IF(Eingabedaten!CF17="IDA-C6",Begriffe!$F$250,"")))</f>
        <v>stufenlos</v>
      </c>
      <c r="CJ17" s="386" t="str">
        <f>IF(CG17="IDA-C3",Begriffe!$F$248,IF(Eingabedaten!CG17="IDA-C4",Begriffe!$F$249,IF(Eingabedaten!CG17="IDA-C6",Begriffe!$F$250,"")))</f>
        <v>stufenlos</v>
      </c>
      <c r="CK17" s="386" t="str">
        <f>IF(CH17="IDA-C3",Begriffe!$F$248,IF(Eingabedaten!CH17="IDA-C4",Begriffe!$F$249,IF(Eingabedaten!CH17="IDA-C6",Begriffe!$F$250,"")))</f>
        <v/>
      </c>
      <c r="CL17" s="1423">
        <v>0.73</v>
      </c>
      <c r="CM17" s="1423">
        <v>0.78</v>
      </c>
      <c r="CN17" s="1423"/>
      <c r="CO17" s="1439">
        <v>0.7</v>
      </c>
      <c r="CP17" s="1439">
        <v>0.75</v>
      </c>
      <c r="CQ17" s="1432"/>
      <c r="CR17" s="586" t="str">
        <f>Begriffe!$F$253</f>
        <v>Lüftungsanlage mit Lufterwärmung</v>
      </c>
      <c r="CS17" s="586">
        <v>0.56000000000000005</v>
      </c>
      <c r="CT17" s="586">
        <v>0.34</v>
      </c>
      <c r="CU17" s="586">
        <v>0.22300000000000003</v>
      </c>
      <c r="CV17" s="1433">
        <v>0.55000000000000004</v>
      </c>
      <c r="CW17" s="1469" t="str">
        <f>Begriffe!$F$259</f>
        <v>notwendig</v>
      </c>
      <c r="CX17" s="586" t="str">
        <f>Begriffe!$F$259</f>
        <v>notwendig</v>
      </c>
      <c r="CY17" s="586" t="str">
        <f>Begriffe!$F$259</f>
        <v>notwendig</v>
      </c>
      <c r="CZ17" s="586" t="str">
        <f>Begriffe!$F$259</f>
        <v>notwendig</v>
      </c>
      <c r="DA17" s="586" t="str">
        <f>Begriffe!$F$259</f>
        <v>notwendig</v>
      </c>
      <c r="DB17" s="1433" t="str">
        <f>Begriffe!$F$259</f>
        <v>notwendig</v>
      </c>
      <c r="DC17" s="568">
        <v>1</v>
      </c>
      <c r="DD17" s="384">
        <v>2</v>
      </c>
      <c r="DE17" s="384">
        <v>0</v>
      </c>
      <c r="DF17" s="566">
        <v>0.5</v>
      </c>
      <c r="DG17" s="568">
        <v>0.1</v>
      </c>
      <c r="DH17" s="566">
        <f t="shared" si="30"/>
        <v>0.5</v>
      </c>
      <c r="DI17" s="568" t="str">
        <f>Begriffe!$F$260</f>
        <v>Person</v>
      </c>
      <c r="DJ17" s="384">
        <v>1.5</v>
      </c>
      <c r="DK17" s="384">
        <v>1</v>
      </c>
      <c r="DL17" s="599">
        <f>IF(DK17=0,DJ17,DJ17*DK17)</f>
        <v>1.5</v>
      </c>
      <c r="DM17" s="384">
        <v>20</v>
      </c>
      <c r="DN17" s="1429">
        <f>DL17*DM17</f>
        <v>30</v>
      </c>
      <c r="DO17" s="1436" t="s">
        <v>60</v>
      </c>
      <c r="DP17" s="624"/>
      <c r="DQ17" s="625"/>
      <c r="DR17" s="625"/>
      <c r="DS17" s="1144"/>
      <c r="DT17" s="625"/>
      <c r="DU17" s="1145"/>
      <c r="DV17" s="625"/>
      <c r="DW17" s="625">
        <v>0.4</v>
      </c>
      <c r="DX17" s="625">
        <v>0.6</v>
      </c>
      <c r="DY17" s="1144">
        <v>1</v>
      </c>
      <c r="DZ17" s="625">
        <v>1</v>
      </c>
      <c r="EA17" s="1145">
        <v>0.8</v>
      </c>
      <c r="EB17" s="625">
        <v>0.2</v>
      </c>
      <c r="EC17" s="625">
        <v>0.6</v>
      </c>
      <c r="ED17" s="625">
        <v>1</v>
      </c>
      <c r="EE17" s="1144">
        <v>0.8</v>
      </c>
      <c r="EF17" s="625">
        <v>0.8</v>
      </c>
      <c r="EG17" s="1145">
        <v>0.4</v>
      </c>
      <c r="EH17" s="625"/>
      <c r="EI17" s="625"/>
      <c r="EJ17" s="625"/>
      <c r="EK17" s="1144"/>
      <c r="EL17" s="625"/>
      <c r="EM17" s="1146"/>
      <c r="EN17" s="624">
        <v>0.1</v>
      </c>
      <c r="EO17" s="625">
        <v>0.1</v>
      </c>
      <c r="EP17" s="625">
        <v>0.1</v>
      </c>
      <c r="EQ17" s="1144">
        <v>0.1</v>
      </c>
      <c r="ER17" s="625">
        <v>0.1</v>
      </c>
      <c r="ES17" s="1145">
        <v>0.1</v>
      </c>
      <c r="ET17" s="625">
        <v>0.1</v>
      </c>
      <c r="EU17" s="625">
        <v>0.4</v>
      </c>
      <c r="EV17" s="625">
        <v>0.6</v>
      </c>
      <c r="EW17" s="1144">
        <v>0.8</v>
      </c>
      <c r="EX17" s="625">
        <v>1</v>
      </c>
      <c r="EY17" s="1145">
        <v>0.8</v>
      </c>
      <c r="EZ17" s="625">
        <v>0.2</v>
      </c>
      <c r="FA17" s="625">
        <v>0.6</v>
      </c>
      <c r="FB17" s="625">
        <v>1</v>
      </c>
      <c r="FC17" s="1144">
        <v>0.8</v>
      </c>
      <c r="FD17" s="625">
        <v>0.8</v>
      </c>
      <c r="FE17" s="1145">
        <v>0.4</v>
      </c>
      <c r="FF17" s="625">
        <v>0.1</v>
      </c>
      <c r="FG17" s="625">
        <v>0.1</v>
      </c>
      <c r="FH17" s="625">
        <v>0.1</v>
      </c>
      <c r="FI17" s="1144">
        <v>0.1</v>
      </c>
      <c r="FJ17" s="625">
        <v>0.1</v>
      </c>
      <c r="FK17" s="1146">
        <v>0.1</v>
      </c>
      <c r="FL17" s="624" t="s">
        <v>128</v>
      </c>
      <c r="FM17" s="624">
        <v>0.8</v>
      </c>
      <c r="FN17" s="625">
        <v>0.6</v>
      </c>
      <c r="FO17" s="625">
        <v>0.9</v>
      </c>
      <c r="FP17" s="1144">
        <v>0.6</v>
      </c>
      <c r="FQ17" s="625">
        <v>0.8</v>
      </c>
      <c r="FR17" s="1145">
        <v>1</v>
      </c>
      <c r="FS17" s="625">
        <v>0</v>
      </c>
      <c r="FT17" s="625">
        <v>0.6</v>
      </c>
      <c r="FU17" s="625">
        <v>1</v>
      </c>
      <c r="FV17" s="1144">
        <v>0.6</v>
      </c>
      <c r="FW17" s="625">
        <v>0.9</v>
      </c>
      <c r="FX17" s="1146">
        <v>0.6</v>
      </c>
      <c r="FY17" s="585">
        <v>2</v>
      </c>
      <c r="FZ17" s="613">
        <f t="shared" si="35"/>
        <v>261</v>
      </c>
      <c r="GA17" s="620">
        <f t="shared" si="2"/>
        <v>11</v>
      </c>
      <c r="GB17" s="618">
        <f t="shared" si="3"/>
        <v>7.6</v>
      </c>
      <c r="GC17" s="618">
        <f t="shared" si="4"/>
        <v>7.6</v>
      </c>
      <c r="GD17" s="618">
        <f t="shared" si="5"/>
        <v>0</v>
      </c>
      <c r="GE17" s="627">
        <f>SUMPRODUCT(FM17:FX17,FM$8:FX$8)/365</f>
        <v>0.69890410958904103</v>
      </c>
      <c r="GF17" s="205">
        <f t="shared" si="31"/>
        <v>2870</v>
      </c>
      <c r="GG17" s="205">
        <f t="shared" si="7"/>
        <v>2870</v>
      </c>
      <c r="GH17" s="463">
        <f t="shared" si="36"/>
        <v>1390</v>
      </c>
      <c r="GI17" s="620">
        <f t="shared" si="8"/>
        <v>24</v>
      </c>
      <c r="GJ17" s="618">
        <f t="shared" si="9"/>
        <v>8.6999999999999975</v>
      </c>
      <c r="GK17" s="618">
        <f t="shared" si="10"/>
        <v>2.4000000000000004</v>
      </c>
      <c r="GL17" s="463">
        <f t="shared" si="37"/>
        <v>1760</v>
      </c>
      <c r="GM17" s="594" t="str">
        <f>Begriffe!F271</f>
        <v>- Im Kindergarten Beleuchtungsstärke 300 lx</v>
      </c>
      <c r="GN17" s="594"/>
      <c r="GO17" s="583" t="str">
        <f>IF(CH17=0,Begriffe!$F$297,"")</f>
        <v>- Keine Lüftungsanlage im Bestand</v>
      </c>
      <c r="GP17" s="583" t="str">
        <f>Begriffe!$F$285</f>
        <v>- Der Klimakälteleistungsbedarf und der jährliche Klimakältebedarf gelten für Räume ohne unterstützende Fensterlüftung</v>
      </c>
      <c r="GQ17" s="583"/>
      <c r="GR17" s="583" t="str">
        <f>Begriffe!$F307</f>
        <v>- Wasser- und Warmwasserbedarf pro Person (Schüler), ohne Mensa und Sportanlagen</v>
      </c>
      <c r="HB17" s="379" t="s">
        <v>128</v>
      </c>
      <c r="HC17" s="379">
        <v>0.8</v>
      </c>
      <c r="HD17" s="379">
        <v>0.4</v>
      </c>
      <c r="HE17" s="379">
        <v>1</v>
      </c>
      <c r="HF17" s="379">
        <v>0.8</v>
      </c>
      <c r="HG17" s="379">
        <v>0.4</v>
      </c>
      <c r="HH17" s="379">
        <v>1</v>
      </c>
      <c r="HI17" s="379">
        <v>0</v>
      </c>
      <c r="HJ17" s="379">
        <v>0.6</v>
      </c>
      <c r="HK17" s="379">
        <v>1</v>
      </c>
      <c r="HL17" s="379">
        <v>0.4</v>
      </c>
      <c r="HM17" s="379">
        <v>1</v>
      </c>
      <c r="HN17" s="379">
        <v>0.6</v>
      </c>
      <c r="HO17" s="390">
        <f t="shared" si="11"/>
        <v>0.66666666666666663</v>
      </c>
      <c r="HQ17" s="390">
        <v>2</v>
      </c>
      <c r="HS17" s="541">
        <v>0</v>
      </c>
      <c r="HT17" s="541">
        <v>0</v>
      </c>
      <c r="HU17" s="600">
        <v>1</v>
      </c>
      <c r="HV17" s="600">
        <v>1</v>
      </c>
      <c r="HW17" s="600">
        <v>1</v>
      </c>
      <c r="HX17" s="600">
        <v>1</v>
      </c>
      <c r="HY17" s="600">
        <v>1</v>
      </c>
      <c r="HZ17" s="379">
        <v>16</v>
      </c>
      <c r="IA17" s="379">
        <v>14</v>
      </c>
      <c r="IB17" s="379">
        <v>0.7</v>
      </c>
      <c r="IC17" s="379">
        <v>4</v>
      </c>
      <c r="ID17" s="1439">
        <v>1.2252100840336135</v>
      </c>
      <c r="IE17" s="1440">
        <f t="shared" si="32"/>
        <v>33.152941176470591</v>
      </c>
    </row>
    <row r="18" spans="1:239" s="379" customFormat="1" ht="12" customHeight="1">
      <c r="A18" s="1636">
        <v>4.0199999999999996</v>
      </c>
      <c r="B18" s="1637"/>
      <c r="C18" s="463" t="str">
        <f>Begriffe!F143</f>
        <v>Lehrerzimmer</v>
      </c>
      <c r="D18" s="620">
        <v>6</v>
      </c>
      <c r="E18" s="618">
        <v>6</v>
      </c>
      <c r="F18" s="618">
        <v>3</v>
      </c>
      <c r="G18" s="205">
        <f t="shared" si="33"/>
        <v>36</v>
      </c>
      <c r="H18" s="205">
        <v>63.529411764705884</v>
      </c>
      <c r="I18" s="390">
        <v>50</v>
      </c>
      <c r="J18" s="1439">
        <v>0.75</v>
      </c>
      <c r="K18" s="632">
        <f t="shared" si="12"/>
        <v>66.666666666666671</v>
      </c>
      <c r="L18" s="630">
        <v>1</v>
      </c>
      <c r="M18" s="595">
        <v>0.8</v>
      </c>
      <c r="N18" s="595">
        <v>1.5</v>
      </c>
      <c r="O18" s="1439">
        <v>0.17</v>
      </c>
      <c r="P18" s="595">
        <v>0.1</v>
      </c>
      <c r="Q18" s="595">
        <v>0.8</v>
      </c>
      <c r="R18" s="1439">
        <v>0.5</v>
      </c>
      <c r="S18" s="1439">
        <v>0.5</v>
      </c>
      <c r="T18" s="1439">
        <v>0.65</v>
      </c>
      <c r="U18" s="1439">
        <v>0.14000000000000001</v>
      </c>
      <c r="V18" s="1439">
        <v>0.1</v>
      </c>
      <c r="W18" s="1439">
        <v>0.2</v>
      </c>
      <c r="X18" s="390">
        <v>0.7</v>
      </c>
      <c r="Y18" s="390">
        <v>0.9</v>
      </c>
      <c r="Z18" s="390">
        <v>90</v>
      </c>
      <c r="AA18" s="598">
        <v>116.4</v>
      </c>
      <c r="AB18" s="582">
        <v>26</v>
      </c>
      <c r="AC18" s="1440">
        <v>21</v>
      </c>
      <c r="AD18" s="1440">
        <v>25</v>
      </c>
      <c r="AE18" s="1440">
        <v>22</v>
      </c>
      <c r="AF18" s="578" t="s">
        <v>22</v>
      </c>
      <c r="AG18" s="1456" t="s">
        <v>122</v>
      </c>
      <c r="AH18" s="1456">
        <v>60</v>
      </c>
      <c r="AI18" s="1457">
        <v>30</v>
      </c>
      <c r="AJ18" s="1659" t="str">
        <f>Begriffe!F$247</f>
        <v>gering</v>
      </c>
      <c r="AK18" s="1456">
        <v>1</v>
      </c>
      <c r="AL18" s="1456">
        <f t="shared" si="13"/>
        <v>38</v>
      </c>
      <c r="AM18" s="1456">
        <f t="shared" si="14"/>
        <v>43</v>
      </c>
      <c r="AN18" s="1457">
        <f t="shared" si="15"/>
        <v>33</v>
      </c>
      <c r="AO18" s="1458">
        <v>0.6</v>
      </c>
      <c r="AP18" s="580">
        <v>4</v>
      </c>
      <c r="AQ18" s="595">
        <v>1.2</v>
      </c>
      <c r="AR18" s="595">
        <v>0.5</v>
      </c>
      <c r="AS18" s="595">
        <v>1</v>
      </c>
      <c r="AT18" s="598">
        <f t="shared" si="16"/>
        <v>84</v>
      </c>
      <c r="AU18" s="598">
        <f t="shared" si="17"/>
        <v>94</v>
      </c>
      <c r="AV18" s="598">
        <f t="shared" si="18"/>
        <v>51</v>
      </c>
      <c r="AW18" s="598">
        <f t="shared" si="19"/>
        <v>66</v>
      </c>
      <c r="AX18" s="632">
        <v>0.5</v>
      </c>
      <c r="AY18" s="580">
        <v>4</v>
      </c>
      <c r="AZ18" s="390">
        <v>2</v>
      </c>
      <c r="BA18" s="390">
        <v>6</v>
      </c>
      <c r="BB18" s="390"/>
      <c r="BC18" s="390"/>
      <c r="BD18" s="390"/>
      <c r="BE18" s="390">
        <f t="shared" si="20"/>
        <v>4</v>
      </c>
      <c r="BF18" s="390">
        <f t="shared" si="21"/>
        <v>2</v>
      </c>
      <c r="BG18" s="390">
        <f t="shared" si="22"/>
        <v>6</v>
      </c>
      <c r="BH18" s="613">
        <v>10</v>
      </c>
      <c r="BI18" s="1460">
        <f t="shared" si="23"/>
        <v>4</v>
      </c>
      <c r="BJ18" s="390">
        <v>30</v>
      </c>
      <c r="BK18" s="595">
        <f t="shared" si="24"/>
        <v>7.5</v>
      </c>
      <c r="BL18" s="580">
        <f t="shared" si="34"/>
        <v>300</v>
      </c>
      <c r="BM18" s="595">
        <v>1</v>
      </c>
      <c r="BN18" s="390">
        <v>300</v>
      </c>
      <c r="BO18" s="390" t="str">
        <f>Begriffe!$F$208</f>
        <v>NP</v>
      </c>
      <c r="BP18" s="1825">
        <v>0.5</v>
      </c>
      <c r="BQ18" s="595">
        <v>1</v>
      </c>
      <c r="BR18" s="627">
        <v>0.75</v>
      </c>
      <c r="BS18" s="1120">
        <v>90</v>
      </c>
      <c r="BT18" s="1120">
        <v>130</v>
      </c>
      <c r="BU18" s="598">
        <f t="shared" si="38"/>
        <v>11</v>
      </c>
      <c r="BV18" s="629">
        <f t="shared" si="25"/>
        <v>0</v>
      </c>
      <c r="BW18" s="582" t="s">
        <v>380</v>
      </c>
      <c r="BX18" s="598">
        <f t="shared" si="26"/>
        <v>29</v>
      </c>
      <c r="BY18" s="390"/>
      <c r="BZ18" s="595">
        <f t="shared" si="40"/>
        <v>7.25</v>
      </c>
      <c r="CA18" s="390"/>
      <c r="CB18" s="595">
        <f t="shared" si="1"/>
        <v>7.25</v>
      </c>
      <c r="CC18" s="390">
        <v>0</v>
      </c>
      <c r="CD18" s="1439">
        <v>0.15</v>
      </c>
      <c r="CE18" s="1439">
        <v>0.3</v>
      </c>
      <c r="CF18" s="379" t="str">
        <f t="shared" si="28"/>
        <v>IDA-C6</v>
      </c>
      <c r="CG18" s="379" t="str">
        <f t="shared" si="29"/>
        <v>IDA-C6</v>
      </c>
      <c r="CI18" s="379" t="str">
        <f>IF(CF18="IDA-C3",Begriffe!$F$248,IF(Eingabedaten!CF18="IDA-C4",Begriffe!$F$249,IF(Eingabedaten!CF18="IDA-C6",Begriffe!$F$250,"")))</f>
        <v>stufenlos</v>
      </c>
      <c r="CJ18" s="379" t="str">
        <f>IF(CG18="IDA-C3",Begriffe!$F$248,IF(Eingabedaten!CG18="IDA-C4",Begriffe!$F$249,IF(Eingabedaten!CG18="IDA-C6",Begriffe!$F$250,"")))</f>
        <v>stufenlos</v>
      </c>
      <c r="CK18" s="379" t="str">
        <f>IF(CH18="IDA-C3",Begriffe!$F$248,IF(Eingabedaten!CH18="IDA-C4",Begriffe!$F$249,IF(Eingabedaten!CH18="IDA-C6",Begriffe!$F$250,"")))</f>
        <v/>
      </c>
      <c r="CL18" s="1439">
        <v>0.73</v>
      </c>
      <c r="CM18" s="1439">
        <v>0.78</v>
      </c>
      <c r="CN18" s="1439"/>
      <c r="CO18" s="1439">
        <v>0.7</v>
      </c>
      <c r="CP18" s="1439">
        <v>0.75</v>
      </c>
      <c r="CQ18" s="1461"/>
      <c r="CR18" s="586" t="str">
        <f>Begriffe!$F$253</f>
        <v>Lüftungsanlage mit Lufterwärmung</v>
      </c>
      <c r="CS18" s="586">
        <v>0.56000000000000005</v>
      </c>
      <c r="CT18" s="586">
        <v>0.34</v>
      </c>
      <c r="CU18" s="586">
        <v>0.22300000000000003</v>
      </c>
      <c r="CV18" s="1433">
        <v>0.55000000000000004</v>
      </c>
      <c r="CW18" s="1469" t="str">
        <f>Begriffe!$F$258</f>
        <v>erwünscht</v>
      </c>
      <c r="CX18" s="586" t="str">
        <f>Begriffe!$F$259</f>
        <v>notwendig</v>
      </c>
      <c r="CY18" s="586" t="str">
        <f>Begriffe!$F$259</f>
        <v>notwendig</v>
      </c>
      <c r="CZ18" s="586" t="str">
        <f>Begriffe!$F$258</f>
        <v>erwünscht</v>
      </c>
      <c r="DA18" s="586" t="str">
        <f>Begriffe!$F$259</f>
        <v>notwendig</v>
      </c>
      <c r="DB18" s="1433" t="str">
        <f>Begriffe!$F$259</f>
        <v>notwendig</v>
      </c>
      <c r="DC18" s="580">
        <v>1</v>
      </c>
      <c r="DD18" s="390">
        <v>2</v>
      </c>
      <c r="DE18" s="390">
        <v>0</v>
      </c>
      <c r="DF18" s="628">
        <v>0.5</v>
      </c>
      <c r="DG18" s="580">
        <v>0.1</v>
      </c>
      <c r="DH18" s="628">
        <f t="shared" si="30"/>
        <v>0.5</v>
      </c>
      <c r="DI18" s="580"/>
      <c r="DJ18" s="390"/>
      <c r="DK18" s="390"/>
      <c r="DL18" s="595"/>
      <c r="DM18" s="390"/>
      <c r="DN18" s="629"/>
      <c r="DO18" s="635" t="s">
        <v>156</v>
      </c>
      <c r="DP18" s="620"/>
      <c r="DQ18" s="618"/>
      <c r="DR18" s="618"/>
      <c r="DS18" s="621"/>
      <c r="DT18" s="618"/>
      <c r="DU18" s="617"/>
      <c r="DV18" s="618"/>
      <c r="DW18" s="618">
        <v>0.5</v>
      </c>
      <c r="DX18" s="618">
        <v>0.5</v>
      </c>
      <c r="DY18" s="621">
        <v>0.5</v>
      </c>
      <c r="DZ18" s="618">
        <v>0.5</v>
      </c>
      <c r="EA18" s="617">
        <v>0.5</v>
      </c>
      <c r="EB18" s="618">
        <v>1</v>
      </c>
      <c r="EC18" s="618">
        <v>0.5</v>
      </c>
      <c r="ED18" s="618">
        <v>0.5</v>
      </c>
      <c r="EE18" s="621">
        <v>0.5</v>
      </c>
      <c r="EF18" s="618">
        <v>0.5</v>
      </c>
      <c r="EG18" s="617">
        <v>0.5</v>
      </c>
      <c r="EH18" s="618"/>
      <c r="EI18" s="618"/>
      <c r="EJ18" s="618"/>
      <c r="EK18" s="621"/>
      <c r="EL18" s="618"/>
      <c r="EM18" s="622"/>
      <c r="EN18" s="620">
        <v>0.1</v>
      </c>
      <c r="EO18" s="618">
        <v>0.1</v>
      </c>
      <c r="EP18" s="618">
        <v>0.1</v>
      </c>
      <c r="EQ18" s="621">
        <v>0.1</v>
      </c>
      <c r="ER18" s="618">
        <v>0.1</v>
      </c>
      <c r="ES18" s="617">
        <v>0.1</v>
      </c>
      <c r="ET18" s="618">
        <v>0.1</v>
      </c>
      <c r="EU18" s="618">
        <v>0.5</v>
      </c>
      <c r="EV18" s="618">
        <v>0.5</v>
      </c>
      <c r="EW18" s="621">
        <v>0.5</v>
      </c>
      <c r="EX18" s="618">
        <v>0.5</v>
      </c>
      <c r="EY18" s="617">
        <v>0.5</v>
      </c>
      <c r="EZ18" s="618">
        <v>1</v>
      </c>
      <c r="FA18" s="618">
        <v>0.5</v>
      </c>
      <c r="FB18" s="618">
        <v>0.5</v>
      </c>
      <c r="FC18" s="621">
        <v>0.5</v>
      </c>
      <c r="FD18" s="618">
        <v>0.5</v>
      </c>
      <c r="FE18" s="617">
        <v>0.5</v>
      </c>
      <c r="FF18" s="618">
        <v>0.1</v>
      </c>
      <c r="FG18" s="618">
        <v>0.1</v>
      </c>
      <c r="FH18" s="618">
        <v>0.1</v>
      </c>
      <c r="FI18" s="621">
        <v>0.1</v>
      </c>
      <c r="FJ18" s="618">
        <v>0.1</v>
      </c>
      <c r="FK18" s="622">
        <v>0.1</v>
      </c>
      <c r="FL18" s="620" t="s">
        <v>128</v>
      </c>
      <c r="FM18" s="620">
        <v>0.8</v>
      </c>
      <c r="FN18" s="618">
        <v>0.6</v>
      </c>
      <c r="FO18" s="618">
        <v>0.9</v>
      </c>
      <c r="FP18" s="621">
        <v>0.6</v>
      </c>
      <c r="FQ18" s="618">
        <v>0.8</v>
      </c>
      <c r="FR18" s="617">
        <v>1</v>
      </c>
      <c r="FS18" s="618">
        <v>0</v>
      </c>
      <c r="FT18" s="618">
        <v>0.6</v>
      </c>
      <c r="FU18" s="618">
        <v>1</v>
      </c>
      <c r="FV18" s="621">
        <v>0.6</v>
      </c>
      <c r="FW18" s="618">
        <v>0.9</v>
      </c>
      <c r="FX18" s="622">
        <v>0.6</v>
      </c>
      <c r="FY18" s="587">
        <v>2</v>
      </c>
      <c r="FZ18" s="613">
        <f t="shared" si="35"/>
        <v>261</v>
      </c>
      <c r="GA18" s="620">
        <f t="shared" si="2"/>
        <v>11</v>
      </c>
      <c r="GB18" s="618">
        <f t="shared" si="3"/>
        <v>6</v>
      </c>
      <c r="GC18" s="618">
        <f t="shared" si="4"/>
        <v>6</v>
      </c>
      <c r="GD18" s="618">
        <f t="shared" si="5"/>
        <v>0</v>
      </c>
      <c r="GE18" s="627">
        <f t="shared" si="6"/>
        <v>0.69890410958904103</v>
      </c>
      <c r="GF18" s="205">
        <f t="shared" si="31"/>
        <v>2870</v>
      </c>
      <c r="GG18" s="205">
        <f t="shared" si="7"/>
        <v>2870</v>
      </c>
      <c r="GH18" s="463">
        <f t="shared" si="36"/>
        <v>1090</v>
      </c>
      <c r="GI18" s="620">
        <f t="shared" si="8"/>
        <v>24</v>
      </c>
      <c r="GJ18" s="618">
        <f t="shared" si="9"/>
        <v>7.299999999999998</v>
      </c>
      <c r="GK18" s="618">
        <f t="shared" si="10"/>
        <v>2.4000000000000004</v>
      </c>
      <c r="GL18" s="463">
        <f t="shared" si="37"/>
        <v>1510</v>
      </c>
      <c r="GO18" s="583" t="str">
        <f>IF(CH18=0,Begriffe!$F$297,"")</f>
        <v>- Keine Lüftungsanlage im Bestand</v>
      </c>
      <c r="GP18" s="583" t="str">
        <f>Begriffe!$F$285</f>
        <v>- Der Klimakälteleistungsbedarf und der jährliche Klimakältebedarf gelten für Räume ohne unterstützende Fensterlüftung</v>
      </c>
      <c r="GQ18" s="583"/>
      <c r="GR18" s="583" t="str">
        <f>Begriffe!$F308</f>
        <v>- Wasser- und Warmwasserbedarf sind in der Raumnutzung 4.1 enthalten</v>
      </c>
      <c r="HB18" s="379" t="s">
        <v>128</v>
      </c>
      <c r="HC18" s="379">
        <v>0.8</v>
      </c>
      <c r="HD18" s="379">
        <v>0.4</v>
      </c>
      <c r="HE18" s="379">
        <v>1</v>
      </c>
      <c r="HF18" s="379">
        <v>0.8</v>
      </c>
      <c r="HG18" s="379">
        <v>0.4</v>
      </c>
      <c r="HH18" s="379">
        <v>1</v>
      </c>
      <c r="HI18" s="379">
        <v>0</v>
      </c>
      <c r="HJ18" s="379">
        <v>0.6</v>
      </c>
      <c r="HK18" s="379">
        <v>1</v>
      </c>
      <c r="HL18" s="379">
        <v>0.4</v>
      </c>
      <c r="HM18" s="379">
        <v>1</v>
      </c>
      <c r="HN18" s="379">
        <v>0.6</v>
      </c>
      <c r="HO18" s="390">
        <f t="shared" si="11"/>
        <v>0.66666666666666663</v>
      </c>
      <c r="HQ18" s="390">
        <v>2</v>
      </c>
      <c r="HS18" s="541">
        <v>0</v>
      </c>
      <c r="HT18" s="541">
        <v>0</v>
      </c>
      <c r="HU18" s="600">
        <v>1</v>
      </c>
      <c r="HV18" s="600">
        <v>1</v>
      </c>
      <c r="HW18" s="600">
        <v>1</v>
      </c>
      <c r="HX18" s="600">
        <v>1</v>
      </c>
      <c r="HY18" s="600">
        <v>1</v>
      </c>
      <c r="HZ18" s="379">
        <v>16</v>
      </c>
      <c r="IA18" s="379">
        <v>14</v>
      </c>
      <c r="IB18" s="379">
        <v>0.7</v>
      </c>
      <c r="IC18" s="379">
        <v>4</v>
      </c>
      <c r="ID18" s="1439">
        <v>1.5882352941176472</v>
      </c>
      <c r="IE18" s="1440">
        <f t="shared" si="32"/>
        <v>38.235294117647058</v>
      </c>
    </row>
    <row r="19" spans="1:239" s="379" customFormat="1" ht="12" customHeight="1">
      <c r="A19" s="1636">
        <v>4.03</v>
      </c>
      <c r="B19" s="1637"/>
      <c r="C19" s="463" t="str">
        <f>Begriffe!F144</f>
        <v>Bibliothek</v>
      </c>
      <c r="D19" s="620">
        <v>12</v>
      </c>
      <c r="E19" s="618">
        <v>12</v>
      </c>
      <c r="F19" s="618">
        <v>3</v>
      </c>
      <c r="G19" s="205">
        <f t="shared" si="33"/>
        <v>144</v>
      </c>
      <c r="H19" s="205">
        <v>127.05882352941177</v>
      </c>
      <c r="I19" s="390">
        <v>50</v>
      </c>
      <c r="J19" s="1439">
        <v>0.75</v>
      </c>
      <c r="K19" s="632">
        <f t="shared" si="12"/>
        <v>66.666666666666671</v>
      </c>
      <c r="L19" s="630">
        <v>1</v>
      </c>
      <c r="M19" s="595">
        <v>0.8</v>
      </c>
      <c r="N19" s="595">
        <v>1.5</v>
      </c>
      <c r="O19" s="1439">
        <v>0.17</v>
      </c>
      <c r="P19" s="595">
        <v>0.1</v>
      </c>
      <c r="Q19" s="595">
        <v>0.8</v>
      </c>
      <c r="R19" s="1439">
        <v>0.5</v>
      </c>
      <c r="S19" s="1439">
        <v>0.5</v>
      </c>
      <c r="T19" s="1439">
        <v>0.65</v>
      </c>
      <c r="U19" s="1439">
        <v>0.14000000000000001</v>
      </c>
      <c r="V19" s="1439">
        <v>0.1</v>
      </c>
      <c r="W19" s="1439">
        <v>0.2</v>
      </c>
      <c r="X19" s="390">
        <v>0.7</v>
      </c>
      <c r="Y19" s="390">
        <v>0.9</v>
      </c>
      <c r="Z19" s="390">
        <v>90</v>
      </c>
      <c r="AA19" s="598">
        <v>98.7</v>
      </c>
      <c r="AB19" s="582">
        <v>26</v>
      </c>
      <c r="AC19" s="1440">
        <v>21</v>
      </c>
      <c r="AD19" s="1440">
        <v>25</v>
      </c>
      <c r="AE19" s="1440">
        <v>22</v>
      </c>
      <c r="AF19" s="578" t="s">
        <v>22</v>
      </c>
      <c r="AG19" s="1456" t="s">
        <v>122</v>
      </c>
      <c r="AH19" s="1456">
        <v>60</v>
      </c>
      <c r="AI19" s="1457">
        <v>40</v>
      </c>
      <c r="AJ19" s="1659" t="str">
        <f>Begriffe!F$246</f>
        <v>mittel</v>
      </c>
      <c r="AK19" s="1456">
        <v>2</v>
      </c>
      <c r="AL19" s="1456">
        <f t="shared" si="13"/>
        <v>33</v>
      </c>
      <c r="AM19" s="1456">
        <f t="shared" si="14"/>
        <v>38</v>
      </c>
      <c r="AN19" s="1457">
        <f t="shared" si="15"/>
        <v>28</v>
      </c>
      <c r="AO19" s="1458">
        <v>0.8</v>
      </c>
      <c r="AP19" s="637">
        <v>5</v>
      </c>
      <c r="AQ19" s="595">
        <v>1.2</v>
      </c>
      <c r="AR19" s="595">
        <v>0.5</v>
      </c>
      <c r="AS19" s="595">
        <v>1</v>
      </c>
      <c r="AT19" s="598">
        <f t="shared" si="16"/>
        <v>84</v>
      </c>
      <c r="AU19" s="598">
        <f t="shared" si="17"/>
        <v>94</v>
      </c>
      <c r="AV19" s="598">
        <f t="shared" si="18"/>
        <v>51</v>
      </c>
      <c r="AW19" s="598">
        <f t="shared" si="19"/>
        <v>66</v>
      </c>
      <c r="AX19" s="632">
        <v>0.5</v>
      </c>
      <c r="AY19" s="637">
        <v>2</v>
      </c>
      <c r="AZ19" s="379">
        <v>1</v>
      </c>
      <c r="BA19" s="379">
        <v>3</v>
      </c>
      <c r="BE19" s="379">
        <f t="shared" si="20"/>
        <v>2</v>
      </c>
      <c r="BF19" s="379">
        <f t="shared" si="21"/>
        <v>1</v>
      </c>
      <c r="BG19" s="379">
        <f t="shared" si="22"/>
        <v>3</v>
      </c>
      <c r="BH19" s="613">
        <v>10</v>
      </c>
      <c r="BI19" s="614">
        <f t="shared" si="23"/>
        <v>2</v>
      </c>
      <c r="BJ19" s="390">
        <v>40</v>
      </c>
      <c r="BK19" s="618">
        <f t="shared" si="24"/>
        <v>20</v>
      </c>
      <c r="BL19" s="1817">
        <v>300</v>
      </c>
      <c r="BM19" s="1332">
        <v>1</v>
      </c>
      <c r="BN19" s="379">
        <v>300</v>
      </c>
      <c r="BO19" s="390" t="str">
        <f>Begriffe!$F$208</f>
        <v>NP</v>
      </c>
      <c r="BP19" s="1825">
        <v>0.5</v>
      </c>
      <c r="BQ19" s="618">
        <v>1</v>
      </c>
      <c r="BR19" s="627">
        <v>0.75</v>
      </c>
      <c r="BS19" s="1120">
        <v>90</v>
      </c>
      <c r="BT19" s="1120">
        <v>130</v>
      </c>
      <c r="BU19" s="598">
        <f t="shared" si="38"/>
        <v>11</v>
      </c>
      <c r="BV19" s="629">
        <f t="shared" si="25"/>
        <v>0</v>
      </c>
      <c r="BW19" s="582" t="s">
        <v>380</v>
      </c>
      <c r="BX19" s="598">
        <f t="shared" si="26"/>
        <v>29</v>
      </c>
      <c r="BY19" s="390"/>
      <c r="BZ19" s="595">
        <f t="shared" si="40"/>
        <v>5.8</v>
      </c>
      <c r="CA19" s="390"/>
      <c r="CB19" s="595">
        <f t="shared" si="1"/>
        <v>5.8</v>
      </c>
      <c r="CC19" s="390">
        <v>0</v>
      </c>
      <c r="CD19" s="1439">
        <v>0.15</v>
      </c>
      <c r="CE19" s="1439">
        <v>0.3</v>
      </c>
      <c r="CF19" s="379" t="str">
        <f t="shared" si="28"/>
        <v>IDA-C4</v>
      </c>
      <c r="CG19" s="379" t="str">
        <f t="shared" si="29"/>
        <v>IDA-C6</v>
      </c>
      <c r="CI19" s="379" t="str">
        <f>IF(CF19="IDA-C3",Begriffe!$F$248,IF(Eingabedaten!CF19="IDA-C4",Begriffe!$F$249,IF(Eingabedaten!CF19="IDA-C6",Begriffe!$F$250,"")))</f>
        <v>zweistufig</v>
      </c>
      <c r="CJ19" s="379" t="str">
        <f>IF(CG19="IDA-C3",Begriffe!$F$248,IF(Eingabedaten!CG19="IDA-C4",Begriffe!$F$249,IF(Eingabedaten!CG19="IDA-C6",Begriffe!$F$250,"")))</f>
        <v>stufenlos</v>
      </c>
      <c r="CK19" s="379" t="str">
        <f>IF(CH19="IDA-C3",Begriffe!$F$248,IF(Eingabedaten!CH19="IDA-C4",Begriffe!$F$249,IF(Eingabedaten!CH19="IDA-C6",Begriffe!$F$250,"")))</f>
        <v/>
      </c>
      <c r="CL19" s="1439">
        <v>0.73</v>
      </c>
      <c r="CM19" s="1439">
        <v>0.78</v>
      </c>
      <c r="CN19" s="1439"/>
      <c r="CO19" s="1439">
        <v>0.7</v>
      </c>
      <c r="CP19" s="1439">
        <v>0.75</v>
      </c>
      <c r="CQ19" s="1461"/>
      <c r="CR19" s="586" t="str">
        <f>Begriffe!$F$253</f>
        <v>Lüftungsanlage mit Lufterwärmung</v>
      </c>
      <c r="CS19" s="586">
        <v>0.56000000000000005</v>
      </c>
      <c r="CT19" s="586">
        <v>0.34</v>
      </c>
      <c r="CU19" s="586">
        <v>0.22300000000000003</v>
      </c>
      <c r="CV19" s="1433">
        <v>0.55000000000000004</v>
      </c>
      <c r="CW19" s="1469" t="str">
        <f>Begriffe!$F$257</f>
        <v>nicht notwendig</v>
      </c>
      <c r="CX19" s="586" t="str">
        <f>Begriffe!$F$258</f>
        <v>erwünscht</v>
      </c>
      <c r="CY19" s="586" t="str">
        <f>Begriffe!$F$259</f>
        <v>notwendig</v>
      </c>
      <c r="CZ19" s="586" t="str">
        <f>Begriffe!$F$257</f>
        <v>nicht notwendig</v>
      </c>
      <c r="DA19" s="586" t="str">
        <f>Begriffe!$F$258</f>
        <v>erwünscht</v>
      </c>
      <c r="DB19" s="1433" t="str">
        <f>Begriffe!$F$258</f>
        <v>erwünscht</v>
      </c>
      <c r="DC19" s="580">
        <v>1</v>
      </c>
      <c r="DD19" s="390">
        <v>2</v>
      </c>
      <c r="DE19" s="390">
        <v>0</v>
      </c>
      <c r="DF19" s="628">
        <v>0.5</v>
      </c>
      <c r="DG19" s="580">
        <v>0.1</v>
      </c>
      <c r="DH19" s="628">
        <f t="shared" si="30"/>
        <v>0.5</v>
      </c>
      <c r="DI19" s="580"/>
      <c r="DJ19" s="390"/>
      <c r="DK19" s="390"/>
      <c r="DL19" s="595"/>
      <c r="DM19" s="390"/>
      <c r="DN19" s="629"/>
      <c r="DO19" s="635" t="s">
        <v>156</v>
      </c>
      <c r="DP19" s="620"/>
      <c r="DQ19" s="618"/>
      <c r="DR19" s="618"/>
      <c r="DS19" s="621"/>
      <c r="DT19" s="618"/>
      <c r="DU19" s="617"/>
      <c r="DV19" s="618"/>
      <c r="DW19" s="618">
        <v>0.5</v>
      </c>
      <c r="DX19" s="618">
        <v>0.5</v>
      </c>
      <c r="DY19" s="621">
        <v>0.5</v>
      </c>
      <c r="DZ19" s="618">
        <v>0.5</v>
      </c>
      <c r="EA19" s="617">
        <v>0.5</v>
      </c>
      <c r="EB19" s="618">
        <v>1</v>
      </c>
      <c r="EC19" s="618">
        <v>0.5</v>
      </c>
      <c r="ED19" s="618">
        <v>0.5</v>
      </c>
      <c r="EE19" s="621">
        <v>0.5</v>
      </c>
      <c r="EF19" s="618">
        <v>0.5</v>
      </c>
      <c r="EG19" s="617">
        <v>0.5</v>
      </c>
      <c r="EH19" s="618"/>
      <c r="EI19" s="618"/>
      <c r="EJ19" s="618"/>
      <c r="EK19" s="621"/>
      <c r="EL19" s="618"/>
      <c r="EM19" s="622"/>
      <c r="EN19" s="620">
        <v>0.1</v>
      </c>
      <c r="EO19" s="618">
        <v>0.1</v>
      </c>
      <c r="EP19" s="618">
        <v>0.1</v>
      </c>
      <c r="EQ19" s="621">
        <v>0.1</v>
      </c>
      <c r="ER19" s="618">
        <v>0.1</v>
      </c>
      <c r="ES19" s="617">
        <v>0.1</v>
      </c>
      <c r="ET19" s="618">
        <v>0.1</v>
      </c>
      <c r="EU19" s="618">
        <v>0.5</v>
      </c>
      <c r="EV19" s="618">
        <v>0.5</v>
      </c>
      <c r="EW19" s="621">
        <v>0.5</v>
      </c>
      <c r="EX19" s="618">
        <v>0.5</v>
      </c>
      <c r="EY19" s="617">
        <v>0.5</v>
      </c>
      <c r="EZ19" s="618">
        <v>1</v>
      </c>
      <c r="FA19" s="618">
        <v>0.5</v>
      </c>
      <c r="FB19" s="618">
        <v>0.5</v>
      </c>
      <c r="FC19" s="621">
        <v>0.5</v>
      </c>
      <c r="FD19" s="618">
        <v>0.5</v>
      </c>
      <c r="FE19" s="617">
        <v>0.5</v>
      </c>
      <c r="FF19" s="618">
        <v>0.1</v>
      </c>
      <c r="FG19" s="618">
        <v>0.1</v>
      </c>
      <c r="FH19" s="618">
        <v>0.1</v>
      </c>
      <c r="FI19" s="621">
        <v>0.1</v>
      </c>
      <c r="FJ19" s="618">
        <v>0.1</v>
      </c>
      <c r="FK19" s="622">
        <v>0.1</v>
      </c>
      <c r="FL19" s="620" t="s">
        <v>128</v>
      </c>
      <c r="FM19" s="620">
        <v>0.8</v>
      </c>
      <c r="FN19" s="618">
        <v>0.6</v>
      </c>
      <c r="FO19" s="618">
        <v>0.9</v>
      </c>
      <c r="FP19" s="621">
        <v>0.6</v>
      </c>
      <c r="FQ19" s="618">
        <v>0.8</v>
      </c>
      <c r="FR19" s="617">
        <v>1</v>
      </c>
      <c r="FS19" s="618">
        <v>0</v>
      </c>
      <c r="FT19" s="618">
        <v>0.6</v>
      </c>
      <c r="FU19" s="618">
        <v>1</v>
      </c>
      <c r="FV19" s="621">
        <v>0.6</v>
      </c>
      <c r="FW19" s="618">
        <v>0.9</v>
      </c>
      <c r="FX19" s="622">
        <v>0.6</v>
      </c>
      <c r="FY19" s="587">
        <v>2</v>
      </c>
      <c r="FZ19" s="613">
        <f t="shared" si="35"/>
        <v>261</v>
      </c>
      <c r="GA19" s="620">
        <f t="shared" si="2"/>
        <v>11</v>
      </c>
      <c r="GB19" s="618">
        <f t="shared" si="3"/>
        <v>6</v>
      </c>
      <c r="GC19" s="618">
        <f t="shared" si="4"/>
        <v>6</v>
      </c>
      <c r="GD19" s="618">
        <f t="shared" si="5"/>
        <v>0</v>
      </c>
      <c r="GE19" s="627">
        <f t="shared" si="6"/>
        <v>0.69890410958904103</v>
      </c>
      <c r="GF19" s="205">
        <f t="shared" si="31"/>
        <v>2870</v>
      </c>
      <c r="GG19" s="205">
        <f t="shared" si="7"/>
        <v>2870</v>
      </c>
      <c r="GH19" s="463">
        <f t="shared" si="36"/>
        <v>1090</v>
      </c>
      <c r="GI19" s="620">
        <f t="shared" si="8"/>
        <v>24</v>
      </c>
      <c r="GJ19" s="618">
        <f t="shared" si="9"/>
        <v>7.299999999999998</v>
      </c>
      <c r="GK19" s="618">
        <f t="shared" si="10"/>
        <v>2.4000000000000004</v>
      </c>
      <c r="GL19" s="463">
        <f t="shared" si="37"/>
        <v>1510</v>
      </c>
      <c r="GM19" s="594" t="str">
        <f>Begriffe!F272</f>
        <v>- Im Lesebereich Beleuchtungsstärke 500 lx</v>
      </c>
      <c r="GO19" s="583" t="str">
        <f>IF(CH19=0,Begriffe!$F$297,"")</f>
        <v>- Keine Lüftungsanlage im Bestand</v>
      </c>
      <c r="GP19" s="583" t="str">
        <f>Begriffe!$F$285</f>
        <v>- Der Klimakälteleistungsbedarf und der jährliche Klimakältebedarf gelten für Räume ohne unterstützende Fensterlüftung</v>
      </c>
      <c r="GQ19" s="583"/>
      <c r="GR19" s="583" t="str">
        <f>Begriffe!$F309</f>
        <v>- Wasser- und Warmwasserbedarf sind in der Raumnutzung 4.1 enthalten</v>
      </c>
      <c r="HB19" s="379" t="s">
        <v>128</v>
      </c>
      <c r="HC19" s="379">
        <v>0.8</v>
      </c>
      <c r="HD19" s="379">
        <v>0.4</v>
      </c>
      <c r="HE19" s="379">
        <v>1</v>
      </c>
      <c r="HF19" s="379">
        <v>0.8</v>
      </c>
      <c r="HG19" s="379">
        <v>0.4</v>
      </c>
      <c r="HH19" s="379">
        <v>1</v>
      </c>
      <c r="HI19" s="379">
        <v>0</v>
      </c>
      <c r="HJ19" s="379">
        <v>0.6</v>
      </c>
      <c r="HK19" s="379">
        <v>1</v>
      </c>
      <c r="HL19" s="379">
        <v>0.4</v>
      </c>
      <c r="HM19" s="379">
        <v>1</v>
      </c>
      <c r="HN19" s="379">
        <v>0.6</v>
      </c>
      <c r="HO19" s="390">
        <f t="shared" si="11"/>
        <v>0.66666666666666663</v>
      </c>
      <c r="HQ19" s="390">
        <v>2</v>
      </c>
      <c r="HS19" s="541">
        <v>0</v>
      </c>
      <c r="HT19" s="541">
        <v>0</v>
      </c>
      <c r="HU19" s="600">
        <v>1</v>
      </c>
      <c r="HV19" s="600">
        <v>1</v>
      </c>
      <c r="HW19" s="600">
        <v>1</v>
      </c>
      <c r="HX19" s="600">
        <v>1</v>
      </c>
      <c r="HY19" s="600">
        <v>1</v>
      </c>
      <c r="HZ19" s="379">
        <v>16</v>
      </c>
      <c r="IA19" s="379">
        <v>14</v>
      </c>
      <c r="IB19" s="379">
        <v>0.7</v>
      </c>
      <c r="IC19" s="379">
        <v>4</v>
      </c>
      <c r="ID19" s="1439">
        <v>0.79411764705882359</v>
      </c>
      <c r="IE19" s="1440">
        <f t="shared" si="32"/>
        <v>27.117647058823529</v>
      </c>
    </row>
    <row r="20" spans="1:239" s="379" customFormat="1" ht="12" customHeight="1">
      <c r="A20" s="1636">
        <v>4.04</v>
      </c>
      <c r="B20" s="1637">
        <v>10</v>
      </c>
      <c r="C20" s="463" t="str">
        <f>Begriffe!F145</f>
        <v>Hörsaal</v>
      </c>
      <c r="D20" s="620">
        <v>12</v>
      </c>
      <c r="E20" s="618">
        <v>12</v>
      </c>
      <c r="F20" s="618">
        <v>3</v>
      </c>
      <c r="G20" s="205">
        <f t="shared" si="33"/>
        <v>144</v>
      </c>
      <c r="H20" s="205">
        <v>127.05882352941177</v>
      </c>
      <c r="I20" s="390">
        <v>50</v>
      </c>
      <c r="J20" s="1439">
        <v>0.75</v>
      </c>
      <c r="K20" s="632">
        <f t="shared" si="12"/>
        <v>66.666666666666671</v>
      </c>
      <c r="L20" s="630">
        <v>1</v>
      </c>
      <c r="M20" s="595">
        <v>0.8</v>
      </c>
      <c r="N20" s="595">
        <v>1.5</v>
      </c>
      <c r="O20" s="1439">
        <v>0.17</v>
      </c>
      <c r="P20" s="595">
        <v>0.1</v>
      </c>
      <c r="Q20" s="595">
        <v>0.8</v>
      </c>
      <c r="R20" s="1439">
        <v>0.5</v>
      </c>
      <c r="S20" s="1439">
        <v>0.5</v>
      </c>
      <c r="T20" s="1439">
        <v>0.65</v>
      </c>
      <c r="U20" s="1439">
        <v>0.14000000000000001</v>
      </c>
      <c r="V20" s="1439">
        <v>0.1</v>
      </c>
      <c r="W20" s="1439">
        <v>0.2</v>
      </c>
      <c r="X20" s="390">
        <v>0.7</v>
      </c>
      <c r="Y20" s="390">
        <v>0.9</v>
      </c>
      <c r="Z20" s="390">
        <v>90</v>
      </c>
      <c r="AA20" s="598">
        <v>98.7</v>
      </c>
      <c r="AB20" s="582">
        <v>26</v>
      </c>
      <c r="AC20" s="1440">
        <v>21</v>
      </c>
      <c r="AD20" s="1440">
        <v>25</v>
      </c>
      <c r="AE20" s="1440">
        <v>22</v>
      </c>
      <c r="AF20" s="578" t="s">
        <v>22</v>
      </c>
      <c r="AG20" s="1456" t="s">
        <v>122</v>
      </c>
      <c r="AH20" s="1456">
        <v>60</v>
      </c>
      <c r="AI20" s="1457">
        <v>30</v>
      </c>
      <c r="AJ20" s="1659" t="str">
        <f>Begriffe!F$246</f>
        <v>mittel</v>
      </c>
      <c r="AK20" s="1456">
        <v>2</v>
      </c>
      <c r="AL20" s="1456">
        <f t="shared" si="13"/>
        <v>33</v>
      </c>
      <c r="AM20" s="1456">
        <f t="shared" si="14"/>
        <v>38</v>
      </c>
      <c r="AN20" s="1457">
        <f t="shared" si="15"/>
        <v>28</v>
      </c>
      <c r="AO20" s="1458">
        <v>0.7</v>
      </c>
      <c r="AP20" s="580">
        <v>3</v>
      </c>
      <c r="AQ20" s="595">
        <v>1.2</v>
      </c>
      <c r="AR20" s="595">
        <v>0.5</v>
      </c>
      <c r="AS20" s="595">
        <v>1</v>
      </c>
      <c r="AT20" s="598">
        <f t="shared" si="16"/>
        <v>84</v>
      </c>
      <c r="AU20" s="598">
        <f t="shared" si="17"/>
        <v>94</v>
      </c>
      <c r="AV20" s="598">
        <f t="shared" si="18"/>
        <v>51</v>
      </c>
      <c r="AW20" s="598">
        <f t="shared" si="19"/>
        <v>66</v>
      </c>
      <c r="AX20" s="632">
        <v>0.5</v>
      </c>
      <c r="AY20" s="580">
        <v>20</v>
      </c>
      <c r="AZ20" s="390">
        <v>10</v>
      </c>
      <c r="BA20" s="390">
        <v>30</v>
      </c>
      <c r="BB20" s="390"/>
      <c r="BC20" s="390"/>
      <c r="BD20" s="390"/>
      <c r="BE20" s="390">
        <f t="shared" si="20"/>
        <v>20</v>
      </c>
      <c r="BF20" s="390">
        <f t="shared" si="21"/>
        <v>10</v>
      </c>
      <c r="BG20" s="390">
        <f t="shared" si="22"/>
        <v>30</v>
      </c>
      <c r="BH20" s="613">
        <v>20</v>
      </c>
      <c r="BI20" s="614">
        <f t="shared" si="23"/>
        <v>20</v>
      </c>
      <c r="BJ20" s="390">
        <v>30</v>
      </c>
      <c r="BK20" s="618">
        <f t="shared" si="24"/>
        <v>1.5</v>
      </c>
      <c r="BL20" s="637">
        <f t="shared" si="34"/>
        <v>500</v>
      </c>
      <c r="BM20" s="618">
        <v>1</v>
      </c>
      <c r="BN20" s="379">
        <v>500</v>
      </c>
      <c r="BO20" s="390" t="str">
        <f>Begriffe!$F$208</f>
        <v>NP</v>
      </c>
      <c r="BP20" s="1825">
        <v>0.5</v>
      </c>
      <c r="BQ20" s="618">
        <v>1</v>
      </c>
      <c r="BR20" s="627">
        <v>0.75</v>
      </c>
      <c r="BS20" s="1120">
        <v>90</v>
      </c>
      <c r="BT20" s="1120">
        <v>130</v>
      </c>
      <c r="BU20" s="598">
        <f t="shared" si="38"/>
        <v>11</v>
      </c>
      <c r="BV20" s="629">
        <f t="shared" si="25"/>
        <v>0</v>
      </c>
      <c r="BW20" s="582" t="s">
        <v>380</v>
      </c>
      <c r="BX20" s="598">
        <f t="shared" si="26"/>
        <v>29</v>
      </c>
      <c r="BY20" s="390"/>
      <c r="BZ20" s="595">
        <f t="shared" si="40"/>
        <v>9.6666666666666661</v>
      </c>
      <c r="CA20" s="390"/>
      <c r="CB20" s="595">
        <f t="shared" si="1"/>
        <v>9.6666666666666661</v>
      </c>
      <c r="CC20" s="390">
        <v>0</v>
      </c>
      <c r="CD20" s="1439">
        <v>0.15</v>
      </c>
      <c r="CE20" s="1439">
        <v>0.3</v>
      </c>
      <c r="CF20" s="379" t="str">
        <f t="shared" si="28"/>
        <v>IDA-C6</v>
      </c>
      <c r="CG20" s="379" t="str">
        <f t="shared" si="29"/>
        <v>IDA-C6</v>
      </c>
      <c r="CH20" s="379" t="str">
        <f t="shared" ref="CH20:CH31" si="41">IF(CB20&lt;3,"IDA-C3","IDA-C4")</f>
        <v>IDA-C4</v>
      </c>
      <c r="CI20" s="379" t="str">
        <f>IF(CF20="IDA-C3",Begriffe!$F$248,IF(Eingabedaten!CF20="IDA-C4",Begriffe!$F$249,IF(Eingabedaten!CF20="IDA-C6",Begriffe!$F$250,"")))</f>
        <v>stufenlos</v>
      </c>
      <c r="CJ20" s="379" t="str">
        <f>IF(CG20="IDA-C3",Begriffe!$F$248,IF(Eingabedaten!CG20="IDA-C4",Begriffe!$F$249,IF(Eingabedaten!CG20="IDA-C6",Begriffe!$F$250,"")))</f>
        <v>stufenlos</v>
      </c>
      <c r="CK20" s="379" t="str">
        <f>IF(CH20="IDA-C3",Begriffe!$F$248,IF(Eingabedaten!CH20="IDA-C4",Begriffe!$F$249,IF(Eingabedaten!CH20="IDA-C6",Begriffe!$F$250,"")))</f>
        <v>zweistufig</v>
      </c>
      <c r="CL20" s="1439">
        <v>0.73</v>
      </c>
      <c r="CM20" s="1439">
        <v>0.78</v>
      </c>
      <c r="CN20" s="1439">
        <v>0.5</v>
      </c>
      <c r="CO20" s="1439">
        <v>0.7</v>
      </c>
      <c r="CP20" s="1439">
        <v>0.75</v>
      </c>
      <c r="CQ20" s="1461">
        <v>0.5</v>
      </c>
      <c r="CR20" s="586" t="str">
        <f>Begriffe!$F$252</f>
        <v>Einfache Klimaanlage</v>
      </c>
      <c r="CS20" s="586">
        <v>0.91</v>
      </c>
      <c r="CT20" s="586">
        <v>0.55000000000000004</v>
      </c>
      <c r="CU20" s="586">
        <v>0.34</v>
      </c>
      <c r="CV20" s="1433">
        <v>0.91</v>
      </c>
      <c r="CW20" s="1469" t="str">
        <f>Begriffe!$F$259</f>
        <v>notwendig</v>
      </c>
      <c r="CX20" s="586" t="str">
        <f>Begriffe!$F$259</f>
        <v>notwendig</v>
      </c>
      <c r="CY20" s="586" t="str">
        <f>Begriffe!$F$259</f>
        <v>notwendig</v>
      </c>
      <c r="CZ20" s="586" t="str">
        <f>Begriffe!$F$259</f>
        <v>notwendig</v>
      </c>
      <c r="DA20" s="586" t="str">
        <f>Begriffe!$F$259</f>
        <v>notwendig</v>
      </c>
      <c r="DB20" s="1433" t="str">
        <f>Begriffe!$F$259</f>
        <v>notwendig</v>
      </c>
      <c r="DC20" s="580">
        <v>1</v>
      </c>
      <c r="DD20" s="390">
        <v>2</v>
      </c>
      <c r="DE20" s="390">
        <v>0</v>
      </c>
      <c r="DF20" s="628">
        <v>0.5</v>
      </c>
      <c r="DG20" s="580">
        <v>0.1</v>
      </c>
      <c r="DH20" s="628">
        <f t="shared" si="30"/>
        <v>0.3</v>
      </c>
      <c r="DI20" s="580" t="str">
        <f>Begriffe!$F$260</f>
        <v>Person</v>
      </c>
      <c r="DJ20" s="390">
        <v>1.5</v>
      </c>
      <c r="DK20" s="390">
        <v>1</v>
      </c>
      <c r="DL20" s="595">
        <f t="shared" ref="DL20:DL26" si="42">IF(DK20=0,DJ20,DJ20*DK20)</f>
        <v>1.5</v>
      </c>
      <c r="DM20" s="390">
        <v>20</v>
      </c>
      <c r="DN20" s="629">
        <f t="shared" ref="DN20:DN26" si="43">DL20*DM20</f>
        <v>30</v>
      </c>
      <c r="DO20" s="593" t="s">
        <v>60</v>
      </c>
      <c r="DP20" s="620"/>
      <c r="DQ20" s="618"/>
      <c r="DR20" s="618"/>
      <c r="DS20" s="621"/>
      <c r="DT20" s="618"/>
      <c r="DU20" s="617"/>
      <c r="DV20" s="618"/>
      <c r="DW20" s="618">
        <v>0.4</v>
      </c>
      <c r="DX20" s="618">
        <v>0.6</v>
      </c>
      <c r="DY20" s="618">
        <v>1</v>
      </c>
      <c r="DZ20" s="618">
        <v>1</v>
      </c>
      <c r="EA20" s="618">
        <v>0.8</v>
      </c>
      <c r="EB20" s="618">
        <v>0.2</v>
      </c>
      <c r="EC20" s="618">
        <v>0.6</v>
      </c>
      <c r="ED20" s="618">
        <v>1</v>
      </c>
      <c r="EE20" s="618">
        <v>0.8</v>
      </c>
      <c r="EF20" s="618">
        <v>0.8</v>
      </c>
      <c r="EG20" s="617">
        <v>0.4</v>
      </c>
      <c r="EH20" s="618"/>
      <c r="EI20" s="618"/>
      <c r="EJ20" s="618"/>
      <c r="EK20" s="621"/>
      <c r="EL20" s="618"/>
      <c r="EM20" s="622"/>
      <c r="EN20" s="620">
        <v>0.2</v>
      </c>
      <c r="EO20" s="618">
        <v>0.2</v>
      </c>
      <c r="EP20" s="618">
        <v>0.2</v>
      </c>
      <c r="EQ20" s="621">
        <v>0.2</v>
      </c>
      <c r="ER20" s="618">
        <v>0.2</v>
      </c>
      <c r="ES20" s="617">
        <v>0.2</v>
      </c>
      <c r="ET20" s="618">
        <v>0.2</v>
      </c>
      <c r="EU20" s="618">
        <v>0.4</v>
      </c>
      <c r="EV20" s="618">
        <v>0.6</v>
      </c>
      <c r="EW20" s="618">
        <v>0.8</v>
      </c>
      <c r="EX20" s="618">
        <v>1</v>
      </c>
      <c r="EY20" s="618">
        <v>0.8</v>
      </c>
      <c r="EZ20" s="618">
        <v>0.2</v>
      </c>
      <c r="FA20" s="618">
        <v>0.6</v>
      </c>
      <c r="FB20" s="618">
        <v>1</v>
      </c>
      <c r="FC20" s="618">
        <v>0.8</v>
      </c>
      <c r="FD20" s="618">
        <v>0.8</v>
      </c>
      <c r="FE20" s="618">
        <v>0.4</v>
      </c>
      <c r="FF20" s="618">
        <v>0.2</v>
      </c>
      <c r="FG20" s="618">
        <v>0.2</v>
      </c>
      <c r="FH20" s="618">
        <v>0.2</v>
      </c>
      <c r="FI20" s="621">
        <v>0.2</v>
      </c>
      <c r="FJ20" s="618">
        <v>0.2</v>
      </c>
      <c r="FK20" s="622">
        <v>0.2</v>
      </c>
      <c r="FL20" s="620" t="s">
        <v>128</v>
      </c>
      <c r="FM20" s="620">
        <v>0.8</v>
      </c>
      <c r="FN20" s="618">
        <v>0.6</v>
      </c>
      <c r="FO20" s="618">
        <v>0.9</v>
      </c>
      <c r="FP20" s="621">
        <v>0.6</v>
      </c>
      <c r="FQ20" s="618">
        <v>0.8</v>
      </c>
      <c r="FR20" s="617">
        <v>1</v>
      </c>
      <c r="FS20" s="618">
        <v>0</v>
      </c>
      <c r="FT20" s="618">
        <v>0.6</v>
      </c>
      <c r="FU20" s="618">
        <v>1</v>
      </c>
      <c r="FV20" s="621">
        <v>0.6</v>
      </c>
      <c r="FW20" s="618">
        <v>0.9</v>
      </c>
      <c r="FX20" s="622">
        <v>0.6</v>
      </c>
      <c r="FY20" s="587">
        <v>2</v>
      </c>
      <c r="FZ20" s="613">
        <f t="shared" si="35"/>
        <v>261</v>
      </c>
      <c r="GA20" s="620">
        <f t="shared" si="2"/>
        <v>11</v>
      </c>
      <c r="GB20" s="618">
        <f t="shared" si="3"/>
        <v>7.6</v>
      </c>
      <c r="GC20" s="618">
        <f t="shared" si="4"/>
        <v>7.6</v>
      </c>
      <c r="GD20" s="618">
        <f t="shared" si="5"/>
        <v>0</v>
      </c>
      <c r="GE20" s="627">
        <f t="shared" si="6"/>
        <v>0.69890410958904103</v>
      </c>
      <c r="GF20" s="205">
        <f t="shared" si="31"/>
        <v>2870</v>
      </c>
      <c r="GG20" s="205">
        <f t="shared" si="7"/>
        <v>2870</v>
      </c>
      <c r="GH20" s="463">
        <f t="shared" si="36"/>
        <v>1390</v>
      </c>
      <c r="GI20" s="620">
        <f t="shared" si="8"/>
        <v>24</v>
      </c>
      <c r="GJ20" s="618">
        <f t="shared" si="9"/>
        <v>9.9999999999999964</v>
      </c>
      <c r="GK20" s="618">
        <f t="shared" si="10"/>
        <v>4.8000000000000007</v>
      </c>
      <c r="GL20" s="463">
        <f t="shared" si="37"/>
        <v>2170</v>
      </c>
      <c r="GO20" s="379" t="str">
        <f>IF(CH20=0,Begriffe!$F$297,"")</f>
        <v/>
      </c>
      <c r="GP20" s="583" t="str">
        <f>Begriffe!$F$285</f>
        <v>- Der Klimakälteleistungsbedarf und der jährliche Klimakältebedarf gelten für Räume ohne unterstützende Fensterlüftung</v>
      </c>
      <c r="GQ20" s="583"/>
      <c r="GR20" s="583" t="str">
        <f>Begriffe!$F310</f>
        <v>- Wasser- und Warmwasserbedarf pro Person (Schüler), ohne Mensa und Sportanlagen</v>
      </c>
      <c r="HB20" s="379" t="s">
        <v>128</v>
      </c>
      <c r="HC20" s="379">
        <v>0.8</v>
      </c>
      <c r="HD20" s="379">
        <v>0.4</v>
      </c>
      <c r="HE20" s="379">
        <v>1</v>
      </c>
      <c r="HF20" s="379">
        <v>0.8</v>
      </c>
      <c r="HG20" s="379">
        <v>0.4</v>
      </c>
      <c r="HH20" s="379">
        <v>1</v>
      </c>
      <c r="HI20" s="379">
        <v>0</v>
      </c>
      <c r="HJ20" s="379">
        <v>0.6</v>
      </c>
      <c r="HK20" s="379">
        <v>1</v>
      </c>
      <c r="HL20" s="379">
        <v>0.4</v>
      </c>
      <c r="HM20" s="379">
        <v>1</v>
      </c>
      <c r="HN20" s="379">
        <v>0.6</v>
      </c>
      <c r="HO20" s="390">
        <f t="shared" si="11"/>
        <v>0.66666666666666663</v>
      </c>
      <c r="HQ20" s="390">
        <v>2</v>
      </c>
      <c r="HS20" s="541">
        <v>0</v>
      </c>
      <c r="HT20" s="541">
        <v>0</v>
      </c>
      <c r="HU20" s="600">
        <v>1</v>
      </c>
      <c r="HV20" s="600">
        <v>1</v>
      </c>
      <c r="HW20" s="600">
        <v>1</v>
      </c>
      <c r="HX20" s="600">
        <v>1</v>
      </c>
      <c r="HY20" s="600">
        <v>1</v>
      </c>
      <c r="HZ20" s="379">
        <v>16</v>
      </c>
      <c r="IA20" s="379">
        <v>14</v>
      </c>
      <c r="IB20" s="379">
        <v>0.7</v>
      </c>
      <c r="IC20" s="379">
        <v>4</v>
      </c>
      <c r="ID20" s="1439">
        <v>0.79411764705882359</v>
      </c>
      <c r="IE20" s="1440">
        <f t="shared" si="32"/>
        <v>27.117647058823529</v>
      </c>
    </row>
    <row r="21" spans="1:239" s="379" customFormat="1" ht="12" customHeight="1">
      <c r="A21" s="1638">
        <v>4.05</v>
      </c>
      <c r="B21" s="1639"/>
      <c r="C21" s="592" t="str">
        <f>Begriffe!F146</f>
        <v>Schulfachraum (Spezialraum)</v>
      </c>
      <c r="D21" s="604">
        <v>10</v>
      </c>
      <c r="E21" s="642">
        <v>7</v>
      </c>
      <c r="F21" s="642">
        <v>3</v>
      </c>
      <c r="G21" s="641">
        <f t="shared" si="33"/>
        <v>70</v>
      </c>
      <c r="H21" s="641">
        <v>95.294117647058826</v>
      </c>
      <c r="I21" s="385">
        <v>50</v>
      </c>
      <c r="J21" s="1442">
        <v>0.75</v>
      </c>
      <c r="K21" s="1447">
        <f t="shared" si="12"/>
        <v>66.666666666666671</v>
      </c>
      <c r="L21" s="1441">
        <v>1</v>
      </c>
      <c r="M21" s="601">
        <v>0.8</v>
      </c>
      <c r="N21" s="601">
        <v>1.5</v>
      </c>
      <c r="O21" s="1442">
        <v>0.17</v>
      </c>
      <c r="P21" s="601">
        <v>0.1</v>
      </c>
      <c r="Q21" s="601">
        <v>0.8</v>
      </c>
      <c r="R21" s="1442">
        <v>0.5</v>
      </c>
      <c r="S21" s="1442">
        <v>0.5</v>
      </c>
      <c r="T21" s="1442">
        <v>0.65</v>
      </c>
      <c r="U21" s="1442">
        <v>0.14000000000000001</v>
      </c>
      <c r="V21" s="1442">
        <v>0.1</v>
      </c>
      <c r="W21" s="1442">
        <v>0.2</v>
      </c>
      <c r="X21" s="385">
        <v>0.7</v>
      </c>
      <c r="Y21" s="385">
        <v>0.9</v>
      </c>
      <c r="Z21" s="385">
        <v>90</v>
      </c>
      <c r="AA21" s="602">
        <v>106.4</v>
      </c>
      <c r="AB21" s="576">
        <v>26</v>
      </c>
      <c r="AC21" s="639">
        <v>21</v>
      </c>
      <c r="AD21" s="639">
        <v>25</v>
      </c>
      <c r="AE21" s="639">
        <v>22</v>
      </c>
      <c r="AF21" s="588" t="s">
        <v>22</v>
      </c>
      <c r="AG21" s="1443" t="s">
        <v>122</v>
      </c>
      <c r="AH21" s="1443">
        <v>60</v>
      </c>
      <c r="AI21" s="1444">
        <v>30</v>
      </c>
      <c r="AJ21" s="1658" t="str">
        <f>Begriffe!F$246</f>
        <v>mittel</v>
      </c>
      <c r="AK21" s="1443">
        <v>2</v>
      </c>
      <c r="AL21" s="1443">
        <f t="shared" si="13"/>
        <v>33</v>
      </c>
      <c r="AM21" s="1443">
        <f t="shared" si="14"/>
        <v>38</v>
      </c>
      <c r="AN21" s="1444">
        <f t="shared" si="15"/>
        <v>28</v>
      </c>
      <c r="AO21" s="1445">
        <v>0.8</v>
      </c>
      <c r="AP21" s="574">
        <v>5</v>
      </c>
      <c r="AQ21" s="601">
        <v>1.2</v>
      </c>
      <c r="AR21" s="601">
        <v>0.5</v>
      </c>
      <c r="AS21" s="601">
        <v>1</v>
      </c>
      <c r="AT21" s="602">
        <f t="shared" si="16"/>
        <v>84</v>
      </c>
      <c r="AU21" s="602">
        <f t="shared" si="17"/>
        <v>94</v>
      </c>
      <c r="AV21" s="602">
        <f t="shared" si="18"/>
        <v>51</v>
      </c>
      <c r="AW21" s="602">
        <f t="shared" si="19"/>
        <v>66</v>
      </c>
      <c r="AX21" s="1447">
        <v>0.5</v>
      </c>
      <c r="AY21" s="654">
        <v>4</v>
      </c>
      <c r="AZ21" s="387">
        <v>2</v>
      </c>
      <c r="BA21" s="387">
        <v>10</v>
      </c>
      <c r="BB21" s="387"/>
      <c r="BC21" s="387"/>
      <c r="BD21" s="387"/>
      <c r="BE21" s="387">
        <f t="shared" si="20"/>
        <v>4</v>
      </c>
      <c r="BF21" s="387">
        <f t="shared" si="21"/>
        <v>2</v>
      </c>
      <c r="BG21" s="387">
        <f t="shared" si="22"/>
        <v>10</v>
      </c>
      <c r="BH21" s="640">
        <v>10</v>
      </c>
      <c r="BI21" s="1123">
        <f t="shared" si="23"/>
        <v>4</v>
      </c>
      <c r="BJ21" s="387">
        <v>50</v>
      </c>
      <c r="BK21" s="642">
        <f t="shared" si="24"/>
        <v>12.5</v>
      </c>
      <c r="BL21" s="654">
        <f t="shared" si="34"/>
        <v>500</v>
      </c>
      <c r="BM21" s="642">
        <v>1</v>
      </c>
      <c r="BN21" s="387">
        <v>500</v>
      </c>
      <c r="BO21" s="387" t="str">
        <f>Begriffe!$F$208</f>
        <v>NP</v>
      </c>
      <c r="BP21" s="1821">
        <v>0.5</v>
      </c>
      <c r="BQ21" s="642">
        <v>1</v>
      </c>
      <c r="BR21" s="648">
        <v>0.75</v>
      </c>
      <c r="BS21" s="1809">
        <v>90</v>
      </c>
      <c r="BT21" s="1809">
        <v>130</v>
      </c>
      <c r="BU21" s="602">
        <f t="shared" si="38"/>
        <v>11</v>
      </c>
      <c r="BV21" s="1073">
        <f t="shared" si="25"/>
        <v>0</v>
      </c>
      <c r="BW21" s="576" t="s">
        <v>380</v>
      </c>
      <c r="BX21" s="602">
        <f t="shared" si="26"/>
        <v>29</v>
      </c>
      <c r="BY21" s="385"/>
      <c r="BZ21" s="601">
        <f>BX21/AP21</f>
        <v>5.8</v>
      </c>
      <c r="CA21" s="385"/>
      <c r="CB21" s="601">
        <f t="shared" si="1"/>
        <v>5.8</v>
      </c>
      <c r="CC21" s="385">
        <v>0</v>
      </c>
      <c r="CD21" s="1442">
        <v>0.15</v>
      </c>
      <c r="CE21" s="1442">
        <v>0.3</v>
      </c>
      <c r="CF21" s="387" t="str">
        <f t="shared" si="28"/>
        <v>IDA-C4</v>
      </c>
      <c r="CG21" s="387" t="str">
        <f t="shared" si="29"/>
        <v>IDA-C6</v>
      </c>
      <c r="CH21" s="387" t="str">
        <f t="shared" si="41"/>
        <v>IDA-C4</v>
      </c>
      <c r="CI21" s="387" t="str">
        <f>IF(CF21="IDA-C3",Begriffe!$F$248,IF(Eingabedaten!CF21="IDA-C4",Begriffe!$F$249,IF(Eingabedaten!CF21="IDA-C6",Begriffe!$F$250,"")))</f>
        <v>zweistufig</v>
      </c>
      <c r="CJ21" s="387" t="str">
        <f>IF(CG21="IDA-C3",Begriffe!$F$248,IF(Eingabedaten!CG21="IDA-C4",Begriffe!$F$249,IF(Eingabedaten!CG21="IDA-C6",Begriffe!$F$250,"")))</f>
        <v>stufenlos</v>
      </c>
      <c r="CK21" s="387" t="str">
        <f>IF(CH21="IDA-C3",Begriffe!$F$248,IF(Eingabedaten!CH21="IDA-C4",Begriffe!$F$249,IF(Eingabedaten!CH21="IDA-C6",Begriffe!$F$250,"")))</f>
        <v>zweistufig</v>
      </c>
      <c r="CL21" s="1442">
        <v>0.73</v>
      </c>
      <c r="CM21" s="1442">
        <v>0.78</v>
      </c>
      <c r="CN21" s="1442">
        <v>0.5</v>
      </c>
      <c r="CO21" s="1442">
        <v>0.7</v>
      </c>
      <c r="CP21" s="1442">
        <v>0.75</v>
      </c>
      <c r="CQ21" s="1449">
        <v>0.5</v>
      </c>
      <c r="CR21" s="589" t="str">
        <f>Begriffe!$F$253</f>
        <v>Lüftungsanlage mit Lufterwärmung</v>
      </c>
      <c r="CS21" s="589">
        <v>0.56000000000000005</v>
      </c>
      <c r="CT21" s="589">
        <v>0.34</v>
      </c>
      <c r="CU21" s="589">
        <v>0.22300000000000003</v>
      </c>
      <c r="CV21" s="1470">
        <v>0.55000000000000004</v>
      </c>
      <c r="CW21" s="1471" t="str">
        <f>Begriffe!$F$258</f>
        <v>erwünscht</v>
      </c>
      <c r="CX21" s="589" t="str">
        <f>Begriffe!$F$259</f>
        <v>notwendig</v>
      </c>
      <c r="CY21" s="589" t="str">
        <f>Begriffe!$F$259</f>
        <v>notwendig</v>
      </c>
      <c r="CZ21" s="589" t="str">
        <f>Begriffe!$F$257</f>
        <v>nicht notwendig</v>
      </c>
      <c r="DA21" s="589" t="str">
        <f>Begriffe!$F$258</f>
        <v>erwünscht</v>
      </c>
      <c r="DB21" s="1470" t="str">
        <f>Begriffe!$F$259</f>
        <v>notwendig</v>
      </c>
      <c r="DC21" s="574">
        <v>1</v>
      </c>
      <c r="DD21" s="385">
        <v>2</v>
      </c>
      <c r="DE21" s="385">
        <v>0</v>
      </c>
      <c r="DF21" s="572">
        <v>0.5</v>
      </c>
      <c r="DG21" s="574">
        <v>0.1</v>
      </c>
      <c r="DH21" s="572">
        <f t="shared" si="30"/>
        <v>0.3</v>
      </c>
      <c r="DI21" s="574" t="str">
        <f>Begriffe!$F$260</f>
        <v>Person</v>
      </c>
      <c r="DJ21" s="385">
        <v>1.5</v>
      </c>
      <c r="DK21" s="385">
        <v>1</v>
      </c>
      <c r="DL21" s="601">
        <f t="shared" si="42"/>
        <v>1.5</v>
      </c>
      <c r="DM21" s="385">
        <v>20</v>
      </c>
      <c r="DN21" s="1073">
        <f t="shared" si="43"/>
        <v>30</v>
      </c>
      <c r="DO21" s="603" t="s">
        <v>60</v>
      </c>
      <c r="DP21" s="604"/>
      <c r="DQ21" s="642"/>
      <c r="DR21" s="642"/>
      <c r="DS21" s="644"/>
      <c r="DT21" s="642"/>
      <c r="DU21" s="645"/>
      <c r="DV21" s="642"/>
      <c r="DW21" s="642">
        <v>0.4</v>
      </c>
      <c r="DX21" s="642">
        <v>0.6</v>
      </c>
      <c r="DY21" s="644">
        <v>1</v>
      </c>
      <c r="DZ21" s="642">
        <v>1</v>
      </c>
      <c r="EA21" s="645">
        <v>0.8</v>
      </c>
      <c r="EB21" s="642">
        <v>0.2</v>
      </c>
      <c r="EC21" s="642">
        <v>0.6</v>
      </c>
      <c r="ED21" s="642">
        <v>1</v>
      </c>
      <c r="EE21" s="644">
        <v>0.8</v>
      </c>
      <c r="EF21" s="642">
        <v>0.8</v>
      </c>
      <c r="EG21" s="645">
        <v>0.4</v>
      </c>
      <c r="EH21" s="642"/>
      <c r="EI21" s="642"/>
      <c r="EJ21" s="642"/>
      <c r="EK21" s="644"/>
      <c r="EL21" s="642"/>
      <c r="EM21" s="646"/>
      <c r="EN21" s="604">
        <v>0.1</v>
      </c>
      <c r="EO21" s="642">
        <v>0.1</v>
      </c>
      <c r="EP21" s="642">
        <v>0.1</v>
      </c>
      <c r="EQ21" s="644">
        <v>0.1</v>
      </c>
      <c r="ER21" s="642">
        <v>0.1</v>
      </c>
      <c r="ES21" s="645">
        <v>0.1</v>
      </c>
      <c r="ET21" s="642">
        <v>0.1</v>
      </c>
      <c r="EU21" s="642">
        <v>0.4</v>
      </c>
      <c r="EV21" s="642">
        <v>0.6</v>
      </c>
      <c r="EW21" s="644">
        <v>0.8</v>
      </c>
      <c r="EX21" s="642">
        <v>1</v>
      </c>
      <c r="EY21" s="645">
        <v>0.8</v>
      </c>
      <c r="EZ21" s="642">
        <v>0.2</v>
      </c>
      <c r="FA21" s="642">
        <v>0.6</v>
      </c>
      <c r="FB21" s="642">
        <v>1</v>
      </c>
      <c r="FC21" s="644">
        <v>0.8</v>
      </c>
      <c r="FD21" s="642">
        <v>0.8</v>
      </c>
      <c r="FE21" s="645">
        <v>0.4</v>
      </c>
      <c r="FF21" s="642">
        <v>0.1</v>
      </c>
      <c r="FG21" s="642">
        <v>0.1</v>
      </c>
      <c r="FH21" s="642">
        <v>0.1</v>
      </c>
      <c r="FI21" s="644">
        <v>0.1</v>
      </c>
      <c r="FJ21" s="642">
        <v>0.1</v>
      </c>
      <c r="FK21" s="646">
        <v>0.1</v>
      </c>
      <c r="FL21" s="604" t="s">
        <v>128</v>
      </c>
      <c r="FM21" s="604">
        <v>0.8</v>
      </c>
      <c r="FN21" s="642">
        <v>0.6</v>
      </c>
      <c r="FO21" s="642">
        <v>0.9</v>
      </c>
      <c r="FP21" s="644">
        <v>0.6</v>
      </c>
      <c r="FQ21" s="642">
        <v>0.8</v>
      </c>
      <c r="FR21" s="645">
        <v>1</v>
      </c>
      <c r="FS21" s="642">
        <v>0</v>
      </c>
      <c r="FT21" s="642">
        <v>0.6</v>
      </c>
      <c r="FU21" s="642">
        <v>1</v>
      </c>
      <c r="FV21" s="644">
        <v>0.6</v>
      </c>
      <c r="FW21" s="642">
        <v>0.9</v>
      </c>
      <c r="FX21" s="646">
        <v>0.6</v>
      </c>
      <c r="FY21" s="591">
        <v>2</v>
      </c>
      <c r="FZ21" s="640">
        <f t="shared" si="35"/>
        <v>261</v>
      </c>
      <c r="GA21" s="604">
        <f t="shared" si="2"/>
        <v>11</v>
      </c>
      <c r="GB21" s="642">
        <f t="shared" si="3"/>
        <v>7.6</v>
      </c>
      <c r="GC21" s="642">
        <f t="shared" si="4"/>
        <v>7.6</v>
      </c>
      <c r="GD21" s="642">
        <f t="shared" si="5"/>
        <v>0</v>
      </c>
      <c r="GE21" s="648">
        <f t="shared" si="6"/>
        <v>0.69890410958904103</v>
      </c>
      <c r="GF21" s="641">
        <f t="shared" si="31"/>
        <v>2870</v>
      </c>
      <c r="GG21" s="641">
        <f t="shared" si="7"/>
        <v>2870</v>
      </c>
      <c r="GH21" s="592">
        <f t="shared" si="36"/>
        <v>1390</v>
      </c>
      <c r="GI21" s="604">
        <f t="shared" si="8"/>
        <v>24</v>
      </c>
      <c r="GJ21" s="642">
        <f t="shared" si="9"/>
        <v>8.6999999999999975</v>
      </c>
      <c r="GK21" s="642">
        <f t="shared" si="10"/>
        <v>2.4000000000000004</v>
      </c>
      <c r="GL21" s="592">
        <f t="shared" si="37"/>
        <v>1760</v>
      </c>
      <c r="GM21" s="594" t="str">
        <f>Begriffe!F273</f>
        <v>- Im Musikzimmer erhöhter Schallschutz</v>
      </c>
      <c r="GO21" s="379" t="str">
        <f>IF(CH21=0,Begriffe!$F$297,"")</f>
        <v/>
      </c>
      <c r="GP21" s="583" t="str">
        <f>Begriffe!$F$285</f>
        <v>- Der Klimakälteleistungsbedarf und der jährliche Klimakältebedarf gelten für Räume ohne unterstützende Fensterlüftung</v>
      </c>
      <c r="GQ21" s="583"/>
      <c r="GR21" s="583" t="str">
        <f>Begriffe!$F311</f>
        <v>- Wasser- und Warmwasserbedarf pro Person (Schüler), ohne Mensa und Sportanlagen</v>
      </c>
      <c r="HB21" s="379" t="s">
        <v>128</v>
      </c>
      <c r="HC21" s="379">
        <v>0.8</v>
      </c>
      <c r="HD21" s="379">
        <v>0.4</v>
      </c>
      <c r="HE21" s="379">
        <v>1</v>
      </c>
      <c r="HF21" s="379">
        <v>0.8</v>
      </c>
      <c r="HG21" s="379">
        <v>0.4</v>
      </c>
      <c r="HH21" s="379">
        <v>1</v>
      </c>
      <c r="HI21" s="379">
        <v>0</v>
      </c>
      <c r="HJ21" s="379">
        <v>0.6</v>
      </c>
      <c r="HK21" s="379">
        <v>1</v>
      </c>
      <c r="HL21" s="379">
        <v>0.4</v>
      </c>
      <c r="HM21" s="379">
        <v>1</v>
      </c>
      <c r="HN21" s="379">
        <v>0.6</v>
      </c>
      <c r="HO21" s="390">
        <f t="shared" si="11"/>
        <v>0.66666666666666663</v>
      </c>
      <c r="HQ21" s="390">
        <v>2</v>
      </c>
      <c r="HS21" s="541">
        <v>0</v>
      </c>
      <c r="HT21" s="541">
        <v>0</v>
      </c>
      <c r="HU21" s="600">
        <v>1</v>
      </c>
      <c r="HV21" s="600">
        <v>1</v>
      </c>
      <c r="HW21" s="600">
        <v>1</v>
      </c>
      <c r="HX21" s="600">
        <v>1</v>
      </c>
      <c r="HY21" s="600">
        <v>1</v>
      </c>
      <c r="HZ21" s="379">
        <v>16</v>
      </c>
      <c r="IA21" s="379">
        <v>14</v>
      </c>
      <c r="IB21" s="379">
        <v>0.7</v>
      </c>
      <c r="IC21" s="379">
        <v>4</v>
      </c>
      <c r="ID21" s="1439">
        <v>1.2252100840336135</v>
      </c>
      <c r="IE21" s="1440">
        <f t="shared" si="32"/>
        <v>33.152941176470591</v>
      </c>
    </row>
    <row r="22" spans="1:239" s="379" customFormat="1" ht="12" customHeight="1">
      <c r="A22" s="1633">
        <v>5.01</v>
      </c>
      <c r="B22" s="1640" t="s">
        <v>109</v>
      </c>
      <c r="C22" s="463" t="str">
        <f>Begriffe!F147</f>
        <v>Lebensmittelverkauf</v>
      </c>
      <c r="D22" s="620">
        <v>20</v>
      </c>
      <c r="E22" s="618">
        <v>20</v>
      </c>
      <c r="F22" s="618">
        <v>4</v>
      </c>
      <c r="G22" s="205">
        <f t="shared" si="33"/>
        <v>400</v>
      </c>
      <c r="H22" s="205">
        <v>376.47058823529414</v>
      </c>
      <c r="I22" s="390">
        <v>0</v>
      </c>
      <c r="J22" s="1439">
        <v>0.75</v>
      </c>
      <c r="K22" s="628">
        <f t="shared" si="12"/>
        <v>0</v>
      </c>
      <c r="L22" s="630">
        <v>1</v>
      </c>
      <c r="M22" s="595">
        <v>0.8</v>
      </c>
      <c r="N22" s="595">
        <v>1.5</v>
      </c>
      <c r="O22" s="1439">
        <v>0.17</v>
      </c>
      <c r="P22" s="595">
        <v>0.1</v>
      </c>
      <c r="Q22" s="595">
        <v>0.8</v>
      </c>
      <c r="R22" s="1439">
        <v>0.5</v>
      </c>
      <c r="S22" s="1439">
        <v>0.5</v>
      </c>
      <c r="T22" s="1439">
        <v>0.65</v>
      </c>
      <c r="U22" s="1439">
        <v>0.14000000000000001</v>
      </c>
      <c r="V22" s="1439">
        <v>0.1</v>
      </c>
      <c r="W22" s="1439">
        <v>0.2</v>
      </c>
      <c r="X22" s="390">
        <v>0.7</v>
      </c>
      <c r="Y22" s="390">
        <v>0.9</v>
      </c>
      <c r="Z22" s="390">
        <v>90</v>
      </c>
      <c r="AA22" s="598">
        <v>100</v>
      </c>
      <c r="AB22" s="582">
        <v>26</v>
      </c>
      <c r="AC22" s="1440">
        <v>20</v>
      </c>
      <c r="AD22" s="1440">
        <v>25</v>
      </c>
      <c r="AE22" s="1440">
        <v>22</v>
      </c>
      <c r="AF22" s="578" t="s">
        <v>22</v>
      </c>
      <c r="AG22" s="1456" t="s">
        <v>122</v>
      </c>
      <c r="AH22" s="1456">
        <v>60</v>
      </c>
      <c r="AI22" s="1457">
        <v>30</v>
      </c>
      <c r="AJ22" s="1659" t="str">
        <f>Begriffe!F$247</f>
        <v>gering</v>
      </c>
      <c r="AK22" s="1456">
        <v>1</v>
      </c>
      <c r="AL22" s="1456">
        <f t="shared" si="13"/>
        <v>38</v>
      </c>
      <c r="AM22" s="1456">
        <f t="shared" si="14"/>
        <v>43</v>
      </c>
      <c r="AN22" s="1457">
        <f t="shared" si="15"/>
        <v>33</v>
      </c>
      <c r="AO22" s="1458">
        <v>1</v>
      </c>
      <c r="AP22" s="580">
        <v>8</v>
      </c>
      <c r="AQ22" s="595">
        <v>1.2</v>
      </c>
      <c r="AR22" s="595">
        <v>0.5</v>
      </c>
      <c r="AS22" s="595">
        <v>1</v>
      </c>
      <c r="AT22" s="598">
        <f t="shared" si="16"/>
        <v>84</v>
      </c>
      <c r="AU22" s="598">
        <v>100</v>
      </c>
      <c r="AV22" s="598">
        <f t="shared" si="18"/>
        <v>51</v>
      </c>
      <c r="AW22" s="598">
        <f t="shared" si="19"/>
        <v>66</v>
      </c>
      <c r="AX22" s="632">
        <v>0.5</v>
      </c>
      <c r="AY22" s="580">
        <v>2</v>
      </c>
      <c r="AZ22" s="390">
        <v>1</v>
      </c>
      <c r="BA22" s="390">
        <v>3</v>
      </c>
      <c r="BB22" s="390">
        <v>100</v>
      </c>
      <c r="BC22" s="390">
        <v>80</v>
      </c>
      <c r="BD22" s="390">
        <v>120</v>
      </c>
      <c r="BE22" s="390">
        <f t="shared" ref="BE22" si="44">AY22</f>
        <v>2</v>
      </c>
      <c r="BF22" s="390">
        <f t="shared" ref="BF22" si="45">AZ22</f>
        <v>1</v>
      </c>
      <c r="BG22" s="390">
        <f t="shared" ref="BG22" si="46">BA22</f>
        <v>3</v>
      </c>
      <c r="BH22" s="613">
        <v>20</v>
      </c>
      <c r="BI22" s="1460">
        <f t="shared" si="23"/>
        <v>102</v>
      </c>
      <c r="BJ22" s="598">
        <v>300</v>
      </c>
      <c r="BK22" s="595">
        <f t="shared" si="24"/>
        <v>2.9411764705882355</v>
      </c>
      <c r="BL22" s="1460">
        <f t="shared" si="34"/>
        <v>300</v>
      </c>
      <c r="BM22" s="595">
        <v>2.5</v>
      </c>
      <c r="BN22" s="598">
        <v>750</v>
      </c>
      <c r="BO22" s="598" t="str">
        <f>Begriffe!$F$207</f>
        <v>DP</v>
      </c>
      <c r="BP22" s="595">
        <v>1</v>
      </c>
      <c r="BQ22" s="595">
        <v>1</v>
      </c>
      <c r="BR22" s="627">
        <v>0.05</v>
      </c>
      <c r="BS22" s="1120">
        <v>90</v>
      </c>
      <c r="BT22" s="1120">
        <v>130</v>
      </c>
      <c r="BU22" s="598">
        <f t="shared" si="38"/>
        <v>11</v>
      </c>
      <c r="BV22" s="629">
        <f t="shared" si="25"/>
        <v>5</v>
      </c>
      <c r="BW22" s="582" t="s">
        <v>380</v>
      </c>
      <c r="BX22" s="598">
        <f t="shared" si="26"/>
        <v>29</v>
      </c>
      <c r="BY22" s="390"/>
      <c r="BZ22" s="595">
        <f t="shared" si="40"/>
        <v>3.625</v>
      </c>
      <c r="CA22" s="390"/>
      <c r="CB22" s="595">
        <f t="shared" si="1"/>
        <v>3.625</v>
      </c>
      <c r="CC22" s="390">
        <v>0</v>
      </c>
      <c r="CD22" s="1439">
        <v>0.15</v>
      </c>
      <c r="CE22" s="1439">
        <v>0.3</v>
      </c>
      <c r="CF22" s="379" t="str">
        <f t="shared" si="28"/>
        <v>IDA-C4</v>
      </c>
      <c r="CG22" s="379" t="str">
        <f t="shared" si="29"/>
        <v>IDA-C6</v>
      </c>
      <c r="CH22" s="379" t="str">
        <f t="shared" si="41"/>
        <v>IDA-C4</v>
      </c>
      <c r="CI22" s="379" t="str">
        <f>IF(CF22="IDA-C3",Begriffe!$F$248,IF(Eingabedaten!CF22="IDA-C4",Begriffe!$F$249,IF(Eingabedaten!CF22="IDA-C6",Begriffe!$F$250,"")))</f>
        <v>zweistufig</v>
      </c>
      <c r="CJ22" s="379" t="str">
        <f>IF(CG22="IDA-C3",Begriffe!$F$248,IF(Eingabedaten!CG22="IDA-C4",Begriffe!$F$249,IF(Eingabedaten!CG22="IDA-C6",Begriffe!$F$250,"")))</f>
        <v>stufenlos</v>
      </c>
      <c r="CK22" s="379" t="str">
        <f>IF(CH22="IDA-C3",Begriffe!$F$248,IF(Eingabedaten!CH22="IDA-C4",Begriffe!$F$249,IF(Eingabedaten!CH22="IDA-C6",Begriffe!$F$250,"")))</f>
        <v>zweistufig</v>
      </c>
      <c r="CL22" s="1439">
        <v>0.73</v>
      </c>
      <c r="CM22" s="1439">
        <v>0.78</v>
      </c>
      <c r="CN22" s="1439">
        <v>0.5</v>
      </c>
      <c r="CO22" s="1439">
        <v>0.7</v>
      </c>
      <c r="CP22" s="1439">
        <v>0.75</v>
      </c>
      <c r="CQ22" s="1461">
        <v>0.5</v>
      </c>
      <c r="CR22" s="586" t="str">
        <f>Begriffe!$F$252</f>
        <v>Einfache Klimaanlage</v>
      </c>
      <c r="CS22" s="586">
        <v>0.91</v>
      </c>
      <c r="CT22" s="586">
        <v>0.55000000000000004</v>
      </c>
      <c r="CU22" s="586">
        <v>0.34</v>
      </c>
      <c r="CV22" s="1433">
        <v>0.91</v>
      </c>
      <c r="CW22" s="1469" t="str">
        <f>Begriffe!$F$258</f>
        <v>erwünscht</v>
      </c>
      <c r="CX22" s="586" t="str">
        <f>Begriffe!$F$259</f>
        <v>notwendig</v>
      </c>
      <c r="CY22" s="586" t="str">
        <f>Begriffe!$F$259</f>
        <v>notwendig</v>
      </c>
      <c r="CZ22" s="586" t="str">
        <f>Begriffe!$F$257</f>
        <v>nicht notwendig</v>
      </c>
      <c r="DA22" s="586" t="str">
        <f>Begriffe!$F$257</f>
        <v>nicht notwendig</v>
      </c>
      <c r="DB22" s="1433" t="str">
        <f>Begriffe!$F$257</f>
        <v>nicht notwendig</v>
      </c>
      <c r="DC22" s="580">
        <v>1</v>
      </c>
      <c r="DD22" s="390">
        <v>2</v>
      </c>
      <c r="DE22" s="390">
        <v>0</v>
      </c>
      <c r="DF22" s="628">
        <v>0.5</v>
      </c>
      <c r="DG22" s="580">
        <v>0.1</v>
      </c>
      <c r="DH22" s="628">
        <f t="shared" si="30"/>
        <v>0.3</v>
      </c>
      <c r="DI22" s="580" t="str">
        <f>Begriffe!$F$260</f>
        <v>Person</v>
      </c>
      <c r="DJ22" s="390">
        <v>1.5</v>
      </c>
      <c r="DK22" s="390">
        <v>1</v>
      </c>
      <c r="DL22" s="595">
        <f t="shared" si="42"/>
        <v>1.5</v>
      </c>
      <c r="DM22" s="390">
        <v>20</v>
      </c>
      <c r="DN22" s="629">
        <f t="shared" si="43"/>
        <v>30</v>
      </c>
      <c r="DO22" s="593" t="s">
        <v>422</v>
      </c>
      <c r="DP22" s="630"/>
      <c r="DQ22" s="595"/>
      <c r="DR22" s="595"/>
      <c r="DS22" s="1459"/>
      <c r="DT22" s="595"/>
      <c r="DU22" s="1466"/>
      <c r="DV22" s="595">
        <v>0.2</v>
      </c>
      <c r="DW22" s="595">
        <v>0.2</v>
      </c>
      <c r="DX22" s="595">
        <v>0.4</v>
      </c>
      <c r="DY22" s="1459">
        <v>0.4</v>
      </c>
      <c r="DZ22" s="595">
        <v>0.4</v>
      </c>
      <c r="EA22" s="595">
        <v>1</v>
      </c>
      <c r="EB22" s="595">
        <v>1</v>
      </c>
      <c r="EC22" s="595">
        <v>0.6</v>
      </c>
      <c r="ED22" s="595">
        <v>0.4</v>
      </c>
      <c r="EE22" s="1459">
        <v>0.4</v>
      </c>
      <c r="EF22" s="595">
        <v>0.6</v>
      </c>
      <c r="EG22" s="1466">
        <v>1</v>
      </c>
      <c r="EH22" s="595">
        <v>1</v>
      </c>
      <c r="EI22" s="595">
        <v>0.6</v>
      </c>
      <c r="EJ22" s="595">
        <v>0.4</v>
      </c>
      <c r="EK22" s="1459">
        <v>0.2</v>
      </c>
      <c r="EL22" s="595"/>
      <c r="EM22" s="632"/>
      <c r="EN22" s="620">
        <v>0.2</v>
      </c>
      <c r="EO22" s="618">
        <v>0.2</v>
      </c>
      <c r="EP22" s="618">
        <v>0.2</v>
      </c>
      <c r="EQ22" s="618">
        <v>0.2</v>
      </c>
      <c r="ER22" s="618">
        <v>0.2</v>
      </c>
      <c r="ES22" s="618">
        <v>0.2</v>
      </c>
      <c r="ET22" s="618">
        <v>0.2</v>
      </c>
      <c r="EU22" s="595">
        <v>1</v>
      </c>
      <c r="EV22" s="595">
        <v>1</v>
      </c>
      <c r="EW22" s="1459">
        <v>1</v>
      </c>
      <c r="EX22" s="595">
        <v>1</v>
      </c>
      <c r="EY22" s="1466">
        <v>1</v>
      </c>
      <c r="EZ22" s="595">
        <v>1</v>
      </c>
      <c r="FA22" s="595">
        <v>1</v>
      </c>
      <c r="FB22" s="595">
        <v>1</v>
      </c>
      <c r="FC22" s="1459">
        <v>1</v>
      </c>
      <c r="FD22" s="595">
        <v>1</v>
      </c>
      <c r="FE22" s="1466">
        <v>1</v>
      </c>
      <c r="FF22" s="595">
        <v>1</v>
      </c>
      <c r="FG22" s="618">
        <v>1</v>
      </c>
      <c r="FH22" s="618">
        <v>0.2</v>
      </c>
      <c r="FI22" s="618">
        <v>0.2</v>
      </c>
      <c r="FJ22" s="618">
        <v>0.2</v>
      </c>
      <c r="FK22" s="622">
        <v>0.2</v>
      </c>
      <c r="FL22" s="620" t="s">
        <v>575</v>
      </c>
      <c r="FM22" s="620">
        <v>0.8</v>
      </c>
      <c r="FN22" s="618">
        <v>0.8</v>
      </c>
      <c r="FO22" s="618">
        <v>0.8</v>
      </c>
      <c r="FP22" s="621">
        <v>0.8</v>
      </c>
      <c r="FQ22" s="618">
        <v>0.8</v>
      </c>
      <c r="FR22" s="617">
        <v>0.8</v>
      </c>
      <c r="FS22" s="618">
        <v>0.8</v>
      </c>
      <c r="FT22" s="618">
        <v>0.8</v>
      </c>
      <c r="FU22" s="618">
        <v>0.8</v>
      </c>
      <c r="FV22" s="621">
        <v>0.8</v>
      </c>
      <c r="FW22" s="618">
        <v>0.8</v>
      </c>
      <c r="FX22" s="622">
        <v>0.8</v>
      </c>
      <c r="FY22" s="582">
        <v>1</v>
      </c>
      <c r="FZ22" s="623">
        <f>365-(52*FY22)</f>
        <v>313</v>
      </c>
      <c r="GA22" s="624">
        <f t="shared" si="2"/>
        <v>16</v>
      </c>
      <c r="GB22" s="625">
        <f t="shared" si="3"/>
        <v>8.8000000000000007</v>
      </c>
      <c r="GC22" s="625">
        <f t="shared" si="4"/>
        <v>6.4</v>
      </c>
      <c r="GD22" s="625">
        <f t="shared" si="5"/>
        <v>2.4</v>
      </c>
      <c r="GE22" s="626">
        <f>SUMPRODUCT(FM22:FX22,FM$8:FX$8)/365</f>
        <v>0.80000000000000016</v>
      </c>
      <c r="GF22" s="619">
        <f t="shared" si="31"/>
        <v>5010</v>
      </c>
      <c r="GG22" s="619">
        <f t="shared" si="7"/>
        <v>5010</v>
      </c>
      <c r="GH22" s="388">
        <f>ROUND(GB22*FZ22*GE22,-1)</f>
        <v>2200</v>
      </c>
      <c r="GI22" s="624">
        <f t="shared" si="8"/>
        <v>24</v>
      </c>
      <c r="GJ22" s="625">
        <f t="shared" si="9"/>
        <v>15.199999999999998</v>
      </c>
      <c r="GK22" s="625">
        <f t="shared" si="10"/>
        <v>4.8000000000000007</v>
      </c>
      <c r="GL22" s="388">
        <f>ROUND((GJ22*FZ22+GK22*(365-FZ22))*GE22,-1)</f>
        <v>4010</v>
      </c>
      <c r="GM22" s="594" t="str">
        <f>Begriffe!F274</f>
        <v>- Verkaufsflächen mit einem Foodanteil &gt; 80%</v>
      </c>
      <c r="GN22" s="594" t="str">
        <f>Begriffe!$F$278</f>
        <v>- Gewerbliche Kälte ist unter Prozessanlagen verbucht</v>
      </c>
      <c r="GO22" s="379" t="str">
        <f>IF(CH22=0,Begriffe!$F$297,"")</f>
        <v/>
      </c>
      <c r="GP22" s="583" t="str">
        <f>Begriffe!$F$285</f>
        <v>- Der Klimakälteleistungsbedarf und der jährliche Klimakältebedarf gelten für Räume ohne unterstützende Fensterlüftung</v>
      </c>
      <c r="GQ22" s="583" t="str">
        <f>Begriffe!$F$286</f>
        <v>- Die Wärmeeinträge von Prozessanlagen sind beim Klimakälte- und Heizwärmebedarf nicht berücksichtigt</v>
      </c>
      <c r="GR22" s="583" t="str">
        <f>Begriffe!$F312</f>
        <v>- Wasser- und Warmwasserbedarf pro Person (Kunden)</v>
      </c>
      <c r="HB22" s="379" t="s">
        <v>61</v>
      </c>
      <c r="HC22" s="379">
        <v>0.8</v>
      </c>
      <c r="HD22" s="379">
        <v>0.6</v>
      </c>
      <c r="HE22" s="379">
        <v>0.8</v>
      </c>
      <c r="HF22" s="379">
        <v>0.6</v>
      </c>
      <c r="HG22" s="379">
        <v>0.8</v>
      </c>
      <c r="HH22" s="379">
        <v>0.8</v>
      </c>
      <c r="HI22" s="379">
        <v>0.6</v>
      </c>
      <c r="HJ22" s="379">
        <v>0.6</v>
      </c>
      <c r="HK22" s="379">
        <v>0.8</v>
      </c>
      <c r="HL22" s="379">
        <v>0.6</v>
      </c>
      <c r="HM22" s="379">
        <v>0.8</v>
      </c>
      <c r="HN22" s="379">
        <v>1</v>
      </c>
      <c r="HO22" s="390">
        <f>SUM(HC22:HN22)/12</f>
        <v>0.73333333333333328</v>
      </c>
      <c r="HQ22" s="390">
        <v>1</v>
      </c>
      <c r="HS22" s="541">
        <v>1</v>
      </c>
      <c r="HT22" s="541">
        <v>0</v>
      </c>
      <c r="HU22" s="600">
        <v>1</v>
      </c>
      <c r="HV22" s="600">
        <v>1</v>
      </c>
      <c r="HW22" s="600">
        <v>1</v>
      </c>
      <c r="HX22" s="600">
        <v>1</v>
      </c>
      <c r="HY22" s="600">
        <v>1</v>
      </c>
      <c r="HZ22" s="379">
        <v>8</v>
      </c>
      <c r="IA22" s="379">
        <v>13</v>
      </c>
      <c r="IB22" s="379">
        <v>0.7</v>
      </c>
      <c r="IC22" s="379">
        <v>5</v>
      </c>
      <c r="ID22" s="1439">
        <v>0.84705882352941175</v>
      </c>
      <c r="IE22" s="1440">
        <f t="shared" si="32"/>
        <v>19.011764705882353</v>
      </c>
    </row>
    <row r="23" spans="1:239" s="379" customFormat="1" ht="12" customHeight="1">
      <c r="A23" s="1641">
        <v>5.0199999999999996</v>
      </c>
      <c r="B23" s="539" t="s">
        <v>110</v>
      </c>
      <c r="C23" s="463" t="str">
        <f>Begriffe!F148</f>
        <v>Fachgeschäft</v>
      </c>
      <c r="D23" s="620">
        <v>20</v>
      </c>
      <c r="E23" s="618">
        <v>20</v>
      </c>
      <c r="F23" s="618">
        <v>4</v>
      </c>
      <c r="G23" s="205">
        <f t="shared" si="33"/>
        <v>400</v>
      </c>
      <c r="H23" s="205">
        <v>376.47058823529414</v>
      </c>
      <c r="I23" s="390">
        <v>0</v>
      </c>
      <c r="J23" s="1439">
        <v>0.75</v>
      </c>
      <c r="K23" s="628">
        <f t="shared" si="12"/>
        <v>0</v>
      </c>
      <c r="L23" s="630">
        <v>1</v>
      </c>
      <c r="M23" s="595">
        <v>0.8</v>
      </c>
      <c r="N23" s="595">
        <v>1.5</v>
      </c>
      <c r="O23" s="1439">
        <v>0.17</v>
      </c>
      <c r="P23" s="595">
        <v>0.1</v>
      </c>
      <c r="Q23" s="595">
        <v>0.8</v>
      </c>
      <c r="R23" s="1439">
        <v>0.5</v>
      </c>
      <c r="S23" s="1439">
        <v>0.5</v>
      </c>
      <c r="T23" s="1439">
        <v>0.65</v>
      </c>
      <c r="U23" s="1439">
        <v>0.14000000000000001</v>
      </c>
      <c r="V23" s="1439">
        <v>0.1</v>
      </c>
      <c r="W23" s="1439">
        <v>0.2</v>
      </c>
      <c r="X23" s="390">
        <v>0.7</v>
      </c>
      <c r="Y23" s="390">
        <v>0.9</v>
      </c>
      <c r="Z23" s="390">
        <v>90</v>
      </c>
      <c r="AA23" s="598">
        <v>100</v>
      </c>
      <c r="AB23" s="582">
        <v>26</v>
      </c>
      <c r="AC23" s="1440">
        <v>20</v>
      </c>
      <c r="AD23" s="1440">
        <v>25</v>
      </c>
      <c r="AE23" s="1440">
        <v>22</v>
      </c>
      <c r="AF23" s="578" t="s">
        <v>22</v>
      </c>
      <c r="AG23" s="1456" t="s">
        <v>122</v>
      </c>
      <c r="AH23" s="1456">
        <v>60</v>
      </c>
      <c r="AI23" s="1457">
        <v>30</v>
      </c>
      <c r="AJ23" s="1659" t="str">
        <f>Begriffe!F$247</f>
        <v>gering</v>
      </c>
      <c r="AK23" s="1456">
        <v>1</v>
      </c>
      <c r="AL23" s="1456">
        <f t="shared" si="13"/>
        <v>38</v>
      </c>
      <c r="AM23" s="1456">
        <f t="shared" si="14"/>
        <v>43</v>
      </c>
      <c r="AN23" s="1457">
        <f t="shared" si="15"/>
        <v>33</v>
      </c>
      <c r="AO23" s="1458">
        <v>1</v>
      </c>
      <c r="AP23" s="580">
        <v>8</v>
      </c>
      <c r="AQ23" s="595">
        <v>1.2</v>
      </c>
      <c r="AR23" s="595">
        <v>0.5</v>
      </c>
      <c r="AS23" s="595">
        <v>1</v>
      </c>
      <c r="AT23" s="598">
        <f t="shared" si="16"/>
        <v>84</v>
      </c>
      <c r="AU23" s="598">
        <v>100</v>
      </c>
      <c r="AV23" s="598">
        <f t="shared" si="18"/>
        <v>51</v>
      </c>
      <c r="AW23" s="598">
        <f t="shared" si="19"/>
        <v>66</v>
      </c>
      <c r="AX23" s="632">
        <v>0.5</v>
      </c>
      <c r="AY23" s="580">
        <v>2</v>
      </c>
      <c r="AZ23" s="390">
        <v>1</v>
      </c>
      <c r="BA23" s="390">
        <v>3</v>
      </c>
      <c r="BB23" s="390"/>
      <c r="BC23" s="390"/>
      <c r="BD23" s="390"/>
      <c r="BE23" s="390">
        <f t="shared" ref="BE23:BE26" si="47">AY23</f>
        <v>2</v>
      </c>
      <c r="BF23" s="390">
        <f t="shared" ref="BF23:BF26" si="48">AZ23</f>
        <v>1</v>
      </c>
      <c r="BG23" s="390">
        <f t="shared" ref="BG23:BG26" si="49">BA23</f>
        <v>3</v>
      </c>
      <c r="BH23" s="613">
        <v>10</v>
      </c>
      <c r="BI23" s="1460">
        <f t="shared" si="23"/>
        <v>2</v>
      </c>
      <c r="BJ23" s="598">
        <v>60</v>
      </c>
      <c r="BK23" s="595">
        <f t="shared" si="24"/>
        <v>30</v>
      </c>
      <c r="BL23" s="1460">
        <f t="shared" si="34"/>
        <v>300</v>
      </c>
      <c r="BM23" s="595">
        <v>2.5</v>
      </c>
      <c r="BN23" s="598">
        <v>750</v>
      </c>
      <c r="BO23" s="598" t="str">
        <f>Begriffe!$F$207</f>
        <v>DP</v>
      </c>
      <c r="BP23" s="595">
        <v>1</v>
      </c>
      <c r="BQ23" s="595">
        <v>1</v>
      </c>
      <c r="BR23" s="627">
        <v>0.05</v>
      </c>
      <c r="BS23" s="1120">
        <v>90</v>
      </c>
      <c r="BT23" s="1120">
        <v>130</v>
      </c>
      <c r="BU23" s="598">
        <f t="shared" si="38"/>
        <v>11</v>
      </c>
      <c r="BV23" s="629">
        <f t="shared" si="25"/>
        <v>5</v>
      </c>
      <c r="BW23" s="582" t="s">
        <v>380</v>
      </c>
      <c r="BX23" s="598">
        <f t="shared" si="26"/>
        <v>29</v>
      </c>
      <c r="BY23" s="390"/>
      <c r="BZ23" s="595">
        <f t="shared" si="40"/>
        <v>3.625</v>
      </c>
      <c r="CA23" s="390"/>
      <c r="CB23" s="595">
        <f t="shared" si="1"/>
        <v>3.625</v>
      </c>
      <c r="CC23" s="390">
        <v>0</v>
      </c>
      <c r="CD23" s="1439">
        <v>0.15</v>
      </c>
      <c r="CE23" s="1439">
        <v>0.3</v>
      </c>
      <c r="CF23" s="379" t="str">
        <f t="shared" si="28"/>
        <v>IDA-C4</v>
      </c>
      <c r="CG23" s="379" t="str">
        <f t="shared" si="29"/>
        <v>IDA-C6</v>
      </c>
      <c r="CH23" s="379" t="str">
        <f t="shared" si="41"/>
        <v>IDA-C4</v>
      </c>
      <c r="CI23" s="379" t="str">
        <f>IF(CF23="IDA-C3",Begriffe!$F$248,IF(Eingabedaten!CF23="IDA-C4",Begriffe!$F$249,IF(Eingabedaten!CF23="IDA-C6",Begriffe!$F$250,"")))</f>
        <v>zweistufig</v>
      </c>
      <c r="CJ23" s="379" t="str">
        <f>IF(CG23="IDA-C3",Begriffe!$F$248,IF(Eingabedaten!CG23="IDA-C4",Begriffe!$F$249,IF(Eingabedaten!CG23="IDA-C6",Begriffe!$F$250,"")))</f>
        <v>stufenlos</v>
      </c>
      <c r="CK23" s="379" t="str">
        <f>IF(CH23="IDA-C3",Begriffe!$F$248,IF(Eingabedaten!CH23="IDA-C4",Begriffe!$F$249,IF(Eingabedaten!CH23="IDA-C6",Begriffe!$F$250,"")))</f>
        <v>zweistufig</v>
      </c>
      <c r="CL23" s="1439">
        <v>0.73</v>
      </c>
      <c r="CM23" s="1439">
        <v>0.78</v>
      </c>
      <c r="CN23" s="1439">
        <v>0.5</v>
      </c>
      <c r="CO23" s="1439">
        <v>0.7</v>
      </c>
      <c r="CP23" s="1439">
        <v>0.75</v>
      </c>
      <c r="CQ23" s="1461">
        <v>0.5</v>
      </c>
      <c r="CR23" s="586" t="str">
        <f>Begriffe!$F$252</f>
        <v>Einfache Klimaanlage</v>
      </c>
      <c r="CS23" s="586">
        <v>0.91</v>
      </c>
      <c r="CT23" s="586">
        <v>0.55000000000000004</v>
      </c>
      <c r="CU23" s="586">
        <v>0.34</v>
      </c>
      <c r="CV23" s="1433">
        <v>0.91</v>
      </c>
      <c r="CW23" s="1469" t="str">
        <f>Begriffe!$F$259</f>
        <v>notwendig</v>
      </c>
      <c r="CX23" s="586" t="str">
        <f>Begriffe!$F$259</f>
        <v>notwendig</v>
      </c>
      <c r="CY23" s="586" t="str">
        <f>Begriffe!$F$259</f>
        <v>notwendig</v>
      </c>
      <c r="CZ23" s="586" t="str">
        <f>Begriffe!$F$259</f>
        <v>notwendig</v>
      </c>
      <c r="DA23" s="586" t="str">
        <f>Begriffe!$F$259</f>
        <v>notwendig</v>
      </c>
      <c r="DB23" s="1433" t="str">
        <f>Begriffe!$F$259</f>
        <v>notwendig</v>
      </c>
      <c r="DC23" s="580">
        <v>1</v>
      </c>
      <c r="DD23" s="390">
        <v>2</v>
      </c>
      <c r="DE23" s="390">
        <v>0</v>
      </c>
      <c r="DF23" s="628">
        <v>0.5</v>
      </c>
      <c r="DG23" s="580">
        <v>0.1</v>
      </c>
      <c r="DH23" s="628">
        <f t="shared" si="30"/>
        <v>0.3</v>
      </c>
      <c r="DI23" s="580" t="str">
        <f>Begriffe!$F$260</f>
        <v>Person</v>
      </c>
      <c r="DJ23" s="390">
        <v>1.5</v>
      </c>
      <c r="DK23" s="390">
        <v>1</v>
      </c>
      <c r="DL23" s="595">
        <f t="shared" si="42"/>
        <v>1.5</v>
      </c>
      <c r="DM23" s="390">
        <v>20</v>
      </c>
      <c r="DN23" s="629">
        <f t="shared" si="43"/>
        <v>30</v>
      </c>
      <c r="DO23" s="593" t="s">
        <v>422</v>
      </c>
      <c r="DP23" s="630"/>
      <c r="DQ23" s="595"/>
      <c r="DR23" s="595"/>
      <c r="DS23" s="1459"/>
      <c r="DT23" s="595"/>
      <c r="DU23" s="1466"/>
      <c r="DV23" s="595">
        <v>0.2</v>
      </c>
      <c r="DW23" s="595">
        <v>0.2</v>
      </c>
      <c r="DX23" s="595">
        <v>0.4</v>
      </c>
      <c r="DY23" s="1459">
        <v>0.4</v>
      </c>
      <c r="DZ23" s="595">
        <v>0.4</v>
      </c>
      <c r="EA23" s="595">
        <v>1</v>
      </c>
      <c r="EB23" s="595">
        <v>1</v>
      </c>
      <c r="EC23" s="595">
        <v>0.6</v>
      </c>
      <c r="ED23" s="595">
        <v>0.4</v>
      </c>
      <c r="EE23" s="1459">
        <v>0.4</v>
      </c>
      <c r="EF23" s="595">
        <v>0.6</v>
      </c>
      <c r="EG23" s="1466">
        <v>1</v>
      </c>
      <c r="EH23" s="618">
        <v>1</v>
      </c>
      <c r="EI23" s="618">
        <v>0.6</v>
      </c>
      <c r="EJ23" s="595">
        <v>0.4</v>
      </c>
      <c r="EK23" s="1459">
        <v>0.2</v>
      </c>
      <c r="EL23" s="595"/>
      <c r="EM23" s="632"/>
      <c r="EN23" s="620">
        <v>0.1</v>
      </c>
      <c r="EO23" s="618">
        <v>0.1</v>
      </c>
      <c r="EP23" s="618">
        <v>0.1</v>
      </c>
      <c r="EQ23" s="621">
        <v>0.1</v>
      </c>
      <c r="ER23" s="618">
        <v>0.1</v>
      </c>
      <c r="ES23" s="617">
        <v>0.1</v>
      </c>
      <c r="ET23" s="617">
        <v>0.1</v>
      </c>
      <c r="EU23" s="595">
        <v>1</v>
      </c>
      <c r="EV23" s="595">
        <v>1</v>
      </c>
      <c r="EW23" s="1459">
        <v>1</v>
      </c>
      <c r="EX23" s="595">
        <v>1</v>
      </c>
      <c r="EY23" s="1466">
        <v>1</v>
      </c>
      <c r="EZ23" s="595">
        <v>1</v>
      </c>
      <c r="FA23" s="595">
        <v>1</v>
      </c>
      <c r="FB23" s="595">
        <v>1</v>
      </c>
      <c r="FC23" s="1459">
        <v>1</v>
      </c>
      <c r="FD23" s="595">
        <v>1</v>
      </c>
      <c r="FE23" s="1466">
        <v>1</v>
      </c>
      <c r="FF23" s="595">
        <v>1</v>
      </c>
      <c r="FG23" s="618">
        <v>1</v>
      </c>
      <c r="FH23" s="618">
        <v>0.1</v>
      </c>
      <c r="FI23" s="618">
        <v>0.1</v>
      </c>
      <c r="FJ23" s="618">
        <v>0.1</v>
      </c>
      <c r="FK23" s="622">
        <v>0.1</v>
      </c>
      <c r="FL23" s="620" t="s">
        <v>575</v>
      </c>
      <c r="FM23" s="620">
        <v>0.8</v>
      </c>
      <c r="FN23" s="618">
        <v>0.8</v>
      </c>
      <c r="FO23" s="618">
        <v>0.8</v>
      </c>
      <c r="FP23" s="621">
        <v>0.8</v>
      </c>
      <c r="FQ23" s="618">
        <v>0.8</v>
      </c>
      <c r="FR23" s="617">
        <v>0.8</v>
      </c>
      <c r="FS23" s="618">
        <v>0.8</v>
      </c>
      <c r="FT23" s="618">
        <v>0.8</v>
      </c>
      <c r="FU23" s="618">
        <v>0.8</v>
      </c>
      <c r="FV23" s="621">
        <v>0.8</v>
      </c>
      <c r="FW23" s="618">
        <v>0.8</v>
      </c>
      <c r="FX23" s="622">
        <v>0.8</v>
      </c>
      <c r="FY23" s="582">
        <v>1</v>
      </c>
      <c r="FZ23" s="613">
        <f>365-(52*FY23)</f>
        <v>313</v>
      </c>
      <c r="GA23" s="620">
        <f t="shared" si="2"/>
        <v>16</v>
      </c>
      <c r="GB23" s="618">
        <f t="shared" si="3"/>
        <v>8.8000000000000007</v>
      </c>
      <c r="GC23" s="618">
        <f t="shared" si="4"/>
        <v>6.4</v>
      </c>
      <c r="GD23" s="618">
        <f t="shared" si="5"/>
        <v>2.4</v>
      </c>
      <c r="GE23" s="627">
        <f>SUMPRODUCT(FM23:FX23,FM$8:FX$8)/365</f>
        <v>0.80000000000000016</v>
      </c>
      <c r="GF23" s="205">
        <f t="shared" si="31"/>
        <v>5010</v>
      </c>
      <c r="GG23" s="205">
        <f t="shared" si="7"/>
        <v>5010</v>
      </c>
      <c r="GH23" s="463">
        <f>ROUND(GB23*FZ23*GE23,-1)</f>
        <v>2200</v>
      </c>
      <c r="GI23" s="620">
        <f t="shared" si="8"/>
        <v>24</v>
      </c>
      <c r="GJ23" s="618">
        <f t="shared" si="9"/>
        <v>14.099999999999998</v>
      </c>
      <c r="GK23" s="618">
        <f t="shared" si="10"/>
        <v>2.4000000000000004</v>
      </c>
      <c r="GL23" s="463">
        <f>ROUND((GJ23*FZ23+GK23*(365-FZ23))*GE23,-1)</f>
        <v>3630</v>
      </c>
      <c r="GM23" s="594" t="str">
        <f>Begriffe!F275</f>
        <v>- Verkaufsflächen mit einem Foodanteil &lt; 20%</v>
      </c>
      <c r="GO23" s="379" t="str">
        <f>IF(CH23=0,Begriffe!$F$297,"")</f>
        <v/>
      </c>
      <c r="GP23" s="583" t="str">
        <f>Begriffe!$F$285</f>
        <v>- Der Klimakälteleistungsbedarf und der jährliche Klimakältebedarf gelten für Räume ohne unterstützende Fensterlüftung</v>
      </c>
      <c r="GQ23" s="583"/>
      <c r="GR23" s="583" t="str">
        <f>Begriffe!$F313</f>
        <v>- Wasser- und Warmwasserbedarf pro Person (Kunden)</v>
      </c>
      <c r="HB23" s="379" t="s">
        <v>61</v>
      </c>
      <c r="HC23" s="379">
        <v>0.8</v>
      </c>
      <c r="HD23" s="379">
        <v>0.6</v>
      </c>
      <c r="HE23" s="379">
        <v>0.8</v>
      </c>
      <c r="HF23" s="379">
        <v>0.6</v>
      </c>
      <c r="HG23" s="379">
        <v>0.8</v>
      </c>
      <c r="HH23" s="379">
        <v>0.8</v>
      </c>
      <c r="HI23" s="379">
        <v>0.6</v>
      </c>
      <c r="HJ23" s="379">
        <v>0.6</v>
      </c>
      <c r="HK23" s="379">
        <v>0.8</v>
      </c>
      <c r="HL23" s="379">
        <v>0.6</v>
      </c>
      <c r="HM23" s="379">
        <v>0.8</v>
      </c>
      <c r="HN23" s="379">
        <v>1</v>
      </c>
      <c r="HO23" s="390">
        <f>SUM(HC23:HN23)/12</f>
        <v>0.73333333333333328</v>
      </c>
      <c r="HQ23" s="390">
        <v>1</v>
      </c>
      <c r="HS23" s="541">
        <v>1</v>
      </c>
      <c r="HT23" s="541">
        <v>0</v>
      </c>
      <c r="HU23" s="600">
        <v>1</v>
      </c>
      <c r="HV23" s="600">
        <v>1</v>
      </c>
      <c r="HW23" s="600">
        <v>1</v>
      </c>
      <c r="HX23" s="600">
        <v>1</v>
      </c>
      <c r="HY23" s="600">
        <v>1</v>
      </c>
      <c r="HZ23" s="379">
        <v>8</v>
      </c>
      <c r="IA23" s="379">
        <v>13</v>
      </c>
      <c r="IB23" s="379">
        <v>0.7</v>
      </c>
      <c r="IC23" s="379">
        <v>5</v>
      </c>
      <c r="ID23" s="1439">
        <v>0.84705882352941175</v>
      </c>
      <c r="IE23" s="1440">
        <f t="shared" si="32"/>
        <v>19.011764705882353</v>
      </c>
    </row>
    <row r="24" spans="1:239" s="379" customFormat="1" ht="12" customHeight="1">
      <c r="A24" s="1641">
        <v>5.03</v>
      </c>
      <c r="B24" s="539" t="s">
        <v>111</v>
      </c>
      <c r="C24" s="463" t="str">
        <f>Begriffe!F149</f>
        <v>Verkauf Möbel, Bau, Garten</v>
      </c>
      <c r="D24" s="620">
        <v>20</v>
      </c>
      <c r="E24" s="618">
        <v>20</v>
      </c>
      <c r="F24" s="618">
        <v>4</v>
      </c>
      <c r="G24" s="205">
        <f t="shared" si="33"/>
        <v>400</v>
      </c>
      <c r="H24" s="205">
        <v>376.47058823529414</v>
      </c>
      <c r="I24" s="390">
        <v>0</v>
      </c>
      <c r="J24" s="1439">
        <v>0.75</v>
      </c>
      <c r="K24" s="628">
        <f t="shared" si="12"/>
        <v>0</v>
      </c>
      <c r="L24" s="630">
        <v>1</v>
      </c>
      <c r="M24" s="595">
        <v>0.8</v>
      </c>
      <c r="N24" s="595">
        <v>1.5</v>
      </c>
      <c r="O24" s="1439">
        <v>0.17</v>
      </c>
      <c r="P24" s="595">
        <v>0.1</v>
      </c>
      <c r="Q24" s="595">
        <v>0.8</v>
      </c>
      <c r="R24" s="1439">
        <v>0.5</v>
      </c>
      <c r="S24" s="1439">
        <v>0.5</v>
      </c>
      <c r="T24" s="1439">
        <v>0.65</v>
      </c>
      <c r="U24" s="1439">
        <v>0.14000000000000001</v>
      </c>
      <c r="V24" s="1439">
        <v>0.1</v>
      </c>
      <c r="W24" s="1439">
        <v>0.2</v>
      </c>
      <c r="X24" s="390">
        <v>0.7</v>
      </c>
      <c r="Y24" s="390">
        <v>0.9</v>
      </c>
      <c r="Z24" s="390">
        <v>90</v>
      </c>
      <c r="AA24" s="598">
        <v>100</v>
      </c>
      <c r="AB24" s="582">
        <v>26</v>
      </c>
      <c r="AC24" s="1440">
        <v>20</v>
      </c>
      <c r="AD24" s="1440">
        <v>25</v>
      </c>
      <c r="AE24" s="1440">
        <v>22</v>
      </c>
      <c r="AF24" s="578" t="s">
        <v>22</v>
      </c>
      <c r="AG24" s="1456" t="s">
        <v>122</v>
      </c>
      <c r="AH24" s="1456">
        <v>60</v>
      </c>
      <c r="AI24" s="1457">
        <v>30</v>
      </c>
      <c r="AJ24" s="1659" t="str">
        <f>Begriffe!F$247</f>
        <v>gering</v>
      </c>
      <c r="AK24" s="1456">
        <v>1</v>
      </c>
      <c r="AL24" s="1456">
        <f t="shared" si="13"/>
        <v>38</v>
      </c>
      <c r="AM24" s="1456">
        <f t="shared" si="14"/>
        <v>43</v>
      </c>
      <c r="AN24" s="1457">
        <f t="shared" si="15"/>
        <v>33</v>
      </c>
      <c r="AO24" s="1458">
        <v>1</v>
      </c>
      <c r="AP24" s="637">
        <v>15</v>
      </c>
      <c r="AQ24" s="595">
        <v>1.2</v>
      </c>
      <c r="AR24" s="595">
        <v>0.5</v>
      </c>
      <c r="AS24" s="595">
        <v>1</v>
      </c>
      <c r="AT24" s="598">
        <f t="shared" si="16"/>
        <v>84</v>
      </c>
      <c r="AU24" s="598">
        <v>100</v>
      </c>
      <c r="AV24" s="598">
        <f t="shared" si="18"/>
        <v>51</v>
      </c>
      <c r="AW24" s="598">
        <f t="shared" si="19"/>
        <v>66</v>
      </c>
      <c r="AX24" s="632">
        <v>0.5</v>
      </c>
      <c r="AY24" s="637">
        <v>2</v>
      </c>
      <c r="AZ24" s="379">
        <v>1</v>
      </c>
      <c r="BA24" s="379">
        <v>3</v>
      </c>
      <c r="BE24" s="379">
        <f t="shared" si="47"/>
        <v>2</v>
      </c>
      <c r="BF24" s="379">
        <f t="shared" si="48"/>
        <v>1</v>
      </c>
      <c r="BG24" s="379">
        <f t="shared" si="49"/>
        <v>3</v>
      </c>
      <c r="BH24" s="613">
        <v>10</v>
      </c>
      <c r="BI24" s="614">
        <f t="shared" si="23"/>
        <v>2</v>
      </c>
      <c r="BJ24" s="205">
        <v>60</v>
      </c>
      <c r="BK24" s="618">
        <f t="shared" si="24"/>
        <v>30</v>
      </c>
      <c r="BL24" s="614">
        <f t="shared" si="34"/>
        <v>300</v>
      </c>
      <c r="BM24" s="618">
        <v>2</v>
      </c>
      <c r="BN24" s="205">
        <v>600</v>
      </c>
      <c r="BO24" s="205" t="str">
        <f>Begriffe!$F$207</f>
        <v>DP</v>
      </c>
      <c r="BP24" s="618">
        <v>1</v>
      </c>
      <c r="BQ24" s="618">
        <v>1</v>
      </c>
      <c r="BR24" s="627">
        <v>0.05</v>
      </c>
      <c r="BS24" s="1120">
        <v>90</v>
      </c>
      <c r="BT24" s="1120">
        <v>130</v>
      </c>
      <c r="BU24" s="598">
        <f t="shared" si="38"/>
        <v>11</v>
      </c>
      <c r="BV24" s="629">
        <f t="shared" si="25"/>
        <v>5</v>
      </c>
      <c r="BW24" s="582" t="s">
        <v>380</v>
      </c>
      <c r="BX24" s="598">
        <f t="shared" si="26"/>
        <v>29</v>
      </c>
      <c r="BY24" s="390"/>
      <c r="BZ24" s="595">
        <f t="shared" si="40"/>
        <v>1.9333333333333333</v>
      </c>
      <c r="CA24" s="595"/>
      <c r="CB24" s="595">
        <f t="shared" si="1"/>
        <v>1.9333333333333333</v>
      </c>
      <c r="CC24" s="390">
        <v>0</v>
      </c>
      <c r="CD24" s="1439">
        <v>0.15</v>
      </c>
      <c r="CE24" s="1439">
        <v>0.3</v>
      </c>
      <c r="CF24" s="379" t="str">
        <f t="shared" si="28"/>
        <v>IDA-C3</v>
      </c>
      <c r="CG24" s="379" t="str">
        <f t="shared" si="29"/>
        <v>IDA-C4</v>
      </c>
      <c r="CH24" s="379" t="str">
        <f t="shared" si="41"/>
        <v>IDA-C3</v>
      </c>
      <c r="CI24" s="379" t="str">
        <f>IF(CF24="IDA-C3",Begriffe!$F$248,IF(Eingabedaten!CF24="IDA-C4",Begriffe!$F$249,IF(Eingabedaten!CF24="IDA-C6",Begriffe!$F$250,"")))</f>
        <v>einstufig</v>
      </c>
      <c r="CJ24" s="379" t="str">
        <f>IF(CG24="IDA-C3",Begriffe!$F$248,IF(Eingabedaten!CG24="IDA-C4",Begriffe!$F$249,IF(Eingabedaten!CG24="IDA-C6",Begriffe!$F$250,"")))</f>
        <v>zweistufig</v>
      </c>
      <c r="CK24" s="379" t="str">
        <f>IF(CH24="IDA-C3",Begriffe!$F$248,IF(Eingabedaten!CH24="IDA-C4",Begriffe!$F$249,IF(Eingabedaten!CH24="IDA-C6",Begriffe!$F$250,"")))</f>
        <v>einstufig</v>
      </c>
      <c r="CL24" s="1439">
        <v>0.73</v>
      </c>
      <c r="CM24" s="1439">
        <v>0.78</v>
      </c>
      <c r="CN24" s="1439">
        <v>0.5</v>
      </c>
      <c r="CO24" s="1439">
        <v>0.7</v>
      </c>
      <c r="CP24" s="1439">
        <v>0.75</v>
      </c>
      <c r="CQ24" s="1461">
        <v>0.5</v>
      </c>
      <c r="CR24" s="586" t="str">
        <f>Begriffe!$F$252</f>
        <v>Einfache Klimaanlage</v>
      </c>
      <c r="CS24" s="586">
        <v>0.91</v>
      </c>
      <c r="CT24" s="586">
        <v>0.55000000000000004</v>
      </c>
      <c r="CU24" s="586">
        <v>0.34</v>
      </c>
      <c r="CV24" s="1433">
        <v>0.91</v>
      </c>
      <c r="CW24" s="1469" t="str">
        <f>Begriffe!$F$259</f>
        <v>notwendig</v>
      </c>
      <c r="CX24" s="586" t="str">
        <f>Begriffe!$F$259</f>
        <v>notwendig</v>
      </c>
      <c r="CY24" s="586" t="str">
        <f>Begriffe!$F$259</f>
        <v>notwendig</v>
      </c>
      <c r="CZ24" s="586" t="str">
        <f>Begriffe!$F$258</f>
        <v>erwünscht</v>
      </c>
      <c r="DA24" s="586" t="str">
        <f>Begriffe!$F$259</f>
        <v>notwendig</v>
      </c>
      <c r="DB24" s="1433" t="str">
        <f>Begriffe!$F$259</f>
        <v>notwendig</v>
      </c>
      <c r="DC24" s="580">
        <v>1</v>
      </c>
      <c r="DD24" s="390">
        <v>2</v>
      </c>
      <c r="DE24" s="390">
        <v>0</v>
      </c>
      <c r="DF24" s="628">
        <v>0.5</v>
      </c>
      <c r="DG24" s="580">
        <v>0.1</v>
      </c>
      <c r="DH24" s="628">
        <f t="shared" si="30"/>
        <v>0.3</v>
      </c>
      <c r="DI24" s="580" t="str">
        <f>Begriffe!$F$260</f>
        <v>Person</v>
      </c>
      <c r="DJ24" s="390">
        <v>1.5</v>
      </c>
      <c r="DK24" s="390">
        <v>1</v>
      </c>
      <c r="DL24" s="595">
        <f t="shared" si="42"/>
        <v>1.5</v>
      </c>
      <c r="DM24" s="390">
        <v>20</v>
      </c>
      <c r="DN24" s="629">
        <f t="shared" si="43"/>
        <v>30</v>
      </c>
      <c r="DO24" s="593" t="s">
        <v>61</v>
      </c>
      <c r="DP24" s="620"/>
      <c r="DQ24" s="618"/>
      <c r="DR24" s="618"/>
      <c r="DS24" s="621"/>
      <c r="DT24" s="618"/>
      <c r="DU24" s="617"/>
      <c r="DV24" s="618">
        <v>0.2</v>
      </c>
      <c r="DW24" s="595">
        <v>0.2</v>
      </c>
      <c r="DX24" s="595">
        <v>0.4</v>
      </c>
      <c r="DY24" s="1459">
        <v>0.4</v>
      </c>
      <c r="DZ24" s="595">
        <v>0.4</v>
      </c>
      <c r="EA24" s="595">
        <v>1</v>
      </c>
      <c r="EB24" s="595">
        <v>1</v>
      </c>
      <c r="EC24" s="595">
        <v>0.6</v>
      </c>
      <c r="ED24" s="595">
        <v>0.4</v>
      </c>
      <c r="EE24" s="1459">
        <v>0.4</v>
      </c>
      <c r="EF24" s="595">
        <v>0.6</v>
      </c>
      <c r="EG24" s="1466">
        <v>1</v>
      </c>
      <c r="EH24" s="618">
        <v>1</v>
      </c>
      <c r="EI24" s="618">
        <v>0.6</v>
      </c>
      <c r="EJ24" s="618">
        <v>0.4</v>
      </c>
      <c r="EK24" s="621">
        <v>0.2</v>
      </c>
      <c r="EL24" s="618"/>
      <c r="EM24" s="622"/>
      <c r="EN24" s="620">
        <v>0.1</v>
      </c>
      <c r="EO24" s="618">
        <v>0.1</v>
      </c>
      <c r="EP24" s="618">
        <v>0.1</v>
      </c>
      <c r="EQ24" s="621">
        <v>0.1</v>
      </c>
      <c r="ER24" s="618">
        <v>0.1</v>
      </c>
      <c r="ES24" s="617">
        <v>0.1</v>
      </c>
      <c r="ET24" s="617">
        <v>0.1</v>
      </c>
      <c r="EU24" s="595">
        <v>1</v>
      </c>
      <c r="EV24" s="595">
        <v>1</v>
      </c>
      <c r="EW24" s="1459">
        <v>1</v>
      </c>
      <c r="EX24" s="595">
        <v>1</v>
      </c>
      <c r="EY24" s="1466">
        <v>1</v>
      </c>
      <c r="EZ24" s="595">
        <v>1</v>
      </c>
      <c r="FA24" s="595">
        <v>1</v>
      </c>
      <c r="FB24" s="595">
        <v>1</v>
      </c>
      <c r="FC24" s="1459">
        <v>1</v>
      </c>
      <c r="FD24" s="595">
        <v>1</v>
      </c>
      <c r="FE24" s="1466">
        <v>1</v>
      </c>
      <c r="FF24" s="595">
        <v>1</v>
      </c>
      <c r="FG24" s="618">
        <v>0.1</v>
      </c>
      <c r="FH24" s="618">
        <v>0.1</v>
      </c>
      <c r="FI24" s="618">
        <v>0.1</v>
      </c>
      <c r="FJ24" s="618">
        <v>0.1</v>
      </c>
      <c r="FK24" s="622">
        <v>0.1</v>
      </c>
      <c r="FL24" s="620" t="s">
        <v>575</v>
      </c>
      <c r="FM24" s="620">
        <v>0.8</v>
      </c>
      <c r="FN24" s="618">
        <v>0.8</v>
      </c>
      <c r="FO24" s="618">
        <v>0.8</v>
      </c>
      <c r="FP24" s="621">
        <v>0.8</v>
      </c>
      <c r="FQ24" s="618">
        <v>0.8</v>
      </c>
      <c r="FR24" s="617">
        <v>0.8</v>
      </c>
      <c r="FS24" s="618">
        <v>0.8</v>
      </c>
      <c r="FT24" s="618">
        <v>0.8</v>
      </c>
      <c r="FU24" s="618">
        <v>0.8</v>
      </c>
      <c r="FV24" s="621">
        <v>0.8</v>
      </c>
      <c r="FW24" s="618">
        <v>0.8</v>
      </c>
      <c r="FX24" s="622">
        <v>0.8</v>
      </c>
      <c r="FY24" s="587">
        <v>1</v>
      </c>
      <c r="FZ24" s="640">
        <f t="shared" si="35"/>
        <v>313</v>
      </c>
      <c r="GA24" s="604">
        <f t="shared" si="2"/>
        <v>16</v>
      </c>
      <c r="GB24" s="642">
        <f t="shared" si="3"/>
        <v>8.8000000000000007</v>
      </c>
      <c r="GC24" s="642">
        <f t="shared" si="4"/>
        <v>6.4</v>
      </c>
      <c r="GD24" s="642">
        <f t="shared" si="5"/>
        <v>2.4</v>
      </c>
      <c r="GE24" s="648">
        <f t="shared" si="6"/>
        <v>0.80000000000000016</v>
      </c>
      <c r="GF24" s="641">
        <f t="shared" si="31"/>
        <v>5010</v>
      </c>
      <c r="GG24" s="641">
        <f t="shared" si="7"/>
        <v>5010</v>
      </c>
      <c r="GH24" s="592">
        <f t="shared" si="36"/>
        <v>2200</v>
      </c>
      <c r="GI24" s="604">
        <f t="shared" si="8"/>
        <v>24</v>
      </c>
      <c r="GJ24" s="642">
        <f t="shared" si="9"/>
        <v>13.199999999999998</v>
      </c>
      <c r="GK24" s="642">
        <f t="shared" si="10"/>
        <v>2.4000000000000004</v>
      </c>
      <c r="GL24" s="592">
        <f t="shared" si="37"/>
        <v>3410</v>
      </c>
      <c r="GM24" s="594" t="str">
        <f>Begriffe!F276</f>
        <v>- Grosse Verkaufsflächen mit geringer Personendichte</v>
      </c>
      <c r="GO24" s="379" t="str">
        <f>IF(CH24=0,Begriffe!$F$297,"")</f>
        <v/>
      </c>
      <c r="GP24" s="583" t="str">
        <f>Begriffe!$F$285</f>
        <v>- Der Klimakälteleistungsbedarf und der jährliche Klimakältebedarf gelten für Räume ohne unterstützende Fensterlüftung</v>
      </c>
      <c r="GQ24" s="583"/>
      <c r="GR24" s="583" t="str">
        <f>Begriffe!$F314</f>
        <v>- Wasser- und Warmwasserbedarf pro Person (Kunden)</v>
      </c>
      <c r="HB24" s="379" t="s">
        <v>61</v>
      </c>
      <c r="HC24" s="379">
        <v>0.8</v>
      </c>
      <c r="HD24" s="379">
        <v>0.6</v>
      </c>
      <c r="HE24" s="379">
        <v>0.8</v>
      </c>
      <c r="HF24" s="379">
        <v>0.6</v>
      </c>
      <c r="HG24" s="379">
        <v>0.8</v>
      </c>
      <c r="HH24" s="379">
        <v>0.8</v>
      </c>
      <c r="HI24" s="379">
        <v>0.6</v>
      </c>
      <c r="HJ24" s="379">
        <v>0.6</v>
      </c>
      <c r="HK24" s="379">
        <v>0.8</v>
      </c>
      <c r="HL24" s="379">
        <v>0.6</v>
      </c>
      <c r="HM24" s="379">
        <v>0.8</v>
      </c>
      <c r="HN24" s="379">
        <v>1</v>
      </c>
      <c r="HO24" s="390">
        <f t="shared" si="11"/>
        <v>0.73333333333333328</v>
      </c>
      <c r="HQ24" s="390">
        <v>1</v>
      </c>
      <c r="HS24" s="541">
        <v>1</v>
      </c>
      <c r="HT24" s="541">
        <v>0</v>
      </c>
      <c r="HU24" s="600">
        <v>1</v>
      </c>
      <c r="HV24" s="600">
        <v>1</v>
      </c>
      <c r="HW24" s="600">
        <v>1</v>
      </c>
      <c r="HX24" s="600">
        <v>1</v>
      </c>
      <c r="HY24" s="600">
        <v>1</v>
      </c>
      <c r="HZ24" s="379">
        <v>8</v>
      </c>
      <c r="IA24" s="379">
        <v>13</v>
      </c>
      <c r="IB24" s="379">
        <v>0.7</v>
      </c>
      <c r="IC24" s="379">
        <v>5</v>
      </c>
      <c r="ID24" s="1439">
        <v>0.84705882352941175</v>
      </c>
      <c r="IE24" s="1440">
        <f t="shared" si="32"/>
        <v>19.011764705882353</v>
      </c>
    </row>
    <row r="25" spans="1:239" s="379" customFormat="1" ht="12" customHeight="1">
      <c r="A25" s="1642">
        <v>6.01</v>
      </c>
      <c r="B25" s="1640">
        <v>14</v>
      </c>
      <c r="C25" s="1635" t="str">
        <f>Begriffe!F150</f>
        <v>Restaurant</v>
      </c>
      <c r="D25" s="1618">
        <v>12</v>
      </c>
      <c r="E25" s="1605">
        <v>12</v>
      </c>
      <c r="F25" s="1605">
        <v>3</v>
      </c>
      <c r="G25" s="1619">
        <f t="shared" si="33"/>
        <v>144</v>
      </c>
      <c r="H25" s="1619">
        <v>169.41176470588235</v>
      </c>
      <c r="I25" s="1601">
        <v>50</v>
      </c>
      <c r="J25" s="1616">
        <v>0.75</v>
      </c>
      <c r="K25" s="1687">
        <f t="shared" si="12"/>
        <v>66.666666666666671</v>
      </c>
      <c r="L25" s="1422">
        <v>1</v>
      </c>
      <c r="M25" s="599">
        <v>0.8</v>
      </c>
      <c r="N25" s="599">
        <v>1.5</v>
      </c>
      <c r="O25" s="1423">
        <v>0.17</v>
      </c>
      <c r="P25" s="599">
        <v>0.1</v>
      </c>
      <c r="Q25" s="599">
        <v>0.8</v>
      </c>
      <c r="R25" s="1423">
        <v>0.5</v>
      </c>
      <c r="S25" s="1423">
        <v>0.5</v>
      </c>
      <c r="T25" s="1423">
        <v>0.65</v>
      </c>
      <c r="U25" s="1423">
        <v>0.14000000000000001</v>
      </c>
      <c r="V25" s="1423">
        <v>0.1</v>
      </c>
      <c r="W25" s="1423">
        <v>0.2</v>
      </c>
      <c r="X25" s="384">
        <v>0.7</v>
      </c>
      <c r="Y25" s="384">
        <v>0.9</v>
      </c>
      <c r="Z25" s="384">
        <v>90</v>
      </c>
      <c r="AA25" s="597">
        <v>101</v>
      </c>
      <c r="AB25" s="570">
        <v>26</v>
      </c>
      <c r="AC25" s="1431">
        <v>21</v>
      </c>
      <c r="AD25" s="1431">
        <v>25</v>
      </c>
      <c r="AE25" s="1431">
        <v>22</v>
      </c>
      <c r="AF25" s="584" t="s">
        <v>22</v>
      </c>
      <c r="AG25" s="1424" t="s">
        <v>122</v>
      </c>
      <c r="AH25" s="1424">
        <v>70</v>
      </c>
      <c r="AI25" s="1425">
        <v>30</v>
      </c>
      <c r="AJ25" s="1657" t="str">
        <f>Begriffe!F$247</f>
        <v>gering</v>
      </c>
      <c r="AK25" s="1424">
        <v>1</v>
      </c>
      <c r="AL25" s="1424">
        <f t="shared" si="13"/>
        <v>38</v>
      </c>
      <c r="AM25" s="1424">
        <f t="shared" si="14"/>
        <v>43</v>
      </c>
      <c r="AN25" s="1425">
        <f t="shared" si="15"/>
        <v>33</v>
      </c>
      <c r="AO25" s="1426">
        <v>0.9</v>
      </c>
      <c r="AP25" s="568">
        <v>2</v>
      </c>
      <c r="AQ25" s="1609">
        <v>1.2</v>
      </c>
      <c r="AR25" s="1609">
        <v>0.5</v>
      </c>
      <c r="AS25" s="599">
        <v>1</v>
      </c>
      <c r="AT25" s="1615">
        <f t="shared" si="16"/>
        <v>84</v>
      </c>
      <c r="AU25" s="1615">
        <f t="shared" si="17"/>
        <v>94</v>
      </c>
      <c r="AV25" s="1615">
        <f t="shared" si="18"/>
        <v>51</v>
      </c>
      <c r="AW25" s="1615">
        <f t="shared" si="19"/>
        <v>66</v>
      </c>
      <c r="AX25" s="1428">
        <v>0.5</v>
      </c>
      <c r="AY25" s="568">
        <v>2</v>
      </c>
      <c r="AZ25" s="384">
        <v>1</v>
      </c>
      <c r="BA25" s="384">
        <v>3</v>
      </c>
      <c r="BB25" s="384"/>
      <c r="BC25" s="384"/>
      <c r="BD25" s="384"/>
      <c r="BE25" s="384">
        <f t="shared" si="47"/>
        <v>2</v>
      </c>
      <c r="BF25" s="384">
        <f t="shared" si="48"/>
        <v>1</v>
      </c>
      <c r="BG25" s="384">
        <f t="shared" si="49"/>
        <v>3</v>
      </c>
      <c r="BH25" s="623">
        <v>10</v>
      </c>
      <c r="BI25" s="1430">
        <f t="shared" si="23"/>
        <v>2</v>
      </c>
      <c r="BJ25" s="384">
        <v>30</v>
      </c>
      <c r="BK25" s="599">
        <f t="shared" si="24"/>
        <v>15</v>
      </c>
      <c r="BL25" s="568">
        <f t="shared" si="34"/>
        <v>200</v>
      </c>
      <c r="BM25" s="599">
        <v>1.5</v>
      </c>
      <c r="BN25" s="384">
        <v>300</v>
      </c>
      <c r="BO25" s="384" t="str">
        <f>Begriffe!$F$208</f>
        <v>NP</v>
      </c>
      <c r="BP25" s="1813">
        <v>0.5</v>
      </c>
      <c r="BQ25" s="599">
        <v>1</v>
      </c>
      <c r="BR25" s="626">
        <v>0.75</v>
      </c>
      <c r="BS25" s="1808">
        <v>90</v>
      </c>
      <c r="BT25" s="1808">
        <v>130</v>
      </c>
      <c r="BU25" s="597">
        <f t="shared" si="38"/>
        <v>6</v>
      </c>
      <c r="BV25" s="1429">
        <f t="shared" si="25"/>
        <v>6</v>
      </c>
      <c r="BW25" s="1655" t="s">
        <v>380</v>
      </c>
      <c r="BX25" s="1615">
        <f t="shared" si="26"/>
        <v>29</v>
      </c>
      <c r="BY25" s="1601"/>
      <c r="BZ25" s="1609">
        <f t="shared" si="40"/>
        <v>14.5</v>
      </c>
      <c r="CA25" s="1609"/>
      <c r="CB25" s="599">
        <f t="shared" si="1"/>
        <v>14.5</v>
      </c>
      <c r="CC25" s="384">
        <v>0</v>
      </c>
      <c r="CD25" s="1423">
        <v>0.15</v>
      </c>
      <c r="CE25" s="1423">
        <v>0.3</v>
      </c>
      <c r="CF25" s="386" t="str">
        <f t="shared" si="28"/>
        <v>IDA-C6</v>
      </c>
      <c r="CG25" s="386" t="str">
        <f t="shared" si="29"/>
        <v>IDA-C6</v>
      </c>
      <c r="CH25" s="386" t="str">
        <f t="shared" si="41"/>
        <v>IDA-C4</v>
      </c>
      <c r="CI25" s="386" t="str">
        <f>IF(CF25="IDA-C3",Begriffe!$F$248,IF(Eingabedaten!CF25="IDA-C4",Begriffe!$F$249,IF(Eingabedaten!CF25="IDA-C6",Begriffe!$F$250,"")))</f>
        <v>stufenlos</v>
      </c>
      <c r="CJ25" s="386" t="str">
        <f>IF(CG25="IDA-C3",Begriffe!$F$248,IF(Eingabedaten!CG25="IDA-C4",Begriffe!$F$249,IF(Eingabedaten!CG25="IDA-C6",Begriffe!$F$250,"")))</f>
        <v>stufenlos</v>
      </c>
      <c r="CK25" s="386" t="str">
        <f>IF(CH25="IDA-C3",Begriffe!$F$248,IF(Eingabedaten!CH25="IDA-C4",Begriffe!$F$249,IF(Eingabedaten!CH25="IDA-C6",Begriffe!$F$250,"")))</f>
        <v>zweistufig</v>
      </c>
      <c r="CL25" s="1423">
        <v>0.73</v>
      </c>
      <c r="CM25" s="1423">
        <v>0.78</v>
      </c>
      <c r="CN25" s="1423">
        <v>0.5</v>
      </c>
      <c r="CO25" s="1423">
        <v>0.7</v>
      </c>
      <c r="CP25" s="1423">
        <v>0.75</v>
      </c>
      <c r="CQ25" s="1432">
        <v>0.5</v>
      </c>
      <c r="CR25" s="596" t="str">
        <f>Begriffe!$F$252</f>
        <v>Einfache Klimaanlage</v>
      </c>
      <c r="CS25" s="596">
        <v>0.91</v>
      </c>
      <c r="CT25" s="596">
        <v>0.55000000000000004</v>
      </c>
      <c r="CU25" s="596">
        <v>0.34</v>
      </c>
      <c r="CV25" s="1467">
        <v>0.91</v>
      </c>
      <c r="CW25" s="1468" t="str">
        <f>Begriffe!$F$259</f>
        <v>notwendig</v>
      </c>
      <c r="CX25" s="596" t="str">
        <f>Begriffe!$F$259</f>
        <v>notwendig</v>
      </c>
      <c r="CY25" s="596" t="str">
        <f>Begriffe!$F$259</f>
        <v>notwendig</v>
      </c>
      <c r="CZ25" s="596" t="str">
        <f>Begriffe!$F$259</f>
        <v>notwendig</v>
      </c>
      <c r="DA25" s="596" t="str">
        <f>Begriffe!$F$259</f>
        <v>notwendig</v>
      </c>
      <c r="DB25" s="1467" t="str">
        <f>Begriffe!$F$259</f>
        <v>notwendig</v>
      </c>
      <c r="DC25" s="568">
        <v>1</v>
      </c>
      <c r="DD25" s="384">
        <v>2</v>
      </c>
      <c r="DE25" s="384">
        <v>0</v>
      </c>
      <c r="DF25" s="566">
        <v>0.5</v>
      </c>
      <c r="DG25" s="568">
        <v>0.1</v>
      </c>
      <c r="DH25" s="566">
        <f t="shared" si="30"/>
        <v>0.3</v>
      </c>
      <c r="DI25" s="568" t="str">
        <f>Begriffe!$F$262</f>
        <v>Sitzplatz</v>
      </c>
      <c r="DJ25" s="597">
        <v>15</v>
      </c>
      <c r="DK25" s="384">
        <v>1</v>
      </c>
      <c r="DL25" s="597">
        <f t="shared" si="42"/>
        <v>15</v>
      </c>
      <c r="DM25" s="384">
        <v>3</v>
      </c>
      <c r="DN25" s="1429">
        <f t="shared" si="43"/>
        <v>45</v>
      </c>
      <c r="DO25" s="1436" t="s">
        <v>83</v>
      </c>
      <c r="DP25" s="1422"/>
      <c r="DQ25" s="599"/>
      <c r="DR25" s="599"/>
      <c r="DS25" s="1427"/>
      <c r="DT25" s="599"/>
      <c r="DU25" s="1437"/>
      <c r="DV25" s="599"/>
      <c r="DW25" s="599"/>
      <c r="DX25" s="599">
        <v>0.2</v>
      </c>
      <c r="DY25" s="1427">
        <v>0.2</v>
      </c>
      <c r="DZ25" s="599">
        <v>0.2</v>
      </c>
      <c r="EA25" s="1437">
        <v>0.6</v>
      </c>
      <c r="EB25" s="599">
        <v>1</v>
      </c>
      <c r="EC25" s="599">
        <v>0.6</v>
      </c>
      <c r="ED25" s="599">
        <v>0</v>
      </c>
      <c r="EE25" s="1427">
        <v>0</v>
      </c>
      <c r="EF25" s="599">
        <v>0</v>
      </c>
      <c r="EG25" s="1437">
        <v>0</v>
      </c>
      <c r="EH25" s="599">
        <v>0.2</v>
      </c>
      <c r="EI25" s="599">
        <v>0.2</v>
      </c>
      <c r="EJ25" s="599">
        <v>0.6</v>
      </c>
      <c r="EK25" s="1427">
        <v>1</v>
      </c>
      <c r="EL25" s="599">
        <v>0.2</v>
      </c>
      <c r="EM25" s="1428">
        <v>0.2</v>
      </c>
      <c r="EN25" s="624">
        <v>0.1</v>
      </c>
      <c r="EO25" s="625">
        <v>0.1</v>
      </c>
      <c r="EP25" s="625">
        <v>0.1</v>
      </c>
      <c r="EQ25" s="1144">
        <v>0.1</v>
      </c>
      <c r="ER25" s="625">
        <v>0.1</v>
      </c>
      <c r="ES25" s="1145">
        <v>0.1</v>
      </c>
      <c r="ET25" s="625">
        <v>0.1</v>
      </c>
      <c r="EU25" s="625">
        <v>0.1</v>
      </c>
      <c r="EV25" s="599">
        <v>0.4</v>
      </c>
      <c r="EW25" s="1427">
        <v>0.4</v>
      </c>
      <c r="EX25" s="599">
        <v>0.4</v>
      </c>
      <c r="EY25" s="1437">
        <v>0.6</v>
      </c>
      <c r="EZ25" s="599">
        <v>1</v>
      </c>
      <c r="FA25" s="599">
        <v>1</v>
      </c>
      <c r="FB25" s="599">
        <v>0.1</v>
      </c>
      <c r="FC25" s="1427">
        <v>0.1</v>
      </c>
      <c r="FD25" s="599">
        <v>0.1</v>
      </c>
      <c r="FE25" s="1437">
        <v>0.1</v>
      </c>
      <c r="FF25" s="599">
        <v>0.4</v>
      </c>
      <c r="FG25" s="599">
        <v>0.4</v>
      </c>
      <c r="FH25" s="599">
        <v>0.6</v>
      </c>
      <c r="FI25" s="1427">
        <v>1</v>
      </c>
      <c r="FJ25" s="599">
        <v>0.8</v>
      </c>
      <c r="FK25" s="1428">
        <v>0.4</v>
      </c>
      <c r="FL25" s="624" t="s">
        <v>575</v>
      </c>
      <c r="FM25" s="624">
        <v>0.8</v>
      </c>
      <c r="FN25" s="625">
        <v>0.8</v>
      </c>
      <c r="FO25" s="625">
        <v>0.8</v>
      </c>
      <c r="FP25" s="1144">
        <v>0.8</v>
      </c>
      <c r="FQ25" s="625">
        <v>0.8</v>
      </c>
      <c r="FR25" s="1145">
        <v>0.8</v>
      </c>
      <c r="FS25" s="625">
        <v>0.8</v>
      </c>
      <c r="FT25" s="625">
        <v>0.8</v>
      </c>
      <c r="FU25" s="625">
        <v>0.8</v>
      </c>
      <c r="FV25" s="1144">
        <v>0.8</v>
      </c>
      <c r="FW25" s="625">
        <v>0.8</v>
      </c>
      <c r="FX25" s="1146">
        <v>0.8</v>
      </c>
      <c r="FY25" s="570">
        <v>1</v>
      </c>
      <c r="FZ25" s="613">
        <f t="shared" si="35"/>
        <v>313</v>
      </c>
      <c r="GA25" s="620">
        <f t="shared" si="2"/>
        <v>12</v>
      </c>
      <c r="GB25" s="618">
        <f t="shared" si="3"/>
        <v>5.2000000000000011</v>
      </c>
      <c r="GC25" s="618">
        <f t="shared" si="4"/>
        <v>2.8000000000000003</v>
      </c>
      <c r="GD25" s="618">
        <f t="shared" si="5"/>
        <v>2.4000000000000004</v>
      </c>
      <c r="GE25" s="627">
        <f t="shared" si="6"/>
        <v>0.80000000000000016</v>
      </c>
      <c r="GF25" s="205">
        <f t="shared" si="31"/>
        <v>3760</v>
      </c>
      <c r="GG25" s="205">
        <f t="shared" si="7"/>
        <v>3760</v>
      </c>
      <c r="GH25" s="463">
        <f t="shared" si="36"/>
        <v>1300</v>
      </c>
      <c r="GI25" s="620">
        <f t="shared" si="8"/>
        <v>24</v>
      </c>
      <c r="GJ25" s="618">
        <f t="shared" si="9"/>
        <v>8.6</v>
      </c>
      <c r="GK25" s="618">
        <f t="shared" si="10"/>
        <v>2.4000000000000004</v>
      </c>
      <c r="GL25" s="463">
        <f t="shared" si="37"/>
        <v>2250</v>
      </c>
      <c r="GO25" s="379" t="str">
        <f>IF(CH25=0,Begriffe!$F$297,"")</f>
        <v/>
      </c>
      <c r="GP25" s="583" t="str">
        <f>Begriffe!$F$285</f>
        <v>- Der Klimakälteleistungsbedarf und der jährliche Klimakältebedarf gelten für Räume ohne unterstützende Fensterlüftung</v>
      </c>
      <c r="GQ25" s="583"/>
      <c r="GR25" s="583" t="str">
        <f>Begriffe!$F315</f>
        <v>- Wasser- und Warmwasserbedarf für Restaurants inkl. Küche pro Sitzplatz</v>
      </c>
      <c r="HB25" s="379" t="s">
        <v>123</v>
      </c>
      <c r="HC25" s="379">
        <v>0.8</v>
      </c>
      <c r="HD25" s="379">
        <v>0.6</v>
      </c>
      <c r="HE25" s="379">
        <v>1</v>
      </c>
      <c r="HF25" s="379">
        <v>0.8</v>
      </c>
      <c r="HG25" s="379">
        <v>0.6</v>
      </c>
      <c r="HH25" s="379">
        <v>1</v>
      </c>
      <c r="HI25" s="379">
        <v>0.6</v>
      </c>
      <c r="HJ25" s="379">
        <v>0.6</v>
      </c>
      <c r="HK25" s="379">
        <v>1</v>
      </c>
      <c r="HL25" s="379">
        <v>0.8</v>
      </c>
      <c r="HM25" s="379">
        <v>1</v>
      </c>
      <c r="HN25" s="379">
        <v>0.6</v>
      </c>
      <c r="HO25" s="390">
        <f t="shared" si="11"/>
        <v>0.78333333333333333</v>
      </c>
      <c r="HQ25" s="390">
        <v>1</v>
      </c>
      <c r="HS25" s="541">
        <v>1</v>
      </c>
      <c r="HT25" s="541">
        <v>0</v>
      </c>
      <c r="HU25" s="600">
        <v>1</v>
      </c>
      <c r="HV25" s="600">
        <v>1</v>
      </c>
      <c r="HW25" s="600">
        <v>1</v>
      </c>
      <c r="HX25" s="600">
        <v>1</v>
      </c>
      <c r="HY25" s="600">
        <v>1</v>
      </c>
      <c r="HZ25" s="379">
        <v>16</v>
      </c>
      <c r="IA25" s="379">
        <v>14</v>
      </c>
      <c r="IB25" s="379">
        <v>1.2</v>
      </c>
      <c r="IC25" s="379">
        <v>6</v>
      </c>
      <c r="ID25" s="1439">
        <v>1.0588235294117647</v>
      </c>
      <c r="IE25" s="1440">
        <f t="shared" si="32"/>
        <v>30.823529411764707</v>
      </c>
    </row>
    <row r="26" spans="1:239" s="379" customFormat="1" ht="12" customHeight="1">
      <c r="A26" s="1641">
        <v>6.02</v>
      </c>
      <c r="B26" s="539">
        <v>13</v>
      </c>
      <c r="C26" s="463" t="str">
        <f>Begriffe!F151</f>
        <v>Selbstbedienungsrestaurant</v>
      </c>
      <c r="D26" s="620">
        <v>20</v>
      </c>
      <c r="E26" s="618">
        <v>20</v>
      </c>
      <c r="F26" s="618">
        <v>3</v>
      </c>
      <c r="G26" s="205">
        <f t="shared" si="33"/>
        <v>400</v>
      </c>
      <c r="H26" s="205">
        <v>282.35294117647061</v>
      </c>
      <c r="I26" s="390">
        <v>50</v>
      </c>
      <c r="J26" s="1439">
        <v>0.75</v>
      </c>
      <c r="K26" s="632">
        <f t="shared" si="12"/>
        <v>66.666666666666671</v>
      </c>
      <c r="L26" s="630">
        <v>1</v>
      </c>
      <c r="M26" s="595">
        <v>0.8</v>
      </c>
      <c r="N26" s="595">
        <v>1.5</v>
      </c>
      <c r="O26" s="1439">
        <v>0.17</v>
      </c>
      <c r="P26" s="595">
        <v>0.1</v>
      </c>
      <c r="Q26" s="595">
        <v>0.8</v>
      </c>
      <c r="R26" s="1439">
        <v>0.5</v>
      </c>
      <c r="S26" s="1439">
        <v>0.5</v>
      </c>
      <c r="T26" s="1439">
        <v>0.65</v>
      </c>
      <c r="U26" s="1439">
        <v>0.14000000000000001</v>
      </c>
      <c r="V26" s="1439">
        <v>0.1</v>
      </c>
      <c r="W26" s="1439">
        <v>0.2</v>
      </c>
      <c r="X26" s="390">
        <v>0.7</v>
      </c>
      <c r="Y26" s="390">
        <v>0.9</v>
      </c>
      <c r="Z26" s="390">
        <v>90</v>
      </c>
      <c r="AA26" s="598">
        <v>93</v>
      </c>
      <c r="AB26" s="582">
        <v>26</v>
      </c>
      <c r="AC26" s="1440">
        <v>21</v>
      </c>
      <c r="AD26" s="1440">
        <v>25</v>
      </c>
      <c r="AE26" s="1440">
        <v>22</v>
      </c>
      <c r="AF26" s="578" t="s">
        <v>22</v>
      </c>
      <c r="AG26" s="1456" t="s">
        <v>124</v>
      </c>
      <c r="AH26" s="1456">
        <v>70</v>
      </c>
      <c r="AI26" s="1457">
        <v>30</v>
      </c>
      <c r="AJ26" s="1659" t="str">
        <f>Begriffe!F$247</f>
        <v>gering</v>
      </c>
      <c r="AK26" s="1456">
        <v>1</v>
      </c>
      <c r="AL26" s="1456">
        <f t="shared" si="13"/>
        <v>38</v>
      </c>
      <c r="AM26" s="1456">
        <f t="shared" si="14"/>
        <v>43</v>
      </c>
      <c r="AN26" s="1457">
        <f t="shared" si="15"/>
        <v>33</v>
      </c>
      <c r="AO26" s="1458">
        <v>1.1000000000000001</v>
      </c>
      <c r="AP26" s="580">
        <v>2</v>
      </c>
      <c r="AQ26" s="595">
        <v>1.2</v>
      </c>
      <c r="AR26" s="595">
        <v>0.5</v>
      </c>
      <c r="AS26" s="595">
        <v>1</v>
      </c>
      <c r="AT26" s="598">
        <f t="shared" si="16"/>
        <v>84</v>
      </c>
      <c r="AU26" s="598">
        <f t="shared" si="17"/>
        <v>94</v>
      </c>
      <c r="AV26" s="598">
        <f t="shared" si="18"/>
        <v>51</v>
      </c>
      <c r="AW26" s="598">
        <f t="shared" si="19"/>
        <v>66</v>
      </c>
      <c r="AX26" s="632">
        <v>0.5</v>
      </c>
      <c r="AY26" s="580">
        <v>2</v>
      </c>
      <c r="AZ26" s="390">
        <v>1</v>
      </c>
      <c r="BA26" s="390">
        <v>3</v>
      </c>
      <c r="BB26" s="390"/>
      <c r="BC26" s="390"/>
      <c r="BD26" s="390"/>
      <c r="BE26" s="390">
        <f t="shared" si="47"/>
        <v>2</v>
      </c>
      <c r="BF26" s="390">
        <f t="shared" si="48"/>
        <v>1</v>
      </c>
      <c r="BG26" s="390">
        <f t="shared" si="49"/>
        <v>3</v>
      </c>
      <c r="BH26" s="613">
        <v>10</v>
      </c>
      <c r="BI26" s="1460">
        <f t="shared" si="23"/>
        <v>2</v>
      </c>
      <c r="BJ26" s="390">
        <v>30</v>
      </c>
      <c r="BK26" s="595">
        <f t="shared" si="24"/>
        <v>15</v>
      </c>
      <c r="BL26" s="580">
        <f t="shared" si="34"/>
        <v>200</v>
      </c>
      <c r="BM26" s="595">
        <v>1.5</v>
      </c>
      <c r="BN26" s="390">
        <v>300</v>
      </c>
      <c r="BO26" s="390" t="str">
        <f>Begriffe!$F$208</f>
        <v>NP</v>
      </c>
      <c r="BP26" s="1825">
        <v>0.5</v>
      </c>
      <c r="BQ26" s="595">
        <v>1</v>
      </c>
      <c r="BR26" s="627">
        <v>0.75</v>
      </c>
      <c r="BS26" s="1120">
        <v>90</v>
      </c>
      <c r="BT26" s="1120">
        <v>130</v>
      </c>
      <c r="BU26" s="598">
        <f t="shared" si="38"/>
        <v>7</v>
      </c>
      <c r="BV26" s="629">
        <f t="shared" si="25"/>
        <v>0</v>
      </c>
      <c r="BW26" s="582" t="s">
        <v>380</v>
      </c>
      <c r="BX26" s="598">
        <f t="shared" si="26"/>
        <v>29</v>
      </c>
      <c r="BY26" s="390"/>
      <c r="BZ26" s="595">
        <f t="shared" si="40"/>
        <v>14.5</v>
      </c>
      <c r="CA26" s="595"/>
      <c r="CB26" s="595">
        <f t="shared" si="1"/>
        <v>14.5</v>
      </c>
      <c r="CC26" s="390">
        <v>0</v>
      </c>
      <c r="CD26" s="1439">
        <v>0.15</v>
      </c>
      <c r="CE26" s="1439">
        <v>0.3</v>
      </c>
      <c r="CF26" s="379" t="str">
        <f t="shared" si="28"/>
        <v>IDA-C6</v>
      </c>
      <c r="CG26" s="379" t="str">
        <f t="shared" si="29"/>
        <v>IDA-C6</v>
      </c>
      <c r="CH26" s="379" t="str">
        <f t="shared" si="41"/>
        <v>IDA-C4</v>
      </c>
      <c r="CI26" s="379" t="str">
        <f>IF(CF26="IDA-C3",Begriffe!$F$248,IF(Eingabedaten!CF26="IDA-C4",Begriffe!$F$249,IF(Eingabedaten!CF26="IDA-C6",Begriffe!$F$250,"")))</f>
        <v>stufenlos</v>
      </c>
      <c r="CJ26" s="379" t="str">
        <f>IF(CG26="IDA-C3",Begriffe!$F$248,IF(Eingabedaten!CG26="IDA-C4",Begriffe!$F$249,IF(Eingabedaten!CG26="IDA-C6",Begriffe!$F$250,"")))</f>
        <v>stufenlos</v>
      </c>
      <c r="CK26" s="379" t="str">
        <f>IF(CH26="IDA-C3",Begriffe!$F$248,IF(Eingabedaten!CH26="IDA-C4",Begriffe!$F$249,IF(Eingabedaten!CH26="IDA-C6",Begriffe!$F$250,"")))</f>
        <v>zweistufig</v>
      </c>
      <c r="CL26" s="1439">
        <v>0.73</v>
      </c>
      <c r="CM26" s="1439">
        <v>0.78</v>
      </c>
      <c r="CN26" s="1439">
        <v>0.5</v>
      </c>
      <c r="CO26" s="1439">
        <v>0.7</v>
      </c>
      <c r="CP26" s="1439">
        <v>0.75</v>
      </c>
      <c r="CQ26" s="1461">
        <v>0.5</v>
      </c>
      <c r="CR26" s="586" t="str">
        <f>Begriffe!$F$252</f>
        <v>Einfache Klimaanlage</v>
      </c>
      <c r="CS26" s="586">
        <v>0.91</v>
      </c>
      <c r="CT26" s="586">
        <v>0.55000000000000004</v>
      </c>
      <c r="CU26" s="586">
        <v>0.34</v>
      </c>
      <c r="CV26" s="1433">
        <v>0.91</v>
      </c>
      <c r="CW26" s="1469" t="str">
        <f>Begriffe!$F$258</f>
        <v>erwünscht</v>
      </c>
      <c r="CX26" s="586" t="str">
        <f>Begriffe!$F$259</f>
        <v>notwendig</v>
      </c>
      <c r="CY26" s="586" t="str">
        <f>Begriffe!$F$259</f>
        <v>notwendig</v>
      </c>
      <c r="CZ26" s="586" t="str">
        <f>Begriffe!$F$257</f>
        <v>nicht notwendig</v>
      </c>
      <c r="DA26" s="586" t="str">
        <f>Begriffe!$F$258</f>
        <v>erwünscht</v>
      </c>
      <c r="DB26" s="1433" t="str">
        <f>Begriffe!$F$259</f>
        <v>notwendig</v>
      </c>
      <c r="DC26" s="580">
        <v>1</v>
      </c>
      <c r="DD26" s="390">
        <v>2</v>
      </c>
      <c r="DE26" s="390">
        <v>0</v>
      </c>
      <c r="DF26" s="628">
        <v>0.5</v>
      </c>
      <c r="DG26" s="580">
        <v>0.1</v>
      </c>
      <c r="DH26" s="628">
        <f t="shared" si="30"/>
        <v>0.3</v>
      </c>
      <c r="DI26" s="580" t="str">
        <f>Begriffe!$F$262</f>
        <v>Sitzplatz</v>
      </c>
      <c r="DJ26" s="598">
        <v>15</v>
      </c>
      <c r="DK26" s="390">
        <v>1</v>
      </c>
      <c r="DL26" s="598">
        <f t="shared" si="42"/>
        <v>15</v>
      </c>
      <c r="DM26" s="390">
        <v>3</v>
      </c>
      <c r="DN26" s="629">
        <f t="shared" si="43"/>
        <v>45</v>
      </c>
      <c r="DO26" s="635" t="s">
        <v>157</v>
      </c>
      <c r="DP26" s="630"/>
      <c r="DQ26" s="595"/>
      <c r="DR26" s="595"/>
      <c r="DS26" s="1459"/>
      <c r="DT26" s="595"/>
      <c r="DU26" s="1466"/>
      <c r="DV26" s="595"/>
      <c r="DW26" s="595"/>
      <c r="DX26" s="595">
        <v>0.4</v>
      </c>
      <c r="DY26" s="1459">
        <v>0.2</v>
      </c>
      <c r="DZ26" s="595">
        <v>0.4</v>
      </c>
      <c r="EA26" s="1466">
        <v>1</v>
      </c>
      <c r="EB26" s="595">
        <v>0.4</v>
      </c>
      <c r="EC26" s="595">
        <v>0.2</v>
      </c>
      <c r="ED26" s="595">
        <v>0.4</v>
      </c>
      <c r="EE26" s="1459"/>
      <c r="EF26" s="595"/>
      <c r="EG26" s="1466"/>
      <c r="EH26" s="595"/>
      <c r="EI26" s="595"/>
      <c r="EJ26" s="595"/>
      <c r="EK26" s="1459"/>
      <c r="EL26" s="595"/>
      <c r="EM26" s="632"/>
      <c r="EN26" s="620">
        <v>0.1</v>
      </c>
      <c r="EO26" s="618">
        <v>0.1</v>
      </c>
      <c r="EP26" s="618">
        <v>0.1</v>
      </c>
      <c r="EQ26" s="621">
        <v>0.1</v>
      </c>
      <c r="ER26" s="618">
        <v>0.1</v>
      </c>
      <c r="ES26" s="617">
        <v>0.1</v>
      </c>
      <c r="ET26" s="618">
        <v>0.1</v>
      </c>
      <c r="EU26" s="595">
        <v>0.4</v>
      </c>
      <c r="EV26" s="595">
        <v>0.4</v>
      </c>
      <c r="EW26" s="1459">
        <v>0.4</v>
      </c>
      <c r="EX26" s="595">
        <v>0.6</v>
      </c>
      <c r="EY26" s="1466">
        <v>1</v>
      </c>
      <c r="EZ26" s="595">
        <v>1</v>
      </c>
      <c r="FA26" s="595">
        <v>0.8</v>
      </c>
      <c r="FB26" s="595">
        <v>0.4</v>
      </c>
      <c r="FC26" s="1459">
        <v>0.1</v>
      </c>
      <c r="FD26" s="595">
        <v>0.1</v>
      </c>
      <c r="FE26" s="1466">
        <v>0.1</v>
      </c>
      <c r="FF26" s="595">
        <v>0.1</v>
      </c>
      <c r="FG26" s="595">
        <v>0.1</v>
      </c>
      <c r="FH26" s="595">
        <v>0.1</v>
      </c>
      <c r="FI26" s="1459">
        <v>0.1</v>
      </c>
      <c r="FJ26" s="595">
        <v>0.1</v>
      </c>
      <c r="FK26" s="632">
        <v>0.1</v>
      </c>
      <c r="FL26" s="620" t="s">
        <v>575</v>
      </c>
      <c r="FM26" s="620">
        <v>0.8</v>
      </c>
      <c r="FN26" s="618">
        <v>0.8</v>
      </c>
      <c r="FO26" s="618">
        <v>0.8</v>
      </c>
      <c r="FP26" s="621">
        <v>0.8</v>
      </c>
      <c r="FQ26" s="618">
        <v>0.8</v>
      </c>
      <c r="FR26" s="617">
        <v>0.8</v>
      </c>
      <c r="FS26" s="618">
        <v>0.8</v>
      </c>
      <c r="FT26" s="618">
        <v>0.8</v>
      </c>
      <c r="FU26" s="618">
        <v>0.8</v>
      </c>
      <c r="FV26" s="621">
        <v>0.8</v>
      </c>
      <c r="FW26" s="618">
        <v>0.8</v>
      </c>
      <c r="FX26" s="622">
        <v>0.8</v>
      </c>
      <c r="FY26" s="582">
        <v>1</v>
      </c>
      <c r="FZ26" s="613">
        <f t="shared" si="35"/>
        <v>313</v>
      </c>
      <c r="GA26" s="620">
        <f t="shared" si="2"/>
        <v>7</v>
      </c>
      <c r="GB26" s="618">
        <f t="shared" si="3"/>
        <v>3</v>
      </c>
      <c r="GC26" s="618">
        <f t="shared" si="4"/>
        <v>3</v>
      </c>
      <c r="GD26" s="618">
        <f t="shared" si="5"/>
        <v>0</v>
      </c>
      <c r="GE26" s="627">
        <f t="shared" si="6"/>
        <v>0.80000000000000016</v>
      </c>
      <c r="GF26" s="205">
        <f t="shared" si="31"/>
        <v>2190</v>
      </c>
      <c r="GG26" s="205">
        <f t="shared" si="7"/>
        <v>2190</v>
      </c>
      <c r="GH26" s="463">
        <f t="shared" si="36"/>
        <v>750</v>
      </c>
      <c r="GI26" s="620">
        <f t="shared" si="8"/>
        <v>24</v>
      </c>
      <c r="GJ26" s="618">
        <f t="shared" si="9"/>
        <v>6.599999999999997</v>
      </c>
      <c r="GK26" s="618">
        <f t="shared" si="10"/>
        <v>2.4000000000000004</v>
      </c>
      <c r="GL26" s="463">
        <f t="shared" si="37"/>
        <v>1750</v>
      </c>
      <c r="GO26" s="379" t="str">
        <f>IF(CH26=0,Begriffe!$F$297,"")</f>
        <v/>
      </c>
      <c r="GP26" s="583" t="str">
        <f>Begriffe!$F$285</f>
        <v>- Der Klimakälteleistungsbedarf und der jährliche Klimakältebedarf gelten für Räume ohne unterstützende Fensterlüftung</v>
      </c>
      <c r="GQ26" s="583"/>
      <c r="GR26" s="583" t="str">
        <f>Begriffe!$F316</f>
        <v>- Wasser- und Warmwasserbedarf für Restaurants inkl. Küche pro Sitzplatz</v>
      </c>
      <c r="HB26" s="379" t="s">
        <v>123</v>
      </c>
      <c r="HC26" s="379">
        <v>0.8</v>
      </c>
      <c r="HD26" s="379">
        <v>0.6</v>
      </c>
      <c r="HE26" s="379">
        <v>1</v>
      </c>
      <c r="HF26" s="379">
        <v>0.8</v>
      </c>
      <c r="HG26" s="379">
        <v>0.6</v>
      </c>
      <c r="HH26" s="379">
        <v>1</v>
      </c>
      <c r="HI26" s="379">
        <v>0.6</v>
      </c>
      <c r="HJ26" s="379">
        <v>0.6</v>
      </c>
      <c r="HK26" s="379">
        <v>1</v>
      </c>
      <c r="HL26" s="379">
        <v>0.8</v>
      </c>
      <c r="HM26" s="379">
        <v>1</v>
      </c>
      <c r="HN26" s="379">
        <v>0.6</v>
      </c>
      <c r="HO26" s="390">
        <f t="shared" si="11"/>
        <v>0.78333333333333333</v>
      </c>
      <c r="HQ26" s="390">
        <v>1</v>
      </c>
      <c r="HS26" s="541">
        <v>1</v>
      </c>
      <c r="HT26" s="541">
        <v>0</v>
      </c>
      <c r="HU26" s="600">
        <v>1</v>
      </c>
      <c r="HV26" s="600">
        <v>1</v>
      </c>
      <c r="HW26" s="600">
        <v>1</v>
      </c>
      <c r="HX26" s="600">
        <v>1</v>
      </c>
      <c r="HY26" s="600">
        <v>1</v>
      </c>
      <c r="HZ26" s="379">
        <v>16</v>
      </c>
      <c r="IA26" s="379">
        <v>14</v>
      </c>
      <c r="IB26" s="379">
        <v>1.2</v>
      </c>
      <c r="IC26" s="379">
        <v>6</v>
      </c>
      <c r="ID26" s="1439">
        <v>0.6352941176470589</v>
      </c>
      <c r="IE26" s="1440">
        <f t="shared" si="32"/>
        <v>24.894117647058824</v>
      </c>
    </row>
    <row r="27" spans="1:239" s="379" customFormat="1" ht="12" customHeight="1">
      <c r="A27" s="1641">
        <v>6.03</v>
      </c>
      <c r="B27" s="539">
        <v>16</v>
      </c>
      <c r="C27" s="463" t="str">
        <f>Begriffe!F152</f>
        <v>Küche zu Restaurant</v>
      </c>
      <c r="D27" s="620">
        <v>6</v>
      </c>
      <c r="E27" s="618">
        <v>6</v>
      </c>
      <c r="F27" s="618">
        <v>3</v>
      </c>
      <c r="G27" s="205">
        <f t="shared" si="33"/>
        <v>36</v>
      </c>
      <c r="H27" s="205">
        <v>63.529411764705884</v>
      </c>
      <c r="I27" s="390">
        <v>50</v>
      </c>
      <c r="J27" s="1439">
        <v>0.75</v>
      </c>
      <c r="K27" s="632">
        <f t="shared" si="12"/>
        <v>66.666666666666671</v>
      </c>
      <c r="L27" s="630">
        <v>1</v>
      </c>
      <c r="M27" s="595">
        <v>0.8</v>
      </c>
      <c r="N27" s="595">
        <v>1.5</v>
      </c>
      <c r="O27" s="1439">
        <v>0.17</v>
      </c>
      <c r="P27" s="595">
        <v>0.1</v>
      </c>
      <c r="Q27" s="595">
        <v>0.8</v>
      </c>
      <c r="R27" s="1439">
        <v>0.5</v>
      </c>
      <c r="S27" s="1439">
        <v>0.5</v>
      </c>
      <c r="T27" s="1439">
        <v>0.65</v>
      </c>
      <c r="U27" s="1439">
        <v>0.14000000000000001</v>
      </c>
      <c r="V27" s="1439">
        <v>0.1</v>
      </c>
      <c r="W27" s="1439">
        <v>0.2</v>
      </c>
      <c r="X27" s="390">
        <v>0.7</v>
      </c>
      <c r="Y27" s="390">
        <v>0.9</v>
      </c>
      <c r="Z27" s="390">
        <v>90</v>
      </c>
      <c r="AA27" s="598">
        <v>116.4</v>
      </c>
      <c r="AB27" s="582">
        <v>28</v>
      </c>
      <c r="AC27" s="1440">
        <v>20</v>
      </c>
      <c r="AD27" s="1440">
        <v>25</v>
      </c>
      <c r="AE27" s="1440">
        <v>22</v>
      </c>
      <c r="AF27" s="578" t="s">
        <v>22</v>
      </c>
      <c r="AG27" s="1456" t="s">
        <v>124</v>
      </c>
      <c r="AH27" s="1456"/>
      <c r="AI27" s="1457"/>
      <c r="AJ27" s="1659" t="str">
        <f>Begriffe!F$247</f>
        <v>gering</v>
      </c>
      <c r="AK27" s="1456">
        <v>1</v>
      </c>
      <c r="AL27" s="1456">
        <f t="shared" si="13"/>
        <v>38</v>
      </c>
      <c r="AM27" s="1456">
        <f t="shared" si="14"/>
        <v>43</v>
      </c>
      <c r="AN27" s="1457">
        <f t="shared" si="15"/>
        <v>33</v>
      </c>
      <c r="AO27" s="1458">
        <v>0.7</v>
      </c>
      <c r="AP27" s="580">
        <v>5</v>
      </c>
      <c r="AQ27" s="595">
        <v>2</v>
      </c>
      <c r="AR27" s="595">
        <v>0.5</v>
      </c>
      <c r="AS27" s="595">
        <v>1</v>
      </c>
      <c r="AT27" s="598">
        <v>51</v>
      </c>
      <c r="AU27" s="598">
        <v>93</v>
      </c>
      <c r="AV27" s="598">
        <v>106</v>
      </c>
      <c r="AW27" s="598">
        <v>127</v>
      </c>
      <c r="AX27" s="629">
        <v>10</v>
      </c>
      <c r="AY27" s="580">
        <v>10</v>
      </c>
      <c r="AZ27" s="390">
        <v>10</v>
      </c>
      <c r="BA27" s="390">
        <v>20</v>
      </c>
      <c r="BB27" s="390">
        <v>190</v>
      </c>
      <c r="BC27" s="390">
        <v>140</v>
      </c>
      <c r="BD27" s="390">
        <v>230</v>
      </c>
      <c r="BE27" s="390">
        <f>AY27</f>
        <v>10</v>
      </c>
      <c r="BF27" s="390">
        <f t="shared" ref="BF27:BF37" si="50">AZ27</f>
        <v>10</v>
      </c>
      <c r="BG27" s="390">
        <f t="shared" ref="BG27:BG37" si="51">BA27</f>
        <v>20</v>
      </c>
      <c r="BH27" s="613">
        <v>10</v>
      </c>
      <c r="BI27" s="1460">
        <f t="shared" si="23"/>
        <v>200</v>
      </c>
      <c r="BJ27" s="390">
        <v>500</v>
      </c>
      <c r="BK27" s="595">
        <f t="shared" si="24"/>
        <v>2.5</v>
      </c>
      <c r="BL27" s="580">
        <f t="shared" si="34"/>
        <v>500</v>
      </c>
      <c r="BM27" s="595">
        <v>1</v>
      </c>
      <c r="BN27" s="390">
        <v>500</v>
      </c>
      <c r="BO27" s="390" t="str">
        <f>Begriffe!$F$207</f>
        <v>DP</v>
      </c>
      <c r="BP27" s="595">
        <v>1</v>
      </c>
      <c r="BQ27" s="595">
        <v>1</v>
      </c>
      <c r="BR27" s="627">
        <v>0.75</v>
      </c>
      <c r="BS27" s="1120">
        <v>90</v>
      </c>
      <c r="BT27" s="1120">
        <v>130</v>
      </c>
      <c r="BU27" s="598">
        <f t="shared" si="38"/>
        <v>8</v>
      </c>
      <c r="BV27" s="629">
        <f t="shared" si="25"/>
        <v>5</v>
      </c>
      <c r="BW27" s="582" t="s">
        <v>380</v>
      </c>
      <c r="BX27" s="598">
        <f>IF(BW27="I",57/1.2*AQ27,IF(BW27="II",29/1.2*AQ27,15/1.2*AQ27))</f>
        <v>48.333333333333336</v>
      </c>
      <c r="BY27" s="390"/>
      <c r="BZ27" s="595">
        <f t="shared" si="40"/>
        <v>9.6666666666666679</v>
      </c>
      <c r="CA27" s="598">
        <v>80</v>
      </c>
      <c r="CB27" s="595">
        <f t="shared" si="1"/>
        <v>9.6666666666666679</v>
      </c>
      <c r="CC27" s="390">
        <v>0</v>
      </c>
      <c r="CD27" s="1439">
        <v>0.15</v>
      </c>
      <c r="CE27" s="1439">
        <v>0.3</v>
      </c>
      <c r="CF27" s="379" t="str">
        <f t="shared" si="28"/>
        <v>IDA-C6</v>
      </c>
      <c r="CG27" s="379" t="str">
        <f t="shared" si="29"/>
        <v>IDA-C6</v>
      </c>
      <c r="CH27" s="379" t="str">
        <f t="shared" si="41"/>
        <v>IDA-C4</v>
      </c>
      <c r="CI27" s="379" t="str">
        <f>IF(CF27="IDA-C3",Begriffe!$F$248,IF(Eingabedaten!CF27="IDA-C4",Begriffe!$F$249,IF(Eingabedaten!CF27="IDA-C6",Begriffe!$F$250,"")))</f>
        <v>stufenlos</v>
      </c>
      <c r="CJ27" s="379" t="str">
        <f>IF(CG27="IDA-C3",Begriffe!$F$248,IF(Eingabedaten!CG27="IDA-C4",Begriffe!$F$249,IF(Eingabedaten!CG27="IDA-C6",Begriffe!$F$250,"")))</f>
        <v>stufenlos</v>
      </c>
      <c r="CK27" s="379" t="str">
        <f>IF(CH27="IDA-C3",Begriffe!$F$248,IF(Eingabedaten!CH27="IDA-C4",Begriffe!$F$249,IF(Eingabedaten!CH27="IDA-C6",Begriffe!$F$250,"")))</f>
        <v>zweistufig</v>
      </c>
      <c r="CL27" s="1439">
        <v>0.73</v>
      </c>
      <c r="CM27" s="1439">
        <v>0.78</v>
      </c>
      <c r="CN27" s="1439">
        <v>0.5</v>
      </c>
      <c r="CO27" s="1439">
        <v>0.7</v>
      </c>
      <c r="CP27" s="1439">
        <v>0.75</v>
      </c>
      <c r="CQ27" s="1461">
        <v>0.5</v>
      </c>
      <c r="CR27" s="586" t="str">
        <f>Begriffe!$F$252</f>
        <v>Einfache Klimaanlage</v>
      </c>
      <c r="CS27" s="586">
        <v>0.91</v>
      </c>
      <c r="CT27" s="586">
        <v>0.55000000000000004</v>
      </c>
      <c r="CU27" s="586">
        <v>0.34</v>
      </c>
      <c r="CV27" s="1433">
        <v>0.91</v>
      </c>
      <c r="CW27" s="1469" t="str">
        <f>Begriffe!$F$259</f>
        <v>notwendig</v>
      </c>
      <c r="CX27" s="586" t="str">
        <f>Begriffe!$F$259</f>
        <v>notwendig</v>
      </c>
      <c r="CY27" s="586" t="str">
        <f>Begriffe!$F$259</f>
        <v>notwendig</v>
      </c>
      <c r="CZ27" s="586" t="str">
        <f>Begriffe!$F$259</f>
        <v>notwendig</v>
      </c>
      <c r="DA27" s="586" t="str">
        <f>Begriffe!$F$259</f>
        <v>notwendig</v>
      </c>
      <c r="DB27" s="1433" t="str">
        <f>Begriffe!$F$259</f>
        <v>notwendig</v>
      </c>
      <c r="DC27" s="580">
        <v>500</v>
      </c>
      <c r="DD27" s="390">
        <v>700</v>
      </c>
      <c r="DE27" s="390">
        <v>300</v>
      </c>
      <c r="DF27" s="628">
        <v>0</v>
      </c>
      <c r="DG27" s="580">
        <v>0.1</v>
      </c>
      <c r="DH27" s="628">
        <f t="shared" si="30"/>
        <v>0.3</v>
      </c>
      <c r="DI27" s="580"/>
      <c r="DJ27" s="390"/>
      <c r="DK27" s="390"/>
      <c r="DL27" s="598"/>
      <c r="DM27" s="390"/>
      <c r="DN27" s="629"/>
      <c r="DO27" s="635" t="s">
        <v>85</v>
      </c>
      <c r="DP27" s="630"/>
      <c r="DQ27" s="595"/>
      <c r="DR27" s="595"/>
      <c r="DS27" s="1459"/>
      <c r="DT27" s="595"/>
      <c r="DU27" s="1466"/>
      <c r="DV27" s="595"/>
      <c r="DW27" s="595"/>
      <c r="DX27" s="595">
        <v>0.4</v>
      </c>
      <c r="DY27" s="1459">
        <v>0.6</v>
      </c>
      <c r="DZ27" s="595">
        <v>0.8</v>
      </c>
      <c r="EA27" s="1466">
        <v>1</v>
      </c>
      <c r="EB27" s="595">
        <v>1</v>
      </c>
      <c r="EC27" s="595">
        <v>0.6</v>
      </c>
      <c r="ED27" s="595">
        <v>0.4</v>
      </c>
      <c r="EE27" s="1459"/>
      <c r="EF27" s="595"/>
      <c r="EG27" s="1466">
        <v>0.4</v>
      </c>
      <c r="EH27" s="595">
        <v>0.8</v>
      </c>
      <c r="EI27" s="595">
        <v>1</v>
      </c>
      <c r="EJ27" s="595">
        <v>1</v>
      </c>
      <c r="EK27" s="1459">
        <v>0.4</v>
      </c>
      <c r="EL27" s="595">
        <v>0.2</v>
      </c>
      <c r="EM27" s="632"/>
      <c r="EN27" s="620">
        <v>0.1</v>
      </c>
      <c r="EO27" s="618">
        <v>0.1</v>
      </c>
      <c r="EP27" s="618">
        <v>0.1</v>
      </c>
      <c r="EQ27" s="621">
        <v>0.1</v>
      </c>
      <c r="ER27" s="618">
        <v>0.1</v>
      </c>
      <c r="ES27" s="617">
        <v>0.1</v>
      </c>
      <c r="ET27" s="618">
        <v>0.1</v>
      </c>
      <c r="EU27" s="618">
        <v>0.1</v>
      </c>
      <c r="EV27" s="595">
        <v>0.4</v>
      </c>
      <c r="EW27" s="1459">
        <v>0.6</v>
      </c>
      <c r="EX27" s="595">
        <v>0.8</v>
      </c>
      <c r="EY27" s="1466">
        <v>1</v>
      </c>
      <c r="EZ27" s="595">
        <v>1</v>
      </c>
      <c r="FA27" s="595">
        <v>0.6</v>
      </c>
      <c r="FB27" s="595">
        <v>0.4</v>
      </c>
      <c r="FC27" s="1459">
        <v>0.1</v>
      </c>
      <c r="FD27" s="595">
        <v>0.1</v>
      </c>
      <c r="FE27" s="1466">
        <v>0.4</v>
      </c>
      <c r="FF27" s="595">
        <v>0.8</v>
      </c>
      <c r="FG27" s="595">
        <v>1</v>
      </c>
      <c r="FH27" s="595">
        <v>1</v>
      </c>
      <c r="FI27" s="1459">
        <v>0.4</v>
      </c>
      <c r="FJ27" s="595">
        <v>0.2</v>
      </c>
      <c r="FK27" s="632">
        <v>0.1</v>
      </c>
      <c r="FL27" s="620" t="s">
        <v>575</v>
      </c>
      <c r="FM27" s="620">
        <v>0.8</v>
      </c>
      <c r="FN27" s="618">
        <v>0.8</v>
      </c>
      <c r="FO27" s="618">
        <v>0.8</v>
      </c>
      <c r="FP27" s="621">
        <v>0.8</v>
      </c>
      <c r="FQ27" s="618">
        <v>0.8</v>
      </c>
      <c r="FR27" s="617">
        <v>0.8</v>
      </c>
      <c r="FS27" s="618">
        <v>0.8</v>
      </c>
      <c r="FT27" s="618">
        <v>0.8</v>
      </c>
      <c r="FU27" s="618">
        <v>0.8</v>
      </c>
      <c r="FV27" s="621">
        <v>0.8</v>
      </c>
      <c r="FW27" s="618">
        <v>0.8</v>
      </c>
      <c r="FX27" s="622">
        <v>0.8</v>
      </c>
      <c r="FY27" s="582">
        <v>1</v>
      </c>
      <c r="FZ27" s="613">
        <f t="shared" si="35"/>
        <v>313</v>
      </c>
      <c r="GA27" s="620">
        <f t="shared" si="2"/>
        <v>13</v>
      </c>
      <c r="GB27" s="618">
        <f t="shared" si="3"/>
        <v>8.6</v>
      </c>
      <c r="GC27" s="618">
        <f t="shared" si="4"/>
        <v>5.2</v>
      </c>
      <c r="GD27" s="618">
        <f t="shared" si="5"/>
        <v>3.4</v>
      </c>
      <c r="GE27" s="627">
        <f t="shared" si="6"/>
        <v>0.80000000000000016</v>
      </c>
      <c r="GF27" s="205">
        <f t="shared" si="31"/>
        <v>4070</v>
      </c>
      <c r="GG27" s="205">
        <f t="shared" si="7"/>
        <v>4070</v>
      </c>
      <c r="GH27" s="463">
        <f t="shared" si="36"/>
        <v>2150</v>
      </c>
      <c r="GI27" s="620">
        <f t="shared" si="8"/>
        <v>24</v>
      </c>
      <c r="GJ27" s="618">
        <f t="shared" si="9"/>
        <v>9.6999999999999993</v>
      </c>
      <c r="GK27" s="618">
        <f t="shared" si="10"/>
        <v>2.4000000000000004</v>
      </c>
      <c r="GL27" s="463">
        <f t="shared" si="37"/>
        <v>2530</v>
      </c>
      <c r="GM27" s="1574"/>
      <c r="GN27" s="379" t="str">
        <f>Begriffe!$F$279</f>
        <v>- Küchengeräte inkl. Ablufthauben sind unter Prozessanlagen verbucht</v>
      </c>
      <c r="GO27" s="379" t="str">
        <f>Begriffe!$F$277</f>
        <v>- Der prozessbedingte Aussenluftvolumenstrom ist in den Diagrammen nicht berücksichtigt</v>
      </c>
      <c r="GP27" s="583" t="str">
        <f>Begriffe!$F$285</f>
        <v>- Der Klimakälteleistungsbedarf und der jährliche Klimakältebedarf gelten für Räume ohne unterstützende Fensterlüftung</v>
      </c>
      <c r="GQ27" s="583" t="str">
        <f>Begriffe!$F$286</f>
        <v>- Die Wärmeeinträge von Prozessanlagen sind beim Klimakälte- und Heizwärmebedarf nicht berücksichtigt</v>
      </c>
      <c r="GR27" s="583" t="str">
        <f>Begriffe!$F317</f>
        <v>- Wasser- und Warmwasserbedarf sind in der Raumnutzung 6.1 enthalten</v>
      </c>
      <c r="HB27" s="379" t="s">
        <v>123</v>
      </c>
      <c r="HC27" s="379">
        <v>0.8</v>
      </c>
      <c r="HD27" s="379">
        <v>0.6</v>
      </c>
      <c r="HE27" s="379">
        <v>1</v>
      </c>
      <c r="HF27" s="379">
        <v>0.8</v>
      </c>
      <c r="HG27" s="379">
        <v>0.6</v>
      </c>
      <c r="HH27" s="379">
        <v>1</v>
      </c>
      <c r="HI27" s="379">
        <v>0.6</v>
      </c>
      <c r="HJ27" s="379">
        <v>0.6</v>
      </c>
      <c r="HK27" s="379">
        <v>1</v>
      </c>
      <c r="HL27" s="379">
        <v>0.8</v>
      </c>
      <c r="HM27" s="379">
        <v>1</v>
      </c>
      <c r="HN27" s="379">
        <v>0.6</v>
      </c>
      <c r="HO27" s="390">
        <f t="shared" si="11"/>
        <v>0.78333333333333333</v>
      </c>
      <c r="HQ27" s="390">
        <v>1</v>
      </c>
      <c r="HS27" s="541">
        <v>1</v>
      </c>
      <c r="HT27" s="541">
        <v>0</v>
      </c>
      <c r="HU27" s="600">
        <v>1</v>
      </c>
      <c r="HV27" s="600">
        <v>1</v>
      </c>
      <c r="HW27" s="600">
        <v>1</v>
      </c>
      <c r="HX27" s="600">
        <v>1</v>
      </c>
      <c r="HY27" s="600">
        <v>1</v>
      </c>
      <c r="HZ27" s="379">
        <v>16</v>
      </c>
      <c r="IA27" s="379">
        <v>14</v>
      </c>
      <c r="IB27" s="379">
        <v>1.2</v>
      </c>
      <c r="IC27" s="379">
        <v>6</v>
      </c>
      <c r="ID27" s="1439">
        <v>1.5882352941176472</v>
      </c>
      <c r="IE27" s="1440">
        <f t="shared" si="32"/>
        <v>38.235294117647058</v>
      </c>
    </row>
    <row r="28" spans="1:239" s="379" customFormat="1" ht="12" customHeight="1">
      <c r="A28" s="1643">
        <v>6.04</v>
      </c>
      <c r="B28" s="1644">
        <v>15</v>
      </c>
      <c r="C28" s="592" t="str">
        <f>Begriffe!F153</f>
        <v>Küche zu Selbstbedienungsrest.</v>
      </c>
      <c r="D28" s="604">
        <v>12</v>
      </c>
      <c r="E28" s="642">
        <v>12</v>
      </c>
      <c r="F28" s="642">
        <v>3</v>
      </c>
      <c r="G28" s="641">
        <f t="shared" si="33"/>
        <v>144</v>
      </c>
      <c r="H28" s="641">
        <v>127.05882352941177</v>
      </c>
      <c r="I28" s="385">
        <v>50</v>
      </c>
      <c r="J28" s="1442">
        <v>0.75</v>
      </c>
      <c r="K28" s="1447">
        <f t="shared" si="12"/>
        <v>66.666666666666671</v>
      </c>
      <c r="L28" s="1441">
        <v>1</v>
      </c>
      <c r="M28" s="601">
        <v>0.8</v>
      </c>
      <c r="N28" s="601">
        <v>1.5</v>
      </c>
      <c r="O28" s="1442">
        <v>0.17</v>
      </c>
      <c r="P28" s="601">
        <v>0.1</v>
      </c>
      <c r="Q28" s="601">
        <v>0.8</v>
      </c>
      <c r="R28" s="1442">
        <v>0.5</v>
      </c>
      <c r="S28" s="1442">
        <v>0.5</v>
      </c>
      <c r="T28" s="1442">
        <v>0.65</v>
      </c>
      <c r="U28" s="1442">
        <v>0.14000000000000001</v>
      </c>
      <c r="V28" s="1442">
        <v>0.1</v>
      </c>
      <c r="W28" s="1442">
        <v>0.2</v>
      </c>
      <c r="X28" s="385">
        <v>0.7</v>
      </c>
      <c r="Y28" s="385">
        <v>0.9</v>
      </c>
      <c r="Z28" s="385">
        <v>90</v>
      </c>
      <c r="AA28" s="602">
        <v>98.7</v>
      </c>
      <c r="AB28" s="576">
        <v>28</v>
      </c>
      <c r="AC28" s="639">
        <v>20</v>
      </c>
      <c r="AD28" s="639">
        <v>25</v>
      </c>
      <c r="AE28" s="639">
        <v>22</v>
      </c>
      <c r="AF28" s="588" t="s">
        <v>22</v>
      </c>
      <c r="AG28" s="1443" t="s">
        <v>124</v>
      </c>
      <c r="AH28" s="1443"/>
      <c r="AI28" s="1444"/>
      <c r="AJ28" s="1658" t="str">
        <f>Begriffe!F$247</f>
        <v>gering</v>
      </c>
      <c r="AK28" s="1443">
        <v>1</v>
      </c>
      <c r="AL28" s="1443">
        <f t="shared" si="13"/>
        <v>38</v>
      </c>
      <c r="AM28" s="1443">
        <f t="shared" si="14"/>
        <v>43</v>
      </c>
      <c r="AN28" s="1444">
        <f t="shared" si="15"/>
        <v>33</v>
      </c>
      <c r="AO28" s="1445">
        <v>0.8</v>
      </c>
      <c r="AP28" s="574">
        <v>5</v>
      </c>
      <c r="AQ28" s="601">
        <v>2</v>
      </c>
      <c r="AR28" s="601">
        <v>0.5</v>
      </c>
      <c r="AS28" s="601">
        <v>1</v>
      </c>
      <c r="AT28" s="602">
        <v>51</v>
      </c>
      <c r="AU28" s="602">
        <v>93</v>
      </c>
      <c r="AV28" s="602">
        <v>106</v>
      </c>
      <c r="AW28" s="602">
        <v>127</v>
      </c>
      <c r="AX28" s="1073">
        <v>10</v>
      </c>
      <c r="AY28" s="574">
        <v>10</v>
      </c>
      <c r="AZ28" s="385">
        <v>10</v>
      </c>
      <c r="BA28" s="385">
        <v>20</v>
      </c>
      <c r="BB28" s="385">
        <v>190</v>
      </c>
      <c r="BC28" s="385">
        <v>140</v>
      </c>
      <c r="BD28" s="385">
        <v>230</v>
      </c>
      <c r="BE28" s="385">
        <f t="shared" ref="BE28:BE37" si="52">AY28</f>
        <v>10</v>
      </c>
      <c r="BF28" s="385">
        <f t="shared" si="50"/>
        <v>10</v>
      </c>
      <c r="BG28" s="385">
        <f t="shared" si="51"/>
        <v>20</v>
      </c>
      <c r="BH28" s="640">
        <v>10</v>
      </c>
      <c r="BI28" s="1448">
        <f t="shared" si="23"/>
        <v>200</v>
      </c>
      <c r="BJ28" s="385">
        <v>500</v>
      </c>
      <c r="BK28" s="601">
        <f t="shared" si="24"/>
        <v>2.5</v>
      </c>
      <c r="BL28" s="574">
        <f t="shared" si="34"/>
        <v>500</v>
      </c>
      <c r="BM28" s="601">
        <v>1</v>
      </c>
      <c r="BN28" s="385">
        <v>500</v>
      </c>
      <c r="BO28" s="385" t="str">
        <f>Begriffe!$F$207</f>
        <v>DP</v>
      </c>
      <c r="BP28" s="601">
        <v>1</v>
      </c>
      <c r="BQ28" s="601">
        <v>1</v>
      </c>
      <c r="BR28" s="648">
        <v>0.75</v>
      </c>
      <c r="BS28" s="1809">
        <v>90</v>
      </c>
      <c r="BT28" s="1809">
        <v>130</v>
      </c>
      <c r="BU28" s="602">
        <f t="shared" si="38"/>
        <v>9</v>
      </c>
      <c r="BV28" s="1073">
        <f t="shared" si="25"/>
        <v>0</v>
      </c>
      <c r="BW28" s="582" t="s">
        <v>380</v>
      </c>
      <c r="BX28" s="598">
        <f t="shared" si="26"/>
        <v>48.333333333333336</v>
      </c>
      <c r="BY28" s="385"/>
      <c r="BZ28" s="601">
        <f t="shared" si="40"/>
        <v>9.6666666666666679</v>
      </c>
      <c r="CA28" s="602">
        <v>80</v>
      </c>
      <c r="CB28" s="601">
        <f t="shared" si="1"/>
        <v>9.6666666666666679</v>
      </c>
      <c r="CC28" s="385">
        <v>0</v>
      </c>
      <c r="CD28" s="1442">
        <v>0.15</v>
      </c>
      <c r="CE28" s="1442">
        <v>0.3</v>
      </c>
      <c r="CF28" s="387" t="str">
        <f t="shared" si="28"/>
        <v>IDA-C6</v>
      </c>
      <c r="CG28" s="387" t="str">
        <f t="shared" si="29"/>
        <v>IDA-C6</v>
      </c>
      <c r="CH28" s="387" t="str">
        <f t="shared" si="41"/>
        <v>IDA-C4</v>
      </c>
      <c r="CI28" s="387" t="str">
        <f>IF(CF28="IDA-C3",Begriffe!$F$248,IF(Eingabedaten!CF28="IDA-C4",Begriffe!$F$249,IF(Eingabedaten!CF28="IDA-C6",Begriffe!$F$250,"")))</f>
        <v>stufenlos</v>
      </c>
      <c r="CJ28" s="387" t="str">
        <f>IF(CG28="IDA-C3",Begriffe!$F$248,IF(Eingabedaten!CG28="IDA-C4",Begriffe!$F$249,IF(Eingabedaten!CG28="IDA-C6",Begriffe!$F$250,"")))</f>
        <v>stufenlos</v>
      </c>
      <c r="CK28" s="387" t="str">
        <f>IF(CH28="IDA-C3",Begriffe!$F$248,IF(Eingabedaten!CH28="IDA-C4",Begriffe!$F$249,IF(Eingabedaten!CH28="IDA-C6",Begriffe!$F$250,"")))</f>
        <v>zweistufig</v>
      </c>
      <c r="CL28" s="1442">
        <v>0.73</v>
      </c>
      <c r="CM28" s="1442">
        <v>0.78</v>
      </c>
      <c r="CN28" s="1442">
        <v>0.5</v>
      </c>
      <c r="CO28" s="1442">
        <v>0.7</v>
      </c>
      <c r="CP28" s="1442">
        <v>0.75</v>
      </c>
      <c r="CQ28" s="1449">
        <v>0.5</v>
      </c>
      <c r="CR28" s="589" t="str">
        <f>Begriffe!$F$252</f>
        <v>Einfache Klimaanlage</v>
      </c>
      <c r="CS28" s="589">
        <v>0.91</v>
      </c>
      <c r="CT28" s="589">
        <v>0.55000000000000004</v>
      </c>
      <c r="CU28" s="589">
        <v>0.34</v>
      </c>
      <c r="CV28" s="1470">
        <v>0.91</v>
      </c>
      <c r="CW28" s="1471" t="str">
        <f>Begriffe!$F$259</f>
        <v>notwendig</v>
      </c>
      <c r="CX28" s="589" t="str">
        <f>Begriffe!$F$259</f>
        <v>notwendig</v>
      </c>
      <c r="CY28" s="589" t="str">
        <f>Begriffe!$F$259</f>
        <v>notwendig</v>
      </c>
      <c r="CZ28" s="589" t="str">
        <f>Begriffe!$F$259</f>
        <v>notwendig</v>
      </c>
      <c r="DA28" s="589" t="str">
        <f>Begriffe!$F$259</f>
        <v>notwendig</v>
      </c>
      <c r="DB28" s="1470" t="str">
        <f>Begriffe!$F$259</f>
        <v>notwendig</v>
      </c>
      <c r="DC28" s="574">
        <v>500</v>
      </c>
      <c r="DD28" s="385">
        <v>700</v>
      </c>
      <c r="DE28" s="385">
        <v>300</v>
      </c>
      <c r="DF28" s="572">
        <v>0</v>
      </c>
      <c r="DG28" s="574">
        <v>0.1</v>
      </c>
      <c r="DH28" s="572">
        <f t="shared" si="30"/>
        <v>0.3</v>
      </c>
      <c r="DI28" s="574"/>
      <c r="DJ28" s="385"/>
      <c r="DK28" s="385"/>
      <c r="DL28" s="602"/>
      <c r="DM28" s="385"/>
      <c r="DN28" s="1073"/>
      <c r="DO28" s="590" t="s">
        <v>86</v>
      </c>
      <c r="DP28" s="1441"/>
      <c r="DQ28" s="601"/>
      <c r="DR28" s="601"/>
      <c r="DS28" s="1446"/>
      <c r="DT28" s="601"/>
      <c r="DU28" s="1454"/>
      <c r="DV28" s="601"/>
      <c r="DW28" s="601">
        <v>0.4</v>
      </c>
      <c r="DX28" s="601">
        <v>0.4</v>
      </c>
      <c r="DY28" s="1446">
        <v>0.8</v>
      </c>
      <c r="DZ28" s="601">
        <v>1</v>
      </c>
      <c r="EA28" s="1454">
        <v>1</v>
      </c>
      <c r="EB28" s="601">
        <v>0.6</v>
      </c>
      <c r="EC28" s="601">
        <v>0.4</v>
      </c>
      <c r="ED28" s="601">
        <v>0.2</v>
      </c>
      <c r="EE28" s="1446">
        <v>0.2</v>
      </c>
      <c r="EF28" s="601"/>
      <c r="EG28" s="1454"/>
      <c r="EH28" s="601"/>
      <c r="EI28" s="601"/>
      <c r="EJ28" s="601"/>
      <c r="EK28" s="1446"/>
      <c r="EL28" s="601"/>
      <c r="EM28" s="1447"/>
      <c r="EN28" s="604">
        <v>0.1</v>
      </c>
      <c r="EO28" s="642">
        <v>0.1</v>
      </c>
      <c r="EP28" s="642">
        <v>0.1</v>
      </c>
      <c r="EQ28" s="644">
        <v>0.1</v>
      </c>
      <c r="ER28" s="642">
        <v>0.1</v>
      </c>
      <c r="ES28" s="645">
        <v>0.1</v>
      </c>
      <c r="ET28" s="642">
        <v>0.1</v>
      </c>
      <c r="EU28" s="601">
        <v>0.4</v>
      </c>
      <c r="EV28" s="601">
        <v>0.4</v>
      </c>
      <c r="EW28" s="1446">
        <v>0.8</v>
      </c>
      <c r="EX28" s="601">
        <v>1</v>
      </c>
      <c r="EY28" s="1454">
        <v>1</v>
      </c>
      <c r="EZ28" s="601">
        <v>0.6</v>
      </c>
      <c r="FA28" s="601">
        <v>0.4</v>
      </c>
      <c r="FB28" s="601">
        <v>0.2</v>
      </c>
      <c r="FC28" s="1446">
        <v>0.2</v>
      </c>
      <c r="FD28" s="601">
        <v>0.1</v>
      </c>
      <c r="FE28" s="1454">
        <v>0.1</v>
      </c>
      <c r="FF28" s="601">
        <v>0.1</v>
      </c>
      <c r="FG28" s="601">
        <v>0.1</v>
      </c>
      <c r="FH28" s="601">
        <v>0.1</v>
      </c>
      <c r="FI28" s="1446">
        <v>0.1</v>
      </c>
      <c r="FJ28" s="601">
        <v>0.1</v>
      </c>
      <c r="FK28" s="1447">
        <v>0.1</v>
      </c>
      <c r="FL28" s="604" t="s">
        <v>575</v>
      </c>
      <c r="FM28" s="604">
        <v>0.8</v>
      </c>
      <c r="FN28" s="642">
        <v>0.8</v>
      </c>
      <c r="FO28" s="642">
        <v>0.8</v>
      </c>
      <c r="FP28" s="644">
        <v>0.8</v>
      </c>
      <c r="FQ28" s="642">
        <v>0.8</v>
      </c>
      <c r="FR28" s="645">
        <v>0.8</v>
      </c>
      <c r="FS28" s="642">
        <v>0.8</v>
      </c>
      <c r="FT28" s="642">
        <v>0.8</v>
      </c>
      <c r="FU28" s="642">
        <v>0.8</v>
      </c>
      <c r="FV28" s="644">
        <v>0.8</v>
      </c>
      <c r="FW28" s="642">
        <v>0.8</v>
      </c>
      <c r="FX28" s="646">
        <v>0.8</v>
      </c>
      <c r="FY28" s="576">
        <v>1</v>
      </c>
      <c r="FZ28" s="640">
        <f t="shared" si="35"/>
        <v>313</v>
      </c>
      <c r="GA28" s="604">
        <f t="shared" si="2"/>
        <v>9</v>
      </c>
      <c r="GB28" s="642">
        <f t="shared" si="3"/>
        <v>5.0000000000000009</v>
      </c>
      <c r="GC28" s="642">
        <f t="shared" si="4"/>
        <v>5.0000000000000009</v>
      </c>
      <c r="GD28" s="642">
        <f t="shared" si="5"/>
        <v>0</v>
      </c>
      <c r="GE28" s="648">
        <f t="shared" si="6"/>
        <v>0.80000000000000016</v>
      </c>
      <c r="GF28" s="641">
        <f t="shared" si="31"/>
        <v>2820</v>
      </c>
      <c r="GG28" s="641">
        <f t="shared" si="7"/>
        <v>2820</v>
      </c>
      <c r="GH28" s="592">
        <f t="shared" si="36"/>
        <v>1250</v>
      </c>
      <c r="GI28" s="604">
        <f t="shared" si="8"/>
        <v>24</v>
      </c>
      <c r="GJ28" s="642">
        <f t="shared" si="9"/>
        <v>6.4999999999999973</v>
      </c>
      <c r="GK28" s="642">
        <f t="shared" si="10"/>
        <v>2.4000000000000004</v>
      </c>
      <c r="GL28" s="592">
        <f t="shared" si="37"/>
        <v>1730</v>
      </c>
      <c r="GM28" s="1122"/>
      <c r="GN28" s="379" t="str">
        <f>Begriffe!$F$279</f>
        <v>- Küchengeräte inkl. Ablufthauben sind unter Prozessanlagen verbucht</v>
      </c>
      <c r="GO28" s="379" t="str">
        <f>Begriffe!$F$277</f>
        <v>- Der prozessbedingte Aussenluftvolumenstrom ist in den Diagrammen nicht berücksichtigt</v>
      </c>
      <c r="GP28" s="583" t="str">
        <f>Begriffe!$F$285</f>
        <v>- Der Klimakälteleistungsbedarf und der jährliche Klimakältebedarf gelten für Räume ohne unterstützende Fensterlüftung</v>
      </c>
      <c r="GQ28" s="583" t="str">
        <f>Begriffe!$F$286</f>
        <v>- Die Wärmeeinträge von Prozessanlagen sind beim Klimakälte- und Heizwärmebedarf nicht berücksichtigt</v>
      </c>
      <c r="GR28" s="583" t="str">
        <f>Begriffe!$F318</f>
        <v>- Wasser- und Warmwasserbedarf sind in der Raumnutzung 6.2 enthalten</v>
      </c>
      <c r="HB28" s="379" t="s">
        <v>123</v>
      </c>
      <c r="HC28" s="379">
        <v>0.8</v>
      </c>
      <c r="HD28" s="379">
        <v>0.6</v>
      </c>
      <c r="HE28" s="379">
        <v>1</v>
      </c>
      <c r="HF28" s="379">
        <v>0.8</v>
      </c>
      <c r="HG28" s="379">
        <v>0.6</v>
      </c>
      <c r="HH28" s="379">
        <v>1</v>
      </c>
      <c r="HI28" s="379">
        <v>0.6</v>
      </c>
      <c r="HJ28" s="379">
        <v>0.6</v>
      </c>
      <c r="HK28" s="379">
        <v>1</v>
      </c>
      <c r="HL28" s="379">
        <v>0.8</v>
      </c>
      <c r="HM28" s="379">
        <v>1</v>
      </c>
      <c r="HN28" s="379">
        <v>0.6</v>
      </c>
      <c r="HO28" s="390">
        <f t="shared" si="11"/>
        <v>0.78333333333333333</v>
      </c>
      <c r="HQ28" s="390">
        <v>1</v>
      </c>
      <c r="HS28" s="541">
        <v>1</v>
      </c>
      <c r="HT28" s="541">
        <v>0</v>
      </c>
      <c r="HU28" s="600">
        <v>1</v>
      </c>
      <c r="HV28" s="600">
        <v>1</v>
      </c>
      <c r="HW28" s="600">
        <v>1</v>
      </c>
      <c r="HX28" s="600">
        <v>1</v>
      </c>
      <c r="HY28" s="600">
        <v>1</v>
      </c>
      <c r="HZ28" s="379">
        <v>16</v>
      </c>
      <c r="IA28" s="379">
        <v>14</v>
      </c>
      <c r="IB28" s="379">
        <v>1.2</v>
      </c>
      <c r="IC28" s="379">
        <v>6</v>
      </c>
      <c r="ID28" s="1439">
        <v>0.79411764705882359</v>
      </c>
      <c r="IE28" s="1440">
        <f t="shared" si="32"/>
        <v>27.117647058823529</v>
      </c>
    </row>
    <row r="29" spans="1:239" s="379" customFormat="1" ht="12" customHeight="1">
      <c r="A29" s="1642">
        <v>7.01</v>
      </c>
      <c r="B29" s="1640"/>
      <c r="C29" s="1635" t="str">
        <f>Begriffe!F154</f>
        <v>Vorstellungsraum</v>
      </c>
      <c r="D29" s="1618">
        <v>20</v>
      </c>
      <c r="E29" s="1605">
        <v>20</v>
      </c>
      <c r="F29" s="1605">
        <v>7</v>
      </c>
      <c r="G29" s="1619">
        <f t="shared" si="33"/>
        <v>400</v>
      </c>
      <c r="H29" s="1619">
        <v>494.11764705882354</v>
      </c>
      <c r="I29" s="1601">
        <v>0</v>
      </c>
      <c r="J29" s="1616">
        <v>0.75</v>
      </c>
      <c r="K29" s="1617">
        <f t="shared" si="12"/>
        <v>0</v>
      </c>
      <c r="L29" s="1422">
        <v>1</v>
      </c>
      <c r="M29" s="599">
        <v>0.8</v>
      </c>
      <c r="N29" s="599">
        <v>1.5</v>
      </c>
      <c r="O29" s="1423">
        <v>0.17</v>
      </c>
      <c r="P29" s="599">
        <v>0.1</v>
      </c>
      <c r="Q29" s="599">
        <v>0.8</v>
      </c>
      <c r="R29" s="1423">
        <v>0.5</v>
      </c>
      <c r="S29" s="1423">
        <v>0.5</v>
      </c>
      <c r="T29" s="1423">
        <v>0.65</v>
      </c>
      <c r="U29" s="1423">
        <v>0.14000000000000001</v>
      </c>
      <c r="V29" s="1423">
        <v>0.1</v>
      </c>
      <c r="W29" s="1423">
        <v>0.2</v>
      </c>
      <c r="X29" s="384">
        <v>0.7</v>
      </c>
      <c r="Y29" s="384">
        <v>0.9</v>
      </c>
      <c r="Z29" s="384">
        <v>90</v>
      </c>
      <c r="AA29" s="597">
        <v>111.4</v>
      </c>
      <c r="AB29" s="570">
        <v>26</v>
      </c>
      <c r="AC29" s="1431">
        <v>21</v>
      </c>
      <c r="AD29" s="1431">
        <v>25</v>
      </c>
      <c r="AE29" s="1431">
        <v>22</v>
      </c>
      <c r="AF29" s="584" t="s">
        <v>22</v>
      </c>
      <c r="AG29" s="1424" t="s">
        <v>122</v>
      </c>
      <c r="AH29" s="1424">
        <v>60</v>
      </c>
      <c r="AI29" s="1425">
        <v>30</v>
      </c>
      <c r="AJ29" s="1657" t="str">
        <f>Begriffe!F$246</f>
        <v>mittel</v>
      </c>
      <c r="AK29" s="1424">
        <v>2</v>
      </c>
      <c r="AL29" s="1424">
        <f t="shared" si="13"/>
        <v>33</v>
      </c>
      <c r="AM29" s="1424">
        <f t="shared" si="14"/>
        <v>38</v>
      </c>
      <c r="AN29" s="1425">
        <f t="shared" si="15"/>
        <v>28</v>
      </c>
      <c r="AO29" s="1426">
        <v>1.2</v>
      </c>
      <c r="AP29" s="568">
        <v>3</v>
      </c>
      <c r="AQ29" s="1609">
        <v>1.2</v>
      </c>
      <c r="AR29" s="1609">
        <v>0.5</v>
      </c>
      <c r="AS29" s="599">
        <v>1</v>
      </c>
      <c r="AT29" s="1615">
        <f t="shared" si="16"/>
        <v>84</v>
      </c>
      <c r="AU29" s="1615">
        <f t="shared" si="17"/>
        <v>94</v>
      </c>
      <c r="AV29" s="1615">
        <f t="shared" si="18"/>
        <v>51</v>
      </c>
      <c r="AW29" s="1615">
        <f t="shared" si="19"/>
        <v>66</v>
      </c>
      <c r="AX29" s="1428">
        <v>0.5</v>
      </c>
      <c r="AY29" s="568">
        <v>2</v>
      </c>
      <c r="AZ29" s="384">
        <v>1</v>
      </c>
      <c r="BA29" s="384">
        <v>3</v>
      </c>
      <c r="BB29" s="384"/>
      <c r="BC29" s="384"/>
      <c r="BD29" s="384"/>
      <c r="BE29" s="384">
        <f t="shared" si="52"/>
        <v>2</v>
      </c>
      <c r="BF29" s="384">
        <f t="shared" si="50"/>
        <v>1</v>
      </c>
      <c r="BG29" s="384">
        <f t="shared" si="51"/>
        <v>3</v>
      </c>
      <c r="BH29" s="623">
        <v>10</v>
      </c>
      <c r="BI29" s="1473">
        <f t="shared" si="23"/>
        <v>2</v>
      </c>
      <c r="BJ29" s="386">
        <v>50</v>
      </c>
      <c r="BK29" s="625">
        <f t="shared" si="24"/>
        <v>25</v>
      </c>
      <c r="BL29" s="653">
        <f t="shared" si="34"/>
        <v>300</v>
      </c>
      <c r="BM29" s="625">
        <v>1</v>
      </c>
      <c r="BN29" s="386">
        <v>300</v>
      </c>
      <c r="BO29" s="386" t="str">
        <f>Begriffe!$F$207</f>
        <v>DP</v>
      </c>
      <c r="BP29" s="625">
        <v>1</v>
      </c>
      <c r="BQ29" s="625">
        <v>1</v>
      </c>
      <c r="BR29" s="626">
        <v>0.75</v>
      </c>
      <c r="BS29" s="1808">
        <v>90</v>
      </c>
      <c r="BT29" s="1808">
        <v>130</v>
      </c>
      <c r="BU29" s="597">
        <f t="shared" si="38"/>
        <v>6</v>
      </c>
      <c r="BV29" s="1429">
        <f t="shared" si="25"/>
        <v>6</v>
      </c>
      <c r="BW29" s="1655" t="s">
        <v>380</v>
      </c>
      <c r="BX29" s="1615">
        <f t="shared" si="26"/>
        <v>29</v>
      </c>
      <c r="BY29" s="1601"/>
      <c r="BZ29" s="1609">
        <f t="shared" si="40"/>
        <v>9.6666666666666661</v>
      </c>
      <c r="CA29" s="1615"/>
      <c r="CB29" s="599">
        <f t="shared" si="1"/>
        <v>9.6666666666666661</v>
      </c>
      <c r="CC29" s="384">
        <v>0</v>
      </c>
      <c r="CD29" s="1423">
        <v>0.15</v>
      </c>
      <c r="CE29" s="1423">
        <v>0.3</v>
      </c>
      <c r="CF29" s="386" t="str">
        <f t="shared" si="28"/>
        <v>IDA-C6</v>
      </c>
      <c r="CG29" s="386" t="str">
        <f t="shared" si="29"/>
        <v>IDA-C6</v>
      </c>
      <c r="CH29" s="386" t="str">
        <f t="shared" si="41"/>
        <v>IDA-C4</v>
      </c>
      <c r="CI29" s="386" t="str">
        <f>IF(CF29="IDA-C3",Begriffe!$F$248,IF(Eingabedaten!CF29="IDA-C4",Begriffe!$F$249,IF(Eingabedaten!CF29="IDA-C6",Begriffe!$F$250,"")))</f>
        <v>stufenlos</v>
      </c>
      <c r="CJ29" s="386" t="str">
        <f>IF(CG29="IDA-C3",Begriffe!$F$248,IF(Eingabedaten!CG29="IDA-C4",Begriffe!$F$249,IF(Eingabedaten!CG29="IDA-C6",Begriffe!$F$250,"")))</f>
        <v>stufenlos</v>
      </c>
      <c r="CK29" s="386" t="str">
        <f>IF(CH29="IDA-C3",Begriffe!$F$248,IF(Eingabedaten!CH29="IDA-C4",Begriffe!$F$249,IF(Eingabedaten!CH29="IDA-C6",Begriffe!$F$250,"")))</f>
        <v>zweistufig</v>
      </c>
      <c r="CL29" s="1423">
        <v>0.73</v>
      </c>
      <c r="CM29" s="1423">
        <v>0.78</v>
      </c>
      <c r="CN29" s="1423">
        <v>0.5</v>
      </c>
      <c r="CO29" s="1423">
        <v>0.7</v>
      </c>
      <c r="CP29" s="1423">
        <v>0.75</v>
      </c>
      <c r="CQ29" s="1432">
        <v>0.5</v>
      </c>
      <c r="CR29" s="596" t="str">
        <f>Begriffe!$F$252</f>
        <v>Einfache Klimaanlage</v>
      </c>
      <c r="CS29" s="596">
        <v>0.91</v>
      </c>
      <c r="CT29" s="596">
        <v>0.55000000000000004</v>
      </c>
      <c r="CU29" s="596">
        <v>0.34</v>
      </c>
      <c r="CV29" s="1467">
        <v>0.91</v>
      </c>
      <c r="CW29" s="1468" t="str">
        <f>Begriffe!$F$259</f>
        <v>notwendig</v>
      </c>
      <c r="CX29" s="596" t="str">
        <f>Begriffe!$F$259</f>
        <v>notwendig</v>
      </c>
      <c r="CY29" s="596" t="str">
        <f>Begriffe!$F$259</f>
        <v>notwendig</v>
      </c>
      <c r="CZ29" s="596" t="str">
        <f>Begriffe!$F$259</f>
        <v>notwendig</v>
      </c>
      <c r="DA29" s="596" t="str">
        <f>Begriffe!$F$259</f>
        <v>notwendig</v>
      </c>
      <c r="DB29" s="1467" t="str">
        <f>Begriffe!$F$259</f>
        <v>notwendig</v>
      </c>
      <c r="DC29" s="568">
        <v>1</v>
      </c>
      <c r="DD29" s="384">
        <v>2</v>
      </c>
      <c r="DE29" s="384">
        <v>0</v>
      </c>
      <c r="DF29" s="566">
        <v>0.5</v>
      </c>
      <c r="DG29" s="568">
        <v>0.1</v>
      </c>
      <c r="DH29" s="566">
        <f t="shared" si="30"/>
        <v>0.3</v>
      </c>
      <c r="DI29" s="568" t="str">
        <f>Begriffe!$F$260</f>
        <v>Person</v>
      </c>
      <c r="DJ29" s="384">
        <v>1.5</v>
      </c>
      <c r="DK29" s="384">
        <v>1</v>
      </c>
      <c r="DL29" s="599">
        <f>IF(DK29=0,DJ29,DJ29*DK29)</f>
        <v>1.5</v>
      </c>
      <c r="DM29" s="384">
        <v>20</v>
      </c>
      <c r="DN29" s="1429">
        <f>DL29*DM29</f>
        <v>30</v>
      </c>
      <c r="DO29" s="1436" t="s">
        <v>87</v>
      </c>
      <c r="DP29" s="624"/>
      <c r="DQ29" s="625"/>
      <c r="DR29" s="625"/>
      <c r="DS29" s="1144"/>
      <c r="DT29" s="625"/>
      <c r="DU29" s="1145"/>
      <c r="DV29" s="625"/>
      <c r="DW29" s="625"/>
      <c r="DX29" s="625"/>
      <c r="DY29" s="1144"/>
      <c r="DZ29" s="625"/>
      <c r="EA29" s="1145"/>
      <c r="EB29" s="625">
        <v>0.2</v>
      </c>
      <c r="EC29" s="625">
        <v>0.6</v>
      </c>
      <c r="ED29" s="625">
        <v>0.6</v>
      </c>
      <c r="EE29" s="1144">
        <v>0.6</v>
      </c>
      <c r="EF29" s="625">
        <v>0.6</v>
      </c>
      <c r="EG29" s="1145">
        <v>0.6</v>
      </c>
      <c r="EH29" s="625">
        <v>0.6</v>
      </c>
      <c r="EI29" s="625">
        <v>1</v>
      </c>
      <c r="EJ29" s="625">
        <v>1</v>
      </c>
      <c r="EK29" s="1144">
        <v>1</v>
      </c>
      <c r="EL29" s="625">
        <v>0.6</v>
      </c>
      <c r="EM29" s="1146">
        <v>0.2</v>
      </c>
      <c r="EN29" s="624">
        <v>0.1</v>
      </c>
      <c r="EO29" s="625">
        <v>0.1</v>
      </c>
      <c r="EP29" s="625">
        <v>0.1</v>
      </c>
      <c r="EQ29" s="1144">
        <v>0.1</v>
      </c>
      <c r="ER29" s="625">
        <v>0.1</v>
      </c>
      <c r="ES29" s="1145">
        <v>0.1</v>
      </c>
      <c r="ET29" s="625">
        <v>0.1</v>
      </c>
      <c r="EU29" s="625">
        <v>0.1</v>
      </c>
      <c r="EV29" s="625">
        <v>0.1</v>
      </c>
      <c r="EW29" s="1144">
        <v>0.1</v>
      </c>
      <c r="EX29" s="625">
        <v>0.1</v>
      </c>
      <c r="EY29" s="1145">
        <v>0.1</v>
      </c>
      <c r="EZ29" s="625">
        <v>0.2</v>
      </c>
      <c r="FA29" s="625">
        <v>0.6</v>
      </c>
      <c r="FB29" s="625">
        <v>0.6</v>
      </c>
      <c r="FC29" s="1144">
        <v>0.6</v>
      </c>
      <c r="FD29" s="625">
        <v>0.6</v>
      </c>
      <c r="FE29" s="1145">
        <v>0.6</v>
      </c>
      <c r="FF29" s="625">
        <v>0.6</v>
      </c>
      <c r="FG29" s="625">
        <v>1</v>
      </c>
      <c r="FH29" s="625">
        <v>1</v>
      </c>
      <c r="FI29" s="1144">
        <v>1</v>
      </c>
      <c r="FJ29" s="625">
        <v>0.6</v>
      </c>
      <c r="FK29" s="1146">
        <v>0.2</v>
      </c>
      <c r="FL29" s="624" t="s">
        <v>575</v>
      </c>
      <c r="FM29" s="624">
        <v>0.8</v>
      </c>
      <c r="FN29" s="625">
        <v>0.8</v>
      </c>
      <c r="FO29" s="625">
        <v>0.8</v>
      </c>
      <c r="FP29" s="1144">
        <v>0.8</v>
      </c>
      <c r="FQ29" s="625">
        <v>0.8</v>
      </c>
      <c r="FR29" s="1145">
        <v>0.8</v>
      </c>
      <c r="FS29" s="625">
        <v>0.8</v>
      </c>
      <c r="FT29" s="625">
        <v>0.8</v>
      </c>
      <c r="FU29" s="625">
        <v>0.8</v>
      </c>
      <c r="FV29" s="1144">
        <v>0.8</v>
      </c>
      <c r="FW29" s="625">
        <v>0.8</v>
      </c>
      <c r="FX29" s="1146">
        <v>0.8</v>
      </c>
      <c r="FY29" s="585">
        <v>1</v>
      </c>
      <c r="FZ29" s="613">
        <f t="shared" si="35"/>
        <v>313</v>
      </c>
      <c r="GA29" s="620">
        <f t="shared" si="2"/>
        <v>12</v>
      </c>
      <c r="GB29" s="618">
        <f t="shared" si="3"/>
        <v>7.6000000000000005</v>
      </c>
      <c r="GC29" s="618">
        <f t="shared" si="4"/>
        <v>3.2</v>
      </c>
      <c r="GD29" s="618">
        <f t="shared" si="5"/>
        <v>4.4000000000000004</v>
      </c>
      <c r="GE29" s="627">
        <f t="shared" si="6"/>
        <v>0.80000000000000016</v>
      </c>
      <c r="GF29" s="205">
        <f t="shared" si="31"/>
        <v>3760</v>
      </c>
      <c r="GG29" s="205">
        <f t="shared" si="7"/>
        <v>3760</v>
      </c>
      <c r="GH29" s="463">
        <f t="shared" si="36"/>
        <v>1900</v>
      </c>
      <c r="GI29" s="620">
        <f t="shared" si="8"/>
        <v>24</v>
      </c>
      <c r="GJ29" s="618">
        <f t="shared" si="9"/>
        <v>8.7999999999999989</v>
      </c>
      <c r="GK29" s="618">
        <f t="shared" si="10"/>
        <v>2.4000000000000004</v>
      </c>
      <c r="GL29" s="463">
        <f t="shared" si="37"/>
        <v>2300</v>
      </c>
      <c r="GM29" s="594" t="str">
        <f>Begriffe!F288</f>
        <v>- Bühnenbereich des Theaters mit speziellen Anforderungen</v>
      </c>
      <c r="GO29" s="379" t="str">
        <f>IF(CH29=0,Begriffe!$F$297,"")</f>
        <v/>
      </c>
      <c r="GP29" s="583" t="str">
        <f>Begriffe!$F$285</f>
        <v>- Der Klimakälteleistungsbedarf und der jährliche Klimakältebedarf gelten für Räume ohne unterstützende Fensterlüftung</v>
      </c>
      <c r="GQ29" s="583"/>
      <c r="GR29" s="583" t="str">
        <f>Begriffe!$F319</f>
        <v>- Wasser- und Warmwasserbedarf pro Person (Besucher)</v>
      </c>
      <c r="HB29" s="379" t="s">
        <v>123</v>
      </c>
      <c r="HC29" s="379">
        <v>0.8</v>
      </c>
      <c r="HD29" s="379">
        <v>0.4</v>
      </c>
      <c r="HE29" s="379">
        <v>1</v>
      </c>
      <c r="HF29" s="379">
        <v>0.8</v>
      </c>
      <c r="HG29" s="379">
        <v>0.4</v>
      </c>
      <c r="HH29" s="379">
        <v>1</v>
      </c>
      <c r="HI29" s="379">
        <v>0.2</v>
      </c>
      <c r="HJ29" s="379">
        <v>0.6</v>
      </c>
      <c r="HK29" s="379">
        <v>1</v>
      </c>
      <c r="HL29" s="379">
        <v>0.4</v>
      </c>
      <c r="HM29" s="379">
        <v>1</v>
      </c>
      <c r="HN29" s="379">
        <v>0.6</v>
      </c>
      <c r="HO29" s="390">
        <f t="shared" si="11"/>
        <v>0.68333333333333346</v>
      </c>
      <c r="HQ29" s="390">
        <v>1</v>
      </c>
      <c r="HS29" s="541">
        <v>1</v>
      </c>
      <c r="HT29" s="541">
        <v>0</v>
      </c>
      <c r="HU29" s="600">
        <v>1</v>
      </c>
      <c r="HV29" s="600">
        <v>1</v>
      </c>
      <c r="HW29" s="600">
        <v>1</v>
      </c>
      <c r="HX29" s="600">
        <v>1</v>
      </c>
      <c r="HY29" s="600">
        <v>1</v>
      </c>
      <c r="HZ29" s="379">
        <v>18</v>
      </c>
      <c r="IA29" s="379">
        <v>14</v>
      </c>
      <c r="IB29" s="379">
        <v>1</v>
      </c>
      <c r="IC29" s="379">
        <v>7</v>
      </c>
      <c r="ID29" s="1439">
        <v>1.111764705882353</v>
      </c>
      <c r="IE29" s="1440">
        <f t="shared" si="32"/>
        <v>33.564705882352939</v>
      </c>
    </row>
    <row r="30" spans="1:239" s="379" customFormat="1" ht="12" customHeight="1">
      <c r="A30" s="1641">
        <v>7.02</v>
      </c>
      <c r="B30" s="539"/>
      <c r="C30" s="463" t="str">
        <f>Begriffe!F155</f>
        <v>Mehrzweckhalle</v>
      </c>
      <c r="D30" s="620">
        <v>20</v>
      </c>
      <c r="E30" s="618">
        <v>20</v>
      </c>
      <c r="F30" s="618">
        <v>7</v>
      </c>
      <c r="G30" s="205">
        <f t="shared" si="33"/>
        <v>400</v>
      </c>
      <c r="H30" s="205">
        <v>494.11764705882354</v>
      </c>
      <c r="I30" s="390">
        <v>50</v>
      </c>
      <c r="J30" s="1439">
        <v>0.75</v>
      </c>
      <c r="K30" s="632">
        <f t="shared" si="12"/>
        <v>66.666666666666671</v>
      </c>
      <c r="L30" s="630">
        <v>1</v>
      </c>
      <c r="M30" s="595">
        <v>0.8</v>
      </c>
      <c r="N30" s="595">
        <v>1.5</v>
      </c>
      <c r="O30" s="1439">
        <v>0.17</v>
      </c>
      <c r="P30" s="595">
        <v>0.1</v>
      </c>
      <c r="Q30" s="595">
        <v>0.8</v>
      </c>
      <c r="R30" s="1439">
        <v>0.5</v>
      </c>
      <c r="S30" s="1439">
        <v>0.5</v>
      </c>
      <c r="T30" s="1439">
        <v>0.65</v>
      </c>
      <c r="U30" s="1439">
        <v>0.14000000000000001</v>
      </c>
      <c r="V30" s="1439">
        <v>0.1</v>
      </c>
      <c r="W30" s="1439">
        <v>0.2</v>
      </c>
      <c r="X30" s="390">
        <v>0.7</v>
      </c>
      <c r="Y30" s="390">
        <v>0.9</v>
      </c>
      <c r="Z30" s="390">
        <v>90</v>
      </c>
      <c r="AA30" s="598">
        <v>105.8</v>
      </c>
      <c r="AB30" s="582">
        <v>26</v>
      </c>
      <c r="AC30" s="1440">
        <v>21</v>
      </c>
      <c r="AD30" s="1440">
        <v>25</v>
      </c>
      <c r="AE30" s="1440">
        <v>22</v>
      </c>
      <c r="AF30" s="578" t="s">
        <v>22</v>
      </c>
      <c r="AG30" s="1456" t="s">
        <v>122</v>
      </c>
      <c r="AH30" s="1456">
        <v>60</v>
      </c>
      <c r="AI30" s="1457">
        <v>30</v>
      </c>
      <c r="AJ30" s="1659" t="str">
        <f>Begriffe!F$247</f>
        <v>gering</v>
      </c>
      <c r="AK30" s="1456">
        <v>1</v>
      </c>
      <c r="AL30" s="1456">
        <f t="shared" si="13"/>
        <v>38</v>
      </c>
      <c r="AM30" s="1456">
        <f t="shared" si="14"/>
        <v>43</v>
      </c>
      <c r="AN30" s="1457">
        <f t="shared" si="15"/>
        <v>33</v>
      </c>
      <c r="AO30" s="1458">
        <v>1.2</v>
      </c>
      <c r="AP30" s="580">
        <v>3</v>
      </c>
      <c r="AQ30" s="595">
        <v>1.2</v>
      </c>
      <c r="AR30" s="595">
        <v>0.5</v>
      </c>
      <c r="AS30" s="595">
        <v>1</v>
      </c>
      <c r="AT30" s="598">
        <f t="shared" si="16"/>
        <v>84</v>
      </c>
      <c r="AU30" s="598">
        <f t="shared" si="17"/>
        <v>94</v>
      </c>
      <c r="AV30" s="598">
        <f t="shared" si="18"/>
        <v>51</v>
      </c>
      <c r="AW30" s="598">
        <f t="shared" si="19"/>
        <v>66</v>
      </c>
      <c r="AX30" s="632">
        <v>0.5</v>
      </c>
      <c r="AY30" s="580">
        <v>4</v>
      </c>
      <c r="AZ30" s="390">
        <v>2</v>
      </c>
      <c r="BA30" s="390">
        <v>6</v>
      </c>
      <c r="BB30" s="390"/>
      <c r="BC30" s="390"/>
      <c r="BD30" s="390"/>
      <c r="BE30" s="390">
        <f t="shared" si="52"/>
        <v>4</v>
      </c>
      <c r="BF30" s="390">
        <f t="shared" si="50"/>
        <v>2</v>
      </c>
      <c r="BG30" s="390">
        <f t="shared" si="51"/>
        <v>6</v>
      </c>
      <c r="BH30" s="613">
        <v>10</v>
      </c>
      <c r="BI30" s="614">
        <f t="shared" si="23"/>
        <v>4</v>
      </c>
      <c r="BJ30" s="390">
        <v>80</v>
      </c>
      <c r="BK30" s="618">
        <f t="shared" si="24"/>
        <v>20</v>
      </c>
      <c r="BL30" s="637">
        <f t="shared" si="34"/>
        <v>300</v>
      </c>
      <c r="BM30" s="618">
        <v>1</v>
      </c>
      <c r="BN30" s="379">
        <v>300</v>
      </c>
      <c r="BO30" s="379" t="str">
        <f>Begriffe!$F$207</f>
        <v>DP</v>
      </c>
      <c r="BP30" s="618">
        <v>1</v>
      </c>
      <c r="BQ30" s="618">
        <v>1</v>
      </c>
      <c r="BR30" s="627">
        <v>0.75</v>
      </c>
      <c r="BS30" s="1120">
        <v>90</v>
      </c>
      <c r="BT30" s="1120">
        <v>130</v>
      </c>
      <c r="BU30" s="598">
        <f t="shared" si="38"/>
        <v>11</v>
      </c>
      <c r="BV30" s="629">
        <f t="shared" si="25"/>
        <v>5</v>
      </c>
      <c r="BW30" s="582" t="s">
        <v>380</v>
      </c>
      <c r="BX30" s="598">
        <f t="shared" si="26"/>
        <v>29</v>
      </c>
      <c r="BY30" s="390"/>
      <c r="BZ30" s="595">
        <f t="shared" si="40"/>
        <v>9.6666666666666661</v>
      </c>
      <c r="CA30" s="598"/>
      <c r="CB30" s="595">
        <f t="shared" si="1"/>
        <v>9.6666666666666661</v>
      </c>
      <c r="CC30" s="390">
        <v>0</v>
      </c>
      <c r="CD30" s="1439">
        <v>0.15</v>
      </c>
      <c r="CE30" s="1439">
        <v>0.3</v>
      </c>
      <c r="CF30" s="379" t="str">
        <f t="shared" si="28"/>
        <v>IDA-C6</v>
      </c>
      <c r="CG30" s="379" t="str">
        <f t="shared" si="29"/>
        <v>IDA-C6</v>
      </c>
      <c r="CH30" s="379" t="str">
        <f t="shared" si="41"/>
        <v>IDA-C4</v>
      </c>
      <c r="CI30" s="379" t="str">
        <f>IF(CF30="IDA-C3",Begriffe!$F$248,IF(Eingabedaten!CF30="IDA-C4",Begriffe!$F$249,IF(Eingabedaten!CF30="IDA-C6",Begriffe!$F$250,"")))</f>
        <v>stufenlos</v>
      </c>
      <c r="CJ30" s="379" t="str">
        <f>IF(CG30="IDA-C3",Begriffe!$F$248,IF(Eingabedaten!CG30="IDA-C4",Begriffe!$F$249,IF(Eingabedaten!CG30="IDA-C6",Begriffe!$F$250,"")))</f>
        <v>stufenlos</v>
      </c>
      <c r="CK30" s="379" t="str">
        <f>IF(CH30="IDA-C3",Begriffe!$F$248,IF(Eingabedaten!CH30="IDA-C4",Begriffe!$F$249,IF(Eingabedaten!CH30="IDA-C6",Begriffe!$F$250,"")))</f>
        <v>zweistufig</v>
      </c>
      <c r="CL30" s="1439">
        <v>0.73</v>
      </c>
      <c r="CM30" s="1439">
        <v>0.78</v>
      </c>
      <c r="CN30" s="1439">
        <v>0.5</v>
      </c>
      <c r="CO30" s="1439">
        <v>0.7</v>
      </c>
      <c r="CP30" s="1439">
        <v>0.75</v>
      </c>
      <c r="CQ30" s="1461">
        <v>0.5</v>
      </c>
      <c r="CR30" s="586" t="str">
        <f>Begriffe!$F$252</f>
        <v>Einfache Klimaanlage</v>
      </c>
      <c r="CS30" s="586">
        <v>0.91</v>
      </c>
      <c r="CT30" s="586">
        <v>0.55000000000000004</v>
      </c>
      <c r="CU30" s="586">
        <v>0.34</v>
      </c>
      <c r="CV30" s="1433">
        <v>0.91</v>
      </c>
      <c r="CW30" s="1469" t="str">
        <f>Begriffe!$F$259</f>
        <v>notwendig</v>
      </c>
      <c r="CX30" s="586" t="str">
        <f>Begriffe!$F$259</f>
        <v>notwendig</v>
      </c>
      <c r="CY30" s="586" t="str">
        <f>Begriffe!$F$259</f>
        <v>notwendig</v>
      </c>
      <c r="CZ30" s="586" t="str">
        <f>Begriffe!$F$259</f>
        <v>notwendig</v>
      </c>
      <c r="DA30" s="586" t="str">
        <f>Begriffe!$F$259</f>
        <v>notwendig</v>
      </c>
      <c r="DB30" s="1433" t="str">
        <f>Begriffe!$F$259</f>
        <v>notwendig</v>
      </c>
      <c r="DC30" s="580">
        <v>1</v>
      </c>
      <c r="DD30" s="390">
        <v>2</v>
      </c>
      <c r="DE30" s="390">
        <v>0</v>
      </c>
      <c r="DF30" s="628">
        <v>0.5</v>
      </c>
      <c r="DG30" s="580">
        <v>0.1</v>
      </c>
      <c r="DH30" s="628">
        <f t="shared" si="30"/>
        <v>0.3</v>
      </c>
      <c r="DI30" s="580" t="str">
        <f>Begriffe!$F$260</f>
        <v>Person</v>
      </c>
      <c r="DJ30" s="390">
        <v>1.5</v>
      </c>
      <c r="DK30" s="390">
        <v>1</v>
      </c>
      <c r="DL30" s="595">
        <f>IF(DK30=0,DJ30,DJ30*DK30)</f>
        <v>1.5</v>
      </c>
      <c r="DM30" s="390">
        <v>20</v>
      </c>
      <c r="DN30" s="629">
        <f>DL30*DM30</f>
        <v>30</v>
      </c>
      <c r="DO30" s="593" t="s">
        <v>88</v>
      </c>
      <c r="DP30" s="620"/>
      <c r="DQ30" s="618"/>
      <c r="DR30" s="618"/>
      <c r="DS30" s="621"/>
      <c r="DT30" s="618"/>
      <c r="DU30" s="617"/>
      <c r="DV30" s="618"/>
      <c r="DW30" s="618">
        <v>0.2</v>
      </c>
      <c r="DX30" s="618">
        <v>0.6</v>
      </c>
      <c r="DY30" s="621">
        <v>1</v>
      </c>
      <c r="DZ30" s="618">
        <v>1</v>
      </c>
      <c r="EA30" s="617">
        <v>0.2</v>
      </c>
      <c r="EB30" s="618">
        <v>0.2</v>
      </c>
      <c r="EC30" s="618">
        <v>1</v>
      </c>
      <c r="ED30" s="618">
        <v>1</v>
      </c>
      <c r="EE30" s="621">
        <v>0.6</v>
      </c>
      <c r="EF30" s="618">
        <v>0.6</v>
      </c>
      <c r="EG30" s="617">
        <v>0.6</v>
      </c>
      <c r="EH30" s="618">
        <v>0.6</v>
      </c>
      <c r="EI30" s="618">
        <v>1</v>
      </c>
      <c r="EJ30" s="618">
        <v>1</v>
      </c>
      <c r="EK30" s="621">
        <v>0.6</v>
      </c>
      <c r="EL30" s="618">
        <v>0.2</v>
      </c>
      <c r="EM30" s="622"/>
      <c r="EN30" s="620">
        <v>0.1</v>
      </c>
      <c r="EO30" s="618">
        <v>0.1</v>
      </c>
      <c r="EP30" s="618">
        <v>0.1</v>
      </c>
      <c r="EQ30" s="621">
        <v>0.1</v>
      </c>
      <c r="ER30" s="618">
        <v>0.1</v>
      </c>
      <c r="ES30" s="617">
        <v>0.1</v>
      </c>
      <c r="ET30" s="618">
        <v>0.1</v>
      </c>
      <c r="EU30" s="618">
        <v>0.2</v>
      </c>
      <c r="EV30" s="618">
        <v>0.6</v>
      </c>
      <c r="EW30" s="621">
        <v>1</v>
      </c>
      <c r="EX30" s="618">
        <v>1</v>
      </c>
      <c r="EY30" s="617">
        <v>0.2</v>
      </c>
      <c r="EZ30" s="618">
        <v>0.2</v>
      </c>
      <c r="FA30" s="618">
        <v>1</v>
      </c>
      <c r="FB30" s="618">
        <v>1</v>
      </c>
      <c r="FC30" s="621">
        <v>0.6</v>
      </c>
      <c r="FD30" s="618">
        <v>0.6</v>
      </c>
      <c r="FE30" s="617">
        <v>0.6</v>
      </c>
      <c r="FF30" s="618">
        <v>0.6</v>
      </c>
      <c r="FG30" s="618">
        <v>1</v>
      </c>
      <c r="FH30" s="618">
        <v>1</v>
      </c>
      <c r="FI30" s="621">
        <v>0.6</v>
      </c>
      <c r="FJ30" s="618">
        <v>0.2</v>
      </c>
      <c r="FK30" s="622">
        <v>0.1</v>
      </c>
      <c r="FL30" s="620" t="s">
        <v>575</v>
      </c>
      <c r="FM30" s="620">
        <v>0.8</v>
      </c>
      <c r="FN30" s="618">
        <v>0.8</v>
      </c>
      <c r="FO30" s="618">
        <v>0.8</v>
      </c>
      <c r="FP30" s="621">
        <v>0.8</v>
      </c>
      <c r="FQ30" s="618">
        <v>0.8</v>
      </c>
      <c r="FR30" s="617">
        <v>0.8</v>
      </c>
      <c r="FS30" s="618">
        <v>0.8</v>
      </c>
      <c r="FT30" s="618">
        <v>0.8</v>
      </c>
      <c r="FU30" s="618">
        <v>0.8</v>
      </c>
      <c r="FV30" s="621">
        <v>0.8</v>
      </c>
      <c r="FW30" s="618">
        <v>0.8</v>
      </c>
      <c r="FX30" s="622">
        <v>0.8</v>
      </c>
      <c r="FY30" s="587">
        <v>1</v>
      </c>
      <c r="FZ30" s="613">
        <f t="shared" si="35"/>
        <v>313</v>
      </c>
      <c r="GA30" s="620">
        <f t="shared" si="2"/>
        <v>16</v>
      </c>
      <c r="GB30" s="618">
        <f t="shared" si="3"/>
        <v>10.399999999999997</v>
      </c>
      <c r="GC30" s="618">
        <f t="shared" si="4"/>
        <v>6.9999999999999991</v>
      </c>
      <c r="GD30" s="618">
        <f t="shared" si="5"/>
        <v>3.4000000000000004</v>
      </c>
      <c r="GE30" s="627">
        <f t="shared" si="6"/>
        <v>0.80000000000000016</v>
      </c>
      <c r="GF30" s="205">
        <f t="shared" si="31"/>
        <v>5010</v>
      </c>
      <c r="GG30" s="205">
        <f t="shared" si="7"/>
        <v>5010</v>
      </c>
      <c r="GH30" s="463">
        <f t="shared" si="36"/>
        <v>2600</v>
      </c>
      <c r="GI30" s="620">
        <f t="shared" si="8"/>
        <v>24</v>
      </c>
      <c r="GJ30" s="618">
        <f t="shared" si="9"/>
        <v>11.199999999999998</v>
      </c>
      <c r="GK30" s="618">
        <f t="shared" si="10"/>
        <v>2.4000000000000004</v>
      </c>
      <c r="GL30" s="463">
        <f t="shared" si="37"/>
        <v>2900</v>
      </c>
      <c r="GO30" s="379" t="str">
        <f>IF(CH30=0,Begriffe!$F$297,"")</f>
        <v/>
      </c>
      <c r="GP30" s="583" t="str">
        <f>Begriffe!$F$285</f>
        <v>- Der Klimakälteleistungsbedarf und der jährliche Klimakältebedarf gelten für Räume ohne unterstützende Fensterlüftung</v>
      </c>
      <c r="GQ30" s="583"/>
      <c r="GR30" s="583" t="str">
        <f>Begriffe!$F320</f>
        <v>- Wasser- und Warmwasserbedarf pro Person (Besucher)</v>
      </c>
      <c r="HB30" s="379" t="s">
        <v>123</v>
      </c>
      <c r="HC30" s="379">
        <v>0.8</v>
      </c>
      <c r="HD30" s="379">
        <v>0.4</v>
      </c>
      <c r="HE30" s="379">
        <v>1</v>
      </c>
      <c r="HF30" s="379">
        <v>0.8</v>
      </c>
      <c r="HG30" s="379">
        <v>0.4</v>
      </c>
      <c r="HH30" s="379">
        <v>1</v>
      </c>
      <c r="HI30" s="379">
        <v>0.2</v>
      </c>
      <c r="HJ30" s="379">
        <v>0.6</v>
      </c>
      <c r="HK30" s="379">
        <v>1</v>
      </c>
      <c r="HL30" s="379">
        <v>0.4</v>
      </c>
      <c r="HM30" s="379">
        <v>1</v>
      </c>
      <c r="HN30" s="379">
        <v>0.6</v>
      </c>
      <c r="HO30" s="390">
        <f t="shared" si="11"/>
        <v>0.68333333333333346</v>
      </c>
      <c r="HQ30" s="390">
        <v>1</v>
      </c>
      <c r="HS30" s="541">
        <v>1</v>
      </c>
      <c r="HT30" s="541">
        <v>0</v>
      </c>
      <c r="HU30" s="600">
        <v>1</v>
      </c>
      <c r="HV30" s="600">
        <v>1</v>
      </c>
      <c r="HW30" s="600">
        <v>1</v>
      </c>
      <c r="HX30" s="600">
        <v>1</v>
      </c>
      <c r="HY30" s="600">
        <v>1</v>
      </c>
      <c r="HZ30" s="379">
        <v>18</v>
      </c>
      <c r="IA30" s="379">
        <v>14</v>
      </c>
      <c r="IB30" s="379">
        <v>1</v>
      </c>
      <c r="IC30" s="379">
        <v>7</v>
      </c>
      <c r="ID30" s="1439">
        <v>1.111764705882353</v>
      </c>
      <c r="IE30" s="1440">
        <f t="shared" si="32"/>
        <v>33.564705882352939</v>
      </c>
    </row>
    <row r="31" spans="1:239" s="379" customFormat="1" ht="12" customHeight="1">
      <c r="A31" s="1638">
        <v>7.03</v>
      </c>
      <c r="B31" s="1644"/>
      <c r="C31" s="592" t="str">
        <f>Begriffe!F156</f>
        <v>Ausstellungshalle</v>
      </c>
      <c r="D31" s="604">
        <v>20</v>
      </c>
      <c r="E31" s="642">
        <v>20</v>
      </c>
      <c r="F31" s="642">
        <v>7</v>
      </c>
      <c r="G31" s="641">
        <f t="shared" si="33"/>
        <v>400</v>
      </c>
      <c r="H31" s="641">
        <v>494.11764705882354</v>
      </c>
      <c r="I31" s="385">
        <v>50</v>
      </c>
      <c r="J31" s="1442">
        <v>0.75</v>
      </c>
      <c r="K31" s="1447">
        <f t="shared" si="12"/>
        <v>66.666666666666671</v>
      </c>
      <c r="L31" s="1441">
        <v>1</v>
      </c>
      <c r="M31" s="601">
        <v>0.8</v>
      </c>
      <c r="N31" s="601">
        <v>1.5</v>
      </c>
      <c r="O31" s="1442">
        <v>0.17</v>
      </c>
      <c r="P31" s="601">
        <v>0.1</v>
      </c>
      <c r="Q31" s="601">
        <v>0.8</v>
      </c>
      <c r="R31" s="1442">
        <v>0.5</v>
      </c>
      <c r="S31" s="1442">
        <v>0.5</v>
      </c>
      <c r="T31" s="1442">
        <v>0.65</v>
      </c>
      <c r="U31" s="1442">
        <v>0.14000000000000001</v>
      </c>
      <c r="V31" s="1442">
        <v>0.1</v>
      </c>
      <c r="W31" s="1442">
        <v>0.2</v>
      </c>
      <c r="X31" s="385">
        <v>0.7</v>
      </c>
      <c r="Y31" s="385">
        <v>0.9</v>
      </c>
      <c r="Z31" s="385">
        <v>90</v>
      </c>
      <c r="AA31" s="602">
        <v>105.8</v>
      </c>
      <c r="AB31" s="576">
        <v>26</v>
      </c>
      <c r="AC31" s="639">
        <v>21</v>
      </c>
      <c r="AD31" s="639">
        <v>25</v>
      </c>
      <c r="AE31" s="639">
        <v>22</v>
      </c>
      <c r="AF31" s="588" t="s">
        <v>22</v>
      </c>
      <c r="AG31" s="1443" t="s">
        <v>122</v>
      </c>
      <c r="AH31" s="1443">
        <v>60</v>
      </c>
      <c r="AI31" s="1444">
        <v>30</v>
      </c>
      <c r="AJ31" s="1658" t="str">
        <f>Begriffe!F$247</f>
        <v>gering</v>
      </c>
      <c r="AK31" s="1443">
        <v>1</v>
      </c>
      <c r="AL31" s="1443">
        <f t="shared" si="13"/>
        <v>38</v>
      </c>
      <c r="AM31" s="1443">
        <f t="shared" si="14"/>
        <v>43</v>
      </c>
      <c r="AN31" s="1444">
        <f t="shared" si="15"/>
        <v>33</v>
      </c>
      <c r="AO31" s="1445">
        <v>1.2</v>
      </c>
      <c r="AP31" s="574">
        <v>3</v>
      </c>
      <c r="AQ31" s="601">
        <v>1.2</v>
      </c>
      <c r="AR31" s="601">
        <v>0.5</v>
      </c>
      <c r="AS31" s="601">
        <v>1</v>
      </c>
      <c r="AT31" s="602">
        <f t="shared" si="16"/>
        <v>84</v>
      </c>
      <c r="AU31" s="602">
        <f t="shared" si="17"/>
        <v>94</v>
      </c>
      <c r="AV31" s="602">
        <f t="shared" si="18"/>
        <v>51</v>
      </c>
      <c r="AW31" s="602">
        <f t="shared" si="19"/>
        <v>66</v>
      </c>
      <c r="AX31" s="1447">
        <v>0.5</v>
      </c>
      <c r="AY31" s="574">
        <v>7</v>
      </c>
      <c r="AZ31" s="385">
        <v>3</v>
      </c>
      <c r="BA31" s="385">
        <v>15</v>
      </c>
      <c r="BB31" s="385"/>
      <c r="BC31" s="385"/>
      <c r="BD31" s="385"/>
      <c r="BE31" s="385">
        <f t="shared" si="52"/>
        <v>7</v>
      </c>
      <c r="BF31" s="385">
        <f t="shared" si="50"/>
        <v>3</v>
      </c>
      <c r="BG31" s="385">
        <f t="shared" si="51"/>
        <v>15</v>
      </c>
      <c r="BH31" s="640">
        <v>10</v>
      </c>
      <c r="BI31" s="1123">
        <f t="shared" si="23"/>
        <v>7</v>
      </c>
      <c r="BJ31" s="387">
        <v>80</v>
      </c>
      <c r="BK31" s="642">
        <f t="shared" si="24"/>
        <v>11.428571428571429</v>
      </c>
      <c r="BL31" s="1818">
        <v>300</v>
      </c>
      <c r="BM31" s="642">
        <v>2</v>
      </c>
      <c r="BN31" s="387">
        <v>600</v>
      </c>
      <c r="BO31" s="387" t="str">
        <f>Begriffe!$F$207</f>
        <v>DP</v>
      </c>
      <c r="BP31" s="642">
        <v>1</v>
      </c>
      <c r="BQ31" s="642">
        <v>1</v>
      </c>
      <c r="BR31" s="648">
        <v>0.75</v>
      </c>
      <c r="BS31" s="1809">
        <v>90</v>
      </c>
      <c r="BT31" s="1809">
        <v>130</v>
      </c>
      <c r="BU31" s="602">
        <f t="shared" si="38"/>
        <v>11</v>
      </c>
      <c r="BV31" s="1073">
        <f t="shared" si="25"/>
        <v>5</v>
      </c>
      <c r="BW31" s="576" t="s">
        <v>380</v>
      </c>
      <c r="BX31" s="602">
        <f t="shared" si="26"/>
        <v>29</v>
      </c>
      <c r="BY31" s="385"/>
      <c r="BZ31" s="601">
        <f t="shared" si="40"/>
        <v>9.6666666666666661</v>
      </c>
      <c r="CA31" s="602"/>
      <c r="CB31" s="601">
        <f t="shared" si="1"/>
        <v>9.6666666666666661</v>
      </c>
      <c r="CC31" s="385">
        <v>0</v>
      </c>
      <c r="CD31" s="1442">
        <v>0.15</v>
      </c>
      <c r="CE31" s="1442">
        <v>0.3</v>
      </c>
      <c r="CF31" s="387" t="str">
        <f t="shared" si="28"/>
        <v>IDA-C6</v>
      </c>
      <c r="CG31" s="387" t="str">
        <f t="shared" si="29"/>
        <v>IDA-C6</v>
      </c>
      <c r="CH31" s="387" t="str">
        <f t="shared" si="41"/>
        <v>IDA-C4</v>
      </c>
      <c r="CI31" s="387" t="str">
        <f>IF(CF31="IDA-C3",Begriffe!$F$248,IF(Eingabedaten!CF31="IDA-C4",Begriffe!$F$249,IF(Eingabedaten!CF31="IDA-C6",Begriffe!$F$250,"")))</f>
        <v>stufenlos</v>
      </c>
      <c r="CJ31" s="387" t="str">
        <f>IF(CG31="IDA-C3",Begriffe!$F$248,IF(Eingabedaten!CG31="IDA-C4",Begriffe!$F$249,IF(Eingabedaten!CG31="IDA-C6",Begriffe!$F$250,"")))</f>
        <v>stufenlos</v>
      </c>
      <c r="CK31" s="387" t="str">
        <f>IF(CH31="IDA-C3",Begriffe!$F$248,IF(Eingabedaten!CH31="IDA-C4",Begriffe!$F$249,IF(Eingabedaten!CH31="IDA-C6",Begriffe!$F$250,"")))</f>
        <v>zweistufig</v>
      </c>
      <c r="CL31" s="1442">
        <v>0.73</v>
      </c>
      <c r="CM31" s="1442">
        <v>0.78</v>
      </c>
      <c r="CN31" s="1442">
        <v>0.5</v>
      </c>
      <c r="CO31" s="1442">
        <v>0.7</v>
      </c>
      <c r="CP31" s="1442">
        <v>0.75</v>
      </c>
      <c r="CQ31" s="1449">
        <v>0.5</v>
      </c>
      <c r="CR31" s="589" t="str">
        <f>Begriffe!$F$252</f>
        <v>Einfache Klimaanlage</v>
      </c>
      <c r="CS31" s="589">
        <v>0.91</v>
      </c>
      <c r="CT31" s="589">
        <v>0.55000000000000004</v>
      </c>
      <c r="CU31" s="589">
        <v>0.34</v>
      </c>
      <c r="CV31" s="1470">
        <v>0.91</v>
      </c>
      <c r="CW31" s="1471" t="str">
        <f>Begriffe!$F$259</f>
        <v>notwendig</v>
      </c>
      <c r="CX31" s="589" t="str">
        <f>Begriffe!$F$259</f>
        <v>notwendig</v>
      </c>
      <c r="CY31" s="589" t="str">
        <f>Begriffe!$F$259</f>
        <v>notwendig</v>
      </c>
      <c r="CZ31" s="589" t="str">
        <f>Begriffe!$F$259</f>
        <v>notwendig</v>
      </c>
      <c r="DA31" s="589" t="str">
        <f>Begriffe!$F$259</f>
        <v>notwendig</v>
      </c>
      <c r="DB31" s="1470" t="str">
        <f>Begriffe!$F$259</f>
        <v>notwendig</v>
      </c>
      <c r="DC31" s="574">
        <v>1</v>
      </c>
      <c r="DD31" s="385">
        <v>2</v>
      </c>
      <c r="DE31" s="385">
        <v>0</v>
      </c>
      <c r="DF31" s="572">
        <v>0.5</v>
      </c>
      <c r="DG31" s="574">
        <v>0.1</v>
      </c>
      <c r="DH31" s="572">
        <f t="shared" si="30"/>
        <v>0.3</v>
      </c>
      <c r="DI31" s="574" t="str">
        <f>Begriffe!$F$260</f>
        <v>Person</v>
      </c>
      <c r="DJ31" s="385">
        <v>1.5</v>
      </c>
      <c r="DK31" s="385">
        <v>1</v>
      </c>
      <c r="DL31" s="601">
        <f>IF(DK31=0,DJ31,DJ31*DK31)</f>
        <v>1.5</v>
      </c>
      <c r="DM31" s="385">
        <v>20</v>
      </c>
      <c r="DN31" s="1073">
        <f>DL31*DM31</f>
        <v>30</v>
      </c>
      <c r="DO31" s="603" t="s">
        <v>115</v>
      </c>
      <c r="DP31" s="604"/>
      <c r="DQ31" s="642"/>
      <c r="DR31" s="642"/>
      <c r="DS31" s="644"/>
      <c r="DT31" s="642"/>
      <c r="DU31" s="645"/>
      <c r="DV31" s="642"/>
      <c r="DW31" s="642">
        <v>0.2</v>
      </c>
      <c r="DX31" s="642">
        <v>0.6</v>
      </c>
      <c r="DY31" s="644">
        <v>1</v>
      </c>
      <c r="DZ31" s="642">
        <v>1</v>
      </c>
      <c r="EA31" s="645">
        <v>0.2</v>
      </c>
      <c r="EB31" s="642">
        <v>0.2</v>
      </c>
      <c r="EC31" s="642">
        <v>1</v>
      </c>
      <c r="ED31" s="642">
        <v>1</v>
      </c>
      <c r="EE31" s="644">
        <v>0.6</v>
      </c>
      <c r="EF31" s="642">
        <v>0.6</v>
      </c>
      <c r="EG31" s="645">
        <v>0.6</v>
      </c>
      <c r="EH31" s="642">
        <v>0.6</v>
      </c>
      <c r="EI31" s="642">
        <v>1</v>
      </c>
      <c r="EJ31" s="642">
        <v>1</v>
      </c>
      <c r="EK31" s="644">
        <v>0.6</v>
      </c>
      <c r="EL31" s="642">
        <v>0.2</v>
      </c>
      <c r="EM31" s="646"/>
      <c r="EN31" s="604">
        <v>0.1</v>
      </c>
      <c r="EO31" s="642">
        <v>0.1</v>
      </c>
      <c r="EP31" s="642">
        <v>0.1</v>
      </c>
      <c r="EQ31" s="644">
        <v>0.1</v>
      </c>
      <c r="ER31" s="642">
        <v>0.1</v>
      </c>
      <c r="ES31" s="645">
        <v>0.1</v>
      </c>
      <c r="ET31" s="642">
        <v>0.1</v>
      </c>
      <c r="EU31" s="642">
        <v>0.2</v>
      </c>
      <c r="EV31" s="642">
        <v>0.6</v>
      </c>
      <c r="EW31" s="644">
        <v>1</v>
      </c>
      <c r="EX31" s="642">
        <v>1</v>
      </c>
      <c r="EY31" s="645">
        <v>0.2</v>
      </c>
      <c r="EZ31" s="642">
        <v>0.2</v>
      </c>
      <c r="FA31" s="642">
        <v>1</v>
      </c>
      <c r="FB31" s="642">
        <v>1</v>
      </c>
      <c r="FC31" s="644">
        <v>0.6</v>
      </c>
      <c r="FD31" s="642">
        <v>0.6</v>
      </c>
      <c r="FE31" s="645">
        <v>0.6</v>
      </c>
      <c r="FF31" s="642">
        <v>0.6</v>
      </c>
      <c r="FG31" s="642">
        <v>1</v>
      </c>
      <c r="FH31" s="642">
        <v>1</v>
      </c>
      <c r="FI31" s="644">
        <v>0.6</v>
      </c>
      <c r="FJ31" s="642">
        <v>0.2</v>
      </c>
      <c r="FK31" s="646">
        <v>0.1</v>
      </c>
      <c r="FL31" s="604" t="s">
        <v>575</v>
      </c>
      <c r="FM31" s="604">
        <v>0.8</v>
      </c>
      <c r="FN31" s="642">
        <v>0.8</v>
      </c>
      <c r="FO31" s="642">
        <v>0.8</v>
      </c>
      <c r="FP31" s="644">
        <v>0.8</v>
      </c>
      <c r="FQ31" s="642">
        <v>0.8</v>
      </c>
      <c r="FR31" s="645">
        <v>0.8</v>
      </c>
      <c r="FS31" s="642">
        <v>0.8</v>
      </c>
      <c r="FT31" s="642">
        <v>0.8</v>
      </c>
      <c r="FU31" s="642">
        <v>0.8</v>
      </c>
      <c r="FV31" s="644">
        <v>0.8</v>
      </c>
      <c r="FW31" s="642">
        <v>0.8</v>
      </c>
      <c r="FX31" s="646">
        <v>0.8</v>
      </c>
      <c r="FY31" s="591">
        <v>1</v>
      </c>
      <c r="FZ31" s="640">
        <f t="shared" si="35"/>
        <v>313</v>
      </c>
      <c r="GA31" s="604">
        <f t="shared" si="2"/>
        <v>16</v>
      </c>
      <c r="GB31" s="642">
        <f t="shared" si="3"/>
        <v>10.399999999999997</v>
      </c>
      <c r="GC31" s="642">
        <f t="shared" si="4"/>
        <v>6.9999999999999991</v>
      </c>
      <c r="GD31" s="642">
        <f t="shared" si="5"/>
        <v>3.4000000000000004</v>
      </c>
      <c r="GE31" s="648">
        <f t="shared" si="6"/>
        <v>0.80000000000000016</v>
      </c>
      <c r="GF31" s="641">
        <f t="shared" si="31"/>
        <v>5010</v>
      </c>
      <c r="GG31" s="641">
        <f t="shared" si="7"/>
        <v>5010</v>
      </c>
      <c r="GH31" s="592">
        <f t="shared" si="36"/>
        <v>2600</v>
      </c>
      <c r="GI31" s="604">
        <f t="shared" si="8"/>
        <v>24</v>
      </c>
      <c r="GJ31" s="642">
        <f t="shared" si="9"/>
        <v>11.199999999999998</v>
      </c>
      <c r="GK31" s="642">
        <f t="shared" si="10"/>
        <v>2.4000000000000004</v>
      </c>
      <c r="GL31" s="592">
        <f t="shared" si="37"/>
        <v>2900</v>
      </c>
      <c r="GO31" s="379" t="str">
        <f>IF(CH31=0,Begriffe!$F$297,"")</f>
        <v/>
      </c>
      <c r="GP31" s="583" t="str">
        <f>Begriffe!$F$285</f>
        <v>- Der Klimakälteleistungsbedarf und der jährliche Klimakältebedarf gelten für Räume ohne unterstützende Fensterlüftung</v>
      </c>
      <c r="GQ31" s="583"/>
      <c r="GR31" s="583" t="str">
        <f>Begriffe!$F321</f>
        <v>- Wasser- und Warmwasserbedarf pro Person (Besucher)</v>
      </c>
      <c r="HB31" s="379" t="s">
        <v>123</v>
      </c>
      <c r="HC31" s="379">
        <v>0.8</v>
      </c>
      <c r="HD31" s="379">
        <v>0.4</v>
      </c>
      <c r="HE31" s="379">
        <v>1</v>
      </c>
      <c r="HF31" s="379">
        <v>0.8</v>
      </c>
      <c r="HG31" s="379">
        <v>0.4</v>
      </c>
      <c r="HH31" s="379">
        <v>1</v>
      </c>
      <c r="HI31" s="379">
        <v>0.2</v>
      </c>
      <c r="HJ31" s="379">
        <v>0.6</v>
      </c>
      <c r="HK31" s="379">
        <v>1</v>
      </c>
      <c r="HL31" s="379">
        <v>0.4</v>
      </c>
      <c r="HM31" s="379">
        <v>1</v>
      </c>
      <c r="HN31" s="379">
        <v>0.6</v>
      </c>
      <c r="HO31" s="390">
        <f t="shared" si="11"/>
        <v>0.68333333333333346</v>
      </c>
      <c r="HQ31" s="390">
        <v>1</v>
      </c>
      <c r="HS31" s="541">
        <v>1</v>
      </c>
      <c r="HT31" s="541">
        <v>0</v>
      </c>
      <c r="HU31" s="600">
        <v>1</v>
      </c>
      <c r="HV31" s="600">
        <v>1</v>
      </c>
      <c r="HW31" s="600">
        <v>1</v>
      </c>
      <c r="HX31" s="600">
        <v>1</v>
      </c>
      <c r="HY31" s="600">
        <v>1</v>
      </c>
      <c r="HZ31" s="379">
        <v>18</v>
      </c>
      <c r="IA31" s="379">
        <v>14</v>
      </c>
      <c r="IB31" s="379">
        <v>1</v>
      </c>
      <c r="IC31" s="379">
        <v>7</v>
      </c>
      <c r="ID31" s="1439">
        <v>1.111764705882353</v>
      </c>
      <c r="IE31" s="1440">
        <f t="shared" si="32"/>
        <v>33.564705882352939</v>
      </c>
    </row>
    <row r="32" spans="1:239" s="379" customFormat="1" ht="12" customHeight="1">
      <c r="A32" s="1633">
        <v>8.01</v>
      </c>
      <c r="B32" s="1640">
        <v>11</v>
      </c>
      <c r="C32" s="1635" t="str">
        <f>Begriffe!F157</f>
        <v xml:space="preserve">Bettenzimmer </v>
      </c>
      <c r="D32" s="1618">
        <v>6</v>
      </c>
      <c r="E32" s="1605">
        <v>6</v>
      </c>
      <c r="F32" s="1605">
        <v>2.5</v>
      </c>
      <c r="G32" s="1619">
        <f t="shared" si="33"/>
        <v>36</v>
      </c>
      <c r="H32" s="1619">
        <v>35.294117647058826</v>
      </c>
      <c r="I32" s="1601">
        <v>50</v>
      </c>
      <c r="J32" s="1616">
        <v>0.75</v>
      </c>
      <c r="K32" s="1687">
        <f t="shared" si="12"/>
        <v>66.666666666666671</v>
      </c>
      <c r="L32" s="1422">
        <v>1</v>
      </c>
      <c r="M32" s="599">
        <v>0.8</v>
      </c>
      <c r="N32" s="599">
        <v>1.5</v>
      </c>
      <c r="O32" s="1423">
        <v>0.17</v>
      </c>
      <c r="P32" s="599">
        <v>0.1</v>
      </c>
      <c r="Q32" s="599">
        <v>0.8</v>
      </c>
      <c r="R32" s="1423">
        <v>0.5</v>
      </c>
      <c r="S32" s="1423">
        <v>0.5</v>
      </c>
      <c r="T32" s="1423">
        <v>0.65</v>
      </c>
      <c r="U32" s="1423">
        <v>0.14000000000000001</v>
      </c>
      <c r="V32" s="1423">
        <v>0.1</v>
      </c>
      <c r="W32" s="1423">
        <v>0.2</v>
      </c>
      <c r="X32" s="384">
        <v>0.7</v>
      </c>
      <c r="Y32" s="384">
        <v>0.9</v>
      </c>
      <c r="Z32" s="384">
        <v>90</v>
      </c>
      <c r="AA32" s="597">
        <v>106.7</v>
      </c>
      <c r="AB32" s="570">
        <v>26</v>
      </c>
      <c r="AC32" s="1431">
        <v>22</v>
      </c>
      <c r="AD32" s="1431">
        <v>25</v>
      </c>
      <c r="AE32" s="1431">
        <v>22</v>
      </c>
      <c r="AF32" s="584" t="s">
        <v>22</v>
      </c>
      <c r="AG32" s="1424" t="s">
        <v>129</v>
      </c>
      <c r="AH32" s="1424">
        <v>60</v>
      </c>
      <c r="AI32" s="1425">
        <v>30</v>
      </c>
      <c r="AJ32" s="1657" t="str">
        <f>Begriffe!F$246</f>
        <v>mittel</v>
      </c>
      <c r="AK32" s="1424">
        <v>2</v>
      </c>
      <c r="AL32" s="1424">
        <f t="shared" si="13"/>
        <v>33</v>
      </c>
      <c r="AM32" s="1424">
        <f t="shared" si="14"/>
        <v>38</v>
      </c>
      <c r="AN32" s="1425">
        <f t="shared" si="15"/>
        <v>28</v>
      </c>
      <c r="AO32" s="1426">
        <v>0.6</v>
      </c>
      <c r="AP32" s="568">
        <v>15</v>
      </c>
      <c r="AQ32" s="1609">
        <v>1.2</v>
      </c>
      <c r="AR32" s="1609">
        <v>0.5</v>
      </c>
      <c r="AS32" s="599">
        <v>1</v>
      </c>
      <c r="AT32" s="1615">
        <f t="shared" si="16"/>
        <v>84</v>
      </c>
      <c r="AU32" s="1615">
        <v>87</v>
      </c>
      <c r="AV32" s="1615">
        <f t="shared" si="18"/>
        <v>51</v>
      </c>
      <c r="AW32" s="1615">
        <v>65</v>
      </c>
      <c r="AX32" s="1428">
        <v>0.5</v>
      </c>
      <c r="AY32" s="568">
        <v>6</v>
      </c>
      <c r="AZ32" s="384">
        <v>4</v>
      </c>
      <c r="BA32" s="384">
        <v>8</v>
      </c>
      <c r="BB32" s="384"/>
      <c r="BC32" s="384"/>
      <c r="BD32" s="384"/>
      <c r="BE32" s="384">
        <f t="shared" si="52"/>
        <v>6</v>
      </c>
      <c r="BF32" s="384">
        <f t="shared" si="50"/>
        <v>4</v>
      </c>
      <c r="BG32" s="384">
        <f t="shared" si="51"/>
        <v>8</v>
      </c>
      <c r="BH32" s="1429">
        <v>10</v>
      </c>
      <c r="BI32" s="1430">
        <f t="shared" si="23"/>
        <v>6</v>
      </c>
      <c r="BJ32" s="384">
        <v>60</v>
      </c>
      <c r="BK32" s="599">
        <f t="shared" si="24"/>
        <v>10</v>
      </c>
      <c r="BL32" s="568">
        <f t="shared" si="34"/>
        <v>100</v>
      </c>
      <c r="BM32" s="599">
        <v>3</v>
      </c>
      <c r="BN32" s="384">
        <v>300</v>
      </c>
      <c r="BO32" s="384" t="str">
        <f>Begriffe!$F$207</f>
        <v>DP</v>
      </c>
      <c r="BP32" s="599">
        <v>1</v>
      </c>
      <c r="BQ32" s="599">
        <v>0.5</v>
      </c>
      <c r="BR32" s="626">
        <v>0.75</v>
      </c>
      <c r="BS32" s="1808">
        <v>90</v>
      </c>
      <c r="BT32" s="1808">
        <v>130</v>
      </c>
      <c r="BU32" s="597">
        <f t="shared" si="38"/>
        <v>11</v>
      </c>
      <c r="BV32" s="1429">
        <f t="shared" si="25"/>
        <v>3</v>
      </c>
      <c r="BW32" s="1655" t="s">
        <v>380</v>
      </c>
      <c r="BX32" s="1615">
        <f t="shared" si="26"/>
        <v>29</v>
      </c>
      <c r="BY32" s="1615">
        <f>BX32</f>
        <v>29</v>
      </c>
      <c r="BZ32" s="1609">
        <f t="shared" si="40"/>
        <v>1.9333333333333333</v>
      </c>
      <c r="CA32" s="1615"/>
      <c r="CB32" s="599">
        <f t="shared" si="1"/>
        <v>1.9333333333333333</v>
      </c>
      <c r="CC32" s="384">
        <v>66</v>
      </c>
      <c r="CD32" s="1423">
        <v>0.15</v>
      </c>
      <c r="CE32" s="1423">
        <v>0.3</v>
      </c>
      <c r="CF32" s="386" t="str">
        <f t="shared" si="28"/>
        <v>IDA-C3</v>
      </c>
      <c r="CG32" s="386" t="str">
        <f t="shared" si="29"/>
        <v>IDA-C4</v>
      </c>
      <c r="CH32" s="386"/>
      <c r="CI32" s="386" t="str">
        <f>IF(CF32="IDA-C3",Begriffe!$F$248,IF(Eingabedaten!CF32="IDA-C4",Begriffe!$F$249,IF(Eingabedaten!CF32="IDA-C6",Begriffe!$F$250,"")))</f>
        <v>einstufig</v>
      </c>
      <c r="CJ32" s="386" t="str">
        <f>IF(CG32="IDA-C3",Begriffe!$F$248,IF(Eingabedaten!CG32="IDA-C4",Begriffe!$F$249,IF(Eingabedaten!CG32="IDA-C6",Begriffe!$F$250,"")))</f>
        <v>zweistufig</v>
      </c>
      <c r="CK32" s="386" t="str">
        <f>IF(CH32="IDA-C3",Begriffe!$F$248,IF(Eingabedaten!CH32="IDA-C4",Begriffe!$F$249,IF(Eingabedaten!CH32="IDA-C6",Begriffe!$F$250,"")))</f>
        <v/>
      </c>
      <c r="CL32" s="1423">
        <v>0.73</v>
      </c>
      <c r="CM32" s="1423">
        <v>0.78</v>
      </c>
      <c r="CN32" s="1423"/>
      <c r="CO32" s="1423">
        <v>0.7</v>
      </c>
      <c r="CP32" s="1423">
        <v>0.75</v>
      </c>
      <c r="CQ32" s="1432"/>
      <c r="CR32" s="567" t="str">
        <f>Begriffe!$F$252</f>
        <v>Einfache Klimaanlage</v>
      </c>
      <c r="CS32" s="567">
        <v>0.91</v>
      </c>
      <c r="CT32" s="596">
        <v>0.55000000000000004</v>
      </c>
      <c r="CU32" s="596">
        <v>0.34</v>
      </c>
      <c r="CV32" s="1467">
        <v>0.91</v>
      </c>
      <c r="CW32" s="1468" t="str">
        <f>Begriffe!$F$258</f>
        <v>erwünscht</v>
      </c>
      <c r="CX32" s="596" t="str">
        <f>Begriffe!$F$259</f>
        <v>notwendig</v>
      </c>
      <c r="CY32" s="596" t="str">
        <f>Begriffe!$F$259</f>
        <v>notwendig</v>
      </c>
      <c r="CZ32" s="596" t="str">
        <f>Begriffe!$F$258</f>
        <v>erwünscht</v>
      </c>
      <c r="DA32" s="596" t="str">
        <f>Begriffe!$F$259</f>
        <v>notwendig</v>
      </c>
      <c r="DB32" s="1467" t="str">
        <f>Begriffe!$F$259</f>
        <v>notwendig</v>
      </c>
      <c r="DC32" s="568">
        <v>1</v>
      </c>
      <c r="DD32" s="384">
        <v>2</v>
      </c>
      <c r="DE32" s="384">
        <v>0</v>
      </c>
      <c r="DF32" s="566">
        <v>0.5</v>
      </c>
      <c r="DG32" s="568">
        <v>0.1</v>
      </c>
      <c r="DH32" s="566">
        <f t="shared" si="30"/>
        <v>0.5</v>
      </c>
      <c r="DI32" s="568" t="str">
        <f>Begriffe!$F$261</f>
        <v>Bett</v>
      </c>
      <c r="DJ32" s="384">
        <v>60</v>
      </c>
      <c r="DK32" s="384">
        <v>1</v>
      </c>
      <c r="DL32" s="597">
        <f>IF(DK32=0,DJ32,DJ32*DK32)</f>
        <v>60</v>
      </c>
      <c r="DM32" s="384">
        <v>4</v>
      </c>
      <c r="DN32" s="1429">
        <f>DL32*DM32</f>
        <v>240</v>
      </c>
      <c r="DO32" s="1436" t="s">
        <v>130</v>
      </c>
      <c r="DP32" s="1422">
        <v>1</v>
      </c>
      <c r="DQ32" s="599">
        <v>1</v>
      </c>
      <c r="DR32" s="599">
        <v>1</v>
      </c>
      <c r="DS32" s="1427">
        <v>1</v>
      </c>
      <c r="DT32" s="599">
        <v>1</v>
      </c>
      <c r="DU32" s="1437">
        <v>1</v>
      </c>
      <c r="DV32" s="599">
        <v>1</v>
      </c>
      <c r="DW32" s="599">
        <v>1</v>
      </c>
      <c r="DX32" s="599">
        <v>1</v>
      </c>
      <c r="DY32" s="1427">
        <v>1</v>
      </c>
      <c r="DZ32" s="599">
        <v>1</v>
      </c>
      <c r="EA32" s="1437">
        <v>1</v>
      </c>
      <c r="EB32" s="599">
        <v>1</v>
      </c>
      <c r="EC32" s="599">
        <v>1</v>
      </c>
      <c r="ED32" s="599">
        <v>1</v>
      </c>
      <c r="EE32" s="1427">
        <v>1</v>
      </c>
      <c r="EF32" s="599">
        <v>1</v>
      </c>
      <c r="EG32" s="1437">
        <v>1</v>
      </c>
      <c r="EH32" s="599">
        <v>1</v>
      </c>
      <c r="EI32" s="599">
        <v>1</v>
      </c>
      <c r="EJ32" s="599">
        <v>1</v>
      </c>
      <c r="EK32" s="1427">
        <v>1</v>
      </c>
      <c r="EL32" s="599">
        <v>1</v>
      </c>
      <c r="EM32" s="1428">
        <v>1</v>
      </c>
      <c r="EN32" s="1422">
        <v>0.2</v>
      </c>
      <c r="EO32" s="599">
        <v>0.2</v>
      </c>
      <c r="EP32" s="599">
        <v>0.2</v>
      </c>
      <c r="EQ32" s="1427">
        <v>0.2</v>
      </c>
      <c r="ER32" s="599">
        <v>0.2</v>
      </c>
      <c r="ES32" s="1437">
        <v>0.2</v>
      </c>
      <c r="ET32" s="599">
        <v>0.2</v>
      </c>
      <c r="EU32" s="599">
        <v>0.2</v>
      </c>
      <c r="EV32" s="599">
        <v>0.2</v>
      </c>
      <c r="EW32" s="1427">
        <v>0.2</v>
      </c>
      <c r="EX32" s="599">
        <v>0.2</v>
      </c>
      <c r="EY32" s="1437">
        <v>0.2</v>
      </c>
      <c r="EZ32" s="599">
        <v>0.2</v>
      </c>
      <c r="FA32" s="599">
        <v>0.2</v>
      </c>
      <c r="FB32" s="599">
        <v>0.2</v>
      </c>
      <c r="FC32" s="1427">
        <v>0.2</v>
      </c>
      <c r="FD32" s="599">
        <v>0.2</v>
      </c>
      <c r="FE32" s="1437">
        <v>0.2</v>
      </c>
      <c r="FF32" s="599">
        <v>0.2</v>
      </c>
      <c r="FG32" s="599">
        <v>0.8</v>
      </c>
      <c r="FH32" s="599">
        <v>0.6</v>
      </c>
      <c r="FI32" s="1427">
        <v>0.4</v>
      </c>
      <c r="FJ32" s="599">
        <v>0.2</v>
      </c>
      <c r="FK32" s="1428">
        <v>0.2</v>
      </c>
      <c r="FL32" s="624" t="s">
        <v>575</v>
      </c>
      <c r="FM32" s="624">
        <v>0.8</v>
      </c>
      <c r="FN32" s="625">
        <v>0.8</v>
      </c>
      <c r="FO32" s="625">
        <v>0.8</v>
      </c>
      <c r="FP32" s="1144">
        <v>0.8</v>
      </c>
      <c r="FQ32" s="625">
        <v>0.8</v>
      </c>
      <c r="FR32" s="1145">
        <v>0.8</v>
      </c>
      <c r="FS32" s="625">
        <v>0.8</v>
      </c>
      <c r="FT32" s="625">
        <v>0.8</v>
      </c>
      <c r="FU32" s="625">
        <v>0.8</v>
      </c>
      <c r="FV32" s="1144">
        <v>0.8</v>
      </c>
      <c r="FW32" s="625">
        <v>0.8</v>
      </c>
      <c r="FX32" s="1146">
        <v>0.8</v>
      </c>
      <c r="FY32" s="570">
        <v>0</v>
      </c>
      <c r="FZ32" s="613">
        <f t="shared" si="35"/>
        <v>365</v>
      </c>
      <c r="GA32" s="620">
        <f t="shared" si="2"/>
        <v>24</v>
      </c>
      <c r="GB32" s="618">
        <f t="shared" si="3"/>
        <v>24</v>
      </c>
      <c r="GC32" s="618">
        <f t="shared" si="4"/>
        <v>11</v>
      </c>
      <c r="GD32" s="618">
        <f t="shared" si="5"/>
        <v>13</v>
      </c>
      <c r="GE32" s="627">
        <f t="shared" si="6"/>
        <v>0.80000000000000016</v>
      </c>
      <c r="GF32" s="205">
        <f t="shared" si="31"/>
        <v>8760</v>
      </c>
      <c r="GG32" s="205">
        <f t="shared" si="7"/>
        <v>5110</v>
      </c>
      <c r="GH32" s="463">
        <f t="shared" si="36"/>
        <v>7010</v>
      </c>
      <c r="GI32" s="620">
        <f t="shared" si="8"/>
        <v>24</v>
      </c>
      <c r="GJ32" s="618">
        <f t="shared" si="9"/>
        <v>6.0000000000000018</v>
      </c>
      <c r="GK32" s="618">
        <f t="shared" si="10"/>
        <v>2.4000000000000004</v>
      </c>
      <c r="GL32" s="463">
        <f t="shared" si="37"/>
        <v>1750</v>
      </c>
      <c r="GO32" s="379" t="str">
        <f>IF(CH32=0,Begriffe!$F$297,"")</f>
        <v>- Keine Lüftungsanlage im Bestand</v>
      </c>
      <c r="GP32" s="583" t="str">
        <f>Begriffe!$F$285</f>
        <v>- Der Klimakälteleistungsbedarf und der jährliche Klimakältebedarf gelten für Räume ohne unterstützende Fensterlüftung</v>
      </c>
      <c r="GQ32" s="583"/>
      <c r="GR32" s="583" t="str">
        <f>Begriffe!$F322</f>
        <v>- Wasser- und Warmwasserbedarf pro Bett, ohne Restaurant</v>
      </c>
      <c r="HB32" s="379" t="s">
        <v>150</v>
      </c>
      <c r="HC32" s="379">
        <v>1</v>
      </c>
      <c r="HD32" s="379">
        <v>1</v>
      </c>
      <c r="HE32" s="379">
        <v>1</v>
      </c>
      <c r="HF32" s="379">
        <v>1</v>
      </c>
      <c r="HG32" s="379">
        <v>1</v>
      </c>
      <c r="HH32" s="379">
        <v>1</v>
      </c>
      <c r="HI32" s="379">
        <v>1</v>
      </c>
      <c r="HJ32" s="379">
        <v>1</v>
      </c>
      <c r="HK32" s="379">
        <v>1</v>
      </c>
      <c r="HL32" s="379">
        <v>1</v>
      </c>
      <c r="HM32" s="379">
        <v>1</v>
      </c>
      <c r="HN32" s="379">
        <v>1</v>
      </c>
      <c r="HO32" s="390">
        <f t="shared" si="11"/>
        <v>1</v>
      </c>
      <c r="HQ32" s="390">
        <v>0</v>
      </c>
      <c r="HS32" s="541">
        <v>1</v>
      </c>
      <c r="HT32" s="541">
        <v>1</v>
      </c>
      <c r="HU32" s="600">
        <v>1</v>
      </c>
      <c r="HV32" s="600">
        <v>1</v>
      </c>
      <c r="HW32" s="600">
        <v>1</v>
      </c>
      <c r="HX32" s="600">
        <v>1</v>
      </c>
      <c r="HY32" s="600">
        <v>1</v>
      </c>
      <c r="HZ32" s="379">
        <v>19</v>
      </c>
      <c r="IA32" s="379">
        <v>15</v>
      </c>
      <c r="IB32" s="379">
        <v>1</v>
      </c>
      <c r="IC32" s="379">
        <v>8</v>
      </c>
      <c r="ID32" s="1439">
        <v>0.88235294117647067</v>
      </c>
      <c r="IE32" s="1440">
        <f t="shared" si="32"/>
        <v>32.235294117647058</v>
      </c>
    </row>
    <row r="33" spans="1:239" s="379" customFormat="1" ht="12" customHeight="1">
      <c r="A33" s="1641">
        <v>8.02</v>
      </c>
      <c r="B33" s="539"/>
      <c r="C33" s="463" t="str">
        <f>Begriffe!F158</f>
        <v xml:space="preserve">Stationszimmer </v>
      </c>
      <c r="D33" s="620">
        <v>6</v>
      </c>
      <c r="E33" s="618">
        <v>6</v>
      </c>
      <c r="F33" s="618">
        <v>3</v>
      </c>
      <c r="G33" s="205">
        <f t="shared" si="33"/>
        <v>36</v>
      </c>
      <c r="H33" s="205">
        <v>21.176470588235293</v>
      </c>
      <c r="I33" s="390">
        <v>50</v>
      </c>
      <c r="J33" s="1439">
        <v>0.75</v>
      </c>
      <c r="K33" s="632">
        <f t="shared" si="12"/>
        <v>66.666666666666671</v>
      </c>
      <c r="L33" s="630">
        <v>1</v>
      </c>
      <c r="M33" s="595">
        <v>0.8</v>
      </c>
      <c r="N33" s="595">
        <v>1.5</v>
      </c>
      <c r="O33" s="1439">
        <v>0.17</v>
      </c>
      <c r="P33" s="595">
        <v>0.1</v>
      </c>
      <c r="Q33" s="595">
        <v>0.8</v>
      </c>
      <c r="R33" s="1439">
        <v>0.5</v>
      </c>
      <c r="S33" s="1439">
        <v>0.5</v>
      </c>
      <c r="T33" s="1439">
        <v>0.65</v>
      </c>
      <c r="U33" s="1439">
        <v>0.14000000000000001</v>
      </c>
      <c r="V33" s="1439">
        <v>0.1</v>
      </c>
      <c r="W33" s="1439">
        <v>0.2</v>
      </c>
      <c r="X33" s="390">
        <v>0.7</v>
      </c>
      <c r="Y33" s="390">
        <v>0.9</v>
      </c>
      <c r="Z33" s="390">
        <v>90</v>
      </c>
      <c r="AA33" s="598">
        <v>107.4</v>
      </c>
      <c r="AB33" s="582">
        <v>26</v>
      </c>
      <c r="AC33" s="1440">
        <v>21</v>
      </c>
      <c r="AD33" s="1440">
        <v>25</v>
      </c>
      <c r="AE33" s="1440">
        <v>22</v>
      </c>
      <c r="AF33" s="578" t="s">
        <v>22</v>
      </c>
      <c r="AG33" s="1456" t="s">
        <v>122</v>
      </c>
      <c r="AH33" s="1456">
        <v>60</v>
      </c>
      <c r="AI33" s="1457">
        <v>30</v>
      </c>
      <c r="AJ33" s="1659" t="str">
        <f>Begriffe!F$247</f>
        <v>gering</v>
      </c>
      <c r="AK33" s="1456">
        <v>1</v>
      </c>
      <c r="AL33" s="1456">
        <f t="shared" si="13"/>
        <v>38</v>
      </c>
      <c r="AM33" s="1456">
        <f t="shared" si="14"/>
        <v>43</v>
      </c>
      <c r="AN33" s="1457">
        <f t="shared" si="15"/>
        <v>33</v>
      </c>
      <c r="AO33" s="1458">
        <v>0.6</v>
      </c>
      <c r="AP33" s="580">
        <v>3</v>
      </c>
      <c r="AQ33" s="595">
        <v>1.2</v>
      </c>
      <c r="AR33" s="595">
        <v>0.5</v>
      </c>
      <c r="AS33" s="595">
        <v>1</v>
      </c>
      <c r="AT33" s="598">
        <f t="shared" si="16"/>
        <v>84</v>
      </c>
      <c r="AU33" s="598">
        <f t="shared" si="17"/>
        <v>94</v>
      </c>
      <c r="AV33" s="598">
        <f t="shared" si="18"/>
        <v>51</v>
      </c>
      <c r="AW33" s="598">
        <f t="shared" si="19"/>
        <v>66</v>
      </c>
      <c r="AX33" s="632">
        <v>0.5</v>
      </c>
      <c r="AY33" s="580">
        <v>10</v>
      </c>
      <c r="AZ33" s="390">
        <v>5</v>
      </c>
      <c r="BA33" s="390">
        <v>15</v>
      </c>
      <c r="BB33" s="390"/>
      <c r="BC33" s="390"/>
      <c r="BD33" s="390"/>
      <c r="BE33" s="390">
        <f t="shared" si="52"/>
        <v>10</v>
      </c>
      <c r="BF33" s="390">
        <f t="shared" si="50"/>
        <v>5</v>
      </c>
      <c r="BG33" s="390">
        <f t="shared" si="51"/>
        <v>15</v>
      </c>
      <c r="BH33" s="629">
        <v>10</v>
      </c>
      <c r="BI33" s="614">
        <f t="shared" si="23"/>
        <v>10</v>
      </c>
      <c r="BJ33" s="379">
        <v>80</v>
      </c>
      <c r="BK33" s="618">
        <f t="shared" si="24"/>
        <v>8</v>
      </c>
      <c r="BL33" s="1817">
        <v>500</v>
      </c>
      <c r="BM33" s="1332">
        <v>1</v>
      </c>
      <c r="BN33" s="379">
        <v>500</v>
      </c>
      <c r="BO33" s="379" t="str">
        <f>Begriffe!$F$207</f>
        <v>DP</v>
      </c>
      <c r="BP33" s="618">
        <v>1</v>
      </c>
      <c r="BQ33" s="618">
        <v>1</v>
      </c>
      <c r="BR33" s="627">
        <v>0.75</v>
      </c>
      <c r="BS33" s="1120">
        <v>90</v>
      </c>
      <c r="BT33" s="1120">
        <v>130</v>
      </c>
      <c r="BU33" s="598">
        <f t="shared" si="38"/>
        <v>11</v>
      </c>
      <c r="BV33" s="629">
        <f t="shared" si="25"/>
        <v>13</v>
      </c>
      <c r="BW33" s="582" t="s">
        <v>380</v>
      </c>
      <c r="BX33" s="598">
        <f t="shared" si="26"/>
        <v>29</v>
      </c>
      <c r="BY33" s="598">
        <f>BX33</f>
        <v>29</v>
      </c>
      <c r="BZ33" s="595">
        <f t="shared" si="40"/>
        <v>9.6666666666666661</v>
      </c>
      <c r="CA33" s="598"/>
      <c r="CB33" s="595">
        <f t="shared" si="1"/>
        <v>9.6666666666666661</v>
      </c>
      <c r="CC33" s="390">
        <v>0</v>
      </c>
      <c r="CD33" s="1439">
        <v>0.15</v>
      </c>
      <c r="CE33" s="1439">
        <v>0.3</v>
      </c>
      <c r="CF33" s="379" t="str">
        <f t="shared" si="28"/>
        <v>IDA-C6</v>
      </c>
      <c r="CG33" s="379" t="str">
        <f t="shared" si="29"/>
        <v>IDA-C6</v>
      </c>
      <c r="CI33" s="379" t="str">
        <f>IF(CF33="IDA-C3",Begriffe!$F$248,IF(Eingabedaten!CF33="IDA-C4",Begriffe!$F$249,IF(Eingabedaten!CF33="IDA-C6",Begriffe!$F$250,"")))</f>
        <v>stufenlos</v>
      </c>
      <c r="CJ33" s="379" t="str">
        <f>IF(CG33="IDA-C3",Begriffe!$F$248,IF(Eingabedaten!CG33="IDA-C4",Begriffe!$F$249,IF(Eingabedaten!CG33="IDA-C6",Begriffe!$F$250,"")))</f>
        <v>stufenlos</v>
      </c>
      <c r="CK33" s="379" t="str">
        <f>IF(CH33="IDA-C3",Begriffe!$F$248,IF(Eingabedaten!CH33="IDA-C4",Begriffe!$F$249,IF(Eingabedaten!CH33="IDA-C6",Begriffe!$F$250,"")))</f>
        <v/>
      </c>
      <c r="CL33" s="1439">
        <v>0.73</v>
      </c>
      <c r="CM33" s="1439">
        <v>0.78</v>
      </c>
      <c r="CN33" s="1439"/>
      <c r="CO33" s="1439">
        <v>0.7</v>
      </c>
      <c r="CP33" s="1439">
        <v>0.75</v>
      </c>
      <c r="CQ33" s="1461"/>
      <c r="CR33" s="586" t="str">
        <f>Begriffe!$F$252</f>
        <v>Einfache Klimaanlage</v>
      </c>
      <c r="CS33" s="586">
        <v>0.91</v>
      </c>
      <c r="CT33" s="586">
        <v>0.55000000000000004</v>
      </c>
      <c r="CU33" s="586">
        <v>0.34</v>
      </c>
      <c r="CV33" s="1433">
        <v>0.91</v>
      </c>
      <c r="CW33" s="1469" t="str">
        <f>Begriffe!$F$259</f>
        <v>notwendig</v>
      </c>
      <c r="CX33" s="586" t="str">
        <f>Begriffe!$F$259</f>
        <v>notwendig</v>
      </c>
      <c r="CY33" s="586" t="str">
        <f>Begriffe!$F$259</f>
        <v>notwendig</v>
      </c>
      <c r="CZ33" s="586" t="str">
        <f>Begriffe!$F$259</f>
        <v>notwendig</v>
      </c>
      <c r="DA33" s="586" t="str">
        <f>Begriffe!$F$259</f>
        <v>notwendig</v>
      </c>
      <c r="DB33" s="1433" t="str">
        <f>Begriffe!$F$259</f>
        <v>notwendig</v>
      </c>
      <c r="DC33" s="580">
        <v>1</v>
      </c>
      <c r="DD33" s="390">
        <v>2</v>
      </c>
      <c r="DE33" s="390">
        <v>0</v>
      </c>
      <c r="DF33" s="628">
        <v>0.5</v>
      </c>
      <c r="DG33" s="580">
        <v>0.1</v>
      </c>
      <c r="DH33" s="628">
        <f t="shared" si="30"/>
        <v>0.5</v>
      </c>
      <c r="DI33" s="580"/>
      <c r="DJ33" s="390"/>
      <c r="DK33" s="390"/>
      <c r="DL33" s="598"/>
      <c r="DM33" s="390"/>
      <c r="DN33" s="629"/>
      <c r="DO33" s="593" t="s">
        <v>203</v>
      </c>
      <c r="DP33" s="630">
        <v>0.2</v>
      </c>
      <c r="DQ33" s="595">
        <v>0.2</v>
      </c>
      <c r="DR33" s="595">
        <v>0.2</v>
      </c>
      <c r="DS33" s="1459">
        <v>0.2</v>
      </c>
      <c r="DT33" s="595">
        <v>0.2</v>
      </c>
      <c r="DU33" s="1466">
        <v>0.2</v>
      </c>
      <c r="DV33" s="595">
        <v>0.4</v>
      </c>
      <c r="DW33" s="595">
        <v>1</v>
      </c>
      <c r="DX33" s="595">
        <v>0.6</v>
      </c>
      <c r="DY33" s="1459">
        <v>0.6</v>
      </c>
      <c r="DZ33" s="595">
        <v>0.6</v>
      </c>
      <c r="EA33" s="1466">
        <v>0.6</v>
      </c>
      <c r="EB33" s="595">
        <v>1</v>
      </c>
      <c r="EC33" s="595">
        <v>0.6</v>
      </c>
      <c r="ED33" s="595">
        <v>0.6</v>
      </c>
      <c r="EE33" s="1459">
        <v>0.6</v>
      </c>
      <c r="EF33" s="595">
        <v>0.6</v>
      </c>
      <c r="EG33" s="1466">
        <v>1</v>
      </c>
      <c r="EH33" s="595">
        <v>0.4</v>
      </c>
      <c r="EI33" s="595">
        <v>0.2</v>
      </c>
      <c r="EJ33" s="595">
        <v>0.2</v>
      </c>
      <c r="EK33" s="1459">
        <v>0.2</v>
      </c>
      <c r="EL33" s="595">
        <v>0.2</v>
      </c>
      <c r="EM33" s="632">
        <v>0.2</v>
      </c>
      <c r="EN33" s="630">
        <v>0.2</v>
      </c>
      <c r="EO33" s="595">
        <v>0.2</v>
      </c>
      <c r="EP33" s="595">
        <v>0.2</v>
      </c>
      <c r="EQ33" s="1459">
        <v>0.2</v>
      </c>
      <c r="ER33" s="595">
        <v>0.2</v>
      </c>
      <c r="ES33" s="1466">
        <v>0.2</v>
      </c>
      <c r="ET33" s="595">
        <v>0.4</v>
      </c>
      <c r="EU33" s="595">
        <v>1</v>
      </c>
      <c r="EV33" s="595">
        <v>0.6</v>
      </c>
      <c r="EW33" s="1459">
        <v>0.6</v>
      </c>
      <c r="EX33" s="595">
        <v>0.6</v>
      </c>
      <c r="EY33" s="1466">
        <v>0.6</v>
      </c>
      <c r="EZ33" s="595">
        <v>1</v>
      </c>
      <c r="FA33" s="595">
        <v>0.6</v>
      </c>
      <c r="FB33" s="595">
        <v>0.6</v>
      </c>
      <c r="FC33" s="1459">
        <v>0.6</v>
      </c>
      <c r="FD33" s="595">
        <v>0.6</v>
      </c>
      <c r="FE33" s="1466">
        <v>1</v>
      </c>
      <c r="FF33" s="595">
        <v>0.4</v>
      </c>
      <c r="FG33" s="595">
        <v>0.2</v>
      </c>
      <c r="FH33" s="595">
        <v>0.2</v>
      </c>
      <c r="FI33" s="1459">
        <v>0.2</v>
      </c>
      <c r="FJ33" s="595">
        <v>0.2</v>
      </c>
      <c r="FK33" s="632">
        <v>0.2</v>
      </c>
      <c r="FL33" s="620" t="s">
        <v>575</v>
      </c>
      <c r="FM33" s="620">
        <v>0.8</v>
      </c>
      <c r="FN33" s="618">
        <v>0.8</v>
      </c>
      <c r="FO33" s="618">
        <v>0.8</v>
      </c>
      <c r="FP33" s="621">
        <v>0.8</v>
      </c>
      <c r="FQ33" s="618">
        <v>0.8</v>
      </c>
      <c r="FR33" s="617">
        <v>0.8</v>
      </c>
      <c r="FS33" s="618">
        <v>0.8</v>
      </c>
      <c r="FT33" s="618">
        <v>0.8</v>
      </c>
      <c r="FU33" s="618">
        <v>0.8</v>
      </c>
      <c r="FV33" s="621">
        <v>0.8</v>
      </c>
      <c r="FW33" s="618">
        <v>0.8</v>
      </c>
      <c r="FX33" s="622">
        <v>0.8</v>
      </c>
      <c r="FY33" s="582">
        <v>0</v>
      </c>
      <c r="FZ33" s="613">
        <f t="shared" si="35"/>
        <v>365</v>
      </c>
      <c r="GA33" s="620">
        <f t="shared" si="2"/>
        <v>24</v>
      </c>
      <c r="GB33" s="618">
        <f t="shared" si="3"/>
        <v>10.799999999999995</v>
      </c>
      <c r="GC33" s="618">
        <f t="shared" si="4"/>
        <v>7.7999999999999989</v>
      </c>
      <c r="GD33" s="618">
        <f t="shared" si="5"/>
        <v>3.0000000000000009</v>
      </c>
      <c r="GE33" s="627">
        <f t="shared" si="6"/>
        <v>0.80000000000000016</v>
      </c>
      <c r="GF33" s="205">
        <f t="shared" si="31"/>
        <v>8760</v>
      </c>
      <c r="GG33" s="205">
        <f t="shared" si="7"/>
        <v>8760</v>
      </c>
      <c r="GH33" s="463">
        <f t="shared" si="36"/>
        <v>3150</v>
      </c>
      <c r="GI33" s="620">
        <f t="shared" si="8"/>
        <v>24</v>
      </c>
      <c r="GJ33" s="618">
        <f t="shared" si="9"/>
        <v>10.799999999999995</v>
      </c>
      <c r="GK33" s="618">
        <f t="shared" si="10"/>
        <v>2.4000000000000004</v>
      </c>
      <c r="GL33" s="463">
        <f t="shared" si="37"/>
        <v>3150</v>
      </c>
      <c r="GO33" s="379" t="str">
        <f>IF(CH33=0,Begriffe!$F$297,"")</f>
        <v>- Keine Lüftungsanlage im Bestand</v>
      </c>
      <c r="GP33" s="583" t="str">
        <f>Begriffe!$F$285</f>
        <v>- Der Klimakälteleistungsbedarf und der jährliche Klimakältebedarf gelten für Räume ohne unterstützende Fensterlüftung</v>
      </c>
      <c r="GQ33" s="583"/>
      <c r="GR33" s="583" t="str">
        <f>Begriffe!$F323</f>
        <v>- Wasser- und Warmwasserbedarf sind in der Raumnutzung 8.1 enthalten</v>
      </c>
      <c r="HB33" s="379" t="s">
        <v>150</v>
      </c>
      <c r="HC33" s="379">
        <v>1</v>
      </c>
      <c r="HD33" s="379">
        <v>1</v>
      </c>
      <c r="HE33" s="379">
        <v>1</v>
      </c>
      <c r="HF33" s="379">
        <v>1</v>
      </c>
      <c r="HG33" s="379">
        <v>1</v>
      </c>
      <c r="HH33" s="379">
        <v>1</v>
      </c>
      <c r="HI33" s="379">
        <v>1</v>
      </c>
      <c r="HJ33" s="379">
        <v>1</v>
      </c>
      <c r="HK33" s="379">
        <v>1</v>
      </c>
      <c r="HL33" s="379">
        <v>1</v>
      </c>
      <c r="HM33" s="379">
        <v>1</v>
      </c>
      <c r="HN33" s="379">
        <v>1</v>
      </c>
      <c r="HO33" s="390">
        <f t="shared" si="11"/>
        <v>1</v>
      </c>
      <c r="HQ33" s="390">
        <v>0</v>
      </c>
      <c r="HS33" s="541">
        <v>1</v>
      </c>
      <c r="HT33" s="541">
        <v>1</v>
      </c>
      <c r="HU33" s="600">
        <v>1</v>
      </c>
      <c r="HV33" s="600">
        <v>1</v>
      </c>
      <c r="HW33" s="600">
        <v>1</v>
      </c>
      <c r="HX33" s="600">
        <v>1</v>
      </c>
      <c r="HY33" s="600">
        <v>1</v>
      </c>
      <c r="HZ33" s="379">
        <v>19</v>
      </c>
      <c r="IA33" s="379">
        <v>15</v>
      </c>
      <c r="IB33" s="379">
        <v>1</v>
      </c>
      <c r="IC33" s="379">
        <v>8</v>
      </c>
      <c r="ID33" s="1439">
        <v>0.52941176470588236</v>
      </c>
      <c r="IE33" s="1440">
        <f t="shared" si="32"/>
        <v>26.941176470588236</v>
      </c>
    </row>
    <row r="34" spans="1:239" s="379" customFormat="1" ht="12" customHeight="1">
      <c r="A34" s="1643">
        <v>8.0299999999999994</v>
      </c>
      <c r="B34" s="1644"/>
      <c r="C34" s="592" t="str">
        <f>Begriffe!F159</f>
        <v>Behandlungsraum</v>
      </c>
      <c r="D34" s="604">
        <v>6</v>
      </c>
      <c r="E34" s="642">
        <v>6</v>
      </c>
      <c r="F34" s="642">
        <v>3</v>
      </c>
      <c r="G34" s="641">
        <f t="shared" si="33"/>
        <v>36</v>
      </c>
      <c r="H34" s="641">
        <v>42.352941176470587</v>
      </c>
      <c r="I34" s="385">
        <v>50</v>
      </c>
      <c r="J34" s="1442">
        <v>0.75</v>
      </c>
      <c r="K34" s="1447">
        <f t="shared" si="12"/>
        <v>66.666666666666671</v>
      </c>
      <c r="L34" s="1441">
        <v>1</v>
      </c>
      <c r="M34" s="601">
        <v>0.8</v>
      </c>
      <c r="N34" s="601">
        <v>1.5</v>
      </c>
      <c r="O34" s="1442">
        <v>0.17</v>
      </c>
      <c r="P34" s="601">
        <v>0.1</v>
      </c>
      <c r="Q34" s="601">
        <v>0.8</v>
      </c>
      <c r="R34" s="1442">
        <v>0.5</v>
      </c>
      <c r="S34" s="1442">
        <v>0.5</v>
      </c>
      <c r="T34" s="1442">
        <v>0.65</v>
      </c>
      <c r="U34" s="1442">
        <v>0.14000000000000001</v>
      </c>
      <c r="V34" s="1442">
        <v>0.1</v>
      </c>
      <c r="W34" s="1442">
        <v>0.2</v>
      </c>
      <c r="X34" s="385">
        <v>0.7</v>
      </c>
      <c r="Y34" s="385">
        <v>0.9</v>
      </c>
      <c r="Z34" s="385">
        <v>90</v>
      </c>
      <c r="AA34" s="602">
        <v>111.9</v>
      </c>
      <c r="AB34" s="576">
        <v>26</v>
      </c>
      <c r="AC34" s="639">
        <v>22</v>
      </c>
      <c r="AD34" s="639">
        <v>25</v>
      </c>
      <c r="AE34" s="639">
        <v>22</v>
      </c>
      <c r="AF34" s="588" t="s">
        <v>22</v>
      </c>
      <c r="AG34" s="1443" t="s">
        <v>129</v>
      </c>
      <c r="AH34" s="1443">
        <v>60</v>
      </c>
      <c r="AI34" s="1444">
        <v>30</v>
      </c>
      <c r="AJ34" s="1658" t="str">
        <f>Begriffe!F$247</f>
        <v>gering</v>
      </c>
      <c r="AK34" s="1443">
        <v>1</v>
      </c>
      <c r="AL34" s="1443">
        <f t="shared" si="13"/>
        <v>38</v>
      </c>
      <c r="AM34" s="1443">
        <f t="shared" si="14"/>
        <v>43</v>
      </c>
      <c r="AN34" s="1444">
        <f t="shared" si="15"/>
        <v>33</v>
      </c>
      <c r="AO34" s="1445">
        <v>0.6</v>
      </c>
      <c r="AP34" s="574">
        <v>5</v>
      </c>
      <c r="AQ34" s="601">
        <v>1.2</v>
      </c>
      <c r="AR34" s="601">
        <v>0.5</v>
      </c>
      <c r="AS34" s="601">
        <v>1</v>
      </c>
      <c r="AT34" s="602">
        <f t="shared" si="16"/>
        <v>84</v>
      </c>
      <c r="AU34" s="602">
        <v>87</v>
      </c>
      <c r="AV34" s="602">
        <f t="shared" si="18"/>
        <v>51</v>
      </c>
      <c r="AW34" s="602">
        <v>65</v>
      </c>
      <c r="AX34" s="1447">
        <v>0.5</v>
      </c>
      <c r="AY34" s="574">
        <v>15</v>
      </c>
      <c r="AZ34" s="385">
        <v>10</v>
      </c>
      <c r="BA34" s="385">
        <v>20</v>
      </c>
      <c r="BB34" s="385">
        <v>15</v>
      </c>
      <c r="BC34" s="385">
        <v>5</v>
      </c>
      <c r="BD34" s="385">
        <v>20</v>
      </c>
      <c r="BE34" s="385">
        <f t="shared" si="52"/>
        <v>15</v>
      </c>
      <c r="BF34" s="385">
        <f t="shared" si="50"/>
        <v>10</v>
      </c>
      <c r="BG34" s="385">
        <f t="shared" si="51"/>
        <v>20</v>
      </c>
      <c r="BH34" s="640">
        <v>10</v>
      </c>
      <c r="BI34" s="1123">
        <f t="shared" si="23"/>
        <v>30</v>
      </c>
      <c r="BJ34" s="387">
        <v>100</v>
      </c>
      <c r="BK34" s="642">
        <f t="shared" si="24"/>
        <v>3.3333333333333335</v>
      </c>
      <c r="BL34" s="654">
        <f t="shared" si="34"/>
        <v>500</v>
      </c>
      <c r="BM34" s="642">
        <v>1.5</v>
      </c>
      <c r="BN34" s="387">
        <v>750</v>
      </c>
      <c r="BO34" s="387" t="str">
        <f>Begriffe!$F$207</f>
        <v>DP</v>
      </c>
      <c r="BP34" s="642">
        <v>1</v>
      </c>
      <c r="BQ34" s="642">
        <v>1</v>
      </c>
      <c r="BR34" s="648">
        <v>0.75</v>
      </c>
      <c r="BS34" s="1809">
        <v>90</v>
      </c>
      <c r="BT34" s="1809">
        <v>130</v>
      </c>
      <c r="BU34" s="602">
        <f t="shared" si="38"/>
        <v>11</v>
      </c>
      <c r="BV34" s="1073">
        <f t="shared" si="25"/>
        <v>0</v>
      </c>
      <c r="BW34" s="576" t="s">
        <v>380</v>
      </c>
      <c r="BX34" s="602">
        <f t="shared" si="26"/>
        <v>29</v>
      </c>
      <c r="BY34" s="385"/>
      <c r="BZ34" s="601">
        <f t="shared" si="40"/>
        <v>5.8</v>
      </c>
      <c r="CA34" s="602"/>
      <c r="CB34" s="601">
        <f t="shared" si="1"/>
        <v>5.8</v>
      </c>
      <c r="CC34" s="385">
        <v>0</v>
      </c>
      <c r="CD34" s="1442">
        <v>0.15</v>
      </c>
      <c r="CE34" s="1442">
        <v>0.3</v>
      </c>
      <c r="CF34" s="387" t="str">
        <f t="shared" si="28"/>
        <v>IDA-C4</v>
      </c>
      <c r="CG34" s="387" t="str">
        <f t="shared" si="29"/>
        <v>IDA-C6</v>
      </c>
      <c r="CH34" s="387"/>
      <c r="CI34" s="387" t="str">
        <f>IF(CF34="IDA-C3",Begriffe!$F$248,IF(Eingabedaten!CF34="IDA-C4",Begriffe!$F$249,IF(Eingabedaten!CF34="IDA-C6",Begriffe!$F$250,"")))</f>
        <v>zweistufig</v>
      </c>
      <c r="CJ34" s="387" t="str">
        <f>IF(CG34="IDA-C3",Begriffe!$F$248,IF(Eingabedaten!CG34="IDA-C4",Begriffe!$F$249,IF(Eingabedaten!CG34="IDA-C6",Begriffe!$F$250,"")))</f>
        <v>stufenlos</v>
      </c>
      <c r="CK34" s="387" t="str">
        <f>IF(CH34="IDA-C3",Begriffe!$F$248,IF(Eingabedaten!CH34="IDA-C4",Begriffe!$F$249,IF(Eingabedaten!CH34="IDA-C6",Begriffe!$F$250,"")))</f>
        <v/>
      </c>
      <c r="CL34" s="1442">
        <v>0.73</v>
      </c>
      <c r="CM34" s="1442">
        <v>0.78</v>
      </c>
      <c r="CN34" s="1442"/>
      <c r="CO34" s="1442">
        <v>0.7</v>
      </c>
      <c r="CP34" s="1442">
        <v>0.75</v>
      </c>
      <c r="CQ34" s="1449"/>
      <c r="CR34" s="589" t="str">
        <f>Begriffe!$F$252</f>
        <v>Einfache Klimaanlage</v>
      </c>
      <c r="CS34" s="589">
        <v>0.91</v>
      </c>
      <c r="CT34" s="589">
        <v>0.55000000000000004</v>
      </c>
      <c r="CU34" s="589">
        <v>0.34</v>
      </c>
      <c r="CV34" s="1470">
        <v>0.91</v>
      </c>
      <c r="CW34" s="1471" t="str">
        <f>Begriffe!$F$259</f>
        <v>notwendig</v>
      </c>
      <c r="CX34" s="589" t="str">
        <f>Begriffe!$F$259</f>
        <v>notwendig</v>
      </c>
      <c r="CY34" s="589" t="str">
        <f>Begriffe!$F$259</f>
        <v>notwendig</v>
      </c>
      <c r="CZ34" s="589" t="str">
        <f>Begriffe!$F$258</f>
        <v>erwünscht</v>
      </c>
      <c r="DA34" s="589" t="str">
        <f>Begriffe!$F$259</f>
        <v>notwendig</v>
      </c>
      <c r="DB34" s="1470" t="str">
        <f>Begriffe!$F$259</f>
        <v>notwendig</v>
      </c>
      <c r="DC34" s="574">
        <v>1</v>
      </c>
      <c r="DD34" s="385">
        <v>2</v>
      </c>
      <c r="DE34" s="385">
        <v>0</v>
      </c>
      <c r="DF34" s="572">
        <v>0.5</v>
      </c>
      <c r="DG34" s="574">
        <v>0.1</v>
      </c>
      <c r="DH34" s="572">
        <f t="shared" si="30"/>
        <v>0.5</v>
      </c>
      <c r="DI34" s="574"/>
      <c r="DJ34" s="385"/>
      <c r="DK34" s="385"/>
      <c r="DL34" s="602"/>
      <c r="DM34" s="385"/>
      <c r="DN34" s="1073"/>
      <c r="DO34" s="590" t="s">
        <v>126</v>
      </c>
      <c r="DP34" s="604"/>
      <c r="DQ34" s="642"/>
      <c r="DR34" s="642"/>
      <c r="DS34" s="644"/>
      <c r="DT34" s="642"/>
      <c r="DU34" s="645"/>
      <c r="DV34" s="642"/>
      <c r="DW34" s="642">
        <v>0.2</v>
      </c>
      <c r="DX34" s="642">
        <v>0.6</v>
      </c>
      <c r="DY34" s="644">
        <v>1</v>
      </c>
      <c r="DZ34" s="642">
        <v>1</v>
      </c>
      <c r="EA34" s="645">
        <v>0.8</v>
      </c>
      <c r="EB34" s="642">
        <v>0.4</v>
      </c>
      <c r="EC34" s="642">
        <v>0.6</v>
      </c>
      <c r="ED34" s="642">
        <v>1</v>
      </c>
      <c r="EE34" s="644">
        <v>0.8</v>
      </c>
      <c r="EF34" s="642">
        <v>0.6</v>
      </c>
      <c r="EG34" s="645">
        <v>0.2</v>
      </c>
      <c r="EH34" s="642"/>
      <c r="EI34" s="642"/>
      <c r="EJ34" s="642"/>
      <c r="EK34" s="644"/>
      <c r="EL34" s="642"/>
      <c r="EM34" s="646"/>
      <c r="EN34" s="604">
        <v>0.1</v>
      </c>
      <c r="EO34" s="642">
        <v>0.1</v>
      </c>
      <c r="EP34" s="642">
        <v>0.1</v>
      </c>
      <c r="EQ34" s="644">
        <v>0.1</v>
      </c>
      <c r="ER34" s="642">
        <v>0.1</v>
      </c>
      <c r="ES34" s="645">
        <v>0.1</v>
      </c>
      <c r="ET34" s="642">
        <v>0.1</v>
      </c>
      <c r="EU34" s="642">
        <v>0.2</v>
      </c>
      <c r="EV34" s="642">
        <v>0.6</v>
      </c>
      <c r="EW34" s="644">
        <v>0.8</v>
      </c>
      <c r="EX34" s="642">
        <v>1</v>
      </c>
      <c r="EY34" s="645">
        <v>0.8</v>
      </c>
      <c r="EZ34" s="642">
        <v>0.4</v>
      </c>
      <c r="FA34" s="642">
        <v>0.6</v>
      </c>
      <c r="FB34" s="642">
        <v>1</v>
      </c>
      <c r="FC34" s="644">
        <v>0.8</v>
      </c>
      <c r="FD34" s="642">
        <v>0.6</v>
      </c>
      <c r="FE34" s="645">
        <v>0.2</v>
      </c>
      <c r="FF34" s="642">
        <v>0.1</v>
      </c>
      <c r="FG34" s="642">
        <v>0.1</v>
      </c>
      <c r="FH34" s="642">
        <v>0.1</v>
      </c>
      <c r="FI34" s="644">
        <v>0.1</v>
      </c>
      <c r="FJ34" s="642">
        <v>0.1</v>
      </c>
      <c r="FK34" s="646">
        <v>0.1</v>
      </c>
      <c r="FL34" s="604" t="s">
        <v>575</v>
      </c>
      <c r="FM34" s="604">
        <v>0.8</v>
      </c>
      <c r="FN34" s="642">
        <v>0.8</v>
      </c>
      <c r="FO34" s="642">
        <v>0.8</v>
      </c>
      <c r="FP34" s="644">
        <v>0.8</v>
      </c>
      <c r="FQ34" s="642">
        <v>0.8</v>
      </c>
      <c r="FR34" s="645">
        <v>0.8</v>
      </c>
      <c r="FS34" s="642">
        <v>0.8</v>
      </c>
      <c r="FT34" s="642">
        <v>0.8</v>
      </c>
      <c r="FU34" s="642">
        <v>0.8</v>
      </c>
      <c r="FV34" s="644">
        <v>0.8</v>
      </c>
      <c r="FW34" s="642">
        <v>0.8</v>
      </c>
      <c r="FX34" s="646">
        <v>0.8</v>
      </c>
      <c r="FY34" s="591">
        <v>1</v>
      </c>
      <c r="FZ34" s="640">
        <f t="shared" si="35"/>
        <v>313</v>
      </c>
      <c r="GA34" s="604">
        <f t="shared" si="2"/>
        <v>11</v>
      </c>
      <c r="GB34" s="642">
        <f t="shared" si="3"/>
        <v>7.1999999999999993</v>
      </c>
      <c r="GC34" s="642">
        <f t="shared" si="4"/>
        <v>7.1999999999999993</v>
      </c>
      <c r="GD34" s="642">
        <f t="shared" si="5"/>
        <v>0</v>
      </c>
      <c r="GE34" s="648">
        <f t="shared" si="6"/>
        <v>0.80000000000000016</v>
      </c>
      <c r="GF34" s="641">
        <f t="shared" si="31"/>
        <v>3440</v>
      </c>
      <c r="GG34" s="641">
        <f t="shared" si="7"/>
        <v>3440</v>
      </c>
      <c r="GH34" s="592">
        <f t="shared" si="36"/>
        <v>1800</v>
      </c>
      <c r="GI34" s="604">
        <f t="shared" si="8"/>
        <v>24</v>
      </c>
      <c r="GJ34" s="642">
        <f t="shared" si="9"/>
        <v>8.2999999999999972</v>
      </c>
      <c r="GK34" s="642">
        <f t="shared" si="10"/>
        <v>2.4000000000000004</v>
      </c>
      <c r="GL34" s="592">
        <f t="shared" si="37"/>
        <v>2180</v>
      </c>
      <c r="GM34" s="594" t="str">
        <f>Begriffe!F289</f>
        <v>- Für einfache Untersuchungen Beleuchtungsstärke 300 lx</v>
      </c>
      <c r="GN34" s="379" t="str">
        <f>Begriffe!$F$280</f>
        <v>- Diagnose- und Behandlungsgeräte sind unter Prozessanlagen verbucht</v>
      </c>
      <c r="GO34" s="379" t="str">
        <f>IF(CH34=0,Begriffe!$F$297,"")</f>
        <v>- Keine Lüftungsanlage im Bestand</v>
      </c>
      <c r="GP34" s="583" t="str">
        <f>Begriffe!$F$285</f>
        <v>- Der Klimakälteleistungsbedarf und der jährliche Klimakältebedarf gelten für Räume ohne unterstützende Fensterlüftung</v>
      </c>
      <c r="GQ34" s="583" t="str">
        <f>Begriffe!$F$286</f>
        <v>- Die Wärmeeinträge von Prozessanlagen sind beim Klimakälte- und Heizwärmebedarf nicht berücksichtigt</v>
      </c>
      <c r="GR34" s="583" t="str">
        <f>Begriffe!$F324</f>
        <v>- Wasser- und Warmwasserbedarf sind in der Raumnutzung 8.1 enthalten</v>
      </c>
      <c r="HB34" s="379" t="s">
        <v>123</v>
      </c>
      <c r="HC34" s="379">
        <v>0.8</v>
      </c>
      <c r="HD34" s="379">
        <v>0.6</v>
      </c>
      <c r="HE34" s="379">
        <v>0.8</v>
      </c>
      <c r="HF34" s="379">
        <v>0.6</v>
      </c>
      <c r="HG34" s="379">
        <v>0.8</v>
      </c>
      <c r="HH34" s="379">
        <v>0.8</v>
      </c>
      <c r="HI34" s="379">
        <v>0.6</v>
      </c>
      <c r="HJ34" s="379">
        <v>0.6</v>
      </c>
      <c r="HK34" s="379">
        <v>0.8</v>
      </c>
      <c r="HL34" s="379">
        <v>0.6</v>
      </c>
      <c r="HM34" s="379">
        <v>0.8</v>
      </c>
      <c r="HN34" s="379">
        <v>1</v>
      </c>
      <c r="HO34" s="390">
        <f t="shared" si="11"/>
        <v>0.73333333333333328</v>
      </c>
      <c r="HQ34" s="390">
        <v>1</v>
      </c>
      <c r="HS34" s="541">
        <v>1</v>
      </c>
      <c r="HT34" s="541">
        <v>0</v>
      </c>
      <c r="HU34" s="600">
        <v>1</v>
      </c>
      <c r="HV34" s="600">
        <v>1</v>
      </c>
      <c r="HW34" s="600">
        <v>1</v>
      </c>
      <c r="HX34" s="600">
        <v>1</v>
      </c>
      <c r="HY34" s="600">
        <v>1</v>
      </c>
      <c r="HZ34" s="379">
        <v>19</v>
      </c>
      <c r="IA34" s="379">
        <v>15</v>
      </c>
      <c r="IB34" s="379">
        <v>1</v>
      </c>
      <c r="IC34" s="379">
        <v>8</v>
      </c>
      <c r="ID34" s="1439">
        <v>1.0588235294117647</v>
      </c>
      <c r="IE34" s="1440">
        <f t="shared" si="32"/>
        <v>34.882352941176471</v>
      </c>
    </row>
    <row r="35" spans="1:239" s="379" customFormat="1" ht="12" customHeight="1">
      <c r="A35" s="1642">
        <v>9.01</v>
      </c>
      <c r="B35" s="1640"/>
      <c r="C35" s="1635" t="str">
        <f>Begriffe!F160</f>
        <v>Produktion (grobe Arbeit)</v>
      </c>
      <c r="D35" s="1618">
        <v>20</v>
      </c>
      <c r="E35" s="1605">
        <v>20</v>
      </c>
      <c r="F35" s="1605">
        <v>7</v>
      </c>
      <c r="G35" s="1619">
        <f t="shared" si="33"/>
        <v>400</v>
      </c>
      <c r="H35" s="1619">
        <v>494.11764705882354</v>
      </c>
      <c r="I35" s="1601">
        <v>50</v>
      </c>
      <c r="J35" s="1616">
        <v>0.75</v>
      </c>
      <c r="K35" s="1687">
        <f t="shared" si="12"/>
        <v>66.666666666666671</v>
      </c>
      <c r="L35" s="1422">
        <v>1</v>
      </c>
      <c r="M35" s="599">
        <v>0.8</v>
      </c>
      <c r="N35" s="599">
        <v>1.5</v>
      </c>
      <c r="O35" s="1423">
        <v>0.17</v>
      </c>
      <c r="P35" s="599">
        <v>0.1</v>
      </c>
      <c r="Q35" s="599">
        <v>0.8</v>
      </c>
      <c r="R35" s="1423">
        <v>0.5</v>
      </c>
      <c r="S35" s="1423">
        <v>0.5</v>
      </c>
      <c r="T35" s="1423">
        <v>0.65</v>
      </c>
      <c r="U35" s="1423">
        <v>0.14000000000000001</v>
      </c>
      <c r="V35" s="1423">
        <v>0.1</v>
      </c>
      <c r="W35" s="1423">
        <v>0.2</v>
      </c>
      <c r="X35" s="384">
        <v>0.7</v>
      </c>
      <c r="Y35" s="384">
        <v>0.9</v>
      </c>
      <c r="Z35" s="384">
        <v>90</v>
      </c>
      <c r="AA35" s="597">
        <v>105.8</v>
      </c>
      <c r="AB35" s="570">
        <v>30</v>
      </c>
      <c r="AC35" s="1431">
        <v>18</v>
      </c>
      <c r="AD35" s="1431">
        <v>25</v>
      </c>
      <c r="AE35" s="1431">
        <v>20</v>
      </c>
      <c r="AF35" s="584" t="s">
        <v>22</v>
      </c>
      <c r="AG35" s="1424" t="s">
        <v>124</v>
      </c>
      <c r="AH35" s="1424">
        <v>70</v>
      </c>
      <c r="AI35" s="1425">
        <v>30</v>
      </c>
      <c r="AJ35" s="1657" t="str">
        <f>Begriffe!F$247</f>
        <v>gering</v>
      </c>
      <c r="AK35" s="1424">
        <v>1</v>
      </c>
      <c r="AL35" s="1424">
        <f t="shared" si="13"/>
        <v>38</v>
      </c>
      <c r="AM35" s="1424">
        <f t="shared" si="14"/>
        <v>43</v>
      </c>
      <c r="AN35" s="1425">
        <f t="shared" si="15"/>
        <v>33</v>
      </c>
      <c r="AO35" s="1426">
        <v>1.2</v>
      </c>
      <c r="AP35" s="568">
        <v>15</v>
      </c>
      <c r="AQ35" s="1609">
        <v>2</v>
      </c>
      <c r="AR35" s="1609">
        <v>0.5</v>
      </c>
      <c r="AS35" s="599">
        <v>1</v>
      </c>
      <c r="AT35" s="1615">
        <v>29</v>
      </c>
      <c r="AU35" s="1615">
        <v>107</v>
      </c>
      <c r="AV35" s="1615">
        <v>96</v>
      </c>
      <c r="AW35" s="1615">
        <v>128</v>
      </c>
      <c r="AX35" s="1428"/>
      <c r="AY35" s="568">
        <v>5</v>
      </c>
      <c r="AZ35" s="384">
        <v>5</v>
      </c>
      <c r="BA35" s="384">
        <v>10</v>
      </c>
      <c r="BB35" s="384">
        <v>15</v>
      </c>
      <c r="BC35" s="384">
        <v>10</v>
      </c>
      <c r="BD35" s="384">
        <v>30</v>
      </c>
      <c r="BE35" s="384">
        <f t="shared" si="52"/>
        <v>5</v>
      </c>
      <c r="BF35" s="384">
        <f t="shared" si="50"/>
        <v>5</v>
      </c>
      <c r="BG35" s="384">
        <f t="shared" si="51"/>
        <v>10</v>
      </c>
      <c r="BH35" s="623">
        <v>20</v>
      </c>
      <c r="BI35" s="1473">
        <f t="shared" si="23"/>
        <v>20</v>
      </c>
      <c r="BJ35" s="386">
        <v>100</v>
      </c>
      <c r="BK35" s="625">
        <f t="shared" si="24"/>
        <v>5</v>
      </c>
      <c r="BL35" s="653">
        <f t="shared" si="34"/>
        <v>300</v>
      </c>
      <c r="BM35" s="625">
        <v>1</v>
      </c>
      <c r="BN35" s="386">
        <v>300</v>
      </c>
      <c r="BO35" s="386" t="s">
        <v>1065</v>
      </c>
      <c r="BP35" s="1824">
        <v>0.5</v>
      </c>
      <c r="BQ35" s="625">
        <v>1</v>
      </c>
      <c r="BR35" s="626">
        <v>0.75</v>
      </c>
      <c r="BS35" s="1808">
        <v>130</v>
      </c>
      <c r="BT35" s="1808">
        <v>160</v>
      </c>
      <c r="BU35" s="597">
        <f t="shared" si="38"/>
        <v>11</v>
      </c>
      <c r="BV35" s="1429">
        <f t="shared" si="25"/>
        <v>13</v>
      </c>
      <c r="BW35" s="582" t="s">
        <v>380</v>
      </c>
      <c r="BX35" s="598">
        <f t="shared" si="26"/>
        <v>48.333333333333336</v>
      </c>
      <c r="BY35" s="1601"/>
      <c r="BZ35" s="1609">
        <f t="shared" si="40"/>
        <v>3.2222222222222223</v>
      </c>
      <c r="CA35" s="1615">
        <v>10</v>
      </c>
      <c r="CB35" s="599">
        <f t="shared" si="1"/>
        <v>3.2222222222222223</v>
      </c>
      <c r="CC35" s="384">
        <v>0</v>
      </c>
      <c r="CD35" s="1423">
        <v>0.15</v>
      </c>
      <c r="CE35" s="1423">
        <v>0.3</v>
      </c>
      <c r="CF35" s="386" t="str">
        <f t="shared" si="28"/>
        <v>IDA-C4</v>
      </c>
      <c r="CG35" s="386" t="str">
        <f t="shared" si="29"/>
        <v>IDA-C6</v>
      </c>
      <c r="CH35" s="386" t="str">
        <f t="shared" ref="CH35:CH37" si="53">IF(CB35&lt;3,"IDA-C3","IDA-C4")</f>
        <v>IDA-C4</v>
      </c>
      <c r="CI35" s="386" t="str">
        <f>IF(CF35="IDA-C3",Begriffe!$F$248,IF(Eingabedaten!CF35="IDA-C4",Begriffe!$F$249,IF(Eingabedaten!CF35="IDA-C6",Begriffe!$F$250,"")))</f>
        <v>zweistufig</v>
      </c>
      <c r="CJ35" s="386" t="str">
        <f>IF(CG35="IDA-C3",Begriffe!$F$248,IF(Eingabedaten!CG35="IDA-C4",Begriffe!$F$249,IF(Eingabedaten!CG35="IDA-C6",Begriffe!$F$250,"")))</f>
        <v>stufenlos</v>
      </c>
      <c r="CK35" s="386" t="str">
        <f>IF(CH35="IDA-C3",Begriffe!$F$248,IF(Eingabedaten!CH35="IDA-C4",Begriffe!$F$249,IF(Eingabedaten!CH35="IDA-C6",Begriffe!$F$250,"")))</f>
        <v>zweistufig</v>
      </c>
      <c r="CL35" s="1423">
        <v>0.73</v>
      </c>
      <c r="CM35" s="1423">
        <v>0.78</v>
      </c>
      <c r="CN35" s="1423">
        <v>0.5</v>
      </c>
      <c r="CO35" s="1423">
        <v>0.7</v>
      </c>
      <c r="CP35" s="1423">
        <v>0.75</v>
      </c>
      <c r="CQ35" s="1432">
        <v>0.5</v>
      </c>
      <c r="CR35" s="596" t="str">
        <f>Begriffe!$F$252</f>
        <v>Einfache Klimaanlage</v>
      </c>
      <c r="CS35" s="596">
        <v>0.91</v>
      </c>
      <c r="CT35" s="596">
        <v>0.55000000000000004</v>
      </c>
      <c r="CU35" s="596">
        <v>0.34</v>
      </c>
      <c r="CV35" s="1467">
        <v>0.91</v>
      </c>
      <c r="CW35" s="1468" t="str">
        <f>Begriffe!$F$259</f>
        <v>notwendig</v>
      </c>
      <c r="CX35" s="596" t="str">
        <f>Begriffe!$F$259</f>
        <v>notwendig</v>
      </c>
      <c r="CY35" s="596" t="str">
        <f>Begriffe!$F$259</f>
        <v>notwendig</v>
      </c>
      <c r="CZ35" s="596" t="str">
        <f>Begriffe!$F$259</f>
        <v>notwendig</v>
      </c>
      <c r="DA35" s="596" t="str">
        <f>Begriffe!$F$259</f>
        <v>notwendig</v>
      </c>
      <c r="DB35" s="1467" t="str">
        <f>Begriffe!$F$259</f>
        <v>notwendig</v>
      </c>
      <c r="DC35" s="568"/>
      <c r="DD35" s="384"/>
      <c r="DE35" s="384"/>
      <c r="DF35" s="566">
        <v>0.5</v>
      </c>
      <c r="DG35" s="568">
        <v>0.1</v>
      </c>
      <c r="DH35" s="566">
        <f t="shared" si="30"/>
        <v>0.3</v>
      </c>
      <c r="DI35" s="568" t="str">
        <f>Begriffe!$F$260</f>
        <v>Person</v>
      </c>
      <c r="DJ35" s="599">
        <v>3</v>
      </c>
      <c r="DK35" s="597">
        <v>1</v>
      </c>
      <c r="DL35" s="599">
        <f t="shared" ref="DL35:DL41" si="54">IF(DK35=0,DJ35,DJ35*DK35)</f>
        <v>3</v>
      </c>
      <c r="DM35" s="384">
        <v>20</v>
      </c>
      <c r="DN35" s="1429">
        <f t="shared" ref="DN35:DN41" si="55">DL35*DM35</f>
        <v>60</v>
      </c>
      <c r="DO35" s="1436" t="s">
        <v>131</v>
      </c>
      <c r="DP35" s="624">
        <v>0.2</v>
      </c>
      <c r="DQ35" s="625">
        <v>0.2</v>
      </c>
      <c r="DR35" s="625">
        <v>0.2</v>
      </c>
      <c r="DS35" s="1144">
        <v>0.2</v>
      </c>
      <c r="DT35" s="625">
        <v>0.2</v>
      </c>
      <c r="DU35" s="1145">
        <v>0.5</v>
      </c>
      <c r="DV35" s="625">
        <v>0.8</v>
      </c>
      <c r="DW35" s="625">
        <v>1</v>
      </c>
      <c r="DX35" s="625">
        <v>1</v>
      </c>
      <c r="DY35" s="1144">
        <v>0.8</v>
      </c>
      <c r="DZ35" s="625">
        <v>1</v>
      </c>
      <c r="EA35" s="1145">
        <v>0.5</v>
      </c>
      <c r="EB35" s="625">
        <v>0.8</v>
      </c>
      <c r="EC35" s="625">
        <v>1</v>
      </c>
      <c r="ED35" s="625">
        <v>1</v>
      </c>
      <c r="EE35" s="1144">
        <v>0.8</v>
      </c>
      <c r="EF35" s="625">
        <v>0.8</v>
      </c>
      <c r="EG35" s="1145">
        <v>0.8</v>
      </c>
      <c r="EH35" s="625">
        <v>0.5</v>
      </c>
      <c r="EI35" s="625">
        <v>0.5</v>
      </c>
      <c r="EJ35" s="625">
        <v>0.5</v>
      </c>
      <c r="EK35" s="1144">
        <v>0.5</v>
      </c>
      <c r="EL35" s="625">
        <v>0.2</v>
      </c>
      <c r="EM35" s="1146">
        <v>0.2</v>
      </c>
      <c r="EN35" s="624">
        <v>0.2</v>
      </c>
      <c r="EO35" s="625">
        <v>0.2</v>
      </c>
      <c r="EP35" s="625">
        <v>0.2</v>
      </c>
      <c r="EQ35" s="1144">
        <v>0.2</v>
      </c>
      <c r="ER35" s="625">
        <v>0.2</v>
      </c>
      <c r="ES35" s="1145">
        <v>0.5</v>
      </c>
      <c r="ET35" s="625">
        <v>0.8</v>
      </c>
      <c r="EU35" s="625">
        <v>1</v>
      </c>
      <c r="EV35" s="625">
        <v>1</v>
      </c>
      <c r="EW35" s="1144">
        <v>0.8</v>
      </c>
      <c r="EX35" s="625">
        <v>1</v>
      </c>
      <c r="EY35" s="1145">
        <v>0.5</v>
      </c>
      <c r="EZ35" s="625">
        <v>0.8</v>
      </c>
      <c r="FA35" s="625">
        <v>1</v>
      </c>
      <c r="FB35" s="625">
        <v>1</v>
      </c>
      <c r="FC35" s="1144">
        <v>0.8</v>
      </c>
      <c r="FD35" s="625">
        <v>0.8</v>
      </c>
      <c r="FE35" s="1145">
        <v>0.8</v>
      </c>
      <c r="FF35" s="625">
        <v>0.5</v>
      </c>
      <c r="FG35" s="625">
        <v>0.5</v>
      </c>
      <c r="FH35" s="625">
        <v>0.5</v>
      </c>
      <c r="FI35" s="1144">
        <v>0.5</v>
      </c>
      <c r="FJ35" s="625">
        <v>0.2</v>
      </c>
      <c r="FK35" s="1146">
        <v>0.2</v>
      </c>
      <c r="FL35" s="624" t="s">
        <v>575</v>
      </c>
      <c r="FM35" s="624">
        <v>0.8</v>
      </c>
      <c r="FN35" s="625">
        <v>0.8</v>
      </c>
      <c r="FO35" s="625">
        <v>0.8</v>
      </c>
      <c r="FP35" s="1144">
        <v>0.8</v>
      </c>
      <c r="FQ35" s="625">
        <v>0.8</v>
      </c>
      <c r="FR35" s="1145">
        <v>0.8</v>
      </c>
      <c r="FS35" s="625">
        <v>0.8</v>
      </c>
      <c r="FT35" s="625">
        <v>0.8</v>
      </c>
      <c r="FU35" s="625">
        <v>0.8</v>
      </c>
      <c r="FV35" s="1144">
        <v>0.8</v>
      </c>
      <c r="FW35" s="625">
        <v>0.8</v>
      </c>
      <c r="FX35" s="1146">
        <v>0.8</v>
      </c>
      <c r="FY35" s="585">
        <v>2</v>
      </c>
      <c r="FZ35" s="613">
        <f t="shared" si="35"/>
        <v>261</v>
      </c>
      <c r="GA35" s="620">
        <f t="shared" si="2"/>
        <v>24</v>
      </c>
      <c r="GB35" s="618">
        <f t="shared" si="3"/>
        <v>14.2</v>
      </c>
      <c r="GC35" s="618">
        <f t="shared" si="4"/>
        <v>9.5</v>
      </c>
      <c r="GD35" s="618">
        <f t="shared" si="5"/>
        <v>4.7</v>
      </c>
      <c r="GE35" s="627">
        <f t="shared" si="6"/>
        <v>0.80000000000000016</v>
      </c>
      <c r="GF35" s="205">
        <f t="shared" si="31"/>
        <v>6260</v>
      </c>
      <c r="GG35" s="205">
        <f t="shared" si="7"/>
        <v>6260</v>
      </c>
      <c r="GH35" s="463">
        <f t="shared" si="36"/>
        <v>2960</v>
      </c>
      <c r="GI35" s="620">
        <f t="shared" si="8"/>
        <v>24</v>
      </c>
      <c r="GJ35" s="618">
        <f t="shared" si="9"/>
        <v>14.2</v>
      </c>
      <c r="GK35" s="618">
        <f t="shared" si="10"/>
        <v>4.8000000000000007</v>
      </c>
      <c r="GL35" s="463">
        <f t="shared" si="37"/>
        <v>3360</v>
      </c>
      <c r="GM35" s="1574"/>
      <c r="GN35" s="379" t="str">
        <f>Begriffe!$F$281</f>
        <v>- Produktionsanlagen sind unter Prozessanlagen verbucht</v>
      </c>
      <c r="GO35" s="379" t="str">
        <f>Begriffe!$F$277</f>
        <v>- Der prozessbedingte Aussenluftvolumenstrom ist in den Diagrammen nicht berücksichtigt</v>
      </c>
      <c r="GP35" s="583" t="str">
        <f>Begriffe!$F$285</f>
        <v>- Der Klimakälteleistungsbedarf und der jährliche Klimakältebedarf gelten für Räume ohne unterstützende Fensterlüftung</v>
      </c>
      <c r="GQ35" s="583" t="str">
        <f>Begriffe!$F$286</f>
        <v>- Die Wärmeeinträge von Prozessanlagen sind beim Klimakälte- und Heizwärmebedarf nicht berücksichtigt</v>
      </c>
      <c r="GR35" s="583" t="str">
        <f>Begriffe!$F325</f>
        <v xml:space="preserve">- Wasser- und Warmwasserbedarf pro Person, ohne Prozesswasser </v>
      </c>
      <c r="HB35" s="379" t="s">
        <v>123</v>
      </c>
      <c r="HC35" s="379">
        <v>0.8</v>
      </c>
      <c r="HD35" s="379">
        <v>0.6</v>
      </c>
      <c r="HE35" s="379">
        <v>1</v>
      </c>
      <c r="HF35" s="379">
        <v>0.8</v>
      </c>
      <c r="HG35" s="379">
        <v>0.6</v>
      </c>
      <c r="HH35" s="379">
        <v>1</v>
      </c>
      <c r="HI35" s="379">
        <v>0.6</v>
      </c>
      <c r="HJ35" s="379">
        <v>0.6</v>
      </c>
      <c r="HK35" s="379">
        <v>1</v>
      </c>
      <c r="HL35" s="379">
        <v>0.8</v>
      </c>
      <c r="HM35" s="379">
        <v>1</v>
      </c>
      <c r="HN35" s="379">
        <v>0.6</v>
      </c>
      <c r="HO35" s="390">
        <f t="shared" si="11"/>
        <v>0.78333333333333333</v>
      </c>
      <c r="HQ35" s="390">
        <v>2</v>
      </c>
      <c r="HS35" s="541">
        <v>0</v>
      </c>
      <c r="HT35" s="541">
        <v>0</v>
      </c>
      <c r="HU35" s="600">
        <v>1</v>
      </c>
      <c r="HV35" s="600">
        <v>1</v>
      </c>
      <c r="HW35" s="600">
        <v>1</v>
      </c>
      <c r="HX35" s="600">
        <v>1</v>
      </c>
      <c r="HY35" s="600">
        <v>1</v>
      </c>
      <c r="HZ35" s="379">
        <v>10</v>
      </c>
      <c r="IA35" s="379">
        <v>13</v>
      </c>
      <c r="IB35" s="600">
        <v>0.7</v>
      </c>
      <c r="IC35" s="379">
        <v>9</v>
      </c>
      <c r="ID35" s="1439">
        <v>1.111764705882353</v>
      </c>
      <c r="IE35" s="1440">
        <f t="shared" si="32"/>
        <v>24.452941176470588</v>
      </c>
    </row>
    <row r="36" spans="1:239" s="379" customFormat="1" ht="12" customHeight="1">
      <c r="A36" s="1641">
        <v>9.02</v>
      </c>
      <c r="B36" s="539"/>
      <c r="C36" s="463" t="str">
        <f>Begriffe!F161</f>
        <v>Produktion (feine Arbeit)</v>
      </c>
      <c r="D36" s="620">
        <v>20</v>
      </c>
      <c r="E36" s="618">
        <v>20</v>
      </c>
      <c r="F36" s="618">
        <v>7</v>
      </c>
      <c r="G36" s="205">
        <f t="shared" si="33"/>
        <v>400</v>
      </c>
      <c r="H36" s="205">
        <v>494.11764705882354</v>
      </c>
      <c r="I36" s="390">
        <v>50</v>
      </c>
      <c r="J36" s="1439">
        <v>0.75</v>
      </c>
      <c r="K36" s="632">
        <f t="shared" si="12"/>
        <v>66.666666666666671</v>
      </c>
      <c r="L36" s="630">
        <v>1</v>
      </c>
      <c r="M36" s="595">
        <v>0.8</v>
      </c>
      <c r="N36" s="595">
        <v>1.5</v>
      </c>
      <c r="O36" s="1439">
        <v>0.17</v>
      </c>
      <c r="P36" s="595">
        <v>0.1</v>
      </c>
      <c r="Q36" s="595">
        <v>0.8</v>
      </c>
      <c r="R36" s="1439">
        <v>0.5</v>
      </c>
      <c r="S36" s="1439">
        <v>0.5</v>
      </c>
      <c r="T36" s="1439">
        <v>0.65</v>
      </c>
      <c r="U36" s="1439">
        <v>0.14000000000000001</v>
      </c>
      <c r="V36" s="1439">
        <v>0.1</v>
      </c>
      <c r="W36" s="1439">
        <v>0.2</v>
      </c>
      <c r="X36" s="390">
        <v>0.7</v>
      </c>
      <c r="Y36" s="390">
        <v>0.9</v>
      </c>
      <c r="Z36" s="390">
        <v>90</v>
      </c>
      <c r="AA36" s="598">
        <v>105.8</v>
      </c>
      <c r="AB36" s="582">
        <v>26</v>
      </c>
      <c r="AC36" s="1440">
        <v>21</v>
      </c>
      <c r="AD36" s="1440">
        <v>25</v>
      </c>
      <c r="AE36" s="1440">
        <v>20</v>
      </c>
      <c r="AF36" s="578" t="s">
        <v>22</v>
      </c>
      <c r="AG36" s="1456" t="s">
        <v>122</v>
      </c>
      <c r="AH36" s="1456">
        <v>70</v>
      </c>
      <c r="AI36" s="1457">
        <v>30</v>
      </c>
      <c r="AJ36" s="1659" t="str">
        <f>Begriffe!F$247</f>
        <v>gering</v>
      </c>
      <c r="AK36" s="1456">
        <v>1</v>
      </c>
      <c r="AL36" s="1456">
        <f t="shared" si="13"/>
        <v>38</v>
      </c>
      <c r="AM36" s="1456">
        <f t="shared" si="14"/>
        <v>43</v>
      </c>
      <c r="AN36" s="1457">
        <f t="shared" si="15"/>
        <v>33</v>
      </c>
      <c r="AO36" s="1458">
        <v>1.2</v>
      </c>
      <c r="AP36" s="580">
        <v>15</v>
      </c>
      <c r="AQ36" s="595">
        <v>1.2</v>
      </c>
      <c r="AR36" s="595">
        <v>0.5</v>
      </c>
      <c r="AS36" s="595">
        <v>1</v>
      </c>
      <c r="AT36" s="598">
        <f t="shared" si="16"/>
        <v>84</v>
      </c>
      <c r="AU36" s="598">
        <f t="shared" si="17"/>
        <v>94</v>
      </c>
      <c r="AV36" s="598">
        <f t="shared" si="18"/>
        <v>51</v>
      </c>
      <c r="AW36" s="598">
        <f t="shared" si="19"/>
        <v>66</v>
      </c>
      <c r="AX36" s="632"/>
      <c r="AY36" s="580">
        <v>5</v>
      </c>
      <c r="AZ36" s="390">
        <v>5</v>
      </c>
      <c r="BA36" s="390">
        <v>10</v>
      </c>
      <c r="BB36" s="390">
        <v>10</v>
      </c>
      <c r="BC36" s="390">
        <v>5</v>
      </c>
      <c r="BD36" s="390">
        <v>20</v>
      </c>
      <c r="BE36" s="390">
        <f t="shared" si="52"/>
        <v>5</v>
      </c>
      <c r="BF36" s="390">
        <f t="shared" si="50"/>
        <v>5</v>
      </c>
      <c r="BG36" s="390">
        <f t="shared" si="51"/>
        <v>10</v>
      </c>
      <c r="BH36" s="613">
        <v>20</v>
      </c>
      <c r="BI36" s="614">
        <f t="shared" si="23"/>
        <v>15</v>
      </c>
      <c r="BJ36" s="379">
        <v>80</v>
      </c>
      <c r="BK36" s="618">
        <f t="shared" si="24"/>
        <v>5.333333333333333</v>
      </c>
      <c r="BL36" s="637">
        <f t="shared" si="34"/>
        <v>500</v>
      </c>
      <c r="BM36" s="618">
        <v>1</v>
      </c>
      <c r="BN36" s="379">
        <v>500</v>
      </c>
      <c r="BO36" s="379" t="s">
        <v>1065</v>
      </c>
      <c r="BP36" s="1332">
        <v>0.5</v>
      </c>
      <c r="BQ36" s="618">
        <v>1</v>
      </c>
      <c r="BR36" s="627">
        <v>0.75</v>
      </c>
      <c r="BS36" s="1120">
        <v>130</v>
      </c>
      <c r="BT36" s="1120">
        <v>160</v>
      </c>
      <c r="BU36" s="598">
        <f t="shared" si="38"/>
        <v>11</v>
      </c>
      <c r="BV36" s="629">
        <f t="shared" si="25"/>
        <v>0</v>
      </c>
      <c r="BW36" s="582" t="s">
        <v>380</v>
      </c>
      <c r="BX36" s="598">
        <f t="shared" si="26"/>
        <v>29</v>
      </c>
      <c r="BY36" s="390"/>
      <c r="BZ36" s="595">
        <f t="shared" si="40"/>
        <v>1.9333333333333333</v>
      </c>
      <c r="CA36" s="598">
        <v>5</v>
      </c>
      <c r="CB36" s="595">
        <f t="shared" si="1"/>
        <v>1.9333333333333333</v>
      </c>
      <c r="CC36" s="390">
        <v>0</v>
      </c>
      <c r="CD36" s="1439">
        <v>0.15</v>
      </c>
      <c r="CE36" s="1439">
        <v>0.3</v>
      </c>
      <c r="CF36" s="379" t="str">
        <f t="shared" si="28"/>
        <v>IDA-C3</v>
      </c>
      <c r="CG36" s="379" t="str">
        <f t="shared" si="29"/>
        <v>IDA-C4</v>
      </c>
      <c r="CH36" s="379" t="str">
        <f t="shared" si="53"/>
        <v>IDA-C3</v>
      </c>
      <c r="CI36" s="379" t="str">
        <f>IF(CF36="IDA-C3",Begriffe!$F$248,IF(Eingabedaten!CF36="IDA-C4",Begriffe!$F$249,IF(Eingabedaten!CF36="IDA-C6",Begriffe!$F$250,"")))</f>
        <v>einstufig</v>
      </c>
      <c r="CJ36" s="379" t="str">
        <f>IF(CG36="IDA-C3",Begriffe!$F$248,IF(Eingabedaten!CG36="IDA-C4",Begriffe!$F$249,IF(Eingabedaten!CG36="IDA-C6",Begriffe!$F$250,"")))</f>
        <v>zweistufig</v>
      </c>
      <c r="CK36" s="379" t="str">
        <f>IF(CH36="IDA-C3",Begriffe!$F$248,IF(Eingabedaten!CH36="IDA-C4",Begriffe!$F$249,IF(Eingabedaten!CH36="IDA-C6",Begriffe!$F$250,"")))</f>
        <v>einstufig</v>
      </c>
      <c r="CL36" s="1439">
        <v>0.73</v>
      </c>
      <c r="CM36" s="1439">
        <v>0.78</v>
      </c>
      <c r="CN36" s="1439">
        <v>0.5</v>
      </c>
      <c r="CO36" s="1439">
        <v>0.7</v>
      </c>
      <c r="CP36" s="1439">
        <v>0.75</v>
      </c>
      <c r="CQ36" s="1461">
        <v>0.5</v>
      </c>
      <c r="CR36" s="586" t="str">
        <f>Begriffe!$F$252</f>
        <v>Einfache Klimaanlage</v>
      </c>
      <c r="CS36" s="586">
        <v>0.91</v>
      </c>
      <c r="CT36" s="586">
        <v>0.55000000000000004</v>
      </c>
      <c r="CU36" s="586">
        <v>0.34</v>
      </c>
      <c r="CV36" s="1433">
        <v>0.91</v>
      </c>
      <c r="CW36" s="1469" t="str">
        <f>Begriffe!$F$259</f>
        <v>notwendig</v>
      </c>
      <c r="CX36" s="586" t="str">
        <f>Begriffe!$F$259</f>
        <v>notwendig</v>
      </c>
      <c r="CY36" s="586" t="str">
        <f>Begriffe!$F$259</f>
        <v>notwendig</v>
      </c>
      <c r="CZ36" s="586" t="str">
        <f>Begriffe!$F$257</f>
        <v>nicht notwendig</v>
      </c>
      <c r="DA36" s="586" t="str">
        <f>Begriffe!$F$258</f>
        <v>erwünscht</v>
      </c>
      <c r="DB36" s="1433" t="str">
        <f>Begriffe!$F$259</f>
        <v>notwendig</v>
      </c>
      <c r="DC36" s="580"/>
      <c r="DD36" s="390"/>
      <c r="DE36" s="390"/>
      <c r="DF36" s="628">
        <v>0.5</v>
      </c>
      <c r="DG36" s="580">
        <v>0.1</v>
      </c>
      <c r="DH36" s="628">
        <f t="shared" si="30"/>
        <v>0.3</v>
      </c>
      <c r="DI36" s="580" t="str">
        <f>Begriffe!$F$260</f>
        <v>Person</v>
      </c>
      <c r="DJ36" s="595">
        <v>3</v>
      </c>
      <c r="DK36" s="598">
        <v>1</v>
      </c>
      <c r="DL36" s="595">
        <f t="shared" si="54"/>
        <v>3</v>
      </c>
      <c r="DM36" s="390">
        <v>20</v>
      </c>
      <c r="DN36" s="629">
        <f t="shared" si="55"/>
        <v>60</v>
      </c>
      <c r="DO36" s="593" t="s">
        <v>126</v>
      </c>
      <c r="DP36" s="620"/>
      <c r="DQ36" s="618"/>
      <c r="DR36" s="618"/>
      <c r="DS36" s="621"/>
      <c r="DT36" s="618"/>
      <c r="DU36" s="617"/>
      <c r="DV36" s="618"/>
      <c r="DW36" s="618">
        <v>0.2</v>
      </c>
      <c r="DX36" s="618">
        <v>0.6</v>
      </c>
      <c r="DY36" s="621">
        <v>1</v>
      </c>
      <c r="DZ36" s="618">
        <v>1</v>
      </c>
      <c r="EA36" s="617">
        <v>0.8</v>
      </c>
      <c r="EB36" s="618">
        <v>0.4</v>
      </c>
      <c r="EC36" s="618">
        <v>0.6</v>
      </c>
      <c r="ED36" s="618">
        <v>1</v>
      </c>
      <c r="EE36" s="621">
        <v>0.8</v>
      </c>
      <c r="EF36" s="618">
        <v>0.6</v>
      </c>
      <c r="EG36" s="617">
        <v>0.2</v>
      </c>
      <c r="EH36" s="618"/>
      <c r="EI36" s="618"/>
      <c r="EJ36" s="618"/>
      <c r="EK36" s="621"/>
      <c r="EL36" s="618"/>
      <c r="EM36" s="622"/>
      <c r="EN36" s="620">
        <v>0.2</v>
      </c>
      <c r="EO36" s="618">
        <v>0.2</v>
      </c>
      <c r="EP36" s="618">
        <v>0.2</v>
      </c>
      <c r="EQ36" s="621">
        <v>0.2</v>
      </c>
      <c r="ER36" s="618">
        <v>0.2</v>
      </c>
      <c r="ES36" s="617">
        <v>0.2</v>
      </c>
      <c r="ET36" s="618">
        <v>0.2</v>
      </c>
      <c r="EU36" s="618">
        <v>0.2</v>
      </c>
      <c r="EV36" s="618">
        <v>0.6</v>
      </c>
      <c r="EW36" s="621">
        <v>1</v>
      </c>
      <c r="EX36" s="618">
        <v>1</v>
      </c>
      <c r="EY36" s="617">
        <v>0.8</v>
      </c>
      <c r="EZ36" s="618">
        <v>0.4</v>
      </c>
      <c r="FA36" s="618">
        <v>0.6</v>
      </c>
      <c r="FB36" s="618">
        <v>1</v>
      </c>
      <c r="FC36" s="621">
        <v>0.8</v>
      </c>
      <c r="FD36" s="618">
        <v>0.6</v>
      </c>
      <c r="FE36" s="617">
        <v>0.2</v>
      </c>
      <c r="FF36" s="618">
        <v>0.2</v>
      </c>
      <c r="FG36" s="618">
        <v>0.2</v>
      </c>
      <c r="FH36" s="618">
        <v>0.2</v>
      </c>
      <c r="FI36" s="621">
        <v>0.2</v>
      </c>
      <c r="FJ36" s="618">
        <v>0.2</v>
      </c>
      <c r="FK36" s="622">
        <v>0.2</v>
      </c>
      <c r="FL36" s="620" t="s">
        <v>575</v>
      </c>
      <c r="FM36" s="620">
        <v>0.8</v>
      </c>
      <c r="FN36" s="618">
        <v>0.8</v>
      </c>
      <c r="FO36" s="618">
        <v>0.8</v>
      </c>
      <c r="FP36" s="621">
        <v>0.8</v>
      </c>
      <c r="FQ36" s="618">
        <v>0.8</v>
      </c>
      <c r="FR36" s="617">
        <v>0.8</v>
      </c>
      <c r="FS36" s="618">
        <v>0.8</v>
      </c>
      <c r="FT36" s="618">
        <v>0.8</v>
      </c>
      <c r="FU36" s="618">
        <v>0.8</v>
      </c>
      <c r="FV36" s="621">
        <v>0.8</v>
      </c>
      <c r="FW36" s="618">
        <v>0.8</v>
      </c>
      <c r="FX36" s="622">
        <v>0.8</v>
      </c>
      <c r="FY36" s="587">
        <v>2</v>
      </c>
      <c r="FZ36" s="613">
        <f t="shared" si="35"/>
        <v>261</v>
      </c>
      <c r="GA36" s="620">
        <f t="shared" si="2"/>
        <v>11</v>
      </c>
      <c r="GB36" s="618">
        <f t="shared" si="3"/>
        <v>7.1999999999999993</v>
      </c>
      <c r="GC36" s="618">
        <f t="shared" si="4"/>
        <v>7.1999999999999993</v>
      </c>
      <c r="GD36" s="618">
        <f t="shared" si="5"/>
        <v>0</v>
      </c>
      <c r="GE36" s="627">
        <f t="shared" si="6"/>
        <v>0.80000000000000016</v>
      </c>
      <c r="GF36" s="205">
        <f t="shared" si="31"/>
        <v>2870</v>
      </c>
      <c r="GG36" s="205">
        <f t="shared" si="7"/>
        <v>2870</v>
      </c>
      <c r="GH36" s="463">
        <f t="shared" si="36"/>
        <v>1500</v>
      </c>
      <c r="GI36" s="620">
        <f t="shared" si="8"/>
        <v>24</v>
      </c>
      <c r="GJ36" s="618">
        <f t="shared" si="9"/>
        <v>9.7999999999999936</v>
      </c>
      <c r="GK36" s="618">
        <f t="shared" si="10"/>
        <v>4.8000000000000007</v>
      </c>
      <c r="GL36" s="463">
        <f>ROUND((GJ36*FZ36+GK36*(365-FZ36))*GE36,-1)</f>
        <v>2450</v>
      </c>
      <c r="GM36" s="1574"/>
      <c r="GN36" s="379" t="str">
        <f>Begriffe!$F$281</f>
        <v>- Produktionsanlagen sind unter Prozessanlagen verbucht</v>
      </c>
      <c r="GO36" s="379" t="str">
        <f>Begriffe!$F$277</f>
        <v>- Der prozessbedingte Aussenluftvolumenstrom ist in den Diagrammen nicht berücksichtigt</v>
      </c>
      <c r="GP36" s="583" t="str">
        <f>Begriffe!$F$285</f>
        <v>- Der Klimakälteleistungsbedarf und der jährliche Klimakältebedarf gelten für Räume ohne unterstützende Fensterlüftung</v>
      </c>
      <c r="GQ36" s="583" t="str">
        <f>Begriffe!$F$286</f>
        <v>- Die Wärmeeinträge von Prozessanlagen sind beim Klimakälte- und Heizwärmebedarf nicht berücksichtigt</v>
      </c>
      <c r="GR36" s="583" t="str">
        <f>Begriffe!$F326</f>
        <v xml:space="preserve">- Wasser- und Warmwasserbedarf pro Person, ohne Prozesswasser </v>
      </c>
      <c r="HB36" s="379" t="s">
        <v>123</v>
      </c>
      <c r="HC36" s="379">
        <v>0.8</v>
      </c>
      <c r="HD36" s="379">
        <v>0.6</v>
      </c>
      <c r="HE36" s="379">
        <v>1</v>
      </c>
      <c r="HF36" s="379">
        <v>0.8</v>
      </c>
      <c r="HG36" s="379">
        <v>0.6</v>
      </c>
      <c r="HH36" s="379">
        <v>1</v>
      </c>
      <c r="HI36" s="379">
        <v>0.6</v>
      </c>
      <c r="HJ36" s="379">
        <v>0.6</v>
      </c>
      <c r="HK36" s="379">
        <v>1</v>
      </c>
      <c r="HL36" s="379">
        <v>0.8</v>
      </c>
      <c r="HM36" s="379">
        <v>1</v>
      </c>
      <c r="HN36" s="379">
        <v>0.6</v>
      </c>
      <c r="HO36" s="390">
        <f t="shared" si="11"/>
        <v>0.78333333333333333</v>
      </c>
      <c r="HQ36" s="390">
        <v>2</v>
      </c>
      <c r="HS36" s="541">
        <v>0</v>
      </c>
      <c r="HT36" s="541">
        <v>0</v>
      </c>
      <c r="HU36" s="600">
        <v>1</v>
      </c>
      <c r="HV36" s="600">
        <v>1</v>
      </c>
      <c r="HW36" s="600">
        <v>1</v>
      </c>
      <c r="HX36" s="600">
        <v>1</v>
      </c>
      <c r="HY36" s="600">
        <v>1</v>
      </c>
      <c r="HZ36" s="379">
        <v>10</v>
      </c>
      <c r="IA36" s="379">
        <v>13</v>
      </c>
      <c r="IB36" s="600">
        <v>0.7</v>
      </c>
      <c r="IC36" s="379">
        <v>9</v>
      </c>
      <c r="ID36" s="1439">
        <v>1.111764705882353</v>
      </c>
      <c r="IE36" s="1440">
        <f t="shared" si="32"/>
        <v>24.452941176470588</v>
      </c>
    </row>
    <row r="37" spans="1:239" s="379" customFormat="1" ht="12" customHeight="1">
      <c r="A37" s="1638">
        <v>9.0299999999999994</v>
      </c>
      <c r="B37" s="1639"/>
      <c r="C37" s="592" t="str">
        <f>Begriffe!F162</f>
        <v>Laborraum</v>
      </c>
      <c r="D37" s="604">
        <v>10</v>
      </c>
      <c r="E37" s="642">
        <v>7</v>
      </c>
      <c r="F37" s="642">
        <v>4</v>
      </c>
      <c r="G37" s="641">
        <f t="shared" si="33"/>
        <v>70</v>
      </c>
      <c r="H37" s="641">
        <v>127.05882352941177</v>
      </c>
      <c r="I37" s="385">
        <v>50</v>
      </c>
      <c r="J37" s="1442">
        <v>0.75</v>
      </c>
      <c r="K37" s="1447">
        <f t="shared" si="12"/>
        <v>66.666666666666671</v>
      </c>
      <c r="L37" s="1441">
        <v>1</v>
      </c>
      <c r="M37" s="601">
        <v>0.8</v>
      </c>
      <c r="N37" s="601">
        <v>1.5</v>
      </c>
      <c r="O37" s="1442">
        <v>0.17</v>
      </c>
      <c r="P37" s="601">
        <v>0.1</v>
      </c>
      <c r="Q37" s="601">
        <v>0.8</v>
      </c>
      <c r="R37" s="1442">
        <v>0.5</v>
      </c>
      <c r="S37" s="1442">
        <v>0.5</v>
      </c>
      <c r="T37" s="1442">
        <v>0.65</v>
      </c>
      <c r="U37" s="1442">
        <v>0.14000000000000001</v>
      </c>
      <c r="V37" s="1442">
        <v>0.1</v>
      </c>
      <c r="W37" s="1442">
        <v>0.2</v>
      </c>
      <c r="X37" s="385">
        <v>0.7</v>
      </c>
      <c r="Y37" s="385">
        <v>0.9</v>
      </c>
      <c r="Z37" s="385">
        <v>90</v>
      </c>
      <c r="AA37" s="602">
        <v>114.8</v>
      </c>
      <c r="AB37" s="576">
        <v>26</v>
      </c>
      <c r="AC37" s="639">
        <v>21</v>
      </c>
      <c r="AD37" s="639">
        <v>25</v>
      </c>
      <c r="AE37" s="639">
        <v>20</v>
      </c>
      <c r="AF37" s="588" t="s">
        <v>22</v>
      </c>
      <c r="AG37" s="1443" t="s">
        <v>122</v>
      </c>
      <c r="AH37" s="1443">
        <v>60</v>
      </c>
      <c r="AI37" s="1444">
        <v>30</v>
      </c>
      <c r="AJ37" s="1658" t="str">
        <f>Begriffe!F$247</f>
        <v>gering</v>
      </c>
      <c r="AK37" s="1443">
        <v>1</v>
      </c>
      <c r="AL37" s="1443">
        <f t="shared" si="13"/>
        <v>38</v>
      </c>
      <c r="AM37" s="1443">
        <f t="shared" si="14"/>
        <v>43</v>
      </c>
      <c r="AN37" s="1444">
        <f t="shared" si="15"/>
        <v>33</v>
      </c>
      <c r="AO37" s="1445">
        <v>0.8</v>
      </c>
      <c r="AP37" s="574">
        <v>15</v>
      </c>
      <c r="AQ37" s="601">
        <v>1.2</v>
      </c>
      <c r="AR37" s="601">
        <v>0.5</v>
      </c>
      <c r="AS37" s="601">
        <v>1</v>
      </c>
      <c r="AT37" s="602">
        <f t="shared" si="16"/>
        <v>84</v>
      </c>
      <c r="AU37" s="602">
        <f t="shared" si="17"/>
        <v>94</v>
      </c>
      <c r="AV37" s="602">
        <f t="shared" si="18"/>
        <v>51</v>
      </c>
      <c r="AW37" s="602">
        <f t="shared" si="19"/>
        <v>66</v>
      </c>
      <c r="AX37" s="1447"/>
      <c r="AY37" s="654">
        <v>5</v>
      </c>
      <c r="AZ37" s="387">
        <v>5</v>
      </c>
      <c r="BA37" s="387">
        <v>10</v>
      </c>
      <c r="BB37" s="387">
        <v>15</v>
      </c>
      <c r="BC37" s="387">
        <v>10</v>
      </c>
      <c r="BD37" s="387">
        <v>30</v>
      </c>
      <c r="BE37" s="387">
        <f t="shared" si="52"/>
        <v>5</v>
      </c>
      <c r="BF37" s="387">
        <f t="shared" si="50"/>
        <v>5</v>
      </c>
      <c r="BG37" s="387">
        <f t="shared" si="51"/>
        <v>10</v>
      </c>
      <c r="BH37" s="640">
        <v>20</v>
      </c>
      <c r="BI37" s="1123">
        <f t="shared" si="23"/>
        <v>20</v>
      </c>
      <c r="BJ37" s="387">
        <v>200</v>
      </c>
      <c r="BK37" s="642">
        <f t="shared" si="24"/>
        <v>10</v>
      </c>
      <c r="BL37" s="654">
        <f t="shared" si="34"/>
        <v>500</v>
      </c>
      <c r="BM37" s="642">
        <v>1</v>
      </c>
      <c r="BN37" s="387">
        <v>500</v>
      </c>
      <c r="BO37" s="387" t="str">
        <f>Begriffe!$F$207</f>
        <v>DP</v>
      </c>
      <c r="BP37" s="642">
        <v>1</v>
      </c>
      <c r="BQ37" s="642">
        <v>1</v>
      </c>
      <c r="BR37" s="648">
        <v>0.75</v>
      </c>
      <c r="BS37" s="1809">
        <v>90</v>
      </c>
      <c r="BT37" s="1809">
        <v>130</v>
      </c>
      <c r="BU37" s="602">
        <f t="shared" si="38"/>
        <v>11</v>
      </c>
      <c r="BV37" s="1073">
        <f t="shared" si="25"/>
        <v>0</v>
      </c>
      <c r="BW37" s="576" t="s">
        <v>380</v>
      </c>
      <c r="BX37" s="602">
        <f t="shared" si="26"/>
        <v>29</v>
      </c>
      <c r="BY37" s="385"/>
      <c r="BZ37" s="601">
        <f t="shared" si="40"/>
        <v>1.9333333333333333</v>
      </c>
      <c r="CA37" s="602">
        <v>12</v>
      </c>
      <c r="CB37" s="601">
        <f t="shared" si="1"/>
        <v>1.9333333333333333</v>
      </c>
      <c r="CC37" s="385">
        <v>0</v>
      </c>
      <c r="CD37" s="1442">
        <v>0.15</v>
      </c>
      <c r="CE37" s="1442">
        <v>0.3</v>
      </c>
      <c r="CF37" s="387" t="str">
        <f t="shared" si="28"/>
        <v>IDA-C3</v>
      </c>
      <c r="CG37" s="387" t="str">
        <f t="shared" si="29"/>
        <v>IDA-C4</v>
      </c>
      <c r="CH37" s="387" t="str">
        <f t="shared" si="53"/>
        <v>IDA-C3</v>
      </c>
      <c r="CI37" s="387" t="str">
        <f>IF(CF37="IDA-C3",Begriffe!$F$248,IF(Eingabedaten!CF37="IDA-C4",Begriffe!$F$249,IF(Eingabedaten!CF37="IDA-C6",Begriffe!$F$250,"")))</f>
        <v>einstufig</v>
      </c>
      <c r="CJ37" s="387" t="str">
        <f>IF(CG37="IDA-C3",Begriffe!$F$248,IF(Eingabedaten!CG37="IDA-C4",Begriffe!$F$249,IF(Eingabedaten!CG37="IDA-C6",Begriffe!$F$250,"")))</f>
        <v>zweistufig</v>
      </c>
      <c r="CK37" s="387" t="str">
        <f>IF(CH37="IDA-C3",Begriffe!$F$248,IF(Eingabedaten!CH37="IDA-C4",Begriffe!$F$249,IF(Eingabedaten!CH37="IDA-C6",Begriffe!$F$250,"")))</f>
        <v>einstufig</v>
      </c>
      <c r="CL37" s="1442">
        <v>0.73</v>
      </c>
      <c r="CM37" s="1442">
        <v>0.78</v>
      </c>
      <c r="CN37" s="1442">
        <v>0.5</v>
      </c>
      <c r="CO37" s="1442">
        <v>0.7</v>
      </c>
      <c r="CP37" s="1442">
        <v>0.75</v>
      </c>
      <c r="CQ37" s="1449">
        <v>0.5</v>
      </c>
      <c r="CR37" s="589" t="str">
        <f>Begriffe!$F$252</f>
        <v>Einfache Klimaanlage</v>
      </c>
      <c r="CS37" s="589">
        <v>0.91</v>
      </c>
      <c r="CT37" s="589">
        <v>0.55000000000000004</v>
      </c>
      <c r="CU37" s="589">
        <v>0.34</v>
      </c>
      <c r="CV37" s="1470">
        <v>0.91</v>
      </c>
      <c r="CW37" s="1471" t="str">
        <f>Begriffe!$F$259</f>
        <v>notwendig</v>
      </c>
      <c r="CX37" s="589" t="str">
        <f>Begriffe!$F$259</f>
        <v>notwendig</v>
      </c>
      <c r="CY37" s="589" t="str">
        <f>Begriffe!$F$259</f>
        <v>notwendig</v>
      </c>
      <c r="CZ37" s="589" t="str">
        <f>Begriffe!$F$258</f>
        <v>erwünscht</v>
      </c>
      <c r="DA37" s="589" t="str">
        <f>Begriffe!$F$259</f>
        <v>notwendig</v>
      </c>
      <c r="DB37" s="1470" t="str">
        <f>Begriffe!$F$259</f>
        <v>notwendig</v>
      </c>
      <c r="DC37" s="574"/>
      <c r="DD37" s="385"/>
      <c r="DE37" s="385"/>
      <c r="DF37" s="572"/>
      <c r="DG37" s="574">
        <v>0.1</v>
      </c>
      <c r="DH37" s="572">
        <f t="shared" si="30"/>
        <v>0.3</v>
      </c>
      <c r="DI37" s="574" t="str">
        <f>Begriffe!$F$260</f>
        <v>Person</v>
      </c>
      <c r="DJ37" s="601">
        <v>3</v>
      </c>
      <c r="DK37" s="602">
        <v>1</v>
      </c>
      <c r="DL37" s="601">
        <f t="shared" si="54"/>
        <v>3</v>
      </c>
      <c r="DM37" s="385">
        <v>20</v>
      </c>
      <c r="DN37" s="1073">
        <f t="shared" si="55"/>
        <v>60</v>
      </c>
      <c r="DO37" s="603" t="s">
        <v>126</v>
      </c>
      <c r="DP37" s="604"/>
      <c r="DQ37" s="642"/>
      <c r="DR37" s="642"/>
      <c r="DS37" s="644"/>
      <c r="DT37" s="642"/>
      <c r="DU37" s="645"/>
      <c r="DV37" s="642"/>
      <c r="DW37" s="642">
        <v>0.2</v>
      </c>
      <c r="DX37" s="642">
        <v>0.6</v>
      </c>
      <c r="DY37" s="644">
        <v>1</v>
      </c>
      <c r="DZ37" s="642">
        <v>1</v>
      </c>
      <c r="EA37" s="645">
        <v>0.8</v>
      </c>
      <c r="EB37" s="642">
        <v>0.4</v>
      </c>
      <c r="EC37" s="642">
        <v>0.6</v>
      </c>
      <c r="ED37" s="642">
        <v>1</v>
      </c>
      <c r="EE37" s="644">
        <v>0.8</v>
      </c>
      <c r="EF37" s="642">
        <v>0.6</v>
      </c>
      <c r="EG37" s="645">
        <v>0.2</v>
      </c>
      <c r="EH37" s="642"/>
      <c r="EI37" s="642"/>
      <c r="EJ37" s="642"/>
      <c r="EK37" s="644"/>
      <c r="EL37" s="642"/>
      <c r="EM37" s="646"/>
      <c r="EN37" s="604">
        <v>0.2</v>
      </c>
      <c r="EO37" s="642">
        <v>0.2</v>
      </c>
      <c r="EP37" s="642">
        <v>0.2</v>
      </c>
      <c r="EQ37" s="644">
        <v>0.2</v>
      </c>
      <c r="ER37" s="642">
        <v>0.2</v>
      </c>
      <c r="ES37" s="645">
        <v>0.2</v>
      </c>
      <c r="ET37" s="642">
        <v>0.2</v>
      </c>
      <c r="EU37" s="642">
        <v>0.2</v>
      </c>
      <c r="EV37" s="642">
        <v>0.6</v>
      </c>
      <c r="EW37" s="644">
        <v>1</v>
      </c>
      <c r="EX37" s="642">
        <v>1</v>
      </c>
      <c r="EY37" s="645">
        <v>0.8</v>
      </c>
      <c r="EZ37" s="642">
        <v>0.4</v>
      </c>
      <c r="FA37" s="642">
        <v>0.6</v>
      </c>
      <c r="FB37" s="642">
        <v>1</v>
      </c>
      <c r="FC37" s="644">
        <v>0.8</v>
      </c>
      <c r="FD37" s="642">
        <v>0.6</v>
      </c>
      <c r="FE37" s="645">
        <v>0.2</v>
      </c>
      <c r="FF37" s="642">
        <v>0.2</v>
      </c>
      <c r="FG37" s="642">
        <v>0.2</v>
      </c>
      <c r="FH37" s="642">
        <v>0.2</v>
      </c>
      <c r="FI37" s="644">
        <v>0.2</v>
      </c>
      <c r="FJ37" s="642">
        <v>0.2</v>
      </c>
      <c r="FK37" s="646">
        <v>0.2</v>
      </c>
      <c r="FL37" s="604" t="s">
        <v>575</v>
      </c>
      <c r="FM37" s="604">
        <v>0.8</v>
      </c>
      <c r="FN37" s="642">
        <v>0.8</v>
      </c>
      <c r="FO37" s="642">
        <v>0.8</v>
      </c>
      <c r="FP37" s="644">
        <v>0.8</v>
      </c>
      <c r="FQ37" s="642">
        <v>0.8</v>
      </c>
      <c r="FR37" s="645">
        <v>0.8</v>
      </c>
      <c r="FS37" s="642">
        <v>0.8</v>
      </c>
      <c r="FT37" s="642">
        <v>0.8</v>
      </c>
      <c r="FU37" s="642">
        <v>0.8</v>
      </c>
      <c r="FV37" s="644">
        <v>0.8</v>
      </c>
      <c r="FW37" s="642">
        <v>0.8</v>
      </c>
      <c r="FX37" s="646">
        <v>0.8</v>
      </c>
      <c r="FY37" s="591">
        <v>2</v>
      </c>
      <c r="FZ37" s="640">
        <f>365-(52*FY37)</f>
        <v>261</v>
      </c>
      <c r="GA37" s="604">
        <f t="shared" si="2"/>
        <v>11</v>
      </c>
      <c r="GB37" s="642">
        <f t="shared" si="3"/>
        <v>7.1999999999999993</v>
      </c>
      <c r="GC37" s="642">
        <f t="shared" si="4"/>
        <v>7.1999999999999993</v>
      </c>
      <c r="GD37" s="642">
        <f t="shared" si="5"/>
        <v>0</v>
      </c>
      <c r="GE37" s="648">
        <f>SUMPRODUCT(FM37:FX37,FM$8:FX$8)/365</f>
        <v>0.80000000000000016</v>
      </c>
      <c r="GF37" s="641">
        <f t="shared" si="31"/>
        <v>2870</v>
      </c>
      <c r="GG37" s="641">
        <f t="shared" si="7"/>
        <v>2870</v>
      </c>
      <c r="GH37" s="592">
        <f>ROUND(GB37*FZ37*GE37,-1)</f>
        <v>1500</v>
      </c>
      <c r="GI37" s="604">
        <f t="shared" si="8"/>
        <v>24</v>
      </c>
      <c r="GJ37" s="642">
        <f t="shared" si="9"/>
        <v>9.7999999999999936</v>
      </c>
      <c r="GK37" s="642">
        <f t="shared" si="10"/>
        <v>4.8000000000000007</v>
      </c>
      <c r="GL37" s="592">
        <f>ROUND((GJ37*FZ37+GK37*(365-FZ37))*GE37,-1)</f>
        <v>2450</v>
      </c>
      <c r="GM37" s="1574"/>
      <c r="GN37" s="379" t="str">
        <f>Begriffe!$F$282</f>
        <v>- Laboranlagen inkl. Reinraumlüftung sind unter Prozessanlagen verbucht</v>
      </c>
      <c r="GO37" s="379" t="str">
        <f>Begriffe!$F$277</f>
        <v>- Der prozessbedingte Aussenluftvolumenstrom ist in den Diagrammen nicht berücksichtigt</v>
      </c>
      <c r="GP37" s="583" t="str">
        <f>Begriffe!$F$285</f>
        <v>- Der Klimakälteleistungsbedarf und der jährliche Klimakältebedarf gelten für Räume ohne unterstützende Fensterlüftung</v>
      </c>
      <c r="GQ37" s="583" t="str">
        <f>Begriffe!$F$286</f>
        <v>- Die Wärmeeinträge von Prozessanlagen sind beim Klimakälte- und Heizwärmebedarf nicht berücksichtigt</v>
      </c>
      <c r="GR37" s="583" t="str">
        <f>Begriffe!$F327</f>
        <v xml:space="preserve">- Wasser- und Warmwasserbedarf pro Person, ohne Prozesswasser </v>
      </c>
      <c r="HB37" s="379" t="s">
        <v>123</v>
      </c>
      <c r="HC37" s="379">
        <v>0.8</v>
      </c>
      <c r="HD37" s="379">
        <v>0.6</v>
      </c>
      <c r="HE37" s="379">
        <v>1</v>
      </c>
      <c r="HF37" s="379">
        <v>0.8</v>
      </c>
      <c r="HG37" s="379">
        <v>0.6</v>
      </c>
      <c r="HH37" s="379">
        <v>1</v>
      </c>
      <c r="HI37" s="379">
        <v>0.6</v>
      </c>
      <c r="HJ37" s="379">
        <v>0.6</v>
      </c>
      <c r="HK37" s="379">
        <v>1</v>
      </c>
      <c r="HL37" s="379">
        <v>0.8</v>
      </c>
      <c r="HM37" s="379">
        <v>1</v>
      </c>
      <c r="HN37" s="379">
        <v>0.6</v>
      </c>
      <c r="HO37" s="390">
        <f>SUM(HC37:HN37)/12</f>
        <v>0.78333333333333333</v>
      </c>
      <c r="HQ37" s="390">
        <v>2</v>
      </c>
      <c r="HS37" s="541">
        <v>0</v>
      </c>
      <c r="HT37" s="541">
        <v>0</v>
      </c>
      <c r="HU37" s="600">
        <v>1</v>
      </c>
      <c r="HV37" s="600">
        <v>1</v>
      </c>
      <c r="HW37" s="600">
        <v>1</v>
      </c>
      <c r="HX37" s="600">
        <v>1</v>
      </c>
      <c r="HY37" s="600">
        <v>1</v>
      </c>
      <c r="HZ37" s="379">
        <v>10</v>
      </c>
      <c r="IA37" s="379">
        <v>13</v>
      </c>
      <c r="IB37" s="600">
        <v>0.7</v>
      </c>
      <c r="IC37" s="379">
        <v>9</v>
      </c>
      <c r="ID37" s="1439">
        <v>1.2</v>
      </c>
      <c r="IE37" s="1440">
        <f t="shared" si="32"/>
        <v>25.6</v>
      </c>
    </row>
    <row r="38" spans="1:239" s="379" customFormat="1" ht="12" customHeight="1">
      <c r="A38" s="1645">
        <v>10.01</v>
      </c>
      <c r="B38" s="1646"/>
      <c r="C38" s="1474" t="str">
        <f>Begriffe!F163</f>
        <v>Lagerhalle</v>
      </c>
      <c r="D38" s="1475">
        <v>20</v>
      </c>
      <c r="E38" s="1476">
        <v>20</v>
      </c>
      <c r="F38" s="1476">
        <v>7</v>
      </c>
      <c r="G38" s="1477">
        <f t="shared" si="33"/>
        <v>400</v>
      </c>
      <c r="H38" s="1477">
        <v>494.11764705882354</v>
      </c>
      <c r="I38" s="607">
        <v>50</v>
      </c>
      <c r="J38" s="1478">
        <v>0.75</v>
      </c>
      <c r="K38" s="1486">
        <f t="shared" si="12"/>
        <v>66.666666666666671</v>
      </c>
      <c r="L38" s="1479">
        <v>1</v>
      </c>
      <c r="M38" s="606">
        <v>0.8</v>
      </c>
      <c r="N38" s="606">
        <v>1.5</v>
      </c>
      <c r="O38" s="1478">
        <v>0.17</v>
      </c>
      <c r="P38" s="606">
        <v>0.1</v>
      </c>
      <c r="Q38" s="606">
        <v>0.8</v>
      </c>
      <c r="R38" s="1478">
        <v>0.5</v>
      </c>
      <c r="S38" s="1478">
        <v>0.5</v>
      </c>
      <c r="T38" s="1478">
        <v>0.65</v>
      </c>
      <c r="U38" s="1478">
        <v>0.14000000000000001</v>
      </c>
      <c r="V38" s="1478">
        <v>0.1</v>
      </c>
      <c r="W38" s="1478">
        <v>0.2</v>
      </c>
      <c r="X38" s="607">
        <v>0.7</v>
      </c>
      <c r="Y38" s="607">
        <v>0.9</v>
      </c>
      <c r="Z38" s="607">
        <v>90</v>
      </c>
      <c r="AA38" s="1480">
        <v>105.8</v>
      </c>
      <c r="AB38" s="1539"/>
      <c r="AC38" s="1491">
        <v>18</v>
      </c>
      <c r="AD38" s="1491"/>
      <c r="AE38" s="1491">
        <v>18</v>
      </c>
      <c r="AF38" s="1481" t="s">
        <v>193</v>
      </c>
      <c r="AG38" s="1482" t="s">
        <v>122</v>
      </c>
      <c r="AH38" s="1482">
        <v>70</v>
      </c>
      <c r="AI38" s="1483">
        <v>30</v>
      </c>
      <c r="AJ38" s="1660" t="str">
        <f>Begriffe!F$245</f>
        <v>keine</v>
      </c>
      <c r="AK38" s="1482">
        <v>0</v>
      </c>
      <c r="AL38" s="1482" t="str">
        <f t="shared" ref="AL38:AL53" si="56">IF(AK38=2,33,IF(AK38=1,28,""))</f>
        <v/>
      </c>
      <c r="AM38" s="1482" t="str">
        <f t="shared" si="14"/>
        <v/>
      </c>
      <c r="AN38" s="1483" t="str">
        <f t="shared" si="15"/>
        <v/>
      </c>
      <c r="AO38" s="1484">
        <v>1.2</v>
      </c>
      <c r="AP38" s="1485">
        <v>40</v>
      </c>
      <c r="AQ38" s="606">
        <v>2</v>
      </c>
      <c r="AR38" s="606">
        <v>0.5</v>
      </c>
      <c r="AS38" s="606">
        <v>1</v>
      </c>
      <c r="AT38" s="1480">
        <f t="shared" si="16"/>
        <v>71</v>
      </c>
      <c r="AU38" s="1480">
        <v>107</v>
      </c>
      <c r="AV38" s="1480">
        <f t="shared" si="18"/>
        <v>109</v>
      </c>
      <c r="AW38" s="1480">
        <v>128</v>
      </c>
      <c r="AX38" s="1486"/>
      <c r="AY38" s="605">
        <v>2</v>
      </c>
      <c r="AZ38" s="607">
        <v>1</v>
      </c>
      <c r="BA38" s="607">
        <v>3</v>
      </c>
      <c r="BB38" s="607"/>
      <c r="BC38" s="607"/>
      <c r="BD38" s="607"/>
      <c r="BE38" s="607">
        <f t="shared" ref="BE38:BE53" si="57">AY38</f>
        <v>2</v>
      </c>
      <c r="BF38" s="607">
        <f t="shared" ref="BF38:BF53" si="58">AZ38</f>
        <v>1</v>
      </c>
      <c r="BG38" s="607">
        <f t="shared" ref="BG38:BG53" si="59">BA38</f>
        <v>3</v>
      </c>
      <c r="BH38" s="1487">
        <v>10</v>
      </c>
      <c r="BI38" s="1488">
        <f t="shared" si="23"/>
        <v>2</v>
      </c>
      <c r="BJ38" s="714">
        <v>20</v>
      </c>
      <c r="BK38" s="1476">
        <f t="shared" si="24"/>
        <v>10</v>
      </c>
      <c r="BL38" s="1819">
        <v>200</v>
      </c>
      <c r="BM38" s="1820">
        <v>1.5</v>
      </c>
      <c r="BN38" s="714">
        <v>300</v>
      </c>
      <c r="BO38" s="714" t="str">
        <f>Begriffe!$F$208</f>
        <v>NP</v>
      </c>
      <c r="BP38" s="1820">
        <v>0.5</v>
      </c>
      <c r="BQ38" s="1476">
        <v>1</v>
      </c>
      <c r="BR38" s="1489">
        <v>0.05</v>
      </c>
      <c r="BS38" s="1810">
        <v>130</v>
      </c>
      <c r="BT38" s="1810">
        <v>160</v>
      </c>
      <c r="BU38" s="1480">
        <f t="shared" si="38"/>
        <v>11</v>
      </c>
      <c r="BV38" s="1827">
        <f t="shared" si="25"/>
        <v>13</v>
      </c>
      <c r="BW38" s="1539" t="s">
        <v>380</v>
      </c>
      <c r="BX38" s="1480">
        <f t="shared" si="26"/>
        <v>48.333333333333336</v>
      </c>
      <c r="BY38" s="607"/>
      <c r="BZ38" s="606">
        <f t="shared" si="40"/>
        <v>1.2083333333333335</v>
      </c>
      <c r="CA38" s="602"/>
      <c r="CB38" s="606">
        <f t="shared" si="1"/>
        <v>1.2083333333333335</v>
      </c>
      <c r="CC38" s="607">
        <v>0</v>
      </c>
      <c r="CD38" s="1478">
        <v>0.15</v>
      </c>
      <c r="CE38" s="1478">
        <v>0.3</v>
      </c>
      <c r="CF38" s="714" t="str">
        <f t="shared" si="28"/>
        <v>IDA-C3</v>
      </c>
      <c r="CG38" s="714" t="str">
        <f t="shared" si="29"/>
        <v>IDA-C4</v>
      </c>
      <c r="CH38" s="714"/>
      <c r="CI38" s="714" t="str">
        <f>IF(CF38="IDA-C3",Begriffe!$F$248,IF(Eingabedaten!CF38="IDA-C4",Begriffe!$F$249,IF(Eingabedaten!CF38="IDA-C6",Begriffe!$F$250,"")))</f>
        <v>einstufig</v>
      </c>
      <c r="CJ38" s="714" t="str">
        <f>IF(CG38="IDA-C3",Begriffe!$F$248,IF(Eingabedaten!CG38="IDA-C4",Begriffe!$F$249,IF(Eingabedaten!CG38="IDA-C6",Begriffe!$F$250,"")))</f>
        <v>zweistufig</v>
      </c>
      <c r="CK38" s="714" t="str">
        <f>IF(CH38="IDA-C3",Begriffe!$F$248,IF(Eingabedaten!CH38="IDA-C4",Begriffe!$F$249,IF(Eingabedaten!CH38="IDA-C6",Begriffe!$F$250,"")))</f>
        <v/>
      </c>
      <c r="CL38" s="1478">
        <v>0.73</v>
      </c>
      <c r="CM38" s="1478">
        <v>0.78</v>
      </c>
      <c r="CN38" s="1478"/>
      <c r="CO38" s="1478">
        <v>0.7</v>
      </c>
      <c r="CP38" s="1478">
        <v>0.75</v>
      </c>
      <c r="CQ38" s="1492"/>
      <c r="CR38" s="1493" t="str">
        <f>Begriffe!$F$253</f>
        <v>Lüftungsanlage mit Lufterwärmung</v>
      </c>
      <c r="CS38" s="1493">
        <v>0.56000000000000005</v>
      </c>
      <c r="CT38" s="1493">
        <v>0.34</v>
      </c>
      <c r="CU38" s="1493">
        <v>0.22300000000000003</v>
      </c>
      <c r="CV38" s="1494">
        <v>0.55000000000000004</v>
      </c>
      <c r="CW38" s="1495" t="s">
        <v>16</v>
      </c>
      <c r="CX38" s="1493" t="s">
        <v>16</v>
      </c>
      <c r="CY38" s="1493" t="s">
        <v>16</v>
      </c>
      <c r="CZ38" s="1493" t="s">
        <v>16</v>
      </c>
      <c r="DA38" s="1493" t="s">
        <v>16</v>
      </c>
      <c r="DB38" s="1494" t="s">
        <v>16</v>
      </c>
      <c r="DC38" s="605"/>
      <c r="DD38" s="607"/>
      <c r="DE38" s="607"/>
      <c r="DF38" s="1496">
        <v>0.5</v>
      </c>
      <c r="DG38" s="605">
        <v>0.1</v>
      </c>
      <c r="DH38" s="1496">
        <f t="shared" si="30"/>
        <v>0.5</v>
      </c>
      <c r="DI38" s="605" t="str">
        <f>Begriffe!$F$260</f>
        <v>Person</v>
      </c>
      <c r="DJ38" s="606">
        <v>3</v>
      </c>
      <c r="DK38" s="607">
        <v>1</v>
      </c>
      <c r="DL38" s="606">
        <f t="shared" si="54"/>
        <v>3</v>
      </c>
      <c r="DM38" s="607">
        <v>20</v>
      </c>
      <c r="DN38" s="1490">
        <f t="shared" si="55"/>
        <v>60</v>
      </c>
      <c r="DO38" s="1497" t="s">
        <v>131</v>
      </c>
      <c r="DP38" s="1475">
        <v>0.2</v>
      </c>
      <c r="DQ38" s="1476">
        <v>0.2</v>
      </c>
      <c r="DR38" s="1476">
        <v>0.2</v>
      </c>
      <c r="DS38" s="1498">
        <v>0.2</v>
      </c>
      <c r="DT38" s="1476">
        <v>0.2</v>
      </c>
      <c r="DU38" s="1499">
        <v>0.5</v>
      </c>
      <c r="DV38" s="1476">
        <v>0.8</v>
      </c>
      <c r="DW38" s="1476">
        <v>1</v>
      </c>
      <c r="DX38" s="1476">
        <v>1</v>
      </c>
      <c r="DY38" s="1498">
        <v>0.8</v>
      </c>
      <c r="DZ38" s="1476">
        <v>1</v>
      </c>
      <c r="EA38" s="1499">
        <v>0.5</v>
      </c>
      <c r="EB38" s="1476">
        <v>0.8</v>
      </c>
      <c r="EC38" s="1476">
        <v>1</v>
      </c>
      <c r="ED38" s="1476">
        <v>1</v>
      </c>
      <c r="EE38" s="1498">
        <v>0.8</v>
      </c>
      <c r="EF38" s="1476">
        <v>0.8</v>
      </c>
      <c r="EG38" s="1499">
        <v>0.8</v>
      </c>
      <c r="EH38" s="1476">
        <v>0.5</v>
      </c>
      <c r="EI38" s="1476">
        <v>0.5</v>
      </c>
      <c r="EJ38" s="1476">
        <v>0.5</v>
      </c>
      <c r="EK38" s="1498">
        <v>0.5</v>
      </c>
      <c r="EL38" s="1476">
        <v>0.2</v>
      </c>
      <c r="EM38" s="1500">
        <v>0.2</v>
      </c>
      <c r="EN38" s="1475">
        <v>0.2</v>
      </c>
      <c r="EO38" s="1476">
        <v>0.2</v>
      </c>
      <c r="EP38" s="1476">
        <v>0.2</v>
      </c>
      <c r="EQ38" s="1498">
        <v>0.2</v>
      </c>
      <c r="ER38" s="1476">
        <v>0.2</v>
      </c>
      <c r="ES38" s="1499">
        <v>0.5</v>
      </c>
      <c r="ET38" s="1476">
        <v>0.8</v>
      </c>
      <c r="EU38" s="1476">
        <v>1</v>
      </c>
      <c r="EV38" s="1476">
        <v>1</v>
      </c>
      <c r="EW38" s="1498">
        <v>0.8</v>
      </c>
      <c r="EX38" s="1476">
        <v>1</v>
      </c>
      <c r="EY38" s="1499">
        <v>0.5</v>
      </c>
      <c r="EZ38" s="1476">
        <v>0.8</v>
      </c>
      <c r="FA38" s="1476">
        <v>1</v>
      </c>
      <c r="FB38" s="1476">
        <v>1</v>
      </c>
      <c r="FC38" s="1498">
        <v>0.8</v>
      </c>
      <c r="FD38" s="1476">
        <v>0.8</v>
      </c>
      <c r="FE38" s="1499">
        <v>0.8</v>
      </c>
      <c r="FF38" s="1476">
        <v>0.5</v>
      </c>
      <c r="FG38" s="1476">
        <v>0.5</v>
      </c>
      <c r="FH38" s="1476">
        <v>0.5</v>
      </c>
      <c r="FI38" s="1498">
        <v>0.5</v>
      </c>
      <c r="FJ38" s="1476">
        <v>0.2</v>
      </c>
      <c r="FK38" s="1500">
        <v>0.2</v>
      </c>
      <c r="FL38" s="1475" t="s">
        <v>575</v>
      </c>
      <c r="FM38" s="1475">
        <v>0.8</v>
      </c>
      <c r="FN38" s="1476">
        <v>0.8</v>
      </c>
      <c r="FO38" s="1476">
        <v>0.8</v>
      </c>
      <c r="FP38" s="1498">
        <v>0.8</v>
      </c>
      <c r="FQ38" s="1476">
        <v>0.8</v>
      </c>
      <c r="FR38" s="1499">
        <v>0.8</v>
      </c>
      <c r="FS38" s="1476">
        <v>0.8</v>
      </c>
      <c r="FT38" s="1476">
        <v>0.8</v>
      </c>
      <c r="FU38" s="1476">
        <v>0.8</v>
      </c>
      <c r="FV38" s="1498">
        <v>0.8</v>
      </c>
      <c r="FW38" s="1476">
        <v>0.8</v>
      </c>
      <c r="FX38" s="1500">
        <v>0.8</v>
      </c>
      <c r="FY38" s="608">
        <v>2</v>
      </c>
      <c r="FZ38" s="1487">
        <f t="shared" si="35"/>
        <v>261</v>
      </c>
      <c r="GA38" s="1475">
        <f t="shared" si="2"/>
        <v>24</v>
      </c>
      <c r="GB38" s="1476">
        <f t="shared" si="3"/>
        <v>14.2</v>
      </c>
      <c r="GC38" s="1476">
        <f t="shared" si="4"/>
        <v>9.5</v>
      </c>
      <c r="GD38" s="1476">
        <f t="shared" si="5"/>
        <v>4.7</v>
      </c>
      <c r="GE38" s="1489">
        <f t="shared" si="6"/>
        <v>0.80000000000000016</v>
      </c>
      <c r="GF38" s="1477">
        <f t="shared" si="31"/>
        <v>6260</v>
      </c>
      <c r="GG38" s="1477">
        <f t="shared" si="7"/>
        <v>6260</v>
      </c>
      <c r="GH38" s="1474">
        <f t="shared" si="36"/>
        <v>2960</v>
      </c>
      <c r="GI38" s="1475">
        <f t="shared" si="8"/>
        <v>24</v>
      </c>
      <c r="GJ38" s="1476">
        <f t="shared" si="9"/>
        <v>14.2</v>
      </c>
      <c r="GK38" s="1476">
        <f t="shared" si="10"/>
        <v>2.4000000000000004</v>
      </c>
      <c r="GL38" s="1474">
        <f t="shared" si="37"/>
        <v>3160</v>
      </c>
      <c r="GM38" s="594" t="str">
        <f>Begriffe!F290</f>
        <v>- Verpackungsbereich mit speziellen Anforderungen</v>
      </c>
      <c r="GO38" s="379" t="str">
        <f>IF(CH38=0,Begriffe!$F$297,"")</f>
        <v>- Keine Lüftungsanlage im Bestand</v>
      </c>
      <c r="GP38" s="583" t="str">
        <f>Begriffe!$F$285</f>
        <v>- Der Klimakälteleistungsbedarf und der jährliche Klimakältebedarf gelten für Räume ohne unterstützende Fensterlüftung</v>
      </c>
      <c r="GQ38" s="583"/>
      <c r="GR38" s="583" t="str">
        <f>Begriffe!$F328</f>
        <v>- Wasser- und Warmwasserbedarf pro Person</v>
      </c>
      <c r="HB38" s="379" t="s">
        <v>123</v>
      </c>
      <c r="HC38" s="379">
        <v>0.8</v>
      </c>
      <c r="HD38" s="379">
        <v>0.6</v>
      </c>
      <c r="HE38" s="379">
        <v>1</v>
      </c>
      <c r="HF38" s="379">
        <v>0.8</v>
      </c>
      <c r="HG38" s="379">
        <v>0.6</v>
      </c>
      <c r="HH38" s="379">
        <v>1</v>
      </c>
      <c r="HI38" s="379">
        <v>0.6</v>
      </c>
      <c r="HJ38" s="379">
        <v>0.6</v>
      </c>
      <c r="HK38" s="379">
        <v>1</v>
      </c>
      <c r="HL38" s="379">
        <v>0.8</v>
      </c>
      <c r="HM38" s="379">
        <v>1</v>
      </c>
      <c r="HN38" s="379">
        <v>0.6</v>
      </c>
      <c r="HO38" s="390">
        <f t="shared" si="11"/>
        <v>0.78333333333333333</v>
      </c>
      <c r="HQ38" s="390">
        <v>2</v>
      </c>
      <c r="HS38" s="541">
        <v>0</v>
      </c>
      <c r="HT38" s="541">
        <v>0</v>
      </c>
      <c r="HU38" s="600">
        <v>1</v>
      </c>
      <c r="HV38" s="600">
        <v>1</v>
      </c>
      <c r="HW38" s="600">
        <v>1</v>
      </c>
      <c r="HX38" s="600">
        <v>1</v>
      </c>
      <c r="HY38" s="600">
        <v>1</v>
      </c>
      <c r="HZ38" s="379">
        <v>12</v>
      </c>
      <c r="IA38" s="379">
        <v>13</v>
      </c>
      <c r="IB38" s="600">
        <v>0.3</v>
      </c>
      <c r="IC38" s="600">
        <v>10</v>
      </c>
      <c r="ID38" s="1439">
        <v>1.111764705882353</v>
      </c>
      <c r="IE38" s="1440">
        <f t="shared" si="32"/>
        <v>26.452941176470588</v>
      </c>
    </row>
    <row r="39" spans="1:239" s="379" customFormat="1" ht="12" customHeight="1">
      <c r="A39" s="1642">
        <v>11.01</v>
      </c>
      <c r="B39" s="1640"/>
      <c r="C39" s="1635" t="str">
        <f>Begriffe!F164</f>
        <v>Turnhalle</v>
      </c>
      <c r="D39" s="1618">
        <v>30</v>
      </c>
      <c r="E39" s="1605">
        <v>20</v>
      </c>
      <c r="F39" s="1605">
        <v>7</v>
      </c>
      <c r="G39" s="1619">
        <f t="shared" si="33"/>
        <v>600</v>
      </c>
      <c r="H39" s="1619">
        <v>658.82352941176475</v>
      </c>
      <c r="I39" s="1601">
        <v>50</v>
      </c>
      <c r="J39" s="1616">
        <v>0.75</v>
      </c>
      <c r="K39" s="1687">
        <f t="shared" si="12"/>
        <v>66.666666666666671</v>
      </c>
      <c r="L39" s="1422">
        <v>1</v>
      </c>
      <c r="M39" s="599">
        <v>0.8</v>
      </c>
      <c r="N39" s="599">
        <v>1.5</v>
      </c>
      <c r="O39" s="1423">
        <v>0.17</v>
      </c>
      <c r="P39" s="599">
        <v>0.1</v>
      </c>
      <c r="Q39" s="599">
        <v>0.8</v>
      </c>
      <c r="R39" s="1423">
        <v>0.5</v>
      </c>
      <c r="S39" s="1423">
        <v>0.5</v>
      </c>
      <c r="T39" s="1423">
        <v>0.65</v>
      </c>
      <c r="U39" s="1423">
        <v>0.14000000000000001</v>
      </c>
      <c r="V39" s="1423">
        <v>0.1</v>
      </c>
      <c r="W39" s="1423">
        <v>0.2</v>
      </c>
      <c r="X39" s="384">
        <v>0.7</v>
      </c>
      <c r="Y39" s="384">
        <v>0.9</v>
      </c>
      <c r="Z39" s="384">
        <v>90</v>
      </c>
      <c r="AA39" s="597">
        <v>101.2</v>
      </c>
      <c r="AB39" s="570"/>
      <c r="AC39" s="1431">
        <v>18</v>
      </c>
      <c r="AD39" s="1431"/>
      <c r="AE39" s="1431">
        <v>18</v>
      </c>
      <c r="AF39" s="584" t="s">
        <v>22</v>
      </c>
      <c r="AG39" s="1424" t="s">
        <v>122</v>
      </c>
      <c r="AH39" s="1424">
        <v>70</v>
      </c>
      <c r="AI39" s="1425">
        <v>30</v>
      </c>
      <c r="AJ39" s="1657" t="s">
        <v>64</v>
      </c>
      <c r="AK39" s="1424">
        <v>1</v>
      </c>
      <c r="AL39" s="1424">
        <f t="shared" si="13"/>
        <v>38</v>
      </c>
      <c r="AM39" s="1424">
        <f t="shared" si="14"/>
        <v>43</v>
      </c>
      <c r="AN39" s="1425">
        <f t="shared" si="15"/>
        <v>33</v>
      </c>
      <c r="AO39" s="1426">
        <v>2</v>
      </c>
      <c r="AP39" s="653">
        <v>20</v>
      </c>
      <c r="AQ39" s="1609">
        <v>3</v>
      </c>
      <c r="AR39" s="1609">
        <v>0.3</v>
      </c>
      <c r="AS39" s="599">
        <v>0.3</v>
      </c>
      <c r="AT39" s="1805">
        <v>64</v>
      </c>
      <c r="AU39" s="1615">
        <v>155</v>
      </c>
      <c r="AV39" s="1805">
        <v>175</v>
      </c>
      <c r="AW39" s="1615">
        <v>203</v>
      </c>
      <c r="AX39" s="1428"/>
      <c r="AY39" s="568">
        <v>1</v>
      </c>
      <c r="AZ39" s="384">
        <v>0</v>
      </c>
      <c r="BA39" s="384">
        <v>2</v>
      </c>
      <c r="BB39" s="384"/>
      <c r="BC39" s="384"/>
      <c r="BD39" s="384"/>
      <c r="BE39" s="384">
        <f t="shared" si="57"/>
        <v>1</v>
      </c>
      <c r="BF39" s="384">
        <f t="shared" si="58"/>
        <v>0</v>
      </c>
      <c r="BG39" s="384">
        <f t="shared" si="59"/>
        <v>2</v>
      </c>
      <c r="BH39" s="623">
        <v>10</v>
      </c>
      <c r="BI39" s="1473">
        <f t="shared" si="23"/>
        <v>1</v>
      </c>
      <c r="BJ39" s="386">
        <v>30</v>
      </c>
      <c r="BK39" s="625">
        <f t="shared" si="24"/>
        <v>30</v>
      </c>
      <c r="BL39" s="653">
        <f t="shared" si="34"/>
        <v>300.00120000480001</v>
      </c>
      <c r="BM39" s="626">
        <v>1.66666</v>
      </c>
      <c r="BN39" s="386">
        <v>500</v>
      </c>
      <c r="BO39" s="386" t="str">
        <f>Begriffe!$F$208</f>
        <v>NP</v>
      </c>
      <c r="BP39" s="1824">
        <v>0.5</v>
      </c>
      <c r="BQ39" s="625">
        <v>1</v>
      </c>
      <c r="BR39" s="626">
        <v>0.05</v>
      </c>
      <c r="BS39" s="1808">
        <v>90</v>
      </c>
      <c r="BT39" s="1808">
        <v>130</v>
      </c>
      <c r="BU39" s="597">
        <f t="shared" si="38"/>
        <v>10</v>
      </c>
      <c r="BV39" s="1429">
        <f t="shared" si="25"/>
        <v>5</v>
      </c>
      <c r="BW39" s="582" t="s">
        <v>380</v>
      </c>
      <c r="BX39" s="598">
        <f t="shared" si="26"/>
        <v>72.5</v>
      </c>
      <c r="BY39" s="1601"/>
      <c r="BZ39" s="1609">
        <f t="shared" si="40"/>
        <v>3.625</v>
      </c>
      <c r="CA39" s="1615"/>
      <c r="CB39" s="599">
        <f t="shared" si="1"/>
        <v>3.625</v>
      </c>
      <c r="CC39" s="384">
        <v>0</v>
      </c>
      <c r="CD39" s="1423">
        <v>0.15</v>
      </c>
      <c r="CE39" s="1423">
        <v>0.3</v>
      </c>
      <c r="CF39" s="386" t="str">
        <f t="shared" si="28"/>
        <v>IDA-C4</v>
      </c>
      <c r="CG39" s="386" t="str">
        <f t="shared" si="29"/>
        <v>IDA-C6</v>
      </c>
      <c r="CH39" s="386"/>
      <c r="CI39" s="386" t="str">
        <f>IF(CF39="IDA-C3",Begriffe!$F$248,IF(Eingabedaten!CF39="IDA-C4",Begriffe!$F$249,IF(Eingabedaten!CF39="IDA-C6",Begriffe!$F$250,"")))</f>
        <v>zweistufig</v>
      </c>
      <c r="CJ39" s="386" t="str">
        <f>IF(CG39="IDA-C3",Begriffe!$F$248,IF(Eingabedaten!CG39="IDA-C4",Begriffe!$F$249,IF(Eingabedaten!CG39="IDA-C6",Begriffe!$F$250,"")))</f>
        <v>stufenlos</v>
      </c>
      <c r="CK39" s="386" t="str">
        <f>IF(CH39="IDA-C3",Begriffe!$F$248,IF(Eingabedaten!CH39="IDA-C4",Begriffe!$F$249,IF(Eingabedaten!CH39="IDA-C6",Begriffe!$F$250,"")))</f>
        <v/>
      </c>
      <c r="CL39" s="1423"/>
      <c r="CM39" s="1423"/>
      <c r="CN39" s="1423"/>
      <c r="CO39" s="1423"/>
      <c r="CP39" s="1423"/>
      <c r="CQ39" s="1432"/>
      <c r="CR39" s="596" t="str">
        <f>Begriffe!$F$253</f>
        <v>Lüftungsanlage mit Lufterwärmung</v>
      </c>
      <c r="CS39" s="596">
        <v>0.56000000000000005</v>
      </c>
      <c r="CT39" s="596">
        <v>0.34</v>
      </c>
      <c r="CU39" s="596">
        <v>0.22300000000000003</v>
      </c>
      <c r="CV39" s="1467">
        <v>0.55000000000000004</v>
      </c>
      <c r="CW39" s="1468" t="s">
        <v>16</v>
      </c>
      <c r="CX39" s="596" t="s">
        <v>16</v>
      </c>
      <c r="CY39" s="596" t="s">
        <v>16</v>
      </c>
      <c r="CZ39" s="596" t="s">
        <v>16</v>
      </c>
      <c r="DA39" s="596" t="s">
        <v>16</v>
      </c>
      <c r="DB39" s="1467" t="s">
        <v>16</v>
      </c>
      <c r="DC39" s="568"/>
      <c r="DD39" s="384"/>
      <c r="DE39" s="384"/>
      <c r="DF39" s="566">
        <v>0.5</v>
      </c>
      <c r="DG39" s="568">
        <v>0.1</v>
      </c>
      <c r="DH39" s="566">
        <f t="shared" si="30"/>
        <v>0.5</v>
      </c>
      <c r="DI39" s="568" t="str">
        <f>Begriffe!$F$263</f>
        <v>Dusche</v>
      </c>
      <c r="DJ39" s="384">
        <v>20</v>
      </c>
      <c r="DK39" s="384">
        <v>6</v>
      </c>
      <c r="DL39" s="597">
        <f t="shared" si="54"/>
        <v>120</v>
      </c>
      <c r="DM39" s="384">
        <v>3</v>
      </c>
      <c r="DN39" s="1429">
        <f t="shared" si="55"/>
        <v>360</v>
      </c>
      <c r="DO39" s="1436" t="s">
        <v>132</v>
      </c>
      <c r="DP39" s="624"/>
      <c r="DQ39" s="625"/>
      <c r="DR39" s="625"/>
      <c r="DS39" s="1144"/>
      <c r="DT39" s="625"/>
      <c r="DU39" s="1145"/>
      <c r="DV39" s="625"/>
      <c r="DW39" s="625">
        <v>0.5</v>
      </c>
      <c r="DX39" s="625">
        <v>0.8</v>
      </c>
      <c r="DY39" s="1144">
        <v>1</v>
      </c>
      <c r="DZ39" s="625">
        <v>1</v>
      </c>
      <c r="EA39" s="1145">
        <v>0.8</v>
      </c>
      <c r="EB39" s="625"/>
      <c r="EC39" s="625">
        <v>0.8</v>
      </c>
      <c r="ED39" s="625">
        <v>1</v>
      </c>
      <c r="EE39" s="1144">
        <v>1</v>
      </c>
      <c r="EF39" s="625">
        <v>0.8</v>
      </c>
      <c r="EG39" s="1145">
        <v>0.5</v>
      </c>
      <c r="EH39" s="625">
        <v>0.8</v>
      </c>
      <c r="EI39" s="625">
        <v>0.8</v>
      </c>
      <c r="EJ39" s="625">
        <v>0.8</v>
      </c>
      <c r="EK39" s="1144">
        <v>0.5</v>
      </c>
      <c r="EL39" s="625">
        <v>0.5</v>
      </c>
      <c r="EM39" s="1146"/>
      <c r="EN39" s="624">
        <v>0.1</v>
      </c>
      <c r="EO39" s="625">
        <v>0.1</v>
      </c>
      <c r="EP39" s="625">
        <v>0.1</v>
      </c>
      <c r="EQ39" s="1144">
        <v>0.1</v>
      </c>
      <c r="ER39" s="625">
        <v>0.1</v>
      </c>
      <c r="ES39" s="1145">
        <v>0.1</v>
      </c>
      <c r="ET39" s="625">
        <v>0.1</v>
      </c>
      <c r="EU39" s="625">
        <v>0.5</v>
      </c>
      <c r="EV39" s="625">
        <v>0.8</v>
      </c>
      <c r="EW39" s="1144">
        <v>1</v>
      </c>
      <c r="EX39" s="625">
        <v>1</v>
      </c>
      <c r="EY39" s="1145">
        <v>0.8</v>
      </c>
      <c r="EZ39" s="625">
        <v>0.8</v>
      </c>
      <c r="FA39" s="625">
        <v>0.8</v>
      </c>
      <c r="FB39" s="625">
        <v>1</v>
      </c>
      <c r="FC39" s="1144">
        <v>1</v>
      </c>
      <c r="FD39" s="625">
        <v>0.8</v>
      </c>
      <c r="FE39" s="1145">
        <v>0.5</v>
      </c>
      <c r="FF39" s="625">
        <v>0.8</v>
      </c>
      <c r="FG39" s="625">
        <v>0.8</v>
      </c>
      <c r="FH39" s="625">
        <v>0.8</v>
      </c>
      <c r="FI39" s="1144">
        <v>0.5</v>
      </c>
      <c r="FJ39" s="625">
        <v>0.5</v>
      </c>
      <c r="FK39" s="1146">
        <v>0.1</v>
      </c>
      <c r="FL39" s="624" t="s">
        <v>128</v>
      </c>
      <c r="FM39" s="624">
        <v>0.8</v>
      </c>
      <c r="FN39" s="625">
        <v>0.6</v>
      </c>
      <c r="FO39" s="625">
        <v>0.9</v>
      </c>
      <c r="FP39" s="1144">
        <v>0.6</v>
      </c>
      <c r="FQ39" s="625">
        <v>0.8</v>
      </c>
      <c r="FR39" s="1145">
        <v>1</v>
      </c>
      <c r="FS39" s="625">
        <v>0</v>
      </c>
      <c r="FT39" s="625">
        <v>0.6</v>
      </c>
      <c r="FU39" s="625">
        <v>1</v>
      </c>
      <c r="FV39" s="1144">
        <v>0.6</v>
      </c>
      <c r="FW39" s="625">
        <v>0.9</v>
      </c>
      <c r="FX39" s="1146">
        <v>0.6</v>
      </c>
      <c r="FY39" s="585">
        <v>2</v>
      </c>
      <c r="FZ39" s="613">
        <f t="shared" si="35"/>
        <v>261</v>
      </c>
      <c r="GA39" s="620">
        <f t="shared" si="2"/>
        <v>15</v>
      </c>
      <c r="GB39" s="618">
        <f t="shared" si="3"/>
        <v>11.600000000000001</v>
      </c>
      <c r="GC39" s="618">
        <f t="shared" si="4"/>
        <v>8.1999999999999993</v>
      </c>
      <c r="GD39" s="618">
        <f t="shared" si="5"/>
        <v>3.4000000000000004</v>
      </c>
      <c r="GE39" s="627">
        <f t="shared" si="6"/>
        <v>0.69890410958904103</v>
      </c>
      <c r="GF39" s="205">
        <f t="shared" si="31"/>
        <v>3920</v>
      </c>
      <c r="GG39" s="205">
        <f t="shared" si="7"/>
        <v>3920</v>
      </c>
      <c r="GH39" s="463">
        <f t="shared" si="36"/>
        <v>2120</v>
      </c>
      <c r="GI39" s="620">
        <f t="shared" si="8"/>
        <v>24</v>
      </c>
      <c r="GJ39" s="618">
        <f t="shared" si="9"/>
        <v>13.200000000000001</v>
      </c>
      <c r="GK39" s="618">
        <f t="shared" si="10"/>
        <v>2.4000000000000004</v>
      </c>
      <c r="GL39" s="463">
        <f t="shared" si="37"/>
        <v>2580</v>
      </c>
      <c r="GM39" s="594" t="str">
        <f>Begriffe!F291</f>
        <v>- Für Wettkampfsport Beleuchtungsstärke 500 lx und erhöhter Luftwechsel</v>
      </c>
      <c r="GO39" s="379" t="str">
        <f>IF(CH39=0,Begriffe!$F$297,"")</f>
        <v>- Keine Lüftungsanlage im Bestand</v>
      </c>
      <c r="GP39" s="583" t="str">
        <f>Begriffe!$F$285</f>
        <v>- Der Klimakälteleistungsbedarf und der jährliche Klimakältebedarf gelten für Räume ohne unterstützende Fensterlüftung</v>
      </c>
      <c r="GQ39" s="583"/>
      <c r="GR39" s="583" t="str">
        <f>Begriffe!$F329</f>
        <v>- Wasser- und Warmwasserbedarf pro Dusche für Sportanlagen</v>
      </c>
      <c r="HB39" s="379" t="s">
        <v>128</v>
      </c>
      <c r="HC39" s="379">
        <v>0.8</v>
      </c>
      <c r="HD39" s="379">
        <v>0.4</v>
      </c>
      <c r="HE39" s="379">
        <v>1</v>
      </c>
      <c r="HF39" s="379">
        <v>0.8</v>
      </c>
      <c r="HG39" s="379">
        <v>0.4</v>
      </c>
      <c r="HH39" s="379">
        <v>1</v>
      </c>
      <c r="HI39" s="379">
        <v>0</v>
      </c>
      <c r="HJ39" s="379">
        <v>0.6</v>
      </c>
      <c r="HK39" s="379">
        <v>1</v>
      </c>
      <c r="HL39" s="379">
        <v>0.4</v>
      </c>
      <c r="HM39" s="379">
        <v>1</v>
      </c>
      <c r="HN39" s="379">
        <v>0.6</v>
      </c>
      <c r="HO39" s="390">
        <f t="shared" si="11"/>
        <v>0.66666666666666663</v>
      </c>
      <c r="HQ39" s="390">
        <v>2</v>
      </c>
      <c r="HS39" s="541">
        <v>0</v>
      </c>
      <c r="HT39" s="541">
        <v>0</v>
      </c>
      <c r="HU39" s="600">
        <v>1</v>
      </c>
      <c r="HV39" s="600">
        <v>1</v>
      </c>
      <c r="HW39" s="600">
        <v>1</v>
      </c>
      <c r="HX39" s="600">
        <v>1</v>
      </c>
      <c r="HY39" s="600">
        <v>1</v>
      </c>
      <c r="HZ39" s="379">
        <v>16</v>
      </c>
      <c r="IA39" s="600">
        <v>13</v>
      </c>
      <c r="IB39" s="379">
        <v>0.7</v>
      </c>
      <c r="IC39" s="379">
        <v>11</v>
      </c>
      <c r="ID39" s="1439">
        <v>0.98823529411764721</v>
      </c>
      <c r="IE39" s="1440">
        <f t="shared" si="32"/>
        <v>28.847058823529416</v>
      </c>
    </row>
    <row r="40" spans="1:239" s="379" customFormat="1" ht="12" customHeight="1">
      <c r="A40" s="1641">
        <v>11.02</v>
      </c>
      <c r="B40" s="539"/>
      <c r="C40" s="463" t="str">
        <f>Begriffe!F165</f>
        <v>Fitnessraum</v>
      </c>
      <c r="D40" s="620">
        <v>12</v>
      </c>
      <c r="E40" s="618">
        <v>12</v>
      </c>
      <c r="F40" s="618">
        <v>3</v>
      </c>
      <c r="G40" s="205">
        <f t="shared" si="33"/>
        <v>144</v>
      </c>
      <c r="H40" s="205">
        <v>127.05882352941177</v>
      </c>
      <c r="I40" s="390">
        <v>50</v>
      </c>
      <c r="J40" s="1439">
        <v>0.75</v>
      </c>
      <c r="K40" s="632">
        <f t="shared" si="12"/>
        <v>66.666666666666671</v>
      </c>
      <c r="L40" s="630">
        <v>1</v>
      </c>
      <c r="M40" s="595">
        <v>0.8</v>
      </c>
      <c r="N40" s="595">
        <v>1.5</v>
      </c>
      <c r="O40" s="1439">
        <v>0.17</v>
      </c>
      <c r="P40" s="595">
        <v>0.1</v>
      </c>
      <c r="Q40" s="595">
        <v>0.8</v>
      </c>
      <c r="R40" s="1439">
        <v>0.5</v>
      </c>
      <c r="S40" s="1439">
        <v>0.5</v>
      </c>
      <c r="T40" s="1439">
        <v>0.65</v>
      </c>
      <c r="U40" s="1439">
        <v>0.14000000000000001</v>
      </c>
      <c r="V40" s="1439">
        <v>0.1</v>
      </c>
      <c r="W40" s="1439">
        <v>0.2</v>
      </c>
      <c r="X40" s="390">
        <v>0.7</v>
      </c>
      <c r="Y40" s="390">
        <v>0.9</v>
      </c>
      <c r="Z40" s="390">
        <v>90</v>
      </c>
      <c r="AA40" s="598">
        <v>98.7</v>
      </c>
      <c r="AB40" s="582">
        <v>26</v>
      </c>
      <c r="AC40" s="1440">
        <v>18</v>
      </c>
      <c r="AD40" s="1440">
        <v>25</v>
      </c>
      <c r="AE40" s="1440">
        <v>18</v>
      </c>
      <c r="AF40" s="578" t="s">
        <v>22</v>
      </c>
      <c r="AG40" s="1456" t="s">
        <v>122</v>
      </c>
      <c r="AH40" s="1456">
        <v>70</v>
      </c>
      <c r="AI40" s="1457">
        <v>30</v>
      </c>
      <c r="AJ40" s="1659" t="s">
        <v>64</v>
      </c>
      <c r="AK40" s="1456">
        <v>1</v>
      </c>
      <c r="AL40" s="1456">
        <f t="shared" si="13"/>
        <v>38</v>
      </c>
      <c r="AM40" s="1456">
        <f t="shared" si="14"/>
        <v>43</v>
      </c>
      <c r="AN40" s="1457">
        <f t="shared" si="15"/>
        <v>33</v>
      </c>
      <c r="AO40" s="1458">
        <v>0.9</v>
      </c>
      <c r="AP40" s="637">
        <v>10</v>
      </c>
      <c r="AQ40" s="595">
        <v>3</v>
      </c>
      <c r="AR40" s="595">
        <v>0.3</v>
      </c>
      <c r="AS40" s="595">
        <v>0.3</v>
      </c>
      <c r="AT40" s="1807">
        <v>64</v>
      </c>
      <c r="AU40" s="598">
        <v>155</v>
      </c>
      <c r="AV40" s="1807">
        <v>175</v>
      </c>
      <c r="AW40" s="1807">
        <v>203</v>
      </c>
      <c r="AX40" s="632"/>
      <c r="AY40" s="580">
        <v>2</v>
      </c>
      <c r="AZ40" s="390">
        <v>1</v>
      </c>
      <c r="BA40" s="390">
        <v>3</v>
      </c>
      <c r="BB40" s="390"/>
      <c r="BC40" s="390"/>
      <c r="BD40" s="390"/>
      <c r="BE40" s="390">
        <f t="shared" si="57"/>
        <v>2</v>
      </c>
      <c r="BF40" s="390">
        <f t="shared" si="58"/>
        <v>1</v>
      </c>
      <c r="BG40" s="390">
        <f t="shared" si="59"/>
        <v>3</v>
      </c>
      <c r="BH40" s="613">
        <v>10</v>
      </c>
      <c r="BI40" s="614">
        <f t="shared" si="23"/>
        <v>2</v>
      </c>
      <c r="BJ40" s="379">
        <v>30</v>
      </c>
      <c r="BK40" s="618">
        <f t="shared" si="24"/>
        <v>15</v>
      </c>
      <c r="BL40" s="637">
        <f t="shared" si="34"/>
        <v>300</v>
      </c>
      <c r="BM40" s="618">
        <v>1</v>
      </c>
      <c r="BN40" s="379">
        <v>300</v>
      </c>
      <c r="BO40" s="379" t="str">
        <f>Begriffe!$F$208</f>
        <v>NP</v>
      </c>
      <c r="BP40" s="1332">
        <v>0.5</v>
      </c>
      <c r="BQ40" s="618">
        <v>1</v>
      </c>
      <c r="BR40" s="627">
        <v>0.05</v>
      </c>
      <c r="BS40" s="1120">
        <v>90</v>
      </c>
      <c r="BT40" s="1120">
        <v>130</v>
      </c>
      <c r="BU40" s="598">
        <f t="shared" si="38"/>
        <v>10</v>
      </c>
      <c r="BV40" s="629">
        <f t="shared" si="25"/>
        <v>5</v>
      </c>
      <c r="BW40" s="582" t="s">
        <v>380</v>
      </c>
      <c r="BX40" s="598">
        <f t="shared" si="26"/>
        <v>72.5</v>
      </c>
      <c r="BY40" s="390"/>
      <c r="BZ40" s="595">
        <f t="shared" si="40"/>
        <v>7.25</v>
      </c>
      <c r="CA40" s="598"/>
      <c r="CB40" s="595">
        <f t="shared" si="1"/>
        <v>7.25</v>
      </c>
      <c r="CC40" s="390">
        <v>0</v>
      </c>
      <c r="CD40" s="1439">
        <v>0.15</v>
      </c>
      <c r="CE40" s="1439">
        <v>0.3</v>
      </c>
      <c r="CF40" s="379" t="str">
        <f t="shared" si="28"/>
        <v>IDA-C6</v>
      </c>
      <c r="CG40" s="379" t="str">
        <f t="shared" si="29"/>
        <v>IDA-C6</v>
      </c>
      <c r="CH40" s="379" t="str">
        <f t="shared" ref="CH40:CH41" si="60">IF(CB40&lt;3,"IDA-C3","IDA-C4")</f>
        <v>IDA-C4</v>
      </c>
      <c r="CI40" s="379" t="str">
        <f>IF(CF40="IDA-C3",Begriffe!$F$248,IF(Eingabedaten!CF40="IDA-C4",Begriffe!$F$249,IF(Eingabedaten!CF40="IDA-C6",Begriffe!$F$250,"")))</f>
        <v>stufenlos</v>
      </c>
      <c r="CJ40" s="379" t="str">
        <f>IF(CG40="IDA-C3",Begriffe!$F$248,IF(Eingabedaten!CG40="IDA-C4",Begriffe!$F$249,IF(Eingabedaten!CG40="IDA-C6",Begriffe!$F$250,"")))</f>
        <v>stufenlos</v>
      </c>
      <c r="CK40" s="379" t="str">
        <f>IF(CH40="IDA-C3",Begriffe!$F$248,IF(Eingabedaten!CH40="IDA-C4",Begriffe!$F$249,IF(Eingabedaten!CH40="IDA-C6",Begriffe!$F$250,"")))</f>
        <v>zweistufig</v>
      </c>
      <c r="CL40" s="1439">
        <v>0.73</v>
      </c>
      <c r="CM40" s="1439">
        <v>0.78</v>
      </c>
      <c r="CN40" s="1439">
        <v>0.5</v>
      </c>
      <c r="CO40" s="1439">
        <v>0.7</v>
      </c>
      <c r="CP40" s="1439">
        <v>0.75</v>
      </c>
      <c r="CQ40" s="1461">
        <v>0.5</v>
      </c>
      <c r="CR40" s="586" t="str">
        <f>Begriffe!$F$252</f>
        <v>Einfache Klimaanlage</v>
      </c>
      <c r="CS40" s="586">
        <v>0.91</v>
      </c>
      <c r="CT40" s="586">
        <v>0.55000000000000004</v>
      </c>
      <c r="CU40" s="586">
        <v>0.34</v>
      </c>
      <c r="CV40" s="1433">
        <v>0.91</v>
      </c>
      <c r="CW40" s="1469" t="str">
        <f>Begriffe!$F$259</f>
        <v>notwendig</v>
      </c>
      <c r="CX40" s="586" t="str">
        <f>Begriffe!$F$259</f>
        <v>notwendig</v>
      </c>
      <c r="CY40" s="586" t="str">
        <f>Begriffe!$F$259</f>
        <v>notwendig</v>
      </c>
      <c r="CZ40" s="586" t="str">
        <f>Begriffe!$F$259</f>
        <v>notwendig</v>
      </c>
      <c r="DA40" s="586" t="str">
        <f>Begriffe!$F$259</f>
        <v>notwendig</v>
      </c>
      <c r="DB40" s="1433" t="str">
        <f>Begriffe!$F$259</f>
        <v>notwendig</v>
      </c>
      <c r="DC40" s="580"/>
      <c r="DD40" s="390"/>
      <c r="DE40" s="390"/>
      <c r="DF40" s="628">
        <v>0.5</v>
      </c>
      <c r="DG40" s="580">
        <v>0.1</v>
      </c>
      <c r="DH40" s="628">
        <f t="shared" si="30"/>
        <v>0.3</v>
      </c>
      <c r="DI40" s="580" t="str">
        <f>Begriffe!$F$263</f>
        <v>Dusche</v>
      </c>
      <c r="DJ40" s="390">
        <v>20</v>
      </c>
      <c r="DK40" s="390">
        <v>3</v>
      </c>
      <c r="DL40" s="598">
        <f t="shared" si="54"/>
        <v>60</v>
      </c>
      <c r="DM40" s="390">
        <v>3</v>
      </c>
      <c r="DN40" s="629">
        <f t="shared" si="55"/>
        <v>180</v>
      </c>
      <c r="DO40" s="593" t="s">
        <v>132</v>
      </c>
      <c r="DP40" s="620"/>
      <c r="DQ40" s="618"/>
      <c r="DR40" s="618"/>
      <c r="DS40" s="621"/>
      <c r="DT40" s="618"/>
      <c r="DU40" s="617"/>
      <c r="DV40" s="618"/>
      <c r="DW40" s="618">
        <v>0.5</v>
      </c>
      <c r="DX40" s="618">
        <v>0.8</v>
      </c>
      <c r="DY40" s="621">
        <v>1</v>
      </c>
      <c r="DZ40" s="618">
        <v>1</v>
      </c>
      <c r="EA40" s="617">
        <v>0.8</v>
      </c>
      <c r="EB40" s="618"/>
      <c r="EC40" s="618">
        <v>0.8</v>
      </c>
      <c r="ED40" s="618">
        <v>1</v>
      </c>
      <c r="EE40" s="621">
        <v>1</v>
      </c>
      <c r="EF40" s="618">
        <v>0.8</v>
      </c>
      <c r="EG40" s="617">
        <v>0.5</v>
      </c>
      <c r="EH40" s="618">
        <v>0.8</v>
      </c>
      <c r="EI40" s="618">
        <v>0.8</v>
      </c>
      <c r="EJ40" s="618">
        <v>0.8</v>
      </c>
      <c r="EK40" s="621">
        <v>0.5</v>
      </c>
      <c r="EL40" s="618">
        <v>0.5</v>
      </c>
      <c r="EM40" s="622"/>
      <c r="EN40" s="620">
        <v>0.1</v>
      </c>
      <c r="EO40" s="618">
        <v>0.1</v>
      </c>
      <c r="EP40" s="618">
        <v>0.1</v>
      </c>
      <c r="EQ40" s="621">
        <v>0.1</v>
      </c>
      <c r="ER40" s="618">
        <v>0.1</v>
      </c>
      <c r="ES40" s="617">
        <v>0.1</v>
      </c>
      <c r="ET40" s="618">
        <v>0.1</v>
      </c>
      <c r="EU40" s="618">
        <v>0.5</v>
      </c>
      <c r="EV40" s="618">
        <v>0.8</v>
      </c>
      <c r="EW40" s="621">
        <v>1</v>
      </c>
      <c r="EX40" s="618">
        <v>1</v>
      </c>
      <c r="EY40" s="617">
        <v>0.8</v>
      </c>
      <c r="EZ40" s="618">
        <v>0.8</v>
      </c>
      <c r="FA40" s="618">
        <v>0.8</v>
      </c>
      <c r="FB40" s="618">
        <v>1</v>
      </c>
      <c r="FC40" s="621">
        <v>1</v>
      </c>
      <c r="FD40" s="618">
        <v>0.8</v>
      </c>
      <c r="FE40" s="617">
        <v>0.5</v>
      </c>
      <c r="FF40" s="618">
        <v>0.8</v>
      </c>
      <c r="FG40" s="618">
        <v>0.8</v>
      </c>
      <c r="FH40" s="618">
        <v>0.8</v>
      </c>
      <c r="FI40" s="621">
        <v>0.5</v>
      </c>
      <c r="FJ40" s="618">
        <v>0.5</v>
      </c>
      <c r="FK40" s="622">
        <v>0.1</v>
      </c>
      <c r="FL40" s="620" t="s">
        <v>575</v>
      </c>
      <c r="FM40" s="620">
        <v>0.8</v>
      </c>
      <c r="FN40" s="618">
        <v>0.8</v>
      </c>
      <c r="FO40" s="618">
        <v>0.8</v>
      </c>
      <c r="FP40" s="621">
        <v>0.8</v>
      </c>
      <c r="FQ40" s="618">
        <v>0.8</v>
      </c>
      <c r="FR40" s="617">
        <v>0.8</v>
      </c>
      <c r="FS40" s="618">
        <v>0.8</v>
      </c>
      <c r="FT40" s="618">
        <v>0.8</v>
      </c>
      <c r="FU40" s="618">
        <v>0.8</v>
      </c>
      <c r="FV40" s="621">
        <v>0.8</v>
      </c>
      <c r="FW40" s="618">
        <v>0.8</v>
      </c>
      <c r="FX40" s="622">
        <v>0.8</v>
      </c>
      <c r="FY40" s="587">
        <v>1</v>
      </c>
      <c r="FZ40" s="613">
        <f t="shared" si="35"/>
        <v>313</v>
      </c>
      <c r="GA40" s="620">
        <f t="shared" si="2"/>
        <v>15</v>
      </c>
      <c r="GB40" s="618">
        <f t="shared" si="3"/>
        <v>11.600000000000001</v>
      </c>
      <c r="GC40" s="618">
        <f t="shared" si="4"/>
        <v>8.1999999999999993</v>
      </c>
      <c r="GD40" s="618">
        <f t="shared" si="5"/>
        <v>3.4000000000000004</v>
      </c>
      <c r="GE40" s="627">
        <f t="shared" si="6"/>
        <v>0.80000000000000016</v>
      </c>
      <c r="GF40" s="205">
        <f t="shared" si="31"/>
        <v>4700</v>
      </c>
      <c r="GG40" s="205">
        <f t="shared" si="7"/>
        <v>4700</v>
      </c>
      <c r="GH40" s="463">
        <f t="shared" si="36"/>
        <v>2900</v>
      </c>
      <c r="GI40" s="620">
        <f t="shared" si="8"/>
        <v>24</v>
      </c>
      <c r="GJ40" s="618">
        <f t="shared" si="9"/>
        <v>13.200000000000001</v>
      </c>
      <c r="GK40" s="618">
        <f t="shared" si="10"/>
        <v>2.4000000000000004</v>
      </c>
      <c r="GL40" s="463">
        <f t="shared" si="37"/>
        <v>3410</v>
      </c>
      <c r="GO40" s="379" t="str">
        <f>IF(CH40=0,Begriffe!$F$297,"")</f>
        <v/>
      </c>
      <c r="GP40" s="583" t="str">
        <f>Begriffe!$F$285</f>
        <v>- Der Klimakälteleistungsbedarf und der jährliche Klimakältebedarf gelten für Räume ohne unterstützende Fensterlüftung</v>
      </c>
      <c r="GQ40" s="583"/>
      <c r="GR40" s="583" t="str">
        <f>Begriffe!$F330</f>
        <v>- Wasser- und Warmwasserbedarf pro Dusche für Sportanlagen</v>
      </c>
      <c r="HB40" s="379" t="s">
        <v>123</v>
      </c>
      <c r="HC40" s="379">
        <v>0.8</v>
      </c>
      <c r="HD40" s="379">
        <v>0.6</v>
      </c>
      <c r="HE40" s="379">
        <v>1</v>
      </c>
      <c r="HF40" s="379">
        <v>0.8</v>
      </c>
      <c r="HG40" s="379">
        <v>0.6</v>
      </c>
      <c r="HH40" s="379">
        <v>1</v>
      </c>
      <c r="HI40" s="379">
        <v>0.6</v>
      </c>
      <c r="HJ40" s="379">
        <v>0.6</v>
      </c>
      <c r="HK40" s="379">
        <v>1</v>
      </c>
      <c r="HL40" s="379">
        <v>0.8</v>
      </c>
      <c r="HM40" s="379">
        <v>1</v>
      </c>
      <c r="HN40" s="379">
        <v>0.6</v>
      </c>
      <c r="HO40" s="390">
        <f t="shared" si="11"/>
        <v>0.78333333333333333</v>
      </c>
      <c r="HQ40" s="390">
        <v>1</v>
      </c>
      <c r="HS40" s="541">
        <v>1</v>
      </c>
      <c r="HT40" s="541">
        <v>0</v>
      </c>
      <c r="HU40" s="600">
        <v>1</v>
      </c>
      <c r="HV40" s="600">
        <v>1</v>
      </c>
      <c r="HW40" s="600">
        <v>1</v>
      </c>
      <c r="HX40" s="600">
        <v>1</v>
      </c>
      <c r="HY40" s="600">
        <v>1</v>
      </c>
      <c r="HZ40" s="379">
        <v>16</v>
      </c>
      <c r="IA40" s="600">
        <v>13</v>
      </c>
      <c r="IB40" s="379">
        <v>0.7</v>
      </c>
      <c r="IC40" s="379">
        <v>11</v>
      </c>
      <c r="ID40" s="1439">
        <v>0.79411764705882359</v>
      </c>
      <c r="IE40" s="1440">
        <f t="shared" si="32"/>
        <v>26.323529411764707</v>
      </c>
    </row>
    <row r="41" spans="1:239" s="14" customFormat="1" ht="12" customHeight="1">
      <c r="A41" s="1647">
        <v>11.03</v>
      </c>
      <c r="B41" s="1648"/>
      <c r="C41" s="1501" t="str">
        <f>Begriffe!F166</f>
        <v>Schwimmhalle</v>
      </c>
      <c r="D41" s="1147">
        <v>20</v>
      </c>
      <c r="E41" s="1148">
        <v>20</v>
      </c>
      <c r="F41" s="1148">
        <v>7</v>
      </c>
      <c r="G41" s="1502">
        <f t="shared" si="33"/>
        <v>400</v>
      </c>
      <c r="H41" s="1502">
        <v>494.11764705882354</v>
      </c>
      <c r="I41" s="1504">
        <v>50</v>
      </c>
      <c r="J41" s="1503">
        <v>0.75</v>
      </c>
      <c r="K41" s="1688">
        <f t="shared" si="12"/>
        <v>66.666666666666671</v>
      </c>
      <c r="L41" s="1505">
        <v>1</v>
      </c>
      <c r="M41" s="1506">
        <v>0.8</v>
      </c>
      <c r="N41" s="1506">
        <v>1.5</v>
      </c>
      <c r="O41" s="1503">
        <v>0.17</v>
      </c>
      <c r="P41" s="1506">
        <v>0.1</v>
      </c>
      <c r="Q41" s="1506">
        <v>0.8</v>
      </c>
      <c r="R41" s="1503">
        <v>0.5</v>
      </c>
      <c r="S41" s="1503">
        <v>0.5</v>
      </c>
      <c r="T41" s="1503">
        <v>0.65</v>
      </c>
      <c r="U41" s="1503">
        <v>0.14000000000000001</v>
      </c>
      <c r="V41" s="1503">
        <v>0.1</v>
      </c>
      <c r="W41" s="1503">
        <v>0.2</v>
      </c>
      <c r="X41" s="1504">
        <v>0.7</v>
      </c>
      <c r="Y41" s="1504">
        <v>0.9</v>
      </c>
      <c r="Z41" s="1504">
        <v>90</v>
      </c>
      <c r="AA41" s="1507">
        <v>105.8</v>
      </c>
      <c r="AB41" s="1540"/>
      <c r="AC41" s="1517">
        <v>24</v>
      </c>
      <c r="AD41" s="1517"/>
      <c r="AE41" s="1517">
        <v>28</v>
      </c>
      <c r="AF41" s="1508" t="s">
        <v>22</v>
      </c>
      <c r="AG41" s="1509" t="s">
        <v>122</v>
      </c>
      <c r="AH41" s="1509">
        <v>65</v>
      </c>
      <c r="AI41" s="1510">
        <v>55</v>
      </c>
      <c r="AJ41" s="1658" t="s">
        <v>64</v>
      </c>
      <c r="AK41" s="1509">
        <v>1</v>
      </c>
      <c r="AL41" s="1509">
        <f t="shared" si="13"/>
        <v>38</v>
      </c>
      <c r="AM41" s="1509">
        <f t="shared" si="14"/>
        <v>43</v>
      </c>
      <c r="AN41" s="1510">
        <f t="shared" si="15"/>
        <v>33</v>
      </c>
      <c r="AO41" s="1511">
        <v>1.8</v>
      </c>
      <c r="AP41" s="1512">
        <v>10</v>
      </c>
      <c r="AQ41" s="1506">
        <v>2</v>
      </c>
      <c r="AR41" s="1506">
        <v>0.1</v>
      </c>
      <c r="AS41" s="1506">
        <v>0.1</v>
      </c>
      <c r="AT41" s="1507">
        <f t="shared" si="16"/>
        <v>71</v>
      </c>
      <c r="AU41" s="1507">
        <v>128</v>
      </c>
      <c r="AV41" s="1507">
        <f t="shared" si="18"/>
        <v>109</v>
      </c>
      <c r="AW41" s="1507">
        <v>124</v>
      </c>
      <c r="AX41" s="1513">
        <v>10</v>
      </c>
      <c r="AY41" s="609">
        <v>3</v>
      </c>
      <c r="AZ41" s="1504">
        <v>2</v>
      </c>
      <c r="BA41" s="1504">
        <v>4</v>
      </c>
      <c r="BB41" s="1504">
        <v>100</v>
      </c>
      <c r="BC41" s="1504">
        <v>50</v>
      </c>
      <c r="BD41" s="1504">
        <v>150</v>
      </c>
      <c r="BE41" s="1504">
        <f t="shared" si="57"/>
        <v>3</v>
      </c>
      <c r="BF41" s="1504">
        <f t="shared" si="58"/>
        <v>2</v>
      </c>
      <c r="BG41" s="1504">
        <f t="shared" si="59"/>
        <v>4</v>
      </c>
      <c r="BH41" s="1514">
        <v>10</v>
      </c>
      <c r="BI41" s="1515">
        <f t="shared" si="23"/>
        <v>103</v>
      </c>
      <c r="BJ41" s="715">
        <v>50</v>
      </c>
      <c r="BK41" s="1148">
        <f t="shared" si="24"/>
        <v>0.4854368932038835</v>
      </c>
      <c r="BL41" s="1512">
        <f t="shared" si="34"/>
        <v>300</v>
      </c>
      <c r="BM41" s="1148">
        <v>1</v>
      </c>
      <c r="BN41" s="715">
        <v>300</v>
      </c>
      <c r="BO41" s="715" t="str">
        <f>Begriffe!$F$208</f>
        <v>NP</v>
      </c>
      <c r="BP41" s="1826">
        <v>0.5</v>
      </c>
      <c r="BQ41" s="1148">
        <v>1</v>
      </c>
      <c r="BR41" s="1516">
        <v>0.05</v>
      </c>
      <c r="BS41" s="1811">
        <v>90</v>
      </c>
      <c r="BT41" s="1811">
        <v>130</v>
      </c>
      <c r="BU41" s="1507">
        <f t="shared" si="38"/>
        <v>10</v>
      </c>
      <c r="BV41" s="1513">
        <f t="shared" si="25"/>
        <v>5</v>
      </c>
      <c r="BW41" s="1540" t="s">
        <v>380</v>
      </c>
      <c r="BX41" s="1507">
        <f t="shared" si="26"/>
        <v>48.333333333333336</v>
      </c>
      <c r="BY41" s="1504"/>
      <c r="BZ41" s="1506">
        <f>BX41/AP41</f>
        <v>4.8333333333333339</v>
      </c>
      <c r="CA41" s="1507">
        <v>20</v>
      </c>
      <c r="CB41" s="1506">
        <f>BZ41</f>
        <v>4.8333333333333339</v>
      </c>
      <c r="CC41" s="1504">
        <v>0</v>
      </c>
      <c r="CD41" s="1503">
        <v>0.15</v>
      </c>
      <c r="CE41" s="1503">
        <v>0.3</v>
      </c>
      <c r="CF41" s="715" t="str">
        <f t="shared" si="28"/>
        <v>IDA-C4</v>
      </c>
      <c r="CG41" s="715" t="str">
        <f t="shared" si="29"/>
        <v>IDA-C6</v>
      </c>
      <c r="CH41" s="715" t="str">
        <f t="shared" si="60"/>
        <v>IDA-C4</v>
      </c>
      <c r="CI41" s="715" t="str">
        <f>IF(CF41="IDA-C3",Begriffe!$F$248,IF(Eingabedaten!CF41="IDA-C4",Begriffe!$F$249,IF(Eingabedaten!CF41="IDA-C6",Begriffe!$F$250,"")))</f>
        <v>zweistufig</v>
      </c>
      <c r="CJ41" s="715" t="str">
        <f>IF(CG41="IDA-C3",Begriffe!$F$248,IF(Eingabedaten!CG41="IDA-C4",Begriffe!$F$249,IF(Eingabedaten!CG41="IDA-C6",Begriffe!$F$250,"")))</f>
        <v>stufenlos</v>
      </c>
      <c r="CK41" s="715" t="str">
        <f>IF(CH41="IDA-C3",Begriffe!$F$248,IF(Eingabedaten!CH41="IDA-C4",Begriffe!$F$249,IF(Eingabedaten!CH41="IDA-C6",Begriffe!$F$250,"")))</f>
        <v>zweistufig</v>
      </c>
      <c r="CL41" s="1503">
        <v>0.73</v>
      </c>
      <c r="CM41" s="1503">
        <v>0.78</v>
      </c>
      <c r="CN41" s="1503">
        <v>0.5</v>
      </c>
      <c r="CO41" s="1503">
        <v>0.7</v>
      </c>
      <c r="CP41" s="1503">
        <v>0.75</v>
      </c>
      <c r="CQ41" s="1518">
        <v>0.5</v>
      </c>
      <c r="CR41" s="1519" t="str">
        <f>Begriffe!$F$254</f>
        <v>Klimaanlage mit Luftbefeuchtung und -entfeuchtung</v>
      </c>
      <c r="CS41" s="1520">
        <v>0.91</v>
      </c>
      <c r="CT41" s="1519">
        <v>0.55000000000000004</v>
      </c>
      <c r="CU41" s="1519">
        <v>0.34</v>
      </c>
      <c r="CV41" s="1521">
        <v>0.91</v>
      </c>
      <c r="CW41" s="1522" t="s">
        <v>16</v>
      </c>
      <c r="CX41" s="1519" t="s">
        <v>16</v>
      </c>
      <c r="CY41" s="1519" t="s">
        <v>16</v>
      </c>
      <c r="CZ41" s="1519" t="s">
        <v>16</v>
      </c>
      <c r="DA41" s="1519" t="s">
        <v>16</v>
      </c>
      <c r="DB41" s="1521" t="s">
        <v>16</v>
      </c>
      <c r="DC41" s="609">
        <v>100</v>
      </c>
      <c r="DD41" s="1504">
        <v>125</v>
      </c>
      <c r="DE41" s="1504">
        <v>75</v>
      </c>
      <c r="DF41" s="1523">
        <v>0</v>
      </c>
      <c r="DG41" s="609">
        <v>0.1</v>
      </c>
      <c r="DH41" s="1523">
        <f t="shared" si="30"/>
        <v>0.3</v>
      </c>
      <c r="DI41" s="609" t="str">
        <f>Begriffe!$F$263</f>
        <v>Dusche</v>
      </c>
      <c r="DJ41" s="1504">
        <v>20</v>
      </c>
      <c r="DK41" s="1504">
        <v>5</v>
      </c>
      <c r="DL41" s="1507">
        <f t="shared" si="54"/>
        <v>100</v>
      </c>
      <c r="DM41" s="1504">
        <v>3</v>
      </c>
      <c r="DN41" s="1513">
        <f t="shared" si="55"/>
        <v>300</v>
      </c>
      <c r="DO41" s="1524" t="s">
        <v>132</v>
      </c>
      <c r="DP41" s="1147"/>
      <c r="DQ41" s="1148"/>
      <c r="DR41" s="1148"/>
      <c r="DS41" s="1149"/>
      <c r="DT41" s="1148"/>
      <c r="DU41" s="1150"/>
      <c r="DV41" s="1148"/>
      <c r="DW41" s="1148">
        <v>0.5</v>
      </c>
      <c r="DX41" s="1148">
        <v>0.8</v>
      </c>
      <c r="DY41" s="1149">
        <v>1</v>
      </c>
      <c r="DZ41" s="1148">
        <v>1</v>
      </c>
      <c r="EA41" s="1150">
        <v>0.8</v>
      </c>
      <c r="EB41" s="1148"/>
      <c r="EC41" s="1148">
        <v>0.8</v>
      </c>
      <c r="ED41" s="1148">
        <v>1</v>
      </c>
      <c r="EE41" s="1149">
        <v>1</v>
      </c>
      <c r="EF41" s="1148">
        <v>0.8</v>
      </c>
      <c r="EG41" s="1150">
        <v>0.5</v>
      </c>
      <c r="EH41" s="1148">
        <v>0.8</v>
      </c>
      <c r="EI41" s="1148">
        <v>0.8</v>
      </c>
      <c r="EJ41" s="1148">
        <v>0.8</v>
      </c>
      <c r="EK41" s="1149">
        <v>0.5</v>
      </c>
      <c r="EL41" s="1148">
        <v>0.5</v>
      </c>
      <c r="EM41" s="1151"/>
      <c r="EN41" s="1147">
        <v>0.1</v>
      </c>
      <c r="EO41" s="1148">
        <v>0.1</v>
      </c>
      <c r="EP41" s="1148">
        <v>0.1</v>
      </c>
      <c r="EQ41" s="1149">
        <v>0.1</v>
      </c>
      <c r="ER41" s="1148">
        <v>0.1</v>
      </c>
      <c r="ES41" s="1150">
        <v>0.1</v>
      </c>
      <c r="ET41" s="1148">
        <v>0.1</v>
      </c>
      <c r="EU41" s="1148">
        <v>0.5</v>
      </c>
      <c r="EV41" s="1148">
        <v>0.8</v>
      </c>
      <c r="EW41" s="1149">
        <v>1</v>
      </c>
      <c r="EX41" s="1148">
        <v>1</v>
      </c>
      <c r="EY41" s="1150">
        <v>0.8</v>
      </c>
      <c r="EZ41" s="1148">
        <v>0.8</v>
      </c>
      <c r="FA41" s="1148">
        <v>0.8</v>
      </c>
      <c r="FB41" s="1148">
        <v>1</v>
      </c>
      <c r="FC41" s="1149">
        <v>1</v>
      </c>
      <c r="FD41" s="1148">
        <v>0.8</v>
      </c>
      <c r="FE41" s="1150">
        <v>0.5</v>
      </c>
      <c r="FF41" s="1148">
        <v>0.8</v>
      </c>
      <c r="FG41" s="1148">
        <v>0.8</v>
      </c>
      <c r="FH41" s="1148">
        <v>0.8</v>
      </c>
      <c r="FI41" s="1149">
        <v>0.5</v>
      </c>
      <c r="FJ41" s="1148">
        <v>0.5</v>
      </c>
      <c r="FK41" s="1151">
        <v>0.1</v>
      </c>
      <c r="FL41" s="1147" t="s">
        <v>575</v>
      </c>
      <c r="FM41" s="1147">
        <v>0.8</v>
      </c>
      <c r="FN41" s="1148">
        <v>0.8</v>
      </c>
      <c r="FO41" s="1148">
        <v>0.8</v>
      </c>
      <c r="FP41" s="1149">
        <v>0.8</v>
      </c>
      <c r="FQ41" s="1148">
        <v>0.8</v>
      </c>
      <c r="FR41" s="1150">
        <v>0.8</v>
      </c>
      <c r="FS41" s="1148">
        <v>0.8</v>
      </c>
      <c r="FT41" s="1148">
        <v>0.8</v>
      </c>
      <c r="FU41" s="1148">
        <v>0.8</v>
      </c>
      <c r="FV41" s="1149">
        <v>0.8</v>
      </c>
      <c r="FW41" s="1148">
        <v>0.8</v>
      </c>
      <c r="FX41" s="1151">
        <v>0.8</v>
      </c>
      <c r="FY41" s="610">
        <v>1</v>
      </c>
      <c r="FZ41" s="1525">
        <f t="shared" si="35"/>
        <v>313</v>
      </c>
      <c r="GA41" s="1526">
        <f t="shared" si="2"/>
        <v>15</v>
      </c>
      <c r="GB41" s="243">
        <f t="shared" si="3"/>
        <v>11.600000000000001</v>
      </c>
      <c r="GC41" s="243">
        <f t="shared" si="4"/>
        <v>8.1999999999999993</v>
      </c>
      <c r="GD41" s="243">
        <f t="shared" si="5"/>
        <v>3.4000000000000004</v>
      </c>
      <c r="GE41" s="1527">
        <f t="shared" si="6"/>
        <v>0.80000000000000016</v>
      </c>
      <c r="GF41" s="392">
        <f t="shared" si="31"/>
        <v>4700</v>
      </c>
      <c r="GG41" s="392">
        <f t="shared" si="7"/>
        <v>4700</v>
      </c>
      <c r="GH41" s="1528">
        <f t="shared" si="36"/>
        <v>2900</v>
      </c>
      <c r="GI41" s="1526">
        <f t="shared" si="8"/>
        <v>24</v>
      </c>
      <c r="GJ41" s="243">
        <f t="shared" si="9"/>
        <v>13.200000000000001</v>
      </c>
      <c r="GK41" s="243">
        <f t="shared" si="10"/>
        <v>2.4000000000000004</v>
      </c>
      <c r="GL41" s="1528">
        <f t="shared" si="37"/>
        <v>3410</v>
      </c>
      <c r="GM41" s="1574"/>
      <c r="GN41" s="14" t="str">
        <f>Begriffe!$F$283</f>
        <v>- Badtechnik inkl. Hallenlüftung und Luftentfeuchtung sind unter Prozessanlagen verbucht</v>
      </c>
      <c r="GO41" s="379" t="str">
        <f>Begriffe!$F$277</f>
        <v>- Der prozessbedingte Aussenluftvolumenstrom ist in den Diagrammen nicht berücksichtigt</v>
      </c>
      <c r="GP41" s="611" t="str">
        <f>Begriffe!$F$285</f>
        <v>- Der Klimakälteleistungsbedarf und der jährliche Klimakältebedarf gelten für Räume ohne unterstützende Fensterlüftung</v>
      </c>
      <c r="GQ41" s="583" t="str">
        <f>Begriffe!$F$286</f>
        <v>- Die Wärmeeinträge von Prozessanlagen sind beim Klimakälte- und Heizwärmebedarf nicht berücksichtigt</v>
      </c>
      <c r="GR41" s="611" t="str">
        <f>Begriffe!$F331</f>
        <v>- Wasser- und Warmwasserbedarf pro Dusche ohne Badewasserbedarf</v>
      </c>
      <c r="HB41" s="14" t="s">
        <v>123</v>
      </c>
      <c r="HC41" s="14">
        <v>0.8</v>
      </c>
      <c r="HD41" s="14">
        <v>0.6</v>
      </c>
      <c r="HE41" s="14">
        <v>1</v>
      </c>
      <c r="HF41" s="14">
        <v>0.8</v>
      </c>
      <c r="HG41" s="14">
        <v>0.6</v>
      </c>
      <c r="HH41" s="14">
        <v>1</v>
      </c>
      <c r="HI41" s="14">
        <v>0.6</v>
      </c>
      <c r="HJ41" s="14">
        <v>0.6</v>
      </c>
      <c r="HK41" s="14">
        <v>1</v>
      </c>
      <c r="HL41" s="14">
        <v>0.8</v>
      </c>
      <c r="HM41" s="14">
        <v>1</v>
      </c>
      <c r="HN41" s="14">
        <v>0.6</v>
      </c>
      <c r="HO41" s="1529">
        <f t="shared" si="11"/>
        <v>0.78333333333333333</v>
      </c>
      <c r="HQ41" s="1529">
        <v>1</v>
      </c>
      <c r="HS41" s="1530">
        <v>1</v>
      </c>
      <c r="HT41" s="1530">
        <v>0</v>
      </c>
      <c r="HU41" s="612">
        <v>1</v>
      </c>
      <c r="HV41" s="612">
        <v>1</v>
      </c>
      <c r="HW41" s="612">
        <v>1</v>
      </c>
      <c r="HX41" s="612">
        <v>1</v>
      </c>
      <c r="HY41" s="612">
        <v>1</v>
      </c>
      <c r="HZ41" s="612">
        <v>15</v>
      </c>
      <c r="IA41" s="612">
        <v>16</v>
      </c>
      <c r="IB41" s="14">
        <v>0.7</v>
      </c>
      <c r="IC41" s="14">
        <v>12</v>
      </c>
      <c r="ID41" s="1531">
        <v>1.111764705882353</v>
      </c>
      <c r="IE41" s="1440">
        <f t="shared" si="32"/>
        <v>32.788235294117648</v>
      </c>
    </row>
    <row r="42" spans="1:239" s="379" customFormat="1" ht="12" customHeight="1">
      <c r="A42" s="1641">
        <v>12.01</v>
      </c>
      <c r="B42" s="539">
        <v>19</v>
      </c>
      <c r="C42" s="463" t="str">
        <f>Begriffe!F167</f>
        <v>Verkehrsfläche</v>
      </c>
      <c r="D42" s="620">
        <v>10</v>
      </c>
      <c r="E42" s="618">
        <v>2</v>
      </c>
      <c r="F42" s="618">
        <v>2.5</v>
      </c>
      <c r="G42" s="205">
        <f t="shared" si="33"/>
        <v>20</v>
      </c>
      <c r="H42" s="205">
        <v>5.882352941176471</v>
      </c>
      <c r="I42" s="390">
        <v>30</v>
      </c>
      <c r="J42" s="1439">
        <v>0.75</v>
      </c>
      <c r="K42" s="628">
        <f t="shared" si="12"/>
        <v>40</v>
      </c>
      <c r="L42" s="630">
        <v>1</v>
      </c>
      <c r="M42" s="595">
        <v>0.8</v>
      </c>
      <c r="N42" s="595">
        <v>1.5</v>
      </c>
      <c r="O42" s="1439">
        <v>0.17</v>
      </c>
      <c r="P42" s="595">
        <v>0.1</v>
      </c>
      <c r="Q42" s="595">
        <v>0.8</v>
      </c>
      <c r="R42" s="1439">
        <v>0.5</v>
      </c>
      <c r="S42" s="1439">
        <v>0.5</v>
      </c>
      <c r="T42" s="1439">
        <v>0.65</v>
      </c>
      <c r="U42" s="1439">
        <v>0.14000000000000001</v>
      </c>
      <c r="V42" s="1439">
        <v>0.1</v>
      </c>
      <c r="W42" s="1439">
        <v>0.2</v>
      </c>
      <c r="X42" s="390">
        <v>0.7</v>
      </c>
      <c r="Y42" s="390">
        <v>0.9</v>
      </c>
      <c r="Z42" s="390">
        <v>90</v>
      </c>
      <c r="AA42" s="598">
        <v>125.8</v>
      </c>
      <c r="AB42" s="582"/>
      <c r="AC42" s="1440">
        <v>21</v>
      </c>
      <c r="AD42" s="1440"/>
      <c r="AE42" s="1440">
        <v>22</v>
      </c>
      <c r="AF42" s="578" t="s">
        <v>22</v>
      </c>
      <c r="AG42" s="1456" t="s">
        <v>124</v>
      </c>
      <c r="AH42" s="1456"/>
      <c r="AI42" s="1457"/>
      <c r="AJ42" s="1659" t="s">
        <v>64</v>
      </c>
      <c r="AK42" s="1456">
        <v>1</v>
      </c>
      <c r="AL42" s="1456">
        <f t="shared" si="13"/>
        <v>38</v>
      </c>
      <c r="AM42" s="1456">
        <f t="shared" si="14"/>
        <v>43</v>
      </c>
      <c r="AN42" s="1457">
        <f t="shared" si="15"/>
        <v>33</v>
      </c>
      <c r="AO42" s="1458">
        <v>0.7</v>
      </c>
      <c r="AP42" s="580"/>
      <c r="AQ42" s="595">
        <v>1.2</v>
      </c>
      <c r="AR42" s="595"/>
      <c r="AS42" s="595">
        <v>1</v>
      </c>
      <c r="AT42" s="598">
        <f t="shared" si="16"/>
        <v>84</v>
      </c>
      <c r="AU42" s="598">
        <f t="shared" si="17"/>
        <v>94</v>
      </c>
      <c r="AV42" s="598">
        <f t="shared" si="18"/>
        <v>51</v>
      </c>
      <c r="AW42" s="598">
        <f t="shared" si="19"/>
        <v>66</v>
      </c>
      <c r="AX42" s="632"/>
      <c r="AY42" s="580"/>
      <c r="AZ42" s="390"/>
      <c r="BA42" s="390"/>
      <c r="BB42" s="390"/>
      <c r="BC42" s="390"/>
      <c r="BD42" s="390"/>
      <c r="BE42" s="390">
        <f t="shared" si="57"/>
        <v>0</v>
      </c>
      <c r="BF42" s="390">
        <f t="shared" si="58"/>
        <v>0</v>
      </c>
      <c r="BG42" s="390">
        <f t="shared" si="59"/>
        <v>0</v>
      </c>
      <c r="BH42" s="613">
        <v>0</v>
      </c>
      <c r="BI42" s="1460">
        <f t="shared" si="23"/>
        <v>0</v>
      </c>
      <c r="BJ42" s="390">
        <v>20</v>
      </c>
      <c r="BK42" s="595">
        <f t="shared" si="24"/>
        <v>0</v>
      </c>
      <c r="BL42" s="580">
        <f t="shared" si="34"/>
        <v>100</v>
      </c>
      <c r="BM42" s="595">
        <v>1</v>
      </c>
      <c r="BN42" s="390">
        <v>100</v>
      </c>
      <c r="BO42" s="390" t="str">
        <f>Begriffe!$F$209</f>
        <v>SP</v>
      </c>
      <c r="BP42" s="1825">
        <v>0.4</v>
      </c>
      <c r="BQ42" s="595">
        <v>0.5</v>
      </c>
      <c r="BR42" s="627">
        <v>0.05</v>
      </c>
      <c r="BS42" s="1120">
        <v>90</v>
      </c>
      <c r="BT42" s="1120">
        <v>130</v>
      </c>
      <c r="BU42" s="597">
        <f t="shared" si="38"/>
        <v>11</v>
      </c>
      <c r="BV42" s="629">
        <f t="shared" si="25"/>
        <v>2</v>
      </c>
      <c r="BW42" s="582"/>
      <c r="BX42" s="595"/>
      <c r="BY42" s="390"/>
      <c r="BZ42" s="595">
        <v>0.5</v>
      </c>
      <c r="CA42" s="595"/>
      <c r="CB42" s="595">
        <f t="shared" si="1"/>
        <v>0.5</v>
      </c>
      <c r="CC42" s="390">
        <v>0</v>
      </c>
      <c r="CD42" s="1439">
        <v>0.15</v>
      </c>
      <c r="CE42" s="1439">
        <v>0.3</v>
      </c>
      <c r="CF42" s="379" t="str">
        <f t="shared" si="28"/>
        <v>IDA-C3</v>
      </c>
      <c r="CG42" s="379" t="str">
        <f t="shared" si="29"/>
        <v>IDA-C4</v>
      </c>
      <c r="CI42" s="379" t="str">
        <f>IF(CF42="IDA-C3",Begriffe!$F$248,IF(Eingabedaten!CF42="IDA-C4",Begriffe!$F$249,IF(Eingabedaten!CF42="IDA-C6",Begriffe!$F$250,"")))</f>
        <v>einstufig</v>
      </c>
      <c r="CJ42" s="379" t="str">
        <f>IF(CG42="IDA-C3",Begriffe!$F$248,IF(Eingabedaten!CG42="IDA-C4",Begriffe!$F$249,IF(Eingabedaten!CG42="IDA-C6",Begriffe!$F$250,"")))</f>
        <v>zweistufig</v>
      </c>
      <c r="CK42" s="379" t="str">
        <f>IF(CH42="IDA-C3",Begriffe!$F$248,IF(Eingabedaten!CH42="IDA-C4",Begriffe!$F$249,IF(Eingabedaten!CH42="IDA-C6",Begriffe!$F$250,"")))</f>
        <v/>
      </c>
      <c r="CL42" s="1439">
        <v>0.73</v>
      </c>
      <c r="CM42" s="1439">
        <v>0.78</v>
      </c>
      <c r="CN42" s="1439"/>
      <c r="CO42" s="1439">
        <v>0.7</v>
      </c>
      <c r="CP42" s="1439">
        <v>0.75</v>
      </c>
      <c r="CQ42" s="1461"/>
      <c r="CR42" s="586" t="str">
        <f>Begriffe!$F$252</f>
        <v>Einfache Klimaanlage</v>
      </c>
      <c r="CS42" s="586">
        <v>0.91</v>
      </c>
      <c r="CT42" s="586">
        <v>0.55000000000000004</v>
      </c>
      <c r="CU42" s="586">
        <v>0.34</v>
      </c>
      <c r="CV42" s="1433">
        <v>0.91</v>
      </c>
      <c r="CW42" s="1469" t="s">
        <v>16</v>
      </c>
      <c r="CX42" s="586" t="s">
        <v>16</v>
      </c>
      <c r="CY42" s="586" t="s">
        <v>16</v>
      </c>
      <c r="CZ42" s="586" t="s">
        <v>16</v>
      </c>
      <c r="DA42" s="586" t="s">
        <v>16</v>
      </c>
      <c r="DB42" s="1433" t="s">
        <v>16</v>
      </c>
      <c r="DC42" s="580"/>
      <c r="DD42" s="390"/>
      <c r="DE42" s="390"/>
      <c r="DF42" s="628">
        <v>0.5</v>
      </c>
      <c r="DG42" s="580">
        <v>0.1</v>
      </c>
      <c r="DH42" s="628">
        <f t="shared" si="30"/>
        <v>0.5</v>
      </c>
      <c r="DI42" s="580"/>
      <c r="DJ42" s="390"/>
      <c r="DK42" s="390"/>
      <c r="DL42" s="390"/>
      <c r="DM42" s="390"/>
      <c r="DN42" s="628"/>
      <c r="DO42" s="593" t="s">
        <v>587</v>
      </c>
      <c r="DP42" s="614"/>
      <c r="DQ42" s="205"/>
      <c r="DR42" s="205"/>
      <c r="DS42" s="615"/>
      <c r="DT42" s="205"/>
      <c r="DU42" s="616"/>
      <c r="DV42" s="1604">
        <v>0.2</v>
      </c>
      <c r="DW42" s="1605">
        <v>0.4</v>
      </c>
      <c r="DX42" s="1606">
        <v>0.4</v>
      </c>
      <c r="DY42" s="1604">
        <v>0.4</v>
      </c>
      <c r="DZ42" s="1605">
        <v>0.4</v>
      </c>
      <c r="EA42" s="1606">
        <v>0.4</v>
      </c>
      <c r="EB42" s="1604">
        <v>0.4</v>
      </c>
      <c r="EC42" s="1605">
        <v>0.4</v>
      </c>
      <c r="ED42" s="1606">
        <v>0.4</v>
      </c>
      <c r="EE42" s="1604">
        <v>0.4</v>
      </c>
      <c r="EF42" s="1605">
        <v>0.4</v>
      </c>
      <c r="EG42" s="1606">
        <v>0.4</v>
      </c>
      <c r="EH42" s="618">
        <v>0.2</v>
      </c>
      <c r="EI42" s="619"/>
      <c r="EJ42" s="205"/>
      <c r="EK42" s="615"/>
      <c r="EL42" s="205"/>
      <c r="EM42" s="613"/>
      <c r="EN42" s="614"/>
      <c r="EO42" s="205"/>
      <c r="EP42" s="205"/>
      <c r="EQ42" s="615"/>
      <c r="ER42" s="205"/>
      <c r="ES42" s="616"/>
      <c r="ET42" s="205"/>
      <c r="EU42" s="205"/>
      <c r="EV42" s="205"/>
      <c r="EW42" s="615"/>
      <c r="EX42" s="205"/>
      <c r="EY42" s="616"/>
      <c r="EZ42" s="205"/>
      <c r="FA42" s="205"/>
      <c r="FB42" s="205"/>
      <c r="FC42" s="615"/>
      <c r="FD42" s="205"/>
      <c r="FE42" s="616"/>
      <c r="FF42" s="205"/>
      <c r="FG42" s="205"/>
      <c r="FH42" s="205"/>
      <c r="FI42" s="615"/>
      <c r="FJ42" s="205"/>
      <c r="FK42" s="613"/>
      <c r="FL42" s="580" t="s">
        <v>575</v>
      </c>
      <c r="FM42" s="620">
        <v>0.8</v>
      </c>
      <c r="FN42" s="618">
        <v>0.8</v>
      </c>
      <c r="FO42" s="618">
        <v>0.8</v>
      </c>
      <c r="FP42" s="621">
        <v>0.8</v>
      </c>
      <c r="FQ42" s="618">
        <v>0.8</v>
      </c>
      <c r="FR42" s="617">
        <v>0.8</v>
      </c>
      <c r="FS42" s="618">
        <v>0.8</v>
      </c>
      <c r="FT42" s="618">
        <v>0.8</v>
      </c>
      <c r="FU42" s="618">
        <v>0.8</v>
      </c>
      <c r="FV42" s="621">
        <v>0.8</v>
      </c>
      <c r="FW42" s="618">
        <v>0.8</v>
      </c>
      <c r="FX42" s="622">
        <v>0.8</v>
      </c>
      <c r="FY42" s="587">
        <v>0</v>
      </c>
      <c r="FZ42" s="623">
        <f>365-(52*FY42)</f>
        <v>365</v>
      </c>
      <c r="GA42" s="624">
        <f t="shared" si="2"/>
        <v>13</v>
      </c>
      <c r="GB42" s="625">
        <f t="shared" si="3"/>
        <v>4.8</v>
      </c>
      <c r="GC42" s="625">
        <f t="shared" si="4"/>
        <v>4.3999999999999995</v>
      </c>
      <c r="GD42" s="625">
        <f t="shared" si="5"/>
        <v>0.4</v>
      </c>
      <c r="GE42" s="626">
        <f>SUMPRODUCT(FM42:FX42,FM$8:FX$8)/365</f>
        <v>0.80000000000000016</v>
      </c>
      <c r="GF42" s="619">
        <f t="shared" si="31"/>
        <v>4750</v>
      </c>
      <c r="GG42" s="619">
        <f t="shared" si="7"/>
        <v>4750</v>
      </c>
      <c r="GH42" s="623">
        <f>ROUND(GB42*FZ42*GE42,-1)</f>
        <v>1400</v>
      </c>
      <c r="GI42" s="624">
        <f t="shared" si="8"/>
        <v>0</v>
      </c>
      <c r="GJ42" s="625">
        <f t="shared" si="9"/>
        <v>0</v>
      </c>
      <c r="GK42" s="625">
        <f t="shared" si="10"/>
        <v>0</v>
      </c>
      <c r="GL42" s="623">
        <f>ROUND((GJ42*FZ42+GK42*(365-FZ42))*GE42,-1)</f>
        <v>0</v>
      </c>
      <c r="GM42" s="1532" t="str">
        <f>Begriffe!$F$296</f>
        <v>- Beurteilungspegel für Dauergeräusche von Haustechnikanlagen in Abhängigkeit der zugehörigen Hauptnutzung</v>
      </c>
      <c r="GN42" s="594"/>
      <c r="GO42" s="583" t="str">
        <f>IF(CH42=0,Begriffe!$F$297,"")</f>
        <v>- Keine Lüftungsanlage im Bestand</v>
      </c>
      <c r="GP42" s="583" t="str">
        <f>Begriffe!$F$285</f>
        <v>- Der Klimakälteleistungsbedarf und der jährliche Klimakältebedarf gelten für Räume ohne unterstützende Fensterlüftung</v>
      </c>
      <c r="GQ42" s="583"/>
      <c r="GR42" s="583" t="str">
        <f>Begriffe!$F332</f>
        <v>- Wasser- und Warmwasserbedarf werden durch die Hauptnutzung bestimmt</v>
      </c>
      <c r="HB42" s="390" t="s">
        <v>123</v>
      </c>
      <c r="HC42" s="390">
        <v>0.8</v>
      </c>
      <c r="HD42" s="390">
        <v>0.6</v>
      </c>
      <c r="HE42" s="390">
        <v>1</v>
      </c>
      <c r="HF42" s="390">
        <v>0.8</v>
      </c>
      <c r="HG42" s="390">
        <v>0.6</v>
      </c>
      <c r="HH42" s="390">
        <v>1</v>
      </c>
      <c r="HI42" s="390">
        <v>0.6</v>
      </c>
      <c r="HJ42" s="390">
        <v>0.6</v>
      </c>
      <c r="HK42" s="390">
        <v>1</v>
      </c>
      <c r="HL42" s="390">
        <v>0.8</v>
      </c>
      <c r="HM42" s="390">
        <v>1</v>
      </c>
      <c r="HN42" s="390">
        <v>0.6</v>
      </c>
      <c r="HO42" s="390">
        <f>SUM(HC42:HN42)/12</f>
        <v>0.78333333333333333</v>
      </c>
      <c r="HQ42" s="390">
        <v>2</v>
      </c>
      <c r="HS42" s="541">
        <v>0</v>
      </c>
      <c r="HT42" s="541">
        <v>0</v>
      </c>
      <c r="HU42" s="600">
        <v>1</v>
      </c>
      <c r="HV42" s="600">
        <v>1</v>
      </c>
      <c r="HW42" s="600">
        <v>1</v>
      </c>
      <c r="HX42" s="600">
        <v>1</v>
      </c>
      <c r="HY42" s="600">
        <v>1</v>
      </c>
      <c r="HZ42" s="379">
        <v>12</v>
      </c>
      <c r="IA42" s="379">
        <v>14</v>
      </c>
      <c r="IB42" s="390">
        <v>0.7</v>
      </c>
      <c r="IC42" s="390">
        <v>3</v>
      </c>
      <c r="ID42" s="1439">
        <v>0.26470588235294118</v>
      </c>
      <c r="IE42" s="1440">
        <f t="shared" si="32"/>
        <v>15.705882352941178</v>
      </c>
    </row>
    <row r="43" spans="1:239" s="379" customFormat="1" ht="12" customHeight="1">
      <c r="A43" s="1641">
        <v>12.02</v>
      </c>
      <c r="B43" s="539">
        <v>19</v>
      </c>
      <c r="C43" s="463" t="str">
        <f>Begriffe!F168</f>
        <v>Verkehrsfläche 24 h</v>
      </c>
      <c r="D43" s="620">
        <v>10</v>
      </c>
      <c r="E43" s="618">
        <v>2</v>
      </c>
      <c r="F43" s="618">
        <v>2.5</v>
      </c>
      <c r="G43" s="205">
        <f t="shared" si="33"/>
        <v>20</v>
      </c>
      <c r="H43" s="205">
        <v>5.882352941176471</v>
      </c>
      <c r="I43" s="390">
        <v>30</v>
      </c>
      <c r="J43" s="1439">
        <v>0.75</v>
      </c>
      <c r="K43" s="628">
        <f t="shared" si="12"/>
        <v>40</v>
      </c>
      <c r="L43" s="630">
        <v>1</v>
      </c>
      <c r="M43" s="595">
        <v>0.8</v>
      </c>
      <c r="N43" s="595">
        <v>1.5</v>
      </c>
      <c r="O43" s="1439">
        <v>0.17</v>
      </c>
      <c r="P43" s="595">
        <v>0.1</v>
      </c>
      <c r="Q43" s="595">
        <v>0.8</v>
      </c>
      <c r="R43" s="1439">
        <v>0.5</v>
      </c>
      <c r="S43" s="1439">
        <v>0.5</v>
      </c>
      <c r="T43" s="1439">
        <v>0.65</v>
      </c>
      <c r="U43" s="1439">
        <v>0.14000000000000001</v>
      </c>
      <c r="V43" s="1439">
        <v>0.1</v>
      </c>
      <c r="W43" s="1439">
        <v>0.2</v>
      </c>
      <c r="X43" s="390">
        <v>0.7</v>
      </c>
      <c r="Y43" s="390">
        <v>0.9</v>
      </c>
      <c r="Z43" s="390">
        <v>90</v>
      </c>
      <c r="AA43" s="598">
        <v>125.8</v>
      </c>
      <c r="AB43" s="582">
        <v>26</v>
      </c>
      <c r="AC43" s="1440">
        <v>21</v>
      </c>
      <c r="AD43" s="1440">
        <v>25</v>
      </c>
      <c r="AE43" s="1440">
        <v>22</v>
      </c>
      <c r="AF43" s="578" t="s">
        <v>22</v>
      </c>
      <c r="AG43" s="1456" t="s">
        <v>124</v>
      </c>
      <c r="AH43" s="1456"/>
      <c r="AI43" s="1457"/>
      <c r="AJ43" s="1659" t="s">
        <v>64</v>
      </c>
      <c r="AK43" s="1456">
        <v>1</v>
      </c>
      <c r="AL43" s="1456">
        <f t="shared" si="13"/>
        <v>38</v>
      </c>
      <c r="AM43" s="1456">
        <f t="shared" si="14"/>
        <v>43</v>
      </c>
      <c r="AN43" s="1457">
        <f t="shared" si="15"/>
        <v>33</v>
      </c>
      <c r="AO43" s="1458">
        <v>0.7</v>
      </c>
      <c r="AP43" s="580"/>
      <c r="AQ43" s="595">
        <v>1.2</v>
      </c>
      <c r="AR43" s="595">
        <v>0.5</v>
      </c>
      <c r="AS43" s="595">
        <v>1</v>
      </c>
      <c r="AT43" s="598">
        <f t="shared" si="16"/>
        <v>84</v>
      </c>
      <c r="AU43" s="598">
        <f t="shared" si="17"/>
        <v>94</v>
      </c>
      <c r="AV43" s="598">
        <f t="shared" si="18"/>
        <v>51</v>
      </c>
      <c r="AW43" s="598">
        <f t="shared" si="19"/>
        <v>66</v>
      </c>
      <c r="AX43" s="632"/>
      <c r="AY43" s="580"/>
      <c r="AZ43" s="390"/>
      <c r="BA43" s="390"/>
      <c r="BB43" s="390"/>
      <c r="BC43" s="390"/>
      <c r="BD43" s="390"/>
      <c r="BE43" s="390">
        <f t="shared" si="57"/>
        <v>0</v>
      </c>
      <c r="BF43" s="390">
        <f t="shared" si="58"/>
        <v>0</v>
      </c>
      <c r="BG43" s="390">
        <f t="shared" si="59"/>
        <v>0</v>
      </c>
      <c r="BH43" s="613">
        <v>0</v>
      </c>
      <c r="BI43" s="1460">
        <f t="shared" si="23"/>
        <v>0</v>
      </c>
      <c r="BJ43" s="390">
        <v>20</v>
      </c>
      <c r="BK43" s="595">
        <f t="shared" si="24"/>
        <v>0</v>
      </c>
      <c r="BL43" s="580">
        <f t="shared" si="34"/>
        <v>200</v>
      </c>
      <c r="BM43" s="595">
        <v>1</v>
      </c>
      <c r="BN43" s="390">
        <v>200</v>
      </c>
      <c r="BO43" s="390" t="str">
        <f>Begriffe!$F$209</f>
        <v>SP</v>
      </c>
      <c r="BP43" s="1825">
        <v>0.4</v>
      </c>
      <c r="BQ43" s="595">
        <v>0.5</v>
      </c>
      <c r="BR43" s="627">
        <v>0.05</v>
      </c>
      <c r="BS43" s="1120">
        <v>90</v>
      </c>
      <c r="BT43" s="1120">
        <v>130</v>
      </c>
      <c r="BU43" s="598">
        <f t="shared" si="38"/>
        <v>11</v>
      </c>
      <c r="BV43" s="629">
        <f t="shared" si="25"/>
        <v>13</v>
      </c>
      <c r="BW43" s="582"/>
      <c r="BX43" s="595"/>
      <c r="BY43" s="390"/>
      <c r="BZ43" s="595">
        <v>0.5</v>
      </c>
      <c r="CA43" s="595"/>
      <c r="CB43" s="595">
        <f t="shared" si="1"/>
        <v>0.5</v>
      </c>
      <c r="CC43" s="390">
        <v>0</v>
      </c>
      <c r="CD43" s="1439">
        <v>0.15</v>
      </c>
      <c r="CE43" s="1439">
        <v>0.3</v>
      </c>
      <c r="CF43" s="379" t="str">
        <f t="shared" si="28"/>
        <v>IDA-C3</v>
      </c>
      <c r="CG43" s="379" t="str">
        <f t="shared" si="29"/>
        <v>IDA-C4</v>
      </c>
      <c r="CI43" s="379" t="str">
        <f>IF(CF43="IDA-C3",Begriffe!$F$248,IF(Eingabedaten!CF43="IDA-C4",Begriffe!$F$249,IF(Eingabedaten!CF43="IDA-C6",Begriffe!$F$250,"")))</f>
        <v>einstufig</v>
      </c>
      <c r="CJ43" s="379" t="str">
        <f>IF(CG43="IDA-C3",Begriffe!$F$248,IF(Eingabedaten!CG43="IDA-C4",Begriffe!$F$249,IF(Eingabedaten!CG43="IDA-C6",Begriffe!$F$250,"")))</f>
        <v>zweistufig</v>
      </c>
      <c r="CK43" s="379" t="str">
        <f>IF(CH43="IDA-C3",Begriffe!$F$248,IF(Eingabedaten!CH43="IDA-C4",Begriffe!$F$249,IF(Eingabedaten!CH43="IDA-C6",Begriffe!$F$250,"")))</f>
        <v/>
      </c>
      <c r="CL43" s="1439">
        <v>0.73</v>
      </c>
      <c r="CM43" s="1439">
        <v>0.78</v>
      </c>
      <c r="CN43" s="1439"/>
      <c r="CO43" s="1439">
        <v>0.7</v>
      </c>
      <c r="CP43" s="1439">
        <v>0.75</v>
      </c>
      <c r="CQ43" s="1461"/>
      <c r="CR43" s="586" t="str">
        <f>Begriffe!$F$252</f>
        <v>Einfache Klimaanlage</v>
      </c>
      <c r="CS43" s="586">
        <v>0.91</v>
      </c>
      <c r="CT43" s="586">
        <v>0.55000000000000004</v>
      </c>
      <c r="CU43" s="586">
        <v>0.34</v>
      </c>
      <c r="CV43" s="1433">
        <v>0.91</v>
      </c>
      <c r="CW43" s="1469" t="str">
        <f>Begriffe!$F$259</f>
        <v>notwendig</v>
      </c>
      <c r="CX43" s="586" t="str">
        <f>Begriffe!$F$259</f>
        <v>notwendig</v>
      </c>
      <c r="CY43" s="586" t="str">
        <f>Begriffe!$F$259</f>
        <v>notwendig</v>
      </c>
      <c r="CZ43" s="586" t="str">
        <f>Begriffe!$F$257</f>
        <v>nicht notwendig</v>
      </c>
      <c r="DA43" s="586" t="str">
        <f>Begriffe!$F$258</f>
        <v>erwünscht</v>
      </c>
      <c r="DB43" s="1433" t="str">
        <f>Begriffe!$F$259</f>
        <v>notwendig</v>
      </c>
      <c r="DC43" s="580"/>
      <c r="DD43" s="390"/>
      <c r="DE43" s="390"/>
      <c r="DF43" s="628">
        <v>0.5</v>
      </c>
      <c r="DG43" s="580">
        <v>0.1</v>
      </c>
      <c r="DH43" s="628">
        <f t="shared" si="30"/>
        <v>0.5</v>
      </c>
      <c r="DI43" s="580"/>
      <c r="DJ43" s="390"/>
      <c r="DK43" s="390"/>
      <c r="DL43" s="390"/>
      <c r="DM43" s="390"/>
      <c r="DN43" s="628"/>
      <c r="DO43" s="593" t="s">
        <v>202</v>
      </c>
      <c r="DP43" s="620">
        <v>0.2</v>
      </c>
      <c r="DQ43" s="618">
        <v>0.2</v>
      </c>
      <c r="DR43" s="618">
        <v>0.2</v>
      </c>
      <c r="DS43" s="621">
        <v>0.2</v>
      </c>
      <c r="DT43" s="618">
        <v>0.2</v>
      </c>
      <c r="DU43" s="617">
        <v>0.2</v>
      </c>
      <c r="DV43" s="621">
        <v>0.2</v>
      </c>
      <c r="DW43" s="618">
        <v>0.4</v>
      </c>
      <c r="DX43" s="617">
        <v>0.4</v>
      </c>
      <c r="DY43" s="621">
        <v>0.4</v>
      </c>
      <c r="DZ43" s="618">
        <v>0.4</v>
      </c>
      <c r="EA43" s="617">
        <v>0.4</v>
      </c>
      <c r="EB43" s="621">
        <v>0.4</v>
      </c>
      <c r="EC43" s="618">
        <v>0.4</v>
      </c>
      <c r="ED43" s="617">
        <v>0.4</v>
      </c>
      <c r="EE43" s="621">
        <v>0.4</v>
      </c>
      <c r="EF43" s="618">
        <v>0.4</v>
      </c>
      <c r="EG43" s="617">
        <v>0.4</v>
      </c>
      <c r="EH43" s="618">
        <v>0.2</v>
      </c>
      <c r="EI43" s="618">
        <v>0.2</v>
      </c>
      <c r="EJ43" s="618">
        <v>0.2</v>
      </c>
      <c r="EK43" s="621">
        <v>0.2</v>
      </c>
      <c r="EL43" s="618">
        <v>0.2</v>
      </c>
      <c r="EM43" s="622">
        <v>0.2</v>
      </c>
      <c r="EN43" s="614"/>
      <c r="EO43" s="205"/>
      <c r="EP43" s="205"/>
      <c r="EQ43" s="615"/>
      <c r="ER43" s="205"/>
      <c r="ES43" s="616"/>
      <c r="ET43" s="205"/>
      <c r="EU43" s="205"/>
      <c r="EV43" s="205"/>
      <c r="EW43" s="615"/>
      <c r="EX43" s="205"/>
      <c r="EY43" s="616"/>
      <c r="EZ43" s="205"/>
      <c r="FA43" s="205"/>
      <c r="FB43" s="205"/>
      <c r="FC43" s="615"/>
      <c r="FD43" s="205"/>
      <c r="FE43" s="616"/>
      <c r="FF43" s="205"/>
      <c r="FG43" s="205"/>
      <c r="FH43" s="205"/>
      <c r="FI43" s="615"/>
      <c r="FJ43" s="205"/>
      <c r="FK43" s="613"/>
      <c r="FL43" s="580" t="s">
        <v>575</v>
      </c>
      <c r="FM43" s="620">
        <v>0.8</v>
      </c>
      <c r="FN43" s="618">
        <v>0.8</v>
      </c>
      <c r="FO43" s="618">
        <v>0.8</v>
      </c>
      <c r="FP43" s="621">
        <v>0.8</v>
      </c>
      <c r="FQ43" s="618">
        <v>0.8</v>
      </c>
      <c r="FR43" s="617">
        <v>0.8</v>
      </c>
      <c r="FS43" s="618">
        <v>0.8</v>
      </c>
      <c r="FT43" s="618">
        <v>0.8</v>
      </c>
      <c r="FU43" s="618">
        <v>0.8</v>
      </c>
      <c r="FV43" s="621">
        <v>0.8</v>
      </c>
      <c r="FW43" s="618">
        <v>0.8</v>
      </c>
      <c r="FX43" s="622">
        <v>0.8</v>
      </c>
      <c r="FY43" s="587">
        <v>0</v>
      </c>
      <c r="FZ43" s="613">
        <f>365-(52*FY43)</f>
        <v>365</v>
      </c>
      <c r="GA43" s="620">
        <f t="shared" si="2"/>
        <v>24</v>
      </c>
      <c r="GB43" s="618">
        <f t="shared" si="3"/>
        <v>7.0000000000000018</v>
      </c>
      <c r="GC43" s="618">
        <f t="shared" si="4"/>
        <v>4.3999999999999995</v>
      </c>
      <c r="GD43" s="618">
        <f t="shared" si="5"/>
        <v>2.6</v>
      </c>
      <c r="GE43" s="627">
        <f>SUMPRODUCT(FM43:FX43,FM$8:FX$8)/365</f>
        <v>0.80000000000000016</v>
      </c>
      <c r="GF43" s="205">
        <f t="shared" si="31"/>
        <v>8760</v>
      </c>
      <c r="GG43" s="205">
        <f t="shared" si="7"/>
        <v>8760</v>
      </c>
      <c r="GH43" s="463">
        <f>ROUND(GB43*FZ43*GE43,-1)</f>
        <v>2040</v>
      </c>
      <c r="GI43" s="620">
        <f t="shared" si="8"/>
        <v>0</v>
      </c>
      <c r="GJ43" s="618">
        <f t="shared" si="9"/>
        <v>0</v>
      </c>
      <c r="GK43" s="618">
        <f t="shared" si="10"/>
        <v>0</v>
      </c>
      <c r="GL43" s="463">
        <f>ROUND((GJ43*FZ43+GK43*(365-FZ43))*GE43,-1)</f>
        <v>0</v>
      </c>
      <c r="GM43" s="1532" t="str">
        <f>Begriffe!$F$296</f>
        <v>- Beurteilungspegel für Dauergeräusche von Haustechnikanlagen in Abhängigkeit der zugehörigen Hauptnutzung</v>
      </c>
      <c r="GN43" s="594"/>
      <c r="GO43" s="379" t="str">
        <f>IF(CH43=0,Begriffe!$F$297,"")</f>
        <v>- Keine Lüftungsanlage im Bestand</v>
      </c>
      <c r="GP43" s="583" t="str">
        <f>Begriffe!$F$285</f>
        <v>- Der Klimakälteleistungsbedarf und der jährliche Klimakältebedarf gelten für Räume ohne unterstützende Fensterlüftung</v>
      </c>
      <c r="GQ43" s="583"/>
      <c r="GR43" s="583" t="str">
        <f>Begriffe!$F$332</f>
        <v>- Wasser- und Warmwasserbedarf werden durch die Hauptnutzung bestimmt</v>
      </c>
      <c r="HB43" s="379" t="s">
        <v>150</v>
      </c>
      <c r="HC43" s="390">
        <f t="shared" ref="HC43:HN53" si="61">INDEX(HC$9:HC$41,MATCH($HB43,$HB$9:$HB$41,0))</f>
        <v>1</v>
      </c>
      <c r="HD43" s="390">
        <f t="shared" si="61"/>
        <v>1</v>
      </c>
      <c r="HE43" s="390">
        <f t="shared" si="61"/>
        <v>1</v>
      </c>
      <c r="HF43" s="390">
        <f t="shared" si="61"/>
        <v>1</v>
      </c>
      <c r="HG43" s="390">
        <f t="shared" si="61"/>
        <v>1</v>
      </c>
      <c r="HH43" s="390">
        <f t="shared" si="61"/>
        <v>1</v>
      </c>
      <c r="HI43" s="390">
        <f t="shared" si="61"/>
        <v>1</v>
      </c>
      <c r="HJ43" s="390">
        <f t="shared" si="61"/>
        <v>1</v>
      </c>
      <c r="HK43" s="390">
        <f t="shared" si="61"/>
        <v>1</v>
      </c>
      <c r="HL43" s="390">
        <f t="shared" si="61"/>
        <v>1</v>
      </c>
      <c r="HM43" s="390">
        <f t="shared" si="61"/>
        <v>1</v>
      </c>
      <c r="HN43" s="390">
        <f t="shared" si="61"/>
        <v>1</v>
      </c>
      <c r="HO43" s="390">
        <f>SUM(HC43:HN43)/12</f>
        <v>1</v>
      </c>
      <c r="HQ43" s="390">
        <v>0</v>
      </c>
      <c r="HS43" s="541">
        <v>0</v>
      </c>
      <c r="HT43" s="541">
        <v>0</v>
      </c>
      <c r="HU43" s="600">
        <v>1</v>
      </c>
      <c r="HV43" s="600">
        <v>1</v>
      </c>
      <c r="HW43" s="600">
        <v>1</v>
      </c>
      <c r="HX43" s="600">
        <v>1</v>
      </c>
      <c r="HY43" s="600">
        <v>1</v>
      </c>
      <c r="HZ43" s="379">
        <v>12</v>
      </c>
      <c r="IA43" s="379">
        <v>14</v>
      </c>
      <c r="IB43" s="390">
        <v>0.7</v>
      </c>
      <c r="IC43" s="379">
        <v>3</v>
      </c>
      <c r="ID43" s="1439">
        <v>0.26470588235294118</v>
      </c>
      <c r="IE43" s="1440">
        <f t="shared" si="32"/>
        <v>15.705882352941178</v>
      </c>
    </row>
    <row r="44" spans="1:239" s="379" customFormat="1" ht="12" customHeight="1">
      <c r="A44" s="1641">
        <v>12.03</v>
      </c>
      <c r="B44" s="539">
        <v>19</v>
      </c>
      <c r="C44" s="463" t="str">
        <f>Begriffe!F169</f>
        <v>Treppenhaus</v>
      </c>
      <c r="D44" s="620">
        <v>10</v>
      </c>
      <c r="E44" s="618">
        <v>2</v>
      </c>
      <c r="F44" s="618">
        <v>2.5</v>
      </c>
      <c r="G44" s="205">
        <f t="shared" si="33"/>
        <v>20</v>
      </c>
      <c r="H44" s="205">
        <v>5.882352941176471</v>
      </c>
      <c r="I44" s="390">
        <v>30</v>
      </c>
      <c r="J44" s="1439">
        <v>0.75</v>
      </c>
      <c r="K44" s="628">
        <f t="shared" si="12"/>
        <v>40</v>
      </c>
      <c r="L44" s="630">
        <v>1</v>
      </c>
      <c r="M44" s="595">
        <v>0.8</v>
      </c>
      <c r="N44" s="595">
        <v>1.5</v>
      </c>
      <c r="O44" s="1439">
        <v>0.17</v>
      </c>
      <c r="P44" s="595">
        <v>0.1</v>
      </c>
      <c r="Q44" s="595">
        <v>0.8</v>
      </c>
      <c r="R44" s="1439">
        <v>0.5</v>
      </c>
      <c r="S44" s="1439">
        <v>0.5</v>
      </c>
      <c r="T44" s="1439">
        <v>0.65</v>
      </c>
      <c r="U44" s="1439">
        <v>0.14000000000000001</v>
      </c>
      <c r="V44" s="1439">
        <v>0.1</v>
      </c>
      <c r="W44" s="1439">
        <v>0.2</v>
      </c>
      <c r="X44" s="390">
        <v>0.7</v>
      </c>
      <c r="Y44" s="390">
        <v>0.9</v>
      </c>
      <c r="Z44" s="390">
        <v>90</v>
      </c>
      <c r="AA44" s="598">
        <v>125.8</v>
      </c>
      <c r="AB44" s="582"/>
      <c r="AC44" s="1440">
        <v>18</v>
      </c>
      <c r="AD44" s="1440"/>
      <c r="AE44" s="1440">
        <v>20</v>
      </c>
      <c r="AF44" s="578" t="s">
        <v>193</v>
      </c>
      <c r="AG44" s="1456" t="s">
        <v>124</v>
      </c>
      <c r="AH44" s="1456"/>
      <c r="AI44" s="1457"/>
      <c r="AJ44" s="1659" t="str">
        <f>Begriffe!F$245</f>
        <v>keine</v>
      </c>
      <c r="AK44" s="1456">
        <v>0</v>
      </c>
      <c r="AL44" s="1456" t="str">
        <f t="shared" si="56"/>
        <v/>
      </c>
      <c r="AM44" s="1456" t="str">
        <f t="shared" si="14"/>
        <v/>
      </c>
      <c r="AN44" s="1457" t="str">
        <f t="shared" si="15"/>
        <v/>
      </c>
      <c r="AO44" s="1458"/>
      <c r="AP44" s="580"/>
      <c r="AQ44" s="595">
        <v>1.2</v>
      </c>
      <c r="AR44" s="595"/>
      <c r="AS44" s="595">
        <v>1</v>
      </c>
      <c r="AT44" s="598">
        <f t="shared" si="16"/>
        <v>84</v>
      </c>
      <c r="AU44" s="598">
        <v>115</v>
      </c>
      <c r="AV44" s="598">
        <f t="shared" si="18"/>
        <v>51</v>
      </c>
      <c r="AW44" s="598">
        <v>67</v>
      </c>
      <c r="AX44" s="632"/>
      <c r="AY44" s="580"/>
      <c r="AZ44" s="390"/>
      <c r="BA44" s="390"/>
      <c r="BB44" s="390"/>
      <c r="BC44" s="390"/>
      <c r="BD44" s="390"/>
      <c r="BE44" s="390">
        <f t="shared" si="57"/>
        <v>0</v>
      </c>
      <c r="BF44" s="390">
        <f t="shared" si="58"/>
        <v>0</v>
      </c>
      <c r="BG44" s="390">
        <f t="shared" si="59"/>
        <v>0</v>
      </c>
      <c r="BH44" s="613">
        <v>0</v>
      </c>
      <c r="BI44" s="1460">
        <f t="shared" si="23"/>
        <v>0</v>
      </c>
      <c r="BJ44" s="390">
        <v>20</v>
      </c>
      <c r="BK44" s="595">
        <f t="shared" si="24"/>
        <v>0</v>
      </c>
      <c r="BL44" s="580">
        <f t="shared" si="34"/>
        <v>100</v>
      </c>
      <c r="BM44" s="595">
        <v>1</v>
      </c>
      <c r="BN44" s="390">
        <v>100</v>
      </c>
      <c r="BO44" s="390" t="str">
        <f>Begriffe!$F$209</f>
        <v>SP</v>
      </c>
      <c r="BP44" s="1825">
        <v>0.4</v>
      </c>
      <c r="BQ44" s="595">
        <v>0.5</v>
      </c>
      <c r="BR44" s="627">
        <v>0.05</v>
      </c>
      <c r="BS44" s="1120">
        <v>90</v>
      </c>
      <c r="BT44" s="1120">
        <v>130</v>
      </c>
      <c r="BU44" s="598">
        <f t="shared" si="38"/>
        <v>11</v>
      </c>
      <c r="BV44" s="629">
        <f t="shared" si="25"/>
        <v>2</v>
      </c>
      <c r="BW44" s="582"/>
      <c r="BX44" s="595"/>
      <c r="BY44" s="390"/>
      <c r="BZ44" s="595">
        <v>0.5</v>
      </c>
      <c r="CA44" s="595"/>
      <c r="CB44" s="595">
        <f t="shared" si="1"/>
        <v>0.5</v>
      </c>
      <c r="CC44" s="390">
        <v>0</v>
      </c>
      <c r="CD44" s="1439">
        <v>0.15</v>
      </c>
      <c r="CE44" s="1439">
        <v>0.3</v>
      </c>
      <c r="CI44" s="379" t="str">
        <f>IF(CF44="IDA-C3",Begriffe!$F$248,IF(Eingabedaten!CF44="IDA-C4",Begriffe!$F$249,IF(Eingabedaten!CF44="IDA-C6",Begriffe!$F$250,"")))</f>
        <v/>
      </c>
      <c r="CJ44" s="379" t="str">
        <f>IF(CG44="IDA-C3",Begriffe!$F$248,IF(Eingabedaten!CG44="IDA-C4",Begriffe!$F$249,IF(Eingabedaten!CG44="IDA-C6",Begriffe!$F$250,"")))</f>
        <v/>
      </c>
      <c r="CK44" s="379" t="str">
        <f>IF(CH44="IDA-C3",Begriffe!$F$248,IF(Eingabedaten!CH44="IDA-C4",Begriffe!$F$249,IF(Eingabedaten!CH44="IDA-C6",Begriffe!$F$250,"")))</f>
        <v/>
      </c>
      <c r="CL44" s="1439">
        <v>0.73</v>
      </c>
      <c r="CM44" s="1439">
        <v>0.78</v>
      </c>
      <c r="CN44" s="1439"/>
      <c r="CO44" s="1439">
        <v>0.7</v>
      </c>
      <c r="CP44" s="1439">
        <v>0.75</v>
      </c>
      <c r="CQ44" s="1461"/>
      <c r="CR44" s="586" t="str">
        <f>Begriffe!$F$256</f>
        <v>keine Lüftungsanlage</v>
      </c>
      <c r="CS44" s="586">
        <v>0.91</v>
      </c>
      <c r="CT44" s="586">
        <v>0.55000000000000004</v>
      </c>
      <c r="CU44" s="586">
        <v>0.34</v>
      </c>
      <c r="CV44" s="1433">
        <v>0.91</v>
      </c>
      <c r="CW44" s="1469" t="s">
        <v>16</v>
      </c>
      <c r="CX44" s="586" t="s">
        <v>16</v>
      </c>
      <c r="CY44" s="586" t="s">
        <v>16</v>
      </c>
      <c r="CZ44" s="586" t="s">
        <v>16</v>
      </c>
      <c r="DA44" s="586" t="s">
        <v>16</v>
      </c>
      <c r="DB44" s="1433" t="s">
        <v>16</v>
      </c>
      <c r="DC44" s="580"/>
      <c r="DD44" s="390"/>
      <c r="DE44" s="390"/>
      <c r="DF44" s="628">
        <v>0.5</v>
      </c>
      <c r="DG44" s="580">
        <v>0.1</v>
      </c>
      <c r="DH44" s="628">
        <f t="shared" si="30"/>
        <v>0.5</v>
      </c>
      <c r="DI44" s="580"/>
      <c r="DJ44" s="390"/>
      <c r="DK44" s="390"/>
      <c r="DL44" s="390"/>
      <c r="DM44" s="390"/>
      <c r="DN44" s="628"/>
      <c r="DO44" s="593" t="s">
        <v>587</v>
      </c>
      <c r="DP44" s="614"/>
      <c r="DQ44" s="205"/>
      <c r="DR44" s="205"/>
      <c r="DS44" s="615"/>
      <c r="DT44" s="205"/>
      <c r="DU44" s="616"/>
      <c r="DV44" s="621">
        <v>0.2</v>
      </c>
      <c r="DW44" s="618">
        <v>0.4</v>
      </c>
      <c r="DX44" s="617">
        <v>0.4</v>
      </c>
      <c r="DY44" s="621">
        <v>0.4</v>
      </c>
      <c r="DZ44" s="618">
        <v>0.4</v>
      </c>
      <c r="EA44" s="617">
        <v>0.4</v>
      </c>
      <c r="EB44" s="621">
        <v>0.4</v>
      </c>
      <c r="EC44" s="618">
        <v>0.4</v>
      </c>
      <c r="ED44" s="617">
        <v>0.4</v>
      </c>
      <c r="EE44" s="621">
        <v>0.4</v>
      </c>
      <c r="EF44" s="618">
        <v>0.4</v>
      </c>
      <c r="EG44" s="617">
        <v>0.4</v>
      </c>
      <c r="EH44" s="618">
        <v>0.2</v>
      </c>
      <c r="EI44" s="205"/>
      <c r="EJ44" s="205"/>
      <c r="EK44" s="615"/>
      <c r="EL44" s="205"/>
      <c r="EM44" s="613"/>
      <c r="EN44" s="614"/>
      <c r="EO44" s="205"/>
      <c r="EP44" s="205"/>
      <c r="EQ44" s="615"/>
      <c r="ER44" s="205"/>
      <c r="ES44" s="616"/>
      <c r="ET44" s="205"/>
      <c r="EU44" s="205"/>
      <c r="EV44" s="205"/>
      <c r="EW44" s="615"/>
      <c r="EX44" s="205"/>
      <c r="EY44" s="616"/>
      <c r="EZ44" s="205"/>
      <c r="FA44" s="205"/>
      <c r="FB44" s="205"/>
      <c r="FC44" s="615"/>
      <c r="FD44" s="205"/>
      <c r="FE44" s="616"/>
      <c r="FF44" s="205"/>
      <c r="FG44" s="205"/>
      <c r="FH44" s="205"/>
      <c r="FI44" s="615"/>
      <c r="FJ44" s="205"/>
      <c r="FK44" s="613"/>
      <c r="FL44" s="580" t="s">
        <v>575</v>
      </c>
      <c r="FM44" s="620">
        <v>0.8</v>
      </c>
      <c r="FN44" s="618">
        <v>0.8</v>
      </c>
      <c r="FO44" s="618">
        <v>0.8</v>
      </c>
      <c r="FP44" s="621">
        <v>0.8</v>
      </c>
      <c r="FQ44" s="618">
        <v>0.8</v>
      </c>
      <c r="FR44" s="617">
        <v>0.8</v>
      </c>
      <c r="FS44" s="618">
        <v>0.8</v>
      </c>
      <c r="FT44" s="618">
        <v>0.8</v>
      </c>
      <c r="FU44" s="618">
        <v>0.8</v>
      </c>
      <c r="FV44" s="621">
        <v>0.8</v>
      </c>
      <c r="FW44" s="618">
        <v>0.8</v>
      </c>
      <c r="FX44" s="622">
        <v>0.8</v>
      </c>
      <c r="FY44" s="587">
        <v>0</v>
      </c>
      <c r="FZ44" s="613">
        <f>365-(52*FY44)</f>
        <v>365</v>
      </c>
      <c r="GA44" s="620">
        <f t="shared" si="2"/>
        <v>13</v>
      </c>
      <c r="GB44" s="618">
        <f t="shared" si="3"/>
        <v>4.8</v>
      </c>
      <c r="GC44" s="618">
        <f t="shared" si="4"/>
        <v>4.3999999999999995</v>
      </c>
      <c r="GD44" s="618">
        <f t="shared" si="5"/>
        <v>0.4</v>
      </c>
      <c r="GE44" s="627">
        <f>SUMPRODUCT(FM44:FX44,FM$8:FX$8)/365</f>
        <v>0.80000000000000016</v>
      </c>
      <c r="GF44" s="205">
        <f t="shared" si="31"/>
        <v>4750</v>
      </c>
      <c r="GG44" s="205">
        <f t="shared" si="7"/>
        <v>4750</v>
      </c>
      <c r="GH44" s="463">
        <f>ROUND(GB44*FZ44*GE44,-1)</f>
        <v>1400</v>
      </c>
      <c r="GI44" s="620">
        <f t="shared" si="8"/>
        <v>0</v>
      </c>
      <c r="GJ44" s="618">
        <f t="shared" si="9"/>
        <v>0</v>
      </c>
      <c r="GK44" s="618">
        <f t="shared" si="10"/>
        <v>0</v>
      </c>
      <c r="GL44" s="463">
        <f>ROUND((GJ44*FZ44+GK44*(365-FZ44))*GE44,-1)</f>
        <v>0</v>
      </c>
      <c r="GM44" s="583"/>
      <c r="GO44" s="583"/>
      <c r="GP44" s="583" t="str">
        <f>Begriffe!$F$285</f>
        <v>- Der Klimakälteleistungsbedarf und der jährliche Klimakältebedarf gelten für Räume ohne unterstützende Fensterlüftung</v>
      </c>
      <c r="GQ44" s="583"/>
      <c r="GR44" s="583" t="str">
        <f>Begriffe!$F$332</f>
        <v>- Wasser- und Warmwasserbedarf werden durch die Hauptnutzung bestimmt</v>
      </c>
      <c r="HB44" s="379" t="s">
        <v>150</v>
      </c>
      <c r="HC44" s="390">
        <f t="shared" si="61"/>
        <v>1</v>
      </c>
      <c r="HD44" s="390">
        <f t="shared" si="61"/>
        <v>1</v>
      </c>
      <c r="HE44" s="390">
        <f t="shared" si="61"/>
        <v>1</v>
      </c>
      <c r="HF44" s="390">
        <f t="shared" si="61"/>
        <v>1</v>
      </c>
      <c r="HG44" s="390">
        <f t="shared" si="61"/>
        <v>1</v>
      </c>
      <c r="HH44" s="390">
        <f t="shared" si="61"/>
        <v>1</v>
      </c>
      <c r="HI44" s="390">
        <f t="shared" si="61"/>
        <v>1</v>
      </c>
      <c r="HJ44" s="390">
        <f t="shared" si="61"/>
        <v>1</v>
      </c>
      <c r="HK44" s="390">
        <f t="shared" si="61"/>
        <v>1</v>
      </c>
      <c r="HL44" s="390">
        <f t="shared" si="61"/>
        <v>1</v>
      </c>
      <c r="HM44" s="390">
        <f t="shared" si="61"/>
        <v>1</v>
      </c>
      <c r="HN44" s="390">
        <f t="shared" si="61"/>
        <v>1</v>
      </c>
      <c r="HO44" s="390">
        <f>SUM(HC44:HN44)/12</f>
        <v>1</v>
      </c>
      <c r="HQ44" s="390">
        <v>0</v>
      </c>
      <c r="HS44" s="541">
        <v>0</v>
      </c>
      <c r="HT44" s="541">
        <v>0</v>
      </c>
      <c r="HU44" s="600">
        <v>1</v>
      </c>
      <c r="HV44" s="600">
        <v>1</v>
      </c>
      <c r="HW44" s="600">
        <v>1</v>
      </c>
      <c r="HX44" s="600">
        <v>1</v>
      </c>
      <c r="HY44" s="600">
        <v>1</v>
      </c>
      <c r="HZ44" s="379">
        <v>12</v>
      </c>
      <c r="IA44" s="379">
        <v>14</v>
      </c>
      <c r="IB44" s="390">
        <v>0.7</v>
      </c>
      <c r="IC44" s="390">
        <v>3</v>
      </c>
      <c r="ID44" s="1439">
        <v>0.26470588235294118</v>
      </c>
      <c r="IE44" s="1440">
        <f t="shared" si="32"/>
        <v>15.705882352941178</v>
      </c>
    </row>
    <row r="45" spans="1:239" s="379" customFormat="1" ht="12" customHeight="1">
      <c r="A45" s="1641">
        <v>12.04</v>
      </c>
      <c r="B45" s="539">
        <v>20</v>
      </c>
      <c r="C45" s="463" t="str">
        <f>Begriffe!F170</f>
        <v>Nebenraum</v>
      </c>
      <c r="D45" s="620">
        <v>4</v>
      </c>
      <c r="E45" s="618">
        <v>5</v>
      </c>
      <c r="F45" s="618">
        <v>2.5</v>
      </c>
      <c r="G45" s="205">
        <f t="shared" si="33"/>
        <v>20</v>
      </c>
      <c r="H45" s="205">
        <v>11.764705882352942</v>
      </c>
      <c r="I45" s="390">
        <v>30</v>
      </c>
      <c r="J45" s="1439">
        <v>0.75</v>
      </c>
      <c r="K45" s="628">
        <f t="shared" si="12"/>
        <v>40</v>
      </c>
      <c r="L45" s="630">
        <v>1</v>
      </c>
      <c r="M45" s="595">
        <v>0.8</v>
      </c>
      <c r="N45" s="595">
        <v>1.5</v>
      </c>
      <c r="O45" s="1439">
        <v>0.17</v>
      </c>
      <c r="P45" s="595">
        <v>0.1</v>
      </c>
      <c r="Q45" s="595">
        <v>0.8</v>
      </c>
      <c r="R45" s="1439">
        <v>0.5</v>
      </c>
      <c r="S45" s="1439">
        <v>0.5</v>
      </c>
      <c r="T45" s="1439">
        <v>0.65</v>
      </c>
      <c r="U45" s="1439">
        <v>0.14000000000000001</v>
      </c>
      <c r="V45" s="1439">
        <v>0.1</v>
      </c>
      <c r="W45" s="1439">
        <v>0.2</v>
      </c>
      <c r="X45" s="390">
        <v>0.7</v>
      </c>
      <c r="Y45" s="390">
        <v>0.9</v>
      </c>
      <c r="Z45" s="390">
        <v>90</v>
      </c>
      <c r="AA45" s="598">
        <v>114.4</v>
      </c>
      <c r="AB45" s="582"/>
      <c r="AC45" s="1440">
        <v>18</v>
      </c>
      <c r="AD45" s="1440"/>
      <c r="AE45" s="1440">
        <v>20</v>
      </c>
      <c r="AF45" s="578" t="s">
        <v>193</v>
      </c>
      <c r="AG45" s="1456" t="s">
        <v>124</v>
      </c>
      <c r="AH45" s="1456"/>
      <c r="AI45" s="1457"/>
      <c r="AJ45" s="1659" t="str">
        <f>Begriffe!F$245</f>
        <v>keine</v>
      </c>
      <c r="AK45" s="1456">
        <v>0</v>
      </c>
      <c r="AL45" s="1456" t="str">
        <f t="shared" si="56"/>
        <v/>
      </c>
      <c r="AM45" s="1456" t="str">
        <f t="shared" si="14"/>
        <v/>
      </c>
      <c r="AN45" s="1457" t="str">
        <f t="shared" si="15"/>
        <v/>
      </c>
      <c r="AO45" s="1458"/>
      <c r="AP45" s="580"/>
      <c r="AQ45" s="595">
        <v>1.2</v>
      </c>
      <c r="AR45" s="595"/>
      <c r="AS45" s="595">
        <v>1</v>
      </c>
      <c r="AT45" s="598">
        <f t="shared" si="16"/>
        <v>84</v>
      </c>
      <c r="AU45" s="598">
        <v>115</v>
      </c>
      <c r="AV45" s="598">
        <f t="shared" si="18"/>
        <v>51</v>
      </c>
      <c r="AW45" s="598">
        <v>67</v>
      </c>
      <c r="AX45" s="632"/>
      <c r="AY45" s="580"/>
      <c r="AZ45" s="390"/>
      <c r="BA45" s="390"/>
      <c r="BB45" s="390"/>
      <c r="BC45" s="390"/>
      <c r="BD45" s="390"/>
      <c r="BE45" s="390">
        <f t="shared" si="57"/>
        <v>0</v>
      </c>
      <c r="BF45" s="390">
        <f t="shared" si="58"/>
        <v>0</v>
      </c>
      <c r="BG45" s="390">
        <f t="shared" si="59"/>
        <v>0</v>
      </c>
      <c r="BH45" s="613">
        <v>0</v>
      </c>
      <c r="BI45" s="1460">
        <f t="shared" si="23"/>
        <v>0</v>
      </c>
      <c r="BJ45" s="390">
        <v>20</v>
      </c>
      <c r="BK45" s="595">
        <f t="shared" si="24"/>
        <v>0</v>
      </c>
      <c r="BL45" s="580">
        <f t="shared" si="34"/>
        <v>100</v>
      </c>
      <c r="BM45" s="595">
        <v>1</v>
      </c>
      <c r="BN45" s="390">
        <v>100</v>
      </c>
      <c r="BO45" s="390" t="str">
        <f>Begriffe!$F$209</f>
        <v>SP</v>
      </c>
      <c r="BP45" s="1825">
        <v>0.4</v>
      </c>
      <c r="BQ45" s="595">
        <v>0.5</v>
      </c>
      <c r="BR45" s="627">
        <v>0.05</v>
      </c>
      <c r="BS45" s="1120">
        <v>90</v>
      </c>
      <c r="BT45" s="1120">
        <v>130</v>
      </c>
      <c r="BU45" s="598">
        <f t="shared" si="38"/>
        <v>11</v>
      </c>
      <c r="BV45" s="629">
        <f t="shared" si="25"/>
        <v>2</v>
      </c>
      <c r="BW45" s="582"/>
      <c r="BX45" s="595"/>
      <c r="BY45" s="390"/>
      <c r="BZ45" s="595">
        <v>0.5</v>
      </c>
      <c r="CA45" s="595"/>
      <c r="CB45" s="595">
        <f t="shared" si="1"/>
        <v>0.5</v>
      </c>
      <c r="CC45" s="390">
        <v>0</v>
      </c>
      <c r="CD45" s="1439">
        <v>0.15</v>
      </c>
      <c r="CE45" s="1439">
        <v>0.3</v>
      </c>
      <c r="CF45" s="379" t="str">
        <f t="shared" si="28"/>
        <v>IDA-C3</v>
      </c>
      <c r="CG45" s="379" t="str">
        <f t="shared" si="29"/>
        <v>IDA-C4</v>
      </c>
      <c r="CI45" s="379" t="str">
        <f>IF(CF45="IDA-C3",Begriffe!$F$248,IF(Eingabedaten!CF45="IDA-C4",Begriffe!$F$249,IF(Eingabedaten!CF45="IDA-C6",Begriffe!$F$250,"")))</f>
        <v>einstufig</v>
      </c>
      <c r="CJ45" s="379" t="str">
        <f>IF(CG45="IDA-C3",Begriffe!$F$248,IF(Eingabedaten!CG45="IDA-C4",Begriffe!$F$249,IF(Eingabedaten!CG45="IDA-C6",Begriffe!$F$250,"")))</f>
        <v>zweistufig</v>
      </c>
      <c r="CK45" s="379" t="str">
        <f>IF(CH45="IDA-C3",Begriffe!$F$248,IF(Eingabedaten!CH45="IDA-C4",Begriffe!$F$249,IF(Eingabedaten!CH45="IDA-C6",Begriffe!$F$250,"")))</f>
        <v/>
      </c>
      <c r="CL45" s="1439"/>
      <c r="CM45" s="1439"/>
      <c r="CN45" s="1439"/>
      <c r="CO45" s="1439"/>
      <c r="CP45" s="1439"/>
      <c r="CQ45" s="1461"/>
      <c r="CR45" s="586" t="str">
        <f>Begriffe!$F$251</f>
        <v>Einfache Lüftungsanlage</v>
      </c>
      <c r="CS45" s="586">
        <v>0.41</v>
      </c>
      <c r="CT45" s="586">
        <v>0.28000000000000003</v>
      </c>
      <c r="CU45" s="586">
        <v>0.16600000000000001</v>
      </c>
      <c r="CV45" s="1433">
        <v>0.4</v>
      </c>
      <c r="CW45" s="1469" t="s">
        <v>16</v>
      </c>
      <c r="CX45" s="586" t="s">
        <v>16</v>
      </c>
      <c r="CY45" s="586" t="s">
        <v>16</v>
      </c>
      <c r="CZ45" s="586" t="s">
        <v>16</v>
      </c>
      <c r="DA45" s="586" t="s">
        <v>16</v>
      </c>
      <c r="DB45" s="1433" t="s">
        <v>16</v>
      </c>
      <c r="DC45" s="580"/>
      <c r="DD45" s="390"/>
      <c r="DE45" s="390"/>
      <c r="DF45" s="628">
        <v>0.5</v>
      </c>
      <c r="DG45" s="580">
        <v>0.1</v>
      </c>
      <c r="DH45" s="628">
        <f t="shared" si="30"/>
        <v>0.5</v>
      </c>
      <c r="DI45" s="580"/>
      <c r="DJ45" s="390"/>
      <c r="DK45" s="390"/>
      <c r="DL45" s="390"/>
      <c r="DM45" s="390"/>
      <c r="DN45" s="628"/>
      <c r="DO45" s="593" t="s">
        <v>587</v>
      </c>
      <c r="DP45" s="614"/>
      <c r="DQ45" s="205"/>
      <c r="DR45" s="205"/>
      <c r="DS45" s="615"/>
      <c r="DT45" s="205"/>
      <c r="DU45" s="616"/>
      <c r="DV45" s="621">
        <v>0.2</v>
      </c>
      <c r="DW45" s="618">
        <v>0.4</v>
      </c>
      <c r="DX45" s="617">
        <v>0.4</v>
      </c>
      <c r="DY45" s="621">
        <v>0.4</v>
      </c>
      <c r="DZ45" s="618">
        <v>0.4</v>
      </c>
      <c r="EA45" s="617">
        <v>0.4</v>
      </c>
      <c r="EB45" s="621">
        <v>0.4</v>
      </c>
      <c r="EC45" s="618">
        <v>0.4</v>
      </c>
      <c r="ED45" s="617">
        <v>0.4</v>
      </c>
      <c r="EE45" s="621">
        <v>0.4</v>
      </c>
      <c r="EF45" s="618">
        <v>0.4</v>
      </c>
      <c r="EG45" s="617">
        <v>0.4</v>
      </c>
      <c r="EH45" s="618">
        <v>0.2</v>
      </c>
      <c r="EI45" s="205"/>
      <c r="EJ45" s="205"/>
      <c r="EK45" s="615"/>
      <c r="EL45" s="205"/>
      <c r="EM45" s="613"/>
      <c r="EN45" s="614"/>
      <c r="EO45" s="205"/>
      <c r="EP45" s="205"/>
      <c r="EQ45" s="615"/>
      <c r="ER45" s="205"/>
      <c r="ES45" s="616"/>
      <c r="ET45" s="205"/>
      <c r="EU45" s="205"/>
      <c r="EV45" s="205"/>
      <c r="EW45" s="615"/>
      <c r="EX45" s="205"/>
      <c r="EY45" s="616"/>
      <c r="EZ45" s="205"/>
      <c r="FA45" s="205"/>
      <c r="FB45" s="205"/>
      <c r="FC45" s="615"/>
      <c r="FD45" s="205"/>
      <c r="FE45" s="616"/>
      <c r="FF45" s="205"/>
      <c r="FG45" s="205"/>
      <c r="FH45" s="205"/>
      <c r="FI45" s="615"/>
      <c r="FJ45" s="205"/>
      <c r="FK45" s="613"/>
      <c r="FL45" s="580" t="s">
        <v>575</v>
      </c>
      <c r="FM45" s="620">
        <v>0.8</v>
      </c>
      <c r="FN45" s="618">
        <v>0.8</v>
      </c>
      <c r="FO45" s="618">
        <v>0.8</v>
      </c>
      <c r="FP45" s="621">
        <v>0.8</v>
      </c>
      <c r="FQ45" s="618">
        <v>0.8</v>
      </c>
      <c r="FR45" s="617">
        <v>0.8</v>
      </c>
      <c r="FS45" s="618">
        <v>0.8</v>
      </c>
      <c r="FT45" s="618">
        <v>0.8</v>
      </c>
      <c r="FU45" s="618">
        <v>0.8</v>
      </c>
      <c r="FV45" s="621">
        <v>0.8</v>
      </c>
      <c r="FW45" s="618">
        <v>0.8</v>
      </c>
      <c r="FX45" s="622">
        <v>0.8</v>
      </c>
      <c r="FY45" s="587">
        <v>0</v>
      </c>
      <c r="FZ45" s="613">
        <f t="shared" ref="FZ45:FZ53" si="62">365-(52*FY45)</f>
        <v>365</v>
      </c>
      <c r="GA45" s="620">
        <f t="shared" si="2"/>
        <v>13</v>
      </c>
      <c r="GB45" s="618">
        <f t="shared" si="3"/>
        <v>4.8</v>
      </c>
      <c r="GC45" s="618">
        <f t="shared" si="4"/>
        <v>4.3999999999999995</v>
      </c>
      <c r="GD45" s="618">
        <f t="shared" si="5"/>
        <v>0.4</v>
      </c>
      <c r="GE45" s="627">
        <f t="shared" ref="GE45:GE53" si="63">SUMPRODUCT(FM45:FX45,FM$8:FX$8)/365</f>
        <v>0.80000000000000016</v>
      </c>
      <c r="GF45" s="205">
        <f t="shared" si="31"/>
        <v>4750</v>
      </c>
      <c r="GG45" s="205">
        <f t="shared" si="7"/>
        <v>4750</v>
      </c>
      <c r="GH45" s="613">
        <f t="shared" ref="GH45:GH53" si="64">ROUND(GB45*FZ45*GE45,-1)</f>
        <v>1400</v>
      </c>
      <c r="GI45" s="620">
        <f t="shared" si="8"/>
        <v>0</v>
      </c>
      <c r="GJ45" s="618">
        <f t="shared" si="9"/>
        <v>0</v>
      </c>
      <c r="GK45" s="618">
        <f t="shared" si="10"/>
        <v>0</v>
      </c>
      <c r="GL45" s="613">
        <f t="shared" ref="GL45:GL53" si="65">ROUND((GJ45*FZ45+GK45*(365-FZ45))*GE45,-1)</f>
        <v>0</v>
      </c>
      <c r="GM45" s="1533"/>
      <c r="GO45" s="379" t="str">
        <f>IF(CH45=0,Begriffe!$F$297,"")</f>
        <v>- Keine Lüftungsanlage im Bestand</v>
      </c>
      <c r="GP45" s="583" t="str">
        <f>Begriffe!$F$285</f>
        <v>- Der Klimakälteleistungsbedarf und der jährliche Klimakältebedarf gelten für Räume ohne unterstützende Fensterlüftung</v>
      </c>
      <c r="GQ45" s="583"/>
      <c r="GR45" s="583" t="str">
        <f>Begriffe!$F$332</f>
        <v>- Wasser- und Warmwasserbedarf werden durch die Hauptnutzung bestimmt</v>
      </c>
      <c r="HB45" s="390" t="s">
        <v>123</v>
      </c>
      <c r="HC45" s="390">
        <f t="shared" si="61"/>
        <v>0.8</v>
      </c>
      <c r="HD45" s="390">
        <f t="shared" si="61"/>
        <v>0.6</v>
      </c>
      <c r="HE45" s="390">
        <f t="shared" si="61"/>
        <v>1</v>
      </c>
      <c r="HF45" s="390">
        <f t="shared" si="61"/>
        <v>0.8</v>
      </c>
      <c r="HG45" s="390">
        <f t="shared" si="61"/>
        <v>0.6</v>
      </c>
      <c r="HH45" s="390">
        <f t="shared" si="61"/>
        <v>1</v>
      </c>
      <c r="HI45" s="390">
        <f t="shared" si="61"/>
        <v>0.6</v>
      </c>
      <c r="HJ45" s="390">
        <f t="shared" si="61"/>
        <v>0.6</v>
      </c>
      <c r="HK45" s="390">
        <f t="shared" si="61"/>
        <v>1</v>
      </c>
      <c r="HL45" s="390">
        <f t="shared" si="61"/>
        <v>0.8</v>
      </c>
      <c r="HM45" s="390">
        <f t="shared" si="61"/>
        <v>1</v>
      </c>
      <c r="HN45" s="390">
        <f t="shared" si="61"/>
        <v>0.6</v>
      </c>
      <c r="HO45" s="390">
        <f>SUM(HC45:HN45)/12</f>
        <v>0.78333333333333333</v>
      </c>
      <c r="HQ45" s="390">
        <v>2</v>
      </c>
      <c r="HS45" s="541">
        <v>0</v>
      </c>
      <c r="HT45" s="541">
        <v>0</v>
      </c>
      <c r="HU45" s="600">
        <v>1</v>
      </c>
      <c r="HV45" s="600">
        <v>1</v>
      </c>
      <c r="HW45" s="600">
        <v>1</v>
      </c>
      <c r="HX45" s="600">
        <v>1</v>
      </c>
      <c r="HY45" s="600">
        <v>1</v>
      </c>
      <c r="HZ45" s="379">
        <v>12</v>
      </c>
      <c r="IA45" s="379">
        <v>14</v>
      </c>
      <c r="IB45" s="390">
        <v>0.7</v>
      </c>
      <c r="IC45" s="390">
        <v>3</v>
      </c>
      <c r="ID45" s="1439">
        <v>0.52941176470588236</v>
      </c>
      <c r="IE45" s="1440">
        <f t="shared" si="32"/>
        <v>19.411764705882355</v>
      </c>
    </row>
    <row r="46" spans="1:239" s="390" customFormat="1" ht="12" customHeight="1">
      <c r="A46" s="1630">
        <v>12.05</v>
      </c>
      <c r="B46" s="1649"/>
      <c r="C46" s="628" t="str">
        <f>Begriffe!F171</f>
        <v>Küche, Teeküche</v>
      </c>
      <c r="D46" s="630">
        <v>4</v>
      </c>
      <c r="E46" s="595">
        <v>5</v>
      </c>
      <c r="F46" s="595">
        <v>2.5</v>
      </c>
      <c r="G46" s="598">
        <f t="shared" si="33"/>
        <v>20</v>
      </c>
      <c r="H46" s="205">
        <v>11.764705882352942</v>
      </c>
      <c r="I46" s="390">
        <v>30</v>
      </c>
      <c r="J46" s="1439">
        <v>0.75</v>
      </c>
      <c r="K46" s="628">
        <f t="shared" si="12"/>
        <v>40</v>
      </c>
      <c r="L46" s="630">
        <v>1</v>
      </c>
      <c r="M46" s="595">
        <v>0.8</v>
      </c>
      <c r="N46" s="595">
        <v>1.5</v>
      </c>
      <c r="O46" s="1439">
        <v>0.17</v>
      </c>
      <c r="P46" s="595">
        <v>0.1</v>
      </c>
      <c r="Q46" s="595">
        <v>0.8</v>
      </c>
      <c r="R46" s="1439">
        <v>0.5</v>
      </c>
      <c r="S46" s="1439">
        <v>0.5</v>
      </c>
      <c r="T46" s="1439">
        <v>0.65</v>
      </c>
      <c r="U46" s="1439">
        <v>0.14000000000000001</v>
      </c>
      <c r="V46" s="1439">
        <v>0.1</v>
      </c>
      <c r="W46" s="1439">
        <v>0.2</v>
      </c>
      <c r="X46" s="390">
        <v>0.7</v>
      </c>
      <c r="Y46" s="390">
        <v>0.9</v>
      </c>
      <c r="Z46" s="390">
        <v>90</v>
      </c>
      <c r="AA46" s="598">
        <v>114.4</v>
      </c>
      <c r="AB46" s="582"/>
      <c r="AC46" s="1440">
        <v>21</v>
      </c>
      <c r="AD46" s="1440"/>
      <c r="AE46" s="1440">
        <v>22</v>
      </c>
      <c r="AF46" s="578" t="s">
        <v>22</v>
      </c>
      <c r="AG46" s="1456" t="s">
        <v>124</v>
      </c>
      <c r="AH46" s="1456"/>
      <c r="AI46" s="1457"/>
      <c r="AJ46" s="1659" t="str">
        <f>Begriffe!F$247</f>
        <v>gering</v>
      </c>
      <c r="AK46" s="1456">
        <v>1</v>
      </c>
      <c r="AL46" s="1456">
        <f t="shared" ref="AL46:AL49" si="66">IF(AK46=2,33,IF(AK46=1,38,""))</f>
        <v>38</v>
      </c>
      <c r="AM46" s="1456">
        <f t="shared" si="14"/>
        <v>43</v>
      </c>
      <c r="AN46" s="1457">
        <f t="shared" si="15"/>
        <v>33</v>
      </c>
      <c r="AO46" s="1458">
        <v>0.6</v>
      </c>
      <c r="AP46" s="580">
        <v>2</v>
      </c>
      <c r="AQ46" s="595">
        <v>1.2</v>
      </c>
      <c r="AR46" s="595"/>
      <c r="AS46" s="595">
        <v>1</v>
      </c>
      <c r="AT46" s="598">
        <f t="shared" si="16"/>
        <v>84</v>
      </c>
      <c r="AU46" s="598">
        <f t="shared" si="17"/>
        <v>94</v>
      </c>
      <c r="AV46" s="598">
        <f t="shared" si="18"/>
        <v>51</v>
      </c>
      <c r="AW46" s="598">
        <f t="shared" si="19"/>
        <v>66</v>
      </c>
      <c r="AX46" s="629">
        <v>10</v>
      </c>
      <c r="AY46" s="580">
        <v>40</v>
      </c>
      <c r="AZ46" s="390">
        <v>30</v>
      </c>
      <c r="BA46" s="390">
        <v>50</v>
      </c>
      <c r="BE46" s="390">
        <f t="shared" si="57"/>
        <v>40</v>
      </c>
      <c r="BF46" s="390">
        <f t="shared" si="58"/>
        <v>30</v>
      </c>
      <c r="BG46" s="390">
        <f t="shared" si="59"/>
        <v>50</v>
      </c>
      <c r="BH46" s="629">
        <v>10</v>
      </c>
      <c r="BI46" s="1460">
        <f t="shared" si="23"/>
        <v>40</v>
      </c>
      <c r="BJ46" s="390">
        <v>200</v>
      </c>
      <c r="BK46" s="595">
        <f t="shared" si="24"/>
        <v>5</v>
      </c>
      <c r="BL46" s="580">
        <f t="shared" si="34"/>
        <v>200</v>
      </c>
      <c r="BM46" s="595">
        <v>1</v>
      </c>
      <c r="BN46" s="390">
        <v>200</v>
      </c>
      <c r="BO46" s="390" t="str">
        <f>Begriffe!$F$209</f>
        <v>SP</v>
      </c>
      <c r="BP46" s="1825">
        <v>0.4</v>
      </c>
      <c r="BQ46" s="595">
        <v>0.5</v>
      </c>
      <c r="BR46" s="1439">
        <v>0.75</v>
      </c>
      <c r="BS46" s="1807">
        <v>90</v>
      </c>
      <c r="BT46" s="1807">
        <v>130</v>
      </c>
      <c r="BU46" s="598">
        <f t="shared" si="38"/>
        <v>11</v>
      </c>
      <c r="BV46" s="629">
        <f t="shared" si="25"/>
        <v>0</v>
      </c>
      <c r="BW46" s="582" t="s">
        <v>380</v>
      </c>
      <c r="BX46" s="595">
        <f>IF(BW46="I",57/1.2*AQ46,IF(BW46="II",29/1.2*AQ46,15/1.2*AQ46))</f>
        <v>29</v>
      </c>
      <c r="BZ46" s="1656">
        <f>BX46/AP46</f>
        <v>14.5</v>
      </c>
      <c r="CA46" s="595">
        <v>10</v>
      </c>
      <c r="CB46" s="595">
        <f t="shared" si="1"/>
        <v>14.5</v>
      </c>
      <c r="CC46" s="390">
        <v>0</v>
      </c>
      <c r="CD46" s="1439">
        <v>0.15</v>
      </c>
      <c r="CE46" s="1439">
        <v>0.3</v>
      </c>
      <c r="CF46" s="379" t="str">
        <f t="shared" si="28"/>
        <v>IDA-C6</v>
      </c>
      <c r="CG46" s="379" t="str">
        <f t="shared" si="29"/>
        <v>IDA-C6</v>
      </c>
      <c r="CH46" s="379" t="str">
        <f t="shared" ref="CH46:CH50" si="67">IF(CB46&lt;3,"IDA-C3","IDA-C4")</f>
        <v>IDA-C4</v>
      </c>
      <c r="CI46" s="379" t="str">
        <f>IF(CF46="IDA-C3",Begriffe!$F$248,IF(Eingabedaten!CF46="IDA-C4",Begriffe!$F$249,IF(Eingabedaten!CF46="IDA-C6",Begriffe!$F$250,"")))</f>
        <v>stufenlos</v>
      </c>
      <c r="CJ46" s="379" t="str">
        <f>IF(CG46="IDA-C3",Begriffe!$F$248,IF(Eingabedaten!CG46="IDA-C4",Begriffe!$F$249,IF(Eingabedaten!CG46="IDA-C6",Begriffe!$F$250,"")))</f>
        <v>stufenlos</v>
      </c>
      <c r="CK46" s="379" t="str">
        <f>IF(CH46="IDA-C3",Begriffe!$F$248,IF(Eingabedaten!CH46="IDA-C4",Begriffe!$F$249,IF(Eingabedaten!CH46="IDA-C6",Begriffe!$F$250,"")))</f>
        <v>zweistufig</v>
      </c>
      <c r="CL46" s="1439">
        <v>0.73</v>
      </c>
      <c r="CM46" s="1439">
        <v>0.78</v>
      </c>
      <c r="CN46" s="1439"/>
      <c r="CO46" s="1439">
        <v>0.7</v>
      </c>
      <c r="CP46" s="1439">
        <v>0.75</v>
      </c>
      <c r="CQ46" s="1461"/>
      <c r="CR46" s="579" t="str">
        <f>Begriffe!$F$252</f>
        <v>Einfache Klimaanlage</v>
      </c>
      <c r="CS46" s="579">
        <v>0.91</v>
      </c>
      <c r="CT46" s="1462">
        <v>0.55000000000000004</v>
      </c>
      <c r="CU46" s="1462">
        <v>0.34</v>
      </c>
      <c r="CV46" s="1463">
        <v>0.91</v>
      </c>
      <c r="CW46" s="1464" t="s">
        <v>16</v>
      </c>
      <c r="CX46" s="579" t="s">
        <v>16</v>
      </c>
      <c r="CY46" s="579" t="s">
        <v>16</v>
      </c>
      <c r="CZ46" s="579" t="s">
        <v>16</v>
      </c>
      <c r="DA46" s="579" t="s">
        <v>16</v>
      </c>
      <c r="DB46" s="1465" t="s">
        <v>16</v>
      </c>
      <c r="DC46" s="580">
        <v>100</v>
      </c>
      <c r="DD46" s="390">
        <v>125</v>
      </c>
      <c r="DE46" s="390">
        <v>75</v>
      </c>
      <c r="DF46" s="628">
        <v>0.5</v>
      </c>
      <c r="DG46" s="580">
        <v>0.1</v>
      </c>
      <c r="DH46" s="628">
        <f t="shared" si="30"/>
        <v>0.5</v>
      </c>
      <c r="DI46" s="580"/>
      <c r="DN46" s="628"/>
      <c r="DO46" s="593" t="s">
        <v>588</v>
      </c>
      <c r="DP46" s="1460"/>
      <c r="DQ46" s="598"/>
      <c r="DR46" s="598"/>
      <c r="DS46" s="1534"/>
      <c r="DT46" s="598"/>
      <c r="DU46" s="1535"/>
      <c r="DV46" s="598"/>
      <c r="DW46" s="595">
        <v>0.2</v>
      </c>
      <c r="DX46" s="595">
        <v>0.2</v>
      </c>
      <c r="DY46" s="1459">
        <v>0.2</v>
      </c>
      <c r="DZ46" s="595">
        <v>0.4</v>
      </c>
      <c r="EA46" s="1466">
        <v>0.8</v>
      </c>
      <c r="EB46" s="1459">
        <v>1</v>
      </c>
      <c r="EC46" s="595">
        <v>0.8</v>
      </c>
      <c r="ED46" s="1466">
        <v>0.4</v>
      </c>
      <c r="EE46" s="1459">
        <v>0.2</v>
      </c>
      <c r="EF46" s="595">
        <v>0.2</v>
      </c>
      <c r="EG46" s="1466">
        <v>0.2</v>
      </c>
      <c r="EH46" s="598"/>
      <c r="EI46" s="598"/>
      <c r="EJ46" s="598"/>
      <c r="EK46" s="1534"/>
      <c r="EL46" s="598"/>
      <c r="EM46" s="629"/>
      <c r="EN46" s="630">
        <v>0.1</v>
      </c>
      <c r="EO46" s="595">
        <v>0.1</v>
      </c>
      <c r="EP46" s="631">
        <v>0.1</v>
      </c>
      <c r="EQ46" s="595">
        <v>0.1</v>
      </c>
      <c r="ER46" s="595">
        <v>0.1</v>
      </c>
      <c r="ES46" s="631">
        <v>0.1</v>
      </c>
      <c r="ET46" s="595">
        <v>0.1</v>
      </c>
      <c r="EU46" s="595">
        <v>0.2</v>
      </c>
      <c r="EV46" s="595">
        <v>0.2</v>
      </c>
      <c r="EW46" s="1459">
        <v>0.2</v>
      </c>
      <c r="EX46" s="595">
        <v>0.4</v>
      </c>
      <c r="EY46" s="1466">
        <v>0.8</v>
      </c>
      <c r="EZ46" s="595">
        <v>1</v>
      </c>
      <c r="FA46" s="595">
        <v>0.8</v>
      </c>
      <c r="FB46" s="595">
        <v>0.4</v>
      </c>
      <c r="FC46" s="1459">
        <v>0.2</v>
      </c>
      <c r="FD46" s="595">
        <v>0.2</v>
      </c>
      <c r="FE46" s="1466">
        <v>0.2</v>
      </c>
      <c r="FF46" s="595">
        <v>0.1</v>
      </c>
      <c r="FG46" s="595">
        <v>0.1</v>
      </c>
      <c r="FH46" s="631">
        <v>0.1</v>
      </c>
      <c r="FI46" s="595">
        <v>0.1</v>
      </c>
      <c r="FJ46" s="595">
        <v>0.1</v>
      </c>
      <c r="FK46" s="632">
        <v>0.1</v>
      </c>
      <c r="FL46" s="620" t="s">
        <v>575</v>
      </c>
      <c r="FM46" s="620">
        <v>0.8</v>
      </c>
      <c r="FN46" s="618">
        <v>0.8</v>
      </c>
      <c r="FO46" s="618">
        <v>0.8</v>
      </c>
      <c r="FP46" s="621">
        <v>0.8</v>
      </c>
      <c r="FQ46" s="618">
        <v>0.8</v>
      </c>
      <c r="FR46" s="617">
        <v>0.8</v>
      </c>
      <c r="FS46" s="618">
        <v>0.8</v>
      </c>
      <c r="FT46" s="618">
        <v>0.8</v>
      </c>
      <c r="FU46" s="618">
        <v>0.8</v>
      </c>
      <c r="FV46" s="621">
        <v>0.8</v>
      </c>
      <c r="FW46" s="618">
        <v>0.8</v>
      </c>
      <c r="FX46" s="622">
        <v>0.8</v>
      </c>
      <c r="FY46" s="582">
        <v>2</v>
      </c>
      <c r="FZ46" s="613">
        <f t="shared" si="62"/>
        <v>261</v>
      </c>
      <c r="GA46" s="620">
        <f t="shared" si="2"/>
        <v>11</v>
      </c>
      <c r="GB46" s="618">
        <f t="shared" si="3"/>
        <v>4.5999999999999996</v>
      </c>
      <c r="GC46" s="618">
        <f t="shared" si="4"/>
        <v>4.5999999999999996</v>
      </c>
      <c r="GD46" s="618">
        <f t="shared" si="5"/>
        <v>0</v>
      </c>
      <c r="GE46" s="627">
        <f t="shared" si="63"/>
        <v>0.80000000000000016</v>
      </c>
      <c r="GF46" s="205">
        <f t="shared" si="31"/>
        <v>2870</v>
      </c>
      <c r="GG46" s="205">
        <f t="shared" si="7"/>
        <v>2870</v>
      </c>
      <c r="GH46" s="463">
        <f t="shared" si="64"/>
        <v>960</v>
      </c>
      <c r="GI46" s="620">
        <f t="shared" si="8"/>
        <v>24</v>
      </c>
      <c r="GJ46" s="618">
        <f t="shared" si="9"/>
        <v>5.8999999999999986</v>
      </c>
      <c r="GK46" s="618">
        <f t="shared" si="10"/>
        <v>2.4000000000000004</v>
      </c>
      <c r="GL46" s="463">
        <f t="shared" si="65"/>
        <v>1430</v>
      </c>
      <c r="GM46" s="260"/>
      <c r="GN46" s="260"/>
      <c r="GO46" s="260" t="str">
        <f>Begriffe!$F$287</f>
        <v>- Richtwerte für den Abluft-Volumenstrom sind in SIA 382/1 definiert</v>
      </c>
      <c r="GP46" s="583" t="str">
        <f>Begriffe!$F$285</f>
        <v>- Der Klimakälteleistungsbedarf und der jährliche Klimakältebedarf gelten für Räume ohne unterstützende Fensterlüftung</v>
      </c>
      <c r="GQ46" s="583"/>
      <c r="GR46" s="583" t="str">
        <f>Begriffe!$F$332</f>
        <v>- Wasser- und Warmwasserbedarf werden durch die Hauptnutzung bestimmt</v>
      </c>
      <c r="HB46" s="390" t="s">
        <v>123</v>
      </c>
      <c r="HC46" s="390">
        <f t="shared" si="61"/>
        <v>0.8</v>
      </c>
      <c r="HD46" s="390">
        <f t="shared" si="61"/>
        <v>0.6</v>
      </c>
      <c r="HE46" s="390">
        <f t="shared" si="61"/>
        <v>1</v>
      </c>
      <c r="HF46" s="390">
        <f t="shared" si="61"/>
        <v>0.8</v>
      </c>
      <c r="HG46" s="390">
        <f t="shared" si="61"/>
        <v>0.6</v>
      </c>
      <c r="HH46" s="390">
        <f t="shared" si="61"/>
        <v>1</v>
      </c>
      <c r="HI46" s="390">
        <f t="shared" si="61"/>
        <v>0.6</v>
      </c>
      <c r="HJ46" s="390">
        <f t="shared" si="61"/>
        <v>0.6</v>
      </c>
      <c r="HK46" s="390">
        <f t="shared" si="61"/>
        <v>1</v>
      </c>
      <c r="HL46" s="390">
        <f t="shared" si="61"/>
        <v>0.8</v>
      </c>
      <c r="HM46" s="390">
        <f t="shared" si="61"/>
        <v>1</v>
      </c>
      <c r="HN46" s="390">
        <f t="shared" si="61"/>
        <v>0.6</v>
      </c>
      <c r="HO46" s="390">
        <f>SUM(HC46:HN46)/12</f>
        <v>0.78333333333333333</v>
      </c>
      <c r="HQ46" s="390">
        <v>2</v>
      </c>
      <c r="HS46" s="541">
        <v>0</v>
      </c>
      <c r="HT46" s="541">
        <v>0</v>
      </c>
      <c r="HU46" s="600">
        <v>1</v>
      </c>
      <c r="HV46" s="600">
        <v>1</v>
      </c>
      <c r="HW46" s="600">
        <v>1</v>
      </c>
      <c r="HX46" s="600">
        <v>1</v>
      </c>
      <c r="HY46" s="600">
        <v>1</v>
      </c>
      <c r="HZ46" s="379">
        <v>12</v>
      </c>
      <c r="IA46" s="379">
        <v>14</v>
      </c>
      <c r="IB46" s="390">
        <v>0.7</v>
      </c>
      <c r="IC46" s="390">
        <v>3</v>
      </c>
      <c r="ID46" s="1439">
        <v>0.52941176470588236</v>
      </c>
      <c r="IE46" s="1440">
        <f t="shared" si="32"/>
        <v>19.411764705882355</v>
      </c>
    </row>
    <row r="47" spans="1:239" s="379" customFormat="1" ht="12" customHeight="1">
      <c r="A47" s="1641">
        <v>12.06</v>
      </c>
      <c r="B47" s="539"/>
      <c r="C47" s="628" t="str">
        <f>Begriffe!F172</f>
        <v xml:space="preserve">WC, Bad, Dusche </v>
      </c>
      <c r="D47" s="620">
        <v>4</v>
      </c>
      <c r="E47" s="618">
        <v>5</v>
      </c>
      <c r="F47" s="618">
        <v>2.5</v>
      </c>
      <c r="G47" s="205">
        <f t="shared" si="33"/>
        <v>20</v>
      </c>
      <c r="H47" s="205">
        <v>11.764705882352942</v>
      </c>
      <c r="I47" s="390">
        <v>30</v>
      </c>
      <c r="J47" s="1439">
        <v>0.75</v>
      </c>
      <c r="K47" s="628">
        <f t="shared" si="12"/>
        <v>40</v>
      </c>
      <c r="L47" s="630">
        <v>1</v>
      </c>
      <c r="M47" s="595">
        <v>0.8</v>
      </c>
      <c r="N47" s="595">
        <v>1.5</v>
      </c>
      <c r="O47" s="1439">
        <v>0.17</v>
      </c>
      <c r="P47" s="595">
        <v>0.1</v>
      </c>
      <c r="Q47" s="595">
        <v>0.8</v>
      </c>
      <c r="R47" s="1439">
        <v>0.5</v>
      </c>
      <c r="S47" s="1439">
        <v>0.5</v>
      </c>
      <c r="T47" s="1439">
        <v>0.65</v>
      </c>
      <c r="U47" s="1439">
        <v>0.14000000000000001</v>
      </c>
      <c r="V47" s="1439">
        <v>0.1</v>
      </c>
      <c r="W47" s="1439">
        <v>0.2</v>
      </c>
      <c r="X47" s="390">
        <v>0.7</v>
      </c>
      <c r="Y47" s="390">
        <v>0.9</v>
      </c>
      <c r="Z47" s="390">
        <v>90</v>
      </c>
      <c r="AA47" s="598">
        <v>114.4</v>
      </c>
      <c r="AB47" s="582"/>
      <c r="AC47" s="1440">
        <v>21</v>
      </c>
      <c r="AD47" s="1440"/>
      <c r="AE47" s="1440">
        <v>22</v>
      </c>
      <c r="AF47" s="578" t="s">
        <v>193</v>
      </c>
      <c r="AG47" s="1456" t="s">
        <v>122</v>
      </c>
      <c r="AH47" s="1456"/>
      <c r="AI47" s="1457"/>
      <c r="AJ47" s="1659" t="str">
        <f>Begriffe!F$247</f>
        <v>gering</v>
      </c>
      <c r="AK47" s="1456">
        <v>1</v>
      </c>
      <c r="AL47" s="1456">
        <f t="shared" si="66"/>
        <v>38</v>
      </c>
      <c r="AM47" s="1456">
        <f t="shared" si="14"/>
        <v>43</v>
      </c>
      <c r="AN47" s="1457">
        <f t="shared" si="15"/>
        <v>33</v>
      </c>
      <c r="AO47" s="1458">
        <v>0.7</v>
      </c>
      <c r="AP47" s="637"/>
      <c r="AQ47" s="595">
        <v>1.2</v>
      </c>
      <c r="AR47" s="595"/>
      <c r="AS47" s="595">
        <v>1</v>
      </c>
      <c r="AT47" s="598">
        <f t="shared" si="16"/>
        <v>84</v>
      </c>
      <c r="AU47" s="598">
        <f t="shared" si="17"/>
        <v>94</v>
      </c>
      <c r="AV47" s="598">
        <f t="shared" si="18"/>
        <v>51</v>
      </c>
      <c r="AW47" s="598">
        <f t="shared" si="19"/>
        <v>66</v>
      </c>
      <c r="AX47" s="629">
        <v>10</v>
      </c>
      <c r="AY47" s="580"/>
      <c r="AZ47" s="390"/>
      <c r="BA47" s="390"/>
      <c r="BB47" s="390"/>
      <c r="BC47" s="390"/>
      <c r="BD47" s="390"/>
      <c r="BE47" s="390">
        <f t="shared" si="57"/>
        <v>0</v>
      </c>
      <c r="BF47" s="390">
        <f t="shared" si="58"/>
        <v>0</v>
      </c>
      <c r="BG47" s="390">
        <f t="shared" si="59"/>
        <v>0</v>
      </c>
      <c r="BH47" s="613">
        <v>0</v>
      </c>
      <c r="BI47" s="614">
        <f t="shared" si="23"/>
        <v>0</v>
      </c>
      <c r="BJ47" s="390">
        <v>50</v>
      </c>
      <c r="BK47" s="618">
        <f t="shared" si="24"/>
        <v>0</v>
      </c>
      <c r="BL47" s="637">
        <f t="shared" si="34"/>
        <v>200</v>
      </c>
      <c r="BM47" s="618">
        <v>1</v>
      </c>
      <c r="BN47" s="379">
        <v>200</v>
      </c>
      <c r="BO47" s="390" t="str">
        <f>Begriffe!$F$209</f>
        <v>SP</v>
      </c>
      <c r="BP47" s="1332">
        <v>0.4</v>
      </c>
      <c r="BQ47" s="618">
        <v>0.5</v>
      </c>
      <c r="BR47" s="627">
        <v>0.05</v>
      </c>
      <c r="BS47" s="1120">
        <v>90</v>
      </c>
      <c r="BT47" s="1120">
        <v>130</v>
      </c>
      <c r="BU47" s="598">
        <f t="shared" si="38"/>
        <v>11</v>
      </c>
      <c r="BV47" s="629">
        <f t="shared" si="25"/>
        <v>0</v>
      </c>
      <c r="BW47" s="582"/>
      <c r="BX47" s="595"/>
      <c r="BY47" s="390"/>
      <c r="BZ47" s="595">
        <v>8</v>
      </c>
      <c r="CA47" s="595"/>
      <c r="CB47" s="595">
        <f t="shared" si="1"/>
        <v>8</v>
      </c>
      <c r="CC47" s="390">
        <v>0</v>
      </c>
      <c r="CD47" s="1439">
        <v>0.15</v>
      </c>
      <c r="CE47" s="1439">
        <v>0.3</v>
      </c>
      <c r="CF47" s="379" t="str">
        <f t="shared" si="28"/>
        <v>IDA-C6</v>
      </c>
      <c r="CG47" s="379" t="str">
        <f t="shared" si="29"/>
        <v>IDA-C6</v>
      </c>
      <c r="CH47" s="379" t="str">
        <f t="shared" si="67"/>
        <v>IDA-C4</v>
      </c>
      <c r="CI47" s="379" t="str">
        <f>IF(CF47="IDA-C3",Begriffe!$F$248,IF(Eingabedaten!CF47="IDA-C4",Begriffe!$F$249,IF(Eingabedaten!CF47="IDA-C6",Begriffe!$F$250,"")))</f>
        <v>stufenlos</v>
      </c>
      <c r="CJ47" s="379" t="str">
        <f>IF(CG47="IDA-C3",Begriffe!$F$248,IF(Eingabedaten!CG47="IDA-C4",Begriffe!$F$249,IF(Eingabedaten!CG47="IDA-C6",Begriffe!$F$250,"")))</f>
        <v>stufenlos</v>
      </c>
      <c r="CK47" s="379" t="str">
        <f>IF(CH47="IDA-C3",Begriffe!$F$248,IF(Eingabedaten!CH47="IDA-C4",Begriffe!$F$249,IF(Eingabedaten!CH47="IDA-C6",Begriffe!$F$250,"")))</f>
        <v>zweistufig</v>
      </c>
      <c r="CL47" s="1439"/>
      <c r="CM47" s="1439"/>
      <c r="CN47" s="1439"/>
      <c r="CO47" s="1439"/>
      <c r="CP47" s="1439"/>
      <c r="CQ47" s="1461"/>
      <c r="CR47" s="586" t="str">
        <f>Begriffe!$F$251</f>
        <v>Einfache Lüftungsanlage</v>
      </c>
      <c r="CS47" s="586">
        <v>0.41</v>
      </c>
      <c r="CT47" s="586">
        <v>0.28000000000000003</v>
      </c>
      <c r="CU47" s="586">
        <v>0.16600000000000001</v>
      </c>
      <c r="CV47" s="1433">
        <v>0.4</v>
      </c>
      <c r="CW47" s="1469" t="s">
        <v>16</v>
      </c>
      <c r="CX47" s="586" t="s">
        <v>16</v>
      </c>
      <c r="CY47" s="586" t="s">
        <v>16</v>
      </c>
      <c r="CZ47" s="586" t="s">
        <v>16</v>
      </c>
      <c r="DA47" s="586" t="s">
        <v>16</v>
      </c>
      <c r="DB47" s="1433" t="s">
        <v>16</v>
      </c>
      <c r="DC47" s="580">
        <v>400</v>
      </c>
      <c r="DD47" s="390">
        <v>600</v>
      </c>
      <c r="DE47" s="390">
        <v>300</v>
      </c>
      <c r="DF47" s="628"/>
      <c r="DG47" s="580">
        <v>0.1</v>
      </c>
      <c r="DH47" s="628">
        <f t="shared" si="30"/>
        <v>0.5</v>
      </c>
      <c r="DI47" s="580"/>
      <c r="DJ47" s="390"/>
      <c r="DK47" s="390"/>
      <c r="DL47" s="390"/>
      <c r="DM47" s="390"/>
      <c r="DN47" s="628"/>
      <c r="DO47" s="593" t="s">
        <v>589</v>
      </c>
      <c r="DP47" s="614"/>
      <c r="DQ47" s="205"/>
      <c r="DR47" s="205"/>
      <c r="DS47" s="615"/>
      <c r="DT47" s="205"/>
      <c r="DU47" s="616"/>
      <c r="DV47" s="205"/>
      <c r="DW47" s="618">
        <v>0.2</v>
      </c>
      <c r="DX47" s="618">
        <v>0.4</v>
      </c>
      <c r="DY47" s="621">
        <v>0.6</v>
      </c>
      <c r="DZ47" s="618">
        <v>0.8</v>
      </c>
      <c r="EA47" s="617">
        <v>0.8</v>
      </c>
      <c r="EB47" s="618">
        <v>0.4</v>
      </c>
      <c r="EC47" s="618">
        <v>0.6</v>
      </c>
      <c r="ED47" s="618">
        <v>0.8</v>
      </c>
      <c r="EE47" s="621">
        <v>0.8</v>
      </c>
      <c r="EF47" s="618">
        <v>0.4</v>
      </c>
      <c r="EG47" s="617">
        <v>0.2</v>
      </c>
      <c r="EH47" s="205"/>
      <c r="EI47" s="205"/>
      <c r="EJ47" s="205"/>
      <c r="EK47" s="615"/>
      <c r="EL47" s="205"/>
      <c r="EM47" s="613"/>
      <c r="EN47" s="614"/>
      <c r="EO47" s="205"/>
      <c r="EP47" s="205"/>
      <c r="EQ47" s="615"/>
      <c r="ER47" s="205"/>
      <c r="ES47" s="616"/>
      <c r="ET47" s="205"/>
      <c r="EU47" s="205"/>
      <c r="EV47" s="205"/>
      <c r="EW47" s="615"/>
      <c r="EX47" s="205"/>
      <c r="EY47" s="616"/>
      <c r="EZ47" s="205"/>
      <c r="FA47" s="205"/>
      <c r="FB47" s="205"/>
      <c r="FC47" s="615"/>
      <c r="FD47" s="205"/>
      <c r="FE47" s="616"/>
      <c r="FF47" s="205"/>
      <c r="FG47" s="205"/>
      <c r="FH47" s="205"/>
      <c r="FI47" s="615"/>
      <c r="FJ47" s="205"/>
      <c r="FK47" s="613"/>
      <c r="FL47" s="580" t="s">
        <v>575</v>
      </c>
      <c r="FM47" s="620">
        <v>0.8</v>
      </c>
      <c r="FN47" s="618">
        <v>0.8</v>
      </c>
      <c r="FO47" s="618">
        <v>0.8</v>
      </c>
      <c r="FP47" s="621">
        <v>0.8</v>
      </c>
      <c r="FQ47" s="618">
        <v>0.8</v>
      </c>
      <c r="FR47" s="617">
        <v>0.8</v>
      </c>
      <c r="FS47" s="618">
        <v>0.8</v>
      </c>
      <c r="FT47" s="618">
        <v>0.8</v>
      </c>
      <c r="FU47" s="618">
        <v>0.8</v>
      </c>
      <c r="FV47" s="621">
        <v>0.8</v>
      </c>
      <c r="FW47" s="618">
        <v>0.8</v>
      </c>
      <c r="FX47" s="622">
        <v>0.8</v>
      </c>
      <c r="FY47" s="587">
        <v>2</v>
      </c>
      <c r="FZ47" s="613">
        <f t="shared" si="62"/>
        <v>261</v>
      </c>
      <c r="GA47" s="620">
        <f t="shared" si="2"/>
        <v>11</v>
      </c>
      <c r="GB47" s="618">
        <f t="shared" si="3"/>
        <v>6</v>
      </c>
      <c r="GC47" s="618">
        <f t="shared" si="4"/>
        <v>6</v>
      </c>
      <c r="GD47" s="618">
        <f t="shared" si="5"/>
        <v>0</v>
      </c>
      <c r="GE47" s="627">
        <f t="shared" si="63"/>
        <v>0.80000000000000016</v>
      </c>
      <c r="GF47" s="205">
        <f t="shared" si="31"/>
        <v>2870</v>
      </c>
      <c r="GG47" s="205">
        <f t="shared" si="7"/>
        <v>2870</v>
      </c>
      <c r="GH47" s="613">
        <f t="shared" si="64"/>
        <v>1250</v>
      </c>
      <c r="GI47" s="620">
        <f t="shared" si="8"/>
        <v>0</v>
      </c>
      <c r="GJ47" s="618">
        <f t="shared" si="9"/>
        <v>0</v>
      </c>
      <c r="GK47" s="618">
        <f t="shared" si="10"/>
        <v>0</v>
      </c>
      <c r="GL47" s="613">
        <f t="shared" si="65"/>
        <v>0</v>
      </c>
      <c r="GM47" s="1532" t="str">
        <f>Begriffe!$F$296</f>
        <v>- Beurteilungspegel für Dauergeräusche von Haustechnikanlagen in Abhängigkeit der zugehörigen Hauptnutzung</v>
      </c>
      <c r="GN47" s="594" t="str">
        <f>Begriffe!F292</f>
        <v>- Die Raumlufttemperatur Winter (Auslegung Heizung) richtet sich nach der zugehörigen Hauptnutzung</v>
      </c>
      <c r="GO47" s="260" t="str">
        <f>Begriffe!$F$287</f>
        <v>- Richtwerte für den Abluft-Volumenstrom sind in SIA 382/1 definiert</v>
      </c>
      <c r="GP47" s="583" t="str">
        <f>Begriffe!$F$285</f>
        <v>- Der Klimakälteleistungsbedarf und der jährliche Klimakältebedarf gelten für Räume ohne unterstützende Fensterlüftung</v>
      </c>
      <c r="GQ47" s="583"/>
      <c r="GR47" s="583" t="str">
        <f>Begriffe!$F$332</f>
        <v>- Wasser- und Warmwasserbedarf werden durch die Hauptnutzung bestimmt</v>
      </c>
      <c r="HB47" s="390" t="s">
        <v>123</v>
      </c>
      <c r="HC47" s="390">
        <f t="shared" si="61"/>
        <v>0.8</v>
      </c>
      <c r="HD47" s="390">
        <f t="shared" si="61"/>
        <v>0.6</v>
      </c>
      <c r="HE47" s="390">
        <f t="shared" si="61"/>
        <v>1</v>
      </c>
      <c r="HF47" s="390">
        <f t="shared" si="61"/>
        <v>0.8</v>
      </c>
      <c r="HG47" s="390">
        <f t="shared" si="61"/>
        <v>0.6</v>
      </c>
      <c r="HH47" s="390">
        <f t="shared" si="61"/>
        <v>1</v>
      </c>
      <c r="HI47" s="390">
        <f t="shared" si="61"/>
        <v>0.6</v>
      </c>
      <c r="HJ47" s="390">
        <f t="shared" si="61"/>
        <v>0.6</v>
      </c>
      <c r="HK47" s="390">
        <f t="shared" si="61"/>
        <v>1</v>
      </c>
      <c r="HL47" s="390">
        <f t="shared" si="61"/>
        <v>0.8</v>
      </c>
      <c r="HM47" s="390">
        <f t="shared" si="61"/>
        <v>1</v>
      </c>
      <c r="HN47" s="390">
        <f t="shared" si="61"/>
        <v>0.6</v>
      </c>
      <c r="HO47" s="390">
        <f t="shared" ref="HO47:HO53" si="68">SUM(HC47:HN47)/12</f>
        <v>0.78333333333333333</v>
      </c>
      <c r="HQ47" s="390">
        <v>2</v>
      </c>
      <c r="HS47" s="541">
        <v>0</v>
      </c>
      <c r="HT47" s="541">
        <v>0</v>
      </c>
      <c r="HU47" s="600">
        <v>1</v>
      </c>
      <c r="HV47" s="600">
        <v>1</v>
      </c>
      <c r="HW47" s="600">
        <v>1</v>
      </c>
      <c r="HX47" s="600">
        <v>1</v>
      </c>
      <c r="HY47" s="600">
        <v>1</v>
      </c>
      <c r="HZ47" s="379">
        <v>12</v>
      </c>
      <c r="IA47" s="379">
        <v>14</v>
      </c>
      <c r="IB47" s="390">
        <v>0.7</v>
      </c>
      <c r="IC47" s="390">
        <v>3</v>
      </c>
      <c r="ID47" s="1439">
        <v>0.52941176470588236</v>
      </c>
      <c r="IE47" s="1440">
        <f t="shared" si="32"/>
        <v>19.411764705882355</v>
      </c>
    </row>
    <row r="48" spans="1:239" s="379" customFormat="1" ht="12" customHeight="1">
      <c r="A48" s="1641">
        <v>12.07</v>
      </c>
      <c r="B48" s="539">
        <v>18</v>
      </c>
      <c r="C48" s="628" t="str">
        <f>Begriffe!F173</f>
        <v>WC</v>
      </c>
      <c r="D48" s="620">
        <v>2</v>
      </c>
      <c r="E48" s="618">
        <v>2</v>
      </c>
      <c r="F48" s="618">
        <v>2.5</v>
      </c>
      <c r="G48" s="205">
        <f t="shared" si="33"/>
        <v>4</v>
      </c>
      <c r="H48" s="205">
        <v>5.882352941176471</v>
      </c>
      <c r="I48" s="390">
        <v>30</v>
      </c>
      <c r="J48" s="1439">
        <v>0.75</v>
      </c>
      <c r="K48" s="628">
        <f t="shared" si="12"/>
        <v>40</v>
      </c>
      <c r="L48" s="630">
        <v>1</v>
      </c>
      <c r="M48" s="595">
        <v>0.8</v>
      </c>
      <c r="N48" s="595">
        <v>1.5</v>
      </c>
      <c r="O48" s="1439">
        <v>0.17</v>
      </c>
      <c r="P48" s="595">
        <v>0.1</v>
      </c>
      <c r="Q48" s="595">
        <v>0.8</v>
      </c>
      <c r="R48" s="1439">
        <v>0.5</v>
      </c>
      <c r="S48" s="1439">
        <v>0.5</v>
      </c>
      <c r="T48" s="1439">
        <v>0.65</v>
      </c>
      <c r="U48" s="1439">
        <v>0.14000000000000001</v>
      </c>
      <c r="V48" s="1439">
        <v>0.1</v>
      </c>
      <c r="W48" s="1439">
        <v>0.2</v>
      </c>
      <c r="X48" s="390">
        <v>0.7</v>
      </c>
      <c r="Y48" s="390">
        <v>0.9</v>
      </c>
      <c r="Z48" s="390">
        <v>90</v>
      </c>
      <c r="AA48" s="598">
        <v>154.69999999999999</v>
      </c>
      <c r="AB48" s="582"/>
      <c r="AC48" s="1440">
        <v>21</v>
      </c>
      <c r="AD48" s="1440"/>
      <c r="AE48" s="1440">
        <v>22</v>
      </c>
      <c r="AF48" s="578" t="s">
        <v>193</v>
      </c>
      <c r="AG48" s="1456" t="s">
        <v>124</v>
      </c>
      <c r="AH48" s="1456"/>
      <c r="AI48" s="1457"/>
      <c r="AJ48" s="1659" t="str">
        <f>Begriffe!F$247</f>
        <v>gering</v>
      </c>
      <c r="AK48" s="1456">
        <v>1</v>
      </c>
      <c r="AL48" s="1456">
        <f t="shared" si="66"/>
        <v>38</v>
      </c>
      <c r="AM48" s="1456">
        <f t="shared" si="14"/>
        <v>43</v>
      </c>
      <c r="AN48" s="1457">
        <f t="shared" si="15"/>
        <v>33</v>
      </c>
      <c r="AO48" s="1458">
        <v>0.7</v>
      </c>
      <c r="AP48" s="580"/>
      <c r="AQ48" s="595">
        <v>1.2</v>
      </c>
      <c r="AR48" s="595"/>
      <c r="AS48" s="595">
        <v>1</v>
      </c>
      <c r="AT48" s="598">
        <f t="shared" si="16"/>
        <v>84</v>
      </c>
      <c r="AU48" s="598">
        <f t="shared" si="17"/>
        <v>94</v>
      </c>
      <c r="AV48" s="598">
        <f t="shared" si="18"/>
        <v>51</v>
      </c>
      <c r="AW48" s="598">
        <f t="shared" si="19"/>
        <v>66</v>
      </c>
      <c r="AX48" s="629">
        <v>1</v>
      </c>
      <c r="AY48" s="580"/>
      <c r="AZ48" s="390"/>
      <c r="BA48" s="390"/>
      <c r="BB48" s="390"/>
      <c r="BC48" s="390"/>
      <c r="BD48" s="390"/>
      <c r="BE48" s="390">
        <f t="shared" si="57"/>
        <v>0</v>
      </c>
      <c r="BF48" s="390">
        <f t="shared" si="58"/>
        <v>0</v>
      </c>
      <c r="BG48" s="390">
        <f t="shared" si="59"/>
        <v>0</v>
      </c>
      <c r="BH48" s="613">
        <v>0</v>
      </c>
      <c r="BI48" s="1460">
        <f t="shared" si="23"/>
        <v>0</v>
      </c>
      <c r="BJ48" s="390">
        <v>50</v>
      </c>
      <c r="BK48" s="595">
        <f t="shared" si="24"/>
        <v>0</v>
      </c>
      <c r="BL48" s="580">
        <f t="shared" si="34"/>
        <v>200</v>
      </c>
      <c r="BM48" s="595">
        <v>1</v>
      </c>
      <c r="BN48" s="390">
        <v>200</v>
      </c>
      <c r="BO48" s="390" t="str">
        <f>Begriffe!$F$209</f>
        <v>SP</v>
      </c>
      <c r="BP48" s="1825">
        <v>0.4</v>
      </c>
      <c r="BQ48" s="595">
        <v>0.5</v>
      </c>
      <c r="BR48" s="627">
        <v>0.05</v>
      </c>
      <c r="BS48" s="1120">
        <v>90</v>
      </c>
      <c r="BT48" s="1120">
        <v>130</v>
      </c>
      <c r="BU48" s="598">
        <f t="shared" si="38"/>
        <v>11</v>
      </c>
      <c r="BV48" s="629">
        <f t="shared" si="25"/>
        <v>0</v>
      </c>
      <c r="BW48" s="582"/>
      <c r="BX48" s="595"/>
      <c r="BY48" s="390"/>
      <c r="BZ48" s="595">
        <v>8</v>
      </c>
      <c r="CA48" s="595"/>
      <c r="CB48" s="595">
        <f t="shared" si="1"/>
        <v>8</v>
      </c>
      <c r="CC48" s="390">
        <v>0</v>
      </c>
      <c r="CD48" s="1439">
        <v>0.15</v>
      </c>
      <c r="CE48" s="1439">
        <v>0.3</v>
      </c>
      <c r="CF48" s="379" t="str">
        <f t="shared" si="28"/>
        <v>IDA-C6</v>
      </c>
      <c r="CG48" s="379" t="str">
        <f t="shared" si="29"/>
        <v>IDA-C6</v>
      </c>
      <c r="CH48" s="379" t="str">
        <f t="shared" si="67"/>
        <v>IDA-C4</v>
      </c>
      <c r="CI48" s="379" t="str">
        <f>IF(CF48="IDA-C3",Begriffe!$F$248,IF(Eingabedaten!CF48="IDA-C4",Begriffe!$F$249,IF(Eingabedaten!CF48="IDA-C6",Begriffe!$F$250,"")))</f>
        <v>stufenlos</v>
      </c>
      <c r="CJ48" s="379" t="str">
        <f>IF(CG48="IDA-C3",Begriffe!$F$248,IF(Eingabedaten!CG48="IDA-C4",Begriffe!$F$249,IF(Eingabedaten!CG48="IDA-C6",Begriffe!$F$250,"")))</f>
        <v>stufenlos</v>
      </c>
      <c r="CK48" s="379" t="str">
        <f>IF(CH48="IDA-C3",Begriffe!$F$248,IF(Eingabedaten!CH48="IDA-C4",Begriffe!$F$249,IF(Eingabedaten!CH48="IDA-C6",Begriffe!$F$250,"")))</f>
        <v>zweistufig</v>
      </c>
      <c r="CL48" s="1439">
        <v>0.73</v>
      </c>
      <c r="CM48" s="1439">
        <v>0.78</v>
      </c>
      <c r="CN48" s="1439"/>
      <c r="CO48" s="1439">
        <v>0.7</v>
      </c>
      <c r="CP48" s="1439">
        <v>0.75</v>
      </c>
      <c r="CQ48" s="1461"/>
      <c r="CR48" s="586" t="str">
        <f>Begriffe!$F$251</f>
        <v>Einfache Lüftungsanlage</v>
      </c>
      <c r="CS48" s="586">
        <v>0.41</v>
      </c>
      <c r="CT48" s="586">
        <v>0.28000000000000003</v>
      </c>
      <c r="CU48" s="586">
        <v>0.16600000000000001</v>
      </c>
      <c r="CV48" s="1433">
        <v>0.4</v>
      </c>
      <c r="CW48" s="1469" t="s">
        <v>16</v>
      </c>
      <c r="CX48" s="586" t="s">
        <v>16</v>
      </c>
      <c r="CY48" s="586" t="s">
        <v>16</v>
      </c>
      <c r="CZ48" s="586" t="s">
        <v>16</v>
      </c>
      <c r="DA48" s="586" t="s">
        <v>16</v>
      </c>
      <c r="DB48" s="1433" t="s">
        <v>16</v>
      </c>
      <c r="DC48" s="580">
        <v>6</v>
      </c>
      <c r="DD48" s="390">
        <v>10</v>
      </c>
      <c r="DE48" s="390">
        <v>4</v>
      </c>
      <c r="DF48" s="628">
        <v>0</v>
      </c>
      <c r="DG48" s="580">
        <v>0.1</v>
      </c>
      <c r="DH48" s="628">
        <f t="shared" si="30"/>
        <v>0.5</v>
      </c>
      <c r="DI48" s="580"/>
      <c r="DJ48" s="390"/>
      <c r="DK48" s="390"/>
      <c r="DL48" s="390"/>
      <c r="DM48" s="390"/>
      <c r="DN48" s="628"/>
      <c r="DO48" s="593" t="s">
        <v>589</v>
      </c>
      <c r="DP48" s="614"/>
      <c r="DQ48" s="205"/>
      <c r="DR48" s="205"/>
      <c r="DS48" s="615"/>
      <c r="DT48" s="205"/>
      <c r="DU48" s="616"/>
      <c r="DV48" s="205"/>
      <c r="DW48" s="618">
        <v>0.2</v>
      </c>
      <c r="DX48" s="618">
        <v>0.4</v>
      </c>
      <c r="DY48" s="621">
        <v>0.6</v>
      </c>
      <c r="DZ48" s="618">
        <v>0.8</v>
      </c>
      <c r="EA48" s="617">
        <v>0.8</v>
      </c>
      <c r="EB48" s="618">
        <v>0.4</v>
      </c>
      <c r="EC48" s="618">
        <v>0.6</v>
      </c>
      <c r="ED48" s="618">
        <v>0.8</v>
      </c>
      <c r="EE48" s="621">
        <v>0.8</v>
      </c>
      <c r="EF48" s="618">
        <v>0.4</v>
      </c>
      <c r="EG48" s="617">
        <v>0.2</v>
      </c>
      <c r="EH48" s="205"/>
      <c r="EI48" s="205"/>
      <c r="EJ48" s="205"/>
      <c r="EK48" s="615"/>
      <c r="EL48" s="205"/>
      <c r="EM48" s="613"/>
      <c r="EN48" s="614"/>
      <c r="EO48" s="205"/>
      <c r="EP48" s="205"/>
      <c r="EQ48" s="615"/>
      <c r="ER48" s="205"/>
      <c r="ES48" s="616"/>
      <c r="ET48" s="205"/>
      <c r="EU48" s="205"/>
      <c r="EV48" s="205"/>
      <c r="EW48" s="615"/>
      <c r="EX48" s="205"/>
      <c r="EY48" s="616"/>
      <c r="EZ48" s="205"/>
      <c r="FA48" s="205"/>
      <c r="FB48" s="205"/>
      <c r="FC48" s="615"/>
      <c r="FD48" s="205"/>
      <c r="FE48" s="616"/>
      <c r="FF48" s="205"/>
      <c r="FG48" s="205"/>
      <c r="FH48" s="205"/>
      <c r="FI48" s="615"/>
      <c r="FJ48" s="205"/>
      <c r="FK48" s="613"/>
      <c r="FL48" s="580" t="s">
        <v>575</v>
      </c>
      <c r="FM48" s="620">
        <v>0.8</v>
      </c>
      <c r="FN48" s="618">
        <v>0.8</v>
      </c>
      <c r="FO48" s="618">
        <v>0.8</v>
      </c>
      <c r="FP48" s="621">
        <v>0.8</v>
      </c>
      <c r="FQ48" s="618">
        <v>0.8</v>
      </c>
      <c r="FR48" s="617">
        <v>0.8</v>
      </c>
      <c r="FS48" s="618">
        <v>0.8</v>
      </c>
      <c r="FT48" s="618">
        <v>0.8</v>
      </c>
      <c r="FU48" s="618">
        <v>0.8</v>
      </c>
      <c r="FV48" s="621">
        <v>0.8</v>
      </c>
      <c r="FW48" s="618">
        <v>0.8</v>
      </c>
      <c r="FX48" s="622">
        <v>0.8</v>
      </c>
      <c r="FY48" s="587">
        <v>2</v>
      </c>
      <c r="FZ48" s="613">
        <f t="shared" si="62"/>
        <v>261</v>
      </c>
      <c r="GA48" s="620">
        <f t="shared" si="2"/>
        <v>11</v>
      </c>
      <c r="GB48" s="618">
        <f t="shared" si="3"/>
        <v>6</v>
      </c>
      <c r="GC48" s="618">
        <f t="shared" si="4"/>
        <v>6</v>
      </c>
      <c r="GD48" s="618">
        <f t="shared" si="5"/>
        <v>0</v>
      </c>
      <c r="GE48" s="627">
        <f t="shared" si="63"/>
        <v>0.80000000000000016</v>
      </c>
      <c r="GF48" s="205">
        <f t="shared" si="31"/>
        <v>2870</v>
      </c>
      <c r="GG48" s="205">
        <f t="shared" si="7"/>
        <v>2870</v>
      </c>
      <c r="GH48" s="613">
        <f t="shared" si="64"/>
        <v>1250</v>
      </c>
      <c r="GI48" s="620">
        <f t="shared" si="8"/>
        <v>0</v>
      </c>
      <c r="GJ48" s="618">
        <f t="shared" si="9"/>
        <v>0</v>
      </c>
      <c r="GK48" s="618">
        <f t="shared" si="10"/>
        <v>0</v>
      </c>
      <c r="GL48" s="613">
        <f t="shared" si="65"/>
        <v>0</v>
      </c>
      <c r="GM48" s="1532" t="str">
        <f>Begriffe!$F$296</f>
        <v>- Beurteilungspegel für Dauergeräusche von Haustechnikanlagen in Abhängigkeit der zugehörigen Hauptnutzung</v>
      </c>
      <c r="GN48" s="594" t="str">
        <f>Begriffe!F292</f>
        <v>- Die Raumlufttemperatur Winter (Auslegung Heizung) richtet sich nach der zugehörigen Hauptnutzung</v>
      </c>
      <c r="GO48" s="260" t="str">
        <f>Begriffe!$F$287</f>
        <v>- Richtwerte für den Abluft-Volumenstrom sind in SIA 382/1 definiert</v>
      </c>
      <c r="GP48" s="583" t="str">
        <f>Begriffe!$F$285</f>
        <v>- Der Klimakälteleistungsbedarf und der jährliche Klimakältebedarf gelten für Räume ohne unterstützende Fensterlüftung</v>
      </c>
      <c r="GQ48" s="583"/>
      <c r="GR48" s="583" t="str">
        <f>Begriffe!$F$332</f>
        <v>- Wasser- und Warmwasserbedarf werden durch die Hauptnutzung bestimmt</v>
      </c>
      <c r="HB48" s="390" t="s">
        <v>123</v>
      </c>
      <c r="HC48" s="390">
        <f t="shared" si="61"/>
        <v>0.8</v>
      </c>
      <c r="HD48" s="390">
        <f t="shared" si="61"/>
        <v>0.6</v>
      </c>
      <c r="HE48" s="390">
        <f t="shared" si="61"/>
        <v>1</v>
      </c>
      <c r="HF48" s="390">
        <f t="shared" si="61"/>
        <v>0.8</v>
      </c>
      <c r="HG48" s="390">
        <f t="shared" si="61"/>
        <v>0.6</v>
      </c>
      <c r="HH48" s="390">
        <f t="shared" si="61"/>
        <v>1</v>
      </c>
      <c r="HI48" s="390">
        <f t="shared" si="61"/>
        <v>0.6</v>
      </c>
      <c r="HJ48" s="390">
        <f t="shared" si="61"/>
        <v>0.6</v>
      </c>
      <c r="HK48" s="390">
        <f t="shared" si="61"/>
        <v>1</v>
      </c>
      <c r="HL48" s="390">
        <f t="shared" si="61"/>
        <v>0.8</v>
      </c>
      <c r="HM48" s="390">
        <f t="shared" si="61"/>
        <v>1</v>
      </c>
      <c r="HN48" s="390">
        <f t="shared" si="61"/>
        <v>0.6</v>
      </c>
      <c r="HO48" s="390">
        <f t="shared" si="68"/>
        <v>0.78333333333333333</v>
      </c>
      <c r="HQ48" s="390">
        <v>2</v>
      </c>
      <c r="HS48" s="541">
        <v>0</v>
      </c>
      <c r="HT48" s="541">
        <v>0</v>
      </c>
      <c r="HU48" s="600">
        <v>1</v>
      </c>
      <c r="HV48" s="600">
        <v>1</v>
      </c>
      <c r="HW48" s="600">
        <v>1</v>
      </c>
      <c r="HX48" s="600">
        <v>1</v>
      </c>
      <c r="HY48" s="600">
        <v>1</v>
      </c>
      <c r="HZ48" s="379">
        <v>12</v>
      </c>
      <c r="IA48" s="379">
        <v>14</v>
      </c>
      <c r="IB48" s="390">
        <v>0.7</v>
      </c>
      <c r="IC48" s="390">
        <v>3</v>
      </c>
      <c r="ID48" s="1439">
        <v>1.3235294117647058</v>
      </c>
      <c r="IE48" s="1440">
        <f t="shared" si="32"/>
        <v>30.52941176470588</v>
      </c>
    </row>
    <row r="49" spans="1:239" s="379" customFormat="1" ht="12" customHeight="1">
      <c r="A49" s="1641">
        <v>12.08</v>
      </c>
      <c r="B49" s="539"/>
      <c r="C49" s="628" t="str">
        <f>Begriffe!F174</f>
        <v>Garderobe, Dusche</v>
      </c>
      <c r="D49" s="620">
        <v>6</v>
      </c>
      <c r="E49" s="618">
        <v>6</v>
      </c>
      <c r="F49" s="618">
        <v>3</v>
      </c>
      <c r="G49" s="205">
        <f t="shared" si="33"/>
        <v>36</v>
      </c>
      <c r="H49" s="205">
        <v>21.176470588235293</v>
      </c>
      <c r="I49" s="390">
        <v>30</v>
      </c>
      <c r="J49" s="1439">
        <v>0.75</v>
      </c>
      <c r="K49" s="628">
        <f t="shared" si="12"/>
        <v>40</v>
      </c>
      <c r="L49" s="630">
        <v>1</v>
      </c>
      <c r="M49" s="595">
        <v>0.8</v>
      </c>
      <c r="N49" s="595">
        <v>1.5</v>
      </c>
      <c r="O49" s="1439">
        <v>0.17</v>
      </c>
      <c r="P49" s="595">
        <v>0.1</v>
      </c>
      <c r="Q49" s="595">
        <v>0.8</v>
      </c>
      <c r="R49" s="1439">
        <v>0.5</v>
      </c>
      <c r="S49" s="1439">
        <v>0.5</v>
      </c>
      <c r="T49" s="1439">
        <v>0.65</v>
      </c>
      <c r="U49" s="1439">
        <v>0.14000000000000001</v>
      </c>
      <c r="V49" s="1439">
        <v>0.1</v>
      </c>
      <c r="W49" s="1439">
        <v>0.2</v>
      </c>
      <c r="X49" s="390">
        <v>0.7</v>
      </c>
      <c r="Y49" s="390">
        <v>0.9</v>
      </c>
      <c r="Z49" s="390">
        <v>90</v>
      </c>
      <c r="AA49" s="598">
        <v>110.7</v>
      </c>
      <c r="AB49" s="582"/>
      <c r="AC49" s="1440">
        <v>21</v>
      </c>
      <c r="AD49" s="1440"/>
      <c r="AE49" s="1440">
        <v>22</v>
      </c>
      <c r="AF49" s="578" t="s">
        <v>193</v>
      </c>
      <c r="AG49" s="1456" t="s">
        <v>122</v>
      </c>
      <c r="AH49" s="1456"/>
      <c r="AI49" s="1457"/>
      <c r="AJ49" s="1659" t="str">
        <f>Begriffe!F$247</f>
        <v>gering</v>
      </c>
      <c r="AK49" s="1456">
        <v>1</v>
      </c>
      <c r="AL49" s="1456">
        <f t="shared" si="66"/>
        <v>38</v>
      </c>
      <c r="AM49" s="1456">
        <f t="shared" si="14"/>
        <v>43</v>
      </c>
      <c r="AN49" s="1457">
        <f t="shared" si="15"/>
        <v>33</v>
      </c>
      <c r="AO49" s="1458">
        <v>0.7</v>
      </c>
      <c r="AP49" s="637"/>
      <c r="AQ49" s="595">
        <v>1.2</v>
      </c>
      <c r="AR49" s="595">
        <v>0.1</v>
      </c>
      <c r="AS49" s="595">
        <v>0.1</v>
      </c>
      <c r="AT49" s="598">
        <f t="shared" si="16"/>
        <v>84</v>
      </c>
      <c r="AU49" s="598">
        <f t="shared" si="17"/>
        <v>94</v>
      </c>
      <c r="AV49" s="598">
        <f t="shared" si="18"/>
        <v>51</v>
      </c>
      <c r="AW49" s="598">
        <f t="shared" si="19"/>
        <v>66</v>
      </c>
      <c r="AX49" s="629">
        <v>10</v>
      </c>
      <c r="AY49" s="580"/>
      <c r="AZ49" s="390"/>
      <c r="BA49" s="390"/>
      <c r="BB49" s="390"/>
      <c r="BC49" s="390"/>
      <c r="BD49" s="390"/>
      <c r="BE49" s="390">
        <f t="shared" si="57"/>
        <v>0</v>
      </c>
      <c r="BF49" s="390">
        <f t="shared" si="58"/>
        <v>0</v>
      </c>
      <c r="BG49" s="390">
        <f t="shared" si="59"/>
        <v>0</v>
      </c>
      <c r="BH49" s="613">
        <v>0</v>
      </c>
      <c r="BI49" s="614">
        <f t="shared" si="23"/>
        <v>0</v>
      </c>
      <c r="BJ49" s="390">
        <v>50</v>
      </c>
      <c r="BK49" s="618">
        <f t="shared" si="24"/>
        <v>0</v>
      </c>
      <c r="BL49" s="637">
        <f t="shared" si="34"/>
        <v>200</v>
      </c>
      <c r="BM49" s="618">
        <v>1</v>
      </c>
      <c r="BN49" s="379">
        <v>200</v>
      </c>
      <c r="BO49" s="390" t="str">
        <f>Begriffe!$F$209</f>
        <v>SP</v>
      </c>
      <c r="BP49" s="1332">
        <v>0.4</v>
      </c>
      <c r="BQ49" s="618">
        <v>0.5</v>
      </c>
      <c r="BR49" s="627">
        <v>0.05</v>
      </c>
      <c r="BS49" s="1120">
        <v>90</v>
      </c>
      <c r="BT49" s="1120">
        <v>130</v>
      </c>
      <c r="BU49" s="598">
        <f t="shared" si="38"/>
        <v>11</v>
      </c>
      <c r="BV49" s="629">
        <f t="shared" si="25"/>
        <v>0</v>
      </c>
      <c r="BW49" s="582"/>
      <c r="BX49" s="595"/>
      <c r="BY49" s="390"/>
      <c r="BZ49" s="1825">
        <v>8</v>
      </c>
      <c r="CA49" s="1825"/>
      <c r="CB49" s="595">
        <f t="shared" si="1"/>
        <v>8</v>
      </c>
      <c r="CC49" s="390">
        <v>0</v>
      </c>
      <c r="CD49" s="1439">
        <v>0.15</v>
      </c>
      <c r="CE49" s="1439">
        <v>0.3</v>
      </c>
      <c r="CF49" s="379" t="str">
        <f t="shared" si="28"/>
        <v>IDA-C6</v>
      </c>
      <c r="CG49" s="379" t="str">
        <f t="shared" si="29"/>
        <v>IDA-C6</v>
      </c>
      <c r="CH49" s="379" t="str">
        <f t="shared" si="67"/>
        <v>IDA-C4</v>
      </c>
      <c r="CI49" s="379" t="str">
        <f>IF(CF49="IDA-C3",Begriffe!$F$248,IF(Eingabedaten!CF49="IDA-C4",Begriffe!$F$249,IF(Eingabedaten!CF49="IDA-C6",Begriffe!$F$250,"")))</f>
        <v>stufenlos</v>
      </c>
      <c r="CJ49" s="379" t="str">
        <f>IF(CG49="IDA-C3",Begriffe!$F$248,IF(Eingabedaten!CG49="IDA-C4",Begriffe!$F$249,IF(Eingabedaten!CG49="IDA-C6",Begriffe!$F$250,"")))</f>
        <v>stufenlos</v>
      </c>
      <c r="CK49" s="379" t="str">
        <f>IF(CH49="IDA-C3",Begriffe!$F$248,IF(Eingabedaten!CH49="IDA-C4",Begriffe!$F$249,IF(Eingabedaten!CH49="IDA-C6",Begriffe!$F$250,"")))</f>
        <v>zweistufig</v>
      </c>
      <c r="CL49" s="1439">
        <v>0.73</v>
      </c>
      <c r="CM49" s="1837">
        <v>0.78</v>
      </c>
      <c r="CN49" s="1439"/>
      <c r="CO49" s="1837">
        <v>0.7</v>
      </c>
      <c r="CP49" s="1837">
        <v>0.75</v>
      </c>
      <c r="CQ49" s="1461"/>
      <c r="CR49" s="586" t="str">
        <f>Begriffe!$F$251</f>
        <v>Einfache Lüftungsanlage</v>
      </c>
      <c r="CS49" s="586">
        <v>0.41</v>
      </c>
      <c r="CT49" s="586">
        <v>0.28000000000000003</v>
      </c>
      <c r="CU49" s="586">
        <v>0.16600000000000001</v>
      </c>
      <c r="CV49" s="1433">
        <v>0.4</v>
      </c>
      <c r="CW49" s="1469" t="s">
        <v>16</v>
      </c>
      <c r="CX49" s="586" t="s">
        <v>16</v>
      </c>
      <c r="CY49" s="586" t="s">
        <v>16</v>
      </c>
      <c r="CZ49" s="586" t="s">
        <v>16</v>
      </c>
      <c r="DA49" s="586" t="s">
        <v>16</v>
      </c>
      <c r="DB49" s="1433" t="s">
        <v>16</v>
      </c>
      <c r="DC49" s="580">
        <v>400</v>
      </c>
      <c r="DD49" s="390">
        <v>600</v>
      </c>
      <c r="DE49" s="390">
        <v>300</v>
      </c>
      <c r="DF49" s="628">
        <v>0</v>
      </c>
      <c r="DG49" s="580">
        <v>0.1</v>
      </c>
      <c r="DH49" s="628">
        <f t="shared" si="30"/>
        <v>0.5</v>
      </c>
      <c r="DI49" s="580"/>
      <c r="DJ49" s="390"/>
      <c r="DK49" s="390"/>
      <c r="DL49" s="390"/>
      <c r="DM49" s="390"/>
      <c r="DN49" s="628"/>
      <c r="DO49" s="593" t="s">
        <v>589</v>
      </c>
      <c r="DP49" s="614"/>
      <c r="DQ49" s="205"/>
      <c r="DR49" s="205"/>
      <c r="DS49" s="615"/>
      <c r="DT49" s="205"/>
      <c r="DU49" s="616"/>
      <c r="DV49" s="205"/>
      <c r="DW49" s="618">
        <v>0.2</v>
      </c>
      <c r="DX49" s="618">
        <v>0.4</v>
      </c>
      <c r="DY49" s="621">
        <v>0.6</v>
      </c>
      <c r="DZ49" s="618">
        <v>0.8</v>
      </c>
      <c r="EA49" s="617">
        <v>0.8</v>
      </c>
      <c r="EB49" s="618">
        <v>0.4</v>
      </c>
      <c r="EC49" s="618">
        <v>0.6</v>
      </c>
      <c r="ED49" s="618">
        <v>0.8</v>
      </c>
      <c r="EE49" s="621">
        <v>0.8</v>
      </c>
      <c r="EF49" s="618">
        <v>0.4</v>
      </c>
      <c r="EG49" s="617">
        <v>0.2</v>
      </c>
      <c r="EH49" s="205"/>
      <c r="EI49" s="205"/>
      <c r="EJ49" s="205"/>
      <c r="EK49" s="615"/>
      <c r="EL49" s="205"/>
      <c r="EM49" s="613"/>
      <c r="EN49" s="614"/>
      <c r="EO49" s="205"/>
      <c r="EP49" s="205"/>
      <c r="EQ49" s="615"/>
      <c r="ER49" s="205"/>
      <c r="ES49" s="616"/>
      <c r="ET49" s="205"/>
      <c r="EU49" s="205"/>
      <c r="EV49" s="205"/>
      <c r="EW49" s="615"/>
      <c r="EX49" s="205"/>
      <c r="EY49" s="616"/>
      <c r="EZ49" s="205"/>
      <c r="FA49" s="205"/>
      <c r="FB49" s="205"/>
      <c r="FC49" s="615"/>
      <c r="FD49" s="205"/>
      <c r="FE49" s="616"/>
      <c r="FF49" s="205"/>
      <c r="FG49" s="205"/>
      <c r="FH49" s="205"/>
      <c r="FI49" s="615"/>
      <c r="FJ49" s="205"/>
      <c r="FK49" s="613"/>
      <c r="FL49" s="580" t="s">
        <v>575</v>
      </c>
      <c r="FM49" s="620">
        <v>0.8</v>
      </c>
      <c r="FN49" s="618">
        <v>0.8</v>
      </c>
      <c r="FO49" s="618">
        <v>0.8</v>
      </c>
      <c r="FP49" s="621">
        <v>0.8</v>
      </c>
      <c r="FQ49" s="618">
        <v>0.8</v>
      </c>
      <c r="FR49" s="617">
        <v>0.8</v>
      </c>
      <c r="FS49" s="618">
        <v>0.8</v>
      </c>
      <c r="FT49" s="618">
        <v>0.8</v>
      </c>
      <c r="FU49" s="618">
        <v>0.8</v>
      </c>
      <c r="FV49" s="621">
        <v>0.8</v>
      </c>
      <c r="FW49" s="618">
        <v>0.8</v>
      </c>
      <c r="FX49" s="622">
        <v>0.8</v>
      </c>
      <c r="FY49" s="587">
        <v>1</v>
      </c>
      <c r="FZ49" s="613">
        <f t="shared" si="62"/>
        <v>313</v>
      </c>
      <c r="GA49" s="620">
        <f t="shared" si="2"/>
        <v>11</v>
      </c>
      <c r="GB49" s="618">
        <f t="shared" si="3"/>
        <v>6</v>
      </c>
      <c r="GC49" s="618">
        <f t="shared" si="4"/>
        <v>6</v>
      </c>
      <c r="GD49" s="618">
        <f t="shared" si="5"/>
        <v>0</v>
      </c>
      <c r="GE49" s="627">
        <f t="shared" si="63"/>
        <v>0.80000000000000016</v>
      </c>
      <c r="GF49" s="205">
        <f t="shared" si="31"/>
        <v>3440</v>
      </c>
      <c r="GG49" s="205">
        <f t="shared" si="7"/>
        <v>3440</v>
      </c>
      <c r="GH49" s="613">
        <f t="shared" si="64"/>
        <v>1500</v>
      </c>
      <c r="GI49" s="620">
        <f t="shared" si="8"/>
        <v>0</v>
      </c>
      <c r="GJ49" s="618">
        <f t="shared" si="9"/>
        <v>0</v>
      </c>
      <c r="GK49" s="618">
        <f t="shared" si="10"/>
        <v>0</v>
      </c>
      <c r="GL49" s="613">
        <f t="shared" si="65"/>
        <v>0</v>
      </c>
      <c r="GM49" s="1532" t="str">
        <f>Begriffe!$F$296</f>
        <v>- Beurteilungspegel für Dauergeräusche von Haustechnikanlagen in Abhängigkeit der zugehörigen Hauptnutzung</v>
      </c>
      <c r="GN49" s="594"/>
      <c r="GO49" s="379" t="str">
        <f>IF(CH49=0,Begriffe!$F$297,"")</f>
        <v/>
      </c>
      <c r="GP49" s="583" t="str">
        <f>Begriffe!$F$285</f>
        <v>- Der Klimakälteleistungsbedarf und der jährliche Klimakältebedarf gelten für Räume ohne unterstützende Fensterlüftung</v>
      </c>
      <c r="GQ49" s="583"/>
      <c r="GR49" s="583" t="str">
        <f>Begriffe!$F$332</f>
        <v>- Wasser- und Warmwasserbedarf werden durch die Hauptnutzung bestimmt</v>
      </c>
      <c r="HB49" s="390" t="s">
        <v>123</v>
      </c>
      <c r="HC49" s="390">
        <f t="shared" si="61"/>
        <v>0.8</v>
      </c>
      <c r="HD49" s="390">
        <f t="shared" si="61"/>
        <v>0.6</v>
      </c>
      <c r="HE49" s="390">
        <f t="shared" si="61"/>
        <v>1</v>
      </c>
      <c r="HF49" s="390">
        <f t="shared" si="61"/>
        <v>0.8</v>
      </c>
      <c r="HG49" s="390">
        <f t="shared" si="61"/>
        <v>0.6</v>
      </c>
      <c r="HH49" s="390">
        <f t="shared" si="61"/>
        <v>1</v>
      </c>
      <c r="HI49" s="390">
        <f t="shared" si="61"/>
        <v>0.6</v>
      </c>
      <c r="HJ49" s="390">
        <f t="shared" si="61"/>
        <v>0.6</v>
      </c>
      <c r="HK49" s="390">
        <f t="shared" si="61"/>
        <v>1</v>
      </c>
      <c r="HL49" s="390">
        <f t="shared" si="61"/>
        <v>0.8</v>
      </c>
      <c r="HM49" s="390">
        <f t="shared" si="61"/>
        <v>1</v>
      </c>
      <c r="HN49" s="390">
        <f t="shared" si="61"/>
        <v>0.6</v>
      </c>
      <c r="HO49" s="390">
        <f t="shared" si="68"/>
        <v>0.78333333333333333</v>
      </c>
      <c r="HQ49" s="390">
        <v>2</v>
      </c>
      <c r="HS49" s="541">
        <v>0</v>
      </c>
      <c r="HT49" s="541">
        <v>0</v>
      </c>
      <c r="HU49" s="600">
        <v>1</v>
      </c>
      <c r="HV49" s="600">
        <v>1</v>
      </c>
      <c r="HW49" s="600">
        <v>1</v>
      </c>
      <c r="HX49" s="600">
        <v>1</v>
      </c>
      <c r="HY49" s="600">
        <v>1</v>
      </c>
      <c r="HZ49" s="379">
        <v>12</v>
      </c>
      <c r="IA49" s="379">
        <v>14</v>
      </c>
      <c r="IB49" s="390">
        <v>0.7</v>
      </c>
      <c r="IC49" s="390">
        <v>3</v>
      </c>
      <c r="ID49" s="1439">
        <v>0.52941176470588236</v>
      </c>
      <c r="IE49" s="1440">
        <f t="shared" si="32"/>
        <v>19.411764705882355</v>
      </c>
    </row>
    <row r="50" spans="1:239" s="379" customFormat="1" ht="12" customHeight="1">
      <c r="A50" s="1641">
        <v>12.09</v>
      </c>
      <c r="B50" s="539">
        <v>22</v>
      </c>
      <c r="C50" s="628" t="str">
        <f>Begriffe!F175</f>
        <v>Parkhaus</v>
      </c>
      <c r="D50" s="620">
        <v>20</v>
      </c>
      <c r="E50" s="618">
        <v>20</v>
      </c>
      <c r="F50" s="618">
        <v>3</v>
      </c>
      <c r="G50" s="205">
        <f t="shared" si="33"/>
        <v>400</v>
      </c>
      <c r="H50" s="205">
        <v>0</v>
      </c>
      <c r="I50" s="390">
        <v>0</v>
      </c>
      <c r="J50" s="1439">
        <v>0.75</v>
      </c>
      <c r="K50" s="628">
        <f t="shared" si="12"/>
        <v>0</v>
      </c>
      <c r="L50" s="630">
        <v>1</v>
      </c>
      <c r="M50" s="595">
        <v>0.8</v>
      </c>
      <c r="N50" s="595">
        <v>1.5</v>
      </c>
      <c r="O50" s="1439">
        <v>0.17</v>
      </c>
      <c r="P50" s="595">
        <v>0.1</v>
      </c>
      <c r="Q50" s="595">
        <v>0.8</v>
      </c>
      <c r="R50" s="1439">
        <v>0.5</v>
      </c>
      <c r="S50" s="1439">
        <v>0.5</v>
      </c>
      <c r="T50" s="1439">
        <v>0.65</v>
      </c>
      <c r="U50" s="1439">
        <v>0.14000000000000001</v>
      </c>
      <c r="V50" s="1439">
        <v>0.1</v>
      </c>
      <c r="W50" s="1439">
        <v>0.2</v>
      </c>
      <c r="X50" s="390">
        <v>1</v>
      </c>
      <c r="Y50" s="390">
        <v>0.9</v>
      </c>
      <c r="Z50" s="390">
        <v>90</v>
      </c>
      <c r="AA50" s="598">
        <v>90</v>
      </c>
      <c r="AB50" s="582"/>
      <c r="AC50" s="1440"/>
      <c r="AD50" s="1440"/>
      <c r="AE50" s="1440"/>
      <c r="AF50" s="578" t="s">
        <v>193</v>
      </c>
      <c r="AG50" s="1456"/>
      <c r="AH50" s="1456"/>
      <c r="AI50" s="1457"/>
      <c r="AJ50" s="1659" t="str">
        <f>Begriffe!F$245</f>
        <v>keine</v>
      </c>
      <c r="AK50" s="1456">
        <v>0</v>
      </c>
      <c r="AL50" s="1456" t="str">
        <f t="shared" si="56"/>
        <v/>
      </c>
      <c r="AM50" s="1456" t="str">
        <f t="shared" si="14"/>
        <v/>
      </c>
      <c r="AN50" s="1457" t="str">
        <f t="shared" si="15"/>
        <v/>
      </c>
      <c r="AO50" s="1458"/>
      <c r="AP50" s="580"/>
      <c r="AQ50" s="595">
        <v>1.2</v>
      </c>
      <c r="AR50" s="595"/>
      <c r="AS50" s="595">
        <v>1</v>
      </c>
      <c r="AT50" s="598">
        <f t="shared" si="16"/>
        <v>84</v>
      </c>
      <c r="AU50" s="598">
        <f t="shared" si="17"/>
        <v>94</v>
      </c>
      <c r="AV50" s="598">
        <f t="shared" si="18"/>
        <v>51</v>
      </c>
      <c r="AW50" s="598">
        <f t="shared" si="19"/>
        <v>66</v>
      </c>
      <c r="AX50" s="632"/>
      <c r="AY50" s="580">
        <v>1</v>
      </c>
      <c r="AZ50" s="390">
        <v>0</v>
      </c>
      <c r="BA50" s="390">
        <v>2</v>
      </c>
      <c r="BB50" s="390"/>
      <c r="BC50" s="390"/>
      <c r="BD50" s="390"/>
      <c r="BE50" s="390">
        <f t="shared" si="57"/>
        <v>1</v>
      </c>
      <c r="BF50" s="390">
        <f t="shared" si="58"/>
        <v>0</v>
      </c>
      <c r="BG50" s="390">
        <f t="shared" si="59"/>
        <v>2</v>
      </c>
      <c r="BH50" s="613">
        <v>10</v>
      </c>
      <c r="BI50" s="1460">
        <f t="shared" si="23"/>
        <v>1</v>
      </c>
      <c r="BJ50" s="390">
        <v>20</v>
      </c>
      <c r="BK50" s="595">
        <f t="shared" si="24"/>
        <v>20</v>
      </c>
      <c r="BL50" s="1822">
        <v>75</v>
      </c>
      <c r="BM50" s="595">
        <v>1</v>
      </c>
      <c r="BN50" s="1090">
        <v>75</v>
      </c>
      <c r="BO50" s="390" t="str">
        <f>Begriffe!$F$209</f>
        <v>SP</v>
      </c>
      <c r="BP50" s="1825">
        <v>0.4</v>
      </c>
      <c r="BQ50" s="595">
        <v>0.5</v>
      </c>
      <c r="BR50" s="627">
        <v>0.05</v>
      </c>
      <c r="BS50" s="1120">
        <v>130</v>
      </c>
      <c r="BT50" s="1120">
        <v>160</v>
      </c>
      <c r="BU50" s="598">
        <f>SUMIF(DW50:EG50,"&gt;0",DW$8:EG$8)</f>
        <v>11</v>
      </c>
      <c r="BV50" s="629">
        <f t="shared" si="25"/>
        <v>0</v>
      </c>
      <c r="BW50" s="582"/>
      <c r="BX50" s="595"/>
      <c r="BY50" s="390"/>
      <c r="BZ50" s="595"/>
      <c r="CA50" s="595">
        <v>2</v>
      </c>
      <c r="CB50" s="595">
        <f t="shared" si="1"/>
        <v>0</v>
      </c>
      <c r="CC50" s="390">
        <v>0</v>
      </c>
      <c r="CD50" s="1439">
        <v>0.15</v>
      </c>
      <c r="CE50" s="1439">
        <v>0.3</v>
      </c>
      <c r="CF50" s="379" t="str">
        <f t="shared" si="28"/>
        <v>IDA-C3</v>
      </c>
      <c r="CG50" s="379" t="str">
        <f t="shared" si="29"/>
        <v>IDA-C4</v>
      </c>
      <c r="CH50" s="379" t="str">
        <f t="shared" si="67"/>
        <v>IDA-C3</v>
      </c>
      <c r="CI50" s="379" t="str">
        <f>IF(CF50="IDA-C3",Begriffe!$F$248,IF(Eingabedaten!CF50="IDA-C4",Begriffe!$F$249,IF(Eingabedaten!CF50="IDA-C6",Begriffe!$F$250,"")))</f>
        <v>einstufig</v>
      </c>
      <c r="CJ50" s="379" t="str">
        <f>IF(CG50="IDA-C3",Begriffe!$F$248,IF(Eingabedaten!CG50="IDA-C4",Begriffe!$F$249,IF(Eingabedaten!CG50="IDA-C6",Begriffe!$F$250,"")))</f>
        <v>zweistufig</v>
      </c>
      <c r="CK50" s="379" t="str">
        <f>IF(CH50="IDA-C3",Begriffe!$F$248,IF(Eingabedaten!CH50="IDA-C4",Begriffe!$F$249,IF(Eingabedaten!CH50="IDA-C6",Begriffe!$F$250,"")))</f>
        <v>einstufig</v>
      </c>
      <c r="CL50" s="1439"/>
      <c r="CM50" s="1837"/>
      <c r="CN50" s="1439"/>
      <c r="CO50" s="1837"/>
      <c r="CP50" s="1837"/>
      <c r="CQ50" s="1461"/>
      <c r="CR50" s="586" t="str">
        <f>Begriffe!$F$255</f>
        <v>Einfache Abluftanlage</v>
      </c>
      <c r="CS50" s="586">
        <v>0.14000000000000001</v>
      </c>
      <c r="CT50" s="586">
        <v>0.14000000000000001</v>
      </c>
      <c r="CU50" s="586">
        <v>8.3000000000000004E-2</v>
      </c>
      <c r="CV50" s="1433">
        <v>0.14000000000000001</v>
      </c>
      <c r="CW50" s="1469" t="s">
        <v>16</v>
      </c>
      <c r="CX50" s="586" t="s">
        <v>16</v>
      </c>
      <c r="CY50" s="586" t="s">
        <v>16</v>
      </c>
      <c r="CZ50" s="586" t="s">
        <v>16</v>
      </c>
      <c r="DA50" s="586" t="s">
        <v>16</v>
      </c>
      <c r="DB50" s="1433" t="s">
        <v>16</v>
      </c>
      <c r="DC50" s="580"/>
      <c r="DD50" s="390"/>
      <c r="DE50" s="390"/>
      <c r="DF50" s="628"/>
      <c r="DG50" s="580"/>
      <c r="DH50" s="628"/>
      <c r="DI50" s="580"/>
      <c r="DJ50" s="390"/>
      <c r="DK50" s="390"/>
      <c r="DL50" s="390"/>
      <c r="DM50" s="390"/>
      <c r="DN50" s="628"/>
      <c r="DO50" s="593" t="s">
        <v>99</v>
      </c>
      <c r="DP50" s="614"/>
      <c r="DQ50" s="205"/>
      <c r="DR50" s="205"/>
      <c r="DS50" s="615"/>
      <c r="DT50" s="205"/>
      <c r="DU50" s="1535"/>
      <c r="DV50" s="205"/>
      <c r="DW50" s="618">
        <v>0.2</v>
      </c>
      <c r="DX50" s="618">
        <v>0.4</v>
      </c>
      <c r="DY50" s="621">
        <v>0.6</v>
      </c>
      <c r="DZ50" s="618">
        <v>0.8</v>
      </c>
      <c r="EA50" s="617">
        <v>0.8</v>
      </c>
      <c r="EB50" s="618">
        <v>0.4</v>
      </c>
      <c r="EC50" s="618">
        <v>0.6</v>
      </c>
      <c r="ED50" s="618">
        <v>0.8</v>
      </c>
      <c r="EE50" s="621">
        <v>0.8</v>
      </c>
      <c r="EF50" s="618">
        <v>0.4</v>
      </c>
      <c r="EG50" s="617">
        <v>0.2</v>
      </c>
      <c r="EH50" s="615"/>
      <c r="EI50" s="205"/>
      <c r="EJ50" s="205"/>
      <c r="EK50" s="615"/>
      <c r="EL50" s="205"/>
      <c r="EM50" s="613"/>
      <c r="EN50" s="620">
        <v>0.1</v>
      </c>
      <c r="EO50" s="618">
        <v>0.1</v>
      </c>
      <c r="EP50" s="618">
        <v>0.1</v>
      </c>
      <c r="EQ50" s="621">
        <v>0.1</v>
      </c>
      <c r="ER50" s="618">
        <v>0.1</v>
      </c>
      <c r="ES50" s="617">
        <v>0.1</v>
      </c>
      <c r="ET50" s="618">
        <v>0.1</v>
      </c>
      <c r="EU50" s="618">
        <v>0.2</v>
      </c>
      <c r="EV50" s="618">
        <v>0.4</v>
      </c>
      <c r="EW50" s="621">
        <v>0.6</v>
      </c>
      <c r="EX50" s="618">
        <v>0.8</v>
      </c>
      <c r="EY50" s="617">
        <v>0.8</v>
      </c>
      <c r="EZ50" s="618">
        <v>0.4</v>
      </c>
      <c r="FA50" s="618">
        <v>0.6</v>
      </c>
      <c r="FB50" s="618">
        <v>0.8</v>
      </c>
      <c r="FC50" s="621">
        <v>0.8</v>
      </c>
      <c r="FD50" s="618">
        <v>0.4</v>
      </c>
      <c r="FE50" s="617">
        <v>0.2</v>
      </c>
      <c r="FF50" s="618">
        <v>0.1</v>
      </c>
      <c r="FG50" s="618">
        <v>0.1</v>
      </c>
      <c r="FH50" s="618">
        <v>0.1</v>
      </c>
      <c r="FI50" s="621">
        <v>0.1</v>
      </c>
      <c r="FJ50" s="618">
        <v>0.1</v>
      </c>
      <c r="FK50" s="622">
        <v>0.1</v>
      </c>
      <c r="FL50" s="580" t="s">
        <v>575</v>
      </c>
      <c r="FM50" s="620">
        <v>0.8</v>
      </c>
      <c r="FN50" s="618">
        <v>0.8</v>
      </c>
      <c r="FO50" s="618">
        <v>0.8</v>
      </c>
      <c r="FP50" s="621">
        <v>0.8</v>
      </c>
      <c r="FQ50" s="618">
        <v>0.8</v>
      </c>
      <c r="FR50" s="617">
        <v>0.8</v>
      </c>
      <c r="FS50" s="618">
        <v>0.8</v>
      </c>
      <c r="FT50" s="618">
        <v>0.8</v>
      </c>
      <c r="FU50" s="618">
        <v>0.8</v>
      </c>
      <c r="FV50" s="621">
        <v>0.8</v>
      </c>
      <c r="FW50" s="618">
        <v>0.8</v>
      </c>
      <c r="FX50" s="622">
        <v>0.8</v>
      </c>
      <c r="FY50" s="587">
        <v>0</v>
      </c>
      <c r="FZ50" s="613">
        <f t="shared" si="62"/>
        <v>365</v>
      </c>
      <c r="GA50" s="620">
        <f t="shared" si="2"/>
        <v>11</v>
      </c>
      <c r="GB50" s="618">
        <f t="shared" si="3"/>
        <v>6</v>
      </c>
      <c r="GC50" s="618">
        <f t="shared" si="4"/>
        <v>6</v>
      </c>
      <c r="GD50" s="618">
        <f t="shared" si="5"/>
        <v>0</v>
      </c>
      <c r="GE50" s="627">
        <f t="shared" si="63"/>
        <v>0.80000000000000016</v>
      </c>
      <c r="GF50" s="205">
        <f t="shared" si="31"/>
        <v>4020</v>
      </c>
      <c r="GG50" s="205">
        <f t="shared" si="7"/>
        <v>4020</v>
      </c>
      <c r="GH50" s="613">
        <f t="shared" si="64"/>
        <v>1750</v>
      </c>
      <c r="GI50" s="620">
        <f t="shared" si="8"/>
        <v>24</v>
      </c>
      <c r="GJ50" s="618">
        <f t="shared" si="9"/>
        <v>7.299999999999998</v>
      </c>
      <c r="GK50" s="618">
        <f t="shared" si="10"/>
        <v>2.4000000000000004</v>
      </c>
      <c r="GL50" s="613">
        <f t="shared" si="65"/>
        <v>2130</v>
      </c>
      <c r="GM50" s="1532"/>
      <c r="GN50" s="594" t="str">
        <f>Begriffe!F293</f>
        <v>- Je nach Hauptnutzung unterschiedliche Luftwechsel</v>
      </c>
      <c r="GO50" s="583" t="str">
        <f>Begriffe!F298</f>
        <v>- Öffentliche Parkhäuser mit erhöhtem Aussenluft-Volumenstrom: 6 m3/m2h</v>
      </c>
      <c r="GP50" s="583" t="str">
        <f>Begriffe!$F$285</f>
        <v>- Der Klimakälteleistungsbedarf und der jährliche Klimakältebedarf gelten für Räume ohne unterstützende Fensterlüftung</v>
      </c>
      <c r="GQ50" s="583"/>
      <c r="GR50" s="583"/>
      <c r="HB50" s="390" t="s">
        <v>123</v>
      </c>
      <c r="HC50" s="390">
        <f t="shared" si="61"/>
        <v>0.8</v>
      </c>
      <c r="HD50" s="390">
        <f t="shared" si="61"/>
        <v>0.6</v>
      </c>
      <c r="HE50" s="390">
        <f t="shared" si="61"/>
        <v>1</v>
      </c>
      <c r="HF50" s="390">
        <f t="shared" si="61"/>
        <v>0.8</v>
      </c>
      <c r="HG50" s="390">
        <f t="shared" si="61"/>
        <v>0.6</v>
      </c>
      <c r="HH50" s="390">
        <f t="shared" si="61"/>
        <v>1</v>
      </c>
      <c r="HI50" s="390">
        <f t="shared" si="61"/>
        <v>0.6</v>
      </c>
      <c r="HJ50" s="390">
        <f t="shared" si="61"/>
        <v>0.6</v>
      </c>
      <c r="HK50" s="390">
        <f t="shared" si="61"/>
        <v>1</v>
      </c>
      <c r="HL50" s="390">
        <f t="shared" si="61"/>
        <v>0.8</v>
      </c>
      <c r="HM50" s="390">
        <f t="shared" si="61"/>
        <v>1</v>
      </c>
      <c r="HN50" s="390">
        <f t="shared" si="61"/>
        <v>0.6</v>
      </c>
      <c r="HO50" s="390">
        <f t="shared" si="68"/>
        <v>0.78333333333333333</v>
      </c>
      <c r="HQ50" s="390">
        <v>0</v>
      </c>
      <c r="HS50" s="541">
        <v>1</v>
      </c>
      <c r="HT50" s="541">
        <v>1</v>
      </c>
      <c r="HU50" s="600">
        <v>1</v>
      </c>
      <c r="HV50" s="600">
        <v>1</v>
      </c>
      <c r="HW50" s="600">
        <v>1</v>
      </c>
      <c r="HX50" s="600">
        <v>1</v>
      </c>
      <c r="HY50" s="600">
        <v>1</v>
      </c>
      <c r="HZ50" s="379">
        <v>0</v>
      </c>
      <c r="IA50" s="379">
        <v>0</v>
      </c>
      <c r="IB50" s="379">
        <v>0</v>
      </c>
      <c r="IC50" s="390">
        <v>3</v>
      </c>
      <c r="ID50" s="1439">
        <v>0.15882352941176472</v>
      </c>
      <c r="IE50" s="1440">
        <f t="shared" si="32"/>
        <v>0</v>
      </c>
    </row>
    <row r="51" spans="1:239" s="379" customFormat="1" ht="12" customHeight="1">
      <c r="A51" s="1636">
        <v>12.1</v>
      </c>
      <c r="B51" s="539"/>
      <c r="C51" s="628" t="str">
        <f>Begriffe!F176</f>
        <v>Wasch- und Trockenraum</v>
      </c>
      <c r="D51" s="620">
        <v>6</v>
      </c>
      <c r="E51" s="618">
        <v>6</v>
      </c>
      <c r="F51" s="618">
        <v>3</v>
      </c>
      <c r="G51" s="205">
        <f t="shared" si="33"/>
        <v>36</v>
      </c>
      <c r="H51" s="205">
        <v>21.176470588235293</v>
      </c>
      <c r="I51" s="390">
        <v>30</v>
      </c>
      <c r="J51" s="1439">
        <v>0.75</v>
      </c>
      <c r="K51" s="628">
        <f t="shared" si="12"/>
        <v>40</v>
      </c>
      <c r="L51" s="630">
        <v>1</v>
      </c>
      <c r="M51" s="595">
        <v>0.8</v>
      </c>
      <c r="N51" s="595">
        <v>1.5</v>
      </c>
      <c r="O51" s="1439">
        <v>0.17</v>
      </c>
      <c r="P51" s="595">
        <v>0.1</v>
      </c>
      <c r="Q51" s="595">
        <v>0.8</v>
      </c>
      <c r="R51" s="1439">
        <v>0.5</v>
      </c>
      <c r="S51" s="1439">
        <v>0.5</v>
      </c>
      <c r="T51" s="1439">
        <v>0.65</v>
      </c>
      <c r="U51" s="1439">
        <v>0.14000000000000001</v>
      </c>
      <c r="V51" s="1439">
        <v>0.1</v>
      </c>
      <c r="W51" s="1439">
        <v>0.2</v>
      </c>
      <c r="X51" s="390">
        <v>0.7</v>
      </c>
      <c r="Y51" s="390">
        <v>0.9</v>
      </c>
      <c r="Z51" s="390">
        <v>90</v>
      </c>
      <c r="AA51" s="598">
        <v>110.7</v>
      </c>
      <c r="AB51" s="582"/>
      <c r="AC51" s="1440"/>
      <c r="AD51" s="1440"/>
      <c r="AE51" s="1440"/>
      <c r="AF51" s="578" t="s">
        <v>193</v>
      </c>
      <c r="AG51" s="1456" t="s">
        <v>122</v>
      </c>
      <c r="AH51" s="1456"/>
      <c r="AI51" s="1457"/>
      <c r="AJ51" s="1659" t="str">
        <f>Begriffe!F$245</f>
        <v>keine</v>
      </c>
      <c r="AK51" s="1456">
        <v>0</v>
      </c>
      <c r="AL51" s="1456" t="str">
        <f t="shared" si="56"/>
        <v/>
      </c>
      <c r="AM51" s="1456" t="str">
        <f t="shared" si="14"/>
        <v/>
      </c>
      <c r="AN51" s="1457" t="str">
        <f t="shared" si="15"/>
        <v/>
      </c>
      <c r="AO51" s="1458"/>
      <c r="AP51" s="637"/>
      <c r="AQ51" s="595">
        <v>1.2</v>
      </c>
      <c r="AR51" s="595"/>
      <c r="AS51" s="595">
        <v>1</v>
      </c>
      <c r="AT51" s="598">
        <f t="shared" si="16"/>
        <v>84</v>
      </c>
      <c r="AU51" s="598">
        <f t="shared" si="17"/>
        <v>94</v>
      </c>
      <c r="AV51" s="598">
        <f t="shared" si="18"/>
        <v>51</v>
      </c>
      <c r="AW51" s="598">
        <f t="shared" si="19"/>
        <v>66</v>
      </c>
      <c r="AX51" s="629">
        <v>40</v>
      </c>
      <c r="AY51" s="580">
        <v>20</v>
      </c>
      <c r="AZ51" s="390">
        <v>15</v>
      </c>
      <c r="BA51" s="390">
        <v>25</v>
      </c>
      <c r="BB51" s="390"/>
      <c r="BC51" s="390"/>
      <c r="BD51" s="390"/>
      <c r="BE51" s="390">
        <f t="shared" si="57"/>
        <v>20</v>
      </c>
      <c r="BF51" s="390">
        <f t="shared" si="58"/>
        <v>15</v>
      </c>
      <c r="BG51" s="390">
        <f t="shared" si="59"/>
        <v>25</v>
      </c>
      <c r="BH51" s="613">
        <v>10</v>
      </c>
      <c r="BI51" s="614">
        <f t="shared" si="23"/>
        <v>20</v>
      </c>
      <c r="BJ51" s="390">
        <v>100</v>
      </c>
      <c r="BK51" s="618">
        <f t="shared" si="24"/>
        <v>5</v>
      </c>
      <c r="BL51" s="637">
        <f t="shared" si="34"/>
        <v>300</v>
      </c>
      <c r="BM51" s="618">
        <v>1</v>
      </c>
      <c r="BN51" s="379">
        <v>300</v>
      </c>
      <c r="BO51" s="390" t="str">
        <f>Begriffe!$F$209</f>
        <v>SP</v>
      </c>
      <c r="BP51" s="1332">
        <v>0.4</v>
      </c>
      <c r="BQ51" s="618">
        <v>0.5</v>
      </c>
      <c r="BR51" s="627">
        <v>0.05</v>
      </c>
      <c r="BS51" s="1120">
        <v>90</v>
      </c>
      <c r="BT51" s="1120">
        <v>130</v>
      </c>
      <c r="BU51" s="598">
        <f t="shared" si="38"/>
        <v>11</v>
      </c>
      <c r="BV51" s="629">
        <f t="shared" si="25"/>
        <v>0</v>
      </c>
      <c r="BW51" s="582"/>
      <c r="BX51" s="595"/>
      <c r="BY51" s="390"/>
      <c r="BZ51" s="595">
        <v>4</v>
      </c>
      <c r="CA51" s="595"/>
      <c r="CB51" s="595">
        <f t="shared" si="1"/>
        <v>4</v>
      </c>
      <c r="CC51" s="390">
        <v>0</v>
      </c>
      <c r="CD51" s="1439">
        <v>0.15</v>
      </c>
      <c r="CE51" s="1439">
        <v>0.3</v>
      </c>
      <c r="CF51" s="379" t="str">
        <f t="shared" si="28"/>
        <v>IDA-C4</v>
      </c>
      <c r="CG51" s="379" t="str">
        <f t="shared" si="29"/>
        <v>IDA-C6</v>
      </c>
      <c r="CI51" s="379" t="str">
        <f>IF(CF51="IDA-C3",Begriffe!$F$248,IF(Eingabedaten!CF51="IDA-C4",Begriffe!$F$249,IF(Eingabedaten!CF51="IDA-C6",Begriffe!$F$250,"")))</f>
        <v>zweistufig</v>
      </c>
      <c r="CJ51" s="379" t="str">
        <f>IF(CG51="IDA-C3",Begriffe!$F$248,IF(Eingabedaten!CG51="IDA-C4",Begriffe!$F$249,IF(Eingabedaten!CG51="IDA-C6",Begriffe!$F$250,"")))</f>
        <v>stufenlos</v>
      </c>
      <c r="CK51" s="379" t="str">
        <f>IF(CH51="IDA-C3",Begriffe!$F$248,IF(Eingabedaten!CH51="IDA-C4",Begriffe!$F$249,IF(Eingabedaten!CH51="IDA-C6",Begriffe!$F$250,"")))</f>
        <v/>
      </c>
      <c r="CL51" s="1439">
        <v>0.73</v>
      </c>
      <c r="CM51" s="1837">
        <v>0.78</v>
      </c>
      <c r="CN51" s="1439"/>
      <c r="CO51" s="1837">
        <v>0.7</v>
      </c>
      <c r="CP51" s="1837">
        <v>0.75</v>
      </c>
      <c r="CQ51" s="1461"/>
      <c r="CR51" s="586" t="str">
        <f>Begriffe!$F$251</f>
        <v>Einfache Lüftungsanlage</v>
      </c>
      <c r="CS51" s="586">
        <v>0.41</v>
      </c>
      <c r="CT51" s="586">
        <v>0.28000000000000003</v>
      </c>
      <c r="CU51" s="586">
        <v>0.16600000000000001</v>
      </c>
      <c r="CV51" s="1433">
        <v>0.4</v>
      </c>
      <c r="CW51" s="1469" t="s">
        <v>16</v>
      </c>
      <c r="CX51" s="586" t="s">
        <v>16</v>
      </c>
      <c r="CY51" s="586" t="s">
        <v>16</v>
      </c>
      <c r="CZ51" s="586" t="s">
        <v>16</v>
      </c>
      <c r="DA51" s="586" t="s">
        <v>16</v>
      </c>
      <c r="DB51" s="1433" t="s">
        <v>16</v>
      </c>
      <c r="DC51" s="580"/>
      <c r="DD51" s="390"/>
      <c r="DE51" s="390"/>
      <c r="DF51" s="628"/>
      <c r="DG51" s="580">
        <v>0.1</v>
      </c>
      <c r="DH51" s="628">
        <f t="shared" si="30"/>
        <v>0.5</v>
      </c>
      <c r="DI51" s="580"/>
      <c r="DJ51" s="390"/>
      <c r="DK51" s="390"/>
      <c r="DL51" s="390"/>
      <c r="DM51" s="390"/>
      <c r="DN51" s="628"/>
      <c r="DO51" s="593" t="s">
        <v>99</v>
      </c>
      <c r="DP51" s="614"/>
      <c r="DQ51" s="205"/>
      <c r="DR51" s="205"/>
      <c r="DS51" s="615"/>
      <c r="DT51" s="205"/>
      <c r="DU51" s="1535"/>
      <c r="DV51" s="205"/>
      <c r="DW51" s="618">
        <v>0.2</v>
      </c>
      <c r="DX51" s="618">
        <v>0.4</v>
      </c>
      <c r="DY51" s="621">
        <v>0.6</v>
      </c>
      <c r="DZ51" s="618">
        <v>0.8</v>
      </c>
      <c r="EA51" s="617">
        <v>0.8</v>
      </c>
      <c r="EB51" s="618">
        <v>0.4</v>
      </c>
      <c r="EC51" s="618">
        <v>0.6</v>
      </c>
      <c r="ED51" s="618">
        <v>0.8</v>
      </c>
      <c r="EE51" s="621">
        <v>0.8</v>
      </c>
      <c r="EF51" s="618">
        <v>0.4</v>
      </c>
      <c r="EG51" s="617">
        <v>0.2</v>
      </c>
      <c r="EH51" s="615"/>
      <c r="EI51" s="205"/>
      <c r="EJ51" s="205"/>
      <c r="EK51" s="615"/>
      <c r="EL51" s="205"/>
      <c r="EM51" s="613"/>
      <c r="EN51" s="620">
        <v>0.1</v>
      </c>
      <c r="EO51" s="618">
        <v>0.1</v>
      </c>
      <c r="EP51" s="618">
        <v>0.1</v>
      </c>
      <c r="EQ51" s="621">
        <v>0.1</v>
      </c>
      <c r="ER51" s="618">
        <v>0.1</v>
      </c>
      <c r="ES51" s="617">
        <v>0.1</v>
      </c>
      <c r="ET51" s="618">
        <v>0.1</v>
      </c>
      <c r="EU51" s="618">
        <v>0.2</v>
      </c>
      <c r="EV51" s="618">
        <v>0.4</v>
      </c>
      <c r="EW51" s="621">
        <v>0.6</v>
      </c>
      <c r="EX51" s="618">
        <v>0.8</v>
      </c>
      <c r="EY51" s="617">
        <v>0.8</v>
      </c>
      <c r="EZ51" s="618">
        <v>0.4</v>
      </c>
      <c r="FA51" s="618">
        <v>0.6</v>
      </c>
      <c r="FB51" s="618">
        <v>0.8</v>
      </c>
      <c r="FC51" s="621">
        <v>0.8</v>
      </c>
      <c r="FD51" s="618">
        <v>0.4</v>
      </c>
      <c r="FE51" s="617">
        <v>0.2</v>
      </c>
      <c r="FF51" s="618">
        <v>0.1</v>
      </c>
      <c r="FG51" s="618">
        <v>0.1</v>
      </c>
      <c r="FH51" s="618">
        <v>0.1</v>
      </c>
      <c r="FI51" s="621">
        <v>0.1</v>
      </c>
      <c r="FJ51" s="618">
        <v>0.1</v>
      </c>
      <c r="FK51" s="622">
        <v>0.1</v>
      </c>
      <c r="FL51" s="580" t="s">
        <v>575</v>
      </c>
      <c r="FM51" s="620">
        <v>0.8</v>
      </c>
      <c r="FN51" s="618">
        <v>0.8</v>
      </c>
      <c r="FO51" s="618">
        <v>0.8</v>
      </c>
      <c r="FP51" s="621">
        <v>0.8</v>
      </c>
      <c r="FQ51" s="618">
        <v>0.8</v>
      </c>
      <c r="FR51" s="617">
        <v>0.8</v>
      </c>
      <c r="FS51" s="618">
        <v>0.8</v>
      </c>
      <c r="FT51" s="618">
        <v>0.8</v>
      </c>
      <c r="FU51" s="618">
        <v>0.8</v>
      </c>
      <c r="FV51" s="621">
        <v>0.8</v>
      </c>
      <c r="FW51" s="618">
        <v>0.8</v>
      </c>
      <c r="FX51" s="622">
        <v>0.8</v>
      </c>
      <c r="FY51" s="587">
        <v>0</v>
      </c>
      <c r="FZ51" s="613">
        <f t="shared" si="62"/>
        <v>365</v>
      </c>
      <c r="GA51" s="620">
        <f t="shared" si="2"/>
        <v>11</v>
      </c>
      <c r="GB51" s="618">
        <f t="shared" si="3"/>
        <v>6</v>
      </c>
      <c r="GC51" s="618">
        <f t="shared" si="4"/>
        <v>6</v>
      </c>
      <c r="GD51" s="618">
        <f t="shared" si="5"/>
        <v>0</v>
      </c>
      <c r="GE51" s="627">
        <f t="shared" si="63"/>
        <v>0.80000000000000016</v>
      </c>
      <c r="GF51" s="205">
        <f t="shared" si="31"/>
        <v>4020</v>
      </c>
      <c r="GG51" s="205">
        <f t="shared" si="7"/>
        <v>4020</v>
      </c>
      <c r="GH51" s="613">
        <f t="shared" si="64"/>
        <v>1750</v>
      </c>
      <c r="GI51" s="620">
        <f t="shared" si="8"/>
        <v>24</v>
      </c>
      <c r="GJ51" s="618">
        <f t="shared" si="9"/>
        <v>7.299999999999998</v>
      </c>
      <c r="GK51" s="618">
        <f t="shared" si="10"/>
        <v>2.4000000000000004</v>
      </c>
      <c r="GL51" s="613">
        <f t="shared" si="65"/>
        <v>2130</v>
      </c>
      <c r="GM51" s="1533"/>
      <c r="GO51" s="379" t="str">
        <f>IF(CH51=0,Begriffe!$F$297,"")</f>
        <v>- Keine Lüftungsanlage im Bestand</v>
      </c>
      <c r="GP51" s="583" t="str">
        <f>Begriffe!$F$285</f>
        <v>- Der Klimakälteleistungsbedarf und der jährliche Klimakältebedarf gelten für Räume ohne unterstützende Fensterlüftung</v>
      </c>
      <c r="GQ51" s="583"/>
      <c r="GR51" s="583" t="str">
        <f>Begriffe!$F$332</f>
        <v>- Wasser- und Warmwasserbedarf werden durch die Hauptnutzung bestimmt</v>
      </c>
      <c r="HB51" s="390" t="s">
        <v>123</v>
      </c>
      <c r="HC51" s="390">
        <f t="shared" si="61"/>
        <v>0.8</v>
      </c>
      <c r="HD51" s="390">
        <f t="shared" si="61"/>
        <v>0.6</v>
      </c>
      <c r="HE51" s="390">
        <f t="shared" si="61"/>
        <v>1</v>
      </c>
      <c r="HF51" s="390">
        <f t="shared" si="61"/>
        <v>0.8</v>
      </c>
      <c r="HG51" s="390">
        <f t="shared" si="61"/>
        <v>0.6</v>
      </c>
      <c r="HH51" s="390">
        <f t="shared" si="61"/>
        <v>1</v>
      </c>
      <c r="HI51" s="390">
        <f t="shared" si="61"/>
        <v>0.6</v>
      </c>
      <c r="HJ51" s="390">
        <f t="shared" si="61"/>
        <v>0.6</v>
      </c>
      <c r="HK51" s="390">
        <f t="shared" si="61"/>
        <v>1</v>
      </c>
      <c r="HL51" s="390">
        <f t="shared" si="61"/>
        <v>0.8</v>
      </c>
      <c r="HM51" s="390">
        <f t="shared" si="61"/>
        <v>1</v>
      </c>
      <c r="HN51" s="390">
        <f t="shared" si="61"/>
        <v>0.6</v>
      </c>
      <c r="HO51" s="390">
        <f t="shared" si="68"/>
        <v>0.78333333333333333</v>
      </c>
      <c r="HQ51" s="390">
        <v>2</v>
      </c>
      <c r="HS51" s="541">
        <v>0</v>
      </c>
      <c r="HT51" s="541">
        <v>0</v>
      </c>
      <c r="HU51" s="600">
        <v>1</v>
      </c>
      <c r="HV51" s="600">
        <v>1</v>
      </c>
      <c r="HW51" s="600">
        <v>1</v>
      </c>
      <c r="HX51" s="600">
        <v>1</v>
      </c>
      <c r="HY51" s="600">
        <v>1</v>
      </c>
      <c r="HZ51" s="379">
        <v>13</v>
      </c>
      <c r="IA51" s="379">
        <v>14</v>
      </c>
      <c r="IB51" s="379">
        <v>0.7</v>
      </c>
      <c r="IC51" s="390">
        <v>3</v>
      </c>
      <c r="ID51" s="1439">
        <v>0.52941176470588236</v>
      </c>
      <c r="IE51" s="1440">
        <f t="shared" si="32"/>
        <v>20.411764705882355</v>
      </c>
    </row>
    <row r="52" spans="1:239" s="379" customFormat="1" ht="12" customHeight="1">
      <c r="A52" s="1641">
        <v>12.11</v>
      </c>
      <c r="B52" s="539"/>
      <c r="C52" s="628" t="str">
        <f>Begriffe!F177</f>
        <v>Kühlraum</v>
      </c>
      <c r="D52" s="620">
        <v>6</v>
      </c>
      <c r="E52" s="618">
        <v>6</v>
      </c>
      <c r="F52" s="618">
        <v>3</v>
      </c>
      <c r="G52" s="205">
        <f t="shared" si="33"/>
        <v>36</v>
      </c>
      <c r="H52" s="205">
        <v>21.176470588235293</v>
      </c>
      <c r="I52" s="390">
        <v>0</v>
      </c>
      <c r="J52" s="1439">
        <v>0.75</v>
      </c>
      <c r="K52" s="628">
        <f t="shared" si="12"/>
        <v>0</v>
      </c>
      <c r="L52" s="630">
        <v>1</v>
      </c>
      <c r="M52" s="595">
        <v>0.8</v>
      </c>
      <c r="N52" s="595">
        <v>1.5</v>
      </c>
      <c r="O52" s="1439">
        <v>0.17</v>
      </c>
      <c r="P52" s="595">
        <v>0.1</v>
      </c>
      <c r="Q52" s="595">
        <v>0.8</v>
      </c>
      <c r="R52" s="1439">
        <v>0.5</v>
      </c>
      <c r="S52" s="1439">
        <v>0.5</v>
      </c>
      <c r="T52" s="1439">
        <v>0.65</v>
      </c>
      <c r="U52" s="1439">
        <v>0.14000000000000001</v>
      </c>
      <c r="V52" s="1439">
        <v>0.1</v>
      </c>
      <c r="W52" s="1439">
        <v>0.2</v>
      </c>
      <c r="X52" s="390">
        <v>0.7</v>
      </c>
      <c r="Y52" s="390">
        <v>0.9</v>
      </c>
      <c r="Z52" s="390">
        <v>90</v>
      </c>
      <c r="AA52" s="598">
        <v>111</v>
      </c>
      <c r="AB52" s="582"/>
      <c r="AC52" s="1440"/>
      <c r="AD52" s="1440"/>
      <c r="AE52" s="1440"/>
      <c r="AF52" s="578" t="s">
        <v>22</v>
      </c>
      <c r="AG52" s="1456"/>
      <c r="AH52" s="1456"/>
      <c r="AI52" s="1457"/>
      <c r="AJ52" s="1659" t="str">
        <f>Begriffe!F$245</f>
        <v>keine</v>
      </c>
      <c r="AK52" s="1456">
        <v>0</v>
      </c>
      <c r="AL52" s="1456" t="str">
        <f t="shared" si="56"/>
        <v/>
      </c>
      <c r="AM52" s="1456" t="str">
        <f t="shared" si="14"/>
        <v/>
      </c>
      <c r="AN52" s="1457" t="str">
        <f t="shared" si="15"/>
        <v/>
      </c>
      <c r="AO52" s="1458"/>
      <c r="AP52" s="637"/>
      <c r="AQ52" s="595">
        <v>1.2</v>
      </c>
      <c r="AR52" s="595">
        <v>3</v>
      </c>
      <c r="AS52" s="595">
        <v>3</v>
      </c>
      <c r="AT52" s="598">
        <f t="shared" si="16"/>
        <v>84</v>
      </c>
      <c r="AU52" s="598">
        <f t="shared" si="17"/>
        <v>94</v>
      </c>
      <c r="AV52" s="598">
        <f t="shared" si="18"/>
        <v>51</v>
      </c>
      <c r="AW52" s="598">
        <f t="shared" si="19"/>
        <v>66</v>
      </c>
      <c r="AX52" s="632"/>
      <c r="AY52" s="580"/>
      <c r="AZ52" s="390"/>
      <c r="BA52" s="390"/>
      <c r="BB52" s="390">
        <v>100</v>
      </c>
      <c r="BC52" s="390">
        <v>80</v>
      </c>
      <c r="BD52" s="390">
        <v>120</v>
      </c>
      <c r="BE52" s="390">
        <f t="shared" si="57"/>
        <v>0</v>
      </c>
      <c r="BF52" s="390">
        <f t="shared" si="58"/>
        <v>0</v>
      </c>
      <c r="BG52" s="390">
        <f t="shared" si="59"/>
        <v>0</v>
      </c>
      <c r="BH52" s="613">
        <v>40</v>
      </c>
      <c r="BI52" s="614">
        <f t="shared" si="23"/>
        <v>100</v>
      </c>
      <c r="BJ52" s="390">
        <v>200</v>
      </c>
      <c r="BK52" s="618">
        <f t="shared" si="24"/>
        <v>2</v>
      </c>
      <c r="BL52" s="637">
        <f t="shared" si="34"/>
        <v>100</v>
      </c>
      <c r="BM52" s="618">
        <v>1</v>
      </c>
      <c r="BN52" s="379">
        <v>100</v>
      </c>
      <c r="BO52" s="390" t="str">
        <f>Begriffe!$F$209</f>
        <v>SP</v>
      </c>
      <c r="BP52" s="1332">
        <v>0.4</v>
      </c>
      <c r="BQ52" s="618">
        <v>0.5</v>
      </c>
      <c r="BR52" s="627">
        <v>0.05</v>
      </c>
      <c r="BS52" s="1120">
        <v>90</v>
      </c>
      <c r="BT52" s="1120">
        <v>130</v>
      </c>
      <c r="BU52" s="595">
        <v>0.5</v>
      </c>
      <c r="BV52" s="629">
        <f t="shared" si="25"/>
        <v>0</v>
      </c>
      <c r="BW52" s="582"/>
      <c r="BX52" s="595"/>
      <c r="BY52" s="390"/>
      <c r="BZ52" s="618">
        <v>0</v>
      </c>
      <c r="CA52" s="618"/>
      <c r="CB52" s="595">
        <f t="shared" si="1"/>
        <v>0</v>
      </c>
      <c r="CC52" s="390">
        <v>0</v>
      </c>
      <c r="CD52" s="1439">
        <v>0.15</v>
      </c>
      <c r="CE52" s="1439">
        <v>0.3</v>
      </c>
      <c r="CI52" s="379" t="str">
        <f>IF(CF52="IDA-C3",Begriffe!$F$248,IF(Eingabedaten!CF52="IDA-C4",Begriffe!$F$249,IF(Eingabedaten!CF52="IDA-C6",Begriffe!$F$250,"")))</f>
        <v/>
      </c>
      <c r="CJ52" s="379" t="str">
        <f>IF(CG52="IDA-C3",Begriffe!$F$248,IF(Eingabedaten!CG52="IDA-C4",Begriffe!$F$249,IF(Eingabedaten!CG52="IDA-C6",Begriffe!$F$250,"")))</f>
        <v/>
      </c>
      <c r="CK52" s="379" t="str">
        <f>IF(CH52="IDA-C3",Begriffe!$F$248,IF(Eingabedaten!CH52="IDA-C4",Begriffe!$F$249,IF(Eingabedaten!CH52="IDA-C6",Begriffe!$F$250,"")))</f>
        <v/>
      </c>
      <c r="CL52" s="1439"/>
      <c r="CM52" s="1837"/>
      <c r="CN52" s="1439"/>
      <c r="CO52" s="1837"/>
      <c r="CP52" s="1837"/>
      <c r="CQ52" s="1461"/>
      <c r="CR52" s="586" t="str">
        <f>Begriffe!$F$256</f>
        <v>keine Lüftungsanlage</v>
      </c>
      <c r="CS52" s="586">
        <v>0</v>
      </c>
      <c r="CT52" s="586">
        <v>0</v>
      </c>
      <c r="CU52" s="586">
        <v>0</v>
      </c>
      <c r="CV52" s="1433"/>
      <c r="CW52" s="1469" t="s">
        <v>16</v>
      </c>
      <c r="CX52" s="586" t="s">
        <v>16</v>
      </c>
      <c r="CY52" s="586" t="s">
        <v>16</v>
      </c>
      <c r="CZ52" s="586" t="s">
        <v>16</v>
      </c>
      <c r="DA52" s="586" t="s">
        <v>16</v>
      </c>
      <c r="DB52" s="1433" t="s">
        <v>16</v>
      </c>
      <c r="DC52" s="580"/>
      <c r="DD52" s="390"/>
      <c r="DE52" s="390"/>
      <c r="DF52" s="628"/>
      <c r="DG52" s="580"/>
      <c r="DH52" s="628"/>
      <c r="DI52" s="580"/>
      <c r="DJ52" s="390"/>
      <c r="DK52" s="390"/>
      <c r="DL52" s="390"/>
      <c r="DM52" s="390"/>
      <c r="DN52" s="628"/>
      <c r="DO52" s="635" t="s">
        <v>101</v>
      </c>
      <c r="DP52" s="614"/>
      <c r="DQ52" s="205"/>
      <c r="DR52" s="205"/>
      <c r="DS52" s="615"/>
      <c r="DT52" s="205"/>
      <c r="DU52" s="1535"/>
      <c r="DV52" s="615"/>
      <c r="DW52" s="205"/>
      <c r="DX52" s="205"/>
      <c r="DY52" s="615"/>
      <c r="DZ52" s="205"/>
      <c r="EA52" s="205"/>
      <c r="EB52" s="615"/>
      <c r="EC52" s="205"/>
      <c r="ED52" s="205"/>
      <c r="EE52" s="615"/>
      <c r="EF52" s="205"/>
      <c r="EG52" s="205"/>
      <c r="EH52" s="615"/>
      <c r="EI52" s="205"/>
      <c r="EJ52" s="205"/>
      <c r="EK52" s="615"/>
      <c r="EL52" s="205"/>
      <c r="EM52" s="613"/>
      <c r="EN52" s="620">
        <v>0.4</v>
      </c>
      <c r="EO52" s="618">
        <v>0.4</v>
      </c>
      <c r="EP52" s="636">
        <v>0.4</v>
      </c>
      <c r="EQ52" s="618">
        <v>0.4</v>
      </c>
      <c r="ER52" s="618">
        <v>0.4</v>
      </c>
      <c r="ES52" s="618">
        <v>0.4</v>
      </c>
      <c r="ET52" s="636">
        <v>0.4</v>
      </c>
      <c r="EU52" s="618">
        <v>0.4</v>
      </c>
      <c r="EV52" s="618">
        <v>0.4</v>
      </c>
      <c r="EW52" s="621">
        <v>0.8</v>
      </c>
      <c r="EX52" s="618">
        <v>1</v>
      </c>
      <c r="EY52" s="617">
        <v>1</v>
      </c>
      <c r="EZ52" s="618">
        <v>0.6</v>
      </c>
      <c r="FA52" s="618">
        <v>0.4</v>
      </c>
      <c r="FB52" s="636">
        <v>0.4</v>
      </c>
      <c r="FC52" s="618">
        <v>0.4</v>
      </c>
      <c r="FD52" s="618">
        <v>0.4</v>
      </c>
      <c r="FE52" s="636">
        <v>0.4</v>
      </c>
      <c r="FF52" s="618">
        <v>0.4</v>
      </c>
      <c r="FG52" s="618">
        <v>0.4</v>
      </c>
      <c r="FH52" s="636">
        <v>0.4</v>
      </c>
      <c r="FI52" s="618">
        <v>0.4</v>
      </c>
      <c r="FJ52" s="618">
        <v>0.4</v>
      </c>
      <c r="FK52" s="622">
        <v>0.4</v>
      </c>
      <c r="FL52" s="637" t="s">
        <v>575</v>
      </c>
      <c r="FM52" s="620">
        <v>0.8</v>
      </c>
      <c r="FN52" s="618">
        <v>0.8</v>
      </c>
      <c r="FO52" s="618">
        <v>0.8</v>
      </c>
      <c r="FP52" s="621">
        <v>0.8</v>
      </c>
      <c r="FQ52" s="618">
        <v>0.8</v>
      </c>
      <c r="FR52" s="617">
        <v>0.8</v>
      </c>
      <c r="FS52" s="618">
        <v>0.8</v>
      </c>
      <c r="FT52" s="618">
        <v>0.8</v>
      </c>
      <c r="FU52" s="618">
        <v>0.8</v>
      </c>
      <c r="FV52" s="621">
        <v>0.8</v>
      </c>
      <c r="FW52" s="618">
        <v>0.8</v>
      </c>
      <c r="FX52" s="622">
        <v>0.8</v>
      </c>
      <c r="FY52" s="587">
        <v>2</v>
      </c>
      <c r="FZ52" s="613">
        <f t="shared" si="62"/>
        <v>261</v>
      </c>
      <c r="GA52" s="620">
        <f t="shared" si="2"/>
        <v>0</v>
      </c>
      <c r="GB52" s="618">
        <f t="shared" si="3"/>
        <v>0</v>
      </c>
      <c r="GC52" s="618">
        <f t="shared" si="4"/>
        <v>0</v>
      </c>
      <c r="GD52" s="618">
        <f t="shared" si="5"/>
        <v>0</v>
      </c>
      <c r="GE52" s="627">
        <f t="shared" si="63"/>
        <v>0.80000000000000016</v>
      </c>
      <c r="GF52" s="205">
        <f t="shared" si="31"/>
        <v>0</v>
      </c>
      <c r="GG52" s="205">
        <f t="shared" si="7"/>
        <v>130</v>
      </c>
      <c r="GH52" s="613">
        <f t="shared" si="64"/>
        <v>0</v>
      </c>
      <c r="GI52" s="620">
        <f t="shared" si="8"/>
        <v>24</v>
      </c>
      <c r="GJ52" s="618">
        <f t="shared" si="9"/>
        <v>11.400000000000002</v>
      </c>
      <c r="GK52" s="205">
        <f t="shared" si="10"/>
        <v>9.6000000000000014</v>
      </c>
      <c r="GL52" s="613">
        <f t="shared" si="65"/>
        <v>3180</v>
      </c>
      <c r="GM52" s="1532" t="str">
        <f>Begriffe!F294</f>
        <v>- Pluskälte 2°C</v>
      </c>
      <c r="GN52" s="594" t="str">
        <f>Begriffe!F278</f>
        <v>- Gewerbliche Kälte ist unter Prozessanlagen verbucht</v>
      </c>
      <c r="GP52" s="379" t="str">
        <f>Begriffe!$F$285</f>
        <v>- Der Klimakälteleistungsbedarf und der jährliche Klimakältebedarf gelten für Räume ohne unterstützende Fensterlüftung</v>
      </c>
      <c r="GQ52" s="379" t="str">
        <f>Begriffe!$F$286</f>
        <v>- Die Wärmeeinträge von Prozessanlagen sind beim Klimakälte- und Heizwärmebedarf nicht berücksichtigt</v>
      </c>
      <c r="GR52" s="463"/>
      <c r="HB52" s="390" t="s">
        <v>123</v>
      </c>
      <c r="HC52" s="390">
        <f t="shared" si="61"/>
        <v>0.8</v>
      </c>
      <c r="HD52" s="390">
        <f t="shared" si="61"/>
        <v>0.6</v>
      </c>
      <c r="HE52" s="390">
        <f t="shared" si="61"/>
        <v>1</v>
      </c>
      <c r="HF52" s="390">
        <f t="shared" si="61"/>
        <v>0.8</v>
      </c>
      <c r="HG52" s="390">
        <f t="shared" si="61"/>
        <v>0.6</v>
      </c>
      <c r="HH52" s="390">
        <f t="shared" si="61"/>
        <v>1</v>
      </c>
      <c r="HI52" s="390">
        <f t="shared" si="61"/>
        <v>0.6</v>
      </c>
      <c r="HJ52" s="390">
        <f t="shared" si="61"/>
        <v>0.6</v>
      </c>
      <c r="HK52" s="390">
        <f t="shared" si="61"/>
        <v>1</v>
      </c>
      <c r="HL52" s="390">
        <f t="shared" si="61"/>
        <v>0.8</v>
      </c>
      <c r="HM52" s="390">
        <f t="shared" si="61"/>
        <v>1</v>
      </c>
      <c r="HN52" s="390">
        <f t="shared" si="61"/>
        <v>0.6</v>
      </c>
      <c r="HO52" s="390">
        <f t="shared" si="68"/>
        <v>0.78333333333333333</v>
      </c>
      <c r="HQ52" s="390">
        <v>2</v>
      </c>
      <c r="HS52" s="541">
        <v>0</v>
      </c>
      <c r="HT52" s="541">
        <v>0</v>
      </c>
      <c r="HU52" s="600">
        <v>1</v>
      </c>
      <c r="HV52" s="600">
        <v>1</v>
      </c>
      <c r="HW52" s="600">
        <v>1</v>
      </c>
      <c r="HX52" s="600">
        <v>1</v>
      </c>
      <c r="HY52" s="600">
        <v>1</v>
      </c>
      <c r="HZ52" s="379">
        <v>0</v>
      </c>
      <c r="IA52" s="379">
        <v>0</v>
      </c>
      <c r="IB52" s="379">
        <v>0</v>
      </c>
      <c r="IC52" s="390">
        <v>3</v>
      </c>
      <c r="ID52" s="1439">
        <v>0.52941176470588236</v>
      </c>
      <c r="IE52" s="1440">
        <f t="shared" si="32"/>
        <v>0</v>
      </c>
    </row>
    <row r="53" spans="1:239" s="379" customFormat="1" ht="12" customHeight="1">
      <c r="A53" s="1643">
        <v>12.12</v>
      </c>
      <c r="B53" s="1644" t="s">
        <v>204</v>
      </c>
      <c r="C53" s="592" t="str">
        <f>Begriffe!F178</f>
        <v>Serverraum</v>
      </c>
      <c r="D53" s="1441">
        <v>4</v>
      </c>
      <c r="E53" s="601">
        <v>5</v>
      </c>
      <c r="F53" s="642">
        <v>3</v>
      </c>
      <c r="G53" s="641">
        <f t="shared" si="33"/>
        <v>20</v>
      </c>
      <c r="H53" s="641">
        <v>14.117647058823529</v>
      </c>
      <c r="I53" s="641">
        <v>0</v>
      </c>
      <c r="J53" s="1442">
        <v>0.75</v>
      </c>
      <c r="K53" s="640">
        <f t="shared" si="12"/>
        <v>0</v>
      </c>
      <c r="L53" s="1441">
        <v>1</v>
      </c>
      <c r="M53" s="601">
        <v>0.8</v>
      </c>
      <c r="N53" s="601">
        <v>1.5</v>
      </c>
      <c r="O53" s="1442">
        <v>0.17</v>
      </c>
      <c r="P53" s="601">
        <v>0.1</v>
      </c>
      <c r="Q53" s="601">
        <v>0.8</v>
      </c>
      <c r="R53" s="1442">
        <v>0.5</v>
      </c>
      <c r="S53" s="1442">
        <v>0.5</v>
      </c>
      <c r="T53" s="1442">
        <v>0.65</v>
      </c>
      <c r="U53" s="1442">
        <v>0.14000000000000001</v>
      </c>
      <c r="V53" s="1442">
        <v>0.1</v>
      </c>
      <c r="W53" s="1442">
        <v>0.2</v>
      </c>
      <c r="X53" s="385">
        <v>0.7</v>
      </c>
      <c r="Y53" s="385">
        <v>0.9</v>
      </c>
      <c r="Z53" s="385">
        <v>90</v>
      </c>
      <c r="AA53" s="602">
        <v>121.3</v>
      </c>
      <c r="AB53" s="576">
        <v>26</v>
      </c>
      <c r="AC53" s="639"/>
      <c r="AD53" s="639">
        <v>25</v>
      </c>
      <c r="AE53" s="639"/>
      <c r="AF53" s="639" t="s">
        <v>22</v>
      </c>
      <c r="AG53" s="1443"/>
      <c r="AH53" s="1443">
        <v>60</v>
      </c>
      <c r="AI53" s="1444">
        <v>30</v>
      </c>
      <c r="AJ53" s="1658" t="str">
        <f>Begriffe!F$245</f>
        <v>keine</v>
      </c>
      <c r="AK53" s="1443">
        <v>0</v>
      </c>
      <c r="AL53" s="1443" t="str">
        <f t="shared" si="56"/>
        <v/>
      </c>
      <c r="AM53" s="1443" t="str">
        <f t="shared" si="14"/>
        <v/>
      </c>
      <c r="AN53" s="1444" t="str">
        <f t="shared" si="15"/>
        <v/>
      </c>
      <c r="AO53" s="1444"/>
      <c r="AP53" s="574"/>
      <c r="AQ53" s="601">
        <v>1.2</v>
      </c>
      <c r="AR53" s="385">
        <v>0.5</v>
      </c>
      <c r="AS53" s="601">
        <v>1</v>
      </c>
      <c r="AT53" s="602">
        <f t="shared" si="16"/>
        <v>84</v>
      </c>
      <c r="AU53" s="602">
        <f t="shared" si="17"/>
        <v>94</v>
      </c>
      <c r="AV53" s="602">
        <f t="shared" si="18"/>
        <v>51</v>
      </c>
      <c r="AW53" s="602">
        <f t="shared" si="19"/>
        <v>66</v>
      </c>
      <c r="AX53" s="1447"/>
      <c r="AY53" s="1448">
        <v>0</v>
      </c>
      <c r="AZ53" s="602">
        <v>0</v>
      </c>
      <c r="BA53" s="602">
        <v>0</v>
      </c>
      <c r="BB53" s="602">
        <v>150</v>
      </c>
      <c r="BC53" s="602">
        <v>100</v>
      </c>
      <c r="BD53" s="602">
        <v>200</v>
      </c>
      <c r="BE53" s="602">
        <f t="shared" si="57"/>
        <v>0</v>
      </c>
      <c r="BF53" s="602">
        <f t="shared" si="58"/>
        <v>0</v>
      </c>
      <c r="BG53" s="602">
        <f t="shared" si="59"/>
        <v>0</v>
      </c>
      <c r="BH53" s="640">
        <v>100</v>
      </c>
      <c r="BI53" s="1123">
        <f t="shared" si="23"/>
        <v>150</v>
      </c>
      <c r="BJ53" s="387">
        <v>300</v>
      </c>
      <c r="BK53" s="642">
        <f t="shared" si="24"/>
        <v>2</v>
      </c>
      <c r="BL53" s="1818">
        <v>200</v>
      </c>
      <c r="BM53" s="1821">
        <v>1</v>
      </c>
      <c r="BN53" s="1093">
        <v>200</v>
      </c>
      <c r="BO53" s="387" t="str">
        <f>Begriffe!$F$207</f>
        <v>DP</v>
      </c>
      <c r="BP53" s="642">
        <v>1</v>
      </c>
      <c r="BQ53" s="642">
        <v>0.5</v>
      </c>
      <c r="BR53" s="385">
        <v>0.05</v>
      </c>
      <c r="BS53" s="1806">
        <v>90</v>
      </c>
      <c r="BT53" s="1806">
        <v>130</v>
      </c>
      <c r="BU53" s="601">
        <v>0.5</v>
      </c>
      <c r="BV53" s="1073">
        <f t="shared" si="25"/>
        <v>0</v>
      </c>
      <c r="BW53" s="576"/>
      <c r="BX53" s="642"/>
      <c r="BY53" s="385"/>
      <c r="BZ53" s="601">
        <v>0.5</v>
      </c>
      <c r="CA53" s="601"/>
      <c r="CB53" s="601">
        <f t="shared" si="1"/>
        <v>0.5</v>
      </c>
      <c r="CC53" s="385">
        <v>0</v>
      </c>
      <c r="CD53" s="648">
        <v>0.15</v>
      </c>
      <c r="CE53" s="648">
        <v>0.3</v>
      </c>
      <c r="CF53" s="589" t="str">
        <f t="shared" si="28"/>
        <v>IDA-C3</v>
      </c>
      <c r="CG53" s="589" t="str">
        <f t="shared" si="29"/>
        <v>IDA-C4</v>
      </c>
      <c r="CH53" s="589" t="str">
        <f t="shared" ref="CH53" si="69">IF(CB53&lt;3,"IDA-C3","IDA-C4")</f>
        <v>IDA-C3</v>
      </c>
      <c r="CI53" s="589" t="str">
        <f>IF(CF53="IDA-C3",Begriffe!$F$248,IF(Eingabedaten!CF53="IDA-C4",Begriffe!$F$249,IF(Eingabedaten!CF53="IDA-C6",Begriffe!$F$250,"")))</f>
        <v>einstufig</v>
      </c>
      <c r="CJ53" s="589" t="str">
        <f>IF(CG53="IDA-C3",Begriffe!$F$248,IF(Eingabedaten!CG53="IDA-C4",Begriffe!$F$249,IF(Eingabedaten!CG53="IDA-C6",Begriffe!$F$250,"")))</f>
        <v>zweistufig</v>
      </c>
      <c r="CK53" s="589" t="str">
        <f>IF(CH53="IDA-C3",Begriffe!$F$248,IF(Eingabedaten!CH53="IDA-C4",Begriffe!$F$249,IF(Eingabedaten!CH53="IDA-C6",Begriffe!$F$250,"")))</f>
        <v>einstufig</v>
      </c>
      <c r="CL53" s="1442">
        <v>0.73</v>
      </c>
      <c r="CM53" s="1823">
        <v>0.78</v>
      </c>
      <c r="CN53" s="1442">
        <v>0.5</v>
      </c>
      <c r="CO53" s="1823">
        <v>0.7</v>
      </c>
      <c r="CP53" s="1823">
        <v>0.75</v>
      </c>
      <c r="CQ53" s="1449">
        <v>0.5</v>
      </c>
      <c r="CR53" s="589" t="str">
        <f>Begriffe!$F$252</f>
        <v>Einfache Klimaanlage</v>
      </c>
      <c r="CS53" s="589">
        <v>0.91</v>
      </c>
      <c r="CT53" s="589">
        <v>0.55000000000000004</v>
      </c>
      <c r="CU53" s="589">
        <v>0.34</v>
      </c>
      <c r="CV53" s="1470">
        <v>0.91</v>
      </c>
      <c r="CW53" s="1471" t="str">
        <f>Begriffe!$F$259</f>
        <v>notwendig</v>
      </c>
      <c r="CX53" s="589" t="str">
        <f>Begriffe!$F$259</f>
        <v>notwendig</v>
      </c>
      <c r="CY53" s="589" t="str">
        <f>Begriffe!$F$259</f>
        <v>notwendig</v>
      </c>
      <c r="CZ53" s="589" t="str">
        <f>Begriffe!$F$259</f>
        <v>notwendig</v>
      </c>
      <c r="DA53" s="589" t="str">
        <f>Begriffe!$F$259</f>
        <v>notwendig</v>
      </c>
      <c r="DB53" s="1470" t="str">
        <f>Begriffe!$F$259</f>
        <v>notwendig</v>
      </c>
      <c r="DC53" s="1471"/>
      <c r="DD53" s="589"/>
      <c r="DE53" s="387"/>
      <c r="DF53" s="592">
        <v>0.7</v>
      </c>
      <c r="DG53" s="574">
        <v>0.1</v>
      </c>
      <c r="DH53" s="572">
        <f t="shared" si="30"/>
        <v>0.3</v>
      </c>
      <c r="DI53" s="654"/>
      <c r="DJ53" s="387"/>
      <c r="DK53" s="387"/>
      <c r="DL53" s="602"/>
      <c r="DM53" s="387"/>
      <c r="DN53" s="572"/>
      <c r="DO53" s="603" t="s">
        <v>590</v>
      </c>
      <c r="DP53" s="1448"/>
      <c r="DQ53" s="602"/>
      <c r="DR53" s="602"/>
      <c r="DS53" s="1536"/>
      <c r="DT53" s="602"/>
      <c r="DU53" s="643"/>
      <c r="DV53" s="641"/>
      <c r="DW53" s="642">
        <v>0.2</v>
      </c>
      <c r="DX53" s="642">
        <v>0.4</v>
      </c>
      <c r="DY53" s="644">
        <v>0.6</v>
      </c>
      <c r="DZ53" s="642">
        <v>0.8</v>
      </c>
      <c r="EA53" s="645">
        <v>0.8</v>
      </c>
      <c r="EB53" s="642">
        <v>0.4</v>
      </c>
      <c r="EC53" s="642">
        <v>0.6</v>
      </c>
      <c r="ED53" s="642">
        <v>0.8</v>
      </c>
      <c r="EE53" s="644">
        <v>0.8</v>
      </c>
      <c r="EF53" s="642">
        <v>0.4</v>
      </c>
      <c r="EG53" s="645">
        <v>0.2</v>
      </c>
      <c r="EH53" s="641"/>
      <c r="EI53" s="641"/>
      <c r="EJ53" s="602"/>
      <c r="EK53" s="1536"/>
      <c r="EL53" s="602"/>
      <c r="EM53" s="1073"/>
      <c r="EN53" s="604">
        <v>1</v>
      </c>
      <c r="EO53" s="642">
        <v>1</v>
      </c>
      <c r="EP53" s="642">
        <v>1</v>
      </c>
      <c r="EQ53" s="644">
        <v>1</v>
      </c>
      <c r="ER53" s="642">
        <v>1</v>
      </c>
      <c r="ES53" s="645">
        <v>1</v>
      </c>
      <c r="ET53" s="642">
        <v>1</v>
      </c>
      <c r="EU53" s="642">
        <v>1</v>
      </c>
      <c r="EV53" s="642">
        <v>1</v>
      </c>
      <c r="EW53" s="644">
        <v>1</v>
      </c>
      <c r="EX53" s="642">
        <v>1</v>
      </c>
      <c r="EY53" s="645">
        <v>1</v>
      </c>
      <c r="EZ53" s="642">
        <v>1</v>
      </c>
      <c r="FA53" s="642">
        <v>1</v>
      </c>
      <c r="FB53" s="642">
        <v>1</v>
      </c>
      <c r="FC53" s="644">
        <v>1</v>
      </c>
      <c r="FD53" s="642">
        <v>1</v>
      </c>
      <c r="FE53" s="645">
        <v>1</v>
      </c>
      <c r="FF53" s="642">
        <v>1</v>
      </c>
      <c r="FG53" s="642">
        <v>1</v>
      </c>
      <c r="FH53" s="642">
        <v>1</v>
      </c>
      <c r="FI53" s="644">
        <v>1</v>
      </c>
      <c r="FJ53" s="642">
        <v>1</v>
      </c>
      <c r="FK53" s="646">
        <v>1</v>
      </c>
      <c r="FL53" s="604" t="s">
        <v>575</v>
      </c>
      <c r="FM53" s="604">
        <v>0.8</v>
      </c>
      <c r="FN53" s="642">
        <v>0.8</v>
      </c>
      <c r="FO53" s="642">
        <v>0.8</v>
      </c>
      <c r="FP53" s="644">
        <v>0.8</v>
      </c>
      <c r="FQ53" s="642">
        <v>0.8</v>
      </c>
      <c r="FR53" s="645">
        <v>0.8</v>
      </c>
      <c r="FS53" s="642">
        <v>0.8</v>
      </c>
      <c r="FT53" s="642">
        <v>0.8</v>
      </c>
      <c r="FU53" s="642">
        <v>0.8</v>
      </c>
      <c r="FV53" s="644">
        <v>0.8</v>
      </c>
      <c r="FW53" s="642">
        <v>0.8</v>
      </c>
      <c r="FX53" s="646">
        <v>0.8</v>
      </c>
      <c r="FY53" s="591">
        <v>0</v>
      </c>
      <c r="FZ53" s="640">
        <f t="shared" si="62"/>
        <v>365</v>
      </c>
      <c r="GA53" s="604">
        <f t="shared" si="2"/>
        <v>11</v>
      </c>
      <c r="GB53" s="642">
        <f t="shared" si="3"/>
        <v>6</v>
      </c>
      <c r="GC53" s="647">
        <f t="shared" si="4"/>
        <v>6</v>
      </c>
      <c r="GD53" s="641">
        <f t="shared" si="5"/>
        <v>0</v>
      </c>
      <c r="GE53" s="648">
        <f t="shared" si="63"/>
        <v>0.80000000000000016</v>
      </c>
      <c r="GF53" s="641">
        <f t="shared" si="31"/>
        <v>4020</v>
      </c>
      <c r="GG53" s="641">
        <f t="shared" si="7"/>
        <v>180</v>
      </c>
      <c r="GH53" s="641">
        <f t="shared" si="64"/>
        <v>1750</v>
      </c>
      <c r="GI53" s="604">
        <f t="shared" si="8"/>
        <v>24</v>
      </c>
      <c r="GJ53" s="642">
        <f t="shared" si="9"/>
        <v>24</v>
      </c>
      <c r="GK53" s="641">
        <f t="shared" si="10"/>
        <v>24</v>
      </c>
      <c r="GL53" s="640">
        <f t="shared" si="65"/>
        <v>7010</v>
      </c>
      <c r="GM53" s="1537"/>
      <c r="GN53" s="642" t="str">
        <f>Begriffe!F284</f>
        <v>- Serveranlagen inkl. Umluftkühler und Kälteerzeugung sind unter Prozessanlagen verbucht</v>
      </c>
      <c r="GO53" s="642"/>
      <c r="GP53" s="641" t="str">
        <f>Begriffe!$F$285</f>
        <v>- Der Klimakälteleistungsbedarf und der jährliche Klimakältebedarf gelten für Räume ohne unterstützende Fensterlüftung</v>
      </c>
      <c r="GQ53" s="641" t="str">
        <f>Begriffe!$F$286</f>
        <v>- Die Wärmeeinträge von Prozessanlagen sind beim Klimakälte- und Heizwärmebedarf nicht berücksichtigt</v>
      </c>
      <c r="GR53" s="1538"/>
      <c r="HB53" s="390" t="s">
        <v>123</v>
      </c>
      <c r="HC53" s="390">
        <f t="shared" si="61"/>
        <v>0.8</v>
      </c>
      <c r="HD53" s="390">
        <f t="shared" si="61"/>
        <v>0.6</v>
      </c>
      <c r="HE53" s="390">
        <f t="shared" si="61"/>
        <v>1</v>
      </c>
      <c r="HF53" s="390">
        <f t="shared" si="61"/>
        <v>0.8</v>
      </c>
      <c r="HG53" s="390">
        <f t="shared" si="61"/>
        <v>0.6</v>
      </c>
      <c r="HH53" s="390">
        <f t="shared" si="61"/>
        <v>1</v>
      </c>
      <c r="HI53" s="390">
        <f t="shared" si="61"/>
        <v>0.6</v>
      </c>
      <c r="HJ53" s="390">
        <f t="shared" si="61"/>
        <v>0.6</v>
      </c>
      <c r="HK53" s="390">
        <f t="shared" si="61"/>
        <v>1</v>
      </c>
      <c r="HL53" s="390">
        <f t="shared" si="61"/>
        <v>0.8</v>
      </c>
      <c r="HM53" s="390">
        <f t="shared" si="61"/>
        <v>1</v>
      </c>
      <c r="HN53" s="390">
        <f t="shared" si="61"/>
        <v>0.6</v>
      </c>
      <c r="HO53" s="390">
        <f t="shared" si="68"/>
        <v>0.78333333333333333</v>
      </c>
      <c r="HQ53" s="390">
        <v>0</v>
      </c>
      <c r="HS53" s="541">
        <v>1</v>
      </c>
      <c r="HT53" s="541">
        <v>1</v>
      </c>
      <c r="HU53" s="600">
        <v>1</v>
      </c>
      <c r="HV53" s="600">
        <v>1</v>
      </c>
      <c r="HW53" s="600">
        <v>1</v>
      </c>
      <c r="HX53" s="600">
        <v>1</v>
      </c>
      <c r="HY53" s="600">
        <v>1</v>
      </c>
      <c r="HZ53" s="379">
        <v>0</v>
      </c>
      <c r="IA53" s="379">
        <v>0</v>
      </c>
      <c r="IB53" s="379">
        <v>0</v>
      </c>
      <c r="IC53" s="390">
        <v>3</v>
      </c>
      <c r="ID53" s="1439">
        <v>0.63529411764705879</v>
      </c>
      <c r="IE53" s="1440">
        <f t="shared" si="32"/>
        <v>0</v>
      </c>
    </row>
    <row r="54" spans="1:239">
      <c r="B54"/>
      <c r="AB54"/>
      <c r="AC54"/>
      <c r="AD54"/>
      <c r="AE54"/>
      <c r="AF54"/>
      <c r="AG54"/>
      <c r="AH54"/>
      <c r="AI54"/>
      <c r="AJ54"/>
      <c r="AK54"/>
      <c r="AL54"/>
      <c r="AM54"/>
      <c r="AN54"/>
      <c r="AO54"/>
      <c r="CB54"/>
      <c r="DO54"/>
      <c r="FL54"/>
      <c r="FY54"/>
      <c r="FZ54"/>
      <c r="GA54"/>
      <c r="GB54"/>
      <c r="GC54"/>
      <c r="GD54"/>
      <c r="GE54"/>
      <c r="GF54"/>
      <c r="GG54"/>
      <c r="GH54"/>
      <c r="GI54"/>
      <c r="GJ54"/>
      <c r="GK54"/>
      <c r="GL54"/>
      <c r="HS54"/>
      <c r="HT54"/>
      <c r="HU54"/>
      <c r="HV54"/>
      <c r="HW54"/>
      <c r="HX54"/>
      <c r="HY54"/>
    </row>
    <row r="55" spans="1:239">
      <c r="GD55" s="649"/>
    </row>
    <row r="56" spans="1:239">
      <c r="C56" s="650"/>
    </row>
  </sheetData>
  <sheetProtection algorithmName="SHA-512" hashValue="npQtVu79JRqla3CTSQxwbJgeqHLlRytsI6Pgs0TFQVk5YjSsfcR4nPnnAgqP9/YK5Y+LUz8G6XTKz7OxvL6x8A==" saltValue="u1dcQiKpOo8BQBy7r39hbQ==" spinCount="100000" sheet="1" objects="1" scenarios="1"/>
  <phoneticPr fontId="0" type="noConversion"/>
  <pageMargins left="0.70866141732283472" right="0.70866141732283472" top="0.74803149606299213" bottom="0.74803149606299213" header="0.31496062992125984" footer="0.31496062992125984"/>
  <pageSetup paperSize="9" scale="58" fitToWidth="0" orientation="landscape" horizontalDpi="4294967293" verticalDpi="2400" r:id="rId1"/>
  <headerFooter alignWithMargins="0">
    <oddHeader>&amp;R&amp;D&amp;CSIA 2024 Raum-Datenblätter</oddHeader>
    <oddFooter>&amp;R&amp;P/&amp;N&amp;CSIA 2024, Copyright © 2021 by SIA Zurich</oddFooter>
  </headerFooter>
  <colBreaks count="4" manualBreakCount="4">
    <brk id="40" max="52" man="1"/>
    <brk id="74" max="52" man="1"/>
    <brk id="112" max="52" man="1"/>
    <brk id="143" max="52" man="1"/>
  </colBreaks>
  <ignoredErrors>
    <ignoredError sqref="DV50:FZ51 DV52:EH52 EK52:FZ52 EJ42:FZ42 CT7:DB7 DD7:DF7 EL22:ES24 DW22:DZ24 FY39:FZ41 EU22:FG23 EU24:FF24 FJ22:FZ24 EC22:EG24 DL39:EA39 DL41:EA41 CT53:DF53 CA38:CA40 CA11:CA26 CV10:DF10 CW8:DF9 FA39:FL41 EC39:EY41 ES9:EU9 EZ9:FA9 FE9:FJ9 FL9 ET11:EW11 FE11:FZ11 FY29:FZ31 BY47:BY53 CR44 EV13:FD14 EV16:FD16 FL13:FZ14 FL16:FZ16 CT11:DF49 EU20:FE20 FL20:FZ20 CL8:CR8 CA29:CA34 BZ7 BX8:BY8 BY34:BY45 BY9:BY10 BY12:BY31 DI7:FZ8 DI9:EM9 CT50:DS50 CT52:DR52 DI22:DU24 DI40:EA40 DI41:DJ41 DI25:FZ28 DI42:EH42 DI43:FZ49 DI53:FZ53 DI39:DJ39 DI10:FL10 DI12:FZ12 DI11:EN11 DI32:FZ38 DI29:FL31 DI15:FZ15 DI13:EM14 DI17:FZ19 DI16:EM16 DI21:FZ21 DI20:EM20 CT51:DF51 DI51:DS51 CH9:CH10 CC9:CE43 CH17:CH19 CL52:CM52 CC45:CE51 CH45 CC53:CE53 CH32:CH34 CH38:CH39 CH42:CH43 CH51 CL50:CM50 CR10:CR43 CC52:CH52 CA7:CH8 CC44:CH44 CR45:CR48 CO52:CP52 CO50:CP50 CR52 CR53 CR50 CR49 CR51 CL7:CM7 CO7:CR7 FY9:FZ9 FY10:FZ10" 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blProfile"/>
  <dimension ref="A1:BF976"/>
  <sheetViews>
    <sheetView showGridLines="0" zoomScaleNormal="100" workbookViewId="0">
      <pane xSplit="6" ySplit="2" topLeftCell="G301" activePane="bottomRight" state="frozen"/>
      <selection pane="topRight" activeCell="G1" sqref="G1"/>
      <selection pane="bottomLeft" activeCell="A3" sqref="A3"/>
      <selection pane="bottomRight" activeCell="O335" sqref="O335"/>
    </sheetView>
  </sheetViews>
  <sheetFormatPr baseColWidth="10" defaultRowHeight="12.45"/>
  <cols>
    <col min="1" max="1" width="13" style="210" customWidth="1"/>
    <col min="2" max="9" width="14.4609375" style="210" customWidth="1"/>
    <col min="10" max="10" width="12.765625" style="210" customWidth="1"/>
    <col min="11" max="11" width="11.4609375" style="210"/>
    <col min="12" max="12" width="11.4609375" style="210" customWidth="1"/>
    <col min="13" max="13" width="11.765625" style="210" customWidth="1"/>
    <col min="14" max="16" width="11.4609375" style="210"/>
    <col min="17" max="17" width="11.23046875" style="210" customWidth="1"/>
    <col min="18" max="18" width="12.23046875" style="210" bestFit="1" customWidth="1"/>
    <col min="19" max="19" width="11.4609375" style="210"/>
    <col min="20" max="20" width="12" style="210" customWidth="1"/>
    <col min="21" max="28" width="11.4609375" style="210"/>
    <col min="29" max="29" width="11.69140625" style="210" customWidth="1"/>
    <col min="30" max="40" width="11.4609375" style="210"/>
    <col min="41" max="41" width="14.69140625" style="210" customWidth="1"/>
    <col min="42" max="56" width="6.69140625" style="210" customWidth="1"/>
    <col min="57" max="58" width="7.69140625" style="210" customWidth="1"/>
    <col min="59" max="262" width="11.4609375" style="210"/>
    <col min="263" max="263" width="8.23046875" style="210" customWidth="1"/>
    <col min="264" max="268" width="11.4609375" style="210"/>
    <col min="269" max="269" width="2" style="210" customWidth="1"/>
    <col min="270" max="518" width="11.4609375" style="210"/>
    <col min="519" max="519" width="8.23046875" style="210" customWidth="1"/>
    <col min="520" max="524" width="11.4609375" style="210"/>
    <col min="525" max="525" width="2" style="210" customWidth="1"/>
    <col min="526" max="774" width="11.4609375" style="210"/>
    <col min="775" max="775" width="8.23046875" style="210" customWidth="1"/>
    <col min="776" max="780" width="11.4609375" style="210"/>
    <col min="781" max="781" width="2" style="210" customWidth="1"/>
    <col min="782" max="1030" width="11.4609375" style="210"/>
    <col min="1031" max="1031" width="8.23046875" style="210" customWidth="1"/>
    <col min="1032" max="1036" width="11.4609375" style="210"/>
    <col min="1037" max="1037" width="2" style="210" customWidth="1"/>
    <col min="1038" max="1286" width="11.4609375" style="210"/>
    <col min="1287" max="1287" width="8.23046875" style="210" customWidth="1"/>
    <col min="1288" max="1292" width="11.4609375" style="210"/>
    <col min="1293" max="1293" width="2" style="210" customWidth="1"/>
    <col min="1294" max="1542" width="11.4609375" style="210"/>
    <col min="1543" max="1543" width="8.23046875" style="210" customWidth="1"/>
    <col min="1544" max="1548" width="11.4609375" style="210"/>
    <col min="1549" max="1549" width="2" style="210" customWidth="1"/>
    <col min="1550" max="1798" width="11.4609375" style="210"/>
    <col min="1799" max="1799" width="8.23046875" style="210" customWidth="1"/>
    <col min="1800" max="1804" width="11.4609375" style="210"/>
    <col min="1805" max="1805" width="2" style="210" customWidth="1"/>
    <col min="1806" max="2054" width="11.4609375" style="210"/>
    <col min="2055" max="2055" width="8.23046875" style="210" customWidth="1"/>
    <col min="2056" max="2060" width="11.4609375" style="210"/>
    <col min="2061" max="2061" width="2" style="210" customWidth="1"/>
    <col min="2062" max="2310" width="11.4609375" style="210"/>
    <col min="2311" max="2311" width="8.23046875" style="210" customWidth="1"/>
    <col min="2312" max="2316" width="11.4609375" style="210"/>
    <col min="2317" max="2317" width="2" style="210" customWidth="1"/>
    <col min="2318" max="2566" width="11.4609375" style="210"/>
    <col min="2567" max="2567" width="8.23046875" style="210" customWidth="1"/>
    <col min="2568" max="2572" width="11.4609375" style="210"/>
    <col min="2573" max="2573" width="2" style="210" customWidth="1"/>
    <col min="2574" max="2822" width="11.4609375" style="210"/>
    <col min="2823" max="2823" width="8.23046875" style="210" customWidth="1"/>
    <col min="2824" max="2828" width="11.4609375" style="210"/>
    <col min="2829" max="2829" width="2" style="210" customWidth="1"/>
    <col min="2830" max="3078" width="11.4609375" style="210"/>
    <col min="3079" max="3079" width="8.23046875" style="210" customWidth="1"/>
    <col min="3080" max="3084" width="11.4609375" style="210"/>
    <col min="3085" max="3085" width="2" style="210" customWidth="1"/>
    <col min="3086" max="3334" width="11.4609375" style="210"/>
    <col min="3335" max="3335" width="8.23046875" style="210" customWidth="1"/>
    <col min="3336" max="3340" width="11.4609375" style="210"/>
    <col min="3341" max="3341" width="2" style="210" customWidth="1"/>
    <col min="3342" max="3590" width="11.4609375" style="210"/>
    <col min="3591" max="3591" width="8.23046875" style="210" customWidth="1"/>
    <col min="3592" max="3596" width="11.4609375" style="210"/>
    <col min="3597" max="3597" width="2" style="210" customWidth="1"/>
    <col min="3598" max="3846" width="11.4609375" style="210"/>
    <col min="3847" max="3847" width="8.23046875" style="210" customWidth="1"/>
    <col min="3848" max="3852" width="11.4609375" style="210"/>
    <col min="3853" max="3853" width="2" style="210" customWidth="1"/>
    <col min="3854" max="4102" width="11.4609375" style="210"/>
    <col min="4103" max="4103" width="8.23046875" style="210" customWidth="1"/>
    <col min="4104" max="4108" width="11.4609375" style="210"/>
    <col min="4109" max="4109" width="2" style="210" customWidth="1"/>
    <col min="4110" max="4358" width="11.4609375" style="210"/>
    <col min="4359" max="4359" width="8.23046875" style="210" customWidth="1"/>
    <col min="4360" max="4364" width="11.4609375" style="210"/>
    <col min="4365" max="4365" width="2" style="210" customWidth="1"/>
    <col min="4366" max="4614" width="11.4609375" style="210"/>
    <col min="4615" max="4615" width="8.23046875" style="210" customWidth="1"/>
    <col min="4616" max="4620" width="11.4609375" style="210"/>
    <col min="4621" max="4621" width="2" style="210" customWidth="1"/>
    <col min="4622" max="4870" width="11.4609375" style="210"/>
    <col min="4871" max="4871" width="8.23046875" style="210" customWidth="1"/>
    <col min="4872" max="4876" width="11.4609375" style="210"/>
    <col min="4877" max="4877" width="2" style="210" customWidth="1"/>
    <col min="4878" max="5126" width="11.4609375" style="210"/>
    <col min="5127" max="5127" width="8.23046875" style="210" customWidth="1"/>
    <col min="5128" max="5132" width="11.4609375" style="210"/>
    <col min="5133" max="5133" width="2" style="210" customWidth="1"/>
    <col min="5134" max="5382" width="11.4609375" style="210"/>
    <col min="5383" max="5383" width="8.23046875" style="210" customWidth="1"/>
    <col min="5384" max="5388" width="11.4609375" style="210"/>
    <col min="5389" max="5389" width="2" style="210" customWidth="1"/>
    <col min="5390" max="5638" width="11.4609375" style="210"/>
    <col min="5639" max="5639" width="8.23046875" style="210" customWidth="1"/>
    <col min="5640" max="5644" width="11.4609375" style="210"/>
    <col min="5645" max="5645" width="2" style="210" customWidth="1"/>
    <col min="5646" max="5894" width="11.4609375" style="210"/>
    <col min="5895" max="5895" width="8.23046875" style="210" customWidth="1"/>
    <col min="5896" max="5900" width="11.4609375" style="210"/>
    <col min="5901" max="5901" width="2" style="210" customWidth="1"/>
    <col min="5902" max="6150" width="11.4609375" style="210"/>
    <col min="6151" max="6151" width="8.23046875" style="210" customWidth="1"/>
    <col min="6152" max="6156" width="11.4609375" style="210"/>
    <col min="6157" max="6157" width="2" style="210" customWidth="1"/>
    <col min="6158" max="6406" width="11.4609375" style="210"/>
    <col min="6407" max="6407" width="8.23046875" style="210" customWidth="1"/>
    <col min="6408" max="6412" width="11.4609375" style="210"/>
    <col min="6413" max="6413" width="2" style="210" customWidth="1"/>
    <col min="6414" max="6662" width="11.4609375" style="210"/>
    <col min="6663" max="6663" width="8.23046875" style="210" customWidth="1"/>
    <col min="6664" max="6668" width="11.4609375" style="210"/>
    <col min="6669" max="6669" width="2" style="210" customWidth="1"/>
    <col min="6670" max="6918" width="11.4609375" style="210"/>
    <col min="6919" max="6919" width="8.23046875" style="210" customWidth="1"/>
    <col min="6920" max="6924" width="11.4609375" style="210"/>
    <col min="6925" max="6925" width="2" style="210" customWidth="1"/>
    <col min="6926" max="7174" width="11.4609375" style="210"/>
    <col min="7175" max="7175" width="8.23046875" style="210" customWidth="1"/>
    <col min="7176" max="7180" width="11.4609375" style="210"/>
    <col min="7181" max="7181" width="2" style="210" customWidth="1"/>
    <col min="7182" max="7430" width="11.4609375" style="210"/>
    <col min="7431" max="7431" width="8.23046875" style="210" customWidth="1"/>
    <col min="7432" max="7436" width="11.4609375" style="210"/>
    <col min="7437" max="7437" width="2" style="210" customWidth="1"/>
    <col min="7438" max="7686" width="11.4609375" style="210"/>
    <col min="7687" max="7687" width="8.23046875" style="210" customWidth="1"/>
    <col min="7688" max="7692" width="11.4609375" style="210"/>
    <col min="7693" max="7693" width="2" style="210" customWidth="1"/>
    <col min="7694" max="7942" width="11.4609375" style="210"/>
    <col min="7943" max="7943" width="8.23046875" style="210" customWidth="1"/>
    <col min="7944" max="7948" width="11.4609375" style="210"/>
    <col min="7949" max="7949" width="2" style="210" customWidth="1"/>
    <col min="7950" max="8198" width="11.4609375" style="210"/>
    <col min="8199" max="8199" width="8.23046875" style="210" customWidth="1"/>
    <col min="8200" max="8204" width="11.4609375" style="210"/>
    <col min="8205" max="8205" width="2" style="210" customWidth="1"/>
    <col min="8206" max="8454" width="11.4609375" style="210"/>
    <col min="8455" max="8455" width="8.23046875" style="210" customWidth="1"/>
    <col min="8456" max="8460" width="11.4609375" style="210"/>
    <col min="8461" max="8461" width="2" style="210" customWidth="1"/>
    <col min="8462" max="8710" width="11.4609375" style="210"/>
    <col min="8711" max="8711" width="8.23046875" style="210" customWidth="1"/>
    <col min="8712" max="8716" width="11.4609375" style="210"/>
    <col min="8717" max="8717" width="2" style="210" customWidth="1"/>
    <col min="8718" max="8966" width="11.4609375" style="210"/>
    <col min="8967" max="8967" width="8.23046875" style="210" customWidth="1"/>
    <col min="8968" max="8972" width="11.4609375" style="210"/>
    <col min="8973" max="8973" width="2" style="210" customWidth="1"/>
    <col min="8974" max="9222" width="11.4609375" style="210"/>
    <col min="9223" max="9223" width="8.23046875" style="210" customWidth="1"/>
    <col min="9224" max="9228" width="11.4609375" style="210"/>
    <col min="9229" max="9229" width="2" style="210" customWidth="1"/>
    <col min="9230" max="9478" width="11.4609375" style="210"/>
    <col min="9479" max="9479" width="8.23046875" style="210" customWidth="1"/>
    <col min="9480" max="9484" width="11.4609375" style="210"/>
    <col min="9485" max="9485" width="2" style="210" customWidth="1"/>
    <col min="9486" max="9734" width="11.4609375" style="210"/>
    <col min="9735" max="9735" width="8.23046875" style="210" customWidth="1"/>
    <col min="9736" max="9740" width="11.4609375" style="210"/>
    <col min="9741" max="9741" width="2" style="210" customWidth="1"/>
    <col min="9742" max="9990" width="11.4609375" style="210"/>
    <col min="9991" max="9991" width="8.23046875" style="210" customWidth="1"/>
    <col min="9992" max="9996" width="11.4609375" style="210"/>
    <col min="9997" max="9997" width="2" style="210" customWidth="1"/>
    <col min="9998" max="10246" width="11.4609375" style="210"/>
    <col min="10247" max="10247" width="8.23046875" style="210" customWidth="1"/>
    <col min="10248" max="10252" width="11.4609375" style="210"/>
    <col min="10253" max="10253" width="2" style="210" customWidth="1"/>
    <col min="10254" max="10502" width="11.4609375" style="210"/>
    <col min="10503" max="10503" width="8.23046875" style="210" customWidth="1"/>
    <col min="10504" max="10508" width="11.4609375" style="210"/>
    <col min="10509" max="10509" width="2" style="210" customWidth="1"/>
    <col min="10510" max="10758" width="11.4609375" style="210"/>
    <col min="10759" max="10759" width="8.23046875" style="210" customWidth="1"/>
    <col min="10760" max="10764" width="11.4609375" style="210"/>
    <col min="10765" max="10765" width="2" style="210" customWidth="1"/>
    <col min="10766" max="11014" width="11.4609375" style="210"/>
    <col min="11015" max="11015" width="8.23046875" style="210" customWidth="1"/>
    <col min="11016" max="11020" width="11.4609375" style="210"/>
    <col min="11021" max="11021" width="2" style="210" customWidth="1"/>
    <col min="11022" max="11270" width="11.4609375" style="210"/>
    <col min="11271" max="11271" width="8.23046875" style="210" customWidth="1"/>
    <col min="11272" max="11276" width="11.4609375" style="210"/>
    <col min="11277" max="11277" width="2" style="210" customWidth="1"/>
    <col min="11278" max="11526" width="11.4609375" style="210"/>
    <col min="11527" max="11527" width="8.23046875" style="210" customWidth="1"/>
    <col min="11528" max="11532" width="11.4609375" style="210"/>
    <col min="11533" max="11533" width="2" style="210" customWidth="1"/>
    <col min="11534" max="11782" width="11.4609375" style="210"/>
    <col min="11783" max="11783" width="8.23046875" style="210" customWidth="1"/>
    <col min="11784" max="11788" width="11.4609375" style="210"/>
    <col min="11789" max="11789" width="2" style="210" customWidth="1"/>
    <col min="11790" max="12038" width="11.4609375" style="210"/>
    <col min="12039" max="12039" width="8.23046875" style="210" customWidth="1"/>
    <col min="12040" max="12044" width="11.4609375" style="210"/>
    <col min="12045" max="12045" width="2" style="210" customWidth="1"/>
    <col min="12046" max="12294" width="11.4609375" style="210"/>
    <col min="12295" max="12295" width="8.23046875" style="210" customWidth="1"/>
    <col min="12296" max="12300" width="11.4609375" style="210"/>
    <col min="12301" max="12301" width="2" style="210" customWidth="1"/>
    <col min="12302" max="12550" width="11.4609375" style="210"/>
    <col min="12551" max="12551" width="8.23046875" style="210" customWidth="1"/>
    <col min="12552" max="12556" width="11.4609375" style="210"/>
    <col min="12557" max="12557" width="2" style="210" customWidth="1"/>
    <col min="12558" max="12806" width="11.4609375" style="210"/>
    <col min="12807" max="12807" width="8.23046875" style="210" customWidth="1"/>
    <col min="12808" max="12812" width="11.4609375" style="210"/>
    <col min="12813" max="12813" width="2" style="210" customWidth="1"/>
    <col min="12814" max="13062" width="11.4609375" style="210"/>
    <col min="13063" max="13063" width="8.23046875" style="210" customWidth="1"/>
    <col min="13064" max="13068" width="11.4609375" style="210"/>
    <col min="13069" max="13069" width="2" style="210" customWidth="1"/>
    <col min="13070" max="13318" width="11.4609375" style="210"/>
    <col min="13319" max="13319" width="8.23046875" style="210" customWidth="1"/>
    <col min="13320" max="13324" width="11.4609375" style="210"/>
    <col min="13325" max="13325" width="2" style="210" customWidth="1"/>
    <col min="13326" max="13574" width="11.4609375" style="210"/>
    <col min="13575" max="13575" width="8.23046875" style="210" customWidth="1"/>
    <col min="13576" max="13580" width="11.4609375" style="210"/>
    <col min="13581" max="13581" width="2" style="210" customWidth="1"/>
    <col min="13582" max="13830" width="11.4609375" style="210"/>
    <col min="13831" max="13831" width="8.23046875" style="210" customWidth="1"/>
    <col min="13832" max="13836" width="11.4609375" style="210"/>
    <col min="13837" max="13837" width="2" style="210" customWidth="1"/>
    <col min="13838" max="14086" width="11.4609375" style="210"/>
    <col min="14087" max="14087" width="8.23046875" style="210" customWidth="1"/>
    <col min="14088" max="14092" width="11.4609375" style="210"/>
    <col min="14093" max="14093" width="2" style="210" customWidth="1"/>
    <col min="14094" max="14342" width="11.4609375" style="210"/>
    <col min="14343" max="14343" width="8.23046875" style="210" customWidth="1"/>
    <col min="14344" max="14348" width="11.4609375" style="210"/>
    <col min="14349" max="14349" width="2" style="210" customWidth="1"/>
    <col min="14350" max="14598" width="11.4609375" style="210"/>
    <col min="14599" max="14599" width="8.23046875" style="210" customWidth="1"/>
    <col min="14600" max="14604" width="11.4609375" style="210"/>
    <col min="14605" max="14605" width="2" style="210" customWidth="1"/>
    <col min="14606" max="14854" width="11.4609375" style="210"/>
    <col min="14855" max="14855" width="8.23046875" style="210" customWidth="1"/>
    <col min="14856" max="14860" width="11.4609375" style="210"/>
    <col min="14861" max="14861" width="2" style="210" customWidth="1"/>
    <col min="14862" max="15110" width="11.4609375" style="210"/>
    <col min="15111" max="15111" width="8.23046875" style="210" customWidth="1"/>
    <col min="15112" max="15116" width="11.4609375" style="210"/>
    <col min="15117" max="15117" width="2" style="210" customWidth="1"/>
    <col min="15118" max="15366" width="11.4609375" style="210"/>
    <col min="15367" max="15367" width="8.23046875" style="210" customWidth="1"/>
    <col min="15368" max="15372" width="11.4609375" style="210"/>
    <col min="15373" max="15373" width="2" style="210" customWidth="1"/>
    <col min="15374" max="15622" width="11.4609375" style="210"/>
    <col min="15623" max="15623" width="8.23046875" style="210" customWidth="1"/>
    <col min="15624" max="15628" width="11.4609375" style="210"/>
    <col min="15629" max="15629" width="2" style="210" customWidth="1"/>
    <col min="15630" max="15878" width="11.4609375" style="210"/>
    <col min="15879" max="15879" width="8.23046875" style="210" customWidth="1"/>
    <col min="15880" max="15884" width="11.4609375" style="210"/>
    <col min="15885" max="15885" width="2" style="210" customWidth="1"/>
    <col min="15886" max="16134" width="11.4609375" style="210"/>
    <col min="16135" max="16135" width="8.23046875" style="210" customWidth="1"/>
    <col min="16136" max="16140" width="11.4609375" style="210"/>
    <col min="16141" max="16141" width="2" style="210" customWidth="1"/>
    <col min="16142" max="16384" width="11.4609375" style="210"/>
  </cols>
  <sheetData>
    <row r="1" spans="1:35" ht="16.5" customHeight="1">
      <c r="A1" s="244"/>
      <c r="B1" s="247" t="str">
        <f>Datenblatt!C2</f>
        <v>Wohnen MFH</v>
      </c>
      <c r="C1" s="244">
        <v>1</v>
      </c>
      <c r="D1" s="244"/>
      <c r="E1" s="245"/>
      <c r="F1" s="244"/>
      <c r="G1" s="246"/>
      <c r="H1" s="1948" t="s">
        <v>2258</v>
      </c>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row>
    <row r="2" spans="1:35" ht="15.75" customHeight="1">
      <c r="A2" s="248">
        <f>Datenblatt!O2</f>
        <v>1.01</v>
      </c>
      <c r="B2" s="248" t="str">
        <f>Datenblatt!C2</f>
        <v>Wohnen MFH</v>
      </c>
      <c r="C2" s="244"/>
      <c r="D2" s="244"/>
      <c r="E2" s="244"/>
      <c r="F2" s="248" t="str">
        <f>Aug_Auslegung!A1</f>
        <v>Adelboden</v>
      </c>
      <c r="G2" s="244"/>
      <c r="H2" s="244"/>
      <c r="I2" s="244"/>
      <c r="J2" s="244"/>
      <c r="K2" s="244"/>
      <c r="L2" s="244"/>
      <c r="M2" s="244"/>
      <c r="N2" s="244"/>
      <c r="O2" s="244"/>
      <c r="P2" s="244"/>
      <c r="Q2" s="244"/>
      <c r="R2" s="244"/>
      <c r="S2" s="244"/>
      <c r="T2" s="244"/>
      <c r="U2" s="244"/>
      <c r="V2" s="244"/>
      <c r="W2" s="244"/>
      <c r="X2" s="244"/>
      <c r="Y2" s="244"/>
      <c r="Z2" s="244"/>
      <c r="AA2" s="244"/>
      <c r="AB2" s="244"/>
      <c r="AC2" s="244"/>
      <c r="AD2" s="244"/>
      <c r="AE2" s="244"/>
      <c r="AF2" s="244"/>
      <c r="AG2" s="244"/>
      <c r="AH2" s="244"/>
      <c r="AI2" s="244"/>
    </row>
    <row r="3" spans="1:35" ht="15.45">
      <c r="A3" s="249"/>
      <c r="B3" s="249"/>
    </row>
    <row r="4" spans="1:35">
      <c r="B4" s="211" t="s">
        <v>217</v>
      </c>
      <c r="H4" s="211" t="s">
        <v>218</v>
      </c>
      <c r="N4" s="211" t="s">
        <v>220</v>
      </c>
      <c r="T4" s="211" t="s">
        <v>219</v>
      </c>
    </row>
    <row r="5" spans="1:35">
      <c r="P5" s="212"/>
      <c r="Q5" s="213" t="s">
        <v>221</v>
      </c>
      <c r="R5" s="214">
        <f>D568</f>
        <v>0.79999999999999993</v>
      </c>
      <c r="V5" s="212"/>
      <c r="W5" s="213" t="s">
        <v>221</v>
      </c>
      <c r="X5" s="214">
        <f>C568</f>
        <v>0.78333333333333333</v>
      </c>
    </row>
    <row r="6" spans="1:35">
      <c r="A6" s="211" t="s">
        <v>10</v>
      </c>
    </row>
    <row r="14" spans="1:35">
      <c r="A14" s="211" t="s">
        <v>51</v>
      </c>
    </row>
    <row r="22" spans="1:1">
      <c r="A22" s="211" t="s">
        <v>17</v>
      </c>
    </row>
    <row r="23" spans="1:1">
      <c r="A23" s="210" t="s">
        <v>1599</v>
      </c>
    </row>
    <row r="30" spans="1:1">
      <c r="A30" s="211" t="s">
        <v>1192</v>
      </c>
    </row>
    <row r="32" spans="1:1">
      <c r="A32" s="872" t="s">
        <v>1521</v>
      </c>
    </row>
    <row r="39" spans="1:1">
      <c r="A39" s="872" t="s">
        <v>1522</v>
      </c>
    </row>
    <row r="47" spans="1:1">
      <c r="A47" s="872" t="s">
        <v>191</v>
      </c>
    </row>
    <row r="57" spans="1:36">
      <c r="R57" s="321" t="s">
        <v>2241</v>
      </c>
      <c r="S57" s="321" t="s">
        <v>2240</v>
      </c>
      <c r="T57" s="321"/>
      <c r="AA57" s="321" t="s">
        <v>2241</v>
      </c>
      <c r="AB57" s="321" t="s">
        <v>2240</v>
      </c>
      <c r="AC57" s="321"/>
    </row>
    <row r="58" spans="1:36" ht="15.45">
      <c r="A58" s="231" t="s">
        <v>138</v>
      </c>
      <c r="B58" s="221"/>
      <c r="C58" s="221"/>
      <c r="D58" s="221"/>
      <c r="E58" s="221"/>
      <c r="R58" s="1802">
        <v>0.9</v>
      </c>
      <c r="S58" s="1802">
        <v>200</v>
      </c>
      <c r="T58"/>
      <c r="U58"/>
      <c r="V58"/>
      <c r="W58"/>
      <c r="X58"/>
      <c r="AA58">
        <f>R58</f>
        <v>0.9</v>
      </c>
      <c r="AB58">
        <v>200</v>
      </c>
      <c r="AC58"/>
    </row>
    <row r="59" spans="1:36" ht="15.45">
      <c r="A59" s="230"/>
      <c r="B59" s="1955" t="s">
        <v>10</v>
      </c>
      <c r="C59" s="1955"/>
      <c r="D59" s="1956" t="s">
        <v>51</v>
      </c>
      <c r="E59" s="1956"/>
      <c r="F59" s="206" t="s">
        <v>19</v>
      </c>
      <c r="G59" s="206"/>
      <c r="H59" s="206"/>
      <c r="I59" s="206"/>
      <c r="J59" s="206"/>
      <c r="K59" s="77"/>
      <c r="L59" s="376"/>
      <c r="N59" s="263" t="s">
        <v>1603</v>
      </c>
      <c r="O59" s="258"/>
      <c r="P59" s="258" t="s">
        <v>490</v>
      </c>
      <c r="Q59" s="258" t="s">
        <v>2237</v>
      </c>
      <c r="R59" s="258" t="s">
        <v>1446</v>
      </c>
      <c r="S59" s="258" t="s">
        <v>2238</v>
      </c>
      <c r="T59" s="258" t="s">
        <v>716</v>
      </c>
      <c r="U59" s="321" t="s">
        <v>2239</v>
      </c>
      <c r="V59" s="321"/>
      <c r="W59" s="263" t="s">
        <v>1603</v>
      </c>
      <c r="X59" s="258"/>
      <c r="Y59" s="263"/>
      <c r="Z59" s="258" t="s">
        <v>2237</v>
      </c>
      <c r="AA59" s="258" t="s">
        <v>1446</v>
      </c>
      <c r="AB59" s="258" t="s">
        <v>2238</v>
      </c>
      <c r="AC59" s="258" t="s">
        <v>716</v>
      </c>
      <c r="AD59" s="321" t="s">
        <v>2239</v>
      </c>
      <c r="AE59" s="211"/>
    </row>
    <row r="60" spans="1:36">
      <c r="F60" s="206" t="s">
        <v>211</v>
      </c>
      <c r="G60" s="206" t="s">
        <v>212</v>
      </c>
      <c r="H60" s="206" t="s">
        <v>213</v>
      </c>
      <c r="I60" s="206" t="s">
        <v>212</v>
      </c>
      <c r="J60" s="206" t="s">
        <v>213</v>
      </c>
      <c r="K60" s="13"/>
      <c r="L60" s="13"/>
      <c r="N60" s="258" t="s">
        <v>1257</v>
      </c>
      <c r="O60" s="258"/>
      <c r="P60" s="1801">
        <f>'Eigene Nutzung'!M95</f>
        <v>0.17647058823529413</v>
      </c>
      <c r="Q60" s="1547">
        <v>0.7</v>
      </c>
      <c r="R60" s="1801">
        <f>'Eigene Nutzung'!M26</f>
        <v>0.5</v>
      </c>
      <c r="S60" s="1801">
        <f>'Eigene Nutzung'!M27</f>
        <v>0.14000000000000001</v>
      </c>
      <c r="T60" s="1137">
        <f>Datenblatt!M88</f>
        <v>150</v>
      </c>
      <c r="U60" s="1547">
        <v>100</v>
      </c>
      <c r="V60" s="1547">
        <v>800</v>
      </c>
      <c r="W60" s="1800" t="str">
        <f>F2</f>
        <v>Adelboden</v>
      </c>
      <c r="X60" s="258"/>
      <c r="Y60" s="258"/>
      <c r="Z60" s="258">
        <f>Q60</f>
        <v>0.7</v>
      </c>
      <c r="AA60" s="1801">
        <f>'Eigene Nutzung'!M26</f>
        <v>0.5</v>
      </c>
      <c r="AB60" s="1801">
        <f>'Eigene Nutzung'!M27</f>
        <v>0.14000000000000001</v>
      </c>
      <c r="AC60" s="1137">
        <f>'Eigene Nutzung'!M88</f>
        <v>150</v>
      </c>
      <c r="AD60" s="321">
        <f>U60</f>
        <v>100</v>
      </c>
    </row>
    <row r="61" spans="1:36" ht="24" customHeight="1">
      <c r="A61" s="215" t="s">
        <v>28</v>
      </c>
      <c r="B61" s="227" t="s">
        <v>685</v>
      </c>
      <c r="C61" s="227" t="s">
        <v>23</v>
      </c>
      <c r="D61" s="227" t="s">
        <v>1605</v>
      </c>
      <c r="E61" s="227" t="s">
        <v>1606</v>
      </c>
      <c r="F61" s="228" t="s">
        <v>1521</v>
      </c>
      <c r="G61" s="228" t="s">
        <v>1522</v>
      </c>
      <c r="H61" s="228"/>
      <c r="I61" s="228" t="s">
        <v>191</v>
      </c>
      <c r="J61" s="228"/>
      <c r="K61" s="229"/>
      <c r="L61" s="229"/>
      <c r="N61" s="259" t="s">
        <v>222</v>
      </c>
      <c r="O61" s="260" t="s">
        <v>1435</v>
      </c>
      <c r="P61" s="261"/>
      <c r="Q61" s="261"/>
      <c r="R61" s="259" t="s">
        <v>1672</v>
      </c>
      <c r="S61" s="259" t="s">
        <v>1674</v>
      </c>
      <c r="T61" s="259" t="s">
        <v>1670</v>
      </c>
      <c r="U61" s="261" t="s">
        <v>526</v>
      </c>
      <c r="V61" s="259" t="s">
        <v>1671</v>
      </c>
      <c r="W61" s="259" t="s">
        <v>222</v>
      </c>
      <c r="X61" s="260" t="s">
        <v>1435</v>
      </c>
      <c r="Y61" s="261"/>
      <c r="Z61" s="261"/>
      <c r="AA61" s="259" t="s">
        <v>1672</v>
      </c>
      <c r="AB61" s="259" t="s">
        <v>1674</v>
      </c>
      <c r="AC61" s="259" t="s">
        <v>1670</v>
      </c>
      <c r="AD61" s="261" t="s">
        <v>526</v>
      </c>
    </row>
    <row r="62" spans="1:36">
      <c r="A62" s="215" t="s">
        <v>14</v>
      </c>
      <c r="B62" s="216">
        <f t="shared" ref="B62:J62" si="0">SUM(B63:B86)</f>
        <v>14.000000000000002</v>
      </c>
      <c r="C62" s="216">
        <f t="shared" si="0"/>
        <v>17</v>
      </c>
      <c r="D62" s="216">
        <f>SUM(D63:D86)</f>
        <v>7.4000000000000021</v>
      </c>
      <c r="E62" s="216">
        <f t="shared" si="0"/>
        <v>4.8000000000000016</v>
      </c>
      <c r="F62" s="80">
        <f t="shared" si="0"/>
        <v>24</v>
      </c>
      <c r="G62" s="80">
        <f t="shared" si="0"/>
        <v>20.669999999999998</v>
      </c>
      <c r="H62" s="80">
        <f t="shared" si="0"/>
        <v>17.633411486304666</v>
      </c>
      <c r="I62" s="80">
        <f t="shared" si="0"/>
        <v>15.750000000000004</v>
      </c>
      <c r="J62" s="80">
        <f t="shared" si="0"/>
        <v>13.960871651185032</v>
      </c>
      <c r="K62" s="60"/>
      <c r="L62" s="153"/>
      <c r="N62" s="262" t="s">
        <v>24</v>
      </c>
      <c r="O62" s="262" t="s">
        <v>3</v>
      </c>
      <c r="P62" s="262" t="s">
        <v>1578</v>
      </c>
      <c r="Q62" s="261"/>
      <c r="R62" s="261" t="s">
        <v>1673</v>
      </c>
      <c r="S62" s="261" t="s">
        <v>1673</v>
      </c>
      <c r="T62" s="261" t="s">
        <v>16</v>
      </c>
      <c r="U62" s="210" t="s">
        <v>16</v>
      </c>
      <c r="V62" s="210" t="s">
        <v>16</v>
      </c>
      <c r="W62" s="262" t="s">
        <v>24</v>
      </c>
      <c r="X62" s="262" t="s">
        <v>3</v>
      </c>
      <c r="Y62" s="262" t="s">
        <v>1578</v>
      </c>
      <c r="Z62" s="261"/>
      <c r="AA62" s="261" t="s">
        <v>1673</v>
      </c>
      <c r="AB62" s="261" t="s">
        <v>1673</v>
      </c>
      <c r="AC62" s="261" t="s">
        <v>16</v>
      </c>
      <c r="AD62" s="210" t="s">
        <v>16</v>
      </c>
    </row>
    <row r="63" spans="1:36">
      <c r="A63" s="1136">
        <v>1</v>
      </c>
      <c r="B63" s="218">
        <f>INDEX(Eingabedaten!$DP$9:$EM$53,nutzid,A63)</f>
        <v>1</v>
      </c>
      <c r="C63" s="215">
        <f t="shared" ref="C63:C86" si="1">IF(B63&gt;0,1,0)</f>
        <v>1</v>
      </c>
      <c r="D63" s="218">
        <f>IF(INDEX(Eingabedaten!$EN$9:$FK$53,nutzid,A63)=0,INDEX(Eingabedaten!$BH$9:$BH$53,nutzid),INDEX(Eingabedaten!$EN$9:$FK$53,nutzid,A63))</f>
        <v>0.2</v>
      </c>
      <c r="E63" s="219">
        <f>INDEX(Eingabedaten!$BH$9:$BH$53,nutzid)%</f>
        <v>0.2</v>
      </c>
      <c r="F63" s="875">
        <f>IF(OR(Profile!B63&gt;0,Profile!B64&gt;0,B65&gt;0,B85&gt;0,Profile!B86&gt;0),1,0)</f>
        <v>1</v>
      </c>
      <c r="G63" s="875">
        <f>IF(OR(Profile!B63&gt;0,Profile!B64&gt;0,Profile!B86&gt;0,B65&gt;0,B85&gt;0),IF(Profile!B63&gt;0.5,1,0.667),0)</f>
        <v>1</v>
      </c>
      <c r="H63" s="207">
        <f t="shared" ref="H63:H86" si="2">G63^2.5</f>
        <v>1</v>
      </c>
      <c r="I63" s="875">
        <f>IF(Profile!B63&gt;0,IF(Profile!B63&lt;0.25,0.25,Profile!B63),IF(OR(Profile!B64&gt;0,Profile!B86&gt;0,B65&gt;0,B85&gt;0),0.25,0))</f>
        <v>1</v>
      </c>
      <c r="J63" s="207">
        <f>I63^1.5</f>
        <v>1</v>
      </c>
      <c r="K63" s="60"/>
      <c r="L63" s="64"/>
      <c r="N63" s="1355">
        <f>Aug_Auslegung!DZ100</f>
        <v>0</v>
      </c>
      <c r="O63" s="1356">
        <f>Aug_Auslegung!DX100/10</f>
        <v>19.899999999999999</v>
      </c>
      <c r="P63" s="238">
        <f>Aug_Auslegung!DY100</f>
        <v>84</v>
      </c>
      <c r="Q63" s="261"/>
      <c r="R63" s="264">
        <f>N63*R$58*P$60*Q$60*U$60</f>
        <v>0</v>
      </c>
      <c r="S63" s="264">
        <f>IF(N63&gt;S$58,R63/R$60*S$60,R63)</f>
        <v>0</v>
      </c>
      <c r="T63" s="261">
        <f>IF(B63=0,0,IF(S63&lt;$T$60,1,0))*U63</f>
        <v>0</v>
      </c>
      <c r="U63" s="210">
        <f>IF($A$2=12.02,1,0)</f>
        <v>0</v>
      </c>
      <c r="V63" s="210">
        <f>IF(B63=0,0,IF((S63-V$60)&lt;$T$60,1,0))*U63</f>
        <v>0</v>
      </c>
      <c r="W63" s="1049">
        <f>Aug_Auslegung!D100</f>
        <v>0</v>
      </c>
      <c r="X63" s="1049">
        <f>Aug_Auslegung!B100</f>
        <v>13.4</v>
      </c>
      <c r="Y63" s="1049">
        <f>Aug_Auslegung!C100</f>
        <v>89</v>
      </c>
      <c r="Z63" s="261"/>
      <c r="AA63" s="264">
        <f>W63*AA$58*P$60*Z$60*AD$60</f>
        <v>0</v>
      </c>
      <c r="AB63" s="264">
        <f>IF(W63&gt;AB$58,AA63/AA$60*AB$60,AA63)</f>
        <v>0</v>
      </c>
      <c r="AC63" s="261">
        <f>IF(B63=0,0,IF(AB63&lt;$AC$60,1,0))*AD63</f>
        <v>0</v>
      </c>
      <c r="AD63" s="210">
        <f>IF($A$2=12.02,1,0)</f>
        <v>0</v>
      </c>
      <c r="AE63" s="1541"/>
      <c r="AF63" s="1541"/>
      <c r="AG63" s="220"/>
      <c r="AH63" s="1541"/>
      <c r="AI63" s="1541"/>
      <c r="AJ63" s="1541"/>
    </row>
    <row r="64" spans="1:36">
      <c r="A64" s="1136">
        <f>A63+1</f>
        <v>2</v>
      </c>
      <c r="B64" s="218">
        <f>INDEX(Eingabedaten!$DP$9:$EM$53,nutzid,A64)</f>
        <v>1</v>
      </c>
      <c r="C64" s="215">
        <f t="shared" si="1"/>
        <v>1</v>
      </c>
      <c r="D64" s="218">
        <f>IF(INDEX(Eingabedaten!$EN$9:$FK$53,nutzid,A64)=0,INDEX(Eingabedaten!$BH$9:$BH$53,nutzid),INDEX(Eingabedaten!$EN$9:$FK$53,nutzid,A64))</f>
        <v>0.2</v>
      </c>
      <c r="E64" s="219">
        <f>INDEX(Eingabedaten!$BH$9:$BH$53,nutzid)%</f>
        <v>0.2</v>
      </c>
      <c r="F64" s="875">
        <f>IF(OR(Profile!B64&gt;0,Profile!B65&gt;0,Profile!B63&gt;0,B66&gt;0,B86&gt;0),1,0)</f>
        <v>1</v>
      </c>
      <c r="G64" s="875">
        <f>IF(OR(Profile!B64&gt;0,Profile!B65&gt;0,Profile!B63&gt;0,B66&gt;0,B86&gt;0),IF(Profile!B64&gt;0.5,1,0.667),0)</f>
        <v>1</v>
      </c>
      <c r="H64" s="207">
        <f t="shared" si="2"/>
        <v>1</v>
      </c>
      <c r="I64" s="875">
        <f>IF(Profile!B64&gt;0,IF(Profile!B64&lt;0.25,0.25,Profile!B64),IF(OR(Profile!B65&gt;0,Profile!B63&gt;0,B66&gt;0,B86&gt;0),0.25,0))</f>
        <v>1</v>
      </c>
      <c r="J64" s="207">
        <f t="shared" ref="J64:J86" si="3">I64^1.5</f>
        <v>1</v>
      </c>
      <c r="K64" s="60"/>
      <c r="L64" s="64"/>
      <c r="N64" s="1355">
        <f>Aug_Auslegung!DZ101</f>
        <v>0</v>
      </c>
      <c r="O64" s="1356">
        <f>Aug_Auslegung!DX101/10</f>
        <v>19.3</v>
      </c>
      <c r="P64" s="238">
        <f>Aug_Auslegung!DY101</f>
        <v>85</v>
      </c>
      <c r="Q64" s="261"/>
      <c r="R64" s="264">
        <f t="shared" ref="R64:R86" si="4">N64*R$58*P$60*Q$60*U$60</f>
        <v>0</v>
      </c>
      <c r="S64" s="264">
        <f t="shared" ref="S64:S86" si="5">IF(N64&gt;S$58,R64/R$60*S$60,R64)</f>
        <v>0</v>
      </c>
      <c r="T64" s="261">
        <f t="shared" ref="T64:T86" si="6">IF(B64=0,0,IF(S64&lt;$T$60,1,0))*U64</f>
        <v>0</v>
      </c>
      <c r="U64" s="210">
        <f t="shared" ref="U64:U68" si="7">IF($A$2=12.02,1,0)</f>
        <v>0</v>
      </c>
      <c r="V64" s="210">
        <f t="shared" ref="V64:V86" si="8">IF(B64=0,0,IF((S64-V$60)&lt;$T$60,1,0))*U64</f>
        <v>0</v>
      </c>
      <c r="W64" s="1049">
        <f>Aug_Auslegung!D101</f>
        <v>0</v>
      </c>
      <c r="X64" s="1049">
        <f>Aug_Auslegung!B101</f>
        <v>13.1</v>
      </c>
      <c r="Y64" s="1049">
        <f>Aug_Auslegung!C101</f>
        <v>87</v>
      </c>
      <c r="Z64" s="261"/>
      <c r="AA64" s="264">
        <f t="shared" ref="AA64:AA86" si="9">W64*AA$58*P$60*Z$60*AD$60</f>
        <v>0</v>
      </c>
      <c r="AB64" s="264">
        <f t="shared" ref="AB64:AB85" si="10">IF(W64&gt;AB$58,AA64/AA$60*AB$60,AA64)</f>
        <v>0</v>
      </c>
      <c r="AC64" s="261">
        <f t="shared" ref="AC64:AC86" si="11">IF(B64=0,0,IF(AB64&lt;$AC$60,1,0))*AD64</f>
        <v>0</v>
      </c>
      <c r="AD64" s="210">
        <f t="shared" ref="AD64:AD68" si="12">IF($A$2=12.02,1,0)</f>
        <v>0</v>
      </c>
      <c r="AE64" s="1541"/>
      <c r="AF64" s="1541"/>
      <c r="AG64" s="220"/>
      <c r="AH64" s="1541"/>
      <c r="AI64" s="1541"/>
      <c r="AJ64" s="1541"/>
    </row>
    <row r="65" spans="1:36">
      <c r="A65" s="1136">
        <f t="shared" ref="A65:A86" si="13">A64+1</f>
        <v>3</v>
      </c>
      <c r="B65" s="218">
        <f>INDEX(Eingabedaten!$DP$9:$EM$53,nutzid,A65)</f>
        <v>1</v>
      </c>
      <c r="C65" s="215">
        <f t="shared" si="1"/>
        <v>1</v>
      </c>
      <c r="D65" s="218">
        <f>IF(INDEX(Eingabedaten!$EN$9:$FK$53,nutzid,A65)=0,INDEX(Eingabedaten!$BH$9:$BH$53,nutzid),INDEX(Eingabedaten!$EN$9:$FK$53,nutzid,A65))</f>
        <v>0.2</v>
      </c>
      <c r="E65" s="219">
        <f>INDEX(Eingabedaten!$BH$9:$BH$53,nutzid)%</f>
        <v>0.2</v>
      </c>
      <c r="F65" s="875">
        <f>IF(OR(Profile!B65&gt;0,Profile!B66&gt;0,B67&gt;0,Profile!B64&gt;0,B63&gt;0),1,0)</f>
        <v>1</v>
      </c>
      <c r="G65" s="875">
        <f>IF(OR(Profile!B65&gt;0,Profile!B66&gt;0,Profile!B64&gt;0,B63&gt;0,B67&gt;0),IF(Profile!B65&gt;0.5,1,0.667),0)</f>
        <v>1</v>
      </c>
      <c r="H65" s="207">
        <f t="shared" si="2"/>
        <v>1</v>
      </c>
      <c r="I65" s="875">
        <f>IF(Profile!B65&gt;0,IF(Profile!B65&lt;0.25,0.25,Profile!B65),IF(OR(Profile!B66&gt;0,Profile!B64&gt;0,B63&gt;0,B67&gt;0),0.25,0))</f>
        <v>1</v>
      </c>
      <c r="J65" s="207">
        <f t="shared" si="3"/>
        <v>1</v>
      </c>
      <c r="K65" s="60"/>
      <c r="L65" s="64"/>
      <c r="N65" s="1355">
        <f>Aug_Auslegung!DZ102</f>
        <v>0</v>
      </c>
      <c r="O65" s="1356">
        <f>Aug_Auslegung!DX102/10</f>
        <v>18.8</v>
      </c>
      <c r="P65" s="238">
        <f>Aug_Auslegung!DY102</f>
        <v>85</v>
      </c>
      <c r="Q65" s="261"/>
      <c r="R65" s="264">
        <f t="shared" si="4"/>
        <v>0</v>
      </c>
      <c r="S65" s="264">
        <f t="shared" si="5"/>
        <v>0</v>
      </c>
      <c r="T65" s="261">
        <f t="shared" si="6"/>
        <v>0</v>
      </c>
      <c r="U65" s="210">
        <f t="shared" si="7"/>
        <v>0</v>
      </c>
      <c r="V65" s="210">
        <f t="shared" si="8"/>
        <v>0</v>
      </c>
      <c r="W65" s="1049">
        <f>Aug_Auslegung!D102</f>
        <v>0</v>
      </c>
      <c r="X65" s="1049">
        <f>Aug_Auslegung!B102</f>
        <v>13.4</v>
      </c>
      <c r="Y65" s="1049">
        <f>Aug_Auslegung!C102</f>
        <v>83</v>
      </c>
      <c r="Z65" s="261"/>
      <c r="AA65" s="264">
        <f t="shared" si="9"/>
        <v>0</v>
      </c>
      <c r="AB65" s="264">
        <f t="shared" si="10"/>
        <v>0</v>
      </c>
      <c r="AC65" s="261">
        <f t="shared" si="11"/>
        <v>0</v>
      </c>
      <c r="AD65" s="210">
        <f t="shared" si="12"/>
        <v>0</v>
      </c>
      <c r="AE65" s="1541"/>
      <c r="AF65" s="1541"/>
      <c r="AG65" s="220"/>
      <c r="AH65" s="1541"/>
      <c r="AI65" s="1541"/>
      <c r="AJ65" s="1541"/>
    </row>
    <row r="66" spans="1:36">
      <c r="A66" s="1136">
        <f t="shared" si="13"/>
        <v>4</v>
      </c>
      <c r="B66" s="218">
        <f>INDEX(Eingabedaten!$DP$9:$EM$53,nutzid,A66)</f>
        <v>1</v>
      </c>
      <c r="C66" s="215">
        <f t="shared" si="1"/>
        <v>1</v>
      </c>
      <c r="D66" s="218">
        <f>IF(INDEX(Eingabedaten!$EN$9:$FK$53,nutzid,A66)=0,INDEX(Eingabedaten!$BH$9:$BH$53,nutzid),INDEX(Eingabedaten!$EN$9:$FK$53,nutzid,A66))</f>
        <v>0.2</v>
      </c>
      <c r="E66" s="219">
        <f>INDEX(Eingabedaten!$BH$9:$BH$53,nutzid)%</f>
        <v>0.2</v>
      </c>
      <c r="F66" s="875">
        <f>IF(OR(Profile!B66&gt;0,Profile!B67&gt;0,B68&gt;0,Profile!B65&gt;0,B64&gt;0),1,0)</f>
        <v>1</v>
      </c>
      <c r="G66" s="875">
        <f>IF(OR(Profile!B66&gt;0,Profile!B67&gt;0,Profile!B65&gt;0,B64&gt;0,B68&gt;0),IF(Profile!B66&gt;0.5,1,0.667),0)</f>
        <v>1</v>
      </c>
      <c r="H66" s="207">
        <f t="shared" si="2"/>
        <v>1</v>
      </c>
      <c r="I66" s="875">
        <f>IF(Profile!B66&gt;0,IF(Profile!B66&lt;0.25,0.25,Profile!B66),IF(OR(Profile!B67&gt;0,Profile!B65&gt;0,B64&gt;0,B68&gt;0),0.25,0))</f>
        <v>1</v>
      </c>
      <c r="J66" s="207">
        <f t="shared" si="3"/>
        <v>1</v>
      </c>
      <c r="K66" s="60"/>
      <c r="L66" s="64"/>
      <c r="N66" s="1355">
        <f>Aug_Auslegung!DZ103</f>
        <v>0</v>
      </c>
      <c r="O66" s="1356">
        <f>Aug_Auslegung!DX103/10</f>
        <v>18.399999999999999</v>
      </c>
      <c r="P66" s="238">
        <f>Aug_Auslegung!DY103</f>
        <v>88</v>
      </c>
      <c r="Q66" s="261"/>
      <c r="R66" s="264">
        <f t="shared" si="4"/>
        <v>0</v>
      </c>
      <c r="S66" s="264">
        <f t="shared" si="5"/>
        <v>0</v>
      </c>
      <c r="T66" s="261">
        <f t="shared" si="6"/>
        <v>0</v>
      </c>
      <c r="U66" s="210">
        <f t="shared" si="7"/>
        <v>0</v>
      </c>
      <c r="V66" s="210">
        <f t="shared" si="8"/>
        <v>0</v>
      </c>
      <c r="W66" s="1049">
        <f>Aug_Auslegung!D103</f>
        <v>0</v>
      </c>
      <c r="X66" s="1049">
        <f>Aug_Auslegung!B103</f>
        <v>12.7</v>
      </c>
      <c r="Y66" s="1049">
        <f>Aug_Auslegung!C103</f>
        <v>85</v>
      </c>
      <c r="Z66" s="261"/>
      <c r="AA66" s="264">
        <f t="shared" si="9"/>
        <v>0</v>
      </c>
      <c r="AB66" s="264">
        <f t="shared" si="10"/>
        <v>0</v>
      </c>
      <c r="AC66" s="261">
        <f t="shared" si="11"/>
        <v>0</v>
      </c>
      <c r="AD66" s="210">
        <f t="shared" si="12"/>
        <v>0</v>
      </c>
      <c r="AE66" s="1541"/>
      <c r="AF66" s="1541"/>
      <c r="AG66" s="220"/>
      <c r="AH66" s="1541"/>
      <c r="AI66" s="1541"/>
      <c r="AJ66" s="1541"/>
    </row>
    <row r="67" spans="1:36">
      <c r="A67" s="1136">
        <f t="shared" si="13"/>
        <v>5</v>
      </c>
      <c r="B67" s="218">
        <f>INDEX(Eingabedaten!$DP$9:$EM$53,nutzid,A67)</f>
        <v>1</v>
      </c>
      <c r="C67" s="215">
        <f t="shared" si="1"/>
        <v>1</v>
      </c>
      <c r="D67" s="218">
        <f>IF(INDEX(Eingabedaten!$EN$9:$FK$53,nutzid,A67)=0,INDEX(Eingabedaten!$BH$9:$BH$53,nutzid),INDEX(Eingabedaten!$EN$9:$FK$53,nutzid,A67))</f>
        <v>0.2</v>
      </c>
      <c r="E67" s="219">
        <f>INDEX(Eingabedaten!$BH$9:$BH$53,nutzid)%</f>
        <v>0.2</v>
      </c>
      <c r="F67" s="875">
        <f>IF(OR(Profile!B67&gt;0,Profile!B68&gt;0,B69&gt;0,Profile!B66&gt;0,B65&gt;0),1,0)</f>
        <v>1</v>
      </c>
      <c r="G67" s="875">
        <f>IF(OR(Profile!B67&gt;0,Profile!B68&gt;0,Profile!B66&gt;0,B65&gt;0,B69&gt;0),IF(Profile!B67&gt;0.5,1,0.667),0)</f>
        <v>1</v>
      </c>
      <c r="H67" s="207">
        <f t="shared" si="2"/>
        <v>1</v>
      </c>
      <c r="I67" s="875">
        <f>IF(Profile!B67&gt;0,IF(Profile!B67&lt;0.25,0.25,Profile!B67),IF(OR(Profile!B68&gt;0,Profile!B66&gt;0,B65&gt;0,B69&gt;0),0.25,0))</f>
        <v>1</v>
      </c>
      <c r="J67" s="207">
        <f t="shared" si="3"/>
        <v>1</v>
      </c>
      <c r="K67" s="60"/>
      <c r="L67" s="64"/>
      <c r="N67" s="1355">
        <f>Aug_Auslegung!DZ104</f>
        <v>3</v>
      </c>
      <c r="O67" s="1356">
        <f>Aug_Auslegung!DX104/10</f>
        <v>18.3</v>
      </c>
      <c r="P67" s="238">
        <f>Aug_Auslegung!DY104</f>
        <v>87</v>
      </c>
      <c r="Q67" s="261"/>
      <c r="R67" s="264">
        <f t="shared" si="4"/>
        <v>33.352941176470594</v>
      </c>
      <c r="S67" s="264">
        <f t="shared" si="5"/>
        <v>33.352941176470594</v>
      </c>
      <c r="T67" s="261">
        <f t="shared" si="6"/>
        <v>0</v>
      </c>
      <c r="U67" s="210">
        <f t="shared" si="7"/>
        <v>0</v>
      </c>
      <c r="V67" s="210">
        <f t="shared" si="8"/>
        <v>0</v>
      </c>
      <c r="W67" s="1049">
        <f>Aug_Auslegung!D104</f>
        <v>0</v>
      </c>
      <c r="X67" s="1049">
        <f>Aug_Auslegung!B104</f>
        <v>12.9</v>
      </c>
      <c r="Y67" s="1049">
        <f>Aug_Auslegung!C104</f>
        <v>85</v>
      </c>
      <c r="Z67" s="261"/>
      <c r="AA67" s="264">
        <f t="shared" si="9"/>
        <v>0</v>
      </c>
      <c r="AB67" s="264">
        <f t="shared" si="10"/>
        <v>0</v>
      </c>
      <c r="AC67" s="261">
        <f t="shared" si="11"/>
        <v>0</v>
      </c>
      <c r="AD67" s="210">
        <f t="shared" si="12"/>
        <v>0</v>
      </c>
      <c r="AE67" s="1541"/>
      <c r="AF67" s="1541"/>
      <c r="AG67" s="220"/>
      <c r="AH67" s="1541"/>
      <c r="AI67" s="1541"/>
      <c r="AJ67" s="1541"/>
    </row>
    <row r="68" spans="1:36">
      <c r="A68" s="1136">
        <f t="shared" si="13"/>
        <v>6</v>
      </c>
      <c r="B68" s="218">
        <f>INDEX(Eingabedaten!$DP$9:$EM$53,nutzid,A68)</f>
        <v>1</v>
      </c>
      <c r="C68" s="215">
        <f t="shared" si="1"/>
        <v>1</v>
      </c>
      <c r="D68" s="218">
        <f>IF(INDEX(Eingabedaten!$EN$9:$FK$53,nutzid,A68)=0,INDEX(Eingabedaten!$BH$9:$BH$53,nutzid),INDEX(Eingabedaten!$EN$9:$FK$53,nutzid,A68))</f>
        <v>0.2</v>
      </c>
      <c r="E68" s="219">
        <f>INDEX(Eingabedaten!$BH$9:$BH$53,nutzid)%</f>
        <v>0.2</v>
      </c>
      <c r="F68" s="875">
        <f>IF(OR(Profile!B68&gt;0,Profile!B69&gt;0,B70&gt;0,Profile!B67&gt;0,B66&gt;0),1,0)</f>
        <v>1</v>
      </c>
      <c r="G68" s="875">
        <f>IF(OR(Profile!B68&gt;0,Profile!B69&gt;0,Profile!B67&gt;0,B66&gt;0,B70&gt;0),IF(Profile!B68&gt;0.5,1,0.667),0)</f>
        <v>1</v>
      </c>
      <c r="H68" s="207">
        <f t="shared" si="2"/>
        <v>1</v>
      </c>
      <c r="I68" s="875">
        <f>IF(Profile!B68&gt;0,IF(Profile!B68&lt;0.25,0.25,Profile!B68),IF(OR(Profile!B69&gt;0,Profile!B67&gt;0,B66&gt;0,B70&gt;0),0.25,0))</f>
        <v>1</v>
      </c>
      <c r="J68" s="207">
        <f t="shared" si="3"/>
        <v>1</v>
      </c>
      <c r="K68" s="60"/>
      <c r="L68" s="64"/>
      <c r="N68" s="1355">
        <f>Aug_Auslegung!DZ105</f>
        <v>32</v>
      </c>
      <c r="O68" s="1356">
        <f>Aug_Auslegung!DX105/10</f>
        <v>18.899999999999999</v>
      </c>
      <c r="P68" s="238">
        <f>Aug_Auslegung!DY105</f>
        <v>87</v>
      </c>
      <c r="Q68" s="261"/>
      <c r="R68" s="264">
        <f t="shared" si="4"/>
        <v>355.76470588235293</v>
      </c>
      <c r="S68" s="264">
        <f t="shared" si="5"/>
        <v>355.76470588235293</v>
      </c>
      <c r="T68" s="261">
        <f>IF(B68=0,0,IF(S68&lt;$T$60,1,0))*U68</f>
        <v>0</v>
      </c>
      <c r="U68" s="210">
        <f t="shared" si="7"/>
        <v>0</v>
      </c>
      <c r="V68" s="210">
        <f t="shared" si="8"/>
        <v>0</v>
      </c>
      <c r="W68" s="1049">
        <f>Aug_Auslegung!D105</f>
        <v>19</v>
      </c>
      <c r="X68" s="1049">
        <f>Aug_Auslegung!B105</f>
        <v>13.4</v>
      </c>
      <c r="Y68" s="1049">
        <f>Aug_Auslegung!C105</f>
        <v>82</v>
      </c>
      <c r="Z68" s="261"/>
      <c r="AA68" s="264">
        <f t="shared" si="9"/>
        <v>211.23529411764704</v>
      </c>
      <c r="AB68" s="264">
        <f t="shared" si="10"/>
        <v>211.23529411764704</v>
      </c>
      <c r="AC68" s="261">
        <f t="shared" si="11"/>
        <v>0</v>
      </c>
      <c r="AD68" s="210">
        <f t="shared" si="12"/>
        <v>0</v>
      </c>
      <c r="AE68" s="1541"/>
      <c r="AF68" s="1541"/>
      <c r="AG68" s="220"/>
      <c r="AH68" s="1541"/>
      <c r="AI68" s="1541"/>
      <c r="AJ68" s="1541"/>
    </row>
    <row r="69" spans="1:36">
      <c r="A69" s="1136">
        <f t="shared" si="13"/>
        <v>7</v>
      </c>
      <c r="B69" s="218">
        <f>INDEX(Eingabedaten!$DP$9:$EM$53,nutzid,A69)</f>
        <v>0.6</v>
      </c>
      <c r="C69" s="215">
        <f t="shared" si="1"/>
        <v>1</v>
      </c>
      <c r="D69" s="218">
        <f>IF(INDEX(Eingabedaten!$EN$9:$FK$53,nutzid,A69)=0,INDEX(Eingabedaten!$BH$9:$BH$53,nutzid),INDEX(Eingabedaten!$EN$9:$FK$53,nutzid,A69))</f>
        <v>0.8</v>
      </c>
      <c r="E69" s="219">
        <f>INDEX(Eingabedaten!$BH$9:$BH$53,nutzid)%</f>
        <v>0.2</v>
      </c>
      <c r="F69" s="875">
        <f>IF(OR(Profile!B69&gt;0,Profile!B70&gt;0,B71&gt;0,Profile!B68&gt;0,B67&gt;0),1,0)</f>
        <v>1</v>
      </c>
      <c r="G69" s="875">
        <f>IF(OR(Profile!B69&gt;0,Profile!B70&gt;0,Profile!B68&gt;0,B67&gt;0,B71&gt;0),IF(Profile!B69&gt;0.5,1,0.667),0)</f>
        <v>1</v>
      </c>
      <c r="H69" s="207">
        <f t="shared" si="2"/>
        <v>1</v>
      </c>
      <c r="I69" s="875">
        <f>IF(Profile!B69&gt;0,IF(Profile!B69&lt;0.25,0.25,Profile!B69),IF(OR(Profile!B70&gt;0,Profile!B68&gt;0,B67&gt;0,B71&gt;0),0.25,0))</f>
        <v>0.6</v>
      </c>
      <c r="J69" s="207">
        <f t="shared" si="3"/>
        <v>0.46475800154489</v>
      </c>
      <c r="K69" s="60"/>
      <c r="L69" s="64"/>
      <c r="N69" s="1355">
        <f>Aug_Auslegung!DZ106</f>
        <v>65</v>
      </c>
      <c r="O69" s="1356">
        <f>Aug_Auslegung!DX106/10</f>
        <v>20.3</v>
      </c>
      <c r="P69" s="238">
        <f>Aug_Auslegung!DY106</f>
        <v>81</v>
      </c>
      <c r="Q69" s="261"/>
      <c r="R69" s="264">
        <f t="shared" si="4"/>
        <v>722.64705882352939</v>
      </c>
      <c r="S69" s="264">
        <f t="shared" si="5"/>
        <v>722.64705882352939</v>
      </c>
      <c r="T69" s="261">
        <f t="shared" si="6"/>
        <v>0</v>
      </c>
      <c r="U69" s="210">
        <v>1</v>
      </c>
      <c r="V69" s="210">
        <f t="shared" si="8"/>
        <v>1</v>
      </c>
      <c r="W69" s="1049">
        <f>Aug_Auslegung!D106</f>
        <v>58</v>
      </c>
      <c r="X69" s="1049">
        <f>Aug_Auslegung!B106</f>
        <v>16.3</v>
      </c>
      <c r="Y69" s="1049">
        <f>Aug_Auslegung!C106</f>
        <v>73</v>
      </c>
      <c r="Z69" s="261"/>
      <c r="AA69" s="264">
        <f t="shared" si="9"/>
        <v>644.82352941176475</v>
      </c>
      <c r="AB69" s="264">
        <f t="shared" si="10"/>
        <v>644.82352941176475</v>
      </c>
      <c r="AC69" s="261">
        <f t="shared" si="11"/>
        <v>0</v>
      </c>
      <c r="AD69" s="210">
        <v>1</v>
      </c>
      <c r="AE69" s="1541"/>
      <c r="AF69" s="1541"/>
      <c r="AG69" s="220"/>
      <c r="AH69" s="1541"/>
      <c r="AI69" s="1541"/>
      <c r="AJ69" s="1541"/>
    </row>
    <row r="70" spans="1:36">
      <c r="A70" s="1136">
        <f t="shared" si="13"/>
        <v>8</v>
      </c>
      <c r="B70" s="218">
        <f>INDEX(Eingabedaten!$DP$9:$EM$53,nutzid,A70)</f>
        <v>0.4</v>
      </c>
      <c r="C70" s="215">
        <f t="shared" si="1"/>
        <v>1</v>
      </c>
      <c r="D70" s="218">
        <f>IF(INDEX(Eingabedaten!$EN$9:$FK$53,nutzid,A70)=0,INDEX(Eingabedaten!$BH$9:$BH$53,nutzid),INDEX(Eingabedaten!$EN$9:$FK$53,nutzid,A70))</f>
        <v>0.2</v>
      </c>
      <c r="E70" s="219">
        <f>INDEX(Eingabedaten!$BH$9:$BH$53,nutzid)%</f>
        <v>0.2</v>
      </c>
      <c r="F70" s="875">
        <f>IF(OR(Profile!B70&gt;0,Profile!B71&gt;0,B72&gt;0,Profile!B69&gt;0,B68&gt;0),1,0)</f>
        <v>1</v>
      </c>
      <c r="G70" s="875">
        <f>IF(OR(Profile!B70&gt;0,Profile!B71&gt;0,Profile!B69&gt;0,B68&gt;0,B72&gt;0),IF(Profile!B70&gt;0.5,1,0.667),0)</f>
        <v>0.66700000000000004</v>
      </c>
      <c r="H70" s="207">
        <f t="shared" si="2"/>
        <v>0.3633411486304669</v>
      </c>
      <c r="I70" s="875">
        <f>IF(Profile!B70&gt;0,IF(Profile!B70&lt;0.25,0.25,Profile!B70),IF(OR(Profile!B71&gt;0,Profile!B69&gt;0,B68&gt;0,B72&gt;0),0.25,0))</f>
        <v>0.4</v>
      </c>
      <c r="J70" s="207">
        <f t="shared" si="3"/>
        <v>0.25298221281347039</v>
      </c>
      <c r="K70" s="60"/>
      <c r="L70" s="64"/>
      <c r="N70" s="1355">
        <f>Aug_Auslegung!DZ107</f>
        <v>77</v>
      </c>
      <c r="O70" s="1356">
        <f>Aug_Auslegung!DX107/10</f>
        <v>21.9</v>
      </c>
      <c r="P70" s="238">
        <f>Aug_Auslegung!DY107</f>
        <v>75</v>
      </c>
      <c r="Q70" s="261"/>
      <c r="R70" s="264">
        <f t="shared" si="4"/>
        <v>856.05882352941171</v>
      </c>
      <c r="S70" s="264">
        <f t="shared" si="5"/>
        <v>856.05882352941171</v>
      </c>
      <c r="T70" s="261">
        <f t="shared" si="6"/>
        <v>0</v>
      </c>
      <c r="U70" s="210">
        <v>1</v>
      </c>
      <c r="V70" s="210">
        <f t="shared" si="8"/>
        <v>1</v>
      </c>
      <c r="W70" s="1049">
        <f>Aug_Auslegung!D107</f>
        <v>81</v>
      </c>
      <c r="X70" s="1049">
        <f>Aug_Auslegung!B107</f>
        <v>19.7</v>
      </c>
      <c r="Y70" s="1049">
        <f>Aug_Auslegung!C107</f>
        <v>64</v>
      </c>
      <c r="Z70" s="261"/>
      <c r="AA70" s="264">
        <f t="shared" si="9"/>
        <v>900.52941176470597</v>
      </c>
      <c r="AB70" s="264">
        <f t="shared" si="10"/>
        <v>900.52941176470597</v>
      </c>
      <c r="AC70" s="261">
        <f t="shared" si="11"/>
        <v>0</v>
      </c>
      <c r="AD70" s="210">
        <v>1</v>
      </c>
      <c r="AE70" s="1541"/>
      <c r="AF70" s="1541"/>
      <c r="AG70" s="220"/>
      <c r="AH70" s="1541"/>
      <c r="AI70" s="1541"/>
      <c r="AJ70" s="1541"/>
    </row>
    <row r="71" spans="1:36">
      <c r="A71" s="1136">
        <f t="shared" si="13"/>
        <v>9</v>
      </c>
      <c r="B71" s="218">
        <f>INDEX(Eingabedaten!$DP$9:$EM$53,nutzid,A71)</f>
        <v>0</v>
      </c>
      <c r="C71" s="215">
        <f t="shared" si="1"/>
        <v>0</v>
      </c>
      <c r="D71" s="218">
        <f>IF(INDEX(Eingabedaten!$EN$9:$FK$53,nutzid,A71)=0,INDEX(Eingabedaten!$BH$9:$BH$53,nutzid),INDEX(Eingabedaten!$EN$9:$FK$53,nutzid,A71))</f>
        <v>0.2</v>
      </c>
      <c r="E71" s="219">
        <f>INDEX(Eingabedaten!$BH$9:$BH$53,nutzid)%</f>
        <v>0.2</v>
      </c>
      <c r="F71" s="875">
        <f>IF(OR(Profile!B71&gt;0,Profile!B72&gt;0,B73&gt;0,Profile!B70&gt;0,B69&gt;0),1,0)</f>
        <v>1</v>
      </c>
      <c r="G71" s="875">
        <f>IF(OR(Profile!B71&gt;0,Profile!B72&gt;0,Profile!B70&gt;0,B69&gt;0,B73&gt;0),IF(Profile!B71&gt;0.5,1,0.667),0)</f>
        <v>0.66700000000000004</v>
      </c>
      <c r="H71" s="207">
        <f t="shared" si="2"/>
        <v>0.3633411486304669</v>
      </c>
      <c r="I71" s="875">
        <f>IF(Profile!B71&gt;0,IF(Profile!B71&lt;0.25,0.25,Profile!B71),IF(OR(Profile!B72&gt;0,Profile!B70&gt;0,B69&gt;0,B73&gt;0),0.25,0))</f>
        <v>0.25</v>
      </c>
      <c r="J71" s="207">
        <f t="shared" si="3"/>
        <v>0.12500000000000003</v>
      </c>
      <c r="K71" s="60"/>
      <c r="L71" s="64"/>
      <c r="N71" s="1355">
        <f>Aug_Auslegung!DZ108</f>
        <v>97</v>
      </c>
      <c r="O71" s="1356">
        <f>Aug_Auslegung!DX108/10</f>
        <v>24</v>
      </c>
      <c r="P71" s="238">
        <f>Aug_Auslegung!DY108</f>
        <v>66</v>
      </c>
      <c r="Q71" s="261"/>
      <c r="R71" s="264">
        <f t="shared" si="4"/>
        <v>1078.4117647058822</v>
      </c>
      <c r="S71" s="264">
        <f t="shared" si="5"/>
        <v>1078.4117647058822</v>
      </c>
      <c r="T71" s="261">
        <f t="shared" si="6"/>
        <v>0</v>
      </c>
      <c r="U71" s="210">
        <v>1</v>
      </c>
      <c r="V71" s="210">
        <f>IF(B71=0,0,IF((S71-V$60)&lt;$T$60,1,0))*U71</f>
        <v>0</v>
      </c>
      <c r="W71" s="1049">
        <f>Aug_Auslegung!D108</f>
        <v>108</v>
      </c>
      <c r="X71" s="1049">
        <f>Aug_Auslegung!B108</f>
        <v>22.1</v>
      </c>
      <c r="Y71" s="1049">
        <f>Aug_Auslegung!C108</f>
        <v>50</v>
      </c>
      <c r="Z71" s="261"/>
      <c r="AA71" s="264">
        <f t="shared" si="9"/>
        <v>1200.7058823529412</v>
      </c>
      <c r="AB71" s="264">
        <f t="shared" si="10"/>
        <v>1200.7058823529412</v>
      </c>
      <c r="AC71" s="261">
        <f t="shared" si="11"/>
        <v>0</v>
      </c>
      <c r="AD71" s="210">
        <v>1</v>
      </c>
      <c r="AE71" s="1541"/>
      <c r="AF71" s="1541"/>
      <c r="AG71" s="220"/>
      <c r="AH71" s="1541"/>
      <c r="AI71" s="1541"/>
      <c r="AJ71" s="1541"/>
    </row>
    <row r="72" spans="1:36">
      <c r="A72" s="1136">
        <f t="shared" si="13"/>
        <v>10</v>
      </c>
      <c r="B72" s="218">
        <f>INDEX(Eingabedaten!$DP$9:$EM$53,nutzid,A72)</f>
        <v>0</v>
      </c>
      <c r="C72" s="215">
        <f t="shared" si="1"/>
        <v>0</v>
      </c>
      <c r="D72" s="218">
        <f>IF(INDEX(Eingabedaten!$EN$9:$FK$53,nutzid,A72)=0,INDEX(Eingabedaten!$BH$9:$BH$53,nutzid),INDEX(Eingabedaten!$EN$9:$FK$53,nutzid,A72))</f>
        <v>0.2</v>
      </c>
      <c r="E72" s="219">
        <f>INDEX(Eingabedaten!$BH$9:$BH$53,nutzid)%</f>
        <v>0.2</v>
      </c>
      <c r="F72" s="875">
        <f>IF(OR(Profile!B72&gt;0,Profile!B73&gt;0,B74&gt;0,Profile!B71&gt;0,B70&gt;0),1,0)</f>
        <v>1</v>
      </c>
      <c r="G72" s="875">
        <f>IF(OR(Profile!B72&gt;0,Profile!B73&gt;0,Profile!B71&gt;0,B70&gt;0,B74&gt;0),IF(Profile!B72&gt;0.5,1,0.667),0)</f>
        <v>0.66700000000000004</v>
      </c>
      <c r="H72" s="207">
        <f t="shared" si="2"/>
        <v>0.3633411486304669</v>
      </c>
      <c r="I72" s="875">
        <f>IF(Profile!B72&gt;0,IF(Profile!B72&lt;0.25,0.25,Profile!B72),IF(OR(Profile!B73&gt;0,Profile!B71&gt;0,B70&gt;0,B74&gt;0),0.25,0))</f>
        <v>0.25</v>
      </c>
      <c r="J72" s="207">
        <f t="shared" si="3"/>
        <v>0.12500000000000003</v>
      </c>
      <c r="K72" s="60"/>
      <c r="L72" s="64"/>
      <c r="N72" s="1355">
        <f>Aug_Auslegung!DZ109</f>
        <v>112</v>
      </c>
      <c r="O72" s="1356">
        <f>Aug_Auslegung!DX109/10</f>
        <v>25</v>
      </c>
      <c r="P72" s="238">
        <f>Aug_Auslegung!DY109</f>
        <v>63</v>
      </c>
      <c r="Q72" s="261"/>
      <c r="R72" s="264">
        <f t="shared" si="4"/>
        <v>1245.1764705882351</v>
      </c>
      <c r="S72" s="264">
        <f t="shared" si="5"/>
        <v>1245.1764705882351</v>
      </c>
      <c r="T72" s="261">
        <f t="shared" si="6"/>
        <v>0</v>
      </c>
      <c r="U72" s="210">
        <v>1</v>
      </c>
      <c r="V72" s="210">
        <f>IF(B72=0,0,IF((S72-V$60)&lt;$T$60,1,0))*U72</f>
        <v>0</v>
      </c>
      <c r="W72" s="1049">
        <f>Aug_Auslegung!D109</f>
        <v>122</v>
      </c>
      <c r="X72" s="1049">
        <f>Aug_Auslegung!B109</f>
        <v>23.2</v>
      </c>
      <c r="Y72" s="1049">
        <f>Aug_Auslegung!C109</f>
        <v>46</v>
      </c>
      <c r="Z72" s="261"/>
      <c r="AA72" s="264">
        <f t="shared" si="9"/>
        <v>1356.3529411764707</v>
      </c>
      <c r="AB72" s="264">
        <f t="shared" si="10"/>
        <v>1356.3529411764707</v>
      </c>
      <c r="AC72" s="261">
        <f t="shared" si="11"/>
        <v>0</v>
      </c>
      <c r="AD72" s="210">
        <v>1</v>
      </c>
      <c r="AE72" s="1541"/>
      <c r="AF72" s="1541"/>
      <c r="AG72" s="220"/>
      <c r="AH72" s="1541"/>
      <c r="AI72" s="1541"/>
      <c r="AJ72" s="1541"/>
    </row>
    <row r="73" spans="1:36">
      <c r="A73" s="1136">
        <f t="shared" si="13"/>
        <v>11</v>
      </c>
      <c r="B73" s="218">
        <f>INDEX(Eingabedaten!$DP$9:$EM$53,nutzid,A73)</f>
        <v>0</v>
      </c>
      <c r="C73" s="215">
        <f t="shared" si="1"/>
        <v>0</v>
      </c>
      <c r="D73" s="218">
        <f>IF(INDEX(Eingabedaten!$EN$9:$FK$53,nutzid,A73)=0,INDEX(Eingabedaten!$BH$9:$BH$53,nutzid),INDEX(Eingabedaten!$EN$9:$FK$53,nutzid,A73))</f>
        <v>0.2</v>
      </c>
      <c r="E73" s="219">
        <f>INDEX(Eingabedaten!$BH$9:$BH$53,nutzid)%</f>
        <v>0.2</v>
      </c>
      <c r="F73" s="875">
        <f>IF(OR(Profile!B73&gt;0,Profile!B74&gt;0,B75&gt;0,Profile!B72&gt;0,B71&gt;0),1,0)</f>
        <v>1</v>
      </c>
      <c r="G73" s="875">
        <f>IF(OR(Profile!B73&gt;0,Profile!B74&gt;0,Profile!B72&gt;0,B71&gt;0,B75&gt;0),IF(Profile!B73&gt;0.5,1,0.667),0)</f>
        <v>0.66700000000000004</v>
      </c>
      <c r="H73" s="207">
        <f t="shared" si="2"/>
        <v>0.3633411486304669</v>
      </c>
      <c r="I73" s="875">
        <f>IF(Profile!B73&gt;0,IF(Profile!B73&lt;0.25,0.25,Profile!B73),IF(OR(Profile!B74&gt;0,Profile!B72&gt;0,B71&gt;0,B75&gt;0),0.25,0))</f>
        <v>0.25</v>
      </c>
      <c r="J73" s="207">
        <f t="shared" si="3"/>
        <v>0.12500000000000003</v>
      </c>
      <c r="K73" s="60"/>
      <c r="L73" s="64"/>
      <c r="N73" s="1355">
        <f>Aug_Auslegung!DZ110</f>
        <v>117</v>
      </c>
      <c r="O73" s="1356">
        <f>Aug_Auslegung!DX110/10</f>
        <v>26.7</v>
      </c>
      <c r="P73" s="238">
        <f>Aug_Auslegung!DY110</f>
        <v>57</v>
      </c>
      <c r="Q73" s="261"/>
      <c r="R73" s="264">
        <f t="shared" si="4"/>
        <v>1300.7647058823527</v>
      </c>
      <c r="S73" s="264">
        <f t="shared" si="5"/>
        <v>1300.7647058823527</v>
      </c>
      <c r="T73" s="261">
        <f t="shared" si="6"/>
        <v>0</v>
      </c>
      <c r="U73" s="210">
        <v>1</v>
      </c>
      <c r="V73" s="210">
        <f t="shared" si="8"/>
        <v>0</v>
      </c>
      <c r="W73" s="1049">
        <f>Aug_Auslegung!D110</f>
        <v>131</v>
      </c>
      <c r="X73" s="1049">
        <f>Aug_Auslegung!B110</f>
        <v>23.1</v>
      </c>
      <c r="Y73" s="1049">
        <f>Aug_Auslegung!C110</f>
        <v>53</v>
      </c>
      <c r="Z73" s="261"/>
      <c r="AA73" s="264">
        <f t="shared" si="9"/>
        <v>1456.4117647058824</v>
      </c>
      <c r="AB73" s="264">
        <f t="shared" si="10"/>
        <v>1456.4117647058824</v>
      </c>
      <c r="AC73" s="261">
        <f t="shared" si="11"/>
        <v>0</v>
      </c>
      <c r="AD73" s="210">
        <v>1</v>
      </c>
      <c r="AE73" s="1541"/>
      <c r="AF73" s="1541"/>
      <c r="AG73" s="220"/>
      <c r="AH73" s="1541"/>
      <c r="AI73" s="1541"/>
      <c r="AJ73" s="1541"/>
    </row>
    <row r="74" spans="1:36">
      <c r="A74" s="1136">
        <f t="shared" si="13"/>
        <v>12</v>
      </c>
      <c r="B74" s="218">
        <f>INDEX(Eingabedaten!$DP$9:$EM$53,nutzid,A74)</f>
        <v>0</v>
      </c>
      <c r="C74" s="215">
        <f t="shared" si="1"/>
        <v>0</v>
      </c>
      <c r="D74" s="218">
        <f>IF(INDEX(Eingabedaten!$EN$9:$FK$53,nutzid,A74)=0,INDEX(Eingabedaten!$BH$9:$BH$53,nutzid),INDEX(Eingabedaten!$EN$9:$FK$53,nutzid,A74))</f>
        <v>0.2</v>
      </c>
      <c r="E74" s="219">
        <f>INDEX(Eingabedaten!$BH$9:$BH$53,nutzid)%</f>
        <v>0.2</v>
      </c>
      <c r="F74" s="875">
        <f>IF(OR(Profile!B74&gt;0,Profile!B75&gt;0,B76&gt;0,Profile!B73&gt;0,B72&gt;0),1,0)</f>
        <v>1</v>
      </c>
      <c r="G74" s="875">
        <f>IF(OR(Profile!B74&gt;0,Profile!B75&gt;0,Profile!B73&gt;0,B72&gt;0,B76&gt;0),IF(Profile!B74&gt;0.5,1,0.667),0)</f>
        <v>0.66700000000000004</v>
      </c>
      <c r="H74" s="207">
        <f t="shared" si="2"/>
        <v>0.3633411486304669</v>
      </c>
      <c r="I74" s="875">
        <f>IF(Profile!B74&gt;0,IF(Profile!B74&lt;0.25,0.25,Profile!B74),IF(OR(Profile!B75&gt;0,Profile!B73&gt;0,B72&gt;0,B76&gt;0),0.25,0))</f>
        <v>0.25</v>
      </c>
      <c r="J74" s="207">
        <f t="shared" si="3"/>
        <v>0.12500000000000003</v>
      </c>
      <c r="K74" s="60"/>
      <c r="L74" s="64"/>
      <c r="N74" s="1355">
        <f>Aug_Auslegung!DZ111</f>
        <v>128</v>
      </c>
      <c r="O74" s="1356">
        <f>Aug_Auslegung!DX111/10</f>
        <v>28.2</v>
      </c>
      <c r="P74" s="238">
        <f>Aug_Auslegung!DY111</f>
        <v>54</v>
      </c>
      <c r="Q74" s="261"/>
      <c r="R74" s="264">
        <f t="shared" si="4"/>
        <v>1423.0588235294117</v>
      </c>
      <c r="S74" s="264">
        <f t="shared" si="5"/>
        <v>1423.0588235294117</v>
      </c>
      <c r="T74" s="261">
        <f t="shared" si="6"/>
        <v>0</v>
      </c>
      <c r="U74" s="210">
        <v>1</v>
      </c>
      <c r="V74" s="210">
        <f t="shared" si="8"/>
        <v>0</v>
      </c>
      <c r="W74" s="1049">
        <f>Aug_Auslegung!D111</f>
        <v>149</v>
      </c>
      <c r="X74" s="1049">
        <f>Aug_Auslegung!B111</f>
        <v>24.3</v>
      </c>
      <c r="Y74" s="1049">
        <f>Aug_Auslegung!C111</f>
        <v>46</v>
      </c>
      <c r="Z74" s="261"/>
      <c r="AA74" s="264">
        <f t="shared" si="9"/>
        <v>1656.5294117647056</v>
      </c>
      <c r="AB74" s="264">
        <f t="shared" si="10"/>
        <v>1656.5294117647056</v>
      </c>
      <c r="AC74" s="261">
        <f t="shared" si="11"/>
        <v>0</v>
      </c>
      <c r="AD74" s="210">
        <v>1</v>
      </c>
      <c r="AE74" s="1541"/>
      <c r="AF74" s="1541"/>
      <c r="AG74" s="220"/>
      <c r="AH74" s="1541"/>
      <c r="AI74" s="1541"/>
      <c r="AJ74" s="1541"/>
    </row>
    <row r="75" spans="1:36">
      <c r="A75" s="1136">
        <f t="shared" si="13"/>
        <v>13</v>
      </c>
      <c r="B75" s="218">
        <f>INDEX(Eingabedaten!$DP$9:$EM$53,nutzid,A75)</f>
        <v>0.8</v>
      </c>
      <c r="C75" s="215">
        <f t="shared" si="1"/>
        <v>1</v>
      </c>
      <c r="D75" s="218">
        <f>IF(INDEX(Eingabedaten!$EN$9:$FK$53,nutzid,A75)=0,INDEX(Eingabedaten!$BH$9:$BH$53,nutzid),INDEX(Eingabedaten!$EN$9:$FK$53,nutzid,A75))</f>
        <v>0.8</v>
      </c>
      <c r="E75" s="219">
        <f>INDEX(Eingabedaten!$BH$9:$BH$53,nutzid)%</f>
        <v>0.2</v>
      </c>
      <c r="F75" s="875">
        <f>IF(OR(Profile!B75&gt;0,Profile!B76&gt;0,B77&gt;0,Profile!B74&gt;0,B73&gt;0),1,0)</f>
        <v>1</v>
      </c>
      <c r="G75" s="875">
        <f>IF(OR(Profile!B75&gt;0,Profile!B76&gt;0,Profile!B74&gt;0,B73&gt;0,B77&gt;0),IF(Profile!B75&gt;0.5,1,0.667),0)</f>
        <v>1</v>
      </c>
      <c r="H75" s="207">
        <f t="shared" si="2"/>
        <v>1</v>
      </c>
      <c r="I75" s="875">
        <f>IF(Profile!B75&gt;0,IF(Profile!B75&lt;0.25,0.25,Profile!B75),IF(OR(Profile!B76&gt;0,Profile!B74&gt;0,B73&gt;0,B77&gt;0),0.25,0))</f>
        <v>0.8</v>
      </c>
      <c r="J75" s="207">
        <f t="shared" si="3"/>
        <v>0.71554175279993271</v>
      </c>
      <c r="K75" s="13"/>
      <c r="L75" s="13"/>
      <c r="N75" s="1355">
        <f>Aug_Auslegung!DZ112</f>
        <v>267</v>
      </c>
      <c r="O75" s="1356">
        <f>Aug_Auslegung!DX112/10</f>
        <v>29.6</v>
      </c>
      <c r="P75" s="238">
        <f>Aug_Auslegung!DY112</f>
        <v>50</v>
      </c>
      <c r="Q75" s="261"/>
      <c r="R75" s="264">
        <f t="shared" si="4"/>
        <v>2968.4117647058829</v>
      </c>
      <c r="S75" s="264">
        <f t="shared" si="5"/>
        <v>831.15529411764726</v>
      </c>
      <c r="T75" s="261">
        <f t="shared" si="6"/>
        <v>0</v>
      </c>
      <c r="U75" s="210">
        <v>1</v>
      </c>
      <c r="V75" s="210">
        <f t="shared" si="8"/>
        <v>1</v>
      </c>
      <c r="W75" s="1049">
        <f>Aug_Auslegung!D112</f>
        <v>271</v>
      </c>
      <c r="X75" s="1049">
        <f>Aug_Auslegung!B112</f>
        <v>24.6</v>
      </c>
      <c r="Y75" s="1049">
        <f>Aug_Auslegung!C112</f>
        <v>48</v>
      </c>
      <c r="Z75" s="261"/>
      <c r="AA75" s="264">
        <f t="shared" si="9"/>
        <v>3012.8823529411766</v>
      </c>
      <c r="AB75" s="264">
        <f t="shared" si="10"/>
        <v>843.60705882352954</v>
      </c>
      <c r="AC75" s="261">
        <f t="shared" si="11"/>
        <v>0</v>
      </c>
      <c r="AD75" s="210">
        <v>1</v>
      </c>
      <c r="AE75" s="1541"/>
      <c r="AF75" s="1541"/>
      <c r="AG75" s="220"/>
      <c r="AH75" s="1541"/>
      <c r="AI75" s="1541"/>
      <c r="AJ75" s="1541"/>
    </row>
    <row r="76" spans="1:36">
      <c r="A76" s="1136">
        <f t="shared" si="13"/>
        <v>14</v>
      </c>
      <c r="B76" s="218">
        <f>INDEX(Eingabedaten!$DP$9:$EM$53,nutzid,A76)</f>
        <v>0.4</v>
      </c>
      <c r="C76" s="215">
        <f t="shared" si="1"/>
        <v>1</v>
      </c>
      <c r="D76" s="218">
        <f>IF(INDEX(Eingabedaten!$EN$9:$FK$53,nutzid,A76)=0,INDEX(Eingabedaten!$BH$9:$BH$53,nutzid),INDEX(Eingabedaten!$EN$9:$FK$53,nutzid,A76))</f>
        <v>0.2</v>
      </c>
      <c r="E76" s="219">
        <f>INDEX(Eingabedaten!$BH$9:$BH$53,nutzid)%</f>
        <v>0.2</v>
      </c>
      <c r="F76" s="875">
        <f>IF(OR(Profile!B76&gt;0,Profile!B77&gt;0,B78&gt;0,Profile!B75&gt;0,B74&gt;0),1,0)</f>
        <v>1</v>
      </c>
      <c r="G76" s="875">
        <f>IF(OR(Profile!B76&gt;0,Profile!B77&gt;0,Profile!B75&gt;0,B74&gt;0,B78&gt;0),IF(Profile!B76&gt;0.5,1,0.667),0)</f>
        <v>0.66700000000000004</v>
      </c>
      <c r="H76" s="207">
        <f t="shared" si="2"/>
        <v>0.3633411486304669</v>
      </c>
      <c r="I76" s="875">
        <f>IF(Profile!B76&gt;0,IF(Profile!B76&lt;0.25,0.25,Profile!B76),IF(OR(Profile!B77&gt;0,Profile!B75&gt;0,B74&gt;0,B78&gt;0),0.25,0))</f>
        <v>0.4</v>
      </c>
      <c r="J76" s="207">
        <f t="shared" si="3"/>
        <v>0.25298221281347039</v>
      </c>
      <c r="K76" s="13"/>
      <c r="L76" s="13"/>
      <c r="N76" s="1355">
        <f>Aug_Auslegung!DZ113</f>
        <v>456</v>
      </c>
      <c r="O76" s="1356">
        <f>Aug_Auslegung!DX113/10</f>
        <v>30.5</v>
      </c>
      <c r="P76" s="238">
        <f>Aug_Auslegung!DY113</f>
        <v>47</v>
      </c>
      <c r="Q76" s="261"/>
      <c r="R76" s="264">
        <f t="shared" si="4"/>
        <v>5069.6470588235297</v>
      </c>
      <c r="S76" s="264">
        <f t="shared" si="5"/>
        <v>1419.5011764705885</v>
      </c>
      <c r="T76" s="261">
        <f t="shared" si="6"/>
        <v>0</v>
      </c>
      <c r="U76" s="210">
        <v>1</v>
      </c>
      <c r="V76" s="210">
        <f t="shared" si="8"/>
        <v>0</v>
      </c>
      <c r="W76" s="1049">
        <f>Aug_Auslegung!D113</f>
        <v>488</v>
      </c>
      <c r="X76" s="1049">
        <f>Aug_Auslegung!B113</f>
        <v>24</v>
      </c>
      <c r="Y76" s="1049">
        <f>Aug_Auslegung!C113</f>
        <v>49</v>
      </c>
      <c r="Z76" s="261"/>
      <c r="AA76" s="264">
        <f t="shared" si="9"/>
        <v>5425.4117647058829</v>
      </c>
      <c r="AB76" s="264">
        <f t="shared" si="10"/>
        <v>1519.1152941176474</v>
      </c>
      <c r="AC76" s="261">
        <f t="shared" si="11"/>
        <v>0</v>
      </c>
      <c r="AD76" s="210">
        <v>1</v>
      </c>
      <c r="AE76" s="1541"/>
      <c r="AF76" s="1541"/>
      <c r="AG76" s="220"/>
      <c r="AH76" s="1541"/>
      <c r="AI76" s="1541"/>
      <c r="AJ76" s="1541"/>
    </row>
    <row r="77" spans="1:36">
      <c r="A77" s="1136">
        <f t="shared" si="13"/>
        <v>15</v>
      </c>
      <c r="B77" s="218">
        <f>INDEX(Eingabedaten!$DP$9:$EM$53,nutzid,A77)</f>
        <v>0</v>
      </c>
      <c r="C77" s="215">
        <f t="shared" si="1"/>
        <v>0</v>
      </c>
      <c r="D77" s="218">
        <f>IF(INDEX(Eingabedaten!$EN$9:$FK$53,nutzid,A77)=0,INDEX(Eingabedaten!$BH$9:$BH$53,nutzid),INDEX(Eingabedaten!$EN$9:$FK$53,nutzid,A77))</f>
        <v>0.2</v>
      </c>
      <c r="E77" s="219">
        <f>INDEX(Eingabedaten!$BH$9:$BH$53,nutzid)%</f>
        <v>0.2</v>
      </c>
      <c r="F77" s="875">
        <f>IF(OR(Profile!B77&gt;0,Profile!B78&gt;0,B79&gt;0,Profile!B76&gt;0,B75&gt;0),1,0)</f>
        <v>1</v>
      </c>
      <c r="G77" s="875">
        <f>IF(OR(Profile!B77&gt;0,Profile!B78&gt;0,Profile!B76&gt;0,B75&gt;0,B79&gt;0),IF(Profile!B77&gt;0.5,1,0.667),0)</f>
        <v>0.66700000000000004</v>
      </c>
      <c r="H77" s="207">
        <f t="shared" si="2"/>
        <v>0.3633411486304669</v>
      </c>
      <c r="I77" s="875">
        <f>IF(Profile!B77&gt;0,IF(Profile!B77&lt;0.25,0.25,Profile!B77),IF(OR(Profile!B78&gt;0,Profile!B76&gt;0,B75&gt;0,B79&gt;0),0.25,0))</f>
        <v>0.25</v>
      </c>
      <c r="J77" s="207">
        <f t="shared" si="3"/>
        <v>0.12500000000000003</v>
      </c>
      <c r="K77" s="13"/>
      <c r="L77" s="13"/>
      <c r="N77" s="1355">
        <f>Aug_Auslegung!DZ114</f>
        <v>602</v>
      </c>
      <c r="O77" s="1356">
        <f>Aug_Auslegung!DX114/10</f>
        <v>31.4</v>
      </c>
      <c r="P77" s="238">
        <f>Aug_Auslegung!DY114</f>
        <v>42</v>
      </c>
      <c r="Q77" s="261"/>
      <c r="R77" s="264">
        <f t="shared" si="4"/>
        <v>6692.8235294117658</v>
      </c>
      <c r="S77" s="264">
        <f t="shared" si="5"/>
        <v>1873.9905882352946</v>
      </c>
      <c r="T77" s="261">
        <f t="shared" si="6"/>
        <v>0</v>
      </c>
      <c r="U77" s="210">
        <v>1</v>
      </c>
      <c r="V77" s="210">
        <f t="shared" si="8"/>
        <v>0</v>
      </c>
      <c r="W77" s="1049">
        <f>Aug_Auslegung!D114</f>
        <v>578</v>
      </c>
      <c r="X77" s="1049">
        <f>Aug_Auslegung!B114</f>
        <v>24.4</v>
      </c>
      <c r="Y77" s="1049">
        <f>Aug_Auslegung!C114</f>
        <v>47</v>
      </c>
      <c r="Z77" s="261"/>
      <c r="AA77" s="264">
        <f t="shared" si="9"/>
        <v>6426.0000000000009</v>
      </c>
      <c r="AB77" s="264">
        <f t="shared" si="10"/>
        <v>1799.2800000000004</v>
      </c>
      <c r="AC77" s="261">
        <f>IF(B77=0,0,IF(AB77&lt;$AC$60,1,0))*AD77</f>
        <v>0</v>
      </c>
      <c r="AD77" s="210">
        <v>1</v>
      </c>
      <c r="AE77" s="1541"/>
      <c r="AF77" s="1541"/>
      <c r="AG77" s="220"/>
      <c r="AH77" s="1541"/>
      <c r="AI77" s="1541"/>
      <c r="AJ77" s="1541"/>
    </row>
    <row r="78" spans="1:36">
      <c r="A78" s="1136">
        <f t="shared" si="13"/>
        <v>16</v>
      </c>
      <c r="B78" s="218">
        <f>INDEX(Eingabedaten!$DP$9:$EM$53,nutzid,A78)</f>
        <v>0</v>
      </c>
      <c r="C78" s="215">
        <f t="shared" si="1"/>
        <v>0</v>
      </c>
      <c r="D78" s="218">
        <f>IF(INDEX(Eingabedaten!$EN$9:$FK$53,nutzid,A78)=0,INDEX(Eingabedaten!$BH$9:$BH$53,nutzid),INDEX(Eingabedaten!$EN$9:$FK$53,nutzid,A78))</f>
        <v>0.2</v>
      </c>
      <c r="E78" s="219">
        <f>INDEX(Eingabedaten!$BH$9:$BH$53,nutzid)%</f>
        <v>0.2</v>
      </c>
      <c r="F78" s="875">
        <f>IF(OR(Profile!B78&gt;0,Profile!B79&gt;0,B80&gt;0,Profile!B77&gt;0,B76&gt;0),1,0)</f>
        <v>1</v>
      </c>
      <c r="G78" s="875">
        <f>IF(OR(Profile!B78&gt;0,Profile!B79&gt;0,Profile!B77&gt;0,B76&gt;0,B80&gt;0),IF(Profile!B78&gt;0.5,1,0.667),0)</f>
        <v>0.66700000000000004</v>
      </c>
      <c r="H78" s="207">
        <f t="shared" si="2"/>
        <v>0.3633411486304669</v>
      </c>
      <c r="I78" s="875">
        <f>IF(Profile!B78&gt;0,IF(Profile!B78&lt;0.25,0.25,Profile!B78),IF(OR(Profile!B79&gt;0,Profile!B77&gt;0,B76&gt;0,B80&gt;0),0.25,0))</f>
        <v>0.25</v>
      </c>
      <c r="J78" s="207">
        <f t="shared" si="3"/>
        <v>0.12500000000000003</v>
      </c>
      <c r="K78" s="13"/>
      <c r="L78" s="13"/>
      <c r="N78" s="1355">
        <f>Aug_Auslegung!DZ115</f>
        <v>680</v>
      </c>
      <c r="O78" s="1356">
        <f>Aug_Auslegung!DX115/10</f>
        <v>31.9</v>
      </c>
      <c r="P78" s="238">
        <f>Aug_Auslegung!DY115</f>
        <v>34</v>
      </c>
      <c r="Q78" s="261"/>
      <c r="R78" s="264">
        <f t="shared" si="4"/>
        <v>7559.9999999999991</v>
      </c>
      <c r="S78" s="264">
        <f t="shared" si="5"/>
        <v>2116.7999999999997</v>
      </c>
      <c r="T78" s="261">
        <f>IF(B78=0,0,IF(S78&lt;$T$60,1,0))*U78</f>
        <v>0</v>
      </c>
      <c r="U78" s="210">
        <v>1</v>
      </c>
      <c r="V78" s="210">
        <f t="shared" si="8"/>
        <v>0</v>
      </c>
      <c r="W78" s="1049">
        <f>Aug_Auslegung!D115</f>
        <v>601</v>
      </c>
      <c r="X78" s="1049">
        <f>Aug_Auslegung!B115</f>
        <v>23.8</v>
      </c>
      <c r="Y78" s="1049">
        <f>Aug_Auslegung!C115</f>
        <v>52</v>
      </c>
      <c r="Z78" s="261"/>
      <c r="AA78" s="264">
        <f t="shared" si="9"/>
        <v>6681.7058823529405</v>
      </c>
      <c r="AB78" s="264">
        <f t="shared" si="10"/>
        <v>1870.8776470588236</v>
      </c>
      <c r="AC78" s="261">
        <f>IF(B78=0,0,IF(AB78&lt;$AC$60,1,0))*AD78</f>
        <v>0</v>
      </c>
      <c r="AD78" s="210">
        <v>1</v>
      </c>
      <c r="AE78" s="1541"/>
      <c r="AF78" s="1541"/>
      <c r="AG78" s="220"/>
      <c r="AH78" s="1541"/>
      <c r="AI78" s="1541"/>
      <c r="AJ78" s="1541"/>
    </row>
    <row r="79" spans="1:36">
      <c r="A79" s="1136">
        <f t="shared" si="13"/>
        <v>17</v>
      </c>
      <c r="B79" s="218">
        <f>INDEX(Eingabedaten!$DP$9:$EM$53,nutzid,A79)</f>
        <v>0</v>
      </c>
      <c r="C79" s="215">
        <f t="shared" si="1"/>
        <v>0</v>
      </c>
      <c r="D79" s="218">
        <f>IF(INDEX(Eingabedaten!$EN$9:$FK$53,nutzid,A79)=0,INDEX(Eingabedaten!$BH$9:$BH$53,nutzid),INDEX(Eingabedaten!$EN$9:$FK$53,nutzid,A79))</f>
        <v>0.2</v>
      </c>
      <c r="E79" s="219">
        <f>INDEX(Eingabedaten!$BH$9:$BH$53,nutzid)%</f>
        <v>0.2</v>
      </c>
      <c r="F79" s="875">
        <f>IF(OR(Profile!B79&gt;0,Profile!B80&gt;0,B81&gt;0,Profile!B78&gt;0,B77&gt;0),1,0)</f>
        <v>1</v>
      </c>
      <c r="G79" s="875">
        <f>IF(OR(Profile!B79&gt;0,Profile!B80&gt;0,Profile!B78&gt;0,B77&gt;0,B81&gt;0),IF(Profile!B79&gt;0.5,1,0.667),0)</f>
        <v>0.66700000000000004</v>
      </c>
      <c r="H79" s="207">
        <f t="shared" si="2"/>
        <v>0.3633411486304669</v>
      </c>
      <c r="I79" s="875">
        <f>IF(Profile!B79&gt;0,IF(Profile!B79&lt;0.25,0.25,Profile!B79),IF(OR(Profile!B80&gt;0,Profile!B78&gt;0,B77&gt;0,B81&gt;0),0.25,0))</f>
        <v>0.25</v>
      </c>
      <c r="J79" s="207">
        <f t="shared" si="3"/>
        <v>0.12500000000000003</v>
      </c>
      <c r="K79" s="13"/>
      <c r="L79" s="13"/>
      <c r="N79" s="1355">
        <f>Aug_Auslegung!DZ116</f>
        <v>670</v>
      </c>
      <c r="O79" s="1356">
        <f>Aug_Auslegung!DX116/10</f>
        <v>32</v>
      </c>
      <c r="P79" s="238">
        <f>Aug_Auslegung!DY116</f>
        <v>34</v>
      </c>
      <c r="Q79" s="261"/>
      <c r="R79" s="264">
        <f t="shared" si="4"/>
        <v>7448.823529411764</v>
      </c>
      <c r="S79" s="264">
        <f t="shared" si="5"/>
        <v>2085.670588235294</v>
      </c>
      <c r="T79" s="261">
        <f t="shared" si="6"/>
        <v>0</v>
      </c>
      <c r="U79" s="210">
        <v>1</v>
      </c>
      <c r="V79" s="210">
        <f t="shared" si="8"/>
        <v>0</v>
      </c>
      <c r="W79" s="1049">
        <f>Aug_Auslegung!D116</f>
        <v>434</v>
      </c>
      <c r="X79" s="1049">
        <f>Aug_Auslegung!B116</f>
        <v>23.2</v>
      </c>
      <c r="Y79" s="1049">
        <f>Aug_Auslegung!C116</f>
        <v>58</v>
      </c>
      <c r="Z79" s="261"/>
      <c r="AA79" s="264">
        <f t="shared" si="9"/>
        <v>4825.0588235294117</v>
      </c>
      <c r="AB79" s="264">
        <f t="shared" si="10"/>
        <v>1351.0164705882355</v>
      </c>
      <c r="AC79" s="261">
        <f t="shared" si="11"/>
        <v>0</v>
      </c>
      <c r="AD79" s="210">
        <v>1</v>
      </c>
      <c r="AE79" s="1541"/>
      <c r="AF79" s="1541"/>
      <c r="AG79" s="220"/>
      <c r="AH79" s="1541"/>
      <c r="AI79" s="1541"/>
      <c r="AJ79" s="1541"/>
    </row>
    <row r="80" spans="1:36">
      <c r="A80" s="1136">
        <f t="shared" si="13"/>
        <v>18</v>
      </c>
      <c r="B80" s="218">
        <f>INDEX(Eingabedaten!$DP$9:$EM$53,nutzid,A80)</f>
        <v>0.4</v>
      </c>
      <c r="C80" s="215">
        <f>IF(B80&gt;0,1,0)</f>
        <v>1</v>
      </c>
      <c r="D80" s="218">
        <f>IF(INDEX(Eingabedaten!$EN$9:$FK$53,nutzid,A80)=0,INDEX(Eingabedaten!$BH$9:$BH$53,nutzid),INDEX(Eingabedaten!$EN$9:$FK$53,nutzid,A80))</f>
        <v>0.2</v>
      </c>
      <c r="E80" s="219">
        <f>INDEX(Eingabedaten!$BH$9:$BH$53,nutzid)%</f>
        <v>0.2</v>
      </c>
      <c r="F80" s="875">
        <f>IF(OR(Profile!B80&gt;0,Profile!B81&gt;0,B82&gt;0,Profile!B79&gt;0,B78&gt;0),1,0)</f>
        <v>1</v>
      </c>
      <c r="G80" s="875">
        <f>IF(OR(Profile!B80&gt;0,Profile!B81&gt;0,Profile!B79&gt;0,B78&gt;0,B82&gt;0),IF(Profile!B80&gt;0.5,1,0.667),0)</f>
        <v>0.66700000000000004</v>
      </c>
      <c r="H80" s="207">
        <f t="shared" si="2"/>
        <v>0.3633411486304669</v>
      </c>
      <c r="I80" s="875">
        <f>IF(Profile!B80&gt;0,IF(Profile!B80&lt;0.25,0.25,Profile!B80),IF(OR(Profile!B81&gt;0,Profile!B79&gt;0,B78&gt;0,B82&gt;0),0.25,0))</f>
        <v>0.4</v>
      </c>
      <c r="J80" s="207">
        <f t="shared" si="3"/>
        <v>0.25298221281347039</v>
      </c>
      <c r="K80" s="13"/>
      <c r="L80" s="13"/>
      <c r="N80" s="1355">
        <f>Aug_Auslegung!DZ117</f>
        <v>551</v>
      </c>
      <c r="O80" s="1356">
        <f>Aug_Auslegung!DX117/10</f>
        <v>30.6</v>
      </c>
      <c r="P80" s="238">
        <f>Aug_Auslegung!DY117</f>
        <v>42</v>
      </c>
      <c r="Q80" s="261"/>
      <c r="R80" s="264">
        <f t="shared" si="4"/>
        <v>6125.8235294117658</v>
      </c>
      <c r="S80" s="264">
        <f t="shared" si="5"/>
        <v>1715.2305882352946</v>
      </c>
      <c r="T80" s="261">
        <f t="shared" si="6"/>
        <v>0</v>
      </c>
      <c r="U80" s="210">
        <v>1</v>
      </c>
      <c r="V80" s="210">
        <f t="shared" si="8"/>
        <v>0</v>
      </c>
      <c r="W80" s="1049">
        <f>Aug_Auslegung!D117</f>
        <v>56</v>
      </c>
      <c r="X80" s="1049">
        <f>Aug_Auslegung!B117</f>
        <v>21.8</v>
      </c>
      <c r="Y80" s="1049">
        <f>Aug_Auslegung!C117</f>
        <v>62</v>
      </c>
      <c r="Z80" s="261"/>
      <c r="AA80" s="264">
        <f t="shared" si="9"/>
        <v>622.58823529411757</v>
      </c>
      <c r="AB80" s="264">
        <f t="shared" si="10"/>
        <v>622.58823529411757</v>
      </c>
      <c r="AC80" s="261">
        <f t="shared" si="11"/>
        <v>0</v>
      </c>
      <c r="AD80" s="210">
        <v>1</v>
      </c>
      <c r="AE80" s="1541"/>
      <c r="AF80" s="1541"/>
      <c r="AG80" s="220"/>
      <c r="AH80" s="1541"/>
      <c r="AI80" s="1541"/>
      <c r="AJ80" s="1541"/>
    </row>
    <row r="81" spans="1:36">
      <c r="A81" s="1136">
        <f t="shared" si="13"/>
        <v>19</v>
      </c>
      <c r="B81" s="218">
        <f>INDEX(Eingabedaten!$DP$9:$EM$53,nutzid,A81)</f>
        <v>0.8</v>
      </c>
      <c r="C81" s="215">
        <f t="shared" si="1"/>
        <v>1</v>
      </c>
      <c r="D81" s="218">
        <f>IF(INDEX(Eingabedaten!$EN$9:$FK$53,nutzid,A81)=0,INDEX(Eingabedaten!$BH$9:$BH$53,nutzid),INDEX(Eingabedaten!$EN$9:$FK$53,nutzid,A81))</f>
        <v>0.8</v>
      </c>
      <c r="E81" s="219">
        <f>INDEX(Eingabedaten!$BH$9:$BH$53,nutzid)%</f>
        <v>0.2</v>
      </c>
      <c r="F81" s="875">
        <f>IF(OR(Profile!B81&gt;0,Profile!B82&gt;0,B83&gt;0,Profile!B80&gt;0,B79&gt;0),1,0)</f>
        <v>1</v>
      </c>
      <c r="G81" s="875">
        <f>IF(OR(Profile!B81&gt;0,Profile!B82&gt;0,Profile!B80&gt;0,B79&gt;0,B83&gt;0),IF(Profile!B81&gt;0.5,1,0.667),0)</f>
        <v>1</v>
      </c>
      <c r="H81" s="207">
        <f t="shared" si="2"/>
        <v>1</v>
      </c>
      <c r="I81" s="875">
        <f>IF(Profile!B81&gt;0,IF(Profile!B81&lt;0.25,0.25,Profile!B81),IF(OR(Profile!B82&gt;0,Profile!B80&gt;0,B79&gt;0,B83&gt;0),0.25,0))</f>
        <v>0.8</v>
      </c>
      <c r="J81" s="207">
        <f t="shared" si="3"/>
        <v>0.71554175279993271</v>
      </c>
      <c r="K81" s="13"/>
      <c r="L81" s="13"/>
      <c r="N81" s="1355">
        <f>Aug_Auslegung!DZ118</f>
        <v>238</v>
      </c>
      <c r="O81" s="1356">
        <f>Aug_Auslegung!DX118/10</f>
        <v>27.4</v>
      </c>
      <c r="P81" s="238">
        <f>Aug_Auslegung!DY118</f>
        <v>58</v>
      </c>
      <c r="Q81" s="261"/>
      <c r="R81" s="264">
        <f t="shared" si="4"/>
        <v>2646</v>
      </c>
      <c r="S81" s="264">
        <f t="shared" si="5"/>
        <v>740.88000000000011</v>
      </c>
      <c r="T81" s="261">
        <f t="shared" si="6"/>
        <v>0</v>
      </c>
      <c r="U81" s="210">
        <v>1</v>
      </c>
      <c r="V81" s="210">
        <f t="shared" si="8"/>
        <v>1</v>
      </c>
      <c r="W81" s="1049">
        <f>Aug_Auslegung!D118</f>
        <v>19</v>
      </c>
      <c r="X81" s="1049">
        <f>Aug_Auslegung!B118</f>
        <v>20.9</v>
      </c>
      <c r="Y81" s="1049">
        <f>Aug_Auslegung!C118</f>
        <v>66</v>
      </c>
      <c r="Z81" s="261"/>
      <c r="AA81" s="264">
        <f t="shared" si="9"/>
        <v>211.23529411764704</v>
      </c>
      <c r="AB81" s="264">
        <f t="shared" si="10"/>
        <v>211.23529411764704</v>
      </c>
      <c r="AC81" s="261">
        <f t="shared" si="11"/>
        <v>0</v>
      </c>
      <c r="AD81" s="210">
        <v>1</v>
      </c>
      <c r="AE81" s="1541"/>
      <c r="AF81" s="1541"/>
      <c r="AG81" s="220"/>
      <c r="AH81" s="1541"/>
      <c r="AI81" s="1541"/>
      <c r="AJ81" s="1541"/>
    </row>
    <row r="82" spans="1:36">
      <c r="A82" s="1136">
        <f t="shared" si="13"/>
        <v>20</v>
      </c>
      <c r="B82" s="218">
        <f>INDEX(Eingabedaten!$DP$9:$EM$53,nutzid,A82)</f>
        <v>0.8</v>
      </c>
      <c r="C82" s="215">
        <f t="shared" si="1"/>
        <v>1</v>
      </c>
      <c r="D82" s="218">
        <f>IF(INDEX(Eingabedaten!$EN$9:$FK$53,nutzid,A82)=0,INDEX(Eingabedaten!$BH$9:$BH$53,nutzid),INDEX(Eingabedaten!$EN$9:$FK$53,nutzid,A82))</f>
        <v>1</v>
      </c>
      <c r="E82" s="219">
        <f>INDEX(Eingabedaten!$BH$9:$BH$53,nutzid)%</f>
        <v>0.2</v>
      </c>
      <c r="F82" s="875">
        <f>IF(OR(Profile!B82&gt;0,Profile!B83&gt;0,B84&gt;0,Profile!B81&gt;0,B80&gt;0),1,0)</f>
        <v>1</v>
      </c>
      <c r="G82" s="875">
        <f>IF(OR(Profile!B82&gt;0,Profile!B83&gt;0,Profile!B81&gt;0,B80&gt;0,B84&gt;0),IF(Profile!B82&gt;0.5,1,0.667),0)</f>
        <v>1</v>
      </c>
      <c r="H82" s="207">
        <f t="shared" si="2"/>
        <v>1</v>
      </c>
      <c r="I82" s="875">
        <f>IF(Profile!B82&gt;0,IF(Profile!B82&lt;0.25,0.25,Profile!B82),IF(OR(Profile!B83&gt;0,Profile!B81&gt;0,B80&gt;0,B84&gt;0),0.25,0))</f>
        <v>0.8</v>
      </c>
      <c r="J82" s="207">
        <f t="shared" si="3"/>
        <v>0.71554175279993271</v>
      </c>
      <c r="K82" s="13"/>
      <c r="L82" s="13"/>
      <c r="N82" s="1355">
        <f>Aug_Auslegung!DZ119</f>
        <v>0</v>
      </c>
      <c r="O82" s="1356">
        <f>Aug_Auslegung!DX119/10</f>
        <v>26.4</v>
      </c>
      <c r="P82" s="238">
        <f>Aug_Auslegung!DY119</f>
        <v>47</v>
      </c>
      <c r="Q82" s="261"/>
      <c r="R82" s="264">
        <f t="shared" si="4"/>
        <v>0</v>
      </c>
      <c r="S82" s="264">
        <f t="shared" si="5"/>
        <v>0</v>
      </c>
      <c r="T82" s="261">
        <f t="shared" si="6"/>
        <v>1</v>
      </c>
      <c r="U82" s="210">
        <v>1</v>
      </c>
      <c r="V82" s="210">
        <f t="shared" si="8"/>
        <v>1</v>
      </c>
      <c r="W82" s="1049">
        <f>Aug_Auslegung!D119</f>
        <v>0</v>
      </c>
      <c r="X82" s="1049">
        <f>Aug_Auslegung!B119</f>
        <v>19.899999999999999</v>
      </c>
      <c r="Y82" s="1049">
        <f>Aug_Auslegung!C119</f>
        <v>70</v>
      </c>
      <c r="Z82" s="261"/>
      <c r="AA82" s="264">
        <f t="shared" si="9"/>
        <v>0</v>
      </c>
      <c r="AB82" s="264">
        <f t="shared" si="10"/>
        <v>0</v>
      </c>
      <c r="AC82" s="261">
        <f t="shared" si="11"/>
        <v>1</v>
      </c>
      <c r="AD82" s="210">
        <v>1</v>
      </c>
      <c r="AE82" s="1541"/>
      <c r="AF82" s="1541"/>
      <c r="AG82" s="220"/>
      <c r="AH82" s="1541"/>
      <c r="AI82" s="1541"/>
      <c r="AJ82" s="1541"/>
    </row>
    <row r="83" spans="1:36">
      <c r="A83" s="1136">
        <f t="shared" si="13"/>
        <v>21</v>
      </c>
      <c r="B83" s="218">
        <f>INDEX(Eingabedaten!$DP$9:$EM$53,nutzid,A83)</f>
        <v>0.8</v>
      </c>
      <c r="C83" s="215">
        <f t="shared" si="1"/>
        <v>1</v>
      </c>
      <c r="D83" s="218">
        <f>IF(INDEX(Eingabedaten!$EN$9:$FK$53,nutzid,A83)=0,INDEX(Eingabedaten!$BH$9:$BH$53,nutzid),INDEX(Eingabedaten!$EN$9:$FK$53,nutzid,A83))</f>
        <v>0.2</v>
      </c>
      <c r="E83" s="219">
        <f>INDEX(Eingabedaten!$BH$9:$BH$53,nutzid)%</f>
        <v>0.2</v>
      </c>
      <c r="F83" s="875">
        <f>IF(OR(Profile!B83&gt;0,Profile!B84&gt;0,B85&gt;0,Profile!B82&gt;0,B81&gt;0),1,0)</f>
        <v>1</v>
      </c>
      <c r="G83" s="875">
        <f>IF(OR(Profile!B83&gt;0,Profile!B84&gt;0,Profile!B82&gt;0,B81&gt;0,B85&gt;0),IF(Profile!B83&gt;0.5,1,0.667),0)</f>
        <v>1</v>
      </c>
      <c r="H83" s="207">
        <f t="shared" si="2"/>
        <v>1</v>
      </c>
      <c r="I83" s="875">
        <f>IF(Profile!B83&gt;0,IF(Profile!B83&lt;0.25,0.25,Profile!B83),IF(OR(Profile!B84&gt;0,Profile!B82&gt;0,B81&gt;0,B85&gt;0),0.25,0))</f>
        <v>0.8</v>
      </c>
      <c r="J83" s="207">
        <f t="shared" si="3"/>
        <v>0.71554175279993271</v>
      </c>
      <c r="K83" s="13"/>
      <c r="L83" s="13"/>
      <c r="N83" s="1355">
        <f>Aug_Auslegung!DZ120</f>
        <v>0</v>
      </c>
      <c r="O83" s="1356">
        <f>Aug_Auslegung!DX120/10</f>
        <v>26.9</v>
      </c>
      <c r="P83" s="238">
        <f>Aug_Auslegung!DY120</f>
        <v>39</v>
      </c>
      <c r="Q83" s="261"/>
      <c r="R83" s="264">
        <f t="shared" si="4"/>
        <v>0</v>
      </c>
      <c r="S83" s="264">
        <f t="shared" si="5"/>
        <v>0</v>
      </c>
      <c r="T83" s="261">
        <f t="shared" si="6"/>
        <v>1</v>
      </c>
      <c r="U83" s="210">
        <v>1</v>
      </c>
      <c r="V83" s="210">
        <f t="shared" si="8"/>
        <v>1</v>
      </c>
      <c r="W83" s="1049">
        <f>Aug_Auslegung!D120</f>
        <v>0</v>
      </c>
      <c r="X83" s="1049">
        <f>Aug_Auslegung!B120</f>
        <v>18.899999999999999</v>
      </c>
      <c r="Y83" s="1049">
        <f>Aug_Auslegung!C120</f>
        <v>76</v>
      </c>
      <c r="Z83" s="261"/>
      <c r="AA83" s="264">
        <f t="shared" si="9"/>
        <v>0</v>
      </c>
      <c r="AB83" s="264">
        <f t="shared" si="10"/>
        <v>0</v>
      </c>
      <c r="AC83" s="261">
        <f t="shared" si="11"/>
        <v>1</v>
      </c>
      <c r="AD83" s="210">
        <v>1</v>
      </c>
      <c r="AE83" s="1541"/>
      <c r="AF83" s="1541"/>
      <c r="AG83" s="220"/>
      <c r="AH83" s="1541"/>
      <c r="AI83" s="1541"/>
      <c r="AJ83" s="1541"/>
    </row>
    <row r="84" spans="1:36">
      <c r="A84" s="1136">
        <f t="shared" si="13"/>
        <v>22</v>
      </c>
      <c r="B84" s="218">
        <f>INDEX(Eingabedaten!$DP$9:$EM$53,nutzid,A84)</f>
        <v>1</v>
      </c>
      <c r="C84" s="215">
        <f t="shared" si="1"/>
        <v>1</v>
      </c>
      <c r="D84" s="218">
        <f>IF(INDEX(Eingabedaten!$EN$9:$FK$53,nutzid,A84)=0,INDEX(Eingabedaten!$BH$9:$BH$53,nutzid),INDEX(Eingabedaten!$EN$9:$FK$53,nutzid,A84))</f>
        <v>0.2</v>
      </c>
      <c r="E84" s="219">
        <f>INDEX(Eingabedaten!$BH$9:$BH$53,nutzid)%</f>
        <v>0.2</v>
      </c>
      <c r="F84" s="875">
        <f>IF(OR(Profile!B84&gt;0,Profile!B85&gt;0,B86&gt;0,Profile!B83&gt;0,B82&gt;0),1,0)</f>
        <v>1</v>
      </c>
      <c r="G84" s="875">
        <f>IF(OR(Profile!B84&gt;0,Profile!B85&gt;0,Profile!B83&gt;0,B82&gt;0,B86&gt;0),IF(Profile!B84&gt;0.5,1,0.667),0)</f>
        <v>1</v>
      </c>
      <c r="H84" s="207">
        <f t="shared" si="2"/>
        <v>1</v>
      </c>
      <c r="I84" s="875">
        <f>IF(Profile!B84&gt;0,IF(Profile!B84&lt;0.25,0.25,Profile!B84),IF(OR(Profile!B85&gt;0,Profile!B83&gt;0,B82&gt;0,B86&gt;0),0.25,0))</f>
        <v>1</v>
      </c>
      <c r="J84" s="207">
        <f t="shared" si="3"/>
        <v>1</v>
      </c>
      <c r="K84" s="13"/>
      <c r="L84" s="13"/>
      <c r="N84" s="1355">
        <f>Aug_Auslegung!DZ121</f>
        <v>0</v>
      </c>
      <c r="O84" s="1356">
        <f>Aug_Auslegung!DX121/10</f>
        <v>24.9</v>
      </c>
      <c r="P84" s="238">
        <f>Aug_Auslegung!DY121</f>
        <v>45</v>
      </c>
      <c r="Q84" s="261"/>
      <c r="R84" s="264">
        <f t="shared" si="4"/>
        <v>0</v>
      </c>
      <c r="S84" s="264">
        <f t="shared" si="5"/>
        <v>0</v>
      </c>
      <c r="T84" s="261">
        <f t="shared" si="6"/>
        <v>1</v>
      </c>
      <c r="U84" s="210">
        <v>1</v>
      </c>
      <c r="V84" s="210">
        <f t="shared" si="8"/>
        <v>1</v>
      </c>
      <c r="W84" s="1049">
        <f>Aug_Auslegung!D121</f>
        <v>0</v>
      </c>
      <c r="X84" s="1049">
        <f>Aug_Auslegung!B121</f>
        <v>17.399999999999999</v>
      </c>
      <c r="Y84" s="1049">
        <f>Aug_Auslegung!C121</f>
        <v>82</v>
      </c>
      <c r="Z84" s="261"/>
      <c r="AA84" s="264">
        <f t="shared" si="9"/>
        <v>0</v>
      </c>
      <c r="AB84" s="264">
        <f t="shared" si="10"/>
        <v>0</v>
      </c>
      <c r="AC84" s="261">
        <f t="shared" si="11"/>
        <v>1</v>
      </c>
      <c r="AD84" s="210">
        <v>1</v>
      </c>
      <c r="AE84" s="1541"/>
      <c r="AF84" s="1541"/>
      <c r="AG84" s="220"/>
      <c r="AH84" s="1541"/>
      <c r="AI84" s="1541"/>
      <c r="AJ84" s="1541"/>
    </row>
    <row r="85" spans="1:36">
      <c r="A85" s="1136">
        <f t="shared" si="13"/>
        <v>23</v>
      </c>
      <c r="B85" s="218">
        <f>INDEX(Eingabedaten!$DP$9:$EM$53,nutzid,A85)</f>
        <v>1</v>
      </c>
      <c r="C85" s="215">
        <f t="shared" si="1"/>
        <v>1</v>
      </c>
      <c r="D85" s="218">
        <f>IF(INDEX(Eingabedaten!$EN$9:$FK$53,nutzid,A85)=0,INDEX(Eingabedaten!$BH$9:$BH$53,nutzid),INDEX(Eingabedaten!$EN$9:$FK$53,nutzid,A85))</f>
        <v>0.2</v>
      </c>
      <c r="E85" s="219">
        <f>INDEX(Eingabedaten!$BH$9:$BH$53,nutzid)%</f>
        <v>0.2</v>
      </c>
      <c r="F85" s="875">
        <f>IF(OR(Profile!B85&gt;0,Profile!B86&gt;0,Profile!B84&gt;0,B63&gt;0,B83&gt;0),1,0)</f>
        <v>1</v>
      </c>
      <c r="G85" s="875">
        <f>IF(OR(Profile!B85&gt;0,Profile!B86&gt;0,Profile!B84&gt;0,B83&gt;0,B63&gt;0),IF(Profile!B85&gt;0.5,1,0.667),0)</f>
        <v>1</v>
      </c>
      <c r="H85" s="207">
        <f t="shared" si="2"/>
        <v>1</v>
      </c>
      <c r="I85" s="875">
        <f>IF(Profile!B85&gt;0,IF(Profile!B85&lt;0.25,0.25,Profile!B85),IF(OR(Profile!B86&gt;0,Profile!B84&gt;0,B63&gt;0,B83&gt;0),0.25,0))</f>
        <v>1</v>
      </c>
      <c r="J85" s="207">
        <f t="shared" si="3"/>
        <v>1</v>
      </c>
      <c r="K85" s="13"/>
      <c r="L85" s="13"/>
      <c r="N85" s="1355">
        <f>Aug_Auslegung!DZ122</f>
        <v>0</v>
      </c>
      <c r="O85" s="1356">
        <f>Aug_Auslegung!DX122/10</f>
        <v>22.9</v>
      </c>
      <c r="P85" s="238">
        <f>Aug_Auslegung!DY122</f>
        <v>52</v>
      </c>
      <c r="Q85" s="261"/>
      <c r="R85" s="264">
        <f t="shared" si="4"/>
        <v>0</v>
      </c>
      <c r="S85" s="264">
        <f t="shared" si="5"/>
        <v>0</v>
      </c>
      <c r="T85" s="261">
        <f t="shared" si="6"/>
        <v>0</v>
      </c>
      <c r="U85" s="210">
        <f t="shared" ref="U85:U86" si="14">IF($A$2=12.02,1,0)</f>
        <v>0</v>
      </c>
      <c r="V85" s="210">
        <f t="shared" si="8"/>
        <v>0</v>
      </c>
      <c r="W85" s="1049">
        <f>Aug_Auslegung!D122</f>
        <v>0</v>
      </c>
      <c r="X85" s="1049">
        <f>Aug_Auslegung!B122</f>
        <v>16.899999999999999</v>
      </c>
      <c r="Y85" s="1049">
        <f>Aug_Auslegung!C122</f>
        <v>83</v>
      </c>
      <c r="Z85" s="261"/>
      <c r="AA85" s="264">
        <f t="shared" si="9"/>
        <v>0</v>
      </c>
      <c r="AB85" s="264">
        <f t="shared" si="10"/>
        <v>0</v>
      </c>
      <c r="AC85" s="261">
        <f t="shared" si="11"/>
        <v>0</v>
      </c>
      <c r="AD85" s="210">
        <f t="shared" ref="AD85:AD86" si="15">IF($A$2=12.02,1,0)</f>
        <v>0</v>
      </c>
      <c r="AE85" s="1541"/>
      <c r="AF85" s="1541"/>
      <c r="AG85" s="220"/>
      <c r="AH85" s="1541"/>
      <c r="AI85" s="1541"/>
      <c r="AJ85" s="1541"/>
    </row>
    <row r="86" spans="1:36">
      <c r="A86" s="1136">
        <f t="shared" si="13"/>
        <v>24</v>
      </c>
      <c r="B86" s="218">
        <f>INDEX(Eingabedaten!$DP$9:$EM$53,nutzid,A86)</f>
        <v>1</v>
      </c>
      <c r="C86" s="215">
        <f t="shared" si="1"/>
        <v>1</v>
      </c>
      <c r="D86" s="218">
        <f>IF(INDEX(Eingabedaten!$EN$9:$FK$53,nutzid,A86)=0,INDEX(Eingabedaten!$BH$9:$BH$53,nutzid),INDEX(Eingabedaten!$EN$9:$FK$53,nutzid,A86))</f>
        <v>0.2</v>
      </c>
      <c r="E86" s="219">
        <f>INDEX(Eingabedaten!$BH$9:$BH$53,nutzid)%</f>
        <v>0.2</v>
      </c>
      <c r="F86" s="875">
        <f>IF(OR(Profile!B86&gt;0,Profile!B63&gt;0,Profile!B85&gt;0,B64&gt;0,B84&gt;0),1,0)</f>
        <v>1</v>
      </c>
      <c r="G86" s="875">
        <f>IF(OR(Profile!B86&gt;0,Profile!B63&gt;0,Profile!B85&gt;0,B64&gt;0,B84&gt;0),IF(Profile!B86&gt;0.5,1,0.667),0)</f>
        <v>1</v>
      </c>
      <c r="H86" s="207">
        <f t="shared" si="2"/>
        <v>1</v>
      </c>
      <c r="I86" s="875">
        <f>IF(Profile!B86&gt;0,IF(Profile!B86&lt;0.25,0.25,Profile!B86),IF(OR(Profile!B63&gt;0,Profile!B85&gt;0,B64&gt;0,B84&gt;0),0.25,0))</f>
        <v>1</v>
      </c>
      <c r="J86" s="207">
        <f t="shared" si="3"/>
        <v>1</v>
      </c>
      <c r="K86" s="10"/>
      <c r="L86" s="13"/>
      <c r="N86" s="1355">
        <f>Aug_Auslegung!DZ123</f>
        <v>0</v>
      </c>
      <c r="O86" s="1356">
        <f>Aug_Auslegung!DX123/10</f>
        <v>21.8</v>
      </c>
      <c r="P86" s="238">
        <f>Aug_Auslegung!DY123</f>
        <v>61</v>
      </c>
      <c r="Q86" s="261"/>
      <c r="R86" s="264">
        <f t="shared" si="4"/>
        <v>0</v>
      </c>
      <c r="S86" s="264">
        <f t="shared" si="5"/>
        <v>0</v>
      </c>
      <c r="T86" s="261">
        <f t="shared" si="6"/>
        <v>0</v>
      </c>
      <c r="U86" s="210">
        <f t="shared" si="14"/>
        <v>0</v>
      </c>
      <c r="V86" s="210">
        <f t="shared" si="8"/>
        <v>0</v>
      </c>
      <c r="W86" s="1049">
        <f>Aug_Auslegung!D123</f>
        <v>0</v>
      </c>
      <c r="X86" s="1049">
        <f>Aug_Auslegung!B123</f>
        <v>16.3</v>
      </c>
      <c r="Y86" s="1049">
        <f>Aug_Auslegung!C123</f>
        <v>84</v>
      </c>
      <c r="Z86" s="261"/>
      <c r="AA86" s="264">
        <f t="shared" si="9"/>
        <v>0</v>
      </c>
      <c r="AB86" s="264">
        <f>IF(W86&gt;AB$58,AA86/AA$60*AB$60,AA86)</f>
        <v>0</v>
      </c>
      <c r="AC86" s="261">
        <f t="shared" si="11"/>
        <v>0</v>
      </c>
      <c r="AD86" s="210">
        <f t="shared" si="15"/>
        <v>0</v>
      </c>
      <c r="AE86" s="1541"/>
      <c r="AF86" s="1541"/>
      <c r="AG86" s="220"/>
      <c r="AH86" s="1541"/>
      <c r="AI86" s="1541"/>
      <c r="AJ86" s="1541"/>
    </row>
    <row r="87" spans="1:36">
      <c r="R87"/>
      <c r="S87"/>
      <c r="T87"/>
      <c r="U87"/>
      <c r="V87"/>
      <c r="W87"/>
      <c r="X87"/>
    </row>
    <row r="88" spans="1:36">
      <c r="R88"/>
      <c r="S88"/>
      <c r="T88"/>
      <c r="U88"/>
      <c r="V88"/>
      <c r="W88"/>
      <c r="X88"/>
      <c r="Z88" s="1952" t="s">
        <v>1595</v>
      </c>
      <c r="AA88" s="1952"/>
      <c r="AB88" s="1952"/>
      <c r="AC88" s="1952"/>
      <c r="AD88" s="1952"/>
      <c r="AE88" s="1952"/>
      <c r="AF88" s="1952"/>
      <c r="AG88" s="1952"/>
      <c r="AH88" s="1952"/>
      <c r="AI88" s="1952"/>
    </row>
    <row r="89" spans="1:36" ht="15.45">
      <c r="A89" s="1135" t="s">
        <v>1596</v>
      </c>
      <c r="B89" s="367"/>
      <c r="C89" s="367"/>
      <c r="D89" s="367"/>
      <c r="E89" s="1135" t="s">
        <v>1257</v>
      </c>
      <c r="F89" s="367"/>
      <c r="G89" s="367"/>
      <c r="H89" s="367"/>
      <c r="I89" s="367"/>
      <c r="J89" s="367"/>
      <c r="K89" s="367"/>
      <c r="L89" s="367"/>
      <c r="M89" s="367"/>
      <c r="N89" s="367"/>
      <c r="O89" s="367"/>
      <c r="P89" s="367"/>
      <c r="Q89" s="367"/>
      <c r="R89" s="1134"/>
      <c r="S89" s="1134"/>
      <c r="T89" s="1134"/>
      <c r="U89" s="1134"/>
      <c r="V89" s="1134"/>
      <c r="W89" s="1134"/>
      <c r="X89" s="1134"/>
      <c r="Y89" s="1134"/>
      <c r="Z89" s="1142" t="s">
        <v>1449</v>
      </c>
      <c r="AA89" s="1134"/>
      <c r="AB89" s="1140"/>
      <c r="AC89" s="1143" t="s">
        <v>1448</v>
      </c>
      <c r="AD89" s="1134"/>
      <c r="AE89" s="1140"/>
      <c r="AF89" s="1140"/>
      <c r="AG89" s="1143" t="s">
        <v>1453</v>
      </c>
      <c r="AH89" s="1134"/>
      <c r="AI89" s="1140"/>
    </row>
    <row r="90" spans="1:36">
      <c r="A90" s="367"/>
      <c r="B90" s="367"/>
      <c r="C90" s="367"/>
      <c r="D90" s="367"/>
      <c r="E90" s="367"/>
      <c r="F90" s="367"/>
      <c r="G90" s="367"/>
      <c r="H90" s="367"/>
      <c r="I90" s="367"/>
      <c r="J90" s="367"/>
      <c r="K90" s="367"/>
      <c r="L90" s="367"/>
      <c r="M90" s="367"/>
      <c r="N90" s="367"/>
      <c r="O90" s="367"/>
      <c r="P90" s="367"/>
      <c r="Q90" s="367"/>
      <c r="R90" s="1134"/>
      <c r="S90" s="1134"/>
      <c r="T90" s="1134"/>
      <c r="U90" s="1134"/>
      <c r="V90" s="1134"/>
      <c r="W90" s="1134"/>
      <c r="X90" s="1134"/>
      <c r="Y90" s="1134"/>
      <c r="Z90" s="1141" t="s">
        <v>1452</v>
      </c>
      <c r="AA90" s="1141" t="s">
        <v>175</v>
      </c>
      <c r="AB90" s="1140"/>
      <c r="AC90" s="1141" t="s">
        <v>1452</v>
      </c>
      <c r="AD90" s="1141" t="s">
        <v>175</v>
      </c>
      <c r="AE90" s="1140"/>
      <c r="AF90" s="1140"/>
      <c r="AG90" s="1141" t="s">
        <v>1452</v>
      </c>
      <c r="AH90" s="1141" t="s">
        <v>175</v>
      </c>
      <c r="AI90" s="1140"/>
    </row>
    <row r="91" spans="1:36">
      <c r="B91" s="238"/>
      <c r="C91" s="238" t="str">
        <f>Begriffe!F404</f>
        <v>Personen</v>
      </c>
      <c r="D91" s="238" t="str">
        <f>Begriffe!F405</f>
        <v>Geräte</v>
      </c>
      <c r="E91" s="238" t="str">
        <f>Begriffe!F406</f>
        <v>Prozessanlagen</v>
      </c>
      <c r="F91" s="238" t="str">
        <f>Begriffe!F407</f>
        <v>Beleuchtung</v>
      </c>
      <c r="G91" s="1138" t="s">
        <v>1433</v>
      </c>
      <c r="H91" s="238" t="str">
        <f>Begriffe!F409</f>
        <v>Solarstrahlung</v>
      </c>
      <c r="I91" s="238"/>
      <c r="K91" s="238" t="str">
        <f>Begriffe!F410</f>
        <v>Lüftung</v>
      </c>
      <c r="L91" s="238"/>
      <c r="M91" s="238"/>
      <c r="N91" s="238"/>
      <c r="P91" s="238" t="str">
        <f>Begriffe!F411</f>
        <v>Transmission</v>
      </c>
      <c r="Q91" s="238" t="s">
        <v>1445</v>
      </c>
      <c r="R91" s="238" t="s">
        <v>1445</v>
      </c>
      <c r="S91" s="238"/>
      <c r="T91" s="238" t="str">
        <f>Begriffe!F412</f>
        <v>Klimakälte</v>
      </c>
      <c r="U91" s="238" t="str">
        <f>Begriffe!F412</f>
        <v>Klimakälte</v>
      </c>
      <c r="V91" s="238" t="s">
        <v>1435</v>
      </c>
      <c r="W91" s="238" t="s">
        <v>1454</v>
      </c>
      <c r="X91" s="238" t="s">
        <v>1437</v>
      </c>
      <c r="Y91" s="238"/>
      <c r="Z91" s="1340" t="s">
        <v>1447</v>
      </c>
      <c r="AA91" s="1340" t="s">
        <v>1447</v>
      </c>
      <c r="AB91" s="1138" t="s">
        <v>1436</v>
      </c>
      <c r="AC91" s="1340" t="s">
        <v>1447</v>
      </c>
      <c r="AD91" s="1340" t="s">
        <v>1447</v>
      </c>
      <c r="AE91" s="1138" t="s">
        <v>1436</v>
      </c>
      <c r="AF91" s="1341" t="str">
        <f>Begriffe!F412</f>
        <v>Klimakälte</v>
      </c>
      <c r="AG91" s="1340" t="s">
        <v>1447</v>
      </c>
      <c r="AH91" s="1340" t="s">
        <v>1447</v>
      </c>
      <c r="AI91" s="1138" t="s">
        <v>1436</v>
      </c>
    </row>
    <row r="92" spans="1:36">
      <c r="A92" s="215" t="s">
        <v>28</v>
      </c>
      <c r="B92" s="238" t="s">
        <v>2243</v>
      </c>
      <c r="C92" s="238" t="s">
        <v>1432</v>
      </c>
      <c r="D92" s="238" t="s">
        <v>1432</v>
      </c>
      <c r="E92" s="238" t="s">
        <v>1432</v>
      </c>
      <c r="F92" s="238" t="s">
        <v>1432</v>
      </c>
      <c r="G92" s="1138" t="s">
        <v>1432</v>
      </c>
      <c r="H92" s="238" t="s">
        <v>1444</v>
      </c>
      <c r="I92" s="238" t="s">
        <v>1446</v>
      </c>
      <c r="J92" s="238" t="s">
        <v>1432</v>
      </c>
      <c r="K92" s="238" t="s">
        <v>1434</v>
      </c>
      <c r="L92" s="238" t="s">
        <v>1438</v>
      </c>
      <c r="M92" s="238" t="s">
        <v>1440</v>
      </c>
      <c r="N92" s="238" t="s">
        <v>1441</v>
      </c>
      <c r="O92" s="238" t="s">
        <v>1443</v>
      </c>
      <c r="P92" s="238" t="s">
        <v>1443</v>
      </c>
      <c r="Q92" s="238" t="s">
        <v>1582</v>
      </c>
      <c r="R92" s="238" t="s">
        <v>1583</v>
      </c>
      <c r="S92" s="238"/>
      <c r="T92" s="238" t="s">
        <v>1582</v>
      </c>
      <c r="U92" s="238" t="s">
        <v>1583</v>
      </c>
      <c r="V92" s="238"/>
      <c r="W92" s="238"/>
      <c r="X92" s="238"/>
      <c r="Y92" s="238"/>
      <c r="Z92" s="1340" t="s">
        <v>1579</v>
      </c>
      <c r="AA92" s="1342"/>
      <c r="AB92" s="1138"/>
      <c r="AC92" s="1342"/>
      <c r="AD92" s="1342"/>
      <c r="AE92" s="1342"/>
      <c r="AF92" s="1341"/>
      <c r="AG92" s="1342"/>
      <c r="AH92" s="1342"/>
      <c r="AI92" s="1342"/>
    </row>
    <row r="93" spans="1:36">
      <c r="F93" s="238"/>
      <c r="G93" s="1138"/>
      <c r="I93" s="238"/>
      <c r="J93" s="210" t="s">
        <v>490</v>
      </c>
      <c r="K93" s="1101" t="str">
        <f>Datenblatt!M$136</f>
        <v>IDA-C3</v>
      </c>
      <c r="L93" s="238" t="s">
        <v>1439</v>
      </c>
      <c r="O93" s="238"/>
      <c r="Q93" s="238"/>
      <c r="T93" s="873" t="s">
        <v>1581</v>
      </c>
      <c r="U93" s="873" t="s">
        <v>1581</v>
      </c>
      <c r="V93" s="238"/>
      <c r="W93" s="238"/>
      <c r="X93" s="238"/>
      <c r="Y93" s="238"/>
      <c r="Z93" s="1343">
        <f>Datenblatt!M28</f>
        <v>120</v>
      </c>
      <c r="AA93" s="1342"/>
      <c r="AB93" s="1138" t="s">
        <v>1450</v>
      </c>
      <c r="AC93" s="1342"/>
      <c r="AD93" s="1342"/>
      <c r="AE93" s="1342"/>
      <c r="AF93" s="1342"/>
      <c r="AG93" s="1342"/>
      <c r="AH93" s="1342"/>
      <c r="AI93" s="1342"/>
    </row>
    <row r="94" spans="1:36">
      <c r="C94" s="238" t="s">
        <v>24</v>
      </c>
      <c r="D94" s="238" t="s">
        <v>24</v>
      </c>
      <c r="E94" s="238" t="s">
        <v>24</v>
      </c>
      <c r="F94" s="238" t="s">
        <v>24</v>
      </c>
      <c r="G94" s="1138"/>
      <c r="H94" s="238" t="s">
        <v>24</v>
      </c>
      <c r="I94" s="238" t="s">
        <v>16</v>
      </c>
      <c r="J94" s="238" t="s">
        <v>16</v>
      </c>
      <c r="K94" s="238" t="s">
        <v>301</v>
      </c>
      <c r="L94" s="238"/>
      <c r="M94" s="238" t="s">
        <v>3</v>
      </c>
      <c r="N94" s="238" t="s">
        <v>301</v>
      </c>
      <c r="O94" s="238"/>
      <c r="P94" s="238" t="s">
        <v>1580</v>
      </c>
      <c r="Q94" s="238"/>
      <c r="R94" s="238"/>
      <c r="S94" s="238"/>
      <c r="T94" s="238" t="s">
        <v>16</v>
      </c>
      <c r="U94" s="238" t="s">
        <v>16</v>
      </c>
      <c r="V94" s="238"/>
      <c r="W94" s="238" t="s">
        <v>3</v>
      </c>
      <c r="X94" s="238" t="s">
        <v>58</v>
      </c>
      <c r="Y94" s="238"/>
      <c r="Z94" s="1138" t="s">
        <v>3</v>
      </c>
      <c r="AA94" s="1342"/>
      <c r="AB94" s="1138" t="s">
        <v>1451</v>
      </c>
      <c r="AC94" s="1138" t="s">
        <v>24</v>
      </c>
      <c r="AD94" s="1342"/>
      <c r="AE94" s="1138" t="s">
        <v>3</v>
      </c>
      <c r="AF94" s="1344" t="s">
        <v>24</v>
      </c>
      <c r="AG94" s="1138" t="s">
        <v>3</v>
      </c>
      <c r="AH94" s="1342"/>
      <c r="AI94" s="1342"/>
    </row>
    <row r="95" spans="1:36">
      <c r="C95" s="215">
        <f>Datenblatt!M$62</f>
        <v>2.4</v>
      </c>
      <c r="D95" s="215">
        <f>Datenblatt!M$77</f>
        <v>10</v>
      </c>
      <c r="E95" s="215">
        <f>Datenblatt!M$78</f>
        <v>0</v>
      </c>
      <c r="F95" s="215">
        <f>Datenblatt!M$122</f>
        <v>2.9791666666666674</v>
      </c>
      <c r="G95" s="1138"/>
      <c r="H95" s="238">
        <f>MAX(H98:H121)</f>
        <v>680</v>
      </c>
      <c r="I95" s="1101">
        <f>Datenblatt!M$26</f>
        <v>0.5</v>
      </c>
      <c r="J95" s="1723">
        <f>Datenblatt!M$95</f>
        <v>0.17647058823529413</v>
      </c>
      <c r="K95" s="215">
        <f>Datenblatt!M$133</f>
        <v>0.82857142857142863</v>
      </c>
      <c r="L95" s="238"/>
      <c r="M95" s="1334"/>
      <c r="N95" s="1101">
        <f>Datenblatt!M$135</f>
        <v>0.15</v>
      </c>
      <c r="O95" s="238"/>
      <c r="P95" s="215">
        <f>Datenblatt!M$173/Datenblatt!M$13</f>
        <v>0.4623235294117648</v>
      </c>
      <c r="Q95" s="215"/>
      <c r="R95" s="215"/>
      <c r="S95" s="215"/>
      <c r="T95" s="215">
        <f>IF(Datenblatt!M$31=0,0,1)</f>
        <v>1</v>
      </c>
      <c r="U95" s="215">
        <f>T95</f>
        <v>1</v>
      </c>
      <c r="V95" s="215"/>
      <c r="W95" s="1349">
        <f>IF(A2=12.11,0,IF(Datenblatt!M$31=0,25,Datenblatt!M31))</f>
        <v>26</v>
      </c>
      <c r="X95" s="238"/>
      <c r="Y95" s="238"/>
      <c r="Z95" s="1343">
        <f>IF(A2=12.11,0,IF(Datenblatt!M$31=0,25,Datenblatt!M31))</f>
        <v>26</v>
      </c>
      <c r="AA95" s="1342"/>
      <c r="AB95" s="1345">
        <v>0.1</v>
      </c>
      <c r="AC95" s="1345">
        <v>-10</v>
      </c>
      <c r="AD95" s="1342"/>
      <c r="AE95" s="1342"/>
      <c r="AF95" s="1342"/>
      <c r="AG95" s="1342"/>
      <c r="AH95" s="1342"/>
      <c r="AI95" s="1342"/>
    </row>
    <row r="96" spans="1:36">
      <c r="C96" s="215"/>
      <c r="D96" s="215"/>
      <c r="E96" s="215"/>
      <c r="F96" s="215"/>
      <c r="G96" s="1138"/>
      <c r="H96" s="238"/>
      <c r="I96" s="1101">
        <f>Datenblatt!M$27</f>
        <v>0.14000000000000001</v>
      </c>
      <c r="J96" s="238"/>
      <c r="K96" s="215"/>
      <c r="L96" s="238"/>
      <c r="M96" s="1101">
        <f>Datenblatt!M$139</f>
        <v>0.73</v>
      </c>
      <c r="N96" s="1101"/>
      <c r="O96" s="238"/>
      <c r="P96" s="215"/>
      <c r="Q96" s="238"/>
      <c r="V96" s="215"/>
      <c r="W96" s="237"/>
      <c r="X96" s="238"/>
      <c r="Y96" s="238"/>
      <c r="Z96" s="1340"/>
      <c r="AA96" s="1342"/>
      <c r="AB96" s="1138"/>
      <c r="AC96" s="1138"/>
      <c r="AD96" s="1342"/>
      <c r="AE96" s="1342"/>
      <c r="AF96" s="1341"/>
      <c r="AG96" s="1342"/>
      <c r="AH96" s="1342"/>
      <c r="AI96" s="1342"/>
    </row>
    <row r="97" spans="1:35">
      <c r="A97" s="215" t="s">
        <v>14</v>
      </c>
      <c r="B97" s="238"/>
      <c r="C97" s="238" t="s">
        <v>24</v>
      </c>
      <c r="D97" s="238" t="s">
        <v>24</v>
      </c>
      <c r="E97" s="238" t="s">
        <v>24</v>
      </c>
      <c r="F97" s="238" t="s">
        <v>24</v>
      </c>
      <c r="G97" s="1138" t="s">
        <v>24</v>
      </c>
      <c r="H97" s="238" t="s">
        <v>24</v>
      </c>
      <c r="I97" s="238" t="s">
        <v>16</v>
      </c>
      <c r="J97" s="238" t="s">
        <v>24</v>
      </c>
      <c r="K97" s="238" t="s">
        <v>301</v>
      </c>
      <c r="L97" s="238" t="s">
        <v>16</v>
      </c>
      <c r="M97" s="238" t="s">
        <v>3</v>
      </c>
      <c r="N97" s="238" t="s">
        <v>301</v>
      </c>
      <c r="O97" s="238" t="s">
        <v>24</v>
      </c>
      <c r="P97" s="238" t="s">
        <v>24</v>
      </c>
      <c r="Q97" s="238" t="s">
        <v>24</v>
      </c>
      <c r="R97" s="238" t="s">
        <v>24</v>
      </c>
      <c r="S97" s="238"/>
      <c r="T97" s="238" t="s">
        <v>24</v>
      </c>
      <c r="U97" s="238" t="s">
        <v>24</v>
      </c>
      <c r="V97" s="238" t="s">
        <v>3</v>
      </c>
      <c r="W97" s="238" t="s">
        <v>3</v>
      </c>
      <c r="X97" s="238" t="s">
        <v>58</v>
      </c>
      <c r="Y97" s="238"/>
      <c r="Z97" s="1138" t="s">
        <v>3</v>
      </c>
      <c r="AA97" s="1138" t="s">
        <v>3</v>
      </c>
      <c r="AB97" s="1138" t="s">
        <v>3</v>
      </c>
      <c r="AC97" s="1138" t="s">
        <v>3</v>
      </c>
      <c r="AD97" s="1138" t="s">
        <v>3</v>
      </c>
      <c r="AE97" s="1138" t="s">
        <v>3</v>
      </c>
      <c r="AF97" s="1138" t="s">
        <v>24</v>
      </c>
      <c r="AG97" s="1138" t="s">
        <v>3</v>
      </c>
      <c r="AH97" s="1138" t="s">
        <v>3</v>
      </c>
      <c r="AI97" s="1138" t="s">
        <v>3</v>
      </c>
    </row>
    <row r="98" spans="1:35">
      <c r="A98" s="1136">
        <v>1</v>
      </c>
      <c r="B98" s="238">
        <f>IF(U98=U$125,1,0)</f>
        <v>0</v>
      </c>
      <c r="C98" s="215">
        <f t="shared" ref="C98:C120" si="16">C$95*B63</f>
        <v>2.4</v>
      </c>
      <c r="D98" s="215">
        <f t="shared" ref="D98:D121" si="17">D$95*D63</f>
        <v>2</v>
      </c>
      <c r="E98" s="215">
        <f t="shared" ref="E98:E121" si="18">E$95*D63</f>
        <v>0</v>
      </c>
      <c r="F98" s="215">
        <f>F$95*T63</f>
        <v>0</v>
      </c>
      <c r="G98" s="1139">
        <f>SUM(C98:F98)</f>
        <v>4.4000000000000004</v>
      </c>
      <c r="H98" s="238">
        <f>N63</f>
        <v>0</v>
      </c>
      <c r="I98" s="1101">
        <f>IF(H98&lt;=200,I$95,I$96)</f>
        <v>0.5</v>
      </c>
      <c r="J98" s="215">
        <f>H98*R$58*I98*J$95</f>
        <v>0</v>
      </c>
      <c r="K98" s="215">
        <f>K$95*IF(K$93="IDA-C3",F63,IF(K$93="IDA-C4",G63,I63))</f>
        <v>0.82857142857142863</v>
      </c>
      <c r="L98" s="238">
        <f t="shared" ref="L98:L121" si="19">IF(X98&gt;=2,0,1)</f>
        <v>1</v>
      </c>
      <c r="M98" s="215">
        <f>IF($M$95&lt;&gt;"",$M$95,IF(L98=1,V98,W98+X98*(1-M$96)))</f>
        <v>19.899999999999999</v>
      </c>
      <c r="N98" s="1101">
        <f t="shared" ref="N98:N121" si="20">N$95</f>
        <v>0.15</v>
      </c>
      <c r="O98" s="1101">
        <f>(K98*(M98-W98)+N98*X98)*0.32</f>
        <v>-1.9101714285714291</v>
      </c>
      <c r="P98" s="215">
        <f>P$95*X98</f>
        <v>-2.820173529411766</v>
      </c>
      <c r="Q98" s="215">
        <f>-(C98+D98+E98+F98+J98+O98+P98)</f>
        <v>0.33034495798319474</v>
      </c>
      <c r="R98" s="215">
        <f>-(C98+D98+F98+J98+O98+P98)</f>
        <v>0.33034495798319474</v>
      </c>
      <c r="S98" s="215"/>
      <c r="T98" s="215">
        <f>MIN(0,Q98)*$T$95</f>
        <v>0</v>
      </c>
      <c r="U98" s="215">
        <f>MIN(0,R98)*$U$95</f>
        <v>0</v>
      </c>
      <c r="V98" s="215">
        <f>O63</f>
        <v>19.899999999999999</v>
      </c>
      <c r="W98" s="237">
        <f t="shared" ref="W98:W121" si="21">W$95</f>
        <v>26</v>
      </c>
      <c r="X98" s="215">
        <f>V98-W98</f>
        <v>-6.1000000000000014</v>
      </c>
      <c r="Y98" s="238"/>
      <c r="Z98" s="1346">
        <f>Z$95</f>
        <v>26</v>
      </c>
      <c r="AA98" s="1139">
        <f t="shared" ref="AA98:AA121" si="22">Z$95-1/Z$93*R98</f>
        <v>25.997247125350139</v>
      </c>
      <c r="AB98" s="1347">
        <f>AA98-AB$95*$R98</f>
        <v>25.96421262955182</v>
      </c>
      <c r="AC98" s="1346">
        <f>Z$95</f>
        <v>26</v>
      </c>
      <c r="AD98" s="1139">
        <f t="shared" ref="AD98:AD121" si="23">Z$95+1/Z$93*(-R98+AC$95)</f>
        <v>25.913913792016807</v>
      </c>
      <c r="AE98" s="1347">
        <f>AD98+AB$95*(-$R98+AC$95)</f>
        <v>24.880879296218488</v>
      </c>
      <c r="AF98" s="1139">
        <f>MIN(0,IF(AB98&lt;=Z$95,0,AC$95*(AE98-Z$95)/(AB98-AE98)))</f>
        <v>0</v>
      </c>
      <c r="AG98" s="1348">
        <f>Z$95</f>
        <v>26</v>
      </c>
      <c r="AH98" s="1139">
        <f t="shared" ref="AH98:AH121" si="24">AG98+1/Z$93*(-R98+AF98)</f>
        <v>25.997247125350139</v>
      </c>
      <c r="AI98" s="1139">
        <f>AH98+AB$95*(-$R98+AF98)</f>
        <v>25.96421262955182</v>
      </c>
    </row>
    <row r="99" spans="1:35">
      <c r="A99" s="1136">
        <f>A98+1</f>
        <v>2</v>
      </c>
      <c r="B99" s="238">
        <f t="shared" ref="B99:B121" si="25">IF(U99=U$125,1,0)</f>
        <v>0</v>
      </c>
      <c r="C99" s="215">
        <f t="shared" si="16"/>
        <v>2.4</v>
      </c>
      <c r="D99" s="215">
        <f t="shared" si="17"/>
        <v>2</v>
      </c>
      <c r="E99" s="215">
        <f t="shared" si="18"/>
        <v>0</v>
      </c>
      <c r="F99" s="215">
        <f t="shared" ref="F99:F121" si="26">F$95*T64</f>
        <v>0</v>
      </c>
      <c r="G99" s="1139">
        <f t="shared" ref="G99:G121" si="27">SUM(C99:F99)</f>
        <v>4.4000000000000004</v>
      </c>
      <c r="H99" s="238">
        <f t="shared" ref="H99:H121" si="28">N64</f>
        <v>0</v>
      </c>
      <c r="I99" s="1101">
        <f t="shared" ref="I99:I121" si="29">IF(H99&lt;=200,I$95,I$96)</f>
        <v>0.5</v>
      </c>
      <c r="J99" s="215">
        <f t="shared" ref="J99:J121" si="30">H99*R$58*I99*J$95</f>
        <v>0</v>
      </c>
      <c r="K99" s="215">
        <f t="shared" ref="K99:K121" si="31">K$95*IF(K$93="IDA-C3",F64,IF(K$93="IDA-C4",G64,I64))</f>
        <v>0.82857142857142863</v>
      </c>
      <c r="L99" s="238">
        <f t="shared" si="19"/>
        <v>1</v>
      </c>
      <c r="M99" s="215">
        <f t="shared" ref="M99:M121" si="32">IF($M$95&lt;&gt;"",$M$95,IF(L99=1,V99,W99+X99*(1-M$96)))</f>
        <v>19.3</v>
      </c>
      <c r="N99" s="1101">
        <f t="shared" si="20"/>
        <v>0.15</v>
      </c>
      <c r="O99" s="1101">
        <f t="shared" ref="O99:O121" si="33">(K99*(M99-W99)+N99*X99)*0.32</f>
        <v>-2.0980571428571428</v>
      </c>
      <c r="P99" s="215">
        <f t="shared" ref="P99:P121" si="34">P$95*X99</f>
        <v>-3.097567647058824</v>
      </c>
      <c r="Q99" s="215">
        <f t="shared" ref="Q99:Q121" si="35">-(C99+D99+E99+F99+J99+O99+P99)</f>
        <v>0.79562478991596652</v>
      </c>
      <c r="R99" s="215">
        <f t="shared" ref="R99:R121" si="36">-(C99+D99+F99+J99+O99+P99)</f>
        <v>0.79562478991596652</v>
      </c>
      <c r="S99" s="215"/>
      <c r="T99" s="215">
        <f t="shared" ref="T99:T121" si="37">MIN(0,Q99)*$T$95</f>
        <v>0</v>
      </c>
      <c r="U99" s="215">
        <f t="shared" ref="U99:U121" si="38">MIN(0,R99)*$U$95</f>
        <v>0</v>
      </c>
      <c r="V99" s="215">
        <f t="shared" ref="V99:V121" si="39">O64</f>
        <v>19.3</v>
      </c>
      <c r="W99" s="237">
        <f t="shared" si="21"/>
        <v>26</v>
      </c>
      <c r="X99" s="215">
        <f t="shared" ref="X99:X121" si="40">V99-W99</f>
        <v>-6.6999999999999993</v>
      </c>
      <c r="Y99" s="238"/>
      <c r="Z99" s="1347">
        <f>AH98</f>
        <v>25.997247125350139</v>
      </c>
      <c r="AA99" s="1139">
        <f t="shared" si="22"/>
        <v>25.993369793417369</v>
      </c>
      <c r="AB99" s="1347">
        <f>AA99-AB$95*$R99</f>
        <v>25.913807314425771</v>
      </c>
      <c r="AC99" s="1347">
        <f>AH98</f>
        <v>25.997247125350139</v>
      </c>
      <c r="AD99" s="1139">
        <f t="shared" si="23"/>
        <v>25.910036460084033</v>
      </c>
      <c r="AE99" s="1347">
        <f t="shared" ref="AE99:AE121" si="41">AD99+AB$95*(-$R99+AC$95)</f>
        <v>24.830473981092435</v>
      </c>
      <c r="AF99" s="1139">
        <f t="shared" ref="AF99:AF121" si="42">MIN(0,IF(AB99&lt;=Z$95,0,AC$95*(AE99-Z$95)/(AB99-AE99)))</f>
        <v>0</v>
      </c>
      <c r="AG99" s="1139">
        <f>AH98</f>
        <v>25.997247125350139</v>
      </c>
      <c r="AH99" s="1139">
        <f t="shared" si="24"/>
        <v>25.990616918767508</v>
      </c>
      <c r="AI99" s="1139">
        <f t="shared" ref="AI99:AI121" si="43">AH99+AB$95*(-$R99+AF99)</f>
        <v>25.91105443977591</v>
      </c>
    </row>
    <row r="100" spans="1:35">
      <c r="A100" s="1136">
        <f t="shared" ref="A100:A121" si="44">A99+1</f>
        <v>3</v>
      </c>
      <c r="B100" s="238">
        <f t="shared" si="25"/>
        <v>0</v>
      </c>
      <c r="C100" s="215">
        <f t="shared" si="16"/>
        <v>2.4</v>
      </c>
      <c r="D100" s="215">
        <f t="shared" si="17"/>
        <v>2</v>
      </c>
      <c r="E100" s="215">
        <f t="shared" si="18"/>
        <v>0</v>
      </c>
      <c r="F100" s="215">
        <f t="shared" si="26"/>
        <v>0</v>
      </c>
      <c r="G100" s="1139">
        <f t="shared" si="27"/>
        <v>4.4000000000000004</v>
      </c>
      <c r="H100" s="238">
        <f t="shared" si="28"/>
        <v>0</v>
      </c>
      <c r="I100" s="1101">
        <f t="shared" si="29"/>
        <v>0.5</v>
      </c>
      <c r="J100" s="215">
        <f t="shared" si="30"/>
        <v>0</v>
      </c>
      <c r="K100" s="215">
        <f t="shared" si="31"/>
        <v>0.82857142857142863</v>
      </c>
      <c r="L100" s="238">
        <f t="shared" si="19"/>
        <v>1</v>
      </c>
      <c r="M100" s="215">
        <f t="shared" si="32"/>
        <v>18.8</v>
      </c>
      <c r="N100" s="1101">
        <f t="shared" si="20"/>
        <v>0.15</v>
      </c>
      <c r="O100" s="1101">
        <f t="shared" si="33"/>
        <v>-2.2546285714285714</v>
      </c>
      <c r="P100" s="215">
        <f t="shared" si="34"/>
        <v>-3.3287294117647064</v>
      </c>
      <c r="Q100" s="215">
        <f t="shared" si="35"/>
        <v>1.1833579831932775</v>
      </c>
      <c r="R100" s="215">
        <f t="shared" si="36"/>
        <v>1.1833579831932775</v>
      </c>
      <c r="S100" s="215"/>
      <c r="T100" s="215">
        <f t="shared" si="37"/>
        <v>0</v>
      </c>
      <c r="U100" s="215">
        <f t="shared" si="38"/>
        <v>0</v>
      </c>
      <c r="V100" s="215">
        <f t="shared" si="39"/>
        <v>18.8</v>
      </c>
      <c r="W100" s="237">
        <f t="shared" si="21"/>
        <v>26</v>
      </c>
      <c r="X100" s="215">
        <f t="shared" si="40"/>
        <v>-7.1999999999999993</v>
      </c>
      <c r="Y100" s="238"/>
      <c r="Z100" s="1347">
        <f t="shared" ref="Z100:Z121" si="45">AH99</f>
        <v>25.990616918767508</v>
      </c>
      <c r="AA100" s="1139">
        <f t="shared" si="22"/>
        <v>25.99013868347339</v>
      </c>
      <c r="AB100" s="1347">
        <f t="shared" ref="AB100:AB121" si="46">AA100-AB$95*$R100</f>
        <v>25.871802885154061</v>
      </c>
      <c r="AC100" s="1347">
        <f t="shared" ref="AC100:AC121" si="47">AH99</f>
        <v>25.990616918767508</v>
      </c>
      <c r="AD100" s="1139">
        <f t="shared" si="23"/>
        <v>25.906805350140058</v>
      </c>
      <c r="AE100" s="1347">
        <f t="shared" si="41"/>
        <v>24.788469551820729</v>
      </c>
      <c r="AF100" s="1139">
        <f t="shared" si="42"/>
        <v>0</v>
      </c>
      <c r="AG100" s="1139">
        <f t="shared" ref="AG100:AG121" si="48">AH99</f>
        <v>25.990616918767508</v>
      </c>
      <c r="AH100" s="1139">
        <f t="shared" si="24"/>
        <v>25.980755602240897</v>
      </c>
      <c r="AI100" s="1139">
        <f t="shared" si="43"/>
        <v>25.862419803921568</v>
      </c>
    </row>
    <row r="101" spans="1:35">
      <c r="A101" s="1136">
        <f t="shared" si="44"/>
        <v>4</v>
      </c>
      <c r="B101" s="238">
        <f t="shared" si="25"/>
        <v>0</v>
      </c>
      <c r="C101" s="215">
        <f t="shared" si="16"/>
        <v>2.4</v>
      </c>
      <c r="D101" s="215">
        <f t="shared" si="17"/>
        <v>2</v>
      </c>
      <c r="E101" s="215">
        <f t="shared" si="18"/>
        <v>0</v>
      </c>
      <c r="F101" s="215">
        <f t="shared" si="26"/>
        <v>0</v>
      </c>
      <c r="G101" s="1139">
        <f t="shared" si="27"/>
        <v>4.4000000000000004</v>
      </c>
      <c r="H101" s="238">
        <f t="shared" si="28"/>
        <v>0</v>
      </c>
      <c r="I101" s="1101">
        <f t="shared" si="29"/>
        <v>0.5</v>
      </c>
      <c r="J101" s="215">
        <f t="shared" si="30"/>
        <v>0</v>
      </c>
      <c r="K101" s="215">
        <f t="shared" si="31"/>
        <v>0.82857142857142863</v>
      </c>
      <c r="L101" s="238">
        <f t="shared" si="19"/>
        <v>1</v>
      </c>
      <c r="M101" s="215">
        <f t="shared" si="32"/>
        <v>18.399999999999999</v>
      </c>
      <c r="N101" s="1101">
        <f t="shared" si="20"/>
        <v>0.15</v>
      </c>
      <c r="O101" s="1101">
        <f t="shared" si="33"/>
        <v>-2.3798857142857153</v>
      </c>
      <c r="P101" s="215">
        <f t="shared" si="34"/>
        <v>-3.5136588235294131</v>
      </c>
      <c r="Q101" s="215">
        <f t="shared" si="35"/>
        <v>1.493544537815128</v>
      </c>
      <c r="R101" s="215">
        <f t="shared" si="36"/>
        <v>1.493544537815128</v>
      </c>
      <c r="S101" s="215"/>
      <c r="T101" s="215">
        <f t="shared" si="37"/>
        <v>0</v>
      </c>
      <c r="U101" s="215">
        <f t="shared" si="38"/>
        <v>0</v>
      </c>
      <c r="V101" s="215">
        <f t="shared" si="39"/>
        <v>18.399999999999999</v>
      </c>
      <c r="W101" s="237">
        <f t="shared" si="21"/>
        <v>26</v>
      </c>
      <c r="X101" s="215">
        <f t="shared" si="40"/>
        <v>-7.6000000000000014</v>
      </c>
      <c r="Y101" s="238"/>
      <c r="Z101" s="1347">
        <f t="shared" si="45"/>
        <v>25.980755602240897</v>
      </c>
      <c r="AA101" s="1139">
        <f t="shared" si="22"/>
        <v>25.987553795518206</v>
      </c>
      <c r="AB101" s="1347">
        <f t="shared" si="46"/>
        <v>25.838199341736694</v>
      </c>
      <c r="AC101" s="1347">
        <f t="shared" si="47"/>
        <v>25.980755602240897</v>
      </c>
      <c r="AD101" s="1139">
        <f t="shared" si="23"/>
        <v>25.904220462184874</v>
      </c>
      <c r="AE101" s="1347">
        <f t="shared" si="41"/>
        <v>24.754866008403361</v>
      </c>
      <c r="AF101" s="1139">
        <f t="shared" si="42"/>
        <v>0</v>
      </c>
      <c r="AG101" s="1139">
        <f t="shared" si="48"/>
        <v>25.980755602240897</v>
      </c>
      <c r="AH101" s="1139">
        <f t="shared" si="24"/>
        <v>25.968309397759104</v>
      </c>
      <c r="AI101" s="1139">
        <f t="shared" si="43"/>
        <v>25.818954943977591</v>
      </c>
    </row>
    <row r="102" spans="1:35">
      <c r="A102" s="1136">
        <f t="shared" si="44"/>
        <v>5</v>
      </c>
      <c r="B102" s="238">
        <f t="shared" si="25"/>
        <v>0</v>
      </c>
      <c r="C102" s="215">
        <f t="shared" si="16"/>
        <v>2.4</v>
      </c>
      <c r="D102" s="215">
        <f t="shared" si="17"/>
        <v>2</v>
      </c>
      <c r="E102" s="215">
        <f t="shared" si="18"/>
        <v>0</v>
      </c>
      <c r="F102" s="215">
        <f>F$95*T67</f>
        <v>0</v>
      </c>
      <c r="G102" s="1139">
        <f t="shared" si="27"/>
        <v>4.4000000000000004</v>
      </c>
      <c r="H102" s="238">
        <f t="shared" si="28"/>
        <v>3</v>
      </c>
      <c r="I102" s="1101">
        <f t="shared" si="29"/>
        <v>0.5</v>
      </c>
      <c r="J102" s="215">
        <f t="shared" si="30"/>
        <v>0.2382352941176471</v>
      </c>
      <c r="K102" s="215">
        <f t="shared" si="31"/>
        <v>0.82857142857142863</v>
      </c>
      <c r="L102" s="238">
        <f t="shared" si="19"/>
        <v>1</v>
      </c>
      <c r="M102" s="215">
        <f t="shared" si="32"/>
        <v>18.3</v>
      </c>
      <c r="N102" s="1101">
        <f t="shared" si="20"/>
        <v>0.15</v>
      </c>
      <c r="O102" s="1101">
        <f t="shared" si="33"/>
        <v>-2.4112</v>
      </c>
      <c r="P102" s="215">
        <f t="shared" si="34"/>
        <v>-3.5598911764705887</v>
      </c>
      <c r="Q102" s="215">
        <f t="shared" si="35"/>
        <v>1.3328558823529413</v>
      </c>
      <c r="R102" s="215">
        <f t="shared" si="36"/>
        <v>1.3328558823529413</v>
      </c>
      <c r="S102" s="215"/>
      <c r="T102" s="215">
        <f t="shared" si="37"/>
        <v>0</v>
      </c>
      <c r="U102" s="215">
        <f t="shared" si="38"/>
        <v>0</v>
      </c>
      <c r="V102" s="215">
        <f t="shared" si="39"/>
        <v>18.3</v>
      </c>
      <c r="W102" s="237">
        <f t="shared" si="21"/>
        <v>26</v>
      </c>
      <c r="X102" s="215">
        <f t="shared" si="40"/>
        <v>-7.6999999999999993</v>
      </c>
      <c r="Y102" s="238"/>
      <c r="Z102" s="1347">
        <f t="shared" si="45"/>
        <v>25.968309397759104</v>
      </c>
      <c r="AA102" s="1139">
        <f t="shared" si="22"/>
        <v>25.98889286764706</v>
      </c>
      <c r="AB102" s="1347">
        <f t="shared" si="46"/>
        <v>25.855607279411764</v>
      </c>
      <c r="AC102" s="1347">
        <f t="shared" si="47"/>
        <v>25.968309397759104</v>
      </c>
      <c r="AD102" s="1139">
        <f t="shared" si="23"/>
        <v>25.905559534313724</v>
      </c>
      <c r="AE102" s="1347">
        <f t="shared" si="41"/>
        <v>24.772273946078428</v>
      </c>
      <c r="AF102" s="1139">
        <f t="shared" si="42"/>
        <v>0</v>
      </c>
      <c r="AG102" s="1139">
        <f t="shared" si="48"/>
        <v>25.968309397759104</v>
      </c>
      <c r="AH102" s="1139">
        <f t="shared" si="24"/>
        <v>25.957202265406163</v>
      </c>
      <c r="AI102" s="1139">
        <f t="shared" si="43"/>
        <v>25.823916677170871</v>
      </c>
    </row>
    <row r="103" spans="1:35">
      <c r="A103" s="1136">
        <f t="shared" si="44"/>
        <v>6</v>
      </c>
      <c r="B103" s="238">
        <f t="shared" si="25"/>
        <v>0</v>
      </c>
      <c r="C103" s="215">
        <f t="shared" si="16"/>
        <v>2.4</v>
      </c>
      <c r="D103" s="215">
        <f t="shared" si="17"/>
        <v>2</v>
      </c>
      <c r="E103" s="215">
        <f t="shared" si="18"/>
        <v>0</v>
      </c>
      <c r="F103" s="215">
        <f t="shared" si="26"/>
        <v>0</v>
      </c>
      <c r="G103" s="1139">
        <f t="shared" si="27"/>
        <v>4.4000000000000004</v>
      </c>
      <c r="H103" s="238">
        <f t="shared" si="28"/>
        <v>32</v>
      </c>
      <c r="I103" s="1101">
        <f t="shared" si="29"/>
        <v>0.5</v>
      </c>
      <c r="J103" s="215">
        <f t="shared" si="30"/>
        <v>2.5411764705882356</v>
      </c>
      <c r="K103" s="215">
        <f t="shared" si="31"/>
        <v>0.82857142857142863</v>
      </c>
      <c r="L103" s="238">
        <f t="shared" si="19"/>
        <v>1</v>
      </c>
      <c r="M103" s="215">
        <f t="shared" si="32"/>
        <v>18.899999999999999</v>
      </c>
      <c r="N103" s="1101">
        <f t="shared" si="20"/>
        <v>0.15</v>
      </c>
      <c r="O103" s="1101">
        <f t="shared" si="33"/>
        <v>-2.2233142857142862</v>
      </c>
      <c r="P103" s="215">
        <f t="shared" si="34"/>
        <v>-3.2824970588235307</v>
      </c>
      <c r="Q103" s="215">
        <f t="shared" si="35"/>
        <v>-1.4353651260504185</v>
      </c>
      <c r="R103" s="215">
        <f t="shared" si="36"/>
        <v>-1.4353651260504185</v>
      </c>
      <c r="S103" s="215"/>
      <c r="T103" s="215">
        <f t="shared" si="37"/>
        <v>-1.4353651260504185</v>
      </c>
      <c r="U103" s="215">
        <f t="shared" si="38"/>
        <v>-1.4353651260504185</v>
      </c>
      <c r="V103" s="215">
        <f t="shared" si="39"/>
        <v>18.899999999999999</v>
      </c>
      <c r="W103" s="237">
        <f t="shared" si="21"/>
        <v>26</v>
      </c>
      <c r="X103" s="215">
        <f t="shared" si="40"/>
        <v>-7.1000000000000014</v>
      </c>
      <c r="Y103" s="238"/>
      <c r="Z103" s="1347">
        <f t="shared" si="45"/>
        <v>25.957202265406163</v>
      </c>
      <c r="AA103" s="1139">
        <f t="shared" si="22"/>
        <v>26.011961376050419</v>
      </c>
      <c r="AB103" s="1347">
        <f t="shared" si="46"/>
        <v>26.155497888655461</v>
      </c>
      <c r="AC103" s="1347">
        <f t="shared" si="47"/>
        <v>25.957202265406163</v>
      </c>
      <c r="AD103" s="1139">
        <f t="shared" si="23"/>
        <v>25.928628042717087</v>
      </c>
      <c r="AE103" s="1347">
        <f t="shared" si="41"/>
        <v>25.072164555322129</v>
      </c>
      <c r="AF103" s="1139">
        <f t="shared" si="42"/>
        <v>0</v>
      </c>
      <c r="AG103" s="1139">
        <f t="shared" si="48"/>
        <v>25.957202265406163</v>
      </c>
      <c r="AH103" s="1139">
        <f t="shared" si="24"/>
        <v>25.969163641456582</v>
      </c>
      <c r="AI103" s="1139">
        <f t="shared" si="43"/>
        <v>26.112700154061624</v>
      </c>
    </row>
    <row r="104" spans="1:35">
      <c r="A104" s="1136">
        <f t="shared" si="44"/>
        <v>7</v>
      </c>
      <c r="B104" s="238">
        <f t="shared" si="25"/>
        <v>0</v>
      </c>
      <c r="C104" s="215">
        <f t="shared" si="16"/>
        <v>1.44</v>
      </c>
      <c r="D104" s="215">
        <f t="shared" si="17"/>
        <v>8</v>
      </c>
      <c r="E104" s="215">
        <f t="shared" si="18"/>
        <v>0</v>
      </c>
      <c r="F104" s="215">
        <f t="shared" si="26"/>
        <v>0</v>
      </c>
      <c r="G104" s="1139">
        <f t="shared" si="27"/>
        <v>9.44</v>
      </c>
      <c r="H104" s="238">
        <f t="shared" si="28"/>
        <v>65</v>
      </c>
      <c r="I104" s="1101">
        <f t="shared" si="29"/>
        <v>0.5</v>
      </c>
      <c r="J104" s="215">
        <f t="shared" si="30"/>
        <v>5.1617647058823533</v>
      </c>
      <c r="K104" s="215">
        <f t="shared" si="31"/>
        <v>0.82857142857142863</v>
      </c>
      <c r="L104" s="238">
        <f t="shared" si="19"/>
        <v>1</v>
      </c>
      <c r="M104" s="215">
        <f t="shared" si="32"/>
        <v>20.3</v>
      </c>
      <c r="N104" s="1101">
        <f t="shared" si="20"/>
        <v>0.15</v>
      </c>
      <c r="O104" s="1101">
        <f t="shared" si="33"/>
        <v>-1.7849142857142855</v>
      </c>
      <c r="P104" s="215">
        <f t="shared" si="34"/>
        <v>-2.6352441176470589</v>
      </c>
      <c r="Q104" s="215">
        <f t="shared" si="35"/>
        <v>-10.18160630252101</v>
      </c>
      <c r="R104" s="215">
        <f t="shared" si="36"/>
        <v>-10.18160630252101</v>
      </c>
      <c r="S104" s="215"/>
      <c r="T104" s="215">
        <f t="shared" si="37"/>
        <v>-10.18160630252101</v>
      </c>
      <c r="U104" s="215">
        <f t="shared" si="38"/>
        <v>-10.18160630252101</v>
      </c>
      <c r="V104" s="215">
        <f t="shared" si="39"/>
        <v>20.3</v>
      </c>
      <c r="W104" s="237">
        <f t="shared" si="21"/>
        <v>26</v>
      </c>
      <c r="X104" s="215">
        <f t="shared" si="40"/>
        <v>-5.6999999999999993</v>
      </c>
      <c r="Y104" s="238"/>
      <c r="Z104" s="1347">
        <f t="shared" si="45"/>
        <v>25.969163641456582</v>
      </c>
      <c r="AA104" s="1139">
        <f t="shared" si="22"/>
        <v>26.084846719187674</v>
      </c>
      <c r="AB104" s="1347">
        <f t="shared" si="46"/>
        <v>27.103007349439775</v>
      </c>
      <c r="AC104" s="1347">
        <f t="shared" si="47"/>
        <v>25.969163641456582</v>
      </c>
      <c r="AD104" s="1139">
        <f t="shared" si="23"/>
        <v>26.001513385854341</v>
      </c>
      <c r="AE104" s="1347">
        <f t="shared" si="41"/>
        <v>26.019674016106443</v>
      </c>
      <c r="AF104" s="1139">
        <f t="shared" si="42"/>
        <v>-0.18160630252100876</v>
      </c>
      <c r="AG104" s="1139">
        <f t="shared" si="48"/>
        <v>25.969163641456582</v>
      </c>
      <c r="AH104" s="1139">
        <f t="shared" si="24"/>
        <v>26.052496974789914</v>
      </c>
      <c r="AI104" s="1139">
        <f t="shared" si="43"/>
        <v>27.052496974789914</v>
      </c>
    </row>
    <row r="105" spans="1:35">
      <c r="A105" s="1136">
        <f t="shared" si="44"/>
        <v>8</v>
      </c>
      <c r="B105" s="238">
        <f t="shared" si="25"/>
        <v>0</v>
      </c>
      <c r="C105" s="215">
        <f t="shared" si="16"/>
        <v>0.96</v>
      </c>
      <c r="D105" s="215">
        <f t="shared" si="17"/>
        <v>2</v>
      </c>
      <c r="E105" s="215">
        <f t="shared" si="18"/>
        <v>0</v>
      </c>
      <c r="F105" s="215">
        <f t="shared" si="26"/>
        <v>0</v>
      </c>
      <c r="G105" s="1139">
        <f t="shared" si="27"/>
        <v>2.96</v>
      </c>
      <c r="H105" s="238">
        <f t="shared" si="28"/>
        <v>77</v>
      </c>
      <c r="I105" s="1101">
        <f t="shared" si="29"/>
        <v>0.5</v>
      </c>
      <c r="J105" s="215">
        <f t="shared" si="30"/>
        <v>6.1147058823529417</v>
      </c>
      <c r="K105" s="215">
        <f t="shared" si="31"/>
        <v>0.82857142857142863</v>
      </c>
      <c r="L105" s="238">
        <f t="shared" si="19"/>
        <v>1</v>
      </c>
      <c r="M105" s="215">
        <f t="shared" si="32"/>
        <v>21.9</v>
      </c>
      <c r="N105" s="1101">
        <f t="shared" si="20"/>
        <v>0.15</v>
      </c>
      <c r="O105" s="1101">
        <f t="shared" si="33"/>
        <v>-1.2838857142857147</v>
      </c>
      <c r="P105" s="215">
        <f t="shared" si="34"/>
        <v>-1.8955264705882364</v>
      </c>
      <c r="Q105" s="215">
        <f t="shared" si="35"/>
        <v>-5.8952936974789898</v>
      </c>
      <c r="R105" s="215">
        <f t="shared" si="36"/>
        <v>-5.8952936974789898</v>
      </c>
      <c r="S105" s="215"/>
      <c r="T105" s="215">
        <f t="shared" si="37"/>
        <v>-5.8952936974789898</v>
      </c>
      <c r="U105" s="215">
        <f t="shared" si="38"/>
        <v>-5.8952936974789898</v>
      </c>
      <c r="V105" s="215">
        <f t="shared" si="39"/>
        <v>21.9</v>
      </c>
      <c r="W105" s="237">
        <f t="shared" si="21"/>
        <v>26</v>
      </c>
      <c r="X105" s="215">
        <f t="shared" si="40"/>
        <v>-4.1000000000000014</v>
      </c>
      <c r="Y105" s="238"/>
      <c r="Z105" s="1347">
        <f t="shared" si="45"/>
        <v>26.052496974789914</v>
      </c>
      <c r="AA105" s="1139">
        <f t="shared" si="22"/>
        <v>26.049127447478991</v>
      </c>
      <c r="AB105" s="1347">
        <f t="shared" si="46"/>
        <v>26.638656817226892</v>
      </c>
      <c r="AC105" s="1347">
        <f t="shared" si="47"/>
        <v>26.052496974789914</v>
      </c>
      <c r="AD105" s="1139">
        <f t="shared" si="23"/>
        <v>25.965794114145659</v>
      </c>
      <c r="AE105" s="1347">
        <f t="shared" si="41"/>
        <v>25.555323483893559</v>
      </c>
      <c r="AF105" s="1139">
        <f t="shared" si="42"/>
        <v>0</v>
      </c>
      <c r="AG105" s="1139">
        <f t="shared" si="48"/>
        <v>26.052496974789914</v>
      </c>
      <c r="AH105" s="1139">
        <f t="shared" si="24"/>
        <v>26.101624422268905</v>
      </c>
      <c r="AI105" s="1139">
        <f t="shared" si="43"/>
        <v>26.691153792016806</v>
      </c>
    </row>
    <row r="106" spans="1:35">
      <c r="A106" s="1136">
        <f t="shared" si="44"/>
        <v>9</v>
      </c>
      <c r="B106" s="238">
        <f t="shared" si="25"/>
        <v>0</v>
      </c>
      <c r="C106" s="215">
        <f t="shared" si="16"/>
        <v>0</v>
      </c>
      <c r="D106" s="215">
        <f t="shared" si="17"/>
        <v>2</v>
      </c>
      <c r="E106" s="215">
        <f t="shared" si="18"/>
        <v>0</v>
      </c>
      <c r="F106" s="215">
        <f t="shared" si="26"/>
        <v>0</v>
      </c>
      <c r="G106" s="1139">
        <f t="shared" si="27"/>
        <v>2</v>
      </c>
      <c r="H106" s="238">
        <f t="shared" si="28"/>
        <v>97</v>
      </c>
      <c r="I106" s="1101">
        <f t="shared" si="29"/>
        <v>0.5</v>
      </c>
      <c r="J106" s="215">
        <f t="shared" si="30"/>
        <v>7.7029411764705884</v>
      </c>
      <c r="K106" s="215">
        <f t="shared" si="31"/>
        <v>0.82857142857142863</v>
      </c>
      <c r="L106" s="238">
        <f t="shared" si="19"/>
        <v>1</v>
      </c>
      <c r="M106" s="215">
        <f t="shared" si="32"/>
        <v>24</v>
      </c>
      <c r="N106" s="1101">
        <f t="shared" si="20"/>
        <v>0.15</v>
      </c>
      <c r="O106" s="1101">
        <f t="shared" si="33"/>
        <v>-0.62628571428571433</v>
      </c>
      <c r="P106" s="215">
        <f t="shared" si="34"/>
        <v>-0.9246470588235296</v>
      </c>
      <c r="Q106" s="215">
        <f t="shared" si="35"/>
        <v>-8.1520084033613447</v>
      </c>
      <c r="R106" s="215">
        <f t="shared" si="36"/>
        <v>-8.1520084033613447</v>
      </c>
      <c r="S106" s="215"/>
      <c r="T106" s="215">
        <f t="shared" si="37"/>
        <v>-8.1520084033613447</v>
      </c>
      <c r="U106" s="215">
        <f t="shared" si="38"/>
        <v>-8.1520084033613447</v>
      </c>
      <c r="V106" s="215">
        <f t="shared" si="39"/>
        <v>24</v>
      </c>
      <c r="W106" s="237">
        <f t="shared" si="21"/>
        <v>26</v>
      </c>
      <c r="X106" s="215">
        <f t="shared" si="40"/>
        <v>-2</v>
      </c>
      <c r="Y106" s="238"/>
      <c r="Z106" s="1347">
        <f t="shared" si="45"/>
        <v>26.101624422268905</v>
      </c>
      <c r="AA106" s="1139">
        <f t="shared" si="22"/>
        <v>26.067933403361344</v>
      </c>
      <c r="AB106" s="1347">
        <f t="shared" si="46"/>
        <v>26.88313424369748</v>
      </c>
      <c r="AC106" s="1347">
        <f t="shared" si="47"/>
        <v>26.101624422268905</v>
      </c>
      <c r="AD106" s="1139">
        <f t="shared" si="23"/>
        <v>25.984600070028012</v>
      </c>
      <c r="AE106" s="1347">
        <f t="shared" si="41"/>
        <v>25.799800910364148</v>
      </c>
      <c r="AF106" s="1139">
        <f t="shared" si="42"/>
        <v>0</v>
      </c>
      <c r="AG106" s="1139">
        <f t="shared" si="48"/>
        <v>26.101624422268905</v>
      </c>
      <c r="AH106" s="1139">
        <f t="shared" si="24"/>
        <v>26.16955782563025</v>
      </c>
      <c r="AI106" s="1139">
        <f t="shared" si="43"/>
        <v>26.984758665966385</v>
      </c>
    </row>
    <row r="107" spans="1:35">
      <c r="A107" s="1136">
        <f t="shared" si="44"/>
        <v>10</v>
      </c>
      <c r="B107" s="238">
        <f t="shared" si="25"/>
        <v>0</v>
      </c>
      <c r="C107" s="215">
        <f t="shared" si="16"/>
        <v>0</v>
      </c>
      <c r="D107" s="215">
        <f t="shared" si="17"/>
        <v>2</v>
      </c>
      <c r="E107" s="215">
        <f t="shared" si="18"/>
        <v>0</v>
      </c>
      <c r="F107" s="215">
        <f t="shared" si="26"/>
        <v>0</v>
      </c>
      <c r="G107" s="1139">
        <f t="shared" si="27"/>
        <v>2</v>
      </c>
      <c r="H107" s="238">
        <f t="shared" si="28"/>
        <v>112</v>
      </c>
      <c r="I107" s="1101">
        <f t="shared" si="29"/>
        <v>0.5</v>
      </c>
      <c r="J107" s="215">
        <f t="shared" si="30"/>
        <v>8.8941176470588239</v>
      </c>
      <c r="K107" s="215">
        <f t="shared" si="31"/>
        <v>0.82857142857142863</v>
      </c>
      <c r="L107" s="238">
        <f t="shared" si="19"/>
        <v>1</v>
      </c>
      <c r="M107" s="215">
        <f t="shared" si="32"/>
        <v>25</v>
      </c>
      <c r="N107" s="1101">
        <f t="shared" si="20"/>
        <v>0.15</v>
      </c>
      <c r="O107" s="1101">
        <f t="shared" si="33"/>
        <v>-0.31314285714285717</v>
      </c>
      <c r="P107" s="215">
        <f t="shared" si="34"/>
        <v>-0.4623235294117648</v>
      </c>
      <c r="Q107" s="215">
        <f t="shared" si="35"/>
        <v>-10.118651260504201</v>
      </c>
      <c r="R107" s="215">
        <f t="shared" si="36"/>
        <v>-10.118651260504201</v>
      </c>
      <c r="S107" s="215"/>
      <c r="T107" s="215">
        <f t="shared" si="37"/>
        <v>-10.118651260504201</v>
      </c>
      <c r="U107" s="215">
        <f t="shared" si="38"/>
        <v>-10.118651260504201</v>
      </c>
      <c r="V107" s="215">
        <f t="shared" si="39"/>
        <v>25</v>
      </c>
      <c r="W107" s="237">
        <f t="shared" si="21"/>
        <v>26</v>
      </c>
      <c r="X107" s="215">
        <f t="shared" si="40"/>
        <v>-1</v>
      </c>
      <c r="Y107" s="238"/>
      <c r="Z107" s="1347">
        <f t="shared" si="45"/>
        <v>26.16955782563025</v>
      </c>
      <c r="AA107" s="1139">
        <f t="shared" si="22"/>
        <v>26.084322093837535</v>
      </c>
      <c r="AB107" s="1347">
        <f t="shared" si="46"/>
        <v>27.096187219887955</v>
      </c>
      <c r="AC107" s="1347">
        <f t="shared" si="47"/>
        <v>26.16955782563025</v>
      </c>
      <c r="AD107" s="1139">
        <f t="shared" si="23"/>
        <v>26.000988760504203</v>
      </c>
      <c r="AE107" s="1347">
        <f t="shared" si="41"/>
        <v>26.012853886554623</v>
      </c>
      <c r="AF107" s="1139">
        <f t="shared" si="42"/>
        <v>-0.11865126050421496</v>
      </c>
      <c r="AG107" s="1139">
        <f t="shared" si="48"/>
        <v>26.16955782563025</v>
      </c>
      <c r="AH107" s="1139">
        <f t="shared" si="24"/>
        <v>26.252891158963582</v>
      </c>
      <c r="AI107" s="1139">
        <f t="shared" si="43"/>
        <v>27.252891158963582</v>
      </c>
    </row>
    <row r="108" spans="1:35">
      <c r="A108" s="1136">
        <f t="shared" si="44"/>
        <v>11</v>
      </c>
      <c r="B108" s="238">
        <f t="shared" si="25"/>
        <v>0</v>
      </c>
      <c r="C108" s="215">
        <f t="shared" si="16"/>
        <v>0</v>
      </c>
      <c r="D108" s="215">
        <f t="shared" si="17"/>
        <v>2</v>
      </c>
      <c r="E108" s="215">
        <f t="shared" si="18"/>
        <v>0</v>
      </c>
      <c r="F108" s="215">
        <f t="shared" si="26"/>
        <v>0</v>
      </c>
      <c r="G108" s="1139">
        <f t="shared" si="27"/>
        <v>2</v>
      </c>
      <c r="H108" s="238">
        <f t="shared" si="28"/>
        <v>117</v>
      </c>
      <c r="I108" s="1101">
        <f t="shared" si="29"/>
        <v>0.5</v>
      </c>
      <c r="J108" s="215">
        <f t="shared" si="30"/>
        <v>9.2911764705882351</v>
      </c>
      <c r="K108" s="215">
        <f t="shared" si="31"/>
        <v>0.82857142857142863</v>
      </c>
      <c r="L108" s="238">
        <f t="shared" si="19"/>
        <v>1</v>
      </c>
      <c r="M108" s="215">
        <f t="shared" si="32"/>
        <v>26.7</v>
      </c>
      <c r="N108" s="1101">
        <f t="shared" si="20"/>
        <v>0.15</v>
      </c>
      <c r="O108" s="1101">
        <f t="shared" si="33"/>
        <v>0.21919999999999978</v>
      </c>
      <c r="P108" s="215">
        <f t="shared" si="34"/>
        <v>0.32362647058823502</v>
      </c>
      <c r="Q108" s="215">
        <f t="shared" si="35"/>
        <v>-11.834002941176468</v>
      </c>
      <c r="R108" s="215">
        <f t="shared" si="36"/>
        <v>-11.834002941176468</v>
      </c>
      <c r="S108" s="215"/>
      <c r="T108" s="215">
        <f t="shared" si="37"/>
        <v>-11.834002941176468</v>
      </c>
      <c r="U108" s="215">
        <f t="shared" si="38"/>
        <v>-11.834002941176468</v>
      </c>
      <c r="V108" s="215">
        <f t="shared" si="39"/>
        <v>26.7</v>
      </c>
      <c r="W108" s="237">
        <f t="shared" si="21"/>
        <v>26</v>
      </c>
      <c r="X108" s="215">
        <f t="shared" si="40"/>
        <v>0.69999999999999929</v>
      </c>
      <c r="Y108" s="238"/>
      <c r="Z108" s="1347">
        <f t="shared" si="45"/>
        <v>26.252891158963582</v>
      </c>
      <c r="AA108" s="1139">
        <f t="shared" si="22"/>
        <v>26.098616691176471</v>
      </c>
      <c r="AB108" s="1347">
        <f t="shared" si="46"/>
        <v>27.282016985294117</v>
      </c>
      <c r="AC108" s="1347">
        <f t="shared" si="47"/>
        <v>26.252891158963582</v>
      </c>
      <c r="AD108" s="1139">
        <f t="shared" si="23"/>
        <v>26.015283357843138</v>
      </c>
      <c r="AE108" s="1347">
        <f t="shared" si="41"/>
        <v>26.198683651960785</v>
      </c>
      <c r="AF108" s="1139">
        <f t="shared" si="42"/>
        <v>-1.8340029411764776</v>
      </c>
      <c r="AG108" s="1139">
        <f t="shared" si="48"/>
        <v>26.252891158963582</v>
      </c>
      <c r="AH108" s="1139">
        <f t="shared" si="24"/>
        <v>26.336224492296914</v>
      </c>
      <c r="AI108" s="1139">
        <f t="shared" si="43"/>
        <v>27.336224492296914</v>
      </c>
    </row>
    <row r="109" spans="1:35">
      <c r="A109" s="1136">
        <f t="shared" si="44"/>
        <v>12</v>
      </c>
      <c r="B109" s="238">
        <f t="shared" si="25"/>
        <v>0</v>
      </c>
      <c r="C109" s="215">
        <f t="shared" si="16"/>
        <v>0</v>
      </c>
      <c r="D109" s="215">
        <f t="shared" si="17"/>
        <v>2</v>
      </c>
      <c r="E109" s="215">
        <f t="shared" si="18"/>
        <v>0</v>
      </c>
      <c r="F109" s="215">
        <f t="shared" si="26"/>
        <v>0</v>
      </c>
      <c r="G109" s="1139">
        <f t="shared" si="27"/>
        <v>2</v>
      </c>
      <c r="H109" s="238">
        <f t="shared" si="28"/>
        <v>128</v>
      </c>
      <c r="I109" s="1101">
        <f t="shared" si="29"/>
        <v>0.5</v>
      </c>
      <c r="J109" s="215">
        <f t="shared" si="30"/>
        <v>10.164705882352942</v>
      </c>
      <c r="K109" s="215">
        <f t="shared" si="31"/>
        <v>0.82857142857142863</v>
      </c>
      <c r="L109" s="238">
        <f t="shared" si="19"/>
        <v>0</v>
      </c>
      <c r="M109" s="215">
        <f t="shared" si="32"/>
        <v>26.594000000000001</v>
      </c>
      <c r="N109" s="1101">
        <f t="shared" si="20"/>
        <v>0.15</v>
      </c>
      <c r="O109" s="1101">
        <f t="shared" si="33"/>
        <v>0.26309485714285741</v>
      </c>
      <c r="P109" s="215">
        <f t="shared" si="34"/>
        <v>1.0171117647058823</v>
      </c>
      <c r="Q109" s="215">
        <f t="shared" si="35"/>
        <v>-13.444912504201682</v>
      </c>
      <c r="R109" s="215">
        <f t="shared" si="36"/>
        <v>-13.444912504201682</v>
      </c>
      <c r="S109" s="215"/>
      <c r="T109" s="215">
        <f t="shared" si="37"/>
        <v>-13.444912504201682</v>
      </c>
      <c r="U109" s="215">
        <f t="shared" si="38"/>
        <v>-13.444912504201682</v>
      </c>
      <c r="V109" s="215">
        <f t="shared" si="39"/>
        <v>28.2</v>
      </c>
      <c r="W109" s="237">
        <f t="shared" si="21"/>
        <v>26</v>
      </c>
      <c r="X109" s="215">
        <f t="shared" si="40"/>
        <v>2.1999999999999993</v>
      </c>
      <c r="Y109" s="238"/>
      <c r="Z109" s="1347">
        <f t="shared" si="45"/>
        <v>26.336224492296914</v>
      </c>
      <c r="AA109" s="1139">
        <f t="shared" si="22"/>
        <v>26.112040937535014</v>
      </c>
      <c r="AB109" s="1347">
        <f t="shared" si="46"/>
        <v>27.456532187955183</v>
      </c>
      <c r="AC109" s="1347">
        <f t="shared" si="47"/>
        <v>26.336224492296914</v>
      </c>
      <c r="AD109" s="1139">
        <f t="shared" si="23"/>
        <v>26.028707604201681</v>
      </c>
      <c r="AE109" s="1347">
        <f t="shared" si="41"/>
        <v>26.373198854621851</v>
      </c>
      <c r="AF109" s="1139">
        <f t="shared" si="42"/>
        <v>-3.4449125042017053</v>
      </c>
      <c r="AG109" s="1139">
        <f t="shared" si="48"/>
        <v>26.336224492296914</v>
      </c>
      <c r="AH109" s="1139">
        <f t="shared" si="24"/>
        <v>26.419557825630246</v>
      </c>
      <c r="AI109" s="1139">
        <f t="shared" si="43"/>
        <v>27.419557825630243</v>
      </c>
    </row>
    <row r="110" spans="1:35">
      <c r="A110" s="1136">
        <f t="shared" si="44"/>
        <v>13</v>
      </c>
      <c r="B110" s="238">
        <f t="shared" si="25"/>
        <v>0</v>
      </c>
      <c r="C110" s="215">
        <f t="shared" si="16"/>
        <v>1.92</v>
      </c>
      <c r="D110" s="215">
        <f>D$95*D75</f>
        <v>8</v>
      </c>
      <c r="E110" s="215">
        <f>E$95*D75</f>
        <v>0</v>
      </c>
      <c r="F110" s="215">
        <f t="shared" si="26"/>
        <v>0</v>
      </c>
      <c r="G110" s="1139">
        <f t="shared" si="27"/>
        <v>9.92</v>
      </c>
      <c r="H110" s="238">
        <f t="shared" si="28"/>
        <v>267</v>
      </c>
      <c r="I110" s="1101">
        <f t="shared" si="29"/>
        <v>0.14000000000000001</v>
      </c>
      <c r="J110" s="215">
        <f t="shared" si="30"/>
        <v>5.9368235294117655</v>
      </c>
      <c r="K110" s="215">
        <f t="shared" si="31"/>
        <v>0.82857142857142863</v>
      </c>
      <c r="L110" s="238">
        <f t="shared" si="19"/>
        <v>0</v>
      </c>
      <c r="M110" s="215">
        <f t="shared" si="32"/>
        <v>26.972000000000001</v>
      </c>
      <c r="N110" s="1101">
        <f t="shared" si="20"/>
        <v>0.15</v>
      </c>
      <c r="O110" s="1101">
        <f t="shared" si="33"/>
        <v>0.43051885714285759</v>
      </c>
      <c r="P110" s="215">
        <f t="shared" si="34"/>
        <v>1.6643647058823539</v>
      </c>
      <c r="Q110" s="215">
        <f t="shared" si="35"/>
        <v>-17.951707092436976</v>
      </c>
      <c r="R110" s="215">
        <f t="shared" si="36"/>
        <v>-17.951707092436976</v>
      </c>
      <c r="S110" s="215"/>
      <c r="T110" s="215">
        <f t="shared" si="37"/>
        <v>-17.951707092436976</v>
      </c>
      <c r="U110" s="215">
        <f t="shared" si="38"/>
        <v>-17.951707092436976</v>
      </c>
      <c r="V110" s="215">
        <f t="shared" si="39"/>
        <v>29.6</v>
      </c>
      <c r="W110" s="237">
        <f t="shared" si="21"/>
        <v>26</v>
      </c>
      <c r="X110" s="215">
        <f t="shared" si="40"/>
        <v>3.6000000000000014</v>
      </c>
      <c r="Y110" s="238"/>
      <c r="Z110" s="1347">
        <f t="shared" si="45"/>
        <v>26.419557825630246</v>
      </c>
      <c r="AA110" s="1139">
        <f t="shared" si="22"/>
        <v>26.14959755910364</v>
      </c>
      <c r="AB110" s="1347">
        <f t="shared" si="46"/>
        <v>27.944768268347339</v>
      </c>
      <c r="AC110" s="1347">
        <f t="shared" si="47"/>
        <v>26.419557825630246</v>
      </c>
      <c r="AD110" s="1139">
        <f t="shared" si="23"/>
        <v>26.066264225770308</v>
      </c>
      <c r="AE110" s="1347">
        <f t="shared" si="41"/>
        <v>26.861434935014007</v>
      </c>
      <c r="AF110" s="1139">
        <f t="shared" si="42"/>
        <v>-7.9517070924369939</v>
      </c>
      <c r="AG110" s="1139">
        <f t="shared" si="48"/>
        <v>26.419557825630246</v>
      </c>
      <c r="AH110" s="1139">
        <f t="shared" si="24"/>
        <v>26.502891158963578</v>
      </c>
      <c r="AI110" s="1139">
        <f t="shared" si="43"/>
        <v>27.502891158963578</v>
      </c>
    </row>
    <row r="111" spans="1:35">
      <c r="A111" s="1136">
        <f t="shared" si="44"/>
        <v>14</v>
      </c>
      <c r="B111" s="238">
        <f t="shared" si="25"/>
        <v>0</v>
      </c>
      <c r="C111" s="215">
        <f t="shared" si="16"/>
        <v>0.96</v>
      </c>
      <c r="D111" s="215">
        <f t="shared" si="17"/>
        <v>2</v>
      </c>
      <c r="E111" s="215">
        <f t="shared" si="18"/>
        <v>0</v>
      </c>
      <c r="F111" s="215">
        <f t="shared" si="26"/>
        <v>0</v>
      </c>
      <c r="G111" s="1139">
        <f t="shared" si="27"/>
        <v>2.96</v>
      </c>
      <c r="H111" s="238">
        <f t="shared" si="28"/>
        <v>456</v>
      </c>
      <c r="I111" s="1101">
        <f t="shared" si="29"/>
        <v>0.14000000000000001</v>
      </c>
      <c r="J111" s="215">
        <f t="shared" si="30"/>
        <v>10.139294117647061</v>
      </c>
      <c r="K111" s="215">
        <f t="shared" si="31"/>
        <v>0.82857142857142863</v>
      </c>
      <c r="L111" s="238">
        <f t="shared" si="19"/>
        <v>0</v>
      </c>
      <c r="M111" s="215">
        <f t="shared" si="32"/>
        <v>27.215</v>
      </c>
      <c r="N111" s="1101">
        <f t="shared" si="20"/>
        <v>0.15</v>
      </c>
      <c r="O111" s="1101">
        <f t="shared" si="33"/>
        <v>0.53814857142857142</v>
      </c>
      <c r="P111" s="215">
        <f t="shared" si="34"/>
        <v>2.0804558823529415</v>
      </c>
      <c r="Q111" s="215">
        <f t="shared" si="35"/>
        <v>-15.717898571428575</v>
      </c>
      <c r="R111" s="215">
        <f t="shared" si="36"/>
        <v>-15.717898571428575</v>
      </c>
      <c r="S111" s="215"/>
      <c r="T111" s="215">
        <f t="shared" si="37"/>
        <v>-15.717898571428575</v>
      </c>
      <c r="U111" s="215">
        <f t="shared" si="38"/>
        <v>-15.717898571428575</v>
      </c>
      <c r="V111" s="215">
        <f t="shared" si="39"/>
        <v>30.5</v>
      </c>
      <c r="W111" s="237">
        <f t="shared" si="21"/>
        <v>26</v>
      </c>
      <c r="X111" s="215">
        <f t="shared" si="40"/>
        <v>4.5</v>
      </c>
      <c r="Y111" s="238"/>
      <c r="Z111" s="1347">
        <f t="shared" si="45"/>
        <v>26.502891158963578</v>
      </c>
      <c r="AA111" s="1139">
        <f t="shared" si="22"/>
        <v>26.130982488095238</v>
      </c>
      <c r="AB111" s="1347">
        <f t="shared" si="46"/>
        <v>27.702772345238095</v>
      </c>
      <c r="AC111" s="1347">
        <f t="shared" si="47"/>
        <v>26.502891158963578</v>
      </c>
      <c r="AD111" s="1139">
        <f t="shared" si="23"/>
        <v>26.047649154761906</v>
      </c>
      <c r="AE111" s="1347">
        <f t="shared" si="41"/>
        <v>26.619439011904763</v>
      </c>
      <c r="AF111" s="1139">
        <f t="shared" si="42"/>
        <v>-5.7178985714285897</v>
      </c>
      <c r="AG111" s="1139">
        <f t="shared" si="48"/>
        <v>26.502891158963578</v>
      </c>
      <c r="AH111" s="1139">
        <f t="shared" si="24"/>
        <v>26.58622449229691</v>
      </c>
      <c r="AI111" s="1139">
        <f t="shared" si="43"/>
        <v>27.58622449229691</v>
      </c>
    </row>
    <row r="112" spans="1:35">
      <c r="A112" s="1136">
        <f t="shared" si="44"/>
        <v>15</v>
      </c>
      <c r="B112" s="238">
        <f t="shared" si="25"/>
        <v>0</v>
      </c>
      <c r="C112" s="215">
        <f t="shared" si="16"/>
        <v>0</v>
      </c>
      <c r="D112" s="215">
        <f t="shared" si="17"/>
        <v>2</v>
      </c>
      <c r="E112" s="215">
        <f t="shared" si="18"/>
        <v>0</v>
      </c>
      <c r="F112" s="215">
        <f t="shared" si="26"/>
        <v>0</v>
      </c>
      <c r="G112" s="1139">
        <f t="shared" si="27"/>
        <v>2</v>
      </c>
      <c r="H112" s="238">
        <f t="shared" si="28"/>
        <v>602</v>
      </c>
      <c r="I112" s="1101">
        <f t="shared" si="29"/>
        <v>0.14000000000000001</v>
      </c>
      <c r="J112" s="215">
        <f t="shared" si="30"/>
        <v>13.385647058823533</v>
      </c>
      <c r="K112" s="215">
        <f t="shared" si="31"/>
        <v>0.82857142857142863</v>
      </c>
      <c r="L112" s="238">
        <f t="shared" si="19"/>
        <v>0</v>
      </c>
      <c r="M112" s="215">
        <f t="shared" si="32"/>
        <v>27.457999999999998</v>
      </c>
      <c r="N112" s="1101">
        <f t="shared" si="20"/>
        <v>0.15</v>
      </c>
      <c r="O112" s="1101">
        <f t="shared" si="33"/>
        <v>0.64577828571428531</v>
      </c>
      <c r="P112" s="215">
        <f t="shared" si="34"/>
        <v>2.4965470588235292</v>
      </c>
      <c r="Q112" s="215">
        <f t="shared" si="35"/>
        <v>-18.52797240336135</v>
      </c>
      <c r="R112" s="215">
        <f t="shared" si="36"/>
        <v>-18.52797240336135</v>
      </c>
      <c r="S112" s="215"/>
      <c r="T112" s="215">
        <f t="shared" si="37"/>
        <v>-18.52797240336135</v>
      </c>
      <c r="U112" s="215">
        <f t="shared" si="38"/>
        <v>-18.52797240336135</v>
      </c>
      <c r="V112" s="215">
        <f t="shared" si="39"/>
        <v>31.4</v>
      </c>
      <c r="W112" s="237">
        <f t="shared" si="21"/>
        <v>26</v>
      </c>
      <c r="X112" s="215">
        <f t="shared" si="40"/>
        <v>5.3999999999999986</v>
      </c>
      <c r="Y112" s="238"/>
      <c r="Z112" s="1347">
        <f t="shared" si="45"/>
        <v>26.58622449229691</v>
      </c>
      <c r="AA112" s="1139">
        <f t="shared" si="22"/>
        <v>26.154399770028011</v>
      </c>
      <c r="AB112" s="1347">
        <f t="shared" si="46"/>
        <v>28.007197010364145</v>
      </c>
      <c r="AC112" s="1347">
        <f t="shared" si="47"/>
        <v>26.58622449229691</v>
      </c>
      <c r="AD112" s="1139">
        <f t="shared" si="23"/>
        <v>26.071066436694679</v>
      </c>
      <c r="AE112" s="1347">
        <f t="shared" si="41"/>
        <v>26.923863677030813</v>
      </c>
      <c r="AF112" s="1139">
        <f t="shared" si="42"/>
        <v>-8.5279724033613569</v>
      </c>
      <c r="AG112" s="1139">
        <f t="shared" si="48"/>
        <v>26.58622449229691</v>
      </c>
      <c r="AH112" s="1139">
        <f t="shared" si="24"/>
        <v>26.669557825630243</v>
      </c>
      <c r="AI112" s="1139">
        <f t="shared" si="43"/>
        <v>27.669557825630243</v>
      </c>
    </row>
    <row r="113" spans="1:35">
      <c r="A113" s="1136">
        <f t="shared" si="44"/>
        <v>16</v>
      </c>
      <c r="B113" s="238">
        <f t="shared" si="25"/>
        <v>1</v>
      </c>
      <c r="C113" s="215">
        <f t="shared" si="16"/>
        <v>0</v>
      </c>
      <c r="D113" s="215">
        <f t="shared" si="17"/>
        <v>2</v>
      </c>
      <c r="E113" s="215">
        <f t="shared" si="18"/>
        <v>0</v>
      </c>
      <c r="F113" s="215">
        <f t="shared" si="26"/>
        <v>0</v>
      </c>
      <c r="G113" s="1139">
        <f t="shared" si="27"/>
        <v>2</v>
      </c>
      <c r="H113" s="238">
        <f t="shared" si="28"/>
        <v>680</v>
      </c>
      <c r="I113" s="1101">
        <f t="shared" si="29"/>
        <v>0.14000000000000001</v>
      </c>
      <c r="J113" s="215">
        <f t="shared" si="30"/>
        <v>15.120000000000003</v>
      </c>
      <c r="K113" s="215">
        <f t="shared" si="31"/>
        <v>0.82857142857142863</v>
      </c>
      <c r="L113" s="238">
        <f t="shared" si="19"/>
        <v>0</v>
      </c>
      <c r="M113" s="215">
        <f t="shared" si="32"/>
        <v>27.593</v>
      </c>
      <c r="N113" s="1101">
        <f t="shared" si="20"/>
        <v>0.15</v>
      </c>
      <c r="O113" s="1101">
        <f t="shared" si="33"/>
        <v>0.70557257142857144</v>
      </c>
      <c r="P113" s="215">
        <f t="shared" si="34"/>
        <v>2.7277088235294116</v>
      </c>
      <c r="Q113" s="215">
        <f t="shared" si="35"/>
        <v>-20.553281394957988</v>
      </c>
      <c r="R113" s="215">
        <f t="shared" si="36"/>
        <v>-20.553281394957988</v>
      </c>
      <c r="S113" s="215"/>
      <c r="T113" s="215">
        <f t="shared" si="37"/>
        <v>-20.553281394957988</v>
      </c>
      <c r="U113" s="215">
        <f t="shared" si="38"/>
        <v>-20.553281394957988</v>
      </c>
      <c r="V113" s="215">
        <f t="shared" si="39"/>
        <v>31.9</v>
      </c>
      <c r="W113" s="237">
        <f t="shared" si="21"/>
        <v>26</v>
      </c>
      <c r="X113" s="215">
        <f t="shared" si="40"/>
        <v>5.8999999999999986</v>
      </c>
      <c r="Y113" s="238"/>
      <c r="Z113" s="1347">
        <f t="shared" si="45"/>
        <v>26.669557825630243</v>
      </c>
      <c r="AA113" s="1139">
        <f t="shared" si="22"/>
        <v>26.171277344957982</v>
      </c>
      <c r="AB113" s="1347">
        <f t="shared" si="46"/>
        <v>28.226605484453781</v>
      </c>
      <c r="AC113" s="1347">
        <f t="shared" si="47"/>
        <v>26.669557825630243</v>
      </c>
      <c r="AD113" s="1139">
        <f t="shared" si="23"/>
        <v>26.08794401162465</v>
      </c>
      <c r="AE113" s="1347">
        <f t="shared" si="41"/>
        <v>27.143272151120449</v>
      </c>
      <c r="AF113" s="1139">
        <f t="shared" si="42"/>
        <v>-10.553281394958002</v>
      </c>
      <c r="AG113" s="1139">
        <f t="shared" si="48"/>
        <v>26.669557825630243</v>
      </c>
      <c r="AH113" s="1139">
        <f t="shared" si="24"/>
        <v>26.752891158963575</v>
      </c>
      <c r="AI113" s="1139">
        <f t="shared" si="43"/>
        <v>27.752891158963575</v>
      </c>
    </row>
    <row r="114" spans="1:35">
      <c r="A114" s="1136">
        <f t="shared" si="44"/>
        <v>17</v>
      </c>
      <c r="B114" s="238">
        <f t="shared" si="25"/>
        <v>0</v>
      </c>
      <c r="C114" s="215">
        <f t="shared" si="16"/>
        <v>0</v>
      </c>
      <c r="D114" s="215">
        <f t="shared" si="17"/>
        <v>2</v>
      </c>
      <c r="E114" s="215">
        <f t="shared" si="18"/>
        <v>0</v>
      </c>
      <c r="F114" s="215">
        <f t="shared" si="26"/>
        <v>0</v>
      </c>
      <c r="G114" s="1139">
        <f t="shared" si="27"/>
        <v>2</v>
      </c>
      <c r="H114" s="238">
        <f t="shared" si="28"/>
        <v>670</v>
      </c>
      <c r="I114" s="1101">
        <f t="shared" si="29"/>
        <v>0.14000000000000001</v>
      </c>
      <c r="J114" s="215">
        <f t="shared" si="30"/>
        <v>14.89764705882353</v>
      </c>
      <c r="K114" s="215">
        <f t="shared" si="31"/>
        <v>0.82857142857142863</v>
      </c>
      <c r="L114" s="238">
        <f t="shared" si="19"/>
        <v>0</v>
      </c>
      <c r="M114" s="215">
        <f t="shared" si="32"/>
        <v>27.62</v>
      </c>
      <c r="N114" s="1101">
        <f t="shared" si="20"/>
        <v>0.15</v>
      </c>
      <c r="O114" s="1101">
        <f t="shared" si="33"/>
        <v>0.71753142857142882</v>
      </c>
      <c r="P114" s="215">
        <f t="shared" si="34"/>
        <v>2.773941176470589</v>
      </c>
      <c r="Q114" s="215">
        <f t="shared" si="35"/>
        <v>-20.38911966386555</v>
      </c>
      <c r="R114" s="215">
        <f t="shared" si="36"/>
        <v>-20.38911966386555</v>
      </c>
      <c r="S114" s="215"/>
      <c r="T114" s="215">
        <f t="shared" si="37"/>
        <v>-20.38911966386555</v>
      </c>
      <c r="U114" s="215">
        <f t="shared" si="38"/>
        <v>-20.38911966386555</v>
      </c>
      <c r="V114" s="215">
        <f t="shared" si="39"/>
        <v>32</v>
      </c>
      <c r="W114" s="237">
        <f t="shared" si="21"/>
        <v>26</v>
      </c>
      <c r="X114" s="215">
        <f t="shared" si="40"/>
        <v>6</v>
      </c>
      <c r="Y114" s="238"/>
      <c r="Z114" s="1347">
        <f t="shared" si="45"/>
        <v>26.752891158963575</v>
      </c>
      <c r="AA114" s="1139">
        <f t="shared" si="22"/>
        <v>26.169909330532214</v>
      </c>
      <c r="AB114" s="1347">
        <f t="shared" si="46"/>
        <v>28.208821296918767</v>
      </c>
      <c r="AC114" s="1347">
        <f t="shared" si="47"/>
        <v>26.752891158963575</v>
      </c>
      <c r="AD114" s="1139">
        <f t="shared" si="23"/>
        <v>26.086575997198878</v>
      </c>
      <c r="AE114" s="1347">
        <f t="shared" si="41"/>
        <v>27.125487963585432</v>
      </c>
      <c r="AF114" s="1139">
        <f t="shared" si="42"/>
        <v>-10.3891196638655</v>
      </c>
      <c r="AG114" s="1139">
        <f t="shared" si="48"/>
        <v>26.752891158963575</v>
      </c>
      <c r="AH114" s="1139">
        <f t="shared" si="24"/>
        <v>26.836224492296907</v>
      </c>
      <c r="AI114" s="1139">
        <f t="shared" si="43"/>
        <v>27.83622449229691</v>
      </c>
    </row>
    <row r="115" spans="1:35">
      <c r="A115" s="1136">
        <f t="shared" si="44"/>
        <v>18</v>
      </c>
      <c r="B115" s="238">
        <f t="shared" si="25"/>
        <v>0</v>
      </c>
      <c r="C115" s="215">
        <f t="shared" si="16"/>
        <v>0.96</v>
      </c>
      <c r="D115" s="215">
        <f t="shared" si="17"/>
        <v>2</v>
      </c>
      <c r="E115" s="215">
        <f t="shared" si="18"/>
        <v>0</v>
      </c>
      <c r="F115" s="215">
        <f t="shared" si="26"/>
        <v>0</v>
      </c>
      <c r="G115" s="1139">
        <f t="shared" si="27"/>
        <v>2.96</v>
      </c>
      <c r="H115" s="238">
        <f t="shared" si="28"/>
        <v>551</v>
      </c>
      <c r="I115" s="1101">
        <f t="shared" si="29"/>
        <v>0.14000000000000001</v>
      </c>
      <c r="J115" s="215">
        <f t="shared" si="30"/>
        <v>12.251647058823533</v>
      </c>
      <c r="K115" s="215">
        <f t="shared" si="31"/>
        <v>0.82857142857142863</v>
      </c>
      <c r="L115" s="238">
        <f t="shared" si="19"/>
        <v>0</v>
      </c>
      <c r="M115" s="215">
        <f t="shared" si="32"/>
        <v>27.242000000000001</v>
      </c>
      <c r="N115" s="1101">
        <f t="shared" si="20"/>
        <v>0.15</v>
      </c>
      <c r="O115" s="1101">
        <f t="shared" si="33"/>
        <v>0.55010742857142891</v>
      </c>
      <c r="P115" s="215">
        <f t="shared" si="34"/>
        <v>2.1266882352941185</v>
      </c>
      <c r="Q115" s="215">
        <f t="shared" si="35"/>
        <v>-17.888442722689081</v>
      </c>
      <c r="R115" s="215">
        <f t="shared" si="36"/>
        <v>-17.888442722689081</v>
      </c>
      <c r="S115" s="215"/>
      <c r="T115" s="215">
        <f t="shared" si="37"/>
        <v>-17.888442722689081</v>
      </c>
      <c r="U115" s="215">
        <f t="shared" si="38"/>
        <v>-17.888442722689081</v>
      </c>
      <c r="V115" s="215">
        <f t="shared" si="39"/>
        <v>30.6</v>
      </c>
      <c r="W115" s="237">
        <f t="shared" si="21"/>
        <v>26</v>
      </c>
      <c r="X115" s="215">
        <f t="shared" si="40"/>
        <v>4.6000000000000014</v>
      </c>
      <c r="Y115" s="238"/>
      <c r="Z115" s="1347">
        <f t="shared" si="45"/>
        <v>26.836224492296907</v>
      </c>
      <c r="AA115" s="1139">
        <f t="shared" si="22"/>
        <v>26.14907035602241</v>
      </c>
      <c r="AB115" s="1347">
        <f t="shared" si="46"/>
        <v>27.937914628291317</v>
      </c>
      <c r="AC115" s="1347">
        <f t="shared" si="47"/>
        <v>26.836224492296907</v>
      </c>
      <c r="AD115" s="1139">
        <f t="shared" si="23"/>
        <v>26.065737022689074</v>
      </c>
      <c r="AE115" s="1347">
        <f t="shared" si="41"/>
        <v>26.854581294957981</v>
      </c>
      <c r="AF115" s="1139">
        <f t="shared" si="42"/>
        <v>-7.8884427226890397</v>
      </c>
      <c r="AG115" s="1139">
        <f t="shared" si="48"/>
        <v>26.836224492296907</v>
      </c>
      <c r="AH115" s="1139">
        <f t="shared" si="24"/>
        <v>26.919557825630239</v>
      </c>
      <c r="AI115" s="1139">
        <f t="shared" si="43"/>
        <v>27.919557825630243</v>
      </c>
    </row>
    <row r="116" spans="1:35">
      <c r="A116" s="1136">
        <f t="shared" si="44"/>
        <v>19</v>
      </c>
      <c r="B116" s="238">
        <f t="shared" si="25"/>
        <v>0</v>
      </c>
      <c r="C116" s="215">
        <f t="shared" si="16"/>
        <v>1.92</v>
      </c>
      <c r="D116" s="215">
        <f t="shared" si="17"/>
        <v>8</v>
      </c>
      <c r="E116" s="215">
        <f t="shared" si="18"/>
        <v>0</v>
      </c>
      <c r="F116" s="215">
        <f t="shared" si="26"/>
        <v>0</v>
      </c>
      <c r="G116" s="1139">
        <f t="shared" si="27"/>
        <v>9.92</v>
      </c>
      <c r="H116" s="238">
        <f t="shared" si="28"/>
        <v>238</v>
      </c>
      <c r="I116" s="1101">
        <f t="shared" si="29"/>
        <v>0.14000000000000001</v>
      </c>
      <c r="J116" s="215">
        <f t="shared" si="30"/>
        <v>5.2920000000000016</v>
      </c>
      <c r="K116" s="215">
        <f t="shared" si="31"/>
        <v>0.82857142857142863</v>
      </c>
      <c r="L116" s="238">
        <f t="shared" si="19"/>
        <v>1</v>
      </c>
      <c r="M116" s="215">
        <f t="shared" si="32"/>
        <v>27.4</v>
      </c>
      <c r="N116" s="1101">
        <f t="shared" si="20"/>
        <v>0.15</v>
      </c>
      <c r="O116" s="1101">
        <f t="shared" si="33"/>
        <v>0.43839999999999957</v>
      </c>
      <c r="P116" s="215">
        <f t="shared" si="34"/>
        <v>0.64725294117647003</v>
      </c>
      <c r="Q116" s="215">
        <f t="shared" si="35"/>
        <v>-16.297652941176473</v>
      </c>
      <c r="R116" s="215">
        <f t="shared" si="36"/>
        <v>-16.297652941176473</v>
      </c>
      <c r="S116" s="215"/>
      <c r="T116" s="215">
        <f t="shared" si="37"/>
        <v>-16.297652941176473</v>
      </c>
      <c r="U116" s="215">
        <f t="shared" si="38"/>
        <v>-16.297652941176473</v>
      </c>
      <c r="V116" s="215">
        <f t="shared" si="39"/>
        <v>27.4</v>
      </c>
      <c r="W116" s="237">
        <f t="shared" si="21"/>
        <v>26</v>
      </c>
      <c r="X116" s="215">
        <f t="shared" si="40"/>
        <v>1.3999999999999986</v>
      </c>
      <c r="Y116" s="238"/>
      <c r="Z116" s="1347">
        <f t="shared" si="45"/>
        <v>26.919557825630239</v>
      </c>
      <c r="AA116" s="1139">
        <f t="shared" si="22"/>
        <v>26.135813774509803</v>
      </c>
      <c r="AB116" s="1347">
        <f t="shared" si="46"/>
        <v>27.765579068627449</v>
      </c>
      <c r="AC116" s="1347">
        <f t="shared" si="47"/>
        <v>26.919557825630239</v>
      </c>
      <c r="AD116" s="1139">
        <f t="shared" si="23"/>
        <v>26.052480441176471</v>
      </c>
      <c r="AE116" s="1347">
        <f t="shared" si="41"/>
        <v>26.682245735294117</v>
      </c>
      <c r="AF116" s="1139">
        <f t="shared" si="42"/>
        <v>-6.297652941176473</v>
      </c>
      <c r="AG116" s="1139">
        <f t="shared" si="48"/>
        <v>26.919557825630239</v>
      </c>
      <c r="AH116" s="1139">
        <f t="shared" si="24"/>
        <v>27.002891158963571</v>
      </c>
      <c r="AI116" s="1139">
        <f t="shared" si="43"/>
        <v>28.002891158963571</v>
      </c>
    </row>
    <row r="117" spans="1:35">
      <c r="A117" s="1136">
        <f t="shared" si="44"/>
        <v>20</v>
      </c>
      <c r="B117" s="238">
        <f t="shared" si="25"/>
        <v>0</v>
      </c>
      <c r="C117" s="215">
        <f t="shared" si="16"/>
        <v>1.92</v>
      </c>
      <c r="D117" s="215">
        <f t="shared" si="17"/>
        <v>10</v>
      </c>
      <c r="E117" s="215">
        <f t="shared" si="18"/>
        <v>0</v>
      </c>
      <c r="F117" s="215">
        <f t="shared" si="26"/>
        <v>2.9791666666666674</v>
      </c>
      <c r="G117" s="1139">
        <f t="shared" si="27"/>
        <v>14.899166666666668</v>
      </c>
      <c r="H117" s="238">
        <f t="shared" si="28"/>
        <v>0</v>
      </c>
      <c r="I117" s="1101">
        <f t="shared" si="29"/>
        <v>0.5</v>
      </c>
      <c r="J117" s="215">
        <f t="shared" si="30"/>
        <v>0</v>
      </c>
      <c r="K117" s="215">
        <f t="shared" si="31"/>
        <v>0.82857142857142863</v>
      </c>
      <c r="L117" s="238">
        <f t="shared" si="19"/>
        <v>1</v>
      </c>
      <c r="M117" s="215">
        <f t="shared" si="32"/>
        <v>26.4</v>
      </c>
      <c r="N117" s="1101">
        <f t="shared" si="20"/>
        <v>0.15</v>
      </c>
      <c r="O117" s="1101">
        <f t="shared" si="33"/>
        <v>0.12525714285714243</v>
      </c>
      <c r="P117" s="215">
        <f t="shared" si="34"/>
        <v>0.18492941176470526</v>
      </c>
      <c r="Q117" s="215">
        <f t="shared" si="35"/>
        <v>-15.209353221288515</v>
      </c>
      <c r="R117" s="215">
        <f t="shared" si="36"/>
        <v>-15.209353221288515</v>
      </c>
      <c r="S117" s="215"/>
      <c r="T117" s="215">
        <f t="shared" si="37"/>
        <v>-15.209353221288515</v>
      </c>
      <c r="U117" s="215">
        <f t="shared" si="38"/>
        <v>-15.209353221288515</v>
      </c>
      <c r="V117" s="215">
        <f t="shared" si="39"/>
        <v>26.4</v>
      </c>
      <c r="W117" s="237">
        <f t="shared" si="21"/>
        <v>26</v>
      </c>
      <c r="X117" s="215">
        <f t="shared" si="40"/>
        <v>0.39999999999999858</v>
      </c>
      <c r="Y117" s="238"/>
      <c r="Z117" s="1347">
        <f t="shared" si="45"/>
        <v>27.002891158963571</v>
      </c>
      <c r="AA117" s="1139">
        <f t="shared" si="22"/>
        <v>26.126744610177404</v>
      </c>
      <c r="AB117" s="1347">
        <f t="shared" si="46"/>
        <v>27.647679932306257</v>
      </c>
      <c r="AC117" s="1347">
        <f t="shared" si="47"/>
        <v>27.002891158963571</v>
      </c>
      <c r="AD117" s="1139">
        <f t="shared" si="23"/>
        <v>26.043411276844072</v>
      </c>
      <c r="AE117" s="1347">
        <f t="shared" si="41"/>
        <v>26.564346598972925</v>
      </c>
      <c r="AF117" s="1139">
        <f t="shared" si="42"/>
        <v>-5.2093532212885449</v>
      </c>
      <c r="AG117" s="1139">
        <f t="shared" si="48"/>
        <v>27.002891158963571</v>
      </c>
      <c r="AH117" s="1139">
        <f t="shared" si="24"/>
        <v>27.086224492296903</v>
      </c>
      <c r="AI117" s="1139">
        <f t="shared" si="43"/>
        <v>28.0862244922969</v>
      </c>
    </row>
    <row r="118" spans="1:35">
      <c r="A118" s="1136">
        <f t="shared" si="44"/>
        <v>21</v>
      </c>
      <c r="B118" s="238">
        <f t="shared" si="25"/>
        <v>0</v>
      </c>
      <c r="C118" s="215">
        <f t="shared" si="16"/>
        <v>1.92</v>
      </c>
      <c r="D118" s="215">
        <f t="shared" si="17"/>
        <v>2</v>
      </c>
      <c r="E118" s="215">
        <f t="shared" si="18"/>
        <v>0</v>
      </c>
      <c r="F118" s="215">
        <f t="shared" si="26"/>
        <v>2.9791666666666674</v>
      </c>
      <c r="G118" s="1139">
        <f t="shared" si="27"/>
        <v>6.8991666666666678</v>
      </c>
      <c r="H118" s="238">
        <f t="shared" si="28"/>
        <v>0</v>
      </c>
      <c r="I118" s="1101">
        <f t="shared" si="29"/>
        <v>0.5</v>
      </c>
      <c r="J118" s="215">
        <f t="shared" si="30"/>
        <v>0</v>
      </c>
      <c r="K118" s="215">
        <f t="shared" si="31"/>
        <v>0.82857142857142863</v>
      </c>
      <c r="L118" s="238">
        <f t="shared" si="19"/>
        <v>1</v>
      </c>
      <c r="M118" s="215">
        <f t="shared" si="32"/>
        <v>26.9</v>
      </c>
      <c r="N118" s="1101">
        <f t="shared" si="20"/>
        <v>0.15</v>
      </c>
      <c r="O118" s="1101">
        <f t="shared" si="33"/>
        <v>0.28182857142857098</v>
      </c>
      <c r="P118" s="215">
        <f t="shared" si="34"/>
        <v>0.41609117647058769</v>
      </c>
      <c r="Q118" s="215">
        <f t="shared" si="35"/>
        <v>-7.5970864145658261</v>
      </c>
      <c r="R118" s="215">
        <f t="shared" si="36"/>
        <v>-7.5970864145658261</v>
      </c>
      <c r="S118" s="215"/>
      <c r="T118" s="215">
        <f t="shared" si="37"/>
        <v>-7.5970864145658261</v>
      </c>
      <c r="U118" s="215">
        <f t="shared" si="38"/>
        <v>-7.5970864145658261</v>
      </c>
      <c r="V118" s="215">
        <f t="shared" si="39"/>
        <v>26.9</v>
      </c>
      <c r="W118" s="237">
        <f t="shared" si="21"/>
        <v>26</v>
      </c>
      <c r="X118" s="215">
        <f t="shared" si="40"/>
        <v>0.89999999999999858</v>
      </c>
      <c r="Y118" s="238"/>
      <c r="Z118" s="1347">
        <f t="shared" si="45"/>
        <v>27.086224492296903</v>
      </c>
      <c r="AA118" s="1139">
        <f t="shared" si="22"/>
        <v>26.063309053454716</v>
      </c>
      <c r="AB118" s="1347">
        <f t="shared" si="46"/>
        <v>26.8230176949113</v>
      </c>
      <c r="AC118" s="1347">
        <f t="shared" si="47"/>
        <v>27.086224492296903</v>
      </c>
      <c r="AD118" s="1139">
        <f t="shared" si="23"/>
        <v>25.979975720121381</v>
      </c>
      <c r="AE118" s="1347">
        <f t="shared" si="41"/>
        <v>25.739684361577964</v>
      </c>
      <c r="AF118" s="1139">
        <f t="shared" si="42"/>
        <v>0</v>
      </c>
      <c r="AG118" s="1139">
        <f t="shared" si="48"/>
        <v>27.086224492296903</v>
      </c>
      <c r="AH118" s="1139">
        <f t="shared" si="24"/>
        <v>27.14953354575162</v>
      </c>
      <c r="AI118" s="1139">
        <f t="shared" si="43"/>
        <v>27.909242187208203</v>
      </c>
    </row>
    <row r="119" spans="1:35">
      <c r="A119" s="1136">
        <f t="shared" si="44"/>
        <v>22</v>
      </c>
      <c r="B119" s="238">
        <f t="shared" si="25"/>
        <v>0</v>
      </c>
      <c r="C119" s="215">
        <f t="shared" si="16"/>
        <v>2.4</v>
      </c>
      <c r="D119" s="215">
        <f t="shared" si="17"/>
        <v>2</v>
      </c>
      <c r="E119" s="215">
        <f t="shared" si="18"/>
        <v>0</v>
      </c>
      <c r="F119" s="215">
        <f t="shared" si="26"/>
        <v>2.9791666666666674</v>
      </c>
      <c r="G119" s="1139">
        <f t="shared" si="27"/>
        <v>7.3791666666666682</v>
      </c>
      <c r="H119" s="238">
        <f t="shared" si="28"/>
        <v>0</v>
      </c>
      <c r="I119" s="1101">
        <f t="shared" si="29"/>
        <v>0.5</v>
      </c>
      <c r="J119" s="215">
        <f t="shared" si="30"/>
        <v>0</v>
      </c>
      <c r="K119" s="215">
        <f t="shared" si="31"/>
        <v>0.82857142857142863</v>
      </c>
      <c r="L119" s="238">
        <f t="shared" si="19"/>
        <v>1</v>
      </c>
      <c r="M119" s="215">
        <f t="shared" si="32"/>
        <v>24.9</v>
      </c>
      <c r="N119" s="1101">
        <f t="shared" si="20"/>
        <v>0.15</v>
      </c>
      <c r="O119" s="1101">
        <f t="shared" si="33"/>
        <v>-0.34445714285714329</v>
      </c>
      <c r="P119" s="215">
        <f t="shared" si="34"/>
        <v>-0.50855588235294191</v>
      </c>
      <c r="Q119" s="215">
        <f t="shared" si="35"/>
        <v>-6.5261536414565828</v>
      </c>
      <c r="R119" s="215">
        <f t="shared" si="36"/>
        <v>-6.5261536414565828</v>
      </c>
      <c r="S119" s="215"/>
      <c r="T119" s="215">
        <f t="shared" si="37"/>
        <v>-6.5261536414565828</v>
      </c>
      <c r="U119" s="215">
        <f t="shared" si="38"/>
        <v>-6.5261536414565828</v>
      </c>
      <c r="V119" s="215">
        <f t="shared" si="39"/>
        <v>24.9</v>
      </c>
      <c r="W119" s="237">
        <f t="shared" si="21"/>
        <v>26</v>
      </c>
      <c r="X119" s="215">
        <f t="shared" si="40"/>
        <v>-1.1000000000000014</v>
      </c>
      <c r="Y119" s="238"/>
      <c r="Z119" s="1347">
        <f t="shared" si="45"/>
        <v>27.14953354575162</v>
      </c>
      <c r="AA119" s="1139">
        <f t="shared" si="22"/>
        <v>26.054384613678806</v>
      </c>
      <c r="AB119" s="1347">
        <f t="shared" si="46"/>
        <v>26.706999977824463</v>
      </c>
      <c r="AC119" s="1347">
        <f t="shared" si="47"/>
        <v>27.14953354575162</v>
      </c>
      <c r="AD119" s="1139">
        <f t="shared" si="23"/>
        <v>25.971051280345471</v>
      </c>
      <c r="AE119" s="1347">
        <f t="shared" si="41"/>
        <v>25.623666644491127</v>
      </c>
      <c r="AF119" s="1139">
        <f t="shared" si="42"/>
        <v>0</v>
      </c>
      <c r="AG119" s="1139">
        <f t="shared" si="48"/>
        <v>27.14953354575162</v>
      </c>
      <c r="AH119" s="1139">
        <f t="shared" si="24"/>
        <v>27.203918159430426</v>
      </c>
      <c r="AI119" s="1139">
        <f t="shared" si="43"/>
        <v>27.856533523576083</v>
      </c>
    </row>
    <row r="120" spans="1:35">
      <c r="A120" s="1136">
        <f t="shared" si="44"/>
        <v>23</v>
      </c>
      <c r="B120" s="238">
        <f t="shared" si="25"/>
        <v>0</v>
      </c>
      <c r="C120" s="215">
        <f t="shared" si="16"/>
        <v>2.4</v>
      </c>
      <c r="D120" s="215">
        <f t="shared" si="17"/>
        <v>2</v>
      </c>
      <c r="E120" s="215">
        <f t="shared" si="18"/>
        <v>0</v>
      </c>
      <c r="F120" s="215">
        <f t="shared" si="26"/>
        <v>0</v>
      </c>
      <c r="G120" s="1139">
        <f t="shared" si="27"/>
        <v>4.4000000000000004</v>
      </c>
      <c r="H120" s="238">
        <f t="shared" si="28"/>
        <v>0</v>
      </c>
      <c r="I120" s="1101">
        <f t="shared" si="29"/>
        <v>0.5</v>
      </c>
      <c r="J120" s="215">
        <f t="shared" si="30"/>
        <v>0</v>
      </c>
      <c r="K120" s="215">
        <f t="shared" si="31"/>
        <v>0.82857142857142863</v>
      </c>
      <c r="L120" s="238">
        <f t="shared" si="19"/>
        <v>1</v>
      </c>
      <c r="M120" s="215">
        <f t="shared" si="32"/>
        <v>22.9</v>
      </c>
      <c r="N120" s="1101">
        <f t="shared" si="20"/>
        <v>0.15</v>
      </c>
      <c r="O120" s="1101">
        <f t="shared" si="33"/>
        <v>-0.97074285714285768</v>
      </c>
      <c r="P120" s="215">
        <f t="shared" si="34"/>
        <v>-1.4332029411764715</v>
      </c>
      <c r="Q120" s="215">
        <f t="shared" si="35"/>
        <v>-1.9960542016806713</v>
      </c>
      <c r="R120" s="215">
        <f t="shared" si="36"/>
        <v>-1.9960542016806713</v>
      </c>
      <c r="S120" s="215"/>
      <c r="T120" s="215">
        <f t="shared" si="37"/>
        <v>-1.9960542016806713</v>
      </c>
      <c r="U120" s="215">
        <f t="shared" si="38"/>
        <v>-1.9960542016806713</v>
      </c>
      <c r="V120" s="215">
        <f t="shared" si="39"/>
        <v>22.9</v>
      </c>
      <c r="W120" s="237">
        <f t="shared" si="21"/>
        <v>26</v>
      </c>
      <c r="X120" s="215">
        <f t="shared" si="40"/>
        <v>-3.1000000000000014</v>
      </c>
      <c r="Y120" s="238"/>
      <c r="Z120" s="1347">
        <f t="shared" si="45"/>
        <v>27.203918159430426</v>
      </c>
      <c r="AA120" s="1139">
        <f t="shared" si="22"/>
        <v>26.016633785014005</v>
      </c>
      <c r="AB120" s="1347">
        <f t="shared" si="46"/>
        <v>26.21623920518207</v>
      </c>
      <c r="AC120" s="1347">
        <f t="shared" si="47"/>
        <v>27.203918159430426</v>
      </c>
      <c r="AD120" s="1139">
        <f t="shared" si="23"/>
        <v>25.933300451680672</v>
      </c>
      <c r="AE120" s="1347">
        <f t="shared" si="41"/>
        <v>25.132905871848738</v>
      </c>
      <c r="AF120" s="1139">
        <f t="shared" si="42"/>
        <v>0</v>
      </c>
      <c r="AG120" s="1139">
        <f t="shared" si="48"/>
        <v>27.203918159430426</v>
      </c>
      <c r="AH120" s="1139">
        <f t="shared" si="24"/>
        <v>27.220551944444431</v>
      </c>
      <c r="AI120" s="1139">
        <f t="shared" si="43"/>
        <v>27.420157364612496</v>
      </c>
    </row>
    <row r="121" spans="1:35">
      <c r="A121" s="1136">
        <f t="shared" si="44"/>
        <v>24</v>
      </c>
      <c r="B121" s="238">
        <f t="shared" si="25"/>
        <v>0</v>
      </c>
      <c r="C121" s="215">
        <f>C$95*B86</f>
        <v>2.4</v>
      </c>
      <c r="D121" s="215">
        <f t="shared" si="17"/>
        <v>2</v>
      </c>
      <c r="E121" s="215">
        <f t="shared" si="18"/>
        <v>0</v>
      </c>
      <c r="F121" s="215">
        <f t="shared" si="26"/>
        <v>0</v>
      </c>
      <c r="G121" s="1139">
        <f t="shared" si="27"/>
        <v>4.4000000000000004</v>
      </c>
      <c r="H121" s="238">
        <f t="shared" si="28"/>
        <v>0</v>
      </c>
      <c r="I121" s="1101">
        <f t="shared" si="29"/>
        <v>0.5</v>
      </c>
      <c r="J121" s="215">
        <f t="shared" si="30"/>
        <v>0</v>
      </c>
      <c r="K121" s="215">
        <f t="shared" si="31"/>
        <v>0.82857142857142863</v>
      </c>
      <c r="L121" s="238">
        <f t="shared" si="19"/>
        <v>1</v>
      </c>
      <c r="M121" s="215">
        <f t="shared" si="32"/>
        <v>21.8</v>
      </c>
      <c r="N121" s="1101">
        <f t="shared" si="20"/>
        <v>0.15</v>
      </c>
      <c r="O121" s="1101">
        <f t="shared" si="33"/>
        <v>-1.3151999999999999</v>
      </c>
      <c r="P121" s="215">
        <f t="shared" si="34"/>
        <v>-1.9417588235294119</v>
      </c>
      <c r="Q121" s="215">
        <f t="shared" si="35"/>
        <v>-1.1430411764705886</v>
      </c>
      <c r="R121" s="215">
        <f t="shared" si="36"/>
        <v>-1.1430411764705886</v>
      </c>
      <c r="S121" s="215"/>
      <c r="T121" s="215">
        <f t="shared" si="37"/>
        <v>-1.1430411764705886</v>
      </c>
      <c r="U121" s="215">
        <f t="shared" si="38"/>
        <v>-1.1430411764705886</v>
      </c>
      <c r="V121" s="215">
        <f t="shared" si="39"/>
        <v>21.8</v>
      </c>
      <c r="W121" s="237">
        <f t="shared" si="21"/>
        <v>26</v>
      </c>
      <c r="X121" s="215">
        <f t="shared" si="40"/>
        <v>-4.1999999999999993</v>
      </c>
      <c r="Y121" s="238"/>
      <c r="Z121" s="1347">
        <f t="shared" si="45"/>
        <v>27.220551944444431</v>
      </c>
      <c r="AA121" s="1139">
        <f t="shared" si="22"/>
        <v>26.009525343137256</v>
      </c>
      <c r="AB121" s="1347">
        <f t="shared" si="46"/>
        <v>26.123829460784314</v>
      </c>
      <c r="AC121" s="1347">
        <f t="shared" si="47"/>
        <v>27.220551944444431</v>
      </c>
      <c r="AD121" s="1139">
        <f t="shared" si="23"/>
        <v>25.92619200980392</v>
      </c>
      <c r="AE121" s="1347">
        <f t="shared" si="41"/>
        <v>25.040496127450979</v>
      </c>
      <c r="AF121" s="1139">
        <f t="shared" si="42"/>
        <v>0</v>
      </c>
      <c r="AG121" s="1139">
        <f t="shared" si="48"/>
        <v>27.220551944444431</v>
      </c>
      <c r="AH121" s="1139">
        <f t="shared" si="24"/>
        <v>27.230077287581686</v>
      </c>
      <c r="AI121" s="1139">
        <f t="shared" si="43"/>
        <v>27.344381405228745</v>
      </c>
    </row>
    <row r="122" spans="1:35" s="238" customFormat="1">
      <c r="G122" s="1138"/>
      <c r="R122" s="29"/>
      <c r="S122" s="29"/>
      <c r="T122" s="29"/>
      <c r="U122" s="29"/>
      <c r="V122" s="29"/>
      <c r="W122" s="29"/>
      <c r="X122" s="29"/>
      <c r="Y122" s="29"/>
      <c r="Z122" s="1340"/>
      <c r="AA122" s="1340"/>
      <c r="AB122" s="1138"/>
      <c r="AC122" s="1138"/>
      <c r="AD122" s="1138"/>
      <c r="AE122" s="1138"/>
      <c r="AF122" s="1138"/>
      <c r="AG122" s="1138"/>
      <c r="AH122" s="1138"/>
      <c r="AI122" s="1138"/>
    </row>
    <row r="123" spans="1:35" s="238" customFormat="1">
      <c r="A123" s="238" t="s">
        <v>1058</v>
      </c>
      <c r="C123" s="215">
        <f t="shared" ref="C123:H123" si="49">SUM(C98:C121)</f>
        <v>33.6</v>
      </c>
      <c r="D123" s="215">
        <f t="shared" si="49"/>
        <v>74</v>
      </c>
      <c r="E123" s="215">
        <f t="shared" si="49"/>
        <v>0</v>
      </c>
      <c r="F123" s="215">
        <f t="shared" si="49"/>
        <v>8.9375000000000018</v>
      </c>
      <c r="G123" s="1139">
        <f t="shared" si="49"/>
        <v>116.53750000000002</v>
      </c>
      <c r="H123" s="215">
        <f t="shared" si="49"/>
        <v>4095</v>
      </c>
      <c r="J123" s="215">
        <f>SUM(J98:J121)</f>
        <v>127.13188235294122</v>
      </c>
      <c r="O123" s="215">
        <f t="shared" ref="O123:U123" si="50">SUM(O98:O121)</f>
        <v>-15.000447999999999</v>
      </c>
      <c r="P123" s="215">
        <f t="shared" si="50"/>
        <v>-12.945058823529427</v>
      </c>
      <c r="Q123" s="215">
        <f t="shared" si="50"/>
        <v>-215.72387552941177</v>
      </c>
      <c r="R123" s="215">
        <f t="shared" si="50"/>
        <v>-215.72387552941177</v>
      </c>
      <c r="S123" s="215"/>
      <c r="T123" s="215">
        <f t="shared" si="50"/>
        <v>-220.85960368067228</v>
      </c>
      <c r="U123" s="215">
        <f t="shared" si="50"/>
        <v>-220.85960368067228</v>
      </c>
      <c r="V123" s="29"/>
      <c r="W123" s="29"/>
      <c r="X123" s="29"/>
      <c r="Y123" s="29"/>
      <c r="Z123" s="1340"/>
      <c r="AA123" s="1340"/>
      <c r="AB123" s="1138"/>
      <c r="AC123" s="1138"/>
      <c r="AD123" s="1138"/>
      <c r="AE123" s="1138"/>
      <c r="AF123" s="1139">
        <f>-SUM(AF98:AF121)</f>
        <v>68.114601019607903</v>
      </c>
      <c r="AG123" s="1138"/>
      <c r="AH123" s="1138"/>
      <c r="AI123" s="1138"/>
    </row>
    <row r="124" spans="1:35" s="238" customFormat="1">
      <c r="A124" s="238" t="s">
        <v>1458</v>
      </c>
      <c r="C124" s="215">
        <f t="shared" ref="C124:H124" si="51">MAX(C98:C121)</f>
        <v>2.4</v>
      </c>
      <c r="D124" s="215">
        <f t="shared" si="51"/>
        <v>10</v>
      </c>
      <c r="E124" s="215">
        <f t="shared" si="51"/>
        <v>0</v>
      </c>
      <c r="F124" s="215">
        <f t="shared" si="51"/>
        <v>2.9791666666666674</v>
      </c>
      <c r="G124" s="1139">
        <f t="shared" si="51"/>
        <v>14.899166666666668</v>
      </c>
      <c r="H124" s="215">
        <f t="shared" si="51"/>
        <v>680</v>
      </c>
      <c r="J124" s="215">
        <f>MAX(J98:J121)</f>
        <v>15.120000000000003</v>
      </c>
      <c r="M124" s="215">
        <f>MAX(M98:M121)</f>
        <v>27.62</v>
      </c>
      <c r="O124" s="215">
        <f t="shared" ref="O124:W124" si="52">MAX(O98:O121)</f>
        <v>0.71753142857142882</v>
      </c>
      <c r="P124" s="215">
        <f t="shared" si="52"/>
        <v>2.773941176470589</v>
      </c>
      <c r="Q124" s="215">
        <f t="shared" si="52"/>
        <v>1.493544537815128</v>
      </c>
      <c r="R124" s="215">
        <f t="shared" si="52"/>
        <v>1.493544537815128</v>
      </c>
      <c r="S124" s="215"/>
      <c r="T124" s="215">
        <f t="shared" ref="T124" si="53">MAX(T98:T121)</f>
        <v>0</v>
      </c>
      <c r="U124" s="215">
        <f t="shared" ref="U124" si="54">MAX(U98:U121)</f>
        <v>0</v>
      </c>
      <c r="V124" s="215">
        <f t="shared" si="52"/>
        <v>32</v>
      </c>
      <c r="W124" s="215">
        <f t="shared" si="52"/>
        <v>26</v>
      </c>
      <c r="X124" s="29"/>
      <c r="Y124" s="29"/>
      <c r="Z124" s="1139">
        <f t="shared" ref="Z124:AE124" si="55">MAX(Z98:Z121)</f>
        <v>27.220551944444431</v>
      </c>
      <c r="AA124" s="1139">
        <f t="shared" si="55"/>
        <v>26.171277344957982</v>
      </c>
      <c r="AB124" s="1139">
        <f t="shared" si="55"/>
        <v>28.226605484453781</v>
      </c>
      <c r="AC124" s="1139">
        <f t="shared" si="55"/>
        <v>27.220551944444431</v>
      </c>
      <c r="AD124" s="1139">
        <f t="shared" si="55"/>
        <v>26.08794401162465</v>
      </c>
      <c r="AE124" s="1139">
        <f t="shared" si="55"/>
        <v>27.143272151120449</v>
      </c>
      <c r="AF124" s="1138"/>
      <c r="AG124" s="1139">
        <f>MAX(AG98:AG121)</f>
        <v>27.220551944444431</v>
      </c>
      <c r="AH124" s="1139">
        <f>MAX(AH98:AH121)</f>
        <v>27.230077287581686</v>
      </c>
      <c r="AI124" s="1139">
        <f>MAX(AI98:AI121)</f>
        <v>28.0862244922969</v>
      </c>
    </row>
    <row r="125" spans="1:35" s="238" customFormat="1">
      <c r="A125" s="238" t="s">
        <v>1459</v>
      </c>
      <c r="C125" s="215"/>
      <c r="D125" s="215"/>
      <c r="E125" s="215"/>
      <c r="F125" s="215"/>
      <c r="G125" s="1139"/>
      <c r="J125" s="215"/>
      <c r="O125" s="215"/>
      <c r="P125" s="215"/>
      <c r="Q125" s="215">
        <f>MIN(Q98:Q121)</f>
        <v>-20.553281394957988</v>
      </c>
      <c r="R125" s="215">
        <f>MIN(R98:R121)</f>
        <v>-20.553281394957988</v>
      </c>
      <c r="S125" s="215"/>
      <c r="T125" s="215">
        <f>MIN(T98:T121)</f>
        <v>-20.553281394957988</v>
      </c>
      <c r="U125" s="1350">
        <f>MIN(U98:U121)</f>
        <v>-20.553281394957988</v>
      </c>
      <c r="V125" s="29"/>
      <c r="W125" s="29"/>
      <c r="X125" s="29"/>
      <c r="Y125" s="29"/>
      <c r="Z125" s="29"/>
      <c r="AA125" s="29"/>
      <c r="AF125" s="215">
        <f>MIN(AF98:AF121)</f>
        <v>-10.553281394958002</v>
      </c>
    </row>
    <row r="126" spans="1:35" s="238" customFormat="1">
      <c r="C126" s="215"/>
      <c r="D126" s="215"/>
      <c r="E126" s="215"/>
      <c r="F126" s="215"/>
      <c r="G126" s="1139"/>
      <c r="J126" s="215"/>
      <c r="O126" s="215"/>
      <c r="P126" s="215"/>
      <c r="Q126" s="215"/>
      <c r="R126" s="215"/>
      <c r="S126" s="215"/>
      <c r="T126" s="215"/>
      <c r="U126" s="215"/>
      <c r="V126" s="29"/>
      <c r="W126" s="29"/>
      <c r="X126" s="29"/>
      <c r="Y126" s="29"/>
      <c r="Z126" s="29"/>
      <c r="AA126" s="29"/>
      <c r="AF126" s="215">
        <f>-Datenblatt!M156</f>
        <v>-23.79344749019608</v>
      </c>
    </row>
    <row r="127" spans="1:35" s="238" customFormat="1">
      <c r="C127" s="215"/>
      <c r="D127" s="215"/>
      <c r="E127" s="215"/>
      <c r="F127" s="215"/>
      <c r="G127" s="1139"/>
      <c r="J127" s="215"/>
      <c r="O127" s="215"/>
      <c r="P127" s="215"/>
      <c r="Q127" s="215"/>
      <c r="R127" s="215"/>
      <c r="S127" s="215"/>
      <c r="T127" s="215"/>
      <c r="U127" s="215"/>
      <c r="V127" s="29"/>
      <c r="W127" s="29"/>
      <c r="X127" s="29"/>
      <c r="Y127" s="29"/>
      <c r="Z127" s="29"/>
      <c r="AA127" s="29"/>
      <c r="AF127" s="1302">
        <f>U125</f>
        <v>-20.553281394957988</v>
      </c>
    </row>
    <row r="128" spans="1:35" s="238" customFormat="1">
      <c r="R128" s="29"/>
      <c r="S128" s="29"/>
      <c r="T128" s="29"/>
      <c r="U128" s="29"/>
      <c r="V128" s="29"/>
      <c r="W128" s="29"/>
      <c r="X128" s="29"/>
      <c r="Y128" s="29"/>
      <c r="Z128" s="29"/>
      <c r="AA128" s="29"/>
      <c r="AF128" s="215">
        <f>U123/24</f>
        <v>-9.2024834866946783</v>
      </c>
    </row>
    <row r="129" spans="1:32" s="238" customFormat="1">
      <c r="A129" s="211" t="s">
        <v>2249</v>
      </c>
      <c r="G129" s="211" t="s">
        <v>2250</v>
      </c>
      <c r="O129" s="211" t="s">
        <v>2234</v>
      </c>
      <c r="R129" s="29"/>
      <c r="S129" s="29"/>
      <c r="T129" s="29"/>
      <c r="U129" s="29"/>
      <c r="V129" s="29"/>
      <c r="W129" s="211"/>
      <c r="Z129" s="211" t="s">
        <v>2235</v>
      </c>
      <c r="AA129" s="29"/>
      <c r="AB129" s="29"/>
      <c r="AC129" s="29"/>
      <c r="AD129" s="29"/>
    </row>
    <row r="130" spans="1:32" s="238" customFormat="1">
      <c r="A130" s="210"/>
      <c r="B130" s="210"/>
      <c r="C130" s="210"/>
      <c r="D130" s="210"/>
      <c r="E130" s="210"/>
      <c r="F130" s="210"/>
      <c r="G130" s="210"/>
      <c r="R130" s="29"/>
      <c r="S130" s="29"/>
      <c r="T130" s="29"/>
      <c r="U130" s="29"/>
      <c r="V130" s="29"/>
      <c r="Z130" s="29"/>
      <c r="AA130" s="29"/>
      <c r="AB130" s="29"/>
      <c r="AC130" s="29"/>
      <c r="AD130" s="29"/>
      <c r="AF130" s="215"/>
    </row>
    <row r="131" spans="1:32" s="238" customFormat="1">
      <c r="A131" s="872"/>
      <c r="B131" s="210"/>
      <c r="C131" s="210"/>
      <c r="D131" s="210"/>
      <c r="E131" s="210"/>
      <c r="F131" s="210"/>
      <c r="G131" s="210"/>
      <c r="R131" s="29"/>
      <c r="S131" s="29"/>
      <c r="T131" s="29"/>
      <c r="U131" s="29"/>
      <c r="V131" s="29"/>
      <c r="Z131" s="29"/>
      <c r="AA131" s="29"/>
      <c r="AB131" s="29"/>
      <c r="AC131" s="29"/>
      <c r="AD131" s="29"/>
    </row>
    <row r="132" spans="1:32" s="238" customFormat="1">
      <c r="A132" s="210"/>
      <c r="B132" s="210"/>
      <c r="C132" s="210"/>
      <c r="D132" s="210"/>
      <c r="E132" s="210"/>
      <c r="F132" s="210"/>
      <c r="G132" s="210"/>
      <c r="R132" s="29"/>
      <c r="S132" s="29"/>
      <c r="T132" s="29"/>
      <c r="U132" s="29"/>
      <c r="V132" s="29"/>
      <c r="Z132" s="29"/>
      <c r="AA132" s="29"/>
      <c r="AB132" s="29"/>
      <c r="AC132" s="29"/>
      <c r="AD132" s="29"/>
    </row>
    <row r="133" spans="1:32" s="238" customFormat="1">
      <c r="A133" s="210"/>
      <c r="B133" s="210"/>
      <c r="C133" s="210"/>
      <c r="D133" s="210"/>
      <c r="E133" s="210"/>
      <c r="F133" s="210"/>
      <c r="G133" s="210"/>
      <c r="R133" s="29"/>
      <c r="S133" s="29"/>
      <c r="T133" s="29"/>
      <c r="U133" s="29"/>
      <c r="V133" s="29"/>
      <c r="Z133" s="29"/>
      <c r="AA133" s="29"/>
      <c r="AB133" s="29"/>
      <c r="AC133" s="29"/>
      <c r="AD133" s="29"/>
    </row>
    <row r="134" spans="1:32" s="238" customFormat="1">
      <c r="A134" s="210"/>
      <c r="B134" s="210"/>
      <c r="C134" s="210"/>
      <c r="D134" s="210"/>
      <c r="E134" s="210"/>
      <c r="F134" s="210"/>
      <c r="G134" s="210"/>
      <c r="R134" s="29"/>
      <c r="S134" s="29"/>
      <c r="T134" s="29"/>
      <c r="U134" s="29"/>
      <c r="V134" s="29"/>
      <c r="Z134" s="29"/>
      <c r="AA134" s="29"/>
      <c r="AB134" s="29"/>
      <c r="AC134" s="29"/>
      <c r="AD134" s="29"/>
    </row>
    <row r="135" spans="1:32" s="238" customFormat="1">
      <c r="A135" s="210"/>
      <c r="B135" s="210"/>
      <c r="C135" s="210"/>
      <c r="D135" s="210"/>
      <c r="E135" s="210"/>
      <c r="F135" s="210"/>
      <c r="G135" s="210"/>
      <c r="R135" s="29"/>
      <c r="S135" s="29"/>
      <c r="T135" s="29"/>
      <c r="U135" s="29"/>
      <c r="V135" s="29"/>
      <c r="Z135" s="29"/>
      <c r="AA135" s="29"/>
      <c r="AB135" s="29"/>
      <c r="AC135" s="29"/>
      <c r="AD135" s="29"/>
    </row>
    <row r="136" spans="1:32" s="238" customFormat="1">
      <c r="A136" s="210"/>
      <c r="B136" s="210"/>
      <c r="C136" s="210"/>
      <c r="D136" s="210"/>
      <c r="E136" s="210"/>
      <c r="F136" s="210"/>
      <c r="G136" s="210"/>
      <c r="R136" s="29"/>
      <c r="S136" s="29"/>
      <c r="T136" s="29"/>
      <c r="U136" s="29"/>
      <c r="V136" s="29"/>
      <c r="Z136" s="29"/>
      <c r="AA136" s="29"/>
      <c r="AB136" s="29"/>
      <c r="AC136" s="29"/>
      <c r="AD136" s="29"/>
    </row>
    <row r="137" spans="1:32" s="238" customFormat="1">
      <c r="A137" s="210"/>
      <c r="B137" s="210"/>
      <c r="C137" s="210"/>
      <c r="D137" s="210"/>
      <c r="E137" s="210"/>
      <c r="F137" s="210"/>
      <c r="G137" s="210"/>
      <c r="R137" s="29"/>
      <c r="S137" s="29"/>
      <c r="T137" s="29"/>
      <c r="U137" s="29"/>
      <c r="V137" s="29"/>
      <c r="Z137" s="29"/>
      <c r="AA137" s="29"/>
      <c r="AB137" s="29"/>
      <c r="AC137" s="29"/>
      <c r="AD137" s="29"/>
    </row>
    <row r="138" spans="1:32" s="238" customFormat="1">
      <c r="A138" s="210"/>
      <c r="B138" s="210"/>
      <c r="C138" s="210"/>
      <c r="D138" s="210"/>
      <c r="E138" s="210"/>
      <c r="F138" s="210"/>
      <c r="G138" s="210"/>
      <c r="R138" s="29"/>
      <c r="S138" s="29"/>
      <c r="T138" s="29"/>
      <c r="U138" s="29"/>
      <c r="V138" s="29"/>
      <c r="Z138" s="29"/>
      <c r="AA138" s="29"/>
      <c r="AB138" s="29"/>
      <c r="AC138" s="29"/>
      <c r="AD138" s="29"/>
    </row>
    <row r="139" spans="1:32" s="238" customFormat="1">
      <c r="A139" s="210"/>
      <c r="B139" s="210"/>
      <c r="C139" s="210"/>
      <c r="D139" s="210"/>
      <c r="E139" s="210"/>
      <c r="F139" s="210"/>
      <c r="G139" s="210"/>
      <c r="R139" s="29"/>
      <c r="S139" s="29"/>
      <c r="T139" s="29"/>
      <c r="U139" s="29"/>
      <c r="V139" s="29"/>
      <c r="Z139" s="29"/>
      <c r="AA139" s="29"/>
      <c r="AB139" s="29"/>
      <c r="AC139" s="29"/>
      <c r="AD139" s="29"/>
    </row>
    <row r="140" spans="1:32" s="238" customFormat="1">
      <c r="R140" s="29"/>
      <c r="S140" s="29"/>
      <c r="T140" s="29"/>
      <c r="U140" s="29"/>
      <c r="V140" s="29"/>
      <c r="Z140" s="29"/>
      <c r="AA140" s="29"/>
      <c r="AB140" s="29"/>
      <c r="AC140" s="29"/>
      <c r="AD140" s="29"/>
    </row>
    <row r="141" spans="1:32" s="238" customFormat="1">
      <c r="R141" s="29"/>
      <c r="S141" s="29"/>
      <c r="T141" s="29"/>
      <c r="U141" s="29"/>
      <c r="V141" s="29"/>
      <c r="Z141" s="29"/>
      <c r="AA141" s="29"/>
      <c r="AB141" s="29"/>
      <c r="AC141" s="29"/>
      <c r="AD141" s="29"/>
    </row>
    <row r="142" spans="1:32" s="238" customFormat="1">
      <c r="R142" s="29"/>
      <c r="S142" s="29"/>
      <c r="T142" s="29"/>
      <c r="U142" s="29"/>
      <c r="V142" s="29"/>
      <c r="Z142" s="29"/>
      <c r="AA142" s="29"/>
      <c r="AB142" s="29"/>
      <c r="AC142" s="29"/>
      <c r="AD142" s="29"/>
    </row>
    <row r="143" spans="1:32" s="238" customFormat="1">
      <c r="R143" s="29"/>
      <c r="S143" s="29"/>
      <c r="T143" s="29"/>
      <c r="U143" s="29"/>
      <c r="V143" s="29"/>
      <c r="Z143" s="29"/>
      <c r="AA143" s="29"/>
      <c r="AB143" s="29"/>
      <c r="AC143" s="29"/>
      <c r="AD143" s="29"/>
    </row>
    <row r="144" spans="1:32" s="238" customFormat="1">
      <c r="R144" s="29"/>
      <c r="S144" s="29"/>
      <c r="T144" s="29"/>
      <c r="U144" s="29"/>
      <c r="V144" s="29"/>
      <c r="Z144" s="29"/>
      <c r="AA144" s="29"/>
      <c r="AB144" s="29"/>
      <c r="AC144" s="29"/>
      <c r="AD144" s="29"/>
    </row>
    <row r="145" spans="1:35" s="238" customFormat="1">
      <c r="R145" s="29"/>
      <c r="S145" s="29"/>
      <c r="T145" s="29"/>
      <c r="U145" s="29"/>
      <c r="V145" s="29"/>
      <c r="Z145" s="29"/>
      <c r="AA145" s="29"/>
      <c r="AB145" s="29"/>
      <c r="AC145" s="29"/>
      <c r="AD145" s="29"/>
    </row>
    <row r="146" spans="1:35" s="238" customFormat="1">
      <c r="R146" s="29"/>
      <c r="S146" s="29"/>
      <c r="T146" s="29"/>
      <c r="U146" s="29"/>
      <c r="V146" s="29"/>
      <c r="Z146" s="29"/>
      <c r="AA146" s="29"/>
      <c r="AB146" s="29"/>
      <c r="AC146" s="29"/>
      <c r="AD146" s="29"/>
    </row>
    <row r="147" spans="1:35" s="238" customFormat="1">
      <c r="R147" s="29"/>
      <c r="S147" s="29"/>
      <c r="T147" s="29"/>
      <c r="U147" s="29"/>
      <c r="V147" s="29"/>
      <c r="Z147" s="29"/>
      <c r="AA147" s="29"/>
      <c r="AB147" s="29"/>
      <c r="AC147" s="29"/>
      <c r="AD147" s="29"/>
    </row>
    <row r="148" spans="1:35" s="238" customFormat="1">
      <c r="R148" s="29"/>
      <c r="S148" s="29"/>
      <c r="T148" s="29"/>
      <c r="U148" s="29"/>
      <c r="V148" s="29"/>
      <c r="Z148" s="29"/>
      <c r="AA148" s="29"/>
      <c r="AB148" s="29"/>
      <c r="AC148" s="29"/>
      <c r="AD148" s="29"/>
    </row>
    <row r="149" spans="1:35" s="238" customFormat="1" ht="15.45">
      <c r="A149" s="1135" t="s">
        <v>1597</v>
      </c>
      <c r="B149" s="367"/>
      <c r="C149" s="367"/>
      <c r="D149" s="367"/>
      <c r="E149" s="1135" t="s">
        <v>1257</v>
      </c>
      <c r="F149" s="367"/>
      <c r="G149" s="367"/>
      <c r="H149" s="367"/>
      <c r="I149" s="367"/>
      <c r="J149" s="367"/>
      <c r="K149" s="367"/>
      <c r="L149" s="367"/>
      <c r="M149" s="367"/>
      <c r="N149" s="367"/>
      <c r="O149" s="367"/>
      <c r="P149" s="367"/>
      <c r="Q149" s="367"/>
      <c r="R149" s="1134"/>
      <c r="S149" s="1134"/>
      <c r="T149" s="1134"/>
      <c r="U149" s="1134"/>
      <c r="V149" s="1134"/>
      <c r="W149" s="1134"/>
      <c r="X149" s="1134"/>
      <c r="Y149" s="355"/>
      <c r="Z149" s="1357"/>
      <c r="AA149" s="1357"/>
      <c r="AB149" s="1357"/>
      <c r="AC149" s="1357"/>
      <c r="AD149" s="1357"/>
      <c r="AE149" s="355"/>
      <c r="AF149" s="355"/>
      <c r="AG149" s="355"/>
      <c r="AH149" s="355"/>
      <c r="AI149" s="355"/>
    </row>
    <row r="150" spans="1:35" s="238" customFormat="1">
      <c r="A150" s="367"/>
      <c r="B150" s="367"/>
      <c r="C150" s="367"/>
      <c r="D150" s="367"/>
      <c r="E150" s="367"/>
      <c r="F150" s="367"/>
      <c r="G150" s="367"/>
      <c r="H150" s="367"/>
      <c r="I150" s="367"/>
      <c r="J150" s="367"/>
      <c r="K150" s="367"/>
      <c r="L150" s="367"/>
      <c r="M150" s="367"/>
      <c r="N150" s="367"/>
      <c r="O150" s="367"/>
      <c r="P150" s="367"/>
      <c r="Q150" s="367"/>
      <c r="R150" s="1134"/>
      <c r="S150" s="1134"/>
      <c r="T150" s="1134"/>
      <c r="U150" s="1134"/>
      <c r="V150" s="1134"/>
      <c r="W150" s="1134"/>
      <c r="X150" s="1134"/>
      <c r="Y150" s="355"/>
      <c r="Z150" s="1357"/>
      <c r="AA150" s="1357"/>
      <c r="AB150" s="1357"/>
      <c r="AC150" s="1357"/>
      <c r="AD150" s="1357"/>
      <c r="AE150" s="355"/>
      <c r="AF150" s="355"/>
      <c r="AG150" s="355"/>
      <c r="AH150" s="355"/>
      <c r="AI150" s="355"/>
    </row>
    <row r="151" spans="1:35" s="238" customFormat="1">
      <c r="A151" s="210"/>
      <c r="C151" s="238" t="str">
        <f>C91</f>
        <v>Personen</v>
      </c>
      <c r="D151" s="238" t="str">
        <f>D91</f>
        <v>Geräte</v>
      </c>
      <c r="E151" s="238" t="str">
        <f>E91</f>
        <v>Prozessanlagen</v>
      </c>
      <c r="F151" s="238" t="str">
        <f>F91</f>
        <v>Beleuchtung</v>
      </c>
      <c r="G151" s="1138" t="s">
        <v>1433</v>
      </c>
      <c r="H151" s="238" t="str">
        <f>H91</f>
        <v>Solarstrahlung</v>
      </c>
      <c r="J151" s="210"/>
      <c r="K151" s="238" t="str">
        <f>K91</f>
        <v>Lüftung</v>
      </c>
      <c r="O151" s="210"/>
      <c r="P151" s="238" t="str">
        <f>P91</f>
        <v>Transmission</v>
      </c>
      <c r="Q151" s="238" t="s">
        <v>1445</v>
      </c>
      <c r="R151" s="238" t="s">
        <v>1445</v>
      </c>
      <c r="T151" s="238" t="str">
        <f>T91</f>
        <v>Klimakälte</v>
      </c>
      <c r="U151" s="238" t="s">
        <v>463</v>
      </c>
      <c r="V151" s="238" t="s">
        <v>1435</v>
      </c>
      <c r="W151" s="238" t="s">
        <v>1454</v>
      </c>
      <c r="X151" s="238" t="s">
        <v>1437</v>
      </c>
      <c r="Z151" s="29"/>
      <c r="AA151" s="29"/>
      <c r="AB151" s="29"/>
      <c r="AC151" s="29"/>
      <c r="AD151" s="29"/>
    </row>
    <row r="152" spans="1:35" s="238" customFormat="1">
      <c r="A152" s="215" t="s">
        <v>28</v>
      </c>
      <c r="B152" s="238" t="s">
        <v>2243</v>
      </c>
      <c r="C152" s="238" t="s">
        <v>1432</v>
      </c>
      <c r="D152" s="238" t="s">
        <v>1432</v>
      </c>
      <c r="E152" s="238" t="s">
        <v>1432</v>
      </c>
      <c r="F152" s="238" t="s">
        <v>1432</v>
      </c>
      <c r="G152" s="1138" t="s">
        <v>1432</v>
      </c>
      <c r="H152" s="238" t="s">
        <v>1444</v>
      </c>
      <c r="I152" s="238" t="s">
        <v>1446</v>
      </c>
      <c r="J152" s="238" t="s">
        <v>1432</v>
      </c>
      <c r="K152" s="238" t="s">
        <v>1434</v>
      </c>
      <c r="L152" s="238" t="s">
        <v>1438</v>
      </c>
      <c r="M152" s="238" t="s">
        <v>1440</v>
      </c>
      <c r="N152" s="238" t="s">
        <v>1441</v>
      </c>
      <c r="O152" s="238" t="s">
        <v>1443</v>
      </c>
      <c r="P152" s="238" t="s">
        <v>1443</v>
      </c>
      <c r="Q152" s="238" t="s">
        <v>1582</v>
      </c>
      <c r="R152" s="238" t="s">
        <v>1583</v>
      </c>
      <c r="T152" s="238" t="s">
        <v>1582</v>
      </c>
      <c r="U152" s="238" t="s">
        <v>1583</v>
      </c>
      <c r="Z152" s="29"/>
      <c r="AA152" s="29"/>
      <c r="AB152" s="29"/>
      <c r="AC152" s="29"/>
      <c r="AD152" s="29"/>
    </row>
    <row r="153" spans="1:35" s="238" customFormat="1">
      <c r="A153" s="210"/>
      <c r="B153" s="210"/>
      <c r="C153" s="210"/>
      <c r="D153" s="210"/>
      <c r="E153" s="210"/>
      <c r="G153" s="1138"/>
      <c r="H153" s="210"/>
      <c r="J153" s="210" t="s">
        <v>490</v>
      </c>
      <c r="K153" s="1101" t="str">
        <f>Datenblatt!N$136</f>
        <v>IDA-C4</v>
      </c>
      <c r="L153" s="238" t="s">
        <v>1439</v>
      </c>
      <c r="M153" s="210"/>
      <c r="N153" s="210"/>
      <c r="P153" s="210"/>
      <c r="R153" s="210"/>
      <c r="S153" s="210"/>
      <c r="T153" s="873" t="s">
        <v>1581</v>
      </c>
      <c r="U153" s="873" t="s">
        <v>1581</v>
      </c>
      <c r="Z153" s="29"/>
      <c r="AA153" s="29"/>
      <c r="AB153" s="29"/>
      <c r="AC153" s="29"/>
      <c r="AD153" s="29"/>
    </row>
    <row r="154" spans="1:35" s="238" customFormat="1">
      <c r="A154" s="210"/>
      <c r="B154" s="210"/>
      <c r="C154" s="238" t="s">
        <v>24</v>
      </c>
      <c r="D154" s="238" t="s">
        <v>24</v>
      </c>
      <c r="E154" s="238" t="s">
        <v>24</v>
      </c>
      <c r="F154" s="238" t="s">
        <v>24</v>
      </c>
      <c r="G154" s="1138"/>
      <c r="H154" s="238" t="s">
        <v>24</v>
      </c>
      <c r="I154" s="238" t="s">
        <v>16</v>
      </c>
      <c r="J154" s="238" t="s">
        <v>16</v>
      </c>
      <c r="K154" s="238" t="s">
        <v>301</v>
      </c>
      <c r="M154" s="238" t="s">
        <v>3</v>
      </c>
      <c r="N154" s="238" t="s">
        <v>301</v>
      </c>
      <c r="P154" s="238" t="s">
        <v>1580</v>
      </c>
      <c r="T154" s="238" t="s">
        <v>16</v>
      </c>
      <c r="U154" s="238" t="s">
        <v>16</v>
      </c>
      <c r="W154" s="238" t="s">
        <v>3</v>
      </c>
      <c r="X154" s="238" t="s">
        <v>58</v>
      </c>
      <c r="Z154" s="29"/>
      <c r="AA154" s="29"/>
      <c r="AB154" s="29"/>
      <c r="AC154" s="29"/>
      <c r="AD154" s="29"/>
    </row>
    <row r="155" spans="1:35" s="238" customFormat="1">
      <c r="A155" s="210"/>
      <c r="B155" s="210"/>
      <c r="C155" s="215">
        <f>Datenblatt!M$62</f>
        <v>2.4</v>
      </c>
      <c r="D155" s="215">
        <f>Datenblatt!N$77</f>
        <v>5</v>
      </c>
      <c r="E155" s="215">
        <f>Datenblatt!N$78</f>
        <v>0</v>
      </c>
      <c r="F155" s="215">
        <f>Datenblatt!N$122</f>
        <v>1.9097222222222221</v>
      </c>
      <c r="G155" s="1138"/>
      <c r="H155" s="238">
        <f>MAX(H158:H181)</f>
        <v>680</v>
      </c>
      <c r="I155" s="1101">
        <f>Datenblatt!N$26</f>
        <v>0.5</v>
      </c>
      <c r="J155" s="215">
        <f>Datenblatt!M$95</f>
        <v>0.17647058823529413</v>
      </c>
      <c r="K155" s="215">
        <f>Datenblatt!N$133</f>
        <v>0.82857142857142863</v>
      </c>
      <c r="M155" s="1334"/>
      <c r="N155" s="1101">
        <f>Datenblatt!N$135</f>
        <v>0.15</v>
      </c>
      <c r="P155" s="215">
        <f>Datenblatt!N$173/Datenblatt!M$13</f>
        <v>0.32676470588235296</v>
      </c>
      <c r="Q155" s="215"/>
      <c r="R155" s="215"/>
      <c r="S155" s="215"/>
      <c r="T155" s="215">
        <f>IF(Datenblatt!M$31=0,0,1)</f>
        <v>1</v>
      </c>
      <c r="U155" s="215">
        <f>T155</f>
        <v>1</v>
      </c>
      <c r="V155" s="215"/>
      <c r="W155" s="1349">
        <f>IF(A2=12.11,0,IF(Datenblatt!M$31=0,25,Datenblatt!M31))</f>
        <v>26</v>
      </c>
      <c r="Z155" s="29"/>
      <c r="AA155" s="29"/>
      <c r="AB155" s="29"/>
      <c r="AC155" s="29"/>
      <c r="AD155" s="29"/>
    </row>
    <row r="156" spans="1:35" s="238" customFormat="1">
      <c r="A156" s="210"/>
      <c r="B156" s="210"/>
      <c r="C156" s="215"/>
      <c r="D156" s="215"/>
      <c r="E156" s="215"/>
      <c r="F156" s="215"/>
      <c r="G156" s="1138"/>
      <c r="I156" s="1101">
        <f>Datenblatt!N$27</f>
        <v>0.1</v>
      </c>
      <c r="K156" s="215"/>
      <c r="M156" s="1101">
        <f>Datenblatt!N$139</f>
        <v>0.78</v>
      </c>
      <c r="N156" s="1101"/>
      <c r="P156" s="215"/>
      <c r="R156" s="210"/>
      <c r="S156" s="210"/>
      <c r="T156" s="210"/>
      <c r="U156" s="210"/>
      <c r="V156" s="215"/>
      <c r="W156" s="237"/>
      <c r="Z156" s="29"/>
      <c r="AA156" s="29"/>
      <c r="AB156" s="29"/>
      <c r="AC156" s="29"/>
      <c r="AD156" s="29"/>
    </row>
    <row r="157" spans="1:35" s="238" customFormat="1">
      <c r="A157" s="215" t="s">
        <v>14</v>
      </c>
      <c r="C157" s="238" t="s">
        <v>24</v>
      </c>
      <c r="D157" s="238" t="s">
        <v>24</v>
      </c>
      <c r="E157" s="238" t="s">
        <v>24</v>
      </c>
      <c r="F157" s="238" t="s">
        <v>24</v>
      </c>
      <c r="G157" s="1138" t="s">
        <v>24</v>
      </c>
      <c r="H157" s="238" t="s">
        <v>24</v>
      </c>
      <c r="I157" s="238" t="s">
        <v>16</v>
      </c>
      <c r="J157" s="238" t="s">
        <v>24</v>
      </c>
      <c r="K157" s="238" t="s">
        <v>301</v>
      </c>
      <c r="L157" s="238" t="s">
        <v>16</v>
      </c>
      <c r="M157" s="238" t="s">
        <v>3</v>
      </c>
      <c r="N157" s="238" t="s">
        <v>301</v>
      </c>
      <c r="O157" s="238" t="s">
        <v>24</v>
      </c>
      <c r="P157" s="238" t="s">
        <v>24</v>
      </c>
      <c r="Q157" s="238" t="s">
        <v>24</v>
      </c>
      <c r="R157" s="238" t="s">
        <v>24</v>
      </c>
      <c r="T157" s="238" t="s">
        <v>24</v>
      </c>
      <c r="U157" s="238" t="s">
        <v>24</v>
      </c>
      <c r="V157" s="238" t="s">
        <v>3</v>
      </c>
      <c r="W157" s="238" t="s">
        <v>3</v>
      </c>
      <c r="X157" s="238" t="s">
        <v>58</v>
      </c>
      <c r="Z157" s="29"/>
      <c r="AA157" s="29"/>
      <c r="AB157" s="29"/>
      <c r="AC157" s="29"/>
      <c r="AD157" s="29"/>
    </row>
    <row r="158" spans="1:35" s="238" customFormat="1">
      <c r="A158" s="1136">
        <v>1</v>
      </c>
      <c r="B158" s="238">
        <f>IF(U158=U$185,1,0)</f>
        <v>0</v>
      </c>
      <c r="C158" s="215">
        <f>C$155*B63</f>
        <v>2.4</v>
      </c>
      <c r="D158" s="215">
        <f>D$155*D63</f>
        <v>1</v>
      </c>
      <c r="E158" s="215">
        <f>E$155*D63</f>
        <v>0</v>
      </c>
      <c r="F158" s="215">
        <f>F$155*T63</f>
        <v>0</v>
      </c>
      <c r="G158" s="1139">
        <f>SUM(C158:F158)</f>
        <v>3.4</v>
      </c>
      <c r="H158" s="238">
        <f>N63</f>
        <v>0</v>
      </c>
      <c r="I158" s="1101">
        <f>IF(H158&lt;=200,I$155,I$156)</f>
        <v>0.5</v>
      </c>
      <c r="J158" s="215">
        <f>H158*R$58*I158*J$155</f>
        <v>0</v>
      </c>
      <c r="K158" s="215">
        <f>K$155*IF(K$153="IDA-C3",F63,IF(K$153="IDA-C4",G63,I63))</f>
        <v>0.82857142857142863</v>
      </c>
      <c r="L158" s="238">
        <f>IF(X158&gt;=2,0,1)</f>
        <v>1</v>
      </c>
      <c r="M158" s="215">
        <f>IF($M$155&lt;&gt;"",$M$155,IF(L158=1,V158,W158+X158*(1-M$156)))</f>
        <v>19.899999999999999</v>
      </c>
      <c r="N158" s="1101">
        <f>N$155</f>
        <v>0.15</v>
      </c>
      <c r="O158" s="1101">
        <f>(K158*(M158-W158)+N158*X158)*0.32</f>
        <v>-1.9101714285714291</v>
      </c>
      <c r="P158" s="215">
        <f>P$155*X158</f>
        <v>-1.9932647058823536</v>
      </c>
      <c r="Q158" s="215">
        <f>-(C158+D158+E158+F158+J158+O158+P158)</f>
        <v>0.50343613445378277</v>
      </c>
      <c r="R158" s="215">
        <f>-(C158+D158+F158+J158+O158+P158)</f>
        <v>0.50343613445378277</v>
      </c>
      <c r="S158" s="215"/>
      <c r="T158" s="215">
        <f>MIN(0,Q158)*$T$155</f>
        <v>0</v>
      </c>
      <c r="U158" s="215">
        <f>MIN(0,R158)*$U$155</f>
        <v>0</v>
      </c>
      <c r="V158" s="215">
        <f>O63</f>
        <v>19.899999999999999</v>
      </c>
      <c r="W158" s="237">
        <f>W$155</f>
        <v>26</v>
      </c>
      <c r="X158" s="215">
        <f>V158-W158</f>
        <v>-6.1000000000000014</v>
      </c>
      <c r="Z158" s="29"/>
      <c r="AA158" s="29"/>
      <c r="AB158" s="29"/>
      <c r="AC158" s="29"/>
      <c r="AD158" s="29"/>
    </row>
    <row r="159" spans="1:35" s="238" customFormat="1">
      <c r="A159" s="1136">
        <f>A158+1</f>
        <v>2</v>
      </c>
      <c r="B159" s="238">
        <f t="shared" ref="B159:B181" si="56">IF(U159=U$185,1,0)</f>
        <v>0</v>
      </c>
      <c r="C159" s="215">
        <f t="shared" ref="C159:C181" si="57">C$155*B64</f>
        <v>2.4</v>
      </c>
      <c r="D159" s="215">
        <f t="shared" ref="D159:D181" si="58">D$155*D64</f>
        <v>1</v>
      </c>
      <c r="E159" s="215">
        <f t="shared" ref="E159:E181" si="59">E$155*D64</f>
        <v>0</v>
      </c>
      <c r="F159" s="215">
        <f t="shared" ref="F159:F181" si="60">F$155*T64</f>
        <v>0</v>
      </c>
      <c r="G159" s="1139">
        <f t="shared" ref="G159:G181" si="61">SUM(C159:F159)</f>
        <v>3.4</v>
      </c>
      <c r="H159" s="238">
        <f t="shared" ref="H159:H181" si="62">N64</f>
        <v>0</v>
      </c>
      <c r="I159" s="1101">
        <f t="shared" ref="I159:I181" si="63">IF(H159&lt;=200,I$155,I$156)</f>
        <v>0.5</v>
      </c>
      <c r="J159" s="215">
        <f t="shared" ref="J159:J181" si="64">H159*R$58*I159*J$155</f>
        <v>0</v>
      </c>
      <c r="K159" s="215">
        <f t="shared" ref="K159:K181" si="65">K$155*IF(K$153="IDA-C3",F64,IF(K$153="IDA-C4",G64,I64))</f>
        <v>0.82857142857142863</v>
      </c>
      <c r="L159" s="238">
        <f t="shared" ref="L159:L181" si="66">IF(X159&gt;=2,0,1)</f>
        <v>1</v>
      </c>
      <c r="M159" s="215">
        <f t="shared" ref="M159:M181" si="67">IF($M$155&lt;&gt;"",$M$155,IF(L159=1,V159,W159+X159*(1-M$156)))</f>
        <v>19.3</v>
      </c>
      <c r="N159" s="1101">
        <f t="shared" ref="N159:N181" si="68">N$155</f>
        <v>0.15</v>
      </c>
      <c r="O159" s="1101">
        <f t="shared" ref="O159:O181" si="69">(K159*(M159-W159)+N159*X159)*0.32</f>
        <v>-2.0980571428571428</v>
      </c>
      <c r="P159" s="215">
        <f t="shared" ref="P159:P181" si="70">P$155*X159</f>
        <v>-2.1893235294117646</v>
      </c>
      <c r="Q159" s="215">
        <f t="shared" ref="Q159:Q181" si="71">-(C159+D159+E159+F159+J159+O159+P159)</f>
        <v>0.88738067226890749</v>
      </c>
      <c r="R159" s="215">
        <f t="shared" ref="R159:R181" si="72">-(C159+D159+F159+J159+O159+P159)</f>
        <v>0.88738067226890749</v>
      </c>
      <c r="S159" s="215"/>
      <c r="T159" s="215">
        <f t="shared" ref="T159:T181" si="73">MIN(0,Q159)*$T$155</f>
        <v>0</v>
      </c>
      <c r="U159" s="215">
        <f t="shared" ref="U159:U181" si="74">MIN(0,R159)*$U$155</f>
        <v>0</v>
      </c>
      <c r="V159" s="215">
        <f t="shared" ref="V159:V181" si="75">O64</f>
        <v>19.3</v>
      </c>
      <c r="W159" s="237">
        <f t="shared" ref="W159:W181" si="76">W$155</f>
        <v>26</v>
      </c>
      <c r="X159" s="215">
        <f t="shared" ref="X159:X181" si="77">V159-W159</f>
        <v>-6.6999999999999993</v>
      </c>
      <c r="Z159" s="29"/>
      <c r="AA159" s="29"/>
      <c r="AB159" s="29"/>
      <c r="AC159" s="29"/>
      <c r="AD159" s="29"/>
    </row>
    <row r="160" spans="1:35" s="238" customFormat="1">
      <c r="A160" s="1136">
        <f t="shared" ref="A160:A181" si="78">A159+1</f>
        <v>3</v>
      </c>
      <c r="B160" s="238">
        <f t="shared" si="56"/>
        <v>0</v>
      </c>
      <c r="C160" s="215">
        <f t="shared" si="57"/>
        <v>2.4</v>
      </c>
      <c r="D160" s="215">
        <f t="shared" si="58"/>
        <v>1</v>
      </c>
      <c r="E160" s="215">
        <f t="shared" si="59"/>
        <v>0</v>
      </c>
      <c r="F160" s="215">
        <f t="shared" si="60"/>
        <v>0</v>
      </c>
      <c r="G160" s="1139">
        <f t="shared" si="61"/>
        <v>3.4</v>
      </c>
      <c r="H160" s="238">
        <f t="shared" si="62"/>
        <v>0</v>
      </c>
      <c r="I160" s="1101">
        <f t="shared" si="63"/>
        <v>0.5</v>
      </c>
      <c r="J160" s="215">
        <f t="shared" si="64"/>
        <v>0</v>
      </c>
      <c r="K160" s="215">
        <f t="shared" si="65"/>
        <v>0.82857142857142863</v>
      </c>
      <c r="L160" s="238">
        <f t="shared" si="66"/>
        <v>1</v>
      </c>
      <c r="M160" s="215">
        <f t="shared" si="67"/>
        <v>18.8</v>
      </c>
      <c r="N160" s="1101">
        <f t="shared" si="68"/>
        <v>0.15</v>
      </c>
      <c r="O160" s="1101">
        <f t="shared" si="69"/>
        <v>-2.2546285714285714</v>
      </c>
      <c r="P160" s="215">
        <f t="shared" si="70"/>
        <v>-2.3527058823529412</v>
      </c>
      <c r="Q160" s="215">
        <f t="shared" si="71"/>
        <v>1.2073344537815127</v>
      </c>
      <c r="R160" s="215">
        <f t="shared" si="72"/>
        <v>1.2073344537815127</v>
      </c>
      <c r="S160" s="215"/>
      <c r="T160" s="215">
        <f t="shared" si="73"/>
        <v>0</v>
      </c>
      <c r="U160" s="215">
        <f t="shared" si="74"/>
        <v>0</v>
      </c>
      <c r="V160" s="215">
        <f t="shared" si="75"/>
        <v>18.8</v>
      </c>
      <c r="W160" s="237">
        <f t="shared" si="76"/>
        <v>26</v>
      </c>
      <c r="X160" s="215">
        <f t="shared" si="77"/>
        <v>-7.1999999999999993</v>
      </c>
      <c r="Z160" s="29"/>
      <c r="AA160" s="29"/>
      <c r="AB160" s="29"/>
      <c r="AC160" s="29"/>
      <c r="AD160" s="29"/>
    </row>
    <row r="161" spans="1:30" s="238" customFormat="1">
      <c r="A161" s="1136">
        <f t="shared" si="78"/>
        <v>4</v>
      </c>
      <c r="B161" s="238">
        <f t="shared" si="56"/>
        <v>0</v>
      </c>
      <c r="C161" s="215">
        <f t="shared" si="57"/>
        <v>2.4</v>
      </c>
      <c r="D161" s="215">
        <f t="shared" si="58"/>
        <v>1</v>
      </c>
      <c r="E161" s="215">
        <f t="shared" si="59"/>
        <v>0</v>
      </c>
      <c r="F161" s="215">
        <f t="shared" si="60"/>
        <v>0</v>
      </c>
      <c r="G161" s="1139">
        <f t="shared" si="61"/>
        <v>3.4</v>
      </c>
      <c r="H161" s="238">
        <f t="shared" si="62"/>
        <v>0</v>
      </c>
      <c r="I161" s="1101">
        <f t="shared" si="63"/>
        <v>0.5</v>
      </c>
      <c r="J161" s="215">
        <f t="shared" si="64"/>
        <v>0</v>
      </c>
      <c r="K161" s="215">
        <f t="shared" si="65"/>
        <v>0.82857142857142863</v>
      </c>
      <c r="L161" s="238">
        <f t="shared" si="66"/>
        <v>1</v>
      </c>
      <c r="M161" s="215">
        <f t="shared" si="67"/>
        <v>18.399999999999999</v>
      </c>
      <c r="N161" s="1101">
        <f t="shared" si="68"/>
        <v>0.15</v>
      </c>
      <c r="O161" s="1101">
        <f t="shared" si="69"/>
        <v>-2.3798857142857153</v>
      </c>
      <c r="P161" s="215">
        <f t="shared" si="70"/>
        <v>-2.4834117647058829</v>
      </c>
      <c r="Q161" s="215">
        <f t="shared" si="71"/>
        <v>1.4632974789915982</v>
      </c>
      <c r="R161" s="215">
        <f t="shared" si="72"/>
        <v>1.4632974789915982</v>
      </c>
      <c r="S161" s="215"/>
      <c r="T161" s="215">
        <f t="shared" si="73"/>
        <v>0</v>
      </c>
      <c r="U161" s="215">
        <f t="shared" si="74"/>
        <v>0</v>
      </c>
      <c r="V161" s="215">
        <f t="shared" si="75"/>
        <v>18.399999999999999</v>
      </c>
      <c r="W161" s="237">
        <f t="shared" si="76"/>
        <v>26</v>
      </c>
      <c r="X161" s="215">
        <f t="shared" si="77"/>
        <v>-7.6000000000000014</v>
      </c>
      <c r="Z161" s="29"/>
      <c r="AA161" s="29"/>
      <c r="AB161" s="29"/>
      <c r="AC161" s="29"/>
      <c r="AD161" s="29"/>
    </row>
    <row r="162" spans="1:30" s="238" customFormat="1">
      <c r="A162" s="1136">
        <f t="shared" si="78"/>
        <v>5</v>
      </c>
      <c r="B162" s="238">
        <f t="shared" si="56"/>
        <v>0</v>
      </c>
      <c r="C162" s="215">
        <f t="shared" si="57"/>
        <v>2.4</v>
      </c>
      <c r="D162" s="215">
        <f t="shared" si="58"/>
        <v>1</v>
      </c>
      <c r="E162" s="215">
        <f t="shared" si="59"/>
        <v>0</v>
      </c>
      <c r="F162" s="215">
        <f t="shared" si="60"/>
        <v>0</v>
      </c>
      <c r="G162" s="1139">
        <f t="shared" si="61"/>
        <v>3.4</v>
      </c>
      <c r="H162" s="238">
        <f t="shared" si="62"/>
        <v>3</v>
      </c>
      <c r="I162" s="1101">
        <f t="shared" si="63"/>
        <v>0.5</v>
      </c>
      <c r="J162" s="215">
        <f t="shared" si="64"/>
        <v>0.2382352941176471</v>
      </c>
      <c r="K162" s="215">
        <f t="shared" si="65"/>
        <v>0.82857142857142863</v>
      </c>
      <c r="L162" s="238">
        <f t="shared" si="66"/>
        <v>1</v>
      </c>
      <c r="M162" s="215">
        <f t="shared" si="67"/>
        <v>18.3</v>
      </c>
      <c r="N162" s="1101">
        <f t="shared" si="68"/>
        <v>0.15</v>
      </c>
      <c r="O162" s="1101">
        <f t="shared" si="69"/>
        <v>-2.4112</v>
      </c>
      <c r="P162" s="215">
        <f t="shared" si="70"/>
        <v>-2.5160882352941174</v>
      </c>
      <c r="Q162" s="215">
        <f t="shared" si="71"/>
        <v>1.2890529411764704</v>
      </c>
      <c r="R162" s="215">
        <f t="shared" si="72"/>
        <v>1.2890529411764704</v>
      </c>
      <c r="S162" s="215"/>
      <c r="T162" s="215">
        <f t="shared" si="73"/>
        <v>0</v>
      </c>
      <c r="U162" s="215">
        <f t="shared" si="74"/>
        <v>0</v>
      </c>
      <c r="V162" s="215">
        <f t="shared" si="75"/>
        <v>18.3</v>
      </c>
      <c r="W162" s="237">
        <f t="shared" si="76"/>
        <v>26</v>
      </c>
      <c r="X162" s="215">
        <f t="shared" si="77"/>
        <v>-7.6999999999999993</v>
      </c>
      <c r="Z162" s="29"/>
      <c r="AA162" s="29"/>
      <c r="AB162" s="29"/>
      <c r="AC162" s="29"/>
      <c r="AD162" s="29"/>
    </row>
    <row r="163" spans="1:30" s="238" customFormat="1">
      <c r="A163" s="1136">
        <f t="shared" si="78"/>
        <v>6</v>
      </c>
      <c r="B163" s="238">
        <f t="shared" si="56"/>
        <v>0</v>
      </c>
      <c r="C163" s="215">
        <f t="shared" si="57"/>
        <v>2.4</v>
      </c>
      <c r="D163" s="215">
        <f t="shared" si="58"/>
        <v>1</v>
      </c>
      <c r="E163" s="215">
        <f t="shared" si="59"/>
        <v>0</v>
      </c>
      <c r="F163" s="215">
        <f t="shared" si="60"/>
        <v>0</v>
      </c>
      <c r="G163" s="1139">
        <f t="shared" si="61"/>
        <v>3.4</v>
      </c>
      <c r="H163" s="238">
        <f t="shared" si="62"/>
        <v>32</v>
      </c>
      <c r="I163" s="1101">
        <f t="shared" si="63"/>
        <v>0.5</v>
      </c>
      <c r="J163" s="215">
        <f t="shared" si="64"/>
        <v>2.5411764705882356</v>
      </c>
      <c r="K163" s="215">
        <f t="shared" si="65"/>
        <v>0.82857142857142863</v>
      </c>
      <c r="L163" s="238">
        <f t="shared" si="66"/>
        <v>1</v>
      </c>
      <c r="M163" s="215">
        <f t="shared" si="67"/>
        <v>18.899999999999999</v>
      </c>
      <c r="N163" s="1101">
        <f t="shared" si="68"/>
        <v>0.15</v>
      </c>
      <c r="O163" s="1101">
        <f t="shared" si="69"/>
        <v>-2.2233142857142862</v>
      </c>
      <c r="P163" s="215">
        <f t="shared" si="70"/>
        <v>-2.3200294117647067</v>
      </c>
      <c r="Q163" s="215">
        <f t="shared" si="71"/>
        <v>-1.3978327731092426</v>
      </c>
      <c r="R163" s="215">
        <f t="shared" si="72"/>
        <v>-1.3978327731092426</v>
      </c>
      <c r="S163" s="215"/>
      <c r="T163" s="215">
        <f t="shared" si="73"/>
        <v>-1.3978327731092426</v>
      </c>
      <c r="U163" s="215">
        <f t="shared" si="74"/>
        <v>-1.3978327731092426</v>
      </c>
      <c r="V163" s="215">
        <f t="shared" si="75"/>
        <v>18.899999999999999</v>
      </c>
      <c r="W163" s="237">
        <f t="shared" si="76"/>
        <v>26</v>
      </c>
      <c r="X163" s="215">
        <f t="shared" si="77"/>
        <v>-7.1000000000000014</v>
      </c>
      <c r="Z163" s="29"/>
      <c r="AA163" s="29"/>
      <c r="AB163" s="29"/>
      <c r="AC163" s="29"/>
      <c r="AD163" s="29"/>
    </row>
    <row r="164" spans="1:30" s="238" customFormat="1">
      <c r="A164" s="1136">
        <f t="shared" si="78"/>
        <v>7</v>
      </c>
      <c r="B164" s="238">
        <f t="shared" si="56"/>
        <v>0</v>
      </c>
      <c r="C164" s="215">
        <f t="shared" si="57"/>
        <v>1.44</v>
      </c>
      <c r="D164" s="215">
        <f t="shared" si="58"/>
        <v>4</v>
      </c>
      <c r="E164" s="215">
        <f t="shared" si="59"/>
        <v>0</v>
      </c>
      <c r="F164" s="215">
        <f t="shared" si="60"/>
        <v>0</v>
      </c>
      <c r="G164" s="1139">
        <f t="shared" si="61"/>
        <v>5.4399999999999995</v>
      </c>
      <c r="H164" s="238">
        <f t="shared" si="62"/>
        <v>65</v>
      </c>
      <c r="I164" s="1101">
        <f t="shared" si="63"/>
        <v>0.5</v>
      </c>
      <c r="J164" s="215">
        <f t="shared" si="64"/>
        <v>5.1617647058823533</v>
      </c>
      <c r="K164" s="215">
        <f t="shared" si="65"/>
        <v>0.82857142857142863</v>
      </c>
      <c r="L164" s="238">
        <f t="shared" si="66"/>
        <v>1</v>
      </c>
      <c r="M164" s="215">
        <f t="shared" si="67"/>
        <v>20.3</v>
      </c>
      <c r="N164" s="1101">
        <f t="shared" si="68"/>
        <v>0.15</v>
      </c>
      <c r="O164" s="1101">
        <f t="shared" si="69"/>
        <v>-1.7849142857142855</v>
      </c>
      <c r="P164" s="215">
        <f t="shared" si="70"/>
        <v>-1.8625588235294117</v>
      </c>
      <c r="Q164" s="215">
        <f t="shared" si="71"/>
        <v>-6.9542915966386563</v>
      </c>
      <c r="R164" s="215">
        <f t="shared" si="72"/>
        <v>-6.9542915966386563</v>
      </c>
      <c r="S164" s="215"/>
      <c r="T164" s="215">
        <f t="shared" si="73"/>
        <v>-6.9542915966386563</v>
      </c>
      <c r="U164" s="215">
        <f t="shared" si="74"/>
        <v>-6.9542915966386563</v>
      </c>
      <c r="V164" s="215">
        <f t="shared" si="75"/>
        <v>20.3</v>
      </c>
      <c r="W164" s="237">
        <f t="shared" si="76"/>
        <v>26</v>
      </c>
      <c r="X164" s="215">
        <f t="shared" si="77"/>
        <v>-5.6999999999999993</v>
      </c>
      <c r="Z164" s="29"/>
      <c r="AA164" s="29"/>
      <c r="AB164" s="29"/>
      <c r="AC164" s="29"/>
      <c r="AD164" s="29"/>
    </row>
    <row r="165" spans="1:30" s="238" customFormat="1">
      <c r="A165" s="1136">
        <f t="shared" si="78"/>
        <v>8</v>
      </c>
      <c r="B165" s="238">
        <f t="shared" si="56"/>
        <v>0</v>
      </c>
      <c r="C165" s="215">
        <f t="shared" si="57"/>
        <v>0.96</v>
      </c>
      <c r="D165" s="215">
        <f t="shared" si="58"/>
        <v>1</v>
      </c>
      <c r="E165" s="215">
        <f t="shared" si="59"/>
        <v>0</v>
      </c>
      <c r="F165" s="215">
        <f t="shared" si="60"/>
        <v>0</v>
      </c>
      <c r="G165" s="1139">
        <f t="shared" si="61"/>
        <v>1.96</v>
      </c>
      <c r="H165" s="238">
        <f t="shared" si="62"/>
        <v>77</v>
      </c>
      <c r="I165" s="1101">
        <f t="shared" si="63"/>
        <v>0.5</v>
      </c>
      <c r="J165" s="215">
        <f t="shared" si="64"/>
        <v>6.1147058823529417</v>
      </c>
      <c r="K165" s="215">
        <f t="shared" si="65"/>
        <v>0.55265714285714296</v>
      </c>
      <c r="L165" s="238">
        <f t="shared" si="66"/>
        <v>1</v>
      </c>
      <c r="M165" s="215">
        <f t="shared" si="67"/>
        <v>21.9</v>
      </c>
      <c r="N165" s="1101">
        <f t="shared" si="68"/>
        <v>0.15</v>
      </c>
      <c r="O165" s="1101">
        <f t="shared" si="69"/>
        <v>-0.92188617142857188</v>
      </c>
      <c r="P165" s="215">
        <f t="shared" si="70"/>
        <v>-1.3397352941176477</v>
      </c>
      <c r="Q165" s="215">
        <f t="shared" si="71"/>
        <v>-5.8130844168067215</v>
      </c>
      <c r="R165" s="215">
        <f t="shared" si="72"/>
        <v>-5.8130844168067215</v>
      </c>
      <c r="S165" s="215"/>
      <c r="T165" s="215">
        <f t="shared" si="73"/>
        <v>-5.8130844168067215</v>
      </c>
      <c r="U165" s="215">
        <f t="shared" si="74"/>
        <v>-5.8130844168067215</v>
      </c>
      <c r="V165" s="215">
        <f t="shared" si="75"/>
        <v>21.9</v>
      </c>
      <c r="W165" s="237">
        <f t="shared" si="76"/>
        <v>26</v>
      </c>
      <c r="X165" s="215">
        <f t="shared" si="77"/>
        <v>-4.1000000000000014</v>
      </c>
      <c r="Z165" s="29"/>
      <c r="AA165" s="29"/>
      <c r="AB165" s="29"/>
      <c r="AC165" s="29"/>
      <c r="AD165" s="29"/>
    </row>
    <row r="166" spans="1:30" s="238" customFormat="1">
      <c r="A166" s="1136">
        <f t="shared" si="78"/>
        <v>9</v>
      </c>
      <c r="B166" s="238">
        <f t="shared" si="56"/>
        <v>0</v>
      </c>
      <c r="C166" s="215">
        <f t="shared" si="57"/>
        <v>0</v>
      </c>
      <c r="D166" s="215">
        <f t="shared" si="58"/>
        <v>1</v>
      </c>
      <c r="E166" s="215">
        <f t="shared" si="59"/>
        <v>0</v>
      </c>
      <c r="F166" s="215">
        <f t="shared" si="60"/>
        <v>0</v>
      </c>
      <c r="G166" s="1139">
        <f t="shared" si="61"/>
        <v>1</v>
      </c>
      <c r="H166" s="238">
        <f t="shared" si="62"/>
        <v>97</v>
      </c>
      <c r="I166" s="1101">
        <f t="shared" si="63"/>
        <v>0.5</v>
      </c>
      <c r="J166" s="215">
        <f t="shared" si="64"/>
        <v>7.7029411764705884</v>
      </c>
      <c r="K166" s="215">
        <f t="shared" si="65"/>
        <v>0.55265714285714296</v>
      </c>
      <c r="L166" s="238">
        <f t="shared" si="66"/>
        <v>1</v>
      </c>
      <c r="M166" s="215">
        <f t="shared" si="67"/>
        <v>24</v>
      </c>
      <c r="N166" s="1101">
        <f t="shared" si="68"/>
        <v>0.15</v>
      </c>
      <c r="O166" s="1101">
        <f t="shared" si="69"/>
        <v>-0.44970057142857151</v>
      </c>
      <c r="P166" s="215">
        <f t="shared" si="70"/>
        <v>-0.65352941176470591</v>
      </c>
      <c r="Q166" s="215">
        <f t="shared" si="71"/>
        <v>-7.5997111932773107</v>
      </c>
      <c r="R166" s="215">
        <f t="shared" si="72"/>
        <v>-7.5997111932773107</v>
      </c>
      <c r="S166" s="215"/>
      <c r="T166" s="215">
        <f t="shared" si="73"/>
        <v>-7.5997111932773107</v>
      </c>
      <c r="U166" s="215">
        <f t="shared" si="74"/>
        <v>-7.5997111932773107</v>
      </c>
      <c r="V166" s="215">
        <f t="shared" si="75"/>
        <v>24</v>
      </c>
      <c r="W166" s="237">
        <f t="shared" si="76"/>
        <v>26</v>
      </c>
      <c r="X166" s="215">
        <f t="shared" si="77"/>
        <v>-2</v>
      </c>
      <c r="Z166" s="29"/>
      <c r="AA166" s="29"/>
      <c r="AB166" s="29"/>
      <c r="AC166" s="29"/>
      <c r="AD166" s="29"/>
    </row>
    <row r="167" spans="1:30" s="238" customFormat="1">
      <c r="A167" s="1136">
        <f t="shared" si="78"/>
        <v>10</v>
      </c>
      <c r="B167" s="238">
        <f t="shared" si="56"/>
        <v>0</v>
      </c>
      <c r="C167" s="215">
        <f t="shared" si="57"/>
        <v>0</v>
      </c>
      <c r="D167" s="215">
        <f t="shared" si="58"/>
        <v>1</v>
      </c>
      <c r="E167" s="215">
        <f t="shared" si="59"/>
        <v>0</v>
      </c>
      <c r="F167" s="215">
        <f t="shared" si="60"/>
        <v>0</v>
      </c>
      <c r="G167" s="1139">
        <f t="shared" si="61"/>
        <v>1</v>
      </c>
      <c r="H167" s="238">
        <f t="shared" si="62"/>
        <v>112</v>
      </c>
      <c r="I167" s="1101">
        <f t="shared" si="63"/>
        <v>0.5</v>
      </c>
      <c r="J167" s="215">
        <f t="shared" si="64"/>
        <v>8.8941176470588239</v>
      </c>
      <c r="K167" s="215">
        <f t="shared" si="65"/>
        <v>0.55265714285714296</v>
      </c>
      <c r="L167" s="238">
        <f t="shared" si="66"/>
        <v>1</v>
      </c>
      <c r="M167" s="215">
        <f t="shared" si="67"/>
        <v>25</v>
      </c>
      <c r="N167" s="1101">
        <f t="shared" si="68"/>
        <v>0.15</v>
      </c>
      <c r="O167" s="1101">
        <f t="shared" si="69"/>
        <v>-0.22485028571428575</v>
      </c>
      <c r="P167" s="215">
        <f t="shared" si="70"/>
        <v>-0.32676470588235296</v>
      </c>
      <c r="Q167" s="215">
        <f t="shared" si="71"/>
        <v>-9.3425026554621855</v>
      </c>
      <c r="R167" s="215">
        <f t="shared" si="72"/>
        <v>-9.3425026554621855</v>
      </c>
      <c r="S167" s="215"/>
      <c r="T167" s="215">
        <f t="shared" si="73"/>
        <v>-9.3425026554621855</v>
      </c>
      <c r="U167" s="215">
        <f t="shared" si="74"/>
        <v>-9.3425026554621855</v>
      </c>
      <c r="V167" s="215">
        <f t="shared" si="75"/>
        <v>25</v>
      </c>
      <c r="W167" s="237">
        <f t="shared" si="76"/>
        <v>26</v>
      </c>
      <c r="X167" s="215">
        <f t="shared" si="77"/>
        <v>-1</v>
      </c>
      <c r="Z167" s="29"/>
      <c r="AA167" s="29"/>
      <c r="AB167" s="29"/>
      <c r="AC167" s="29"/>
      <c r="AD167" s="29"/>
    </row>
    <row r="168" spans="1:30" s="238" customFormat="1">
      <c r="A168" s="1136">
        <f t="shared" si="78"/>
        <v>11</v>
      </c>
      <c r="B168" s="238">
        <f t="shared" si="56"/>
        <v>0</v>
      </c>
      <c r="C168" s="215">
        <f t="shared" si="57"/>
        <v>0</v>
      </c>
      <c r="D168" s="215">
        <f t="shared" si="58"/>
        <v>1</v>
      </c>
      <c r="E168" s="215">
        <f t="shared" si="59"/>
        <v>0</v>
      </c>
      <c r="F168" s="215">
        <f t="shared" si="60"/>
        <v>0</v>
      </c>
      <c r="G168" s="1139">
        <f t="shared" si="61"/>
        <v>1</v>
      </c>
      <c r="H168" s="238">
        <f t="shared" si="62"/>
        <v>117</v>
      </c>
      <c r="I168" s="1101">
        <f t="shared" si="63"/>
        <v>0.5</v>
      </c>
      <c r="J168" s="215">
        <f t="shared" si="64"/>
        <v>9.2911764705882351</v>
      </c>
      <c r="K168" s="215">
        <f t="shared" si="65"/>
        <v>0.55265714285714296</v>
      </c>
      <c r="L168" s="238">
        <f t="shared" si="66"/>
        <v>1</v>
      </c>
      <c r="M168" s="215">
        <f t="shared" si="67"/>
        <v>26.7</v>
      </c>
      <c r="N168" s="1101">
        <f t="shared" si="68"/>
        <v>0.15</v>
      </c>
      <c r="O168" s="1101">
        <f t="shared" si="69"/>
        <v>0.15739519999999987</v>
      </c>
      <c r="P168" s="215">
        <f t="shared" si="70"/>
        <v>0.22873529411764684</v>
      </c>
      <c r="Q168" s="215">
        <f t="shared" si="71"/>
        <v>-10.677306964705881</v>
      </c>
      <c r="R168" s="215">
        <f t="shared" si="72"/>
        <v>-10.677306964705881</v>
      </c>
      <c r="S168" s="215"/>
      <c r="T168" s="215">
        <f t="shared" si="73"/>
        <v>-10.677306964705881</v>
      </c>
      <c r="U168" s="215">
        <f t="shared" si="74"/>
        <v>-10.677306964705881</v>
      </c>
      <c r="V168" s="215">
        <f t="shared" si="75"/>
        <v>26.7</v>
      </c>
      <c r="W168" s="237">
        <f t="shared" si="76"/>
        <v>26</v>
      </c>
      <c r="X168" s="215">
        <f t="shared" si="77"/>
        <v>0.69999999999999929</v>
      </c>
      <c r="Z168" s="29"/>
      <c r="AA168" s="29"/>
      <c r="AB168" s="29"/>
      <c r="AC168" s="29"/>
      <c r="AD168" s="29"/>
    </row>
    <row r="169" spans="1:30" s="238" customFormat="1">
      <c r="A169" s="1136">
        <f t="shared" si="78"/>
        <v>12</v>
      </c>
      <c r="B169" s="238">
        <f t="shared" si="56"/>
        <v>0</v>
      </c>
      <c r="C169" s="215">
        <f t="shared" si="57"/>
        <v>0</v>
      </c>
      <c r="D169" s="215">
        <f t="shared" si="58"/>
        <v>1</v>
      </c>
      <c r="E169" s="215">
        <f t="shared" si="59"/>
        <v>0</v>
      </c>
      <c r="F169" s="215">
        <f t="shared" si="60"/>
        <v>0</v>
      </c>
      <c r="G169" s="1139">
        <f t="shared" si="61"/>
        <v>1</v>
      </c>
      <c r="H169" s="238">
        <f t="shared" si="62"/>
        <v>128</v>
      </c>
      <c r="I169" s="1101">
        <f t="shared" si="63"/>
        <v>0.5</v>
      </c>
      <c r="J169" s="215">
        <f t="shared" si="64"/>
        <v>10.164705882352942</v>
      </c>
      <c r="K169" s="215">
        <f t="shared" si="65"/>
        <v>0.55265714285714296</v>
      </c>
      <c r="L169" s="238">
        <f t="shared" si="66"/>
        <v>0</v>
      </c>
      <c r="M169" s="215">
        <f t="shared" si="67"/>
        <v>26.483999999999998</v>
      </c>
      <c r="N169" s="1101">
        <f t="shared" si="68"/>
        <v>0.15</v>
      </c>
      <c r="O169" s="1101">
        <f t="shared" si="69"/>
        <v>0.19119553828571398</v>
      </c>
      <c r="P169" s="215">
        <f t="shared" si="70"/>
        <v>0.71888235294117631</v>
      </c>
      <c r="Q169" s="215">
        <f t="shared" si="71"/>
        <v>-12.074783773579831</v>
      </c>
      <c r="R169" s="215">
        <f t="shared" si="72"/>
        <v>-12.074783773579831</v>
      </c>
      <c r="S169" s="215"/>
      <c r="T169" s="215">
        <f t="shared" si="73"/>
        <v>-12.074783773579831</v>
      </c>
      <c r="U169" s="215">
        <f t="shared" si="74"/>
        <v>-12.074783773579831</v>
      </c>
      <c r="V169" s="215">
        <f t="shared" si="75"/>
        <v>28.2</v>
      </c>
      <c r="W169" s="237">
        <f t="shared" si="76"/>
        <v>26</v>
      </c>
      <c r="X169" s="215">
        <f t="shared" si="77"/>
        <v>2.1999999999999993</v>
      </c>
      <c r="Z169" s="29"/>
      <c r="AA169" s="29"/>
      <c r="AB169" s="29"/>
      <c r="AC169" s="29"/>
      <c r="AD169" s="29"/>
    </row>
    <row r="170" spans="1:30" s="238" customFormat="1">
      <c r="A170" s="1136">
        <f t="shared" si="78"/>
        <v>13</v>
      </c>
      <c r="B170" s="238">
        <f t="shared" si="56"/>
        <v>0</v>
      </c>
      <c r="C170" s="215">
        <f t="shared" si="57"/>
        <v>1.92</v>
      </c>
      <c r="D170" s="215">
        <f t="shared" si="58"/>
        <v>4</v>
      </c>
      <c r="E170" s="215">
        <f t="shared" si="59"/>
        <v>0</v>
      </c>
      <c r="F170" s="215">
        <f t="shared" si="60"/>
        <v>0</v>
      </c>
      <c r="G170" s="1139">
        <f t="shared" si="61"/>
        <v>5.92</v>
      </c>
      <c r="H170" s="238">
        <f t="shared" si="62"/>
        <v>267</v>
      </c>
      <c r="I170" s="1101">
        <f t="shared" si="63"/>
        <v>0.1</v>
      </c>
      <c r="J170" s="215">
        <f t="shared" si="64"/>
        <v>4.2405882352941182</v>
      </c>
      <c r="K170" s="215">
        <f t="shared" si="65"/>
        <v>0.82857142857142863</v>
      </c>
      <c r="L170" s="238">
        <f t="shared" si="66"/>
        <v>0</v>
      </c>
      <c r="M170" s="215">
        <f t="shared" si="67"/>
        <v>26.792000000000002</v>
      </c>
      <c r="N170" s="1101">
        <f t="shared" si="68"/>
        <v>0.15</v>
      </c>
      <c r="O170" s="1101">
        <f t="shared" si="69"/>
        <v>0.38279314285714339</v>
      </c>
      <c r="P170" s="215">
        <f t="shared" si="70"/>
        <v>1.176352941176471</v>
      </c>
      <c r="Q170" s="215">
        <f t="shared" si="71"/>
        <v>-11.719734319327731</v>
      </c>
      <c r="R170" s="215">
        <f t="shared" si="72"/>
        <v>-11.719734319327731</v>
      </c>
      <c r="S170" s="215"/>
      <c r="T170" s="215">
        <f t="shared" si="73"/>
        <v>-11.719734319327731</v>
      </c>
      <c r="U170" s="215">
        <f t="shared" si="74"/>
        <v>-11.719734319327731</v>
      </c>
      <c r="V170" s="215">
        <f t="shared" si="75"/>
        <v>29.6</v>
      </c>
      <c r="W170" s="237">
        <f t="shared" si="76"/>
        <v>26</v>
      </c>
      <c r="X170" s="215">
        <f t="shared" si="77"/>
        <v>3.6000000000000014</v>
      </c>
      <c r="Z170" s="29"/>
      <c r="AA170" s="29"/>
      <c r="AB170" s="29"/>
      <c r="AC170" s="29"/>
      <c r="AD170" s="29"/>
    </row>
    <row r="171" spans="1:30" s="238" customFormat="1">
      <c r="A171" s="1136">
        <f t="shared" si="78"/>
        <v>14</v>
      </c>
      <c r="B171" s="238">
        <f t="shared" si="56"/>
        <v>0</v>
      </c>
      <c r="C171" s="215">
        <f t="shared" si="57"/>
        <v>0.96</v>
      </c>
      <c r="D171" s="215">
        <f t="shared" si="58"/>
        <v>1</v>
      </c>
      <c r="E171" s="215">
        <f t="shared" si="59"/>
        <v>0</v>
      </c>
      <c r="F171" s="215">
        <f t="shared" si="60"/>
        <v>0</v>
      </c>
      <c r="G171" s="1139">
        <f t="shared" si="61"/>
        <v>1.96</v>
      </c>
      <c r="H171" s="238">
        <f t="shared" si="62"/>
        <v>456</v>
      </c>
      <c r="I171" s="1101">
        <f t="shared" si="63"/>
        <v>0.1</v>
      </c>
      <c r="J171" s="215">
        <f t="shared" si="64"/>
        <v>7.2423529411764722</v>
      </c>
      <c r="K171" s="215">
        <f t="shared" si="65"/>
        <v>0.55265714285714296</v>
      </c>
      <c r="L171" s="238">
        <f t="shared" si="66"/>
        <v>0</v>
      </c>
      <c r="M171" s="215">
        <f t="shared" si="67"/>
        <v>26.99</v>
      </c>
      <c r="N171" s="1101">
        <f t="shared" si="68"/>
        <v>0.15</v>
      </c>
      <c r="O171" s="1101">
        <f t="shared" si="69"/>
        <v>0.39108178285714262</v>
      </c>
      <c r="P171" s="215">
        <f t="shared" si="70"/>
        <v>1.4704411764705883</v>
      </c>
      <c r="Q171" s="215">
        <f t="shared" si="71"/>
        <v>-11.063875900504202</v>
      </c>
      <c r="R171" s="215">
        <f t="shared" si="72"/>
        <v>-11.063875900504202</v>
      </c>
      <c r="S171" s="215"/>
      <c r="T171" s="215">
        <f t="shared" si="73"/>
        <v>-11.063875900504202</v>
      </c>
      <c r="U171" s="215">
        <f t="shared" si="74"/>
        <v>-11.063875900504202</v>
      </c>
      <c r="V171" s="215">
        <f t="shared" si="75"/>
        <v>30.5</v>
      </c>
      <c r="W171" s="237">
        <f t="shared" si="76"/>
        <v>26</v>
      </c>
      <c r="X171" s="215">
        <f t="shared" si="77"/>
        <v>4.5</v>
      </c>
      <c r="Z171" s="29"/>
      <c r="AA171" s="29"/>
      <c r="AB171" s="29"/>
      <c r="AC171" s="29"/>
      <c r="AD171" s="29"/>
    </row>
    <row r="172" spans="1:30" s="238" customFormat="1">
      <c r="A172" s="1136">
        <f t="shared" si="78"/>
        <v>15</v>
      </c>
      <c r="B172" s="238">
        <f t="shared" si="56"/>
        <v>0</v>
      </c>
      <c r="C172" s="215">
        <f t="shared" si="57"/>
        <v>0</v>
      </c>
      <c r="D172" s="215">
        <f t="shared" si="58"/>
        <v>1</v>
      </c>
      <c r="E172" s="215">
        <f t="shared" si="59"/>
        <v>0</v>
      </c>
      <c r="F172" s="215">
        <f t="shared" si="60"/>
        <v>0</v>
      </c>
      <c r="G172" s="1139">
        <f t="shared" si="61"/>
        <v>1</v>
      </c>
      <c r="H172" s="238">
        <f t="shared" si="62"/>
        <v>602</v>
      </c>
      <c r="I172" s="1101">
        <f t="shared" si="63"/>
        <v>0.1</v>
      </c>
      <c r="J172" s="215">
        <f t="shared" si="64"/>
        <v>9.5611764705882365</v>
      </c>
      <c r="K172" s="215">
        <f t="shared" si="65"/>
        <v>0.55265714285714296</v>
      </c>
      <c r="L172" s="238">
        <f t="shared" si="66"/>
        <v>0</v>
      </c>
      <c r="M172" s="215">
        <f t="shared" si="67"/>
        <v>27.187999999999999</v>
      </c>
      <c r="N172" s="1101">
        <f t="shared" si="68"/>
        <v>0.15</v>
      </c>
      <c r="O172" s="1101">
        <f t="shared" si="69"/>
        <v>0.46929813942857118</v>
      </c>
      <c r="P172" s="215">
        <f t="shared" si="70"/>
        <v>1.7645294117647055</v>
      </c>
      <c r="Q172" s="215">
        <f t="shared" si="71"/>
        <v>-12.795004021781514</v>
      </c>
      <c r="R172" s="215">
        <f t="shared" si="72"/>
        <v>-12.795004021781514</v>
      </c>
      <c r="S172" s="215"/>
      <c r="T172" s="215">
        <f t="shared" si="73"/>
        <v>-12.795004021781514</v>
      </c>
      <c r="U172" s="215">
        <f t="shared" si="74"/>
        <v>-12.795004021781514</v>
      </c>
      <c r="V172" s="215">
        <f t="shared" si="75"/>
        <v>31.4</v>
      </c>
      <c r="W172" s="237">
        <f t="shared" si="76"/>
        <v>26</v>
      </c>
      <c r="X172" s="215">
        <f t="shared" si="77"/>
        <v>5.3999999999999986</v>
      </c>
      <c r="Z172" s="29"/>
      <c r="AA172" s="29"/>
      <c r="AB172" s="29"/>
      <c r="AC172" s="29"/>
      <c r="AD172" s="29"/>
    </row>
    <row r="173" spans="1:30" s="238" customFormat="1">
      <c r="A173" s="1136">
        <f t="shared" si="78"/>
        <v>16</v>
      </c>
      <c r="B173" s="238">
        <f t="shared" si="56"/>
        <v>1</v>
      </c>
      <c r="C173" s="215">
        <f t="shared" si="57"/>
        <v>0</v>
      </c>
      <c r="D173" s="215">
        <f t="shared" si="58"/>
        <v>1</v>
      </c>
      <c r="E173" s="215">
        <f t="shared" si="59"/>
        <v>0</v>
      </c>
      <c r="F173" s="215">
        <f t="shared" si="60"/>
        <v>0</v>
      </c>
      <c r="G173" s="1139">
        <f t="shared" si="61"/>
        <v>1</v>
      </c>
      <c r="H173" s="238">
        <f t="shared" si="62"/>
        <v>680</v>
      </c>
      <c r="I173" s="1101">
        <f t="shared" si="63"/>
        <v>0.1</v>
      </c>
      <c r="J173" s="215">
        <f t="shared" si="64"/>
        <v>10.8</v>
      </c>
      <c r="K173" s="215">
        <f t="shared" si="65"/>
        <v>0.55265714285714296</v>
      </c>
      <c r="L173" s="238">
        <f t="shared" si="66"/>
        <v>0</v>
      </c>
      <c r="M173" s="215">
        <f t="shared" si="67"/>
        <v>27.297999999999998</v>
      </c>
      <c r="N173" s="1101">
        <f t="shared" si="68"/>
        <v>0.15</v>
      </c>
      <c r="O173" s="1101">
        <f t="shared" si="69"/>
        <v>0.51275167085714257</v>
      </c>
      <c r="P173" s="215">
        <f t="shared" si="70"/>
        <v>1.9279117647058819</v>
      </c>
      <c r="Q173" s="215">
        <f t="shared" si="71"/>
        <v>-14.240663435563025</v>
      </c>
      <c r="R173" s="215">
        <f t="shared" si="72"/>
        <v>-14.240663435563025</v>
      </c>
      <c r="S173" s="215"/>
      <c r="T173" s="215">
        <f t="shared" si="73"/>
        <v>-14.240663435563025</v>
      </c>
      <c r="U173" s="215">
        <f t="shared" si="74"/>
        <v>-14.240663435563025</v>
      </c>
      <c r="V173" s="215">
        <f t="shared" si="75"/>
        <v>31.9</v>
      </c>
      <c r="W173" s="237">
        <f t="shared" si="76"/>
        <v>26</v>
      </c>
      <c r="X173" s="215">
        <f t="shared" si="77"/>
        <v>5.8999999999999986</v>
      </c>
      <c r="Z173" s="29"/>
      <c r="AA173" s="29"/>
      <c r="AB173" s="29"/>
      <c r="AC173" s="29"/>
      <c r="AD173" s="29"/>
    </row>
    <row r="174" spans="1:30" s="238" customFormat="1">
      <c r="A174" s="1136">
        <f t="shared" si="78"/>
        <v>17</v>
      </c>
      <c r="B174" s="238">
        <f t="shared" si="56"/>
        <v>0</v>
      </c>
      <c r="C174" s="215">
        <f t="shared" si="57"/>
        <v>0</v>
      </c>
      <c r="D174" s="215">
        <f t="shared" si="58"/>
        <v>1</v>
      </c>
      <c r="E174" s="215">
        <f t="shared" si="59"/>
        <v>0</v>
      </c>
      <c r="F174" s="215">
        <f t="shared" si="60"/>
        <v>0</v>
      </c>
      <c r="G174" s="1139">
        <f t="shared" si="61"/>
        <v>1</v>
      </c>
      <c r="H174" s="238">
        <f t="shared" si="62"/>
        <v>670</v>
      </c>
      <c r="I174" s="1101">
        <f t="shared" si="63"/>
        <v>0.1</v>
      </c>
      <c r="J174" s="215">
        <f t="shared" si="64"/>
        <v>10.641176470588237</v>
      </c>
      <c r="K174" s="215">
        <f t="shared" si="65"/>
        <v>0.55265714285714296</v>
      </c>
      <c r="L174" s="238">
        <f t="shared" si="66"/>
        <v>0</v>
      </c>
      <c r="M174" s="215">
        <f t="shared" si="67"/>
        <v>27.32</v>
      </c>
      <c r="N174" s="1101">
        <f t="shared" si="68"/>
        <v>0.15</v>
      </c>
      <c r="O174" s="1101">
        <f t="shared" si="69"/>
        <v>0.52144237714285724</v>
      </c>
      <c r="P174" s="215">
        <f t="shared" si="70"/>
        <v>1.9605882352941177</v>
      </c>
      <c r="Q174" s="215">
        <f t="shared" si="71"/>
        <v>-14.123207083025212</v>
      </c>
      <c r="R174" s="215">
        <f t="shared" si="72"/>
        <v>-14.123207083025212</v>
      </c>
      <c r="S174" s="215"/>
      <c r="T174" s="215">
        <f t="shared" si="73"/>
        <v>-14.123207083025212</v>
      </c>
      <c r="U174" s="215">
        <f t="shared" si="74"/>
        <v>-14.123207083025212</v>
      </c>
      <c r="V174" s="215">
        <f t="shared" si="75"/>
        <v>32</v>
      </c>
      <c r="W174" s="237">
        <f t="shared" si="76"/>
        <v>26</v>
      </c>
      <c r="X174" s="215">
        <f t="shared" si="77"/>
        <v>6</v>
      </c>
      <c r="Z174" s="29"/>
      <c r="AA174" s="29"/>
      <c r="AB174" s="29"/>
      <c r="AC174" s="29"/>
      <c r="AD174" s="29"/>
    </row>
    <row r="175" spans="1:30" s="238" customFormat="1">
      <c r="A175" s="1136">
        <f t="shared" si="78"/>
        <v>18</v>
      </c>
      <c r="B175" s="238">
        <f t="shared" si="56"/>
        <v>0</v>
      </c>
      <c r="C175" s="215">
        <f t="shared" si="57"/>
        <v>0.96</v>
      </c>
      <c r="D175" s="215">
        <f t="shared" si="58"/>
        <v>1</v>
      </c>
      <c r="E175" s="215">
        <f t="shared" si="59"/>
        <v>0</v>
      </c>
      <c r="F175" s="215">
        <f t="shared" si="60"/>
        <v>0</v>
      </c>
      <c r="G175" s="1139">
        <f t="shared" si="61"/>
        <v>1.96</v>
      </c>
      <c r="H175" s="238">
        <f t="shared" si="62"/>
        <v>551</v>
      </c>
      <c r="I175" s="1101">
        <f t="shared" si="63"/>
        <v>0.1</v>
      </c>
      <c r="J175" s="215">
        <f t="shared" si="64"/>
        <v>8.751176470588236</v>
      </c>
      <c r="K175" s="215">
        <f t="shared" si="65"/>
        <v>0.55265714285714296</v>
      </c>
      <c r="L175" s="238">
        <f t="shared" si="66"/>
        <v>0</v>
      </c>
      <c r="M175" s="215">
        <f t="shared" si="67"/>
        <v>27.012</v>
      </c>
      <c r="N175" s="1101">
        <f t="shared" si="68"/>
        <v>0.15</v>
      </c>
      <c r="O175" s="1101">
        <f t="shared" si="69"/>
        <v>0.39977248914285735</v>
      </c>
      <c r="P175" s="215">
        <f t="shared" si="70"/>
        <v>1.5031176470588241</v>
      </c>
      <c r="Q175" s="215">
        <f t="shared" si="71"/>
        <v>-12.614066606789917</v>
      </c>
      <c r="R175" s="215">
        <f t="shared" si="72"/>
        <v>-12.614066606789917</v>
      </c>
      <c r="S175" s="215"/>
      <c r="T175" s="215">
        <f t="shared" si="73"/>
        <v>-12.614066606789917</v>
      </c>
      <c r="U175" s="215">
        <f t="shared" si="74"/>
        <v>-12.614066606789917</v>
      </c>
      <c r="V175" s="215">
        <f t="shared" si="75"/>
        <v>30.6</v>
      </c>
      <c r="W175" s="237">
        <f t="shared" si="76"/>
        <v>26</v>
      </c>
      <c r="X175" s="215">
        <f t="shared" si="77"/>
        <v>4.6000000000000014</v>
      </c>
      <c r="Z175" s="29"/>
      <c r="AA175" s="29"/>
      <c r="AB175" s="29"/>
      <c r="AC175" s="29"/>
      <c r="AD175" s="29"/>
    </row>
    <row r="176" spans="1:30" s="238" customFormat="1">
      <c r="A176" s="1136">
        <f t="shared" si="78"/>
        <v>19</v>
      </c>
      <c r="B176" s="238">
        <f t="shared" si="56"/>
        <v>0</v>
      </c>
      <c r="C176" s="215">
        <f t="shared" si="57"/>
        <v>1.92</v>
      </c>
      <c r="D176" s="215">
        <f t="shared" si="58"/>
        <v>4</v>
      </c>
      <c r="E176" s="215">
        <f t="shared" si="59"/>
        <v>0</v>
      </c>
      <c r="F176" s="215">
        <f t="shared" si="60"/>
        <v>0</v>
      </c>
      <c r="G176" s="1139">
        <f t="shared" si="61"/>
        <v>5.92</v>
      </c>
      <c r="H176" s="238">
        <f t="shared" si="62"/>
        <v>238</v>
      </c>
      <c r="I176" s="1101">
        <f t="shared" si="63"/>
        <v>0.1</v>
      </c>
      <c r="J176" s="215">
        <f t="shared" si="64"/>
        <v>3.7800000000000007</v>
      </c>
      <c r="K176" s="215">
        <f t="shared" si="65"/>
        <v>0.82857142857142863</v>
      </c>
      <c r="L176" s="238">
        <f t="shared" si="66"/>
        <v>1</v>
      </c>
      <c r="M176" s="215">
        <f t="shared" si="67"/>
        <v>27.4</v>
      </c>
      <c r="N176" s="1101">
        <f t="shared" si="68"/>
        <v>0.15</v>
      </c>
      <c r="O176" s="1101">
        <f t="shared" si="69"/>
        <v>0.43839999999999957</v>
      </c>
      <c r="P176" s="215">
        <f t="shared" si="70"/>
        <v>0.45747058823529368</v>
      </c>
      <c r="Q176" s="215">
        <f t="shared" si="71"/>
        <v>-10.595870588235295</v>
      </c>
      <c r="R176" s="215">
        <f t="shared" si="72"/>
        <v>-10.595870588235295</v>
      </c>
      <c r="S176" s="215"/>
      <c r="T176" s="215">
        <f t="shared" si="73"/>
        <v>-10.595870588235295</v>
      </c>
      <c r="U176" s="215">
        <f t="shared" si="74"/>
        <v>-10.595870588235295</v>
      </c>
      <c r="V176" s="215">
        <f t="shared" si="75"/>
        <v>27.4</v>
      </c>
      <c r="W176" s="237">
        <f t="shared" si="76"/>
        <v>26</v>
      </c>
      <c r="X176" s="215">
        <f t="shared" si="77"/>
        <v>1.3999999999999986</v>
      </c>
      <c r="Z176" s="29"/>
      <c r="AA176" s="29"/>
      <c r="AB176" s="29"/>
      <c r="AC176" s="29"/>
      <c r="AD176" s="29"/>
    </row>
    <row r="177" spans="1:35" s="238" customFormat="1">
      <c r="A177" s="1136">
        <f t="shared" si="78"/>
        <v>20</v>
      </c>
      <c r="B177" s="238">
        <f t="shared" si="56"/>
        <v>0</v>
      </c>
      <c r="C177" s="215">
        <f t="shared" si="57"/>
        <v>1.92</v>
      </c>
      <c r="D177" s="215">
        <f t="shared" si="58"/>
        <v>5</v>
      </c>
      <c r="E177" s="215">
        <f t="shared" si="59"/>
        <v>0</v>
      </c>
      <c r="F177" s="215">
        <f t="shared" si="60"/>
        <v>1.9097222222222221</v>
      </c>
      <c r="G177" s="1139">
        <f t="shared" si="61"/>
        <v>8.8297222222222214</v>
      </c>
      <c r="H177" s="238">
        <f t="shared" si="62"/>
        <v>0</v>
      </c>
      <c r="I177" s="1101">
        <f t="shared" si="63"/>
        <v>0.5</v>
      </c>
      <c r="J177" s="215">
        <f t="shared" si="64"/>
        <v>0</v>
      </c>
      <c r="K177" s="215">
        <f t="shared" si="65"/>
        <v>0.82857142857142863</v>
      </c>
      <c r="L177" s="238">
        <f t="shared" si="66"/>
        <v>1</v>
      </c>
      <c r="M177" s="215">
        <f t="shared" si="67"/>
        <v>26.4</v>
      </c>
      <c r="N177" s="1101">
        <f t="shared" si="68"/>
        <v>0.15</v>
      </c>
      <c r="O177" s="1101">
        <f t="shared" si="69"/>
        <v>0.12525714285714243</v>
      </c>
      <c r="P177" s="215">
        <f t="shared" si="70"/>
        <v>0.13070588235294073</v>
      </c>
      <c r="Q177" s="215">
        <f t="shared" si="71"/>
        <v>-9.0856852474323038</v>
      </c>
      <c r="R177" s="215">
        <f t="shared" si="72"/>
        <v>-9.0856852474323038</v>
      </c>
      <c r="S177" s="215"/>
      <c r="T177" s="215">
        <f t="shared" si="73"/>
        <v>-9.0856852474323038</v>
      </c>
      <c r="U177" s="215">
        <f t="shared" si="74"/>
        <v>-9.0856852474323038</v>
      </c>
      <c r="V177" s="215">
        <f t="shared" si="75"/>
        <v>26.4</v>
      </c>
      <c r="W177" s="237">
        <f t="shared" si="76"/>
        <v>26</v>
      </c>
      <c r="X177" s="215">
        <f t="shared" si="77"/>
        <v>0.39999999999999858</v>
      </c>
      <c r="Z177" s="29"/>
      <c r="AA177" s="29"/>
      <c r="AB177" s="29"/>
      <c r="AC177" s="29"/>
      <c r="AD177" s="29"/>
    </row>
    <row r="178" spans="1:35" s="238" customFormat="1">
      <c r="A178" s="1136">
        <f t="shared" si="78"/>
        <v>21</v>
      </c>
      <c r="B178" s="238">
        <f t="shared" si="56"/>
        <v>0</v>
      </c>
      <c r="C178" s="215">
        <f t="shared" si="57"/>
        <v>1.92</v>
      </c>
      <c r="D178" s="215">
        <f t="shared" si="58"/>
        <v>1</v>
      </c>
      <c r="E178" s="215">
        <f t="shared" si="59"/>
        <v>0</v>
      </c>
      <c r="F178" s="215">
        <f t="shared" si="60"/>
        <v>1.9097222222222221</v>
      </c>
      <c r="G178" s="1139">
        <f t="shared" si="61"/>
        <v>4.8297222222222222</v>
      </c>
      <c r="H178" s="238">
        <f t="shared" si="62"/>
        <v>0</v>
      </c>
      <c r="I178" s="1101">
        <f t="shared" si="63"/>
        <v>0.5</v>
      </c>
      <c r="J178" s="215">
        <f t="shared" si="64"/>
        <v>0</v>
      </c>
      <c r="K178" s="215">
        <f t="shared" si="65"/>
        <v>0.82857142857142863</v>
      </c>
      <c r="L178" s="238">
        <f t="shared" si="66"/>
        <v>1</v>
      </c>
      <c r="M178" s="215">
        <f t="shared" si="67"/>
        <v>26.9</v>
      </c>
      <c r="N178" s="1101">
        <f t="shared" si="68"/>
        <v>0.15</v>
      </c>
      <c r="O178" s="1101">
        <f t="shared" si="69"/>
        <v>0.28182857142857098</v>
      </c>
      <c r="P178" s="215">
        <f t="shared" si="70"/>
        <v>0.29408823529411721</v>
      </c>
      <c r="Q178" s="215">
        <f t="shared" si="71"/>
        <v>-5.4056390289449103</v>
      </c>
      <c r="R178" s="215">
        <f t="shared" si="72"/>
        <v>-5.4056390289449103</v>
      </c>
      <c r="S178" s="215"/>
      <c r="T178" s="215">
        <f t="shared" si="73"/>
        <v>-5.4056390289449103</v>
      </c>
      <c r="U178" s="215">
        <f t="shared" si="74"/>
        <v>-5.4056390289449103</v>
      </c>
      <c r="V178" s="215">
        <f t="shared" si="75"/>
        <v>26.9</v>
      </c>
      <c r="W178" s="237">
        <f t="shared" si="76"/>
        <v>26</v>
      </c>
      <c r="X178" s="215">
        <f t="shared" si="77"/>
        <v>0.89999999999999858</v>
      </c>
      <c r="Z178" s="29"/>
      <c r="AA178" s="29"/>
      <c r="AB178" s="29"/>
      <c r="AC178" s="29"/>
      <c r="AD178" s="29"/>
    </row>
    <row r="179" spans="1:35" s="238" customFormat="1">
      <c r="A179" s="1136">
        <f t="shared" si="78"/>
        <v>22</v>
      </c>
      <c r="B179" s="238">
        <f t="shared" si="56"/>
        <v>0</v>
      </c>
      <c r="C179" s="215">
        <f t="shared" si="57"/>
        <v>2.4</v>
      </c>
      <c r="D179" s="215">
        <f t="shared" si="58"/>
        <v>1</v>
      </c>
      <c r="E179" s="215">
        <f t="shared" si="59"/>
        <v>0</v>
      </c>
      <c r="F179" s="215">
        <f t="shared" si="60"/>
        <v>1.9097222222222221</v>
      </c>
      <c r="G179" s="1139">
        <f t="shared" si="61"/>
        <v>5.3097222222222218</v>
      </c>
      <c r="H179" s="238">
        <f t="shared" si="62"/>
        <v>0</v>
      </c>
      <c r="I179" s="1101">
        <f t="shared" si="63"/>
        <v>0.5</v>
      </c>
      <c r="J179" s="215">
        <f t="shared" si="64"/>
        <v>0</v>
      </c>
      <c r="K179" s="215">
        <f t="shared" si="65"/>
        <v>0.82857142857142863</v>
      </c>
      <c r="L179" s="238">
        <f t="shared" si="66"/>
        <v>1</v>
      </c>
      <c r="M179" s="215">
        <f t="shared" si="67"/>
        <v>24.9</v>
      </c>
      <c r="N179" s="1101">
        <f t="shared" si="68"/>
        <v>0.15</v>
      </c>
      <c r="O179" s="1101">
        <f t="shared" si="69"/>
        <v>-0.34445714285714329</v>
      </c>
      <c r="P179" s="215">
        <f t="shared" si="70"/>
        <v>-0.35944117647058871</v>
      </c>
      <c r="Q179" s="215">
        <f t="shared" si="71"/>
        <v>-4.6058239028944898</v>
      </c>
      <c r="R179" s="215">
        <f t="shared" si="72"/>
        <v>-4.6058239028944898</v>
      </c>
      <c r="S179" s="215"/>
      <c r="T179" s="215">
        <f t="shared" si="73"/>
        <v>-4.6058239028944898</v>
      </c>
      <c r="U179" s="215">
        <f t="shared" si="74"/>
        <v>-4.6058239028944898</v>
      </c>
      <c r="V179" s="215">
        <f t="shared" si="75"/>
        <v>24.9</v>
      </c>
      <c r="W179" s="237">
        <f t="shared" si="76"/>
        <v>26</v>
      </c>
      <c r="X179" s="215">
        <f t="shared" si="77"/>
        <v>-1.1000000000000014</v>
      </c>
      <c r="Z179" s="29"/>
      <c r="AA179" s="29"/>
      <c r="AB179" s="29"/>
      <c r="AC179" s="29"/>
      <c r="AD179" s="29"/>
    </row>
    <row r="180" spans="1:35" s="238" customFormat="1">
      <c r="A180" s="1136">
        <f t="shared" si="78"/>
        <v>23</v>
      </c>
      <c r="B180" s="238">
        <f t="shared" si="56"/>
        <v>0</v>
      </c>
      <c r="C180" s="215">
        <f t="shared" si="57"/>
        <v>2.4</v>
      </c>
      <c r="D180" s="215">
        <f t="shared" si="58"/>
        <v>1</v>
      </c>
      <c r="E180" s="215">
        <f t="shared" si="59"/>
        <v>0</v>
      </c>
      <c r="F180" s="215">
        <f t="shared" si="60"/>
        <v>0</v>
      </c>
      <c r="G180" s="1139">
        <f t="shared" si="61"/>
        <v>3.4</v>
      </c>
      <c r="H180" s="238">
        <f t="shared" si="62"/>
        <v>0</v>
      </c>
      <c r="I180" s="1101">
        <f t="shared" si="63"/>
        <v>0.5</v>
      </c>
      <c r="J180" s="215">
        <f t="shared" si="64"/>
        <v>0</v>
      </c>
      <c r="K180" s="215">
        <f t="shared" si="65"/>
        <v>0.82857142857142863</v>
      </c>
      <c r="L180" s="238">
        <f t="shared" si="66"/>
        <v>1</v>
      </c>
      <c r="M180" s="215">
        <f t="shared" si="67"/>
        <v>22.9</v>
      </c>
      <c r="N180" s="1101">
        <f t="shared" si="68"/>
        <v>0.15</v>
      </c>
      <c r="O180" s="1101">
        <f t="shared" si="69"/>
        <v>-0.97074285714285768</v>
      </c>
      <c r="P180" s="215">
        <f t="shared" si="70"/>
        <v>-1.0129705882352946</v>
      </c>
      <c r="Q180" s="215">
        <f t="shared" si="71"/>
        <v>-1.4162865546218477</v>
      </c>
      <c r="R180" s="215">
        <f t="shared" si="72"/>
        <v>-1.4162865546218477</v>
      </c>
      <c r="S180" s="215"/>
      <c r="T180" s="215">
        <f t="shared" si="73"/>
        <v>-1.4162865546218477</v>
      </c>
      <c r="U180" s="215">
        <f t="shared" si="74"/>
        <v>-1.4162865546218477</v>
      </c>
      <c r="V180" s="215">
        <f t="shared" si="75"/>
        <v>22.9</v>
      </c>
      <c r="W180" s="237">
        <f t="shared" si="76"/>
        <v>26</v>
      </c>
      <c r="X180" s="215">
        <f t="shared" si="77"/>
        <v>-3.1000000000000014</v>
      </c>
      <c r="Z180" s="29"/>
      <c r="AA180" s="29"/>
      <c r="AB180" s="29"/>
      <c r="AC180" s="29"/>
      <c r="AD180" s="29"/>
    </row>
    <row r="181" spans="1:35" s="238" customFormat="1">
      <c r="A181" s="1136">
        <f t="shared" si="78"/>
        <v>24</v>
      </c>
      <c r="B181" s="238">
        <f t="shared" si="56"/>
        <v>0</v>
      </c>
      <c r="C181" s="215">
        <f t="shared" si="57"/>
        <v>2.4</v>
      </c>
      <c r="D181" s="215">
        <f t="shared" si="58"/>
        <v>1</v>
      </c>
      <c r="E181" s="215">
        <f t="shared" si="59"/>
        <v>0</v>
      </c>
      <c r="F181" s="215">
        <f t="shared" si="60"/>
        <v>0</v>
      </c>
      <c r="G181" s="1139">
        <f t="shared" si="61"/>
        <v>3.4</v>
      </c>
      <c r="H181" s="238">
        <f t="shared" si="62"/>
        <v>0</v>
      </c>
      <c r="I181" s="1101">
        <f t="shared" si="63"/>
        <v>0.5</v>
      </c>
      <c r="J181" s="215">
        <f t="shared" si="64"/>
        <v>0</v>
      </c>
      <c r="K181" s="215">
        <f t="shared" si="65"/>
        <v>0.82857142857142863</v>
      </c>
      <c r="L181" s="238">
        <f t="shared" si="66"/>
        <v>1</v>
      </c>
      <c r="M181" s="215">
        <f t="shared" si="67"/>
        <v>21.8</v>
      </c>
      <c r="N181" s="1101">
        <f t="shared" si="68"/>
        <v>0.15</v>
      </c>
      <c r="O181" s="1101">
        <f t="shared" si="69"/>
        <v>-1.3151999999999999</v>
      </c>
      <c r="P181" s="215">
        <f t="shared" si="70"/>
        <v>-1.3724117647058822</v>
      </c>
      <c r="Q181" s="215">
        <f t="shared" si="71"/>
        <v>-0.71238823529411777</v>
      </c>
      <c r="R181" s="215">
        <f t="shared" si="72"/>
        <v>-0.71238823529411777</v>
      </c>
      <c r="S181" s="215"/>
      <c r="T181" s="215">
        <f t="shared" si="73"/>
        <v>-0.71238823529411777</v>
      </c>
      <c r="U181" s="215">
        <f t="shared" si="74"/>
        <v>-0.71238823529411777</v>
      </c>
      <c r="V181" s="215">
        <f t="shared" si="75"/>
        <v>21.8</v>
      </c>
      <c r="W181" s="237">
        <f t="shared" si="76"/>
        <v>26</v>
      </c>
      <c r="X181" s="215">
        <f t="shared" si="77"/>
        <v>-4.1999999999999993</v>
      </c>
      <c r="Z181" s="29"/>
      <c r="AA181" s="29"/>
      <c r="AB181" s="29"/>
      <c r="AC181" s="29"/>
      <c r="AD181" s="29"/>
    </row>
    <row r="182" spans="1:35" s="238" customFormat="1">
      <c r="G182" s="1138"/>
      <c r="R182" s="29"/>
      <c r="S182" s="29"/>
      <c r="T182" s="29"/>
      <c r="U182" s="29"/>
      <c r="V182" s="29"/>
      <c r="W182" s="29"/>
      <c r="X182" s="29"/>
      <c r="Z182" s="29"/>
      <c r="AA182" s="29"/>
      <c r="AB182" s="29"/>
      <c r="AC182" s="29"/>
      <c r="AD182" s="29"/>
    </row>
    <row r="183" spans="1:35" s="238" customFormat="1">
      <c r="A183" s="238" t="s">
        <v>1058</v>
      </c>
      <c r="C183" s="215">
        <f>SUM(C158:C181)</f>
        <v>33.6</v>
      </c>
      <c r="D183" s="215">
        <f>SUM(D158:D181)</f>
        <v>37</v>
      </c>
      <c r="E183" s="215">
        <f>SUM(E158:E181)</f>
        <v>0</v>
      </c>
      <c r="F183" s="215">
        <f>SUM(F158:F181)</f>
        <v>5.7291666666666661</v>
      </c>
      <c r="G183" s="1139">
        <f>SUM(G158:G181)</f>
        <v>76.32916666666668</v>
      </c>
      <c r="J183" s="215">
        <f>SUM(J158:J181)</f>
        <v>105.12529411764706</v>
      </c>
      <c r="O183" s="215">
        <f t="shared" ref="O183:U183" si="79">SUM(O158:O181)</f>
        <v>-15.417792402285716</v>
      </c>
      <c r="P183" s="215">
        <f t="shared" si="79"/>
        <v>-9.1494117647058868</v>
      </c>
      <c r="Q183" s="215">
        <f t="shared" si="79"/>
        <v>-156.88725661732212</v>
      </c>
      <c r="R183" s="215">
        <f t="shared" si="79"/>
        <v>-156.88725661732212</v>
      </c>
      <c r="S183" s="215"/>
      <c r="T183" s="215">
        <f t="shared" si="79"/>
        <v>-162.23775829799439</v>
      </c>
      <c r="U183" s="215">
        <f t="shared" si="79"/>
        <v>-162.23775829799439</v>
      </c>
      <c r="V183" s="29"/>
      <c r="W183" s="29"/>
      <c r="X183" s="29"/>
      <c r="Z183" s="29"/>
      <c r="AA183" s="29"/>
      <c r="AB183" s="29"/>
      <c r="AC183" s="29"/>
      <c r="AD183" s="29"/>
    </row>
    <row r="184" spans="1:35" s="238" customFormat="1">
      <c r="A184" s="238" t="s">
        <v>1458</v>
      </c>
      <c r="C184" s="215">
        <f t="shared" ref="C184:H184" si="80">MAX(C158:C181)</f>
        <v>2.4</v>
      </c>
      <c r="D184" s="215">
        <f t="shared" si="80"/>
        <v>5</v>
      </c>
      <c r="E184" s="215">
        <f t="shared" si="80"/>
        <v>0</v>
      </c>
      <c r="F184" s="215">
        <f t="shared" si="80"/>
        <v>1.9097222222222221</v>
      </c>
      <c r="G184" s="1139">
        <f t="shared" si="80"/>
        <v>8.8297222222222214</v>
      </c>
      <c r="H184" s="215">
        <f t="shared" si="80"/>
        <v>680</v>
      </c>
      <c r="J184" s="215">
        <f>MAX(J158:J181)</f>
        <v>10.8</v>
      </c>
      <c r="M184" s="215">
        <f>MAX(M158:M181)</f>
        <v>27.4</v>
      </c>
      <c r="O184" s="215">
        <f t="shared" ref="O184:W184" si="81">MAX(O158:O181)</f>
        <v>0.52144237714285724</v>
      </c>
      <c r="P184" s="215">
        <f t="shared" si="81"/>
        <v>1.9605882352941177</v>
      </c>
      <c r="Q184" s="215">
        <f t="shared" si="81"/>
        <v>1.4632974789915982</v>
      </c>
      <c r="R184" s="215">
        <f t="shared" si="81"/>
        <v>1.4632974789915982</v>
      </c>
      <c r="S184" s="215"/>
      <c r="T184" s="215">
        <f t="shared" si="81"/>
        <v>0</v>
      </c>
      <c r="U184" s="215">
        <f t="shared" si="81"/>
        <v>0</v>
      </c>
      <c r="V184" s="215">
        <f t="shared" si="81"/>
        <v>32</v>
      </c>
      <c r="W184" s="215">
        <f t="shared" si="81"/>
        <v>26</v>
      </c>
      <c r="X184" s="29"/>
      <c r="Z184" s="29"/>
      <c r="AA184" s="29"/>
      <c r="AB184" s="29"/>
      <c r="AC184" s="29"/>
      <c r="AD184" s="29"/>
    </row>
    <row r="185" spans="1:35" s="238" customFormat="1">
      <c r="A185" s="238" t="s">
        <v>1459</v>
      </c>
      <c r="C185" s="215"/>
      <c r="D185" s="215"/>
      <c r="E185" s="215"/>
      <c r="F185" s="215"/>
      <c r="G185" s="1139"/>
      <c r="J185" s="215"/>
      <c r="O185" s="215"/>
      <c r="P185" s="215"/>
      <c r="Q185" s="215">
        <f>MIN(Q158:Q181)</f>
        <v>-14.240663435563025</v>
      </c>
      <c r="R185" s="215">
        <f>MIN(R158:R181)</f>
        <v>-14.240663435563025</v>
      </c>
      <c r="S185" s="215"/>
      <c r="T185" s="215">
        <f>MIN(T158:T181)</f>
        <v>-14.240663435563025</v>
      </c>
      <c r="U185" s="1350">
        <f>MIN(U158:U181)</f>
        <v>-14.240663435563025</v>
      </c>
      <c r="V185" s="29"/>
      <c r="W185" s="29"/>
      <c r="X185" s="29"/>
      <c r="Z185" s="29"/>
      <c r="AA185" s="29"/>
      <c r="AB185" s="29"/>
      <c r="AC185" s="29"/>
      <c r="AD185" s="29"/>
    </row>
    <row r="186" spans="1:35" s="238" customFormat="1">
      <c r="R186" s="29"/>
      <c r="S186" s="29"/>
      <c r="T186" s="29"/>
      <c r="U186" s="29"/>
      <c r="V186" s="29"/>
      <c r="Z186" s="29"/>
      <c r="AA186" s="29"/>
      <c r="AB186" s="29"/>
      <c r="AC186" s="29"/>
      <c r="AD186" s="29"/>
    </row>
    <row r="187" spans="1:35" s="238" customFormat="1">
      <c r="R187" s="29"/>
      <c r="S187" s="29"/>
      <c r="T187" s="29"/>
      <c r="U187" s="29"/>
      <c r="V187" s="29"/>
      <c r="Z187" s="29"/>
      <c r="AA187" s="29"/>
      <c r="AB187" s="29"/>
      <c r="AC187" s="29"/>
      <c r="AD187" s="29"/>
    </row>
    <row r="188" spans="1:35" s="238" customFormat="1">
      <c r="R188" s="29"/>
      <c r="S188" s="29"/>
      <c r="T188" s="29"/>
      <c r="U188" s="29"/>
      <c r="V188" s="29"/>
      <c r="Z188" s="29"/>
      <c r="AA188" s="29"/>
      <c r="AB188" s="29"/>
      <c r="AC188" s="29"/>
      <c r="AD188" s="29"/>
    </row>
    <row r="189" spans="1:35" s="238" customFormat="1" ht="15.45">
      <c r="A189" s="1135" t="s">
        <v>1598</v>
      </c>
      <c r="B189" s="367"/>
      <c r="C189" s="367"/>
      <c r="D189" s="367"/>
      <c r="E189" s="1135" t="s">
        <v>1257</v>
      </c>
      <c r="F189" s="367"/>
      <c r="G189" s="367"/>
      <c r="H189" s="367"/>
      <c r="I189" s="367"/>
      <c r="J189" s="367"/>
      <c r="K189" s="367"/>
      <c r="L189" s="367"/>
      <c r="M189" s="367"/>
      <c r="N189" s="367"/>
      <c r="O189" s="367"/>
      <c r="P189" s="367"/>
      <c r="Q189" s="367"/>
      <c r="R189" s="1134"/>
      <c r="S189" s="1134"/>
      <c r="T189" s="1134"/>
      <c r="U189" s="1134"/>
      <c r="V189" s="1134"/>
      <c r="W189" s="1134"/>
      <c r="X189" s="1134"/>
      <c r="Y189" s="355"/>
      <c r="Z189" s="1357"/>
      <c r="AA189" s="1357"/>
      <c r="AB189" s="1357"/>
      <c r="AC189" s="1357"/>
      <c r="AD189" s="1357"/>
      <c r="AE189" s="355"/>
      <c r="AF189" s="355"/>
      <c r="AG189" s="355"/>
      <c r="AH189" s="355"/>
      <c r="AI189" s="355"/>
    </row>
    <row r="190" spans="1:35" s="238" customFormat="1">
      <c r="A190" s="367"/>
      <c r="B190" s="367"/>
      <c r="C190" s="367"/>
      <c r="D190" s="367"/>
      <c r="E190" s="367"/>
      <c r="F190" s="367"/>
      <c r="G190" s="367"/>
      <c r="H190" s="367"/>
      <c r="I190" s="367"/>
      <c r="J190" s="367"/>
      <c r="K190" s="367"/>
      <c r="L190" s="367"/>
      <c r="M190" s="367"/>
      <c r="N190" s="367"/>
      <c r="O190" s="367"/>
      <c r="P190" s="367"/>
      <c r="Q190" s="367"/>
      <c r="R190" s="1134"/>
      <c r="S190" s="1134"/>
      <c r="T190" s="1134"/>
      <c r="U190" s="1134"/>
      <c r="V190" s="1134"/>
      <c r="W190" s="1134"/>
      <c r="X190" s="1134"/>
      <c r="Y190" s="355"/>
      <c r="Z190" s="1357"/>
      <c r="AA190" s="1357"/>
      <c r="AB190" s="1357"/>
      <c r="AC190" s="1357"/>
      <c r="AD190" s="1357"/>
      <c r="AE190" s="355"/>
      <c r="AF190" s="355"/>
      <c r="AG190" s="355"/>
      <c r="AH190" s="355"/>
      <c r="AI190" s="355"/>
    </row>
    <row r="191" spans="1:35" s="238" customFormat="1">
      <c r="A191" s="210"/>
      <c r="C191" s="238" t="str">
        <f>C91</f>
        <v>Personen</v>
      </c>
      <c r="D191" s="238" t="str">
        <f>D91</f>
        <v>Geräte</v>
      </c>
      <c r="E191" s="238" t="str">
        <f>E91</f>
        <v>Prozessanlagen</v>
      </c>
      <c r="F191" s="238" t="str">
        <f>F91</f>
        <v>Beleuchtung</v>
      </c>
      <c r="G191" s="1138" t="s">
        <v>1433</v>
      </c>
      <c r="H191" s="238" t="str">
        <f>H91</f>
        <v>Solarstrahlung</v>
      </c>
      <c r="J191" s="210"/>
      <c r="K191" s="238" t="str">
        <f>K91</f>
        <v>Lüftung</v>
      </c>
      <c r="O191" s="210"/>
      <c r="P191" s="238" t="str">
        <f>P91</f>
        <v>Transmission</v>
      </c>
      <c r="Q191" s="238" t="s">
        <v>1445</v>
      </c>
      <c r="R191" s="238" t="s">
        <v>1445</v>
      </c>
      <c r="T191" s="238" t="str">
        <f>T91</f>
        <v>Klimakälte</v>
      </c>
      <c r="U191" s="238" t="str">
        <f>U91</f>
        <v>Klimakälte</v>
      </c>
      <c r="V191" s="238" t="s">
        <v>1435</v>
      </c>
      <c r="W191" s="238" t="s">
        <v>1454</v>
      </c>
      <c r="X191" s="238" t="s">
        <v>1437</v>
      </c>
      <c r="Z191" s="29"/>
      <c r="AA191" s="29"/>
      <c r="AB191" s="29"/>
      <c r="AC191" s="29"/>
      <c r="AD191" s="29"/>
    </row>
    <row r="192" spans="1:35" s="238" customFormat="1">
      <c r="A192" s="215" t="s">
        <v>28</v>
      </c>
      <c r="B192" s="238" t="s">
        <v>2243</v>
      </c>
      <c r="C192" s="238" t="s">
        <v>1432</v>
      </c>
      <c r="D192" s="238" t="s">
        <v>1432</v>
      </c>
      <c r="E192" s="238" t="s">
        <v>1432</v>
      </c>
      <c r="F192" s="238" t="s">
        <v>1432</v>
      </c>
      <c r="G192" s="1138" t="s">
        <v>1432</v>
      </c>
      <c r="H192" s="238" t="s">
        <v>1444</v>
      </c>
      <c r="I192" s="238" t="s">
        <v>1446</v>
      </c>
      <c r="J192" s="238" t="s">
        <v>1432</v>
      </c>
      <c r="K192" s="238" t="s">
        <v>1434</v>
      </c>
      <c r="L192" s="238" t="s">
        <v>1438</v>
      </c>
      <c r="M192" s="238" t="s">
        <v>1440</v>
      </c>
      <c r="N192" s="238" t="s">
        <v>1441</v>
      </c>
      <c r="O192" s="238" t="s">
        <v>1443</v>
      </c>
      <c r="P192" s="238" t="s">
        <v>1443</v>
      </c>
      <c r="Q192" s="238" t="s">
        <v>1582</v>
      </c>
      <c r="R192" s="238" t="s">
        <v>1583</v>
      </c>
      <c r="T192" s="238" t="s">
        <v>1582</v>
      </c>
      <c r="U192" s="238" t="s">
        <v>1583</v>
      </c>
      <c r="Z192" s="29"/>
      <c r="AA192" s="29"/>
      <c r="AB192" s="29"/>
      <c r="AC192" s="29"/>
      <c r="AD192" s="29"/>
    </row>
    <row r="193" spans="1:30" s="238" customFormat="1">
      <c r="A193" s="210"/>
      <c r="B193" s="210"/>
      <c r="C193" s="210"/>
      <c r="D193" s="210"/>
      <c r="E193" s="210"/>
      <c r="G193" s="1138"/>
      <c r="H193" s="210"/>
      <c r="J193" s="210" t="s">
        <v>490</v>
      </c>
      <c r="K193" s="1101">
        <f>Datenblatt!O$136</f>
        <v>0</v>
      </c>
      <c r="L193" s="238" t="s">
        <v>1439</v>
      </c>
      <c r="M193" s="210"/>
      <c r="N193" s="210"/>
      <c r="P193" s="210"/>
      <c r="R193" s="210"/>
      <c r="S193" s="210"/>
      <c r="T193" s="873" t="s">
        <v>1581</v>
      </c>
      <c r="U193" s="873" t="s">
        <v>1581</v>
      </c>
      <c r="Z193" s="29"/>
      <c r="AA193" s="29"/>
      <c r="AB193" s="29"/>
      <c r="AC193" s="29"/>
      <c r="AD193" s="29"/>
    </row>
    <row r="194" spans="1:30" s="238" customFormat="1">
      <c r="A194" s="210"/>
      <c r="B194" s="210"/>
      <c r="C194" s="238" t="s">
        <v>24</v>
      </c>
      <c r="D194" s="238" t="s">
        <v>24</v>
      </c>
      <c r="E194" s="238" t="s">
        <v>24</v>
      </c>
      <c r="F194" s="238" t="s">
        <v>24</v>
      </c>
      <c r="G194" s="1138"/>
      <c r="H194" s="238" t="s">
        <v>24</v>
      </c>
      <c r="I194" s="238" t="s">
        <v>16</v>
      </c>
      <c r="J194" s="238" t="s">
        <v>16</v>
      </c>
      <c r="K194" s="238" t="s">
        <v>301</v>
      </c>
      <c r="M194" s="238" t="s">
        <v>3</v>
      </c>
      <c r="N194" s="238" t="s">
        <v>301</v>
      </c>
      <c r="P194" s="238" t="s">
        <v>1580</v>
      </c>
      <c r="T194" s="238" t="s">
        <v>16</v>
      </c>
      <c r="U194" s="238" t="s">
        <v>16</v>
      </c>
      <c r="W194" s="238" t="s">
        <v>3</v>
      </c>
      <c r="X194" s="238" t="s">
        <v>58</v>
      </c>
      <c r="Z194" s="29"/>
      <c r="AA194" s="29"/>
      <c r="AB194" s="29"/>
      <c r="AC194" s="29"/>
      <c r="AD194" s="29"/>
    </row>
    <row r="195" spans="1:30" s="238" customFormat="1">
      <c r="A195" s="210"/>
      <c r="B195" s="210"/>
      <c r="C195" s="215">
        <f>Datenblatt!M$62</f>
        <v>2.4</v>
      </c>
      <c r="D195" s="215">
        <f>Datenblatt!O$77</f>
        <v>12</v>
      </c>
      <c r="E195" s="215">
        <f>Datenblatt!O$78</f>
        <v>0</v>
      </c>
      <c r="F195" s="215">
        <f>Datenblatt!O$122</f>
        <v>3.8303571428571437</v>
      </c>
      <c r="G195" s="1138"/>
      <c r="H195" s="238">
        <f>MAX(H198:H221)</f>
        <v>680</v>
      </c>
      <c r="I195" s="1101">
        <f>Datenblatt!O$26</f>
        <v>0.65</v>
      </c>
      <c r="J195" s="1101">
        <f>Datenblatt!M$95</f>
        <v>0.17647058823529413</v>
      </c>
      <c r="K195" s="215">
        <f>Datenblatt!O$133</f>
        <v>0.82857142857142863</v>
      </c>
      <c r="M195" s="1334"/>
      <c r="N195" s="1101">
        <f>Datenblatt!O$135</f>
        <v>0.3</v>
      </c>
      <c r="P195" s="215">
        <f>Datenblatt!O$173/Datenblatt!M$13</f>
        <v>1.3458823529411768</v>
      </c>
      <c r="Q195" s="215"/>
      <c r="R195" s="215"/>
      <c r="S195" s="215"/>
      <c r="T195" s="215">
        <f>IF(Datenblatt!M$31=0,0,1)</f>
        <v>1</v>
      </c>
      <c r="U195" s="215">
        <f>T195</f>
        <v>1</v>
      </c>
      <c r="V195" s="215"/>
      <c r="W195" s="1349">
        <f>IF(A2=12.11,0,IF(Datenblatt!M$31=0,25,Datenblatt!M31))</f>
        <v>26</v>
      </c>
      <c r="Z195" s="29"/>
      <c r="AA195" s="29"/>
      <c r="AB195" s="29"/>
      <c r="AC195" s="29"/>
      <c r="AD195" s="29"/>
    </row>
    <row r="196" spans="1:30" s="238" customFormat="1">
      <c r="A196" s="210"/>
      <c r="B196" s="210"/>
      <c r="C196" s="215"/>
      <c r="D196" s="215"/>
      <c r="E196" s="215"/>
      <c r="F196" s="215"/>
      <c r="G196" s="1138"/>
      <c r="I196" s="1101">
        <f>Datenblatt!O$27</f>
        <v>0.2</v>
      </c>
      <c r="K196" s="215"/>
      <c r="M196" s="1101">
        <f>Datenblatt!O$139</f>
        <v>0</v>
      </c>
      <c r="N196" s="1101"/>
      <c r="P196" s="215"/>
      <c r="R196" s="210"/>
      <c r="S196" s="210"/>
      <c r="T196" s="210"/>
      <c r="U196" s="210"/>
      <c r="V196" s="215"/>
      <c r="W196" s="237"/>
      <c r="Z196" s="29"/>
      <c r="AA196" s="29"/>
      <c r="AB196" s="29"/>
      <c r="AC196" s="29"/>
      <c r="AD196" s="29"/>
    </row>
    <row r="197" spans="1:30" s="238" customFormat="1">
      <c r="A197" s="215" t="s">
        <v>14</v>
      </c>
      <c r="C197" s="238" t="s">
        <v>24</v>
      </c>
      <c r="D197" s="238" t="s">
        <v>24</v>
      </c>
      <c r="E197" s="238" t="s">
        <v>24</v>
      </c>
      <c r="F197" s="238" t="s">
        <v>24</v>
      </c>
      <c r="G197" s="1138" t="s">
        <v>24</v>
      </c>
      <c r="H197" s="238" t="s">
        <v>24</v>
      </c>
      <c r="I197" s="238" t="s">
        <v>16</v>
      </c>
      <c r="J197" s="238" t="s">
        <v>24</v>
      </c>
      <c r="K197" s="238" t="s">
        <v>301</v>
      </c>
      <c r="L197" s="238" t="s">
        <v>16</v>
      </c>
      <c r="M197" s="238" t="s">
        <v>3</v>
      </c>
      <c r="N197" s="238" t="s">
        <v>301</v>
      </c>
      <c r="O197" s="238" t="s">
        <v>24</v>
      </c>
      <c r="P197" s="238" t="s">
        <v>24</v>
      </c>
      <c r="Q197" s="238" t="s">
        <v>24</v>
      </c>
      <c r="R197" s="238" t="s">
        <v>24</v>
      </c>
      <c r="T197" s="238" t="s">
        <v>24</v>
      </c>
      <c r="U197" s="238" t="s">
        <v>24</v>
      </c>
      <c r="V197" s="238" t="s">
        <v>3</v>
      </c>
      <c r="W197" s="238" t="s">
        <v>3</v>
      </c>
      <c r="X197" s="238" t="s">
        <v>58</v>
      </c>
      <c r="Z197" s="29"/>
      <c r="AA197" s="29"/>
      <c r="AB197" s="29"/>
      <c r="AC197" s="29"/>
      <c r="AD197" s="29"/>
    </row>
    <row r="198" spans="1:30" s="238" customFormat="1">
      <c r="A198" s="1136">
        <v>1</v>
      </c>
      <c r="B198" s="238">
        <f>IF(U198=U$225,1,0)</f>
        <v>0</v>
      </c>
      <c r="C198" s="215">
        <f>C$195*B63</f>
        <v>2.4</v>
      </c>
      <c r="D198" s="215">
        <f>D$195*D63</f>
        <v>2.4000000000000004</v>
      </c>
      <c r="E198" s="215">
        <f>E$195*D63</f>
        <v>0</v>
      </c>
      <c r="F198" s="215">
        <f>F$195*T63</f>
        <v>0</v>
      </c>
      <c r="G198" s="1139">
        <f>SUM(C198:F198)</f>
        <v>4.8000000000000007</v>
      </c>
      <c r="H198" s="238">
        <f>N63</f>
        <v>0</v>
      </c>
      <c r="I198" s="1101">
        <f>IF(H198&lt;=200,I$195,I$196)</f>
        <v>0.65</v>
      </c>
      <c r="J198" s="215">
        <f>H198*R$58*I198*J$195</f>
        <v>0</v>
      </c>
      <c r="K198" s="215">
        <f>K$195*IF(K$193="IDA-C3",F63,IF(K$193="IDA-C4",G63,I63))</f>
        <v>0.82857142857142863</v>
      </c>
      <c r="L198" s="238">
        <f>IF(X198&gt;=2,0,1)</f>
        <v>1</v>
      </c>
      <c r="M198" s="215">
        <f>IF($M$195&lt;&gt;"",$M$195,IF(L198=1,V198,W198+X198*(1-M$196)))</f>
        <v>19.899999999999999</v>
      </c>
      <c r="N198" s="1101">
        <f>N$195</f>
        <v>0.3</v>
      </c>
      <c r="O198" s="1101">
        <f>(K198*(M198-W198)+N198*X198)*0.32</f>
        <v>-2.2029714285714292</v>
      </c>
      <c r="P198" s="215">
        <f>P$195*X198</f>
        <v>-8.2098823529411806</v>
      </c>
      <c r="Q198" s="215">
        <f>-(C198+D198+E198+F198+J198+O198+P198)</f>
        <v>5.6128537815126087</v>
      </c>
      <c r="R198" s="215">
        <f>-(C198+D198+F198+J198+O198+P198)</f>
        <v>5.6128537815126087</v>
      </c>
      <c r="S198" s="215"/>
      <c r="T198" s="215">
        <f>MIN(0,Q198)*$T$195</f>
        <v>0</v>
      </c>
      <c r="U198" s="215">
        <f>MIN(0,R198)*$U$195</f>
        <v>0</v>
      </c>
      <c r="V198" s="215">
        <f>O63</f>
        <v>19.899999999999999</v>
      </c>
      <c r="W198" s="237">
        <f>W$195</f>
        <v>26</v>
      </c>
      <c r="X198" s="215">
        <f>V198-W198</f>
        <v>-6.1000000000000014</v>
      </c>
      <c r="Z198" s="29"/>
      <c r="AA198" s="29"/>
      <c r="AB198" s="29"/>
      <c r="AC198" s="29"/>
      <c r="AD198" s="29"/>
    </row>
    <row r="199" spans="1:30" s="238" customFormat="1">
      <c r="A199" s="1136">
        <f>A198+1</f>
        <v>2</v>
      </c>
      <c r="B199" s="238">
        <f t="shared" ref="B199:B221" si="82">IF(U199=U$225,1,0)</f>
        <v>0</v>
      </c>
      <c r="C199" s="215">
        <f t="shared" ref="C199:C221" si="83">C$195*B64</f>
        <v>2.4</v>
      </c>
      <c r="D199" s="215">
        <f t="shared" ref="D199:D221" si="84">D$195*D64</f>
        <v>2.4000000000000004</v>
      </c>
      <c r="E199" s="215">
        <f t="shared" ref="E199:E221" si="85">E$195*D64</f>
        <v>0</v>
      </c>
      <c r="F199" s="215">
        <f t="shared" ref="F199:F221" si="86">F$195*T64</f>
        <v>0</v>
      </c>
      <c r="G199" s="1139">
        <f t="shared" ref="G199:G221" si="87">SUM(C199:F199)</f>
        <v>4.8000000000000007</v>
      </c>
      <c r="H199" s="238">
        <f t="shared" ref="H199:H221" si="88">N64</f>
        <v>0</v>
      </c>
      <c r="I199" s="1101">
        <f t="shared" ref="I199:I221" si="89">IF(H199&lt;=200,I$195,I$196)</f>
        <v>0.65</v>
      </c>
      <c r="J199" s="215">
        <f t="shared" ref="J199:J221" si="90">H199*R$58*I199*J$195</f>
        <v>0</v>
      </c>
      <c r="K199" s="215">
        <f t="shared" ref="K199:K221" si="91">K$195*IF(K$193="IDA-C3",F64,IF(K$193="IDA-C4",G64,I64))</f>
        <v>0.82857142857142863</v>
      </c>
      <c r="L199" s="238">
        <f t="shared" ref="L199:L221" si="92">IF(X199&gt;=2,0,1)</f>
        <v>1</v>
      </c>
      <c r="M199" s="215">
        <f t="shared" ref="M199:M221" si="93">IF($M$195&lt;&gt;"",$M$195,IF(L199=1,V199,W199+X199*(1-M$196)))</f>
        <v>19.3</v>
      </c>
      <c r="N199" s="1101">
        <f t="shared" ref="N199:N221" si="94">N$195</f>
        <v>0.3</v>
      </c>
      <c r="O199" s="1101">
        <f t="shared" ref="O199:O221" si="95">(K199*(M199-W199)+N199*X199)*0.32</f>
        <v>-2.419657142857143</v>
      </c>
      <c r="P199" s="215">
        <f t="shared" ref="P199:P221" si="96">P$195*X199</f>
        <v>-9.0174117647058836</v>
      </c>
      <c r="Q199" s="215">
        <f t="shared" ref="Q199:Q221" si="97">-(C199+D199+E199+F199+J199+O199+P199)</f>
        <v>6.6370689075630258</v>
      </c>
      <c r="R199" s="215">
        <f t="shared" ref="R199:R221" si="98">-(C199+D199+F199+J199+O199+P199)</f>
        <v>6.6370689075630258</v>
      </c>
      <c r="S199" s="215"/>
      <c r="T199" s="215">
        <f t="shared" ref="T199:T221" si="99">MIN(0,Q199)*$T$195</f>
        <v>0</v>
      </c>
      <c r="U199" s="215">
        <f t="shared" ref="U199:U221" si="100">MIN(0,R199)*$U$195</f>
        <v>0</v>
      </c>
      <c r="V199" s="215">
        <f t="shared" ref="V199:V221" si="101">O64</f>
        <v>19.3</v>
      </c>
      <c r="W199" s="237">
        <f t="shared" ref="W199:W221" si="102">W$195</f>
        <v>26</v>
      </c>
      <c r="X199" s="215">
        <f t="shared" ref="X199:X221" si="103">V199-W199</f>
        <v>-6.6999999999999993</v>
      </c>
      <c r="Z199" s="29"/>
      <c r="AA199" s="29"/>
      <c r="AB199" s="29"/>
      <c r="AC199" s="29"/>
      <c r="AD199" s="29"/>
    </row>
    <row r="200" spans="1:30" s="238" customFormat="1">
      <c r="A200" s="1136">
        <f t="shared" ref="A200:A221" si="104">A199+1</f>
        <v>3</v>
      </c>
      <c r="B200" s="238">
        <f t="shared" si="82"/>
        <v>0</v>
      </c>
      <c r="C200" s="215">
        <f t="shared" si="83"/>
        <v>2.4</v>
      </c>
      <c r="D200" s="215">
        <f t="shared" si="84"/>
        <v>2.4000000000000004</v>
      </c>
      <c r="E200" s="215">
        <f t="shared" si="85"/>
        <v>0</v>
      </c>
      <c r="F200" s="215">
        <f t="shared" si="86"/>
        <v>0</v>
      </c>
      <c r="G200" s="1139">
        <f t="shared" si="87"/>
        <v>4.8000000000000007</v>
      </c>
      <c r="H200" s="238">
        <f t="shared" si="88"/>
        <v>0</v>
      </c>
      <c r="I200" s="1101">
        <f t="shared" si="89"/>
        <v>0.65</v>
      </c>
      <c r="J200" s="215">
        <f t="shared" si="90"/>
        <v>0</v>
      </c>
      <c r="K200" s="215">
        <f t="shared" si="91"/>
        <v>0.82857142857142863</v>
      </c>
      <c r="L200" s="238">
        <f t="shared" si="92"/>
        <v>1</v>
      </c>
      <c r="M200" s="215">
        <f t="shared" si="93"/>
        <v>18.8</v>
      </c>
      <c r="N200" s="1101">
        <f t="shared" si="94"/>
        <v>0.3</v>
      </c>
      <c r="O200" s="1101">
        <f t="shared" si="95"/>
        <v>-2.6002285714285711</v>
      </c>
      <c r="P200" s="215">
        <f t="shared" si="96"/>
        <v>-9.6903529411764708</v>
      </c>
      <c r="Q200" s="215">
        <f t="shared" si="97"/>
        <v>7.4905815126050417</v>
      </c>
      <c r="R200" s="215">
        <f t="shared" si="98"/>
        <v>7.4905815126050417</v>
      </c>
      <c r="S200" s="215"/>
      <c r="T200" s="215">
        <f t="shared" si="99"/>
        <v>0</v>
      </c>
      <c r="U200" s="215">
        <f t="shared" si="100"/>
        <v>0</v>
      </c>
      <c r="V200" s="215">
        <f t="shared" si="101"/>
        <v>18.8</v>
      </c>
      <c r="W200" s="237">
        <f t="shared" si="102"/>
        <v>26</v>
      </c>
      <c r="X200" s="215">
        <f t="shared" si="103"/>
        <v>-7.1999999999999993</v>
      </c>
      <c r="Z200" s="29"/>
      <c r="AA200" s="29"/>
      <c r="AB200" s="29"/>
      <c r="AC200" s="29"/>
      <c r="AD200" s="29"/>
    </row>
    <row r="201" spans="1:30" s="238" customFormat="1">
      <c r="A201" s="1136">
        <f t="shared" si="104"/>
        <v>4</v>
      </c>
      <c r="B201" s="238">
        <f t="shared" si="82"/>
        <v>0</v>
      </c>
      <c r="C201" s="215">
        <f t="shared" si="83"/>
        <v>2.4</v>
      </c>
      <c r="D201" s="215">
        <f t="shared" si="84"/>
        <v>2.4000000000000004</v>
      </c>
      <c r="E201" s="215">
        <f t="shared" si="85"/>
        <v>0</v>
      </c>
      <c r="F201" s="215">
        <f t="shared" si="86"/>
        <v>0</v>
      </c>
      <c r="G201" s="1139">
        <f t="shared" si="87"/>
        <v>4.8000000000000007</v>
      </c>
      <c r="H201" s="238">
        <f t="shared" si="88"/>
        <v>0</v>
      </c>
      <c r="I201" s="1101">
        <f t="shared" si="89"/>
        <v>0.65</v>
      </c>
      <c r="J201" s="215">
        <f t="shared" si="90"/>
        <v>0</v>
      </c>
      <c r="K201" s="215">
        <f t="shared" si="91"/>
        <v>0.82857142857142863</v>
      </c>
      <c r="L201" s="238">
        <f t="shared" si="92"/>
        <v>1</v>
      </c>
      <c r="M201" s="215">
        <f t="shared" si="93"/>
        <v>18.399999999999999</v>
      </c>
      <c r="N201" s="1101">
        <f t="shared" si="94"/>
        <v>0.3</v>
      </c>
      <c r="O201" s="1101">
        <f t="shared" si="95"/>
        <v>-2.7446857142857151</v>
      </c>
      <c r="P201" s="215">
        <f t="shared" si="96"/>
        <v>-10.228705882352946</v>
      </c>
      <c r="Q201" s="215">
        <f t="shared" si="97"/>
        <v>8.1733915966386608</v>
      </c>
      <c r="R201" s="215">
        <f t="shared" si="98"/>
        <v>8.1733915966386608</v>
      </c>
      <c r="S201" s="215"/>
      <c r="T201" s="215">
        <f t="shared" si="99"/>
        <v>0</v>
      </c>
      <c r="U201" s="215">
        <f t="shared" si="100"/>
        <v>0</v>
      </c>
      <c r="V201" s="215">
        <f t="shared" si="101"/>
        <v>18.399999999999999</v>
      </c>
      <c r="W201" s="237">
        <f t="shared" si="102"/>
        <v>26</v>
      </c>
      <c r="X201" s="215">
        <f t="shared" si="103"/>
        <v>-7.6000000000000014</v>
      </c>
      <c r="Z201" s="29"/>
      <c r="AA201" s="29"/>
      <c r="AB201" s="29"/>
      <c r="AC201" s="29"/>
      <c r="AD201" s="29"/>
    </row>
    <row r="202" spans="1:30" s="238" customFormat="1">
      <c r="A202" s="1136">
        <f t="shared" si="104"/>
        <v>5</v>
      </c>
      <c r="B202" s="238">
        <f t="shared" si="82"/>
        <v>0</v>
      </c>
      <c r="C202" s="215">
        <f t="shared" si="83"/>
        <v>2.4</v>
      </c>
      <c r="D202" s="215">
        <f t="shared" si="84"/>
        <v>2.4000000000000004</v>
      </c>
      <c r="E202" s="215">
        <f t="shared" si="85"/>
        <v>0</v>
      </c>
      <c r="F202" s="215">
        <f t="shared" si="86"/>
        <v>0</v>
      </c>
      <c r="G202" s="1139">
        <f t="shared" si="87"/>
        <v>4.8000000000000007</v>
      </c>
      <c r="H202" s="238">
        <f t="shared" si="88"/>
        <v>3</v>
      </c>
      <c r="I202" s="1101">
        <f t="shared" si="89"/>
        <v>0.65</v>
      </c>
      <c r="J202" s="215">
        <f t="shared" si="90"/>
        <v>0.30970588235294122</v>
      </c>
      <c r="K202" s="215">
        <f t="shared" si="91"/>
        <v>0.82857142857142863</v>
      </c>
      <c r="L202" s="238">
        <f t="shared" si="92"/>
        <v>1</v>
      </c>
      <c r="M202" s="215">
        <f t="shared" si="93"/>
        <v>18.3</v>
      </c>
      <c r="N202" s="1101">
        <f t="shared" si="94"/>
        <v>0.3</v>
      </c>
      <c r="O202" s="1101">
        <f t="shared" si="95"/>
        <v>-2.7807999999999997</v>
      </c>
      <c r="P202" s="215">
        <f t="shared" si="96"/>
        <v>-10.36329411764706</v>
      </c>
      <c r="Q202" s="215">
        <f t="shared" si="97"/>
        <v>8.0343882352941183</v>
      </c>
      <c r="R202" s="215">
        <f t="shared" si="98"/>
        <v>8.0343882352941183</v>
      </c>
      <c r="S202" s="215"/>
      <c r="T202" s="215">
        <f t="shared" si="99"/>
        <v>0</v>
      </c>
      <c r="U202" s="215">
        <f t="shared" si="100"/>
        <v>0</v>
      </c>
      <c r="V202" s="215">
        <f t="shared" si="101"/>
        <v>18.3</v>
      </c>
      <c r="W202" s="237">
        <f t="shared" si="102"/>
        <v>26</v>
      </c>
      <c r="X202" s="215">
        <f t="shared" si="103"/>
        <v>-7.6999999999999993</v>
      </c>
      <c r="Z202" s="29"/>
      <c r="AA202" s="29"/>
      <c r="AB202" s="29"/>
      <c r="AC202" s="29"/>
      <c r="AD202" s="29"/>
    </row>
    <row r="203" spans="1:30" s="238" customFormat="1">
      <c r="A203" s="1136">
        <f t="shared" si="104"/>
        <v>6</v>
      </c>
      <c r="B203" s="238">
        <f t="shared" si="82"/>
        <v>0</v>
      </c>
      <c r="C203" s="215">
        <f t="shared" si="83"/>
        <v>2.4</v>
      </c>
      <c r="D203" s="215">
        <f t="shared" si="84"/>
        <v>2.4000000000000004</v>
      </c>
      <c r="E203" s="215">
        <f t="shared" si="85"/>
        <v>0</v>
      </c>
      <c r="F203" s="215">
        <f t="shared" si="86"/>
        <v>0</v>
      </c>
      <c r="G203" s="1139">
        <f t="shared" si="87"/>
        <v>4.8000000000000007</v>
      </c>
      <c r="H203" s="238">
        <f t="shared" si="88"/>
        <v>32</v>
      </c>
      <c r="I203" s="1101">
        <f t="shared" si="89"/>
        <v>0.65</v>
      </c>
      <c r="J203" s="215">
        <f t="shared" si="90"/>
        <v>3.3035294117647065</v>
      </c>
      <c r="K203" s="215">
        <f t="shared" si="91"/>
        <v>0.82857142857142863</v>
      </c>
      <c r="L203" s="238">
        <f t="shared" si="92"/>
        <v>1</v>
      </c>
      <c r="M203" s="215">
        <f t="shared" si="93"/>
        <v>18.899999999999999</v>
      </c>
      <c r="N203" s="1101">
        <f t="shared" si="94"/>
        <v>0.3</v>
      </c>
      <c r="O203" s="1101">
        <f t="shared" si="95"/>
        <v>-2.5641142857142865</v>
      </c>
      <c r="P203" s="215">
        <f t="shared" si="96"/>
        <v>-9.5557647058823569</v>
      </c>
      <c r="Q203" s="215">
        <f t="shared" si="97"/>
        <v>4.0163495798319353</v>
      </c>
      <c r="R203" s="215">
        <f t="shared" si="98"/>
        <v>4.0163495798319353</v>
      </c>
      <c r="S203" s="215"/>
      <c r="T203" s="215">
        <f t="shared" si="99"/>
        <v>0</v>
      </c>
      <c r="U203" s="215">
        <f t="shared" si="100"/>
        <v>0</v>
      </c>
      <c r="V203" s="215">
        <f t="shared" si="101"/>
        <v>18.899999999999999</v>
      </c>
      <c r="W203" s="237">
        <f t="shared" si="102"/>
        <v>26</v>
      </c>
      <c r="X203" s="215">
        <f t="shared" si="103"/>
        <v>-7.1000000000000014</v>
      </c>
      <c r="Z203" s="29"/>
      <c r="AA203" s="29"/>
      <c r="AB203" s="29"/>
      <c r="AC203" s="29"/>
      <c r="AD203" s="29"/>
    </row>
    <row r="204" spans="1:30" s="238" customFormat="1">
      <c r="A204" s="1136">
        <f t="shared" si="104"/>
        <v>7</v>
      </c>
      <c r="B204" s="238">
        <f t="shared" si="82"/>
        <v>0</v>
      </c>
      <c r="C204" s="215">
        <f t="shared" si="83"/>
        <v>1.44</v>
      </c>
      <c r="D204" s="215">
        <f t="shared" si="84"/>
        <v>9.6000000000000014</v>
      </c>
      <c r="E204" s="215">
        <f t="shared" si="85"/>
        <v>0</v>
      </c>
      <c r="F204" s="215">
        <f t="shared" si="86"/>
        <v>0</v>
      </c>
      <c r="G204" s="1139">
        <f t="shared" si="87"/>
        <v>11.040000000000001</v>
      </c>
      <c r="H204" s="238">
        <f t="shared" si="88"/>
        <v>65</v>
      </c>
      <c r="I204" s="1101">
        <f t="shared" si="89"/>
        <v>0.65</v>
      </c>
      <c r="J204" s="215">
        <f t="shared" si="90"/>
        <v>6.7102941176470594</v>
      </c>
      <c r="K204" s="215">
        <f t="shared" si="91"/>
        <v>0.49714285714285716</v>
      </c>
      <c r="L204" s="238">
        <f t="shared" si="92"/>
        <v>1</v>
      </c>
      <c r="M204" s="215">
        <f t="shared" si="93"/>
        <v>20.3</v>
      </c>
      <c r="N204" s="1101">
        <f t="shared" si="94"/>
        <v>0.3</v>
      </c>
      <c r="O204" s="1101">
        <f t="shared" si="95"/>
        <v>-1.4539885714285714</v>
      </c>
      <c r="P204" s="215">
        <f t="shared" si="96"/>
        <v>-7.6715294117647064</v>
      </c>
      <c r="Q204" s="215">
        <f t="shared" si="97"/>
        <v>-8.6247761344537821</v>
      </c>
      <c r="R204" s="215">
        <f t="shared" si="98"/>
        <v>-8.6247761344537821</v>
      </c>
      <c r="S204" s="215"/>
      <c r="T204" s="215">
        <f t="shared" si="99"/>
        <v>-8.6247761344537821</v>
      </c>
      <c r="U204" s="215">
        <f t="shared" si="100"/>
        <v>-8.6247761344537821</v>
      </c>
      <c r="V204" s="215">
        <f t="shared" si="101"/>
        <v>20.3</v>
      </c>
      <c r="W204" s="237">
        <f t="shared" si="102"/>
        <v>26</v>
      </c>
      <c r="X204" s="215">
        <f t="shared" si="103"/>
        <v>-5.6999999999999993</v>
      </c>
      <c r="Z204" s="29"/>
      <c r="AA204" s="29"/>
      <c r="AB204" s="29"/>
      <c r="AC204" s="29"/>
      <c r="AD204" s="29"/>
    </row>
    <row r="205" spans="1:30" s="238" customFormat="1">
      <c r="A205" s="1136">
        <f t="shared" si="104"/>
        <v>8</v>
      </c>
      <c r="B205" s="238">
        <f t="shared" si="82"/>
        <v>0</v>
      </c>
      <c r="C205" s="215">
        <f t="shared" si="83"/>
        <v>0.96</v>
      </c>
      <c r="D205" s="215">
        <f t="shared" si="84"/>
        <v>2.4000000000000004</v>
      </c>
      <c r="E205" s="215">
        <f t="shared" si="85"/>
        <v>0</v>
      </c>
      <c r="F205" s="215">
        <f t="shared" si="86"/>
        <v>0</v>
      </c>
      <c r="G205" s="1139">
        <f t="shared" si="87"/>
        <v>3.3600000000000003</v>
      </c>
      <c r="H205" s="238">
        <f t="shared" si="88"/>
        <v>77</v>
      </c>
      <c r="I205" s="1101">
        <f t="shared" si="89"/>
        <v>0.65</v>
      </c>
      <c r="J205" s="215">
        <f t="shared" si="90"/>
        <v>7.9491176470588245</v>
      </c>
      <c r="K205" s="215">
        <f t="shared" si="91"/>
        <v>0.33142857142857146</v>
      </c>
      <c r="L205" s="238">
        <f t="shared" si="92"/>
        <v>1</v>
      </c>
      <c r="M205" s="215">
        <f t="shared" si="93"/>
        <v>21.9</v>
      </c>
      <c r="N205" s="1101">
        <f t="shared" si="94"/>
        <v>0.3</v>
      </c>
      <c r="O205" s="1101">
        <f t="shared" si="95"/>
        <v>-0.82843428571428601</v>
      </c>
      <c r="P205" s="215">
        <f t="shared" si="96"/>
        <v>-5.5181176470588262</v>
      </c>
      <c r="Q205" s="215">
        <f t="shared" si="97"/>
        <v>-4.9625657142857129</v>
      </c>
      <c r="R205" s="215">
        <f t="shared" si="98"/>
        <v>-4.9625657142857129</v>
      </c>
      <c r="S205" s="215"/>
      <c r="T205" s="215">
        <f t="shared" si="99"/>
        <v>-4.9625657142857129</v>
      </c>
      <c r="U205" s="215">
        <f t="shared" si="100"/>
        <v>-4.9625657142857129</v>
      </c>
      <c r="V205" s="215">
        <f t="shared" si="101"/>
        <v>21.9</v>
      </c>
      <c r="W205" s="237">
        <f t="shared" si="102"/>
        <v>26</v>
      </c>
      <c r="X205" s="215">
        <f t="shared" si="103"/>
        <v>-4.1000000000000014</v>
      </c>
      <c r="Z205" s="29"/>
      <c r="AA205" s="29"/>
      <c r="AB205" s="29"/>
      <c r="AC205" s="29"/>
      <c r="AD205" s="29"/>
    </row>
    <row r="206" spans="1:30" s="238" customFormat="1">
      <c r="A206" s="1136">
        <f t="shared" si="104"/>
        <v>9</v>
      </c>
      <c r="B206" s="238">
        <f t="shared" si="82"/>
        <v>0</v>
      </c>
      <c r="C206" s="215">
        <f t="shared" si="83"/>
        <v>0</v>
      </c>
      <c r="D206" s="215">
        <f t="shared" si="84"/>
        <v>2.4000000000000004</v>
      </c>
      <c r="E206" s="215">
        <f t="shared" si="85"/>
        <v>0</v>
      </c>
      <c r="F206" s="215">
        <f t="shared" si="86"/>
        <v>0</v>
      </c>
      <c r="G206" s="1139">
        <f t="shared" si="87"/>
        <v>2.4000000000000004</v>
      </c>
      <c r="H206" s="238">
        <f t="shared" si="88"/>
        <v>97</v>
      </c>
      <c r="I206" s="1101">
        <f t="shared" si="89"/>
        <v>0.65</v>
      </c>
      <c r="J206" s="215">
        <f t="shared" si="90"/>
        <v>10.013823529411765</v>
      </c>
      <c r="K206" s="215">
        <f t="shared" si="91"/>
        <v>0.20714285714285716</v>
      </c>
      <c r="L206" s="238">
        <f t="shared" si="92"/>
        <v>1</v>
      </c>
      <c r="M206" s="215">
        <f t="shared" si="93"/>
        <v>24</v>
      </c>
      <c r="N206" s="1101">
        <f t="shared" si="94"/>
        <v>0.3</v>
      </c>
      <c r="O206" s="1101">
        <f t="shared" si="95"/>
        <v>-0.32457142857142857</v>
      </c>
      <c r="P206" s="215">
        <f t="shared" si="96"/>
        <v>-2.6917647058823535</v>
      </c>
      <c r="Q206" s="215">
        <f t="shared" si="97"/>
        <v>-9.3974873949579845</v>
      </c>
      <c r="R206" s="215">
        <f t="shared" si="98"/>
        <v>-9.3974873949579845</v>
      </c>
      <c r="S206" s="215"/>
      <c r="T206" s="215">
        <f t="shared" si="99"/>
        <v>-9.3974873949579845</v>
      </c>
      <c r="U206" s="215">
        <f t="shared" si="100"/>
        <v>-9.3974873949579845</v>
      </c>
      <c r="V206" s="215">
        <f t="shared" si="101"/>
        <v>24</v>
      </c>
      <c r="W206" s="237">
        <f t="shared" si="102"/>
        <v>26</v>
      </c>
      <c r="X206" s="215">
        <f t="shared" si="103"/>
        <v>-2</v>
      </c>
      <c r="Z206" s="29"/>
      <c r="AA206" s="29"/>
      <c r="AB206" s="29"/>
      <c r="AC206" s="29"/>
      <c r="AD206" s="29"/>
    </row>
    <row r="207" spans="1:30" s="238" customFormat="1">
      <c r="A207" s="1136">
        <f t="shared" si="104"/>
        <v>10</v>
      </c>
      <c r="B207" s="238">
        <f t="shared" si="82"/>
        <v>0</v>
      </c>
      <c r="C207" s="215">
        <f t="shared" si="83"/>
        <v>0</v>
      </c>
      <c r="D207" s="215">
        <f t="shared" si="84"/>
        <v>2.4000000000000004</v>
      </c>
      <c r="E207" s="215">
        <f t="shared" si="85"/>
        <v>0</v>
      </c>
      <c r="F207" s="215">
        <f t="shared" si="86"/>
        <v>0</v>
      </c>
      <c r="G207" s="1139">
        <f t="shared" si="87"/>
        <v>2.4000000000000004</v>
      </c>
      <c r="H207" s="238">
        <f t="shared" si="88"/>
        <v>112</v>
      </c>
      <c r="I207" s="1101">
        <f t="shared" si="89"/>
        <v>0.65</v>
      </c>
      <c r="J207" s="215">
        <f t="shared" si="90"/>
        <v>11.562352941176471</v>
      </c>
      <c r="K207" s="215">
        <f t="shared" si="91"/>
        <v>0.20714285714285716</v>
      </c>
      <c r="L207" s="238">
        <f t="shared" si="92"/>
        <v>1</v>
      </c>
      <c r="M207" s="215">
        <f t="shared" si="93"/>
        <v>25</v>
      </c>
      <c r="N207" s="1101">
        <f t="shared" si="94"/>
        <v>0.3</v>
      </c>
      <c r="O207" s="1101">
        <f t="shared" si="95"/>
        <v>-0.16228571428571428</v>
      </c>
      <c r="P207" s="215">
        <f t="shared" si="96"/>
        <v>-1.3458823529411768</v>
      </c>
      <c r="Q207" s="215">
        <f t="shared" si="97"/>
        <v>-12.454184873949581</v>
      </c>
      <c r="R207" s="215">
        <f t="shared" si="98"/>
        <v>-12.454184873949581</v>
      </c>
      <c r="S207" s="215"/>
      <c r="T207" s="215">
        <f t="shared" si="99"/>
        <v>-12.454184873949581</v>
      </c>
      <c r="U207" s="215">
        <f t="shared" si="100"/>
        <v>-12.454184873949581</v>
      </c>
      <c r="V207" s="215">
        <f t="shared" si="101"/>
        <v>25</v>
      </c>
      <c r="W207" s="237">
        <f t="shared" si="102"/>
        <v>26</v>
      </c>
      <c r="X207" s="215">
        <f t="shared" si="103"/>
        <v>-1</v>
      </c>
      <c r="Z207" s="29"/>
      <c r="AA207" s="29"/>
      <c r="AB207" s="29"/>
      <c r="AC207" s="29"/>
      <c r="AD207" s="29"/>
    </row>
    <row r="208" spans="1:30" s="238" customFormat="1">
      <c r="A208" s="1136">
        <f t="shared" si="104"/>
        <v>11</v>
      </c>
      <c r="B208" s="238">
        <f t="shared" si="82"/>
        <v>0</v>
      </c>
      <c r="C208" s="215">
        <f t="shared" si="83"/>
        <v>0</v>
      </c>
      <c r="D208" s="215">
        <f t="shared" si="84"/>
        <v>2.4000000000000004</v>
      </c>
      <c r="E208" s="215">
        <f t="shared" si="85"/>
        <v>0</v>
      </c>
      <c r="F208" s="215">
        <f t="shared" si="86"/>
        <v>0</v>
      </c>
      <c r="G208" s="1139">
        <f t="shared" si="87"/>
        <v>2.4000000000000004</v>
      </c>
      <c r="H208" s="238">
        <f t="shared" si="88"/>
        <v>117</v>
      </c>
      <c r="I208" s="1101">
        <f t="shared" si="89"/>
        <v>0.65</v>
      </c>
      <c r="J208" s="215">
        <f t="shared" si="90"/>
        <v>12.078529411764707</v>
      </c>
      <c r="K208" s="215">
        <f t="shared" si="91"/>
        <v>0.20714285714285716</v>
      </c>
      <c r="L208" s="238">
        <f t="shared" si="92"/>
        <v>1</v>
      </c>
      <c r="M208" s="215">
        <f t="shared" si="93"/>
        <v>26.7</v>
      </c>
      <c r="N208" s="1101">
        <f t="shared" si="94"/>
        <v>0.3</v>
      </c>
      <c r="O208" s="1101">
        <f t="shared" si="95"/>
        <v>0.1135999999999999</v>
      </c>
      <c r="P208" s="215">
        <f t="shared" si="96"/>
        <v>0.94211764705882273</v>
      </c>
      <c r="Q208" s="215">
        <f t="shared" si="97"/>
        <v>-15.53424705882353</v>
      </c>
      <c r="R208" s="215">
        <f t="shared" si="98"/>
        <v>-15.53424705882353</v>
      </c>
      <c r="S208" s="215"/>
      <c r="T208" s="215">
        <f t="shared" si="99"/>
        <v>-15.53424705882353</v>
      </c>
      <c r="U208" s="215">
        <f t="shared" si="100"/>
        <v>-15.53424705882353</v>
      </c>
      <c r="V208" s="215">
        <f t="shared" si="101"/>
        <v>26.7</v>
      </c>
      <c r="W208" s="237">
        <f t="shared" si="102"/>
        <v>26</v>
      </c>
      <c r="X208" s="215">
        <f t="shared" si="103"/>
        <v>0.69999999999999929</v>
      </c>
      <c r="Z208" s="29"/>
      <c r="AA208" s="29"/>
      <c r="AB208" s="29"/>
      <c r="AC208" s="29"/>
      <c r="AD208" s="29"/>
    </row>
    <row r="209" spans="1:30" s="238" customFormat="1">
      <c r="A209" s="1136">
        <f t="shared" si="104"/>
        <v>12</v>
      </c>
      <c r="B209" s="238">
        <f t="shared" si="82"/>
        <v>0</v>
      </c>
      <c r="C209" s="215">
        <f t="shared" si="83"/>
        <v>0</v>
      </c>
      <c r="D209" s="215">
        <f t="shared" si="84"/>
        <v>2.4000000000000004</v>
      </c>
      <c r="E209" s="215">
        <f t="shared" si="85"/>
        <v>0</v>
      </c>
      <c r="F209" s="215">
        <f t="shared" si="86"/>
        <v>0</v>
      </c>
      <c r="G209" s="1139">
        <f t="shared" si="87"/>
        <v>2.4000000000000004</v>
      </c>
      <c r="H209" s="238">
        <f t="shared" si="88"/>
        <v>128</v>
      </c>
      <c r="I209" s="1101">
        <f t="shared" si="89"/>
        <v>0.65</v>
      </c>
      <c r="J209" s="215">
        <f t="shared" si="90"/>
        <v>13.214117647058826</v>
      </c>
      <c r="K209" s="215">
        <f t="shared" si="91"/>
        <v>0.20714285714285716</v>
      </c>
      <c r="L209" s="238">
        <f t="shared" si="92"/>
        <v>0</v>
      </c>
      <c r="M209" s="215">
        <f t="shared" si="93"/>
        <v>28.2</v>
      </c>
      <c r="N209" s="1101">
        <f t="shared" si="94"/>
        <v>0.3</v>
      </c>
      <c r="O209" s="1101">
        <f t="shared" si="95"/>
        <v>0.35702857142857136</v>
      </c>
      <c r="P209" s="215">
        <f t="shared" si="96"/>
        <v>2.960941176470588</v>
      </c>
      <c r="Q209" s="215">
        <f t="shared" si="97"/>
        <v>-18.932087394957986</v>
      </c>
      <c r="R209" s="215">
        <f t="shared" si="98"/>
        <v>-18.932087394957986</v>
      </c>
      <c r="S209" s="215"/>
      <c r="T209" s="215">
        <f t="shared" si="99"/>
        <v>-18.932087394957986</v>
      </c>
      <c r="U209" s="215">
        <f t="shared" si="100"/>
        <v>-18.932087394957986</v>
      </c>
      <c r="V209" s="215">
        <f t="shared" si="101"/>
        <v>28.2</v>
      </c>
      <c r="W209" s="237">
        <f t="shared" si="102"/>
        <v>26</v>
      </c>
      <c r="X209" s="215">
        <f t="shared" si="103"/>
        <v>2.1999999999999993</v>
      </c>
      <c r="Z209" s="29"/>
      <c r="AA209" s="29"/>
      <c r="AB209" s="29"/>
      <c r="AC209" s="29"/>
      <c r="AD209" s="29"/>
    </row>
    <row r="210" spans="1:30" s="238" customFormat="1">
      <c r="A210" s="1136">
        <f t="shared" si="104"/>
        <v>13</v>
      </c>
      <c r="B210" s="238">
        <f t="shared" si="82"/>
        <v>0</v>
      </c>
      <c r="C210" s="215">
        <f t="shared" si="83"/>
        <v>1.92</v>
      </c>
      <c r="D210" s="215">
        <f t="shared" si="84"/>
        <v>9.6000000000000014</v>
      </c>
      <c r="E210" s="215">
        <f t="shared" si="85"/>
        <v>0</v>
      </c>
      <c r="F210" s="215">
        <f t="shared" si="86"/>
        <v>0</v>
      </c>
      <c r="G210" s="1139">
        <f t="shared" si="87"/>
        <v>11.520000000000001</v>
      </c>
      <c r="H210" s="238">
        <f t="shared" si="88"/>
        <v>267</v>
      </c>
      <c r="I210" s="1101">
        <f t="shared" si="89"/>
        <v>0.2</v>
      </c>
      <c r="J210" s="215">
        <f t="shared" si="90"/>
        <v>8.4811764705882364</v>
      </c>
      <c r="K210" s="215">
        <f t="shared" si="91"/>
        <v>0.66285714285714292</v>
      </c>
      <c r="L210" s="238">
        <f t="shared" si="92"/>
        <v>0</v>
      </c>
      <c r="M210" s="215">
        <f t="shared" si="93"/>
        <v>29.6</v>
      </c>
      <c r="N210" s="1101">
        <f t="shared" si="94"/>
        <v>0.3</v>
      </c>
      <c r="O210" s="1101">
        <f t="shared" si="95"/>
        <v>1.1092114285714292</v>
      </c>
      <c r="P210" s="215">
        <f t="shared" si="96"/>
        <v>4.8451764705882381</v>
      </c>
      <c r="Q210" s="215">
        <f t="shared" si="97"/>
        <v>-25.955564369747908</v>
      </c>
      <c r="R210" s="215">
        <f t="shared" si="98"/>
        <v>-25.955564369747908</v>
      </c>
      <c r="S210" s="215"/>
      <c r="T210" s="215">
        <f t="shared" si="99"/>
        <v>-25.955564369747908</v>
      </c>
      <c r="U210" s="215">
        <f t="shared" si="100"/>
        <v>-25.955564369747908</v>
      </c>
      <c r="V210" s="215">
        <f t="shared" si="101"/>
        <v>29.6</v>
      </c>
      <c r="W210" s="237">
        <f t="shared" si="102"/>
        <v>26</v>
      </c>
      <c r="X210" s="215">
        <f t="shared" si="103"/>
        <v>3.6000000000000014</v>
      </c>
      <c r="Z210" s="29"/>
      <c r="AA210" s="29"/>
      <c r="AB210" s="29"/>
      <c r="AC210" s="29"/>
      <c r="AD210" s="29"/>
    </row>
    <row r="211" spans="1:30" s="238" customFormat="1">
      <c r="A211" s="1136">
        <f t="shared" si="104"/>
        <v>14</v>
      </c>
      <c r="B211" s="238">
        <f t="shared" si="82"/>
        <v>0</v>
      </c>
      <c r="C211" s="215">
        <f t="shared" si="83"/>
        <v>0.96</v>
      </c>
      <c r="D211" s="215">
        <f t="shared" si="84"/>
        <v>2.4000000000000004</v>
      </c>
      <c r="E211" s="215">
        <f t="shared" si="85"/>
        <v>0</v>
      </c>
      <c r="F211" s="215">
        <f t="shared" si="86"/>
        <v>0</v>
      </c>
      <c r="G211" s="1139">
        <f t="shared" si="87"/>
        <v>3.3600000000000003</v>
      </c>
      <c r="H211" s="238">
        <f t="shared" si="88"/>
        <v>456</v>
      </c>
      <c r="I211" s="1101">
        <f t="shared" si="89"/>
        <v>0.2</v>
      </c>
      <c r="J211" s="215">
        <f t="shared" si="90"/>
        <v>14.484705882352944</v>
      </c>
      <c r="K211" s="215">
        <f t="shared" si="91"/>
        <v>0.33142857142857146</v>
      </c>
      <c r="L211" s="238">
        <f t="shared" si="92"/>
        <v>0</v>
      </c>
      <c r="M211" s="215">
        <f t="shared" si="93"/>
        <v>30.5</v>
      </c>
      <c r="N211" s="1101">
        <f t="shared" si="94"/>
        <v>0.3</v>
      </c>
      <c r="O211" s="1101">
        <f t="shared" si="95"/>
        <v>0.90925714285714299</v>
      </c>
      <c r="P211" s="215">
        <f t="shared" si="96"/>
        <v>6.0564705882352952</v>
      </c>
      <c r="Q211" s="215">
        <f t="shared" si="97"/>
        <v>-24.810433613445383</v>
      </c>
      <c r="R211" s="215">
        <f t="shared" si="98"/>
        <v>-24.810433613445383</v>
      </c>
      <c r="S211" s="215"/>
      <c r="T211" s="215">
        <f t="shared" si="99"/>
        <v>-24.810433613445383</v>
      </c>
      <c r="U211" s="215">
        <f t="shared" si="100"/>
        <v>-24.810433613445383</v>
      </c>
      <c r="V211" s="215">
        <f t="shared" si="101"/>
        <v>30.5</v>
      </c>
      <c r="W211" s="237">
        <f t="shared" si="102"/>
        <v>26</v>
      </c>
      <c r="X211" s="215">
        <f t="shared" si="103"/>
        <v>4.5</v>
      </c>
      <c r="Z211" s="29"/>
      <c r="AA211" s="29"/>
      <c r="AB211" s="29"/>
      <c r="AC211" s="29"/>
      <c r="AD211" s="29"/>
    </row>
    <row r="212" spans="1:30" s="238" customFormat="1">
      <c r="A212" s="1136">
        <f t="shared" si="104"/>
        <v>15</v>
      </c>
      <c r="B212" s="238">
        <f t="shared" si="82"/>
        <v>0</v>
      </c>
      <c r="C212" s="215">
        <f t="shared" si="83"/>
        <v>0</v>
      </c>
      <c r="D212" s="215">
        <f t="shared" si="84"/>
        <v>2.4000000000000004</v>
      </c>
      <c r="E212" s="215">
        <f t="shared" si="85"/>
        <v>0</v>
      </c>
      <c r="F212" s="215">
        <f t="shared" si="86"/>
        <v>0</v>
      </c>
      <c r="G212" s="1139">
        <f t="shared" si="87"/>
        <v>2.4000000000000004</v>
      </c>
      <c r="H212" s="238">
        <f t="shared" si="88"/>
        <v>602</v>
      </c>
      <c r="I212" s="1101">
        <f t="shared" si="89"/>
        <v>0.2</v>
      </c>
      <c r="J212" s="215">
        <f t="shared" si="90"/>
        <v>19.122352941176473</v>
      </c>
      <c r="K212" s="215">
        <f t="shared" si="91"/>
        <v>0.20714285714285716</v>
      </c>
      <c r="L212" s="238">
        <f t="shared" si="92"/>
        <v>0</v>
      </c>
      <c r="M212" s="215">
        <f t="shared" si="93"/>
        <v>31.4</v>
      </c>
      <c r="N212" s="1101">
        <f t="shared" si="94"/>
        <v>0.3</v>
      </c>
      <c r="O212" s="1101">
        <f t="shared" si="95"/>
        <v>0.87634285714285687</v>
      </c>
      <c r="P212" s="215">
        <f t="shared" si="96"/>
        <v>7.2677647058823522</v>
      </c>
      <c r="Q212" s="215">
        <f t="shared" si="97"/>
        <v>-29.66646050420168</v>
      </c>
      <c r="R212" s="215">
        <f t="shared" si="98"/>
        <v>-29.66646050420168</v>
      </c>
      <c r="S212" s="215"/>
      <c r="T212" s="215">
        <f t="shared" si="99"/>
        <v>-29.66646050420168</v>
      </c>
      <c r="U212" s="215">
        <f t="shared" si="100"/>
        <v>-29.66646050420168</v>
      </c>
      <c r="V212" s="215">
        <f t="shared" si="101"/>
        <v>31.4</v>
      </c>
      <c r="W212" s="237">
        <f t="shared" si="102"/>
        <v>26</v>
      </c>
      <c r="X212" s="215">
        <f t="shared" si="103"/>
        <v>5.3999999999999986</v>
      </c>
      <c r="Z212" s="29"/>
      <c r="AA212" s="29"/>
      <c r="AB212" s="29"/>
      <c r="AC212" s="29"/>
      <c r="AD212" s="29"/>
    </row>
    <row r="213" spans="1:30" s="238" customFormat="1">
      <c r="A213" s="1136">
        <f t="shared" si="104"/>
        <v>16</v>
      </c>
      <c r="B213" s="238">
        <f t="shared" si="82"/>
        <v>1</v>
      </c>
      <c r="C213" s="215">
        <f t="shared" si="83"/>
        <v>0</v>
      </c>
      <c r="D213" s="215">
        <f t="shared" si="84"/>
        <v>2.4000000000000004</v>
      </c>
      <c r="E213" s="215">
        <f t="shared" si="85"/>
        <v>0</v>
      </c>
      <c r="F213" s="215">
        <f t="shared" si="86"/>
        <v>0</v>
      </c>
      <c r="G213" s="1139">
        <f t="shared" si="87"/>
        <v>2.4000000000000004</v>
      </c>
      <c r="H213" s="238">
        <f t="shared" si="88"/>
        <v>680</v>
      </c>
      <c r="I213" s="1101">
        <f t="shared" si="89"/>
        <v>0.2</v>
      </c>
      <c r="J213" s="215">
        <f t="shared" si="90"/>
        <v>21.6</v>
      </c>
      <c r="K213" s="215">
        <f t="shared" si="91"/>
        <v>0.20714285714285716</v>
      </c>
      <c r="L213" s="238">
        <f t="shared" si="92"/>
        <v>0</v>
      </c>
      <c r="M213" s="215">
        <f t="shared" si="93"/>
        <v>31.9</v>
      </c>
      <c r="N213" s="1101">
        <f t="shared" si="94"/>
        <v>0.3</v>
      </c>
      <c r="O213" s="1101">
        <f t="shared" si="95"/>
        <v>0.95748571428571416</v>
      </c>
      <c r="P213" s="215">
        <f t="shared" si="96"/>
        <v>7.9407058823529413</v>
      </c>
      <c r="Q213" s="215">
        <f t="shared" si="97"/>
        <v>-32.898191596638654</v>
      </c>
      <c r="R213" s="215">
        <f t="shared" si="98"/>
        <v>-32.898191596638654</v>
      </c>
      <c r="S213" s="215"/>
      <c r="T213" s="215">
        <f t="shared" si="99"/>
        <v>-32.898191596638654</v>
      </c>
      <c r="U213" s="215">
        <f t="shared" si="100"/>
        <v>-32.898191596638654</v>
      </c>
      <c r="V213" s="215">
        <f t="shared" si="101"/>
        <v>31.9</v>
      </c>
      <c r="W213" s="237">
        <f t="shared" si="102"/>
        <v>26</v>
      </c>
      <c r="X213" s="215">
        <f t="shared" si="103"/>
        <v>5.8999999999999986</v>
      </c>
      <c r="Z213" s="29"/>
      <c r="AA213" s="29"/>
      <c r="AB213" s="29"/>
      <c r="AC213" s="29"/>
      <c r="AD213" s="29"/>
    </row>
    <row r="214" spans="1:30" s="238" customFormat="1">
      <c r="A214" s="1136">
        <f t="shared" si="104"/>
        <v>17</v>
      </c>
      <c r="B214" s="238">
        <f t="shared" si="82"/>
        <v>0</v>
      </c>
      <c r="C214" s="215">
        <f t="shared" si="83"/>
        <v>0</v>
      </c>
      <c r="D214" s="215">
        <f t="shared" si="84"/>
        <v>2.4000000000000004</v>
      </c>
      <c r="E214" s="215">
        <f t="shared" si="85"/>
        <v>0</v>
      </c>
      <c r="F214" s="215">
        <f t="shared" si="86"/>
        <v>0</v>
      </c>
      <c r="G214" s="1139">
        <f t="shared" si="87"/>
        <v>2.4000000000000004</v>
      </c>
      <c r="H214" s="238">
        <f t="shared" si="88"/>
        <v>670</v>
      </c>
      <c r="I214" s="1101">
        <f t="shared" si="89"/>
        <v>0.2</v>
      </c>
      <c r="J214" s="215">
        <f t="shared" si="90"/>
        <v>21.282352941176473</v>
      </c>
      <c r="K214" s="215">
        <f t="shared" si="91"/>
        <v>0.20714285714285716</v>
      </c>
      <c r="L214" s="238">
        <f t="shared" si="92"/>
        <v>0</v>
      </c>
      <c r="M214" s="215">
        <f t="shared" si="93"/>
        <v>32</v>
      </c>
      <c r="N214" s="1101">
        <f t="shared" si="94"/>
        <v>0.3</v>
      </c>
      <c r="O214" s="1101">
        <f t="shared" si="95"/>
        <v>0.97371428571428564</v>
      </c>
      <c r="P214" s="215">
        <f t="shared" si="96"/>
        <v>8.0752941176470614</v>
      </c>
      <c r="Q214" s="215">
        <f t="shared" si="97"/>
        <v>-32.731361344537824</v>
      </c>
      <c r="R214" s="215">
        <f t="shared" si="98"/>
        <v>-32.731361344537824</v>
      </c>
      <c r="S214" s="215"/>
      <c r="T214" s="215">
        <f t="shared" si="99"/>
        <v>-32.731361344537824</v>
      </c>
      <c r="U214" s="215">
        <f t="shared" si="100"/>
        <v>-32.731361344537824</v>
      </c>
      <c r="V214" s="215">
        <f t="shared" si="101"/>
        <v>32</v>
      </c>
      <c r="W214" s="237">
        <f t="shared" si="102"/>
        <v>26</v>
      </c>
      <c r="X214" s="215">
        <f t="shared" si="103"/>
        <v>6</v>
      </c>
      <c r="Z214" s="29"/>
      <c r="AA214" s="29"/>
      <c r="AB214" s="29"/>
      <c r="AC214" s="29"/>
      <c r="AD214" s="29"/>
    </row>
    <row r="215" spans="1:30" s="238" customFormat="1">
      <c r="A215" s="1136">
        <f t="shared" si="104"/>
        <v>18</v>
      </c>
      <c r="B215" s="238">
        <f t="shared" si="82"/>
        <v>0</v>
      </c>
      <c r="C215" s="215">
        <f t="shared" si="83"/>
        <v>0.96</v>
      </c>
      <c r="D215" s="215">
        <f t="shared" si="84"/>
        <v>2.4000000000000004</v>
      </c>
      <c r="E215" s="215">
        <f t="shared" si="85"/>
        <v>0</v>
      </c>
      <c r="F215" s="215">
        <f t="shared" si="86"/>
        <v>0</v>
      </c>
      <c r="G215" s="1139">
        <f t="shared" si="87"/>
        <v>3.3600000000000003</v>
      </c>
      <c r="H215" s="238">
        <f t="shared" si="88"/>
        <v>551</v>
      </c>
      <c r="I215" s="1101">
        <f t="shared" si="89"/>
        <v>0.2</v>
      </c>
      <c r="J215" s="215">
        <f t="shared" si="90"/>
        <v>17.502352941176472</v>
      </c>
      <c r="K215" s="215">
        <f t="shared" si="91"/>
        <v>0.33142857142857146</v>
      </c>
      <c r="L215" s="238">
        <f t="shared" si="92"/>
        <v>0</v>
      </c>
      <c r="M215" s="215">
        <f t="shared" si="93"/>
        <v>30.6</v>
      </c>
      <c r="N215" s="1101">
        <f t="shared" si="94"/>
        <v>0.3</v>
      </c>
      <c r="O215" s="1101">
        <f t="shared" si="95"/>
        <v>0.92946285714285748</v>
      </c>
      <c r="P215" s="215">
        <f t="shared" si="96"/>
        <v>6.1910588235294153</v>
      </c>
      <c r="Q215" s="215">
        <f t="shared" si="97"/>
        <v>-27.982874621848744</v>
      </c>
      <c r="R215" s="215">
        <f t="shared" si="98"/>
        <v>-27.982874621848744</v>
      </c>
      <c r="S215" s="215"/>
      <c r="T215" s="215">
        <f t="shared" si="99"/>
        <v>-27.982874621848744</v>
      </c>
      <c r="U215" s="215">
        <f t="shared" si="100"/>
        <v>-27.982874621848744</v>
      </c>
      <c r="V215" s="215">
        <f t="shared" si="101"/>
        <v>30.6</v>
      </c>
      <c r="W215" s="237">
        <f t="shared" si="102"/>
        <v>26</v>
      </c>
      <c r="X215" s="215">
        <f t="shared" si="103"/>
        <v>4.6000000000000014</v>
      </c>
      <c r="Z215" s="29"/>
      <c r="AA215" s="29"/>
      <c r="AB215" s="29"/>
      <c r="AC215" s="29"/>
      <c r="AD215" s="29"/>
    </row>
    <row r="216" spans="1:30" s="238" customFormat="1">
      <c r="A216" s="1136">
        <f t="shared" si="104"/>
        <v>19</v>
      </c>
      <c r="B216" s="238">
        <f t="shared" si="82"/>
        <v>0</v>
      </c>
      <c r="C216" s="215">
        <f t="shared" si="83"/>
        <v>1.92</v>
      </c>
      <c r="D216" s="215">
        <f t="shared" si="84"/>
        <v>9.6000000000000014</v>
      </c>
      <c r="E216" s="215">
        <f t="shared" si="85"/>
        <v>0</v>
      </c>
      <c r="F216" s="215">
        <f t="shared" si="86"/>
        <v>0</v>
      </c>
      <c r="G216" s="1139">
        <f t="shared" si="87"/>
        <v>11.520000000000001</v>
      </c>
      <c r="H216" s="238">
        <f t="shared" si="88"/>
        <v>238</v>
      </c>
      <c r="I216" s="1101">
        <f t="shared" si="89"/>
        <v>0.2</v>
      </c>
      <c r="J216" s="215">
        <f t="shared" si="90"/>
        <v>7.5600000000000014</v>
      </c>
      <c r="K216" s="215">
        <f t="shared" si="91"/>
        <v>0.66285714285714292</v>
      </c>
      <c r="L216" s="238">
        <f t="shared" si="92"/>
        <v>1</v>
      </c>
      <c r="M216" s="215">
        <f t="shared" si="93"/>
        <v>27.4</v>
      </c>
      <c r="N216" s="1101">
        <f t="shared" si="94"/>
        <v>0.3</v>
      </c>
      <c r="O216" s="1101">
        <f t="shared" si="95"/>
        <v>0.43135999999999963</v>
      </c>
      <c r="P216" s="215">
        <f t="shared" si="96"/>
        <v>1.8842352941176455</v>
      </c>
      <c r="Q216" s="215">
        <f t="shared" si="97"/>
        <v>-21.395595294117644</v>
      </c>
      <c r="R216" s="215">
        <f t="shared" si="98"/>
        <v>-21.395595294117644</v>
      </c>
      <c r="S216" s="215"/>
      <c r="T216" s="215">
        <f t="shared" si="99"/>
        <v>-21.395595294117644</v>
      </c>
      <c r="U216" s="215">
        <f t="shared" si="100"/>
        <v>-21.395595294117644</v>
      </c>
      <c r="V216" s="215">
        <f t="shared" si="101"/>
        <v>27.4</v>
      </c>
      <c r="W216" s="237">
        <f t="shared" si="102"/>
        <v>26</v>
      </c>
      <c r="X216" s="215">
        <f t="shared" si="103"/>
        <v>1.3999999999999986</v>
      </c>
      <c r="Z216" s="29"/>
      <c r="AA216" s="29"/>
      <c r="AB216" s="29"/>
      <c r="AC216" s="29"/>
      <c r="AD216" s="29"/>
    </row>
    <row r="217" spans="1:30" s="238" customFormat="1">
      <c r="A217" s="1136">
        <f t="shared" si="104"/>
        <v>20</v>
      </c>
      <c r="B217" s="238">
        <f t="shared" si="82"/>
        <v>0</v>
      </c>
      <c r="C217" s="215">
        <f t="shared" si="83"/>
        <v>1.92</v>
      </c>
      <c r="D217" s="215">
        <f t="shared" si="84"/>
        <v>12</v>
      </c>
      <c r="E217" s="215">
        <f t="shared" si="85"/>
        <v>0</v>
      </c>
      <c r="F217" s="215">
        <f t="shared" si="86"/>
        <v>3.8303571428571437</v>
      </c>
      <c r="G217" s="1139">
        <f t="shared" si="87"/>
        <v>17.750357142857144</v>
      </c>
      <c r="H217" s="238">
        <f t="shared" si="88"/>
        <v>0</v>
      </c>
      <c r="I217" s="1101">
        <f t="shared" si="89"/>
        <v>0.65</v>
      </c>
      <c r="J217" s="215">
        <f t="shared" si="90"/>
        <v>0</v>
      </c>
      <c r="K217" s="215">
        <f t="shared" si="91"/>
        <v>0.66285714285714292</v>
      </c>
      <c r="L217" s="238">
        <f t="shared" si="92"/>
        <v>1</v>
      </c>
      <c r="M217" s="215">
        <f t="shared" si="93"/>
        <v>26.4</v>
      </c>
      <c r="N217" s="1101">
        <f t="shared" si="94"/>
        <v>0.3</v>
      </c>
      <c r="O217" s="1101">
        <f t="shared" si="95"/>
        <v>0.12324571428571386</v>
      </c>
      <c r="P217" s="215">
        <f t="shared" si="96"/>
        <v>0.53835294117646881</v>
      </c>
      <c r="Q217" s="215">
        <f t="shared" si="97"/>
        <v>-18.411955798319326</v>
      </c>
      <c r="R217" s="215">
        <f t="shared" si="98"/>
        <v>-18.411955798319326</v>
      </c>
      <c r="S217" s="215"/>
      <c r="T217" s="215">
        <f t="shared" si="99"/>
        <v>-18.411955798319326</v>
      </c>
      <c r="U217" s="215">
        <f t="shared" si="100"/>
        <v>-18.411955798319326</v>
      </c>
      <c r="V217" s="215">
        <f t="shared" si="101"/>
        <v>26.4</v>
      </c>
      <c r="W217" s="237">
        <f t="shared" si="102"/>
        <v>26</v>
      </c>
      <c r="X217" s="215">
        <f t="shared" si="103"/>
        <v>0.39999999999999858</v>
      </c>
      <c r="Z217" s="29"/>
      <c r="AA217" s="29"/>
      <c r="AB217" s="29"/>
      <c r="AC217" s="29"/>
      <c r="AD217" s="29"/>
    </row>
    <row r="218" spans="1:30" s="238" customFormat="1">
      <c r="A218" s="1136">
        <f t="shared" si="104"/>
        <v>21</v>
      </c>
      <c r="B218" s="238">
        <f t="shared" si="82"/>
        <v>0</v>
      </c>
      <c r="C218" s="215">
        <f t="shared" si="83"/>
        <v>1.92</v>
      </c>
      <c r="D218" s="215">
        <f t="shared" si="84"/>
        <v>2.4000000000000004</v>
      </c>
      <c r="E218" s="215">
        <f t="shared" si="85"/>
        <v>0</v>
      </c>
      <c r="F218" s="215">
        <f t="shared" si="86"/>
        <v>3.8303571428571437</v>
      </c>
      <c r="G218" s="1139">
        <f t="shared" si="87"/>
        <v>8.1503571428571444</v>
      </c>
      <c r="H218" s="238">
        <f t="shared" si="88"/>
        <v>0</v>
      </c>
      <c r="I218" s="1101">
        <f t="shared" si="89"/>
        <v>0.65</v>
      </c>
      <c r="J218" s="215">
        <f t="shared" si="90"/>
        <v>0</v>
      </c>
      <c r="K218" s="215">
        <f t="shared" si="91"/>
        <v>0.66285714285714292</v>
      </c>
      <c r="L218" s="238">
        <f t="shared" si="92"/>
        <v>1</v>
      </c>
      <c r="M218" s="215">
        <f t="shared" si="93"/>
        <v>26.9</v>
      </c>
      <c r="N218" s="1101">
        <f t="shared" si="94"/>
        <v>0.3</v>
      </c>
      <c r="O218" s="1101">
        <f t="shared" si="95"/>
        <v>0.27730285714285674</v>
      </c>
      <c r="P218" s="215">
        <f t="shared" si="96"/>
        <v>1.2112941176470571</v>
      </c>
      <c r="Q218" s="215">
        <f t="shared" si="97"/>
        <v>-9.6389541176470583</v>
      </c>
      <c r="R218" s="215">
        <f t="shared" si="98"/>
        <v>-9.6389541176470583</v>
      </c>
      <c r="S218" s="215"/>
      <c r="T218" s="215">
        <f t="shared" si="99"/>
        <v>-9.6389541176470583</v>
      </c>
      <c r="U218" s="215">
        <f t="shared" si="100"/>
        <v>-9.6389541176470583</v>
      </c>
      <c r="V218" s="215">
        <f t="shared" si="101"/>
        <v>26.9</v>
      </c>
      <c r="W218" s="237">
        <f t="shared" si="102"/>
        <v>26</v>
      </c>
      <c r="X218" s="215">
        <f t="shared" si="103"/>
        <v>0.89999999999999858</v>
      </c>
      <c r="Z218" s="29"/>
      <c r="AA218" s="29"/>
      <c r="AB218" s="29"/>
      <c r="AC218" s="29"/>
      <c r="AD218" s="29"/>
    </row>
    <row r="219" spans="1:30" s="238" customFormat="1">
      <c r="A219" s="1136">
        <f t="shared" si="104"/>
        <v>22</v>
      </c>
      <c r="B219" s="238">
        <f t="shared" si="82"/>
        <v>0</v>
      </c>
      <c r="C219" s="215">
        <f t="shared" si="83"/>
        <v>2.4</v>
      </c>
      <c r="D219" s="215">
        <f t="shared" si="84"/>
        <v>2.4000000000000004</v>
      </c>
      <c r="E219" s="215">
        <f t="shared" si="85"/>
        <v>0</v>
      </c>
      <c r="F219" s="215">
        <f t="shared" si="86"/>
        <v>3.8303571428571437</v>
      </c>
      <c r="G219" s="1139">
        <f t="shared" si="87"/>
        <v>8.6303571428571448</v>
      </c>
      <c r="H219" s="238">
        <f t="shared" si="88"/>
        <v>0</v>
      </c>
      <c r="I219" s="1101">
        <f t="shared" si="89"/>
        <v>0.65</v>
      </c>
      <c r="J219" s="215">
        <f t="shared" si="90"/>
        <v>0</v>
      </c>
      <c r="K219" s="215">
        <f t="shared" si="91"/>
        <v>0.82857142857142863</v>
      </c>
      <c r="L219" s="238">
        <f t="shared" si="92"/>
        <v>1</v>
      </c>
      <c r="M219" s="215">
        <f t="shared" si="93"/>
        <v>24.9</v>
      </c>
      <c r="N219" s="1101">
        <f t="shared" si="94"/>
        <v>0.3</v>
      </c>
      <c r="O219" s="1101">
        <f t="shared" si="95"/>
        <v>-0.39725714285714342</v>
      </c>
      <c r="P219" s="215">
        <f t="shared" si="96"/>
        <v>-1.4804705882352964</v>
      </c>
      <c r="Q219" s="215">
        <f t="shared" si="97"/>
        <v>-6.7526294117647057</v>
      </c>
      <c r="R219" s="215">
        <f t="shared" si="98"/>
        <v>-6.7526294117647057</v>
      </c>
      <c r="S219" s="215"/>
      <c r="T219" s="215">
        <f t="shared" si="99"/>
        <v>-6.7526294117647057</v>
      </c>
      <c r="U219" s="215">
        <f t="shared" si="100"/>
        <v>-6.7526294117647057</v>
      </c>
      <c r="V219" s="215">
        <f t="shared" si="101"/>
        <v>24.9</v>
      </c>
      <c r="W219" s="237">
        <f t="shared" si="102"/>
        <v>26</v>
      </c>
      <c r="X219" s="215">
        <f t="shared" si="103"/>
        <v>-1.1000000000000014</v>
      </c>
      <c r="Z219" s="29"/>
      <c r="AA219" s="29"/>
      <c r="AB219" s="29"/>
      <c r="AC219" s="29"/>
      <c r="AD219" s="29"/>
    </row>
    <row r="220" spans="1:30" s="238" customFormat="1">
      <c r="A220" s="1136">
        <f t="shared" si="104"/>
        <v>23</v>
      </c>
      <c r="B220" s="238">
        <f t="shared" si="82"/>
        <v>0</v>
      </c>
      <c r="C220" s="215">
        <f t="shared" si="83"/>
        <v>2.4</v>
      </c>
      <c r="D220" s="215">
        <f t="shared" si="84"/>
        <v>2.4000000000000004</v>
      </c>
      <c r="E220" s="215">
        <f t="shared" si="85"/>
        <v>0</v>
      </c>
      <c r="F220" s="215">
        <f t="shared" si="86"/>
        <v>0</v>
      </c>
      <c r="G220" s="1139">
        <f t="shared" si="87"/>
        <v>4.8000000000000007</v>
      </c>
      <c r="H220" s="238">
        <f t="shared" si="88"/>
        <v>0</v>
      </c>
      <c r="I220" s="1101">
        <f t="shared" si="89"/>
        <v>0.65</v>
      </c>
      <c r="J220" s="215">
        <f t="shared" si="90"/>
        <v>0</v>
      </c>
      <c r="K220" s="215">
        <f t="shared" si="91"/>
        <v>0.82857142857142863</v>
      </c>
      <c r="L220" s="238">
        <f t="shared" si="92"/>
        <v>1</v>
      </c>
      <c r="M220" s="215">
        <f t="shared" si="93"/>
        <v>22.9</v>
      </c>
      <c r="N220" s="1101">
        <f t="shared" si="94"/>
        <v>0.3</v>
      </c>
      <c r="O220" s="1101">
        <f t="shared" si="95"/>
        <v>-1.1195428571428576</v>
      </c>
      <c r="P220" s="215">
        <f t="shared" si="96"/>
        <v>-4.1722352941176499</v>
      </c>
      <c r="Q220" s="215">
        <f t="shared" si="97"/>
        <v>0.49177815126050684</v>
      </c>
      <c r="R220" s="215">
        <f t="shared" si="98"/>
        <v>0.49177815126050684</v>
      </c>
      <c r="S220" s="215"/>
      <c r="T220" s="215">
        <f t="shared" si="99"/>
        <v>0</v>
      </c>
      <c r="U220" s="215">
        <f t="shared" si="100"/>
        <v>0</v>
      </c>
      <c r="V220" s="215">
        <f t="shared" si="101"/>
        <v>22.9</v>
      </c>
      <c r="W220" s="237">
        <f t="shared" si="102"/>
        <v>26</v>
      </c>
      <c r="X220" s="215">
        <f t="shared" si="103"/>
        <v>-3.1000000000000014</v>
      </c>
      <c r="Z220" s="29"/>
      <c r="AA220" s="29"/>
      <c r="AB220" s="29"/>
      <c r="AC220" s="29"/>
      <c r="AD220" s="29"/>
    </row>
    <row r="221" spans="1:30" s="238" customFormat="1">
      <c r="A221" s="1136">
        <f t="shared" si="104"/>
        <v>24</v>
      </c>
      <c r="B221" s="238">
        <f t="shared" si="82"/>
        <v>0</v>
      </c>
      <c r="C221" s="215">
        <f t="shared" si="83"/>
        <v>2.4</v>
      </c>
      <c r="D221" s="215">
        <f t="shared" si="84"/>
        <v>2.4000000000000004</v>
      </c>
      <c r="E221" s="215">
        <f t="shared" si="85"/>
        <v>0</v>
      </c>
      <c r="F221" s="215">
        <f t="shared" si="86"/>
        <v>0</v>
      </c>
      <c r="G221" s="1139">
        <f t="shared" si="87"/>
        <v>4.8000000000000007</v>
      </c>
      <c r="H221" s="238">
        <f t="shared" si="88"/>
        <v>0</v>
      </c>
      <c r="I221" s="1101">
        <f t="shared" si="89"/>
        <v>0.65</v>
      </c>
      <c r="J221" s="215">
        <f t="shared" si="90"/>
        <v>0</v>
      </c>
      <c r="K221" s="215">
        <f t="shared" si="91"/>
        <v>0.82857142857142863</v>
      </c>
      <c r="L221" s="238">
        <f t="shared" si="92"/>
        <v>1</v>
      </c>
      <c r="M221" s="215">
        <f t="shared" si="93"/>
        <v>21.8</v>
      </c>
      <c r="N221" s="1101">
        <f t="shared" si="94"/>
        <v>0.3</v>
      </c>
      <c r="O221" s="1101">
        <f t="shared" si="95"/>
        <v>-1.5167999999999999</v>
      </c>
      <c r="P221" s="215">
        <f t="shared" si="96"/>
        <v>-5.652705882352941</v>
      </c>
      <c r="Q221" s="215">
        <f t="shared" si="97"/>
        <v>2.3695058823529402</v>
      </c>
      <c r="R221" s="215">
        <f t="shared" si="98"/>
        <v>2.3695058823529402</v>
      </c>
      <c r="S221" s="215"/>
      <c r="T221" s="215">
        <f t="shared" si="99"/>
        <v>0</v>
      </c>
      <c r="U221" s="215">
        <f t="shared" si="100"/>
        <v>0</v>
      </c>
      <c r="V221" s="215">
        <f t="shared" si="101"/>
        <v>21.8</v>
      </c>
      <c r="W221" s="237">
        <f t="shared" si="102"/>
        <v>26</v>
      </c>
      <c r="X221" s="215">
        <f t="shared" si="103"/>
        <v>-4.1999999999999993</v>
      </c>
      <c r="Z221" s="29"/>
      <c r="AA221" s="29"/>
      <c r="AB221" s="29"/>
      <c r="AC221" s="29"/>
      <c r="AD221" s="29"/>
    </row>
    <row r="222" spans="1:30" s="238" customFormat="1">
      <c r="G222" s="1138"/>
      <c r="R222" s="29"/>
      <c r="S222" s="29"/>
      <c r="T222" s="29"/>
      <c r="U222" s="29"/>
      <c r="V222" s="29"/>
      <c r="W222" s="29"/>
      <c r="X222" s="29"/>
      <c r="Z222" s="29"/>
      <c r="AA222" s="29"/>
      <c r="AB222" s="29"/>
      <c r="AC222" s="29"/>
      <c r="AD222" s="29"/>
    </row>
    <row r="223" spans="1:30" s="238" customFormat="1">
      <c r="A223" s="238" t="s">
        <v>1058</v>
      </c>
      <c r="C223" s="215">
        <f>SUM(C198:C221)</f>
        <v>33.6</v>
      </c>
      <c r="D223" s="215">
        <f>SUM(D198:D221)</f>
        <v>88.800000000000011</v>
      </c>
      <c r="E223" s="215">
        <f>SUM(E198:E221)</f>
        <v>0</v>
      </c>
      <c r="F223" s="215">
        <f>SUM(F198:F221)</f>
        <v>11.491071428571431</v>
      </c>
      <c r="G223" s="1139">
        <f>SUM(G198:G221)</f>
        <v>133.89107142857145</v>
      </c>
      <c r="J223" s="215">
        <f>SUM(J198:J221)</f>
        <v>175.17441176470589</v>
      </c>
      <c r="O223" s="215">
        <f t="shared" ref="O223:U223" si="105">SUM(O198:O221)</f>
        <v>-14.057325714285719</v>
      </c>
      <c r="P223" s="215">
        <f t="shared" si="105"/>
        <v>-37.684705882352965</v>
      </c>
      <c r="Q223" s="215">
        <f t="shared" si="105"/>
        <v>-257.32345159663862</v>
      </c>
      <c r="R223" s="215">
        <f t="shared" si="105"/>
        <v>-257.32345159663862</v>
      </c>
      <c r="S223" s="215"/>
      <c r="T223" s="215">
        <f t="shared" si="105"/>
        <v>-300.14936924369755</v>
      </c>
      <c r="U223" s="215">
        <f t="shared" si="105"/>
        <v>-300.14936924369755</v>
      </c>
      <c r="V223" s="29"/>
      <c r="W223" s="29"/>
      <c r="X223" s="29"/>
      <c r="Z223" s="29"/>
      <c r="AA223" s="29"/>
      <c r="AB223" s="29"/>
      <c r="AC223" s="29"/>
      <c r="AD223" s="29"/>
    </row>
    <row r="224" spans="1:30" s="238" customFormat="1">
      <c r="A224" s="238" t="s">
        <v>1458</v>
      </c>
      <c r="C224" s="215">
        <f>MAX(C198:C221)</f>
        <v>2.4</v>
      </c>
      <c r="D224" s="215">
        <f>MAX(D198:D221)</f>
        <v>12</v>
      </c>
      <c r="E224" s="215">
        <f>MAX(E198:E221)</f>
        <v>0</v>
      </c>
      <c r="F224" s="215">
        <f>MAX(F198:F221)</f>
        <v>3.8303571428571437</v>
      </c>
      <c r="G224" s="1139"/>
      <c r="H224" s="215">
        <f>MAX(H198:H221)</f>
        <v>680</v>
      </c>
      <c r="J224" s="215">
        <f>MAX(J198:J221)</f>
        <v>21.6</v>
      </c>
      <c r="M224" s="215">
        <f>MAX(M198:M221)</f>
        <v>32</v>
      </c>
      <c r="O224" s="215">
        <f t="shared" ref="O224:W224" si="106">MAX(O198:O221)</f>
        <v>1.1092114285714292</v>
      </c>
      <c r="P224" s="215">
        <f t="shared" si="106"/>
        <v>8.0752941176470614</v>
      </c>
      <c r="Q224" s="215">
        <f t="shared" si="106"/>
        <v>8.1733915966386608</v>
      </c>
      <c r="R224" s="215">
        <f t="shared" si="106"/>
        <v>8.1733915966386608</v>
      </c>
      <c r="S224" s="215"/>
      <c r="T224" s="215">
        <f t="shared" si="106"/>
        <v>0</v>
      </c>
      <c r="U224" s="215">
        <f t="shared" si="106"/>
        <v>0</v>
      </c>
      <c r="V224" s="215">
        <f t="shared" si="106"/>
        <v>32</v>
      </c>
      <c r="W224" s="215">
        <f t="shared" si="106"/>
        <v>26</v>
      </c>
      <c r="X224" s="29"/>
      <c r="Z224" s="29"/>
      <c r="AA224" s="29"/>
      <c r="AB224" s="29"/>
      <c r="AC224" s="29"/>
      <c r="AD224" s="29"/>
    </row>
    <row r="225" spans="1:35" s="238" customFormat="1">
      <c r="A225" s="238" t="s">
        <v>1459</v>
      </c>
      <c r="C225" s="215"/>
      <c r="D225" s="215"/>
      <c r="E225" s="215"/>
      <c r="F225" s="215"/>
      <c r="G225" s="1139"/>
      <c r="J225" s="215"/>
      <c r="O225" s="215"/>
      <c r="P225" s="215"/>
      <c r="Q225" s="215">
        <f>MIN(Q198:Q221)</f>
        <v>-32.898191596638654</v>
      </c>
      <c r="R225" s="215">
        <f>MIN(R198:R221)</f>
        <v>-32.898191596638654</v>
      </c>
      <c r="S225" s="215"/>
      <c r="T225" s="215">
        <f>MIN(T198:T221)</f>
        <v>-32.898191596638654</v>
      </c>
      <c r="U225" s="1350">
        <f>MIN(U198:U221)</f>
        <v>-32.898191596638654</v>
      </c>
      <c r="V225" s="29"/>
      <c r="W225" s="29"/>
      <c r="X225" s="29"/>
      <c r="Z225" s="29"/>
      <c r="AA225" s="29"/>
      <c r="AB225" s="29"/>
      <c r="AC225" s="29"/>
      <c r="AD225" s="29"/>
    </row>
    <row r="226" spans="1:35" s="238" customFormat="1">
      <c r="R226" s="29"/>
      <c r="S226" s="29"/>
      <c r="T226" s="29"/>
      <c r="U226" s="29"/>
      <c r="V226" s="29"/>
      <c r="Z226" s="29"/>
      <c r="AA226" s="29"/>
      <c r="AB226" s="29"/>
      <c r="AC226" s="29"/>
      <c r="AD226" s="29"/>
    </row>
    <row r="227" spans="1:35" s="238" customFormat="1">
      <c r="R227" s="29"/>
      <c r="S227" s="29"/>
      <c r="T227" s="29"/>
      <c r="U227" s="29"/>
      <c r="V227" s="29"/>
      <c r="Z227" s="29"/>
      <c r="AA227" s="29"/>
      <c r="AB227" s="29"/>
      <c r="AC227" s="29"/>
      <c r="AD227" s="29"/>
    </row>
    <row r="228" spans="1:35" s="238" customFormat="1">
      <c r="R228" s="29"/>
      <c r="S228" s="29"/>
      <c r="T228" s="29"/>
      <c r="U228" s="29"/>
      <c r="V228" s="29"/>
      <c r="Z228" s="29"/>
      <c r="AA228" s="29"/>
      <c r="AB228" s="29"/>
      <c r="AC228" s="29"/>
      <c r="AD228" s="29"/>
    </row>
    <row r="229" spans="1:35" s="238" customFormat="1" ht="15.45">
      <c r="A229" s="1135" t="s">
        <v>1604</v>
      </c>
      <c r="B229" s="367"/>
      <c r="C229" s="367"/>
      <c r="D229" s="367"/>
      <c r="E229" s="1358" t="str">
        <f>F2</f>
        <v>Adelboden</v>
      </c>
      <c r="F229" s="367"/>
      <c r="G229" s="367"/>
      <c r="H229" s="367"/>
      <c r="I229" s="367"/>
      <c r="J229" s="367"/>
      <c r="K229" s="367"/>
      <c r="L229" s="367"/>
      <c r="M229" s="367"/>
      <c r="N229" s="367"/>
      <c r="O229" s="367"/>
      <c r="P229" s="367"/>
      <c r="Q229" s="367"/>
      <c r="R229" s="1134"/>
      <c r="S229" s="1134"/>
      <c r="T229" s="1134"/>
      <c r="U229" s="1134"/>
      <c r="V229" s="1134"/>
      <c r="W229" s="1134"/>
      <c r="X229" s="1134"/>
      <c r="Y229" s="355"/>
      <c r="Z229" s="1357"/>
      <c r="AA229" s="1357"/>
      <c r="AB229" s="1357"/>
      <c r="AC229" s="1357"/>
      <c r="AD229" s="1357"/>
      <c r="AE229" s="355"/>
      <c r="AF229" s="355"/>
      <c r="AG229" s="355"/>
      <c r="AH229" s="355"/>
      <c r="AI229" s="355"/>
    </row>
    <row r="230" spans="1:35" s="238" customFormat="1">
      <c r="A230" s="367"/>
      <c r="B230" s="367"/>
      <c r="C230" s="367"/>
      <c r="D230" s="367"/>
      <c r="E230" s="367"/>
      <c r="F230" s="367"/>
      <c r="G230" s="367"/>
      <c r="H230" s="367"/>
      <c r="I230" s="367"/>
      <c r="J230" s="367"/>
      <c r="K230" s="367"/>
      <c r="L230" s="367"/>
      <c r="M230" s="367"/>
      <c r="N230" s="367"/>
      <c r="O230" s="367"/>
      <c r="P230" s="367"/>
      <c r="Q230" s="367"/>
      <c r="R230" s="1134"/>
      <c r="S230" s="1134"/>
      <c r="T230" s="1134"/>
      <c r="U230" s="1134"/>
      <c r="V230" s="1134"/>
      <c r="W230" s="1134"/>
      <c r="X230" s="1134"/>
      <c r="Y230" s="355"/>
      <c r="Z230" s="1357"/>
      <c r="AA230" s="1357"/>
      <c r="AB230" s="1357"/>
      <c r="AC230" s="1357"/>
      <c r="AD230" s="1357"/>
      <c r="AE230" s="355"/>
      <c r="AF230" s="355"/>
      <c r="AG230" s="355"/>
      <c r="AH230" s="355"/>
      <c r="AI230" s="355"/>
    </row>
    <row r="231" spans="1:35" s="238" customFormat="1">
      <c r="A231" s="210"/>
      <c r="C231" s="238" t="str">
        <f>C91</f>
        <v>Personen</v>
      </c>
      <c r="D231" s="238" t="str">
        <f>D91</f>
        <v>Geräte</v>
      </c>
      <c r="E231" s="238" t="str">
        <f>E91</f>
        <v>Prozessanlagen</v>
      </c>
      <c r="F231" s="238" t="str">
        <f>F91</f>
        <v>Beleuchtung</v>
      </c>
      <c r="G231" s="1138" t="s">
        <v>1433</v>
      </c>
      <c r="H231" s="238" t="str">
        <f>H91</f>
        <v>Solarstrahlung</v>
      </c>
      <c r="J231" s="210"/>
      <c r="K231" s="238" t="str">
        <f>K91</f>
        <v>Lüftung</v>
      </c>
      <c r="O231" s="210"/>
      <c r="P231" s="238" t="str">
        <f>P91</f>
        <v>Transmission</v>
      </c>
      <c r="Q231" s="238" t="s">
        <v>1445</v>
      </c>
      <c r="R231" s="238" t="s">
        <v>1445</v>
      </c>
      <c r="T231" s="238" t="str">
        <f>T91</f>
        <v>Klimakälte</v>
      </c>
      <c r="U231" s="238" t="str">
        <f>U91</f>
        <v>Klimakälte</v>
      </c>
      <c r="V231" s="238" t="s">
        <v>1435</v>
      </c>
      <c r="W231" s="238" t="s">
        <v>1454</v>
      </c>
      <c r="X231" s="238" t="s">
        <v>1437</v>
      </c>
      <c r="Y231" s="1360" t="str">
        <f>Begriffe!F413</f>
        <v>Heizwärme</v>
      </c>
      <c r="Z231" s="1360" t="str">
        <f>Begriffe!F413</f>
        <v>Heizwärme</v>
      </c>
      <c r="AA231" s="29"/>
      <c r="AB231" s="29"/>
      <c r="AC231" s="29"/>
      <c r="AD231" s="29"/>
    </row>
    <row r="232" spans="1:35" s="238" customFormat="1">
      <c r="A232" s="215" t="s">
        <v>28</v>
      </c>
      <c r="B232" s="238" t="s">
        <v>2243</v>
      </c>
      <c r="C232" s="238" t="s">
        <v>1432</v>
      </c>
      <c r="D232" s="238" t="s">
        <v>1432</v>
      </c>
      <c r="E232" s="238" t="s">
        <v>1432</v>
      </c>
      <c r="F232" s="238" t="s">
        <v>1432</v>
      </c>
      <c r="G232" s="1138" t="s">
        <v>1432</v>
      </c>
      <c r="H232" s="238" t="s">
        <v>1444</v>
      </c>
      <c r="I232" s="238" t="s">
        <v>1446</v>
      </c>
      <c r="J232" s="238" t="s">
        <v>1432</v>
      </c>
      <c r="K232" s="238" t="s">
        <v>1434</v>
      </c>
      <c r="L232" s="238" t="s">
        <v>1438</v>
      </c>
      <c r="M232" s="238" t="s">
        <v>1440</v>
      </c>
      <c r="N232" s="238" t="s">
        <v>1441</v>
      </c>
      <c r="O232" s="238" t="s">
        <v>1443</v>
      </c>
      <c r="P232" s="238" t="s">
        <v>1443</v>
      </c>
      <c r="Q232" s="238" t="s">
        <v>1582</v>
      </c>
      <c r="R232" s="238" t="s">
        <v>1583</v>
      </c>
      <c r="T232" s="238" t="s">
        <v>1582</v>
      </c>
      <c r="U232" s="238" t="s">
        <v>1583</v>
      </c>
      <c r="Y232" s="238" t="s">
        <v>1582</v>
      </c>
      <c r="Z232" s="238" t="s">
        <v>1583</v>
      </c>
      <c r="AA232" s="29"/>
      <c r="AB232" s="29"/>
      <c r="AC232" s="29"/>
      <c r="AD232" s="29"/>
    </row>
    <row r="233" spans="1:35" s="238" customFormat="1">
      <c r="A233" s="210"/>
      <c r="B233" s="210"/>
      <c r="C233" s="210"/>
      <c r="D233" s="210"/>
      <c r="E233" s="210"/>
      <c r="G233" s="1138"/>
      <c r="H233" s="210"/>
      <c r="J233" s="210" t="s">
        <v>490</v>
      </c>
      <c r="K233" s="1359" t="str">
        <f>'Eigene Nutzung'!M$136</f>
        <v>IDA-C3</v>
      </c>
      <c r="L233" s="238" t="s">
        <v>1439</v>
      </c>
      <c r="M233" s="210"/>
      <c r="N233" s="210"/>
      <c r="P233" s="210"/>
      <c r="R233" s="210"/>
      <c r="S233" s="210"/>
      <c r="T233" s="873" t="s">
        <v>1581</v>
      </c>
      <c r="U233" s="873" t="s">
        <v>1581</v>
      </c>
      <c r="AA233" s="29"/>
      <c r="AB233" s="29"/>
      <c r="AC233" s="29"/>
      <c r="AD233" s="29"/>
    </row>
    <row r="234" spans="1:35" s="238" customFormat="1">
      <c r="A234" s="210"/>
      <c r="B234" s="210"/>
      <c r="C234" s="238" t="s">
        <v>24</v>
      </c>
      <c r="D234" s="238" t="s">
        <v>24</v>
      </c>
      <c r="E234" s="238" t="s">
        <v>24</v>
      </c>
      <c r="F234" s="238" t="s">
        <v>24</v>
      </c>
      <c r="G234" s="1138"/>
      <c r="H234" s="238" t="s">
        <v>24</v>
      </c>
      <c r="I234" s="238" t="s">
        <v>16</v>
      </c>
      <c r="J234" s="238" t="s">
        <v>16</v>
      </c>
      <c r="K234" s="238" t="s">
        <v>301</v>
      </c>
      <c r="M234" s="238" t="s">
        <v>3</v>
      </c>
      <c r="N234" s="238" t="s">
        <v>301</v>
      </c>
      <c r="P234" s="238" t="s">
        <v>1580</v>
      </c>
      <c r="T234" s="238" t="s">
        <v>16</v>
      </c>
      <c r="U234" s="238" t="s">
        <v>16</v>
      </c>
      <c r="W234" s="238" t="s">
        <v>3</v>
      </c>
      <c r="X234" s="238" t="s">
        <v>58</v>
      </c>
      <c r="AA234" s="29"/>
      <c r="AB234" s="29"/>
      <c r="AC234" s="29"/>
      <c r="AD234" s="29"/>
    </row>
    <row r="235" spans="1:35" s="238" customFormat="1">
      <c r="A235" s="210"/>
      <c r="B235" s="210"/>
      <c r="C235" s="215">
        <f>'Eigene Nutzung'!M$62</f>
        <v>2.4</v>
      </c>
      <c r="D235" s="215">
        <f>'Eigene Nutzung'!M$77</f>
        <v>10</v>
      </c>
      <c r="E235" s="215">
        <f>'Eigene Nutzung'!M$78</f>
        <v>0</v>
      </c>
      <c r="F235" s="215">
        <f>'Eigene Nutzung'!M$122</f>
        <v>2.9791666666666674</v>
      </c>
      <c r="G235" s="1138"/>
      <c r="H235" s="238">
        <f>MAX(H238:H261)</f>
        <v>601</v>
      </c>
      <c r="I235" s="1101">
        <f>'Eigene Nutzung'!M$26</f>
        <v>0.5</v>
      </c>
      <c r="J235" s="1101">
        <f>'Eigene Nutzung'!M$95</f>
        <v>0.17647058823529413</v>
      </c>
      <c r="K235" s="215">
        <f>'Eigene Nutzung'!M$133</f>
        <v>0.82857142857142863</v>
      </c>
      <c r="M235" s="1334"/>
      <c r="N235" s="1101">
        <f>'Eigene Nutzung'!M$135</f>
        <v>0.15</v>
      </c>
      <c r="P235" s="215">
        <f>'Eigene Nutzung'!M$173/'Eigene Nutzung'!M$13</f>
        <v>0.4623235294117648</v>
      </c>
      <c r="Q235" s="215"/>
      <c r="R235" s="215"/>
      <c r="S235" s="215"/>
      <c r="T235" s="215">
        <f>IF('Eigene Nutzung'!M$31=0,0,1)</f>
        <v>1</v>
      </c>
      <c r="U235" s="215">
        <f>T235</f>
        <v>1</v>
      </c>
      <c r="V235" s="215"/>
      <c r="W235" s="1349">
        <f>IF(A2=12.11,0,IF('Eigene Nutzung'!M$31=0,25,'Eigene Nutzung'!M31))</f>
        <v>26</v>
      </c>
      <c r="Y235" s="215">
        <f>IF('Eigene Nutzung'!M$32=0,0,1)</f>
        <v>1</v>
      </c>
      <c r="Z235" s="215">
        <f>IF('Eigene Nutzung'!M$32=0,0,1)</f>
        <v>1</v>
      </c>
      <c r="AA235" s="29"/>
      <c r="AB235" s="29"/>
      <c r="AC235" s="29"/>
      <c r="AD235" s="29"/>
    </row>
    <row r="236" spans="1:35" s="238" customFormat="1">
      <c r="A236" s="210"/>
      <c r="B236" s="210"/>
      <c r="C236" s="215"/>
      <c r="D236" s="215"/>
      <c r="E236" s="215"/>
      <c r="F236" s="215"/>
      <c r="G236" s="1138"/>
      <c r="I236" s="1101">
        <f>'Eigene Nutzung'!M$27</f>
        <v>0.14000000000000001</v>
      </c>
      <c r="K236" s="215"/>
      <c r="M236" s="1101">
        <f>'Eigene Nutzung'!M$139</f>
        <v>0.73</v>
      </c>
      <c r="N236" s="1101"/>
      <c r="P236" s="215"/>
      <c r="R236" s="210"/>
      <c r="S236" s="210"/>
      <c r="T236" s="210"/>
      <c r="U236" s="210"/>
      <c r="V236" s="215"/>
      <c r="W236" s="237"/>
      <c r="Y236" s="210"/>
      <c r="Z236" s="210"/>
      <c r="AA236" s="29"/>
      <c r="AB236" s="29"/>
      <c r="AC236" s="29"/>
      <c r="AD236" s="29"/>
    </row>
    <row r="237" spans="1:35" s="238" customFormat="1">
      <c r="A237" s="215" t="s">
        <v>14</v>
      </c>
      <c r="C237" s="238" t="s">
        <v>24</v>
      </c>
      <c r="D237" s="238" t="s">
        <v>24</v>
      </c>
      <c r="E237" s="238" t="s">
        <v>24</v>
      </c>
      <c r="F237" s="238" t="s">
        <v>24</v>
      </c>
      <c r="G237" s="1138" t="s">
        <v>24</v>
      </c>
      <c r="H237" s="238" t="s">
        <v>24</v>
      </c>
      <c r="I237" s="238" t="s">
        <v>16</v>
      </c>
      <c r="J237" s="238" t="s">
        <v>24</v>
      </c>
      <c r="K237" s="238" t="s">
        <v>301</v>
      </c>
      <c r="L237" s="238" t="s">
        <v>16</v>
      </c>
      <c r="M237" s="238" t="s">
        <v>3</v>
      </c>
      <c r="N237" s="238" t="s">
        <v>301</v>
      </c>
      <c r="O237" s="238" t="s">
        <v>24</v>
      </c>
      <c r="P237" s="238" t="s">
        <v>24</v>
      </c>
      <c r="Q237" s="238" t="s">
        <v>24</v>
      </c>
      <c r="R237" s="238" t="s">
        <v>24</v>
      </c>
      <c r="T237" s="238" t="s">
        <v>24</v>
      </c>
      <c r="U237" s="238" t="s">
        <v>24</v>
      </c>
      <c r="V237" s="238" t="s">
        <v>3</v>
      </c>
      <c r="W237" s="238" t="s">
        <v>3</v>
      </c>
      <c r="X237" s="238" t="s">
        <v>58</v>
      </c>
      <c r="Y237" s="238" t="s">
        <v>24</v>
      </c>
      <c r="Z237" s="238" t="s">
        <v>24</v>
      </c>
      <c r="AA237" s="29"/>
      <c r="AB237" s="29"/>
      <c r="AC237" s="29"/>
      <c r="AD237" s="29"/>
    </row>
    <row r="238" spans="1:35" s="238" customFormat="1">
      <c r="A238" s="1136">
        <v>1</v>
      </c>
      <c r="B238" s="238">
        <f>IF(U238=U$265,1,0)</f>
        <v>0</v>
      </c>
      <c r="C238" s="215">
        <f>C$235*B63</f>
        <v>2.4</v>
      </c>
      <c r="D238" s="215">
        <f>D$235*D63</f>
        <v>2</v>
      </c>
      <c r="E238" s="215">
        <f>E$235*D63</f>
        <v>0</v>
      </c>
      <c r="F238" s="215">
        <f>F$235*AC63</f>
        <v>0</v>
      </c>
      <c r="G238" s="1139">
        <f>SUM(C238:F238)</f>
        <v>4.4000000000000004</v>
      </c>
      <c r="H238" s="238">
        <f>W63</f>
        <v>0</v>
      </c>
      <c r="I238" s="1101">
        <f>IF(H238&lt;=200,I$235,I$236)</f>
        <v>0.5</v>
      </c>
      <c r="J238" s="215">
        <f>H238*AA$58*I238*J$235</f>
        <v>0</v>
      </c>
      <c r="K238" s="215">
        <f>K$235*IF(K$233="IDA-C3",F63,IF(K$233="IDA-C4",G63,I63))</f>
        <v>0.82857142857142863</v>
      </c>
      <c r="L238" s="238">
        <f>IF(X238&gt;=2,0,1)</f>
        <v>1</v>
      </c>
      <c r="M238" s="215">
        <f>IF($M$235&lt;&gt;"",$M$235,IF(L238=1,V238,W238+X238*(1-M$236)))</f>
        <v>13.4</v>
      </c>
      <c r="N238" s="1101">
        <f>N$235</f>
        <v>0.15</v>
      </c>
      <c r="O238" s="1101">
        <f>(K238*(M238-W238)+N238*X238)*0.32</f>
        <v>-3.9456000000000002</v>
      </c>
      <c r="P238" s="215">
        <f>P$235*X238</f>
        <v>-5.8252764705882365</v>
      </c>
      <c r="Q238" s="215">
        <f>-(C238+D238+E238+F238+J238+O238+P238)</f>
        <v>5.3708764705882359</v>
      </c>
      <c r="R238" s="215">
        <f>-(C238+D238+F238+J238+O238+P238)</f>
        <v>5.3708764705882359</v>
      </c>
      <c r="S238" s="215"/>
      <c r="T238" s="215">
        <f>MIN(0,Q238)*$T$235</f>
        <v>0</v>
      </c>
      <c r="U238" s="215">
        <f>MIN(0,R238)*$U$235</f>
        <v>0</v>
      </c>
      <c r="V238" s="215">
        <f>X63</f>
        <v>13.4</v>
      </c>
      <c r="W238" s="237">
        <f>W$235</f>
        <v>26</v>
      </c>
      <c r="X238" s="215">
        <f>V238-W238</f>
        <v>-12.6</v>
      </c>
      <c r="Y238" s="215">
        <f>MAX(0,Q238)*$Y$235</f>
        <v>5.3708764705882359</v>
      </c>
      <c r="Z238" s="215">
        <f>MAX(0,R238)*$Y$235</f>
        <v>5.3708764705882359</v>
      </c>
      <c r="AA238" s="29"/>
      <c r="AB238" s="29"/>
      <c r="AC238" s="29"/>
      <c r="AD238" s="29"/>
    </row>
    <row r="239" spans="1:35" s="238" customFormat="1">
      <c r="A239" s="1136">
        <f>A238+1</f>
        <v>2</v>
      </c>
      <c r="B239" s="238">
        <f t="shared" ref="B239:B261" si="107">IF(U239=U$265,1,0)</f>
        <v>0</v>
      </c>
      <c r="C239" s="215">
        <f t="shared" ref="C239:C261" si="108">C$235*B64</f>
        <v>2.4</v>
      </c>
      <c r="D239" s="215">
        <f t="shared" ref="D239:D261" si="109">D$235*D64</f>
        <v>2</v>
      </c>
      <c r="E239" s="215">
        <f t="shared" ref="E239:E261" si="110">E$235*D64</f>
        <v>0</v>
      </c>
      <c r="F239" s="215">
        <f t="shared" ref="F239:F261" si="111">F$235*AC64</f>
        <v>0</v>
      </c>
      <c r="G239" s="1139">
        <f t="shared" ref="G239:G261" si="112">SUM(C239:F239)</f>
        <v>4.4000000000000004</v>
      </c>
      <c r="H239" s="238">
        <f t="shared" ref="H239:H261" si="113">W64</f>
        <v>0</v>
      </c>
      <c r="I239" s="1101">
        <f t="shared" ref="I239:I261" si="114">IF(H239&lt;=200,I$235,I$236)</f>
        <v>0.5</v>
      </c>
      <c r="J239" s="215">
        <f t="shared" ref="J239:J261" si="115">H239*AA$58*I239*J$235</f>
        <v>0</v>
      </c>
      <c r="K239" s="215">
        <f t="shared" ref="K239:K261" si="116">K$235*IF(K$233="IDA-C3",F64,IF(K$233="IDA-C4",G64,I64))</f>
        <v>0.82857142857142863</v>
      </c>
      <c r="L239" s="238">
        <f t="shared" ref="L239:L261" si="117">IF(X239&gt;=2,0,1)</f>
        <v>1</v>
      </c>
      <c r="M239" s="215">
        <f t="shared" ref="M239:M261" si="118">IF($M$235&lt;&gt;"",$M$235,IF(L239=1,V239,W239+X239*(1-M$236)))</f>
        <v>13.1</v>
      </c>
      <c r="N239" s="1101">
        <f t="shared" ref="N239:N261" si="119">N$235</f>
        <v>0.15</v>
      </c>
      <c r="O239" s="1101">
        <f t="shared" ref="O239:O261" si="120">(K239*(M239-W239)+N239*X239)*0.32</f>
        <v>-4.039542857142858</v>
      </c>
      <c r="P239" s="215">
        <f t="shared" ref="P239:P261" si="121">P$235*X239</f>
        <v>-5.9639735294117662</v>
      </c>
      <c r="Q239" s="215">
        <f t="shared" ref="Q239:Q261" si="122">-(C239+D239+E239+F239+J239+O239+P239)</f>
        <v>5.6035163865546238</v>
      </c>
      <c r="R239" s="215">
        <f t="shared" ref="R239:R261" si="123">-(C239+D239+F239+J239+O239+P239)</f>
        <v>5.6035163865546238</v>
      </c>
      <c r="S239" s="215"/>
      <c r="T239" s="215">
        <f t="shared" ref="T239:T261" si="124">MIN(0,Q239)*$T$235</f>
        <v>0</v>
      </c>
      <c r="U239" s="215">
        <f t="shared" ref="U239:U261" si="125">MIN(0,R239)*$U$235</f>
        <v>0</v>
      </c>
      <c r="V239" s="215">
        <f t="shared" ref="V239:V261" si="126">X64</f>
        <v>13.1</v>
      </c>
      <c r="W239" s="237">
        <f t="shared" ref="W239:W261" si="127">W$235</f>
        <v>26</v>
      </c>
      <c r="X239" s="215">
        <f t="shared" ref="X239:X261" si="128">V239-W239</f>
        <v>-12.9</v>
      </c>
      <c r="Y239" s="215">
        <f t="shared" ref="Y239:Y261" si="129">MAX(0,Q239)*$Y$235</f>
        <v>5.6035163865546238</v>
      </c>
      <c r="Z239" s="215">
        <f t="shared" ref="Z239:Z261" si="130">MAX(0,R239)*$Y$235</f>
        <v>5.6035163865546238</v>
      </c>
      <c r="AA239" s="29"/>
      <c r="AB239" s="29"/>
      <c r="AC239" s="29"/>
      <c r="AD239" s="29"/>
    </row>
    <row r="240" spans="1:35" s="238" customFormat="1">
      <c r="A240" s="1136">
        <f t="shared" ref="A240:A261" si="131">A239+1</f>
        <v>3</v>
      </c>
      <c r="B240" s="238">
        <f t="shared" si="107"/>
        <v>0</v>
      </c>
      <c r="C240" s="215">
        <f t="shared" si="108"/>
        <v>2.4</v>
      </c>
      <c r="D240" s="215">
        <f t="shared" si="109"/>
        <v>2</v>
      </c>
      <c r="E240" s="215">
        <f t="shared" si="110"/>
        <v>0</v>
      </c>
      <c r="F240" s="215">
        <f t="shared" si="111"/>
        <v>0</v>
      </c>
      <c r="G240" s="1139">
        <f t="shared" si="112"/>
        <v>4.4000000000000004</v>
      </c>
      <c r="H240" s="238">
        <f t="shared" si="113"/>
        <v>0</v>
      </c>
      <c r="I240" s="1101">
        <f t="shared" si="114"/>
        <v>0.5</v>
      </c>
      <c r="J240" s="215">
        <f t="shared" si="115"/>
        <v>0</v>
      </c>
      <c r="K240" s="215">
        <f t="shared" si="116"/>
        <v>0.82857142857142863</v>
      </c>
      <c r="L240" s="238">
        <f t="shared" si="117"/>
        <v>1</v>
      </c>
      <c r="M240" s="215">
        <f t="shared" si="118"/>
        <v>13.4</v>
      </c>
      <c r="N240" s="1101">
        <f t="shared" si="119"/>
        <v>0.15</v>
      </c>
      <c r="O240" s="1101">
        <f t="shared" si="120"/>
        <v>-3.9456000000000002</v>
      </c>
      <c r="P240" s="215">
        <f t="shared" si="121"/>
        <v>-5.8252764705882365</v>
      </c>
      <c r="Q240" s="215">
        <f t="shared" si="122"/>
        <v>5.3708764705882359</v>
      </c>
      <c r="R240" s="215">
        <f t="shared" si="123"/>
        <v>5.3708764705882359</v>
      </c>
      <c r="S240" s="215"/>
      <c r="T240" s="215">
        <f t="shared" si="124"/>
        <v>0</v>
      </c>
      <c r="U240" s="215">
        <f t="shared" si="125"/>
        <v>0</v>
      </c>
      <c r="V240" s="215">
        <f t="shared" si="126"/>
        <v>13.4</v>
      </c>
      <c r="W240" s="237">
        <f t="shared" si="127"/>
        <v>26</v>
      </c>
      <c r="X240" s="215">
        <f t="shared" si="128"/>
        <v>-12.6</v>
      </c>
      <c r="Y240" s="215">
        <f t="shared" si="129"/>
        <v>5.3708764705882359</v>
      </c>
      <c r="Z240" s="215">
        <f t="shared" si="130"/>
        <v>5.3708764705882359</v>
      </c>
      <c r="AA240" s="29"/>
      <c r="AB240" s="29"/>
      <c r="AC240" s="29"/>
      <c r="AD240" s="29"/>
    </row>
    <row r="241" spans="1:30" s="238" customFormat="1">
      <c r="A241" s="1136">
        <f t="shared" si="131"/>
        <v>4</v>
      </c>
      <c r="B241" s="238">
        <f t="shared" si="107"/>
        <v>0</v>
      </c>
      <c r="C241" s="215">
        <f t="shared" si="108"/>
        <v>2.4</v>
      </c>
      <c r="D241" s="215">
        <f t="shared" si="109"/>
        <v>2</v>
      </c>
      <c r="E241" s="215">
        <f t="shared" si="110"/>
        <v>0</v>
      </c>
      <c r="F241" s="215">
        <f t="shared" si="111"/>
        <v>0</v>
      </c>
      <c r="G241" s="1139">
        <f t="shared" si="112"/>
        <v>4.4000000000000004</v>
      </c>
      <c r="H241" s="238">
        <f t="shared" si="113"/>
        <v>0</v>
      </c>
      <c r="I241" s="1101">
        <f t="shared" si="114"/>
        <v>0.5</v>
      </c>
      <c r="J241" s="215">
        <f t="shared" si="115"/>
        <v>0</v>
      </c>
      <c r="K241" s="215">
        <f t="shared" si="116"/>
        <v>0.82857142857142863</v>
      </c>
      <c r="L241" s="238">
        <f t="shared" si="117"/>
        <v>1</v>
      </c>
      <c r="M241" s="215">
        <f t="shared" si="118"/>
        <v>12.7</v>
      </c>
      <c r="N241" s="1101">
        <f t="shared" si="119"/>
        <v>0.15</v>
      </c>
      <c r="O241" s="1101">
        <f t="shared" si="120"/>
        <v>-4.1648000000000005</v>
      </c>
      <c r="P241" s="215">
        <f t="shared" si="121"/>
        <v>-6.1489029411764724</v>
      </c>
      <c r="Q241" s="215">
        <f t="shared" si="122"/>
        <v>5.9137029411764725</v>
      </c>
      <c r="R241" s="215">
        <f t="shared" si="123"/>
        <v>5.9137029411764725</v>
      </c>
      <c r="S241" s="215"/>
      <c r="T241" s="215">
        <f t="shared" si="124"/>
        <v>0</v>
      </c>
      <c r="U241" s="215">
        <f t="shared" si="125"/>
        <v>0</v>
      </c>
      <c r="V241" s="215">
        <f t="shared" si="126"/>
        <v>12.7</v>
      </c>
      <c r="W241" s="237">
        <f t="shared" si="127"/>
        <v>26</v>
      </c>
      <c r="X241" s="215">
        <f t="shared" si="128"/>
        <v>-13.3</v>
      </c>
      <c r="Y241" s="215">
        <f t="shared" si="129"/>
        <v>5.9137029411764725</v>
      </c>
      <c r="Z241" s="215">
        <f t="shared" si="130"/>
        <v>5.9137029411764725</v>
      </c>
      <c r="AA241" s="29"/>
      <c r="AB241" s="29"/>
      <c r="AC241" s="29"/>
      <c r="AD241" s="29"/>
    </row>
    <row r="242" spans="1:30" s="238" customFormat="1">
      <c r="A242" s="1136">
        <f t="shared" si="131"/>
        <v>5</v>
      </c>
      <c r="B242" s="238">
        <f t="shared" si="107"/>
        <v>0</v>
      </c>
      <c r="C242" s="215">
        <f t="shared" si="108"/>
        <v>2.4</v>
      </c>
      <c r="D242" s="215">
        <f t="shared" si="109"/>
        <v>2</v>
      </c>
      <c r="E242" s="215">
        <f t="shared" si="110"/>
        <v>0</v>
      </c>
      <c r="F242" s="215">
        <f t="shared" si="111"/>
        <v>0</v>
      </c>
      <c r="G242" s="1139">
        <f t="shared" si="112"/>
        <v>4.4000000000000004</v>
      </c>
      <c r="H242" s="238">
        <f t="shared" si="113"/>
        <v>0</v>
      </c>
      <c r="I242" s="1101">
        <f t="shared" si="114"/>
        <v>0.5</v>
      </c>
      <c r="J242" s="215">
        <f t="shared" si="115"/>
        <v>0</v>
      </c>
      <c r="K242" s="215">
        <f t="shared" si="116"/>
        <v>0.82857142857142863</v>
      </c>
      <c r="L242" s="238">
        <f t="shared" si="117"/>
        <v>1</v>
      </c>
      <c r="M242" s="215">
        <f t="shared" si="118"/>
        <v>12.9</v>
      </c>
      <c r="N242" s="1101">
        <f t="shared" si="119"/>
        <v>0.15</v>
      </c>
      <c r="O242" s="1101">
        <f t="shared" si="120"/>
        <v>-4.1021714285714284</v>
      </c>
      <c r="P242" s="215">
        <f t="shared" si="121"/>
        <v>-6.0564382352941184</v>
      </c>
      <c r="Q242" s="215">
        <f t="shared" si="122"/>
        <v>5.7586096638655464</v>
      </c>
      <c r="R242" s="215">
        <f t="shared" si="123"/>
        <v>5.7586096638655464</v>
      </c>
      <c r="S242" s="215"/>
      <c r="T242" s="215">
        <f t="shared" si="124"/>
        <v>0</v>
      </c>
      <c r="U242" s="215">
        <f t="shared" si="125"/>
        <v>0</v>
      </c>
      <c r="V242" s="215">
        <f t="shared" si="126"/>
        <v>12.9</v>
      </c>
      <c r="W242" s="237">
        <f t="shared" si="127"/>
        <v>26</v>
      </c>
      <c r="X242" s="215">
        <f t="shared" si="128"/>
        <v>-13.1</v>
      </c>
      <c r="Y242" s="215">
        <f t="shared" si="129"/>
        <v>5.7586096638655464</v>
      </c>
      <c r="Z242" s="215">
        <f t="shared" si="130"/>
        <v>5.7586096638655464</v>
      </c>
      <c r="AA242" s="29"/>
      <c r="AB242" s="29"/>
      <c r="AC242" s="29"/>
      <c r="AD242" s="29"/>
    </row>
    <row r="243" spans="1:30" s="238" customFormat="1">
      <c r="A243" s="1136">
        <f t="shared" si="131"/>
        <v>6</v>
      </c>
      <c r="B243" s="238">
        <f t="shared" si="107"/>
        <v>0</v>
      </c>
      <c r="C243" s="215">
        <f t="shared" si="108"/>
        <v>2.4</v>
      </c>
      <c r="D243" s="215">
        <f t="shared" si="109"/>
        <v>2</v>
      </c>
      <c r="E243" s="215">
        <f t="shared" si="110"/>
        <v>0</v>
      </c>
      <c r="F243" s="215">
        <f t="shared" si="111"/>
        <v>0</v>
      </c>
      <c r="G243" s="1139">
        <f t="shared" si="112"/>
        <v>4.4000000000000004</v>
      </c>
      <c r="H243" s="238">
        <f t="shared" si="113"/>
        <v>19</v>
      </c>
      <c r="I243" s="1101">
        <f t="shared" si="114"/>
        <v>0.5</v>
      </c>
      <c r="J243" s="215">
        <f t="shared" si="115"/>
        <v>1.5088235294117649</v>
      </c>
      <c r="K243" s="215">
        <f t="shared" si="116"/>
        <v>0.82857142857142863</v>
      </c>
      <c r="L243" s="238">
        <f t="shared" si="117"/>
        <v>1</v>
      </c>
      <c r="M243" s="215">
        <f t="shared" si="118"/>
        <v>13.4</v>
      </c>
      <c r="N243" s="1101">
        <f t="shared" si="119"/>
        <v>0.15</v>
      </c>
      <c r="O243" s="1101">
        <f t="shared" si="120"/>
        <v>-3.9456000000000002</v>
      </c>
      <c r="P243" s="215">
        <f t="shared" si="121"/>
        <v>-5.8252764705882365</v>
      </c>
      <c r="Q243" s="215">
        <f t="shared" si="122"/>
        <v>3.8620529411764717</v>
      </c>
      <c r="R243" s="215">
        <f t="shared" si="123"/>
        <v>3.8620529411764717</v>
      </c>
      <c r="S243" s="215"/>
      <c r="T243" s="215">
        <f t="shared" si="124"/>
        <v>0</v>
      </c>
      <c r="U243" s="215">
        <f t="shared" si="125"/>
        <v>0</v>
      </c>
      <c r="V243" s="215">
        <f t="shared" si="126"/>
        <v>13.4</v>
      </c>
      <c r="W243" s="237">
        <f t="shared" si="127"/>
        <v>26</v>
      </c>
      <c r="X243" s="215">
        <f t="shared" si="128"/>
        <v>-12.6</v>
      </c>
      <c r="Y243" s="215">
        <f t="shared" si="129"/>
        <v>3.8620529411764717</v>
      </c>
      <c r="Z243" s="215">
        <f t="shared" si="130"/>
        <v>3.8620529411764717</v>
      </c>
      <c r="AA243" s="29"/>
      <c r="AB243" s="29"/>
      <c r="AC243" s="29"/>
      <c r="AD243" s="29"/>
    </row>
    <row r="244" spans="1:30" s="238" customFormat="1">
      <c r="A244" s="1136">
        <f t="shared" si="131"/>
        <v>7</v>
      </c>
      <c r="B244" s="238">
        <f t="shared" si="107"/>
        <v>0</v>
      </c>
      <c r="C244" s="215">
        <f t="shared" si="108"/>
        <v>1.44</v>
      </c>
      <c r="D244" s="215">
        <f t="shared" si="109"/>
        <v>8</v>
      </c>
      <c r="E244" s="215">
        <f t="shared" si="110"/>
        <v>0</v>
      </c>
      <c r="F244" s="215">
        <f t="shared" si="111"/>
        <v>0</v>
      </c>
      <c r="G244" s="1139">
        <f t="shared" si="112"/>
        <v>9.44</v>
      </c>
      <c r="H244" s="238">
        <f t="shared" si="113"/>
        <v>58</v>
      </c>
      <c r="I244" s="1101">
        <f t="shared" si="114"/>
        <v>0.5</v>
      </c>
      <c r="J244" s="215">
        <f t="shared" si="115"/>
        <v>4.605882352941177</v>
      </c>
      <c r="K244" s="215">
        <f t="shared" si="116"/>
        <v>0.82857142857142863</v>
      </c>
      <c r="L244" s="238">
        <f t="shared" si="117"/>
        <v>1</v>
      </c>
      <c r="M244" s="215">
        <f t="shared" si="118"/>
        <v>16.3</v>
      </c>
      <c r="N244" s="1101">
        <f t="shared" si="119"/>
        <v>0.15</v>
      </c>
      <c r="O244" s="1101">
        <f t="shared" si="120"/>
        <v>-3.0374857142857143</v>
      </c>
      <c r="P244" s="215">
        <f t="shared" si="121"/>
        <v>-4.4845382352941181</v>
      </c>
      <c r="Q244" s="215">
        <f t="shared" si="122"/>
        <v>-6.523858403361344</v>
      </c>
      <c r="R244" s="215">
        <f t="shared" si="123"/>
        <v>-6.523858403361344</v>
      </c>
      <c r="S244" s="215"/>
      <c r="T244" s="215">
        <f t="shared" si="124"/>
        <v>-6.523858403361344</v>
      </c>
      <c r="U244" s="215">
        <f t="shared" si="125"/>
        <v>-6.523858403361344</v>
      </c>
      <c r="V244" s="215">
        <f t="shared" si="126"/>
        <v>16.3</v>
      </c>
      <c r="W244" s="237">
        <f t="shared" si="127"/>
        <v>26</v>
      </c>
      <c r="X244" s="215">
        <f t="shared" si="128"/>
        <v>-9.6999999999999993</v>
      </c>
      <c r="Y244" s="215">
        <f t="shared" si="129"/>
        <v>0</v>
      </c>
      <c r="Z244" s="215">
        <f t="shared" si="130"/>
        <v>0</v>
      </c>
      <c r="AA244" s="29"/>
      <c r="AB244" s="29"/>
      <c r="AC244" s="29"/>
      <c r="AD244" s="29"/>
    </row>
    <row r="245" spans="1:30" s="238" customFormat="1">
      <c r="A245" s="1136">
        <f t="shared" si="131"/>
        <v>8</v>
      </c>
      <c r="B245" s="238">
        <f t="shared" si="107"/>
        <v>0</v>
      </c>
      <c r="C245" s="215">
        <f t="shared" si="108"/>
        <v>0.96</v>
      </c>
      <c r="D245" s="215">
        <f t="shared" si="109"/>
        <v>2</v>
      </c>
      <c r="E245" s="215">
        <f t="shared" si="110"/>
        <v>0</v>
      </c>
      <c r="F245" s="215">
        <f t="shared" si="111"/>
        <v>0</v>
      </c>
      <c r="G245" s="1139">
        <f t="shared" si="112"/>
        <v>2.96</v>
      </c>
      <c r="H245" s="238">
        <f t="shared" si="113"/>
        <v>81</v>
      </c>
      <c r="I245" s="1101">
        <f t="shared" si="114"/>
        <v>0.5</v>
      </c>
      <c r="J245" s="215">
        <f t="shared" si="115"/>
        <v>6.4323529411764717</v>
      </c>
      <c r="K245" s="215">
        <f t="shared" si="116"/>
        <v>0.82857142857142863</v>
      </c>
      <c r="L245" s="238">
        <f t="shared" si="117"/>
        <v>1</v>
      </c>
      <c r="M245" s="215">
        <f t="shared" si="118"/>
        <v>19.7</v>
      </c>
      <c r="N245" s="1101">
        <f t="shared" si="119"/>
        <v>0.15</v>
      </c>
      <c r="O245" s="1101">
        <f t="shared" si="120"/>
        <v>-1.9728000000000003</v>
      </c>
      <c r="P245" s="215">
        <f t="shared" si="121"/>
        <v>-2.9126382352941187</v>
      </c>
      <c r="Q245" s="215">
        <f t="shared" si="122"/>
        <v>-4.5069147058823535</v>
      </c>
      <c r="R245" s="215">
        <f t="shared" si="123"/>
        <v>-4.5069147058823535</v>
      </c>
      <c r="S245" s="215"/>
      <c r="T245" s="215">
        <f t="shared" si="124"/>
        <v>-4.5069147058823535</v>
      </c>
      <c r="U245" s="215">
        <f t="shared" si="125"/>
        <v>-4.5069147058823535</v>
      </c>
      <c r="V245" s="215">
        <f t="shared" si="126"/>
        <v>19.7</v>
      </c>
      <c r="W245" s="237">
        <f t="shared" si="127"/>
        <v>26</v>
      </c>
      <c r="X245" s="215">
        <f t="shared" si="128"/>
        <v>-6.3000000000000007</v>
      </c>
      <c r="Y245" s="215">
        <f t="shared" si="129"/>
        <v>0</v>
      </c>
      <c r="Z245" s="215">
        <f t="shared" si="130"/>
        <v>0</v>
      </c>
      <c r="AA245" s="29"/>
      <c r="AB245" s="29"/>
      <c r="AC245" s="29"/>
      <c r="AD245" s="29"/>
    </row>
    <row r="246" spans="1:30" s="238" customFormat="1">
      <c r="A246" s="1136">
        <f t="shared" si="131"/>
        <v>9</v>
      </c>
      <c r="B246" s="238">
        <f t="shared" si="107"/>
        <v>0</v>
      </c>
      <c r="C246" s="215">
        <f t="shared" si="108"/>
        <v>0</v>
      </c>
      <c r="D246" s="215">
        <f t="shared" si="109"/>
        <v>2</v>
      </c>
      <c r="E246" s="215">
        <f t="shared" si="110"/>
        <v>0</v>
      </c>
      <c r="F246" s="215">
        <f t="shared" si="111"/>
        <v>0</v>
      </c>
      <c r="G246" s="1139">
        <f t="shared" si="112"/>
        <v>2</v>
      </c>
      <c r="H246" s="238">
        <f t="shared" si="113"/>
        <v>108</v>
      </c>
      <c r="I246" s="1101">
        <f t="shared" si="114"/>
        <v>0.5</v>
      </c>
      <c r="J246" s="215">
        <f t="shared" si="115"/>
        <v>8.5764705882352956</v>
      </c>
      <c r="K246" s="215">
        <f t="shared" si="116"/>
        <v>0.82857142857142863</v>
      </c>
      <c r="L246" s="238">
        <f t="shared" si="117"/>
        <v>1</v>
      </c>
      <c r="M246" s="215">
        <f t="shared" si="118"/>
        <v>22.1</v>
      </c>
      <c r="N246" s="1101">
        <f t="shared" si="119"/>
        <v>0.15</v>
      </c>
      <c r="O246" s="1101">
        <f t="shared" si="120"/>
        <v>-1.2212571428571426</v>
      </c>
      <c r="P246" s="215">
        <f t="shared" si="121"/>
        <v>-1.803061764705882</v>
      </c>
      <c r="Q246" s="215">
        <f t="shared" si="122"/>
        <v>-7.5521516806722708</v>
      </c>
      <c r="R246" s="215">
        <f t="shared" si="123"/>
        <v>-7.5521516806722708</v>
      </c>
      <c r="S246" s="215"/>
      <c r="T246" s="215">
        <f t="shared" si="124"/>
        <v>-7.5521516806722708</v>
      </c>
      <c r="U246" s="215">
        <f t="shared" si="125"/>
        <v>-7.5521516806722708</v>
      </c>
      <c r="V246" s="215">
        <f t="shared" si="126"/>
        <v>22.1</v>
      </c>
      <c r="W246" s="237">
        <f t="shared" si="127"/>
        <v>26</v>
      </c>
      <c r="X246" s="215">
        <f t="shared" si="128"/>
        <v>-3.8999999999999986</v>
      </c>
      <c r="Y246" s="215">
        <f t="shared" si="129"/>
        <v>0</v>
      </c>
      <c r="Z246" s="215">
        <f t="shared" si="130"/>
        <v>0</v>
      </c>
      <c r="AA246" s="29"/>
      <c r="AB246" s="29"/>
      <c r="AC246" s="29"/>
      <c r="AD246" s="29"/>
    </row>
    <row r="247" spans="1:30" s="238" customFormat="1">
      <c r="A247" s="1136">
        <f t="shared" si="131"/>
        <v>10</v>
      </c>
      <c r="B247" s="238">
        <f t="shared" si="107"/>
        <v>0</v>
      </c>
      <c r="C247" s="215">
        <f t="shared" si="108"/>
        <v>0</v>
      </c>
      <c r="D247" s="215">
        <f t="shared" si="109"/>
        <v>2</v>
      </c>
      <c r="E247" s="215">
        <f t="shared" si="110"/>
        <v>0</v>
      </c>
      <c r="F247" s="215">
        <f t="shared" si="111"/>
        <v>0</v>
      </c>
      <c r="G247" s="1139">
        <f t="shared" si="112"/>
        <v>2</v>
      </c>
      <c r="H247" s="238">
        <f t="shared" si="113"/>
        <v>122</v>
      </c>
      <c r="I247" s="1101">
        <f t="shared" si="114"/>
        <v>0.5</v>
      </c>
      <c r="J247" s="215">
        <f t="shared" si="115"/>
        <v>9.6882352941176482</v>
      </c>
      <c r="K247" s="215">
        <f t="shared" si="116"/>
        <v>0.82857142857142863</v>
      </c>
      <c r="L247" s="238">
        <f t="shared" si="117"/>
        <v>1</v>
      </c>
      <c r="M247" s="215">
        <f t="shared" si="118"/>
        <v>23.2</v>
      </c>
      <c r="N247" s="1101">
        <f t="shared" si="119"/>
        <v>0.15</v>
      </c>
      <c r="O247" s="1101">
        <f t="shared" si="120"/>
        <v>-0.87680000000000025</v>
      </c>
      <c r="P247" s="215">
        <f t="shared" si="121"/>
        <v>-1.2945058823529418</v>
      </c>
      <c r="Q247" s="215">
        <f t="shared" si="122"/>
        <v>-9.5169294117647052</v>
      </c>
      <c r="R247" s="215">
        <f t="shared" si="123"/>
        <v>-9.5169294117647052</v>
      </c>
      <c r="S247" s="215"/>
      <c r="T247" s="215">
        <f t="shared" si="124"/>
        <v>-9.5169294117647052</v>
      </c>
      <c r="U247" s="215">
        <f t="shared" si="125"/>
        <v>-9.5169294117647052</v>
      </c>
      <c r="V247" s="215">
        <f t="shared" si="126"/>
        <v>23.2</v>
      </c>
      <c r="W247" s="237">
        <f t="shared" si="127"/>
        <v>26</v>
      </c>
      <c r="X247" s="215">
        <f t="shared" si="128"/>
        <v>-2.8000000000000007</v>
      </c>
      <c r="Y247" s="215">
        <f t="shared" si="129"/>
        <v>0</v>
      </c>
      <c r="Z247" s="215">
        <f t="shared" si="130"/>
        <v>0</v>
      </c>
      <c r="AA247" s="29"/>
      <c r="AB247" s="29"/>
      <c r="AC247" s="29"/>
      <c r="AD247" s="29"/>
    </row>
    <row r="248" spans="1:30" s="238" customFormat="1">
      <c r="A248" s="1136">
        <f t="shared" si="131"/>
        <v>11</v>
      </c>
      <c r="B248" s="238">
        <f t="shared" si="107"/>
        <v>0</v>
      </c>
      <c r="C248" s="215">
        <f t="shared" si="108"/>
        <v>0</v>
      </c>
      <c r="D248" s="215">
        <f t="shared" si="109"/>
        <v>2</v>
      </c>
      <c r="E248" s="215">
        <f t="shared" si="110"/>
        <v>0</v>
      </c>
      <c r="F248" s="215">
        <f t="shared" si="111"/>
        <v>0</v>
      </c>
      <c r="G248" s="1139">
        <f t="shared" si="112"/>
        <v>2</v>
      </c>
      <c r="H248" s="238">
        <f t="shared" si="113"/>
        <v>131</v>
      </c>
      <c r="I248" s="1101">
        <f t="shared" si="114"/>
        <v>0.5</v>
      </c>
      <c r="J248" s="215">
        <f t="shared" si="115"/>
        <v>10.402941176470589</v>
      </c>
      <c r="K248" s="215">
        <f t="shared" si="116"/>
        <v>0.82857142857142863</v>
      </c>
      <c r="L248" s="238">
        <f t="shared" si="117"/>
        <v>1</v>
      </c>
      <c r="M248" s="215">
        <f t="shared" si="118"/>
        <v>23.1</v>
      </c>
      <c r="N248" s="1101">
        <f t="shared" si="119"/>
        <v>0.15</v>
      </c>
      <c r="O248" s="1101">
        <f t="shared" si="120"/>
        <v>-0.90811428571428521</v>
      </c>
      <c r="P248" s="215">
        <f t="shared" si="121"/>
        <v>-1.3407382352941173</v>
      </c>
      <c r="Q248" s="215">
        <f t="shared" si="122"/>
        <v>-10.154088655462187</v>
      </c>
      <c r="R248" s="215">
        <f t="shared" si="123"/>
        <v>-10.154088655462187</v>
      </c>
      <c r="S248" s="215"/>
      <c r="T248" s="215">
        <f t="shared" si="124"/>
        <v>-10.154088655462187</v>
      </c>
      <c r="U248" s="215">
        <f t="shared" si="125"/>
        <v>-10.154088655462187</v>
      </c>
      <c r="V248" s="215">
        <f t="shared" si="126"/>
        <v>23.1</v>
      </c>
      <c r="W248" s="237">
        <f t="shared" si="127"/>
        <v>26</v>
      </c>
      <c r="X248" s="215">
        <f t="shared" si="128"/>
        <v>-2.8999999999999986</v>
      </c>
      <c r="Y248" s="215">
        <f t="shared" si="129"/>
        <v>0</v>
      </c>
      <c r="Z248" s="215">
        <f t="shared" si="130"/>
        <v>0</v>
      </c>
      <c r="AA248" s="29"/>
      <c r="AB248" s="29"/>
      <c r="AC248" s="29"/>
      <c r="AD248" s="29"/>
    </row>
    <row r="249" spans="1:30" s="238" customFormat="1">
      <c r="A249" s="1136">
        <f t="shared" si="131"/>
        <v>12</v>
      </c>
      <c r="B249" s="238">
        <f t="shared" si="107"/>
        <v>0</v>
      </c>
      <c r="C249" s="215">
        <f t="shared" si="108"/>
        <v>0</v>
      </c>
      <c r="D249" s="215">
        <f t="shared" si="109"/>
        <v>2</v>
      </c>
      <c r="E249" s="215">
        <f t="shared" si="110"/>
        <v>0</v>
      </c>
      <c r="F249" s="215">
        <f t="shared" si="111"/>
        <v>0</v>
      </c>
      <c r="G249" s="1139">
        <f t="shared" si="112"/>
        <v>2</v>
      </c>
      <c r="H249" s="238">
        <f t="shared" si="113"/>
        <v>149</v>
      </c>
      <c r="I249" s="1101">
        <f t="shared" si="114"/>
        <v>0.5</v>
      </c>
      <c r="J249" s="215">
        <f t="shared" si="115"/>
        <v>11.83235294117647</v>
      </c>
      <c r="K249" s="215">
        <f t="shared" si="116"/>
        <v>0.82857142857142863</v>
      </c>
      <c r="L249" s="238">
        <f t="shared" si="117"/>
        <v>1</v>
      </c>
      <c r="M249" s="215">
        <f t="shared" si="118"/>
        <v>24.3</v>
      </c>
      <c r="N249" s="1101">
        <f t="shared" si="119"/>
        <v>0.15</v>
      </c>
      <c r="O249" s="1101">
        <f t="shared" si="120"/>
        <v>-0.53234285714285701</v>
      </c>
      <c r="P249" s="215">
        <f t="shared" si="121"/>
        <v>-0.78594999999999982</v>
      </c>
      <c r="Q249" s="215">
        <f t="shared" si="122"/>
        <v>-12.514060084033613</v>
      </c>
      <c r="R249" s="215">
        <f t="shared" si="123"/>
        <v>-12.514060084033613</v>
      </c>
      <c r="S249" s="215"/>
      <c r="T249" s="215">
        <f t="shared" si="124"/>
        <v>-12.514060084033613</v>
      </c>
      <c r="U249" s="215">
        <f t="shared" si="125"/>
        <v>-12.514060084033613</v>
      </c>
      <c r="V249" s="215">
        <f t="shared" si="126"/>
        <v>24.3</v>
      </c>
      <c r="W249" s="237">
        <f t="shared" si="127"/>
        <v>26</v>
      </c>
      <c r="X249" s="215">
        <f t="shared" si="128"/>
        <v>-1.6999999999999993</v>
      </c>
      <c r="Y249" s="215">
        <f t="shared" si="129"/>
        <v>0</v>
      </c>
      <c r="Z249" s="215">
        <f t="shared" si="130"/>
        <v>0</v>
      </c>
      <c r="AA249" s="29"/>
      <c r="AB249" s="29"/>
      <c r="AC249" s="29"/>
      <c r="AD249" s="29"/>
    </row>
    <row r="250" spans="1:30" s="238" customFormat="1">
      <c r="A250" s="1136">
        <f t="shared" si="131"/>
        <v>13</v>
      </c>
      <c r="B250" s="238">
        <f t="shared" si="107"/>
        <v>1</v>
      </c>
      <c r="C250" s="215">
        <f t="shared" si="108"/>
        <v>1.92</v>
      </c>
      <c r="D250" s="215">
        <f t="shared" si="109"/>
        <v>8</v>
      </c>
      <c r="E250" s="215">
        <f t="shared" si="110"/>
        <v>0</v>
      </c>
      <c r="F250" s="215">
        <f t="shared" si="111"/>
        <v>0</v>
      </c>
      <c r="G250" s="1139">
        <f t="shared" si="112"/>
        <v>9.92</v>
      </c>
      <c r="H250" s="238">
        <f t="shared" si="113"/>
        <v>271</v>
      </c>
      <c r="I250" s="1101">
        <f t="shared" si="114"/>
        <v>0.14000000000000001</v>
      </c>
      <c r="J250" s="215">
        <f t="shared" si="115"/>
        <v>6.0257647058823531</v>
      </c>
      <c r="K250" s="215">
        <f t="shared" si="116"/>
        <v>0.82857142857142863</v>
      </c>
      <c r="L250" s="238">
        <f t="shared" si="117"/>
        <v>1</v>
      </c>
      <c r="M250" s="215">
        <f t="shared" si="118"/>
        <v>24.6</v>
      </c>
      <c r="N250" s="1101">
        <f t="shared" si="119"/>
        <v>0.15</v>
      </c>
      <c r="O250" s="1101">
        <f t="shared" si="120"/>
        <v>-0.43839999999999957</v>
      </c>
      <c r="P250" s="215">
        <f t="shared" si="121"/>
        <v>-0.64725294117647003</v>
      </c>
      <c r="Q250" s="215">
        <f t="shared" si="122"/>
        <v>-14.860111764705884</v>
      </c>
      <c r="R250" s="215">
        <f t="shared" si="123"/>
        <v>-14.860111764705884</v>
      </c>
      <c r="S250" s="215"/>
      <c r="T250" s="215">
        <f t="shared" si="124"/>
        <v>-14.860111764705884</v>
      </c>
      <c r="U250" s="215">
        <f t="shared" si="125"/>
        <v>-14.860111764705884</v>
      </c>
      <c r="V250" s="215">
        <f t="shared" si="126"/>
        <v>24.6</v>
      </c>
      <c r="W250" s="237">
        <f t="shared" si="127"/>
        <v>26</v>
      </c>
      <c r="X250" s="215">
        <f t="shared" si="128"/>
        <v>-1.3999999999999986</v>
      </c>
      <c r="Y250" s="215">
        <f t="shared" si="129"/>
        <v>0</v>
      </c>
      <c r="Z250" s="215">
        <f t="shared" si="130"/>
        <v>0</v>
      </c>
      <c r="AA250" s="29"/>
      <c r="AB250" s="29"/>
      <c r="AC250" s="29"/>
      <c r="AD250" s="29"/>
    </row>
    <row r="251" spans="1:30" s="238" customFormat="1">
      <c r="A251" s="1136">
        <f t="shared" si="131"/>
        <v>14</v>
      </c>
      <c r="B251" s="238">
        <f t="shared" si="107"/>
        <v>0</v>
      </c>
      <c r="C251" s="215">
        <f t="shared" si="108"/>
        <v>0.96</v>
      </c>
      <c r="D251" s="215">
        <f t="shared" si="109"/>
        <v>2</v>
      </c>
      <c r="E251" s="215">
        <f t="shared" si="110"/>
        <v>0</v>
      </c>
      <c r="F251" s="215">
        <f t="shared" si="111"/>
        <v>0</v>
      </c>
      <c r="G251" s="1139">
        <f t="shared" si="112"/>
        <v>2.96</v>
      </c>
      <c r="H251" s="238">
        <f t="shared" si="113"/>
        <v>488</v>
      </c>
      <c r="I251" s="1101">
        <f t="shared" si="114"/>
        <v>0.14000000000000001</v>
      </c>
      <c r="J251" s="215">
        <f t="shared" si="115"/>
        <v>10.850823529411766</v>
      </c>
      <c r="K251" s="215">
        <f t="shared" si="116"/>
        <v>0.82857142857142863</v>
      </c>
      <c r="L251" s="238">
        <f t="shared" si="117"/>
        <v>1</v>
      </c>
      <c r="M251" s="215">
        <f t="shared" si="118"/>
        <v>24</v>
      </c>
      <c r="N251" s="1101">
        <f t="shared" si="119"/>
        <v>0.15</v>
      </c>
      <c r="O251" s="1101">
        <f t="shared" si="120"/>
        <v>-0.62628571428571433</v>
      </c>
      <c r="P251" s="215">
        <f t="shared" si="121"/>
        <v>-0.9246470588235296</v>
      </c>
      <c r="Q251" s="215">
        <f t="shared" si="122"/>
        <v>-12.259890756302523</v>
      </c>
      <c r="R251" s="215">
        <f t="shared" si="123"/>
        <v>-12.259890756302523</v>
      </c>
      <c r="S251" s="215"/>
      <c r="T251" s="215">
        <f t="shared" si="124"/>
        <v>-12.259890756302523</v>
      </c>
      <c r="U251" s="215">
        <f t="shared" si="125"/>
        <v>-12.259890756302523</v>
      </c>
      <c r="V251" s="215">
        <f t="shared" si="126"/>
        <v>24</v>
      </c>
      <c r="W251" s="237">
        <f t="shared" si="127"/>
        <v>26</v>
      </c>
      <c r="X251" s="215">
        <f t="shared" si="128"/>
        <v>-2</v>
      </c>
      <c r="Y251" s="215">
        <f t="shared" si="129"/>
        <v>0</v>
      </c>
      <c r="Z251" s="215">
        <f t="shared" si="130"/>
        <v>0</v>
      </c>
      <c r="AA251" s="29"/>
      <c r="AB251" s="29"/>
      <c r="AC251" s="29"/>
      <c r="AD251" s="29"/>
    </row>
    <row r="252" spans="1:30" s="238" customFormat="1">
      <c r="A252" s="1136">
        <f t="shared" si="131"/>
        <v>15</v>
      </c>
      <c r="B252" s="238">
        <f t="shared" si="107"/>
        <v>0</v>
      </c>
      <c r="C252" s="215">
        <f t="shared" si="108"/>
        <v>0</v>
      </c>
      <c r="D252" s="215">
        <f t="shared" si="109"/>
        <v>2</v>
      </c>
      <c r="E252" s="215">
        <f t="shared" si="110"/>
        <v>0</v>
      </c>
      <c r="F252" s="215">
        <f t="shared" si="111"/>
        <v>0</v>
      </c>
      <c r="G252" s="1139">
        <f t="shared" si="112"/>
        <v>2</v>
      </c>
      <c r="H252" s="238">
        <f t="shared" si="113"/>
        <v>578</v>
      </c>
      <c r="I252" s="1101">
        <f t="shared" si="114"/>
        <v>0.14000000000000001</v>
      </c>
      <c r="J252" s="215">
        <f t="shared" si="115"/>
        <v>12.852000000000004</v>
      </c>
      <c r="K252" s="215">
        <f t="shared" si="116"/>
        <v>0.82857142857142863</v>
      </c>
      <c r="L252" s="238">
        <f t="shared" si="117"/>
        <v>1</v>
      </c>
      <c r="M252" s="215">
        <f t="shared" si="118"/>
        <v>24.4</v>
      </c>
      <c r="N252" s="1101">
        <f t="shared" si="119"/>
        <v>0.15</v>
      </c>
      <c r="O252" s="1101">
        <f t="shared" si="120"/>
        <v>-0.50102857142857193</v>
      </c>
      <c r="P252" s="215">
        <f t="shared" si="121"/>
        <v>-0.73971764705882437</v>
      </c>
      <c r="Q252" s="215">
        <f t="shared" si="122"/>
        <v>-13.611253781512607</v>
      </c>
      <c r="R252" s="215">
        <f t="shared" si="123"/>
        <v>-13.611253781512607</v>
      </c>
      <c r="S252" s="215"/>
      <c r="T252" s="215">
        <f t="shared" si="124"/>
        <v>-13.611253781512607</v>
      </c>
      <c r="U252" s="215">
        <f t="shared" si="125"/>
        <v>-13.611253781512607</v>
      </c>
      <c r="V252" s="215">
        <f t="shared" si="126"/>
        <v>24.4</v>
      </c>
      <c r="W252" s="237">
        <f t="shared" si="127"/>
        <v>26</v>
      </c>
      <c r="X252" s="215">
        <f t="shared" si="128"/>
        <v>-1.6000000000000014</v>
      </c>
      <c r="Y252" s="215">
        <f t="shared" si="129"/>
        <v>0</v>
      </c>
      <c r="Z252" s="215">
        <f t="shared" si="130"/>
        <v>0</v>
      </c>
      <c r="AA252" s="29"/>
      <c r="AB252" s="29"/>
      <c r="AC252" s="29"/>
      <c r="AD252" s="29"/>
    </row>
    <row r="253" spans="1:30" s="238" customFormat="1">
      <c r="A253" s="1136">
        <f t="shared" si="131"/>
        <v>16</v>
      </c>
      <c r="B253" s="238">
        <f t="shared" si="107"/>
        <v>0</v>
      </c>
      <c r="C253" s="215">
        <f t="shared" si="108"/>
        <v>0</v>
      </c>
      <c r="D253" s="215">
        <f t="shared" si="109"/>
        <v>2</v>
      </c>
      <c r="E253" s="215">
        <f t="shared" si="110"/>
        <v>0</v>
      </c>
      <c r="F253" s="215">
        <f>F$235*AC78</f>
        <v>0</v>
      </c>
      <c r="G253" s="1139">
        <f t="shared" si="112"/>
        <v>2</v>
      </c>
      <c r="H253" s="238">
        <f t="shared" si="113"/>
        <v>601</v>
      </c>
      <c r="I253" s="1101">
        <f t="shared" si="114"/>
        <v>0.14000000000000001</v>
      </c>
      <c r="J253" s="215">
        <f t="shared" si="115"/>
        <v>13.363411764705884</v>
      </c>
      <c r="K253" s="215">
        <f t="shared" si="116"/>
        <v>0.82857142857142863</v>
      </c>
      <c r="L253" s="238">
        <f t="shared" si="117"/>
        <v>1</v>
      </c>
      <c r="M253" s="215">
        <f t="shared" si="118"/>
        <v>23.8</v>
      </c>
      <c r="N253" s="1101">
        <f t="shared" si="119"/>
        <v>0.15</v>
      </c>
      <c r="O253" s="1101">
        <f t="shared" si="120"/>
        <v>-0.68891428571428548</v>
      </c>
      <c r="P253" s="215">
        <f t="shared" si="121"/>
        <v>-1.0171117647058823</v>
      </c>
      <c r="Q253" s="215">
        <f t="shared" si="122"/>
        <v>-13.657385714285716</v>
      </c>
      <c r="R253" s="215">
        <f t="shared" si="123"/>
        <v>-13.657385714285716</v>
      </c>
      <c r="S253" s="215"/>
      <c r="T253" s="215">
        <f t="shared" si="124"/>
        <v>-13.657385714285716</v>
      </c>
      <c r="U253" s="215">
        <f t="shared" si="125"/>
        <v>-13.657385714285716</v>
      </c>
      <c r="V253" s="215">
        <f t="shared" si="126"/>
        <v>23.8</v>
      </c>
      <c r="W253" s="237">
        <f t="shared" si="127"/>
        <v>26</v>
      </c>
      <c r="X253" s="215">
        <f t="shared" si="128"/>
        <v>-2.1999999999999993</v>
      </c>
      <c r="Y253" s="215">
        <f t="shared" si="129"/>
        <v>0</v>
      </c>
      <c r="Z253" s="215">
        <f t="shared" si="130"/>
        <v>0</v>
      </c>
      <c r="AA253" s="29"/>
      <c r="AB253" s="29"/>
      <c r="AC253" s="29"/>
      <c r="AD253" s="29"/>
    </row>
    <row r="254" spans="1:30" s="238" customFormat="1">
      <c r="A254" s="1136">
        <f t="shared" si="131"/>
        <v>17</v>
      </c>
      <c r="B254" s="238">
        <f t="shared" si="107"/>
        <v>0</v>
      </c>
      <c r="C254" s="215">
        <f t="shared" si="108"/>
        <v>0</v>
      </c>
      <c r="D254" s="215">
        <f t="shared" si="109"/>
        <v>2</v>
      </c>
      <c r="E254" s="215">
        <f t="shared" si="110"/>
        <v>0</v>
      </c>
      <c r="F254" s="215">
        <f t="shared" si="111"/>
        <v>0</v>
      </c>
      <c r="G254" s="1139">
        <f t="shared" si="112"/>
        <v>2</v>
      </c>
      <c r="H254" s="238">
        <f t="shared" si="113"/>
        <v>434</v>
      </c>
      <c r="I254" s="1101">
        <f t="shared" si="114"/>
        <v>0.14000000000000001</v>
      </c>
      <c r="J254" s="215">
        <f t="shared" si="115"/>
        <v>9.6501176470588259</v>
      </c>
      <c r="K254" s="215">
        <f t="shared" si="116"/>
        <v>0.82857142857142863</v>
      </c>
      <c r="L254" s="238">
        <f t="shared" si="117"/>
        <v>1</v>
      </c>
      <c r="M254" s="215">
        <f t="shared" si="118"/>
        <v>23.2</v>
      </c>
      <c r="N254" s="1101">
        <f t="shared" si="119"/>
        <v>0.15</v>
      </c>
      <c r="O254" s="1101">
        <f t="shared" si="120"/>
        <v>-0.87680000000000025</v>
      </c>
      <c r="P254" s="215">
        <f t="shared" si="121"/>
        <v>-1.2945058823529418</v>
      </c>
      <c r="Q254" s="215">
        <f t="shared" si="122"/>
        <v>-9.4788117647058829</v>
      </c>
      <c r="R254" s="215">
        <f t="shared" si="123"/>
        <v>-9.4788117647058829</v>
      </c>
      <c r="S254" s="215"/>
      <c r="T254" s="215">
        <f t="shared" si="124"/>
        <v>-9.4788117647058829</v>
      </c>
      <c r="U254" s="215">
        <f t="shared" si="125"/>
        <v>-9.4788117647058829</v>
      </c>
      <c r="V254" s="215">
        <f t="shared" si="126"/>
        <v>23.2</v>
      </c>
      <c r="W254" s="237">
        <f t="shared" si="127"/>
        <v>26</v>
      </c>
      <c r="X254" s="215">
        <f t="shared" si="128"/>
        <v>-2.8000000000000007</v>
      </c>
      <c r="Y254" s="215">
        <f t="shared" si="129"/>
        <v>0</v>
      </c>
      <c r="Z254" s="215">
        <f t="shared" si="130"/>
        <v>0</v>
      </c>
      <c r="AA254" s="29"/>
      <c r="AB254" s="29"/>
      <c r="AC254" s="29"/>
      <c r="AD254" s="29"/>
    </row>
    <row r="255" spans="1:30" s="238" customFormat="1">
      <c r="A255" s="1136">
        <f t="shared" si="131"/>
        <v>18</v>
      </c>
      <c r="B255" s="238">
        <f t="shared" si="107"/>
        <v>0</v>
      </c>
      <c r="C255" s="215">
        <f t="shared" si="108"/>
        <v>0.96</v>
      </c>
      <c r="D255" s="215">
        <f t="shared" si="109"/>
        <v>2</v>
      </c>
      <c r="E255" s="215">
        <f t="shared" si="110"/>
        <v>0</v>
      </c>
      <c r="F255" s="215">
        <f t="shared" si="111"/>
        <v>0</v>
      </c>
      <c r="G255" s="1139">
        <f t="shared" si="112"/>
        <v>2.96</v>
      </c>
      <c r="H255" s="238">
        <f t="shared" si="113"/>
        <v>56</v>
      </c>
      <c r="I255" s="1101">
        <f t="shared" si="114"/>
        <v>0.5</v>
      </c>
      <c r="J255" s="215">
        <f t="shared" si="115"/>
        <v>4.447058823529412</v>
      </c>
      <c r="K255" s="215">
        <f t="shared" si="116"/>
        <v>0.82857142857142863</v>
      </c>
      <c r="L255" s="238">
        <f t="shared" si="117"/>
        <v>1</v>
      </c>
      <c r="M255" s="215">
        <f t="shared" si="118"/>
        <v>21.8</v>
      </c>
      <c r="N255" s="1101">
        <f t="shared" si="119"/>
        <v>0.15</v>
      </c>
      <c r="O255" s="1101">
        <f t="shared" si="120"/>
        <v>-1.3151999999999999</v>
      </c>
      <c r="P255" s="215">
        <f t="shared" si="121"/>
        <v>-1.9417588235294119</v>
      </c>
      <c r="Q255" s="215">
        <f t="shared" si="122"/>
        <v>-4.1501000000000001</v>
      </c>
      <c r="R255" s="215">
        <f t="shared" si="123"/>
        <v>-4.1501000000000001</v>
      </c>
      <c r="S255" s="215"/>
      <c r="T255" s="215">
        <f t="shared" si="124"/>
        <v>-4.1501000000000001</v>
      </c>
      <c r="U255" s="215">
        <f t="shared" si="125"/>
        <v>-4.1501000000000001</v>
      </c>
      <c r="V255" s="215">
        <f t="shared" si="126"/>
        <v>21.8</v>
      </c>
      <c r="W255" s="237">
        <f t="shared" si="127"/>
        <v>26</v>
      </c>
      <c r="X255" s="215">
        <f t="shared" si="128"/>
        <v>-4.1999999999999993</v>
      </c>
      <c r="Y255" s="215">
        <f t="shared" si="129"/>
        <v>0</v>
      </c>
      <c r="Z255" s="215">
        <f t="shared" si="130"/>
        <v>0</v>
      </c>
      <c r="AA255" s="29"/>
      <c r="AB255" s="29"/>
      <c r="AC255" s="29"/>
      <c r="AD255" s="29"/>
    </row>
    <row r="256" spans="1:30" s="238" customFormat="1">
      <c r="A256" s="1136">
        <f t="shared" si="131"/>
        <v>19</v>
      </c>
      <c r="B256" s="238">
        <f t="shared" si="107"/>
        <v>0</v>
      </c>
      <c r="C256" s="215">
        <f t="shared" si="108"/>
        <v>1.92</v>
      </c>
      <c r="D256" s="215">
        <f t="shared" si="109"/>
        <v>8</v>
      </c>
      <c r="E256" s="215">
        <f t="shared" si="110"/>
        <v>0</v>
      </c>
      <c r="F256" s="215">
        <f t="shared" si="111"/>
        <v>0</v>
      </c>
      <c r="G256" s="1139">
        <f t="shared" si="112"/>
        <v>9.92</v>
      </c>
      <c r="H256" s="238">
        <f t="shared" si="113"/>
        <v>19</v>
      </c>
      <c r="I256" s="1101">
        <f t="shared" si="114"/>
        <v>0.5</v>
      </c>
      <c r="J256" s="215">
        <f t="shared" si="115"/>
        <v>1.5088235294117649</v>
      </c>
      <c r="K256" s="215">
        <f t="shared" si="116"/>
        <v>0.82857142857142863</v>
      </c>
      <c r="L256" s="238">
        <f t="shared" si="117"/>
        <v>1</v>
      </c>
      <c r="M256" s="215">
        <f t="shared" si="118"/>
        <v>20.9</v>
      </c>
      <c r="N256" s="1101">
        <f t="shared" si="119"/>
        <v>0.15</v>
      </c>
      <c r="O256" s="1101">
        <f t="shared" si="120"/>
        <v>-1.5970285714285719</v>
      </c>
      <c r="P256" s="215">
        <f t="shared" si="121"/>
        <v>-2.3578500000000013</v>
      </c>
      <c r="Q256" s="215">
        <f t="shared" si="122"/>
        <v>-7.4739449579831927</v>
      </c>
      <c r="R256" s="215">
        <f t="shared" si="123"/>
        <v>-7.4739449579831927</v>
      </c>
      <c r="S256" s="215"/>
      <c r="T256" s="215">
        <f t="shared" si="124"/>
        <v>-7.4739449579831927</v>
      </c>
      <c r="U256" s="215">
        <f t="shared" si="125"/>
        <v>-7.4739449579831927</v>
      </c>
      <c r="V256" s="215">
        <f t="shared" si="126"/>
        <v>20.9</v>
      </c>
      <c r="W256" s="237">
        <f t="shared" si="127"/>
        <v>26</v>
      </c>
      <c r="X256" s="215">
        <f t="shared" si="128"/>
        <v>-5.1000000000000014</v>
      </c>
      <c r="Y256" s="215">
        <f t="shared" si="129"/>
        <v>0</v>
      </c>
      <c r="Z256" s="215">
        <f t="shared" si="130"/>
        <v>0</v>
      </c>
      <c r="AA256" s="29"/>
      <c r="AB256" s="29"/>
      <c r="AC256" s="29"/>
      <c r="AD256" s="29"/>
    </row>
    <row r="257" spans="1:46" s="238" customFormat="1">
      <c r="A257" s="1136">
        <f t="shared" si="131"/>
        <v>20</v>
      </c>
      <c r="B257" s="238">
        <f t="shared" si="107"/>
        <v>0</v>
      </c>
      <c r="C257" s="215">
        <f t="shared" si="108"/>
        <v>1.92</v>
      </c>
      <c r="D257" s="215">
        <f t="shared" si="109"/>
        <v>10</v>
      </c>
      <c r="E257" s="215">
        <f t="shared" si="110"/>
        <v>0</v>
      </c>
      <c r="F257" s="215">
        <f t="shared" si="111"/>
        <v>2.9791666666666674</v>
      </c>
      <c r="G257" s="1139">
        <f t="shared" si="112"/>
        <v>14.899166666666668</v>
      </c>
      <c r="H257" s="238">
        <f t="shared" si="113"/>
        <v>0</v>
      </c>
      <c r="I257" s="1101">
        <f t="shared" si="114"/>
        <v>0.5</v>
      </c>
      <c r="J257" s="215">
        <f t="shared" si="115"/>
        <v>0</v>
      </c>
      <c r="K257" s="215">
        <f t="shared" si="116"/>
        <v>0.82857142857142863</v>
      </c>
      <c r="L257" s="238">
        <f t="shared" si="117"/>
        <v>1</v>
      </c>
      <c r="M257" s="215">
        <f t="shared" si="118"/>
        <v>19.899999999999999</v>
      </c>
      <c r="N257" s="1101">
        <f t="shared" si="119"/>
        <v>0.15</v>
      </c>
      <c r="O257" s="1101">
        <f t="shared" si="120"/>
        <v>-1.9101714285714291</v>
      </c>
      <c r="P257" s="215">
        <f t="shared" si="121"/>
        <v>-2.820173529411766</v>
      </c>
      <c r="Q257" s="215">
        <f t="shared" si="122"/>
        <v>-10.168821708683472</v>
      </c>
      <c r="R257" s="215">
        <f t="shared" si="123"/>
        <v>-10.168821708683472</v>
      </c>
      <c r="S257" s="215"/>
      <c r="T257" s="215">
        <f t="shared" si="124"/>
        <v>-10.168821708683472</v>
      </c>
      <c r="U257" s="215">
        <f t="shared" si="125"/>
        <v>-10.168821708683472</v>
      </c>
      <c r="V257" s="215">
        <f t="shared" si="126"/>
        <v>19.899999999999999</v>
      </c>
      <c r="W257" s="237">
        <f t="shared" si="127"/>
        <v>26</v>
      </c>
      <c r="X257" s="215">
        <f t="shared" si="128"/>
        <v>-6.1000000000000014</v>
      </c>
      <c r="Y257" s="215">
        <f t="shared" si="129"/>
        <v>0</v>
      </c>
      <c r="Z257" s="215">
        <f t="shared" si="130"/>
        <v>0</v>
      </c>
      <c r="AA257" s="29"/>
      <c r="AB257" s="29"/>
      <c r="AC257" s="29"/>
      <c r="AD257" s="29"/>
    </row>
    <row r="258" spans="1:46" s="238" customFormat="1">
      <c r="A258" s="1136">
        <f t="shared" si="131"/>
        <v>21</v>
      </c>
      <c r="B258" s="238">
        <f t="shared" si="107"/>
        <v>0</v>
      </c>
      <c r="C258" s="215">
        <f t="shared" si="108"/>
        <v>1.92</v>
      </c>
      <c r="D258" s="215">
        <f t="shared" si="109"/>
        <v>2</v>
      </c>
      <c r="E258" s="215">
        <f t="shared" si="110"/>
        <v>0</v>
      </c>
      <c r="F258" s="215">
        <f t="shared" si="111"/>
        <v>2.9791666666666674</v>
      </c>
      <c r="G258" s="1139">
        <f t="shared" si="112"/>
        <v>6.8991666666666678</v>
      </c>
      <c r="H258" s="238">
        <f t="shared" si="113"/>
        <v>0</v>
      </c>
      <c r="I258" s="1101">
        <f t="shared" si="114"/>
        <v>0.5</v>
      </c>
      <c r="J258" s="215">
        <f t="shared" si="115"/>
        <v>0</v>
      </c>
      <c r="K258" s="215">
        <f t="shared" si="116"/>
        <v>0.82857142857142863</v>
      </c>
      <c r="L258" s="238">
        <f t="shared" si="117"/>
        <v>1</v>
      </c>
      <c r="M258" s="215">
        <f t="shared" si="118"/>
        <v>18.899999999999999</v>
      </c>
      <c r="N258" s="1101">
        <f t="shared" si="119"/>
        <v>0.15</v>
      </c>
      <c r="O258" s="1101">
        <f t="shared" si="120"/>
        <v>-2.2233142857142862</v>
      </c>
      <c r="P258" s="215">
        <f t="shared" si="121"/>
        <v>-3.2824970588235307</v>
      </c>
      <c r="Q258" s="215">
        <f t="shared" si="122"/>
        <v>-1.3933553221288508</v>
      </c>
      <c r="R258" s="215">
        <f t="shared" si="123"/>
        <v>-1.3933553221288508</v>
      </c>
      <c r="S258" s="215"/>
      <c r="T258" s="215">
        <f t="shared" si="124"/>
        <v>-1.3933553221288508</v>
      </c>
      <c r="U258" s="215">
        <f t="shared" si="125"/>
        <v>-1.3933553221288508</v>
      </c>
      <c r="V258" s="215">
        <f t="shared" si="126"/>
        <v>18.899999999999999</v>
      </c>
      <c r="W258" s="237">
        <f t="shared" si="127"/>
        <v>26</v>
      </c>
      <c r="X258" s="215">
        <f t="shared" si="128"/>
        <v>-7.1000000000000014</v>
      </c>
      <c r="Y258" s="215">
        <f t="shared" si="129"/>
        <v>0</v>
      </c>
      <c r="Z258" s="215">
        <f t="shared" si="130"/>
        <v>0</v>
      </c>
      <c r="AA258" s="29"/>
      <c r="AB258" s="29"/>
      <c r="AC258" s="29"/>
      <c r="AD258" s="29"/>
    </row>
    <row r="259" spans="1:46" s="238" customFormat="1">
      <c r="A259" s="1136">
        <f t="shared" si="131"/>
        <v>22</v>
      </c>
      <c r="B259" s="238">
        <f t="shared" si="107"/>
        <v>0</v>
      </c>
      <c r="C259" s="215">
        <f t="shared" si="108"/>
        <v>2.4</v>
      </c>
      <c r="D259" s="215">
        <f t="shared" si="109"/>
        <v>2</v>
      </c>
      <c r="E259" s="215">
        <f t="shared" si="110"/>
        <v>0</v>
      </c>
      <c r="F259" s="215">
        <f t="shared" si="111"/>
        <v>2.9791666666666674</v>
      </c>
      <c r="G259" s="1139">
        <f t="shared" si="112"/>
        <v>7.3791666666666682</v>
      </c>
      <c r="H259" s="238">
        <f t="shared" si="113"/>
        <v>0</v>
      </c>
      <c r="I259" s="1101">
        <f t="shared" si="114"/>
        <v>0.5</v>
      </c>
      <c r="J259" s="215">
        <f t="shared" si="115"/>
        <v>0</v>
      </c>
      <c r="K259" s="215">
        <f t="shared" si="116"/>
        <v>0.82857142857142863</v>
      </c>
      <c r="L259" s="238">
        <f t="shared" si="117"/>
        <v>1</v>
      </c>
      <c r="M259" s="215">
        <f t="shared" si="118"/>
        <v>17.399999999999999</v>
      </c>
      <c r="N259" s="1101">
        <f t="shared" si="119"/>
        <v>0.15</v>
      </c>
      <c r="O259" s="1101">
        <f t="shared" si="120"/>
        <v>-2.693028571428572</v>
      </c>
      <c r="P259" s="215">
        <f t="shared" si="121"/>
        <v>-3.9759823529411777</v>
      </c>
      <c r="Q259" s="215">
        <f t="shared" si="122"/>
        <v>-0.71015574229691847</v>
      </c>
      <c r="R259" s="215">
        <f t="shared" si="123"/>
        <v>-0.71015574229691847</v>
      </c>
      <c r="S259" s="215"/>
      <c r="T259" s="215">
        <f t="shared" si="124"/>
        <v>-0.71015574229691847</v>
      </c>
      <c r="U259" s="215">
        <f t="shared" si="125"/>
        <v>-0.71015574229691847</v>
      </c>
      <c r="V259" s="215">
        <f t="shared" si="126"/>
        <v>17.399999999999999</v>
      </c>
      <c r="W259" s="237">
        <f t="shared" si="127"/>
        <v>26</v>
      </c>
      <c r="X259" s="215">
        <f t="shared" si="128"/>
        <v>-8.6000000000000014</v>
      </c>
      <c r="Y259" s="215">
        <f t="shared" si="129"/>
        <v>0</v>
      </c>
      <c r="Z259" s="215">
        <f t="shared" si="130"/>
        <v>0</v>
      </c>
      <c r="AA259" s="29"/>
      <c r="AB259" s="29"/>
      <c r="AC259" s="29"/>
      <c r="AD259" s="29"/>
    </row>
    <row r="260" spans="1:46" s="238" customFormat="1">
      <c r="A260" s="1136">
        <f t="shared" si="131"/>
        <v>23</v>
      </c>
      <c r="B260" s="238">
        <f t="shared" si="107"/>
        <v>0</v>
      </c>
      <c r="C260" s="215">
        <f t="shared" si="108"/>
        <v>2.4</v>
      </c>
      <c r="D260" s="215">
        <f t="shared" si="109"/>
        <v>2</v>
      </c>
      <c r="E260" s="215">
        <f t="shared" si="110"/>
        <v>0</v>
      </c>
      <c r="F260" s="215">
        <f t="shared" si="111"/>
        <v>0</v>
      </c>
      <c r="G260" s="1139">
        <f t="shared" si="112"/>
        <v>4.4000000000000004</v>
      </c>
      <c r="H260" s="238">
        <f t="shared" si="113"/>
        <v>0</v>
      </c>
      <c r="I260" s="1101">
        <f t="shared" si="114"/>
        <v>0.5</v>
      </c>
      <c r="J260" s="215">
        <f t="shared" si="115"/>
        <v>0</v>
      </c>
      <c r="K260" s="215">
        <f t="shared" si="116"/>
        <v>0.82857142857142863</v>
      </c>
      <c r="L260" s="238">
        <f t="shared" si="117"/>
        <v>1</v>
      </c>
      <c r="M260" s="215">
        <f t="shared" si="118"/>
        <v>16.899999999999999</v>
      </c>
      <c r="N260" s="1101">
        <f t="shared" si="119"/>
        <v>0.15</v>
      </c>
      <c r="O260" s="1101">
        <f t="shared" si="120"/>
        <v>-2.8496000000000006</v>
      </c>
      <c r="P260" s="215">
        <f t="shared" si="121"/>
        <v>-4.2071441176470605</v>
      </c>
      <c r="Q260" s="215">
        <f t="shared" si="122"/>
        <v>2.6567441176470608</v>
      </c>
      <c r="R260" s="215">
        <f t="shared" si="123"/>
        <v>2.6567441176470608</v>
      </c>
      <c r="S260" s="215"/>
      <c r="T260" s="215">
        <f t="shared" si="124"/>
        <v>0</v>
      </c>
      <c r="U260" s="215">
        <f t="shared" si="125"/>
        <v>0</v>
      </c>
      <c r="V260" s="215">
        <f t="shared" si="126"/>
        <v>16.899999999999999</v>
      </c>
      <c r="W260" s="237">
        <f t="shared" si="127"/>
        <v>26</v>
      </c>
      <c r="X260" s="215">
        <f t="shared" si="128"/>
        <v>-9.1000000000000014</v>
      </c>
      <c r="Y260" s="215">
        <f t="shared" si="129"/>
        <v>2.6567441176470608</v>
      </c>
      <c r="Z260" s="215">
        <f t="shared" si="130"/>
        <v>2.6567441176470608</v>
      </c>
      <c r="AA260" s="29"/>
      <c r="AB260" s="29"/>
      <c r="AC260" s="29"/>
      <c r="AD260" s="29"/>
    </row>
    <row r="261" spans="1:46" s="238" customFormat="1">
      <c r="A261" s="1136">
        <f t="shared" si="131"/>
        <v>24</v>
      </c>
      <c r="B261" s="238">
        <f t="shared" si="107"/>
        <v>0</v>
      </c>
      <c r="C261" s="215">
        <f t="shared" si="108"/>
        <v>2.4</v>
      </c>
      <c r="D261" s="215">
        <f t="shared" si="109"/>
        <v>2</v>
      </c>
      <c r="E261" s="215">
        <f t="shared" si="110"/>
        <v>0</v>
      </c>
      <c r="F261" s="215">
        <f t="shared" si="111"/>
        <v>0</v>
      </c>
      <c r="G261" s="1139">
        <f t="shared" si="112"/>
        <v>4.4000000000000004</v>
      </c>
      <c r="H261" s="238">
        <f t="shared" si="113"/>
        <v>0</v>
      </c>
      <c r="I261" s="1101">
        <f t="shared" si="114"/>
        <v>0.5</v>
      </c>
      <c r="J261" s="215">
        <f t="shared" si="115"/>
        <v>0</v>
      </c>
      <c r="K261" s="215">
        <f t="shared" si="116"/>
        <v>0.82857142857142863</v>
      </c>
      <c r="L261" s="238">
        <f t="shared" si="117"/>
        <v>1</v>
      </c>
      <c r="M261" s="215">
        <f t="shared" si="118"/>
        <v>16.3</v>
      </c>
      <c r="N261" s="1101">
        <f t="shared" si="119"/>
        <v>0.15</v>
      </c>
      <c r="O261" s="1101">
        <f t="shared" si="120"/>
        <v>-3.0374857142857143</v>
      </c>
      <c r="P261" s="215">
        <f t="shared" si="121"/>
        <v>-4.4845382352941181</v>
      </c>
      <c r="Q261" s="215">
        <f t="shared" si="122"/>
        <v>3.1220239495798321</v>
      </c>
      <c r="R261" s="215">
        <f t="shared" si="123"/>
        <v>3.1220239495798321</v>
      </c>
      <c r="S261" s="215"/>
      <c r="T261" s="215">
        <f t="shared" si="124"/>
        <v>0</v>
      </c>
      <c r="U261" s="215">
        <f t="shared" si="125"/>
        <v>0</v>
      </c>
      <c r="V261" s="215">
        <f t="shared" si="126"/>
        <v>16.3</v>
      </c>
      <c r="W261" s="237">
        <f t="shared" si="127"/>
        <v>26</v>
      </c>
      <c r="X261" s="215">
        <f t="shared" si="128"/>
        <v>-9.6999999999999993</v>
      </c>
      <c r="Y261" s="215">
        <f t="shared" si="129"/>
        <v>3.1220239495798321</v>
      </c>
      <c r="Z261" s="215">
        <f t="shared" si="130"/>
        <v>3.1220239495798321</v>
      </c>
      <c r="AA261" s="29"/>
      <c r="AB261" s="29"/>
      <c r="AC261" s="29"/>
      <c r="AD261" s="29"/>
    </row>
    <row r="262" spans="1:46" s="238" customFormat="1">
      <c r="G262" s="1138"/>
      <c r="R262" s="29"/>
      <c r="S262" s="29"/>
      <c r="T262" s="29"/>
      <c r="U262" s="29"/>
      <c r="V262" s="29"/>
      <c r="W262" s="29"/>
      <c r="X262" s="29"/>
      <c r="Y262" s="29"/>
      <c r="Z262" s="29"/>
      <c r="AA262" s="29"/>
      <c r="AB262" s="29"/>
      <c r="AC262" s="29"/>
      <c r="AD262" s="29"/>
    </row>
    <row r="263" spans="1:46" s="238" customFormat="1">
      <c r="A263" s="238" t="s">
        <v>1058</v>
      </c>
      <c r="C263" s="215">
        <f>SUM(C238:C261)</f>
        <v>33.6</v>
      </c>
      <c r="D263" s="215">
        <f>SUM(D238:D261)</f>
        <v>74</v>
      </c>
      <c r="E263" s="215">
        <f>SUM(E238:E261)</f>
        <v>0</v>
      </c>
      <c r="F263" s="215">
        <f>SUM(F238:F261)</f>
        <v>8.9375000000000018</v>
      </c>
      <c r="G263" s="1139">
        <f>SUM(G238:G261)</f>
        <v>116.53750000000002</v>
      </c>
      <c r="J263" s="215">
        <f>SUM(J238:J261)</f>
        <v>111.74505882352943</v>
      </c>
      <c r="O263" s="215">
        <f t="shared" ref="O263:U263" si="132">SUM(O238:O261)</f>
        <v>-51.449371428571439</v>
      </c>
      <c r="P263" s="215">
        <f t="shared" si="132"/>
        <v>-75.959755882352965</v>
      </c>
      <c r="Q263" s="215">
        <f t="shared" si="132"/>
        <v>-100.87343151260504</v>
      </c>
      <c r="R263" s="215">
        <f t="shared" si="132"/>
        <v>-100.87343151260504</v>
      </c>
      <c r="S263" s="215"/>
      <c r="T263" s="215">
        <f t="shared" si="132"/>
        <v>-138.5318344537815</v>
      </c>
      <c r="U263" s="215">
        <f t="shared" si="132"/>
        <v>-138.5318344537815</v>
      </c>
      <c r="V263" s="29"/>
      <c r="W263" s="29"/>
      <c r="X263" s="29"/>
      <c r="Y263" s="215">
        <f t="shared" ref="Y263:Z263" si="133">SUM(Y238:Y261)</f>
        <v>37.658402941176483</v>
      </c>
      <c r="Z263" s="215">
        <f t="shared" si="133"/>
        <v>37.658402941176483</v>
      </c>
      <c r="AA263" s="29"/>
      <c r="AB263" s="29"/>
      <c r="AC263" s="29"/>
      <c r="AD263" s="29"/>
    </row>
    <row r="264" spans="1:46" s="238" customFormat="1">
      <c r="A264" s="238" t="s">
        <v>1458</v>
      </c>
      <c r="C264" s="215">
        <f>MAX(C238:C261)</f>
        <v>2.4</v>
      </c>
      <c r="D264" s="215">
        <f>MAX(D238:D261)</f>
        <v>10</v>
      </c>
      <c r="E264" s="215">
        <f>MAX(E238:E261)</f>
        <v>0</v>
      </c>
      <c r="F264" s="215">
        <f>MAX(F238:F261)</f>
        <v>2.9791666666666674</v>
      </c>
      <c r="G264" s="1139"/>
      <c r="H264" s="215">
        <f>MAX(H238:H261)</f>
        <v>601</v>
      </c>
      <c r="J264" s="215">
        <f>MAX(J238:J261)</f>
        <v>13.363411764705884</v>
      </c>
      <c r="M264" s="215">
        <f>MAX(M238:M261)</f>
        <v>24.6</v>
      </c>
      <c r="O264" s="215">
        <f t="shared" ref="O264:W264" si="134">MAX(O238:O261)</f>
        <v>-0.43839999999999957</v>
      </c>
      <c r="P264" s="215">
        <f t="shared" si="134"/>
        <v>-0.64725294117647003</v>
      </c>
      <c r="Q264" s="215">
        <f t="shared" si="134"/>
        <v>5.9137029411764725</v>
      </c>
      <c r="R264" s="215">
        <f t="shared" si="134"/>
        <v>5.9137029411764725</v>
      </c>
      <c r="S264" s="215"/>
      <c r="T264" s="215">
        <f t="shared" si="134"/>
        <v>0</v>
      </c>
      <c r="U264" s="215">
        <f t="shared" si="134"/>
        <v>0</v>
      </c>
      <c r="V264" s="215">
        <f t="shared" si="134"/>
        <v>24.6</v>
      </c>
      <c r="W264" s="215">
        <f t="shared" si="134"/>
        <v>26</v>
      </c>
      <c r="X264" s="29"/>
      <c r="Y264" s="215">
        <f t="shared" ref="Y264:Z264" si="135">MAX(Y238:Y261)</f>
        <v>5.9137029411764725</v>
      </c>
      <c r="Z264" s="215">
        <f t="shared" si="135"/>
        <v>5.9137029411764725</v>
      </c>
      <c r="AA264" s="29"/>
      <c r="AB264" s="29"/>
      <c r="AC264" s="29"/>
      <c r="AD264" s="29"/>
    </row>
    <row r="265" spans="1:46" s="238" customFormat="1">
      <c r="A265" s="238" t="s">
        <v>1459</v>
      </c>
      <c r="C265" s="215"/>
      <c r="D265" s="215"/>
      <c r="E265" s="215"/>
      <c r="F265" s="215"/>
      <c r="G265" s="1139"/>
      <c r="J265" s="215"/>
      <c r="O265" s="215"/>
      <c r="P265" s="215"/>
      <c r="Q265" s="215">
        <f>MIN(Q238:Q261)</f>
        <v>-14.860111764705884</v>
      </c>
      <c r="R265" s="215">
        <f>MIN(R238:R261)</f>
        <v>-14.860111764705884</v>
      </c>
      <c r="S265" s="215"/>
      <c r="T265" s="215">
        <f>MIN(T238:T261)</f>
        <v>-14.860111764705884</v>
      </c>
      <c r="U265" s="1350">
        <f>MIN(U238:U261)</f>
        <v>-14.860111764705884</v>
      </c>
      <c r="V265" s="29"/>
      <c r="W265" s="29"/>
      <c r="X265" s="29"/>
      <c r="Y265" s="1350">
        <f>MIN(Y238:Y261)</f>
        <v>0</v>
      </c>
      <c r="Z265" s="1350">
        <f>MIN(Z238:Z261)</f>
        <v>0</v>
      </c>
      <c r="AA265" s="29"/>
      <c r="AB265" s="29"/>
      <c r="AC265" s="29"/>
      <c r="AD265" s="29"/>
    </row>
    <row r="266" spans="1:46" s="238" customFormat="1">
      <c r="R266" s="29"/>
      <c r="S266" s="29"/>
      <c r="T266" s="29"/>
      <c r="U266" s="29"/>
      <c r="V266" s="29"/>
      <c r="Z266" s="29"/>
      <c r="AA266" s="29"/>
      <c r="AB266" s="29"/>
      <c r="AC266" s="29"/>
      <c r="AD266" s="29"/>
    </row>
    <row r="267" spans="1:46" s="238" customFormat="1">
      <c r="R267" s="29"/>
      <c r="S267" s="29"/>
      <c r="T267" s="29"/>
      <c r="U267" s="29"/>
      <c r="V267" s="29"/>
      <c r="Z267" s="29"/>
      <c r="AA267" s="29"/>
      <c r="AB267" s="29"/>
      <c r="AC267" s="29"/>
      <c r="AD267" s="29"/>
    </row>
    <row r="268" spans="1:46" s="238" customFormat="1">
      <c r="R268" s="29"/>
      <c r="S268" s="29"/>
      <c r="T268" s="29"/>
      <c r="U268" s="29"/>
      <c r="V268" s="29"/>
      <c r="Z268" s="29"/>
      <c r="AA268" s="29"/>
      <c r="AB268" s="29"/>
      <c r="AC268" s="29"/>
      <c r="AD268" s="29"/>
    </row>
    <row r="269" spans="1:46" s="238" customFormat="1" ht="15.45">
      <c r="A269" s="1135" t="s">
        <v>1640</v>
      </c>
      <c r="B269" s="367"/>
      <c r="C269" s="367"/>
      <c r="D269" s="367"/>
      <c r="E269" s="1542" t="s">
        <v>1592</v>
      </c>
      <c r="F269" s="367"/>
      <c r="G269" s="367"/>
      <c r="H269" s="367"/>
      <c r="I269" s="367"/>
      <c r="J269" s="367"/>
      <c r="K269" s="210"/>
      <c r="L269" s="1542" t="s">
        <v>1626</v>
      </c>
      <c r="M269" s="367"/>
      <c r="N269" s="367"/>
      <c r="O269" s="367"/>
      <c r="P269" s="367"/>
      <c r="Q269" s="367"/>
      <c r="R269" s="367"/>
      <c r="S269" s="367"/>
      <c r="T269" s="1134"/>
      <c r="U269" s="1134"/>
      <c r="V269" s="1134"/>
      <c r="W269" s="1134"/>
      <c r="X269" s="1134"/>
      <c r="Y269" s="1134"/>
      <c r="Z269" s="1134"/>
      <c r="AA269" s="1354" t="s">
        <v>1644</v>
      </c>
      <c r="AB269" s="230"/>
      <c r="AC269" s="230"/>
      <c r="AD269" s="1546"/>
      <c r="AE269" s="1546"/>
      <c r="AF269" s="230"/>
      <c r="AG269" s="230"/>
      <c r="AH269" s="230"/>
      <c r="AI269" s="230"/>
      <c r="AJ269" s="230"/>
      <c r="AK269" s="1546"/>
      <c r="AL269" s="1546"/>
      <c r="AM269" s="1546"/>
      <c r="AN269" s="1546"/>
      <c r="AO269" s="1549"/>
      <c r="AP269" s="1549" t="s">
        <v>1856</v>
      </c>
      <c r="AQ269" s="1549"/>
      <c r="AR269" s="1549"/>
      <c r="AS269" s="1549" t="s">
        <v>1993</v>
      </c>
      <c r="AT269" s="1549"/>
    </row>
    <row r="270" spans="1:46" s="238" customFormat="1">
      <c r="A270" s="367"/>
      <c r="B270" s="367"/>
      <c r="C270" s="367"/>
      <c r="D270" s="367"/>
      <c r="E270" s="367"/>
      <c r="F270" s="367"/>
      <c r="G270" s="367"/>
      <c r="H270" s="367"/>
      <c r="I270" s="367"/>
      <c r="J270" s="367"/>
      <c r="K270" s="210"/>
      <c r="L270" s="367"/>
      <c r="M270" s="367"/>
      <c r="N270" s="367"/>
      <c r="O270" s="367"/>
      <c r="P270" s="367"/>
      <c r="Q270" s="367"/>
      <c r="R270" s="367"/>
      <c r="S270" s="367"/>
      <c r="T270" s="1134"/>
      <c r="U270" s="1134"/>
      <c r="V270" s="1134"/>
      <c r="W270" s="1134"/>
      <c r="X270" s="1134"/>
      <c r="Y270" s="1134"/>
      <c r="Z270" s="1134"/>
      <c r="AA270" s="230"/>
      <c r="AB270" s="230"/>
      <c r="AC270" s="230"/>
      <c r="AD270" s="230" t="s">
        <v>1631</v>
      </c>
      <c r="AE270" s="1547">
        <v>0.59</v>
      </c>
      <c r="AF270" s="230"/>
      <c r="AG270" s="230"/>
      <c r="AH270" s="230"/>
      <c r="AI270" s="230"/>
      <c r="AJ270" s="230"/>
      <c r="AK270" s="1546"/>
      <c r="AL270" s="1546"/>
      <c r="AM270" s="1546"/>
      <c r="AN270" s="1546"/>
      <c r="AO270" s="1549"/>
      <c r="AP270" s="1549" t="s">
        <v>1857</v>
      </c>
      <c r="AQ270" s="1549"/>
      <c r="AR270" s="1549"/>
      <c r="AS270" s="1726">
        <f>6.112*EXP(22.46*O278/(272.62+O278))</f>
        <v>9.5297153250451174</v>
      </c>
      <c r="AT270" s="1549" t="s">
        <v>1855</v>
      </c>
    </row>
    <row r="271" spans="1:46" s="238" customFormat="1">
      <c r="A271" s="210"/>
      <c r="C271" s="238" t="str">
        <f>Begriffe!F88</f>
        <v>Personenprofil</v>
      </c>
      <c r="D271" s="238" t="s">
        <v>10</v>
      </c>
      <c r="E271" s="238" t="s">
        <v>1592</v>
      </c>
      <c r="F271" s="238" t="str">
        <f>Begriffe!F30</f>
        <v>Aussenluft-Volumenstrom</v>
      </c>
      <c r="G271" s="238" t="s">
        <v>1434</v>
      </c>
      <c r="H271" s="238" t="s">
        <v>1619</v>
      </c>
      <c r="I271" s="238" t="s">
        <v>1619</v>
      </c>
      <c r="J271" s="238" t="str">
        <f>Begriffe!F414</f>
        <v>CO2-Konzentration</v>
      </c>
      <c r="L271" s="238" t="s">
        <v>1633</v>
      </c>
      <c r="M271" s="238" t="s">
        <v>1633</v>
      </c>
      <c r="N271" s="1138" t="s">
        <v>1633</v>
      </c>
      <c r="O271" s="238" t="s">
        <v>1636</v>
      </c>
      <c r="P271" s="238" t="s">
        <v>1643</v>
      </c>
      <c r="Q271" s="238" t="s">
        <v>1994</v>
      </c>
      <c r="R271" s="540" t="s">
        <v>1638</v>
      </c>
      <c r="S271" s="540" t="s">
        <v>1637</v>
      </c>
      <c r="T271" s="540" t="s">
        <v>1662</v>
      </c>
      <c r="U271" s="540" t="s">
        <v>1662</v>
      </c>
      <c r="V271" s="540" t="s">
        <v>1662</v>
      </c>
      <c r="W271" s="540" t="s">
        <v>1632</v>
      </c>
      <c r="X271" s="238" t="s">
        <v>1995</v>
      </c>
      <c r="Y271" s="540" t="str">
        <f>Begriffe!$F$97</f>
        <v xml:space="preserve">Relative Raumluftfeuchte </v>
      </c>
      <c r="AA271" s="238" t="s">
        <v>1627</v>
      </c>
      <c r="AB271" s="1549" t="s">
        <v>1641</v>
      </c>
      <c r="AC271" s="238" t="s">
        <v>1642</v>
      </c>
      <c r="AD271" s="238" t="s">
        <v>1629</v>
      </c>
      <c r="AE271" s="238" t="s">
        <v>1630</v>
      </c>
      <c r="AF271" s="1549" t="s">
        <v>1648</v>
      </c>
      <c r="AG271" s="238" t="s">
        <v>1649</v>
      </c>
      <c r="AH271" s="238" t="s">
        <v>1645</v>
      </c>
      <c r="AI271" s="1549" t="s">
        <v>1650</v>
      </c>
      <c r="AJ271" s="238" t="str">
        <f>Begriffe!$F$416</f>
        <v>Max. zulässige Raumluftfeuchte</v>
      </c>
      <c r="AK271" s="1549" t="s">
        <v>1663</v>
      </c>
      <c r="AL271" s="1549" t="s">
        <v>1664</v>
      </c>
      <c r="AM271" s="1549" t="s">
        <v>1666</v>
      </c>
      <c r="AN271" s="1549" t="s">
        <v>1665</v>
      </c>
      <c r="AO271" s="1549"/>
      <c r="AP271" s="1549" t="s">
        <v>1996</v>
      </c>
      <c r="AQ271" s="1549"/>
      <c r="AR271" s="1549"/>
      <c r="AS271" s="1550">
        <f>610.5*EXP(17.269*O279/(237.3+O279))</f>
        <v>902.76510813052721</v>
      </c>
      <c r="AT271" s="1549" t="s">
        <v>1628</v>
      </c>
    </row>
    <row r="272" spans="1:46" s="238" customFormat="1">
      <c r="A272" s="215" t="s">
        <v>28</v>
      </c>
      <c r="E272" s="238" t="s">
        <v>1613</v>
      </c>
      <c r="H272" s="238" t="s">
        <v>1621</v>
      </c>
      <c r="I272" s="238" t="s">
        <v>1622</v>
      </c>
      <c r="J272" s="238" t="s">
        <v>1624</v>
      </c>
      <c r="L272" s="238" t="s">
        <v>10</v>
      </c>
      <c r="M272" s="238" t="s">
        <v>1058</v>
      </c>
      <c r="N272" s="1138" t="s">
        <v>1058</v>
      </c>
      <c r="R272" s="29"/>
      <c r="S272" s="29"/>
      <c r="T272" s="238" t="s">
        <v>1621</v>
      </c>
      <c r="U272" s="238" t="s">
        <v>1622</v>
      </c>
      <c r="V272" s="238" t="s">
        <v>1624</v>
      </c>
      <c r="W272" s="29"/>
      <c r="Y272" s="29"/>
      <c r="AB272" s="1549"/>
      <c r="AF272" s="1549"/>
      <c r="AI272" s="1549"/>
      <c r="AJ272" s="238" t="s">
        <v>1651</v>
      </c>
      <c r="AK272" s="1549"/>
      <c r="AL272" s="1549"/>
      <c r="AM272" s="1549"/>
      <c r="AN272" s="1549"/>
    </row>
    <row r="273" spans="1:58" s="238" customFormat="1">
      <c r="A273" s="210"/>
      <c r="B273" s="210"/>
      <c r="C273" s="1101" t="s">
        <v>102</v>
      </c>
      <c r="D273" s="1101" t="s">
        <v>1611</v>
      </c>
      <c r="E273" s="210"/>
      <c r="G273" s="238" t="s">
        <v>1617</v>
      </c>
      <c r="H273" s="238" t="s">
        <v>1623</v>
      </c>
      <c r="I273" s="238" t="s">
        <v>1623</v>
      </c>
      <c r="J273" s="238" t="s">
        <v>1623</v>
      </c>
      <c r="M273" s="238" t="s">
        <v>1635</v>
      </c>
      <c r="N273" s="1138" t="s">
        <v>1635</v>
      </c>
      <c r="O273" s="1545" t="s">
        <v>351</v>
      </c>
      <c r="R273" s="540" t="s">
        <v>1854</v>
      </c>
      <c r="S273" s="540" t="s">
        <v>1646</v>
      </c>
      <c r="T273" s="29"/>
      <c r="U273" s="238" t="s">
        <v>1667</v>
      </c>
      <c r="V273" s="238" t="s">
        <v>1667</v>
      </c>
      <c r="W273" s="29"/>
      <c r="Y273" s="540" t="s">
        <v>1854</v>
      </c>
      <c r="AB273" s="1549"/>
      <c r="AF273" s="1549"/>
      <c r="AI273" s="1549"/>
      <c r="AK273" s="1551"/>
      <c r="AL273" s="1549"/>
      <c r="AM273" s="1549"/>
      <c r="AN273" s="1549"/>
    </row>
    <row r="274" spans="1:58" s="238" customFormat="1">
      <c r="A274" s="210"/>
      <c r="B274" s="210"/>
      <c r="C274" s="238" t="s">
        <v>209</v>
      </c>
      <c r="D274" s="238" t="s">
        <v>209</v>
      </c>
      <c r="E274" s="238" t="s">
        <v>1615</v>
      </c>
      <c r="G274" s="238" t="s">
        <v>1618</v>
      </c>
      <c r="H274" s="238" t="s">
        <v>1620</v>
      </c>
      <c r="I274" s="238" t="s">
        <v>1620</v>
      </c>
      <c r="J274" s="238" t="s">
        <v>1620</v>
      </c>
      <c r="L274" s="238" t="s">
        <v>1659</v>
      </c>
      <c r="M274" s="238" t="s">
        <v>853</v>
      </c>
      <c r="N274" s="1138"/>
      <c r="O274" s="238" t="s">
        <v>3</v>
      </c>
      <c r="P274" s="238" t="s">
        <v>5</v>
      </c>
      <c r="R274" s="540" t="s">
        <v>1855</v>
      </c>
      <c r="S274" s="540" t="s">
        <v>1647</v>
      </c>
      <c r="T274" s="29"/>
      <c r="U274" s="238" t="s">
        <v>1639</v>
      </c>
      <c r="V274" s="238" t="s">
        <v>1639</v>
      </c>
      <c r="W274" s="238" t="s">
        <v>3</v>
      </c>
      <c r="Y274" s="540" t="s">
        <v>1855</v>
      </c>
      <c r="AB274" s="1549"/>
      <c r="AD274" s="29"/>
      <c r="AE274" s="29"/>
      <c r="AF274" s="1360" t="s">
        <v>1997</v>
      </c>
      <c r="AI274" s="1551"/>
      <c r="AJ274" s="29"/>
      <c r="AK274" s="1551"/>
      <c r="AL274" s="1549"/>
      <c r="AM274" s="1549"/>
      <c r="AN274" s="1549"/>
    </row>
    <row r="275" spans="1:58" s="238" customFormat="1">
      <c r="A275" s="210"/>
      <c r="B275" s="210"/>
      <c r="C275" s="237">
        <f>Datenblatt!M$58</f>
        <v>35</v>
      </c>
      <c r="D275" s="237">
        <f>Datenblatt!M$13</f>
        <v>20</v>
      </c>
      <c r="E275" s="1396">
        <f>20*Datenblatt!M$59</f>
        <v>24</v>
      </c>
      <c r="G275" s="238">
        <f>D275*Datenblatt!M$12</f>
        <v>50</v>
      </c>
      <c r="H275" s="1545">
        <v>400</v>
      </c>
      <c r="I275" s="1545">
        <v>400</v>
      </c>
      <c r="J275" s="237">
        <f>I301</f>
        <v>1017.7133165677623</v>
      </c>
      <c r="L275" s="237">
        <f>Datenblatt!H$67</f>
        <v>66</v>
      </c>
      <c r="M275" s="238">
        <f>Datenblatt!M$68</f>
        <v>0.5</v>
      </c>
      <c r="N275" s="1138"/>
      <c r="O275" s="238">
        <f>INDEX(Profile!$AS$278:$BD$282,2,MATCH(Profile!O273,Profile!AS$278:BD$278,0))</f>
        <v>5.5</v>
      </c>
      <c r="P275" s="237">
        <f>INDEX(Profile!$AS$278:$BD$282,5,MATCH(Profile!O273,Profile!AS$278:BD$278,0))</f>
        <v>73.624999999999986</v>
      </c>
      <c r="R275" s="1544" cm="1">
        <f t="array" ref="R275">INDEX(Winter_Auslegung!D5:D44,Datenblatt!G1)</f>
        <v>948.22596847581406</v>
      </c>
      <c r="S275" s="1548">
        <v>1.1000000000000001</v>
      </c>
      <c r="T275" s="29"/>
      <c r="U275" s="1564">
        <f>T301</f>
        <v>5.619444929725641</v>
      </c>
      <c r="V275" s="1564">
        <f>U301</f>
        <v>7.0394510821283918</v>
      </c>
      <c r="W275" s="215">
        <f>INDEX(Profile!$AS$278:$BD$284,7,MATCH(Profile!O273,Profile!AS$278:BD$278,0))</f>
        <v>22.666666666666664</v>
      </c>
      <c r="Y275" s="1544">
        <f>R275</f>
        <v>948.22596847581406</v>
      </c>
      <c r="AB275" s="1549"/>
      <c r="AD275" s="29"/>
      <c r="AE275" s="29"/>
      <c r="AF275" s="1551"/>
      <c r="AI275" s="1551"/>
      <c r="AJ275" s="29"/>
      <c r="AK275" s="1725"/>
      <c r="AL275" s="1549"/>
      <c r="AM275" s="1549"/>
      <c r="AN275" s="1549"/>
    </row>
    <row r="276" spans="1:58" s="238" customFormat="1">
      <c r="A276" s="210"/>
      <c r="B276" s="210"/>
      <c r="C276" s="215"/>
      <c r="D276" s="215"/>
      <c r="G276" s="237"/>
      <c r="N276" s="1138"/>
      <c r="R276" s="29"/>
      <c r="S276" s="29"/>
      <c r="T276" s="29"/>
      <c r="W276" s="29"/>
      <c r="Y276" s="29"/>
      <c r="AB276" s="1549"/>
      <c r="AD276" s="29"/>
      <c r="AE276" s="29"/>
      <c r="AF276" s="1551"/>
      <c r="AI276" s="1551"/>
      <c r="AJ276" s="29"/>
      <c r="AK276" s="1549"/>
      <c r="AL276" s="1549"/>
      <c r="AM276" s="1549"/>
      <c r="AN276" s="1549"/>
    </row>
    <row r="277" spans="1:58" s="238" customFormat="1">
      <c r="A277" s="215" t="s">
        <v>14</v>
      </c>
      <c r="C277" s="238" t="s">
        <v>16</v>
      </c>
      <c r="D277" s="238" t="s">
        <v>1612</v>
      </c>
      <c r="E277" s="238" t="s">
        <v>1614</v>
      </c>
      <c r="F277" s="238" t="s">
        <v>301</v>
      </c>
      <c r="G277" s="238" t="s">
        <v>1616</v>
      </c>
      <c r="H277" s="238" t="s">
        <v>1620</v>
      </c>
      <c r="I277" s="238" t="s">
        <v>1620</v>
      </c>
      <c r="J277" s="238" t="s">
        <v>1620</v>
      </c>
      <c r="L277" s="238" t="s">
        <v>1634</v>
      </c>
      <c r="M277" s="238" t="s">
        <v>1634</v>
      </c>
      <c r="N277" s="1138" t="s">
        <v>853</v>
      </c>
      <c r="O277" s="238" t="s">
        <v>3</v>
      </c>
      <c r="P277" s="238" t="s">
        <v>5</v>
      </c>
      <c r="Q277" s="238" t="s">
        <v>1855</v>
      </c>
      <c r="R277" s="540" t="s">
        <v>1216</v>
      </c>
      <c r="S277" s="540" t="s">
        <v>1639</v>
      </c>
      <c r="T277" s="540" t="s">
        <v>1639</v>
      </c>
      <c r="U277" s="540" t="s">
        <v>1639</v>
      </c>
      <c r="V277" s="540" t="s">
        <v>1639</v>
      </c>
      <c r="W277" s="540" t="s">
        <v>3</v>
      </c>
      <c r="X277" s="238" t="s">
        <v>1855</v>
      </c>
      <c r="Y277" s="540" t="s">
        <v>5</v>
      </c>
      <c r="AA277" s="238" t="s">
        <v>1628</v>
      </c>
      <c r="AB277" s="1549" t="s">
        <v>1628</v>
      </c>
      <c r="AC277" s="238" t="s">
        <v>1628</v>
      </c>
      <c r="AD277" s="238" t="s">
        <v>3</v>
      </c>
      <c r="AE277" s="238" t="s">
        <v>1628</v>
      </c>
      <c r="AF277" s="1549" t="s">
        <v>1628</v>
      </c>
      <c r="AG277" s="238" t="s">
        <v>1628</v>
      </c>
      <c r="AH277" s="238" t="s">
        <v>1628</v>
      </c>
      <c r="AI277" s="1549" t="s">
        <v>5</v>
      </c>
      <c r="AJ277" s="238" t="s">
        <v>5</v>
      </c>
      <c r="AK277" s="1551" t="s">
        <v>1216</v>
      </c>
      <c r="AL277" s="1551" t="s">
        <v>1639</v>
      </c>
      <c r="AM277" s="1549" t="s">
        <v>1616</v>
      </c>
      <c r="AN277" s="1549" t="s">
        <v>1616</v>
      </c>
      <c r="AQ277"/>
      <c r="AR277"/>
      <c r="AS277" s="379" t="s">
        <v>1661</v>
      </c>
      <c r="AT277"/>
      <c r="AU277"/>
      <c r="AV277"/>
      <c r="AW277"/>
      <c r="AX277"/>
      <c r="AY277"/>
      <c r="AZ277"/>
      <c r="BA277"/>
      <c r="BB277"/>
      <c r="BC277"/>
      <c r="BD277"/>
      <c r="BE277" s="379" t="s">
        <v>1376</v>
      </c>
      <c r="BF277"/>
    </row>
    <row r="278" spans="1:58" s="238" customFormat="1">
      <c r="A278" s="1136">
        <v>1</v>
      </c>
      <c r="C278" s="215">
        <f>B63</f>
        <v>1</v>
      </c>
      <c r="D278" s="215">
        <f>IF(C$275=0,0,C278*D$275/C$275)</f>
        <v>0.5714285714285714</v>
      </c>
      <c r="E278" s="237">
        <f>D278*E$275*1000</f>
        <v>13714.285714285714</v>
      </c>
      <c r="F278" s="1101">
        <f>K98+N98</f>
        <v>0.97857142857142865</v>
      </c>
      <c r="G278" s="237">
        <f>F278*D$275</f>
        <v>19.571428571428573</v>
      </c>
      <c r="H278" s="237">
        <f>H$275+IF(G278=0,0,E278/G278*(1-EXP(-G278/G$275)))</f>
        <v>626.97319175201392</v>
      </c>
      <c r="I278" s="1395">
        <f>(H$275-IF(G278=0,0,E278/G278)-I$275)*EXP(-G278/G$275)+IF(G278=0,0,E278/G278)+I$275</f>
        <v>626.97319175201392</v>
      </c>
      <c r="J278" s="1395">
        <f>(J$275-IF(G278=0,0,E278/G278)-I$275)*EXP(-G278/G$275)+IF(G278=0,0,E278/G278)+I$275</f>
        <v>1044.6031985517793</v>
      </c>
      <c r="L278" s="237">
        <f>L$275*D278</f>
        <v>37.714285714285715</v>
      </c>
      <c r="M278" s="237">
        <f>L278+M$275*D$275</f>
        <v>47.714285714285715</v>
      </c>
      <c r="N278" s="1139">
        <f>M278/D$275</f>
        <v>2.3857142857142857</v>
      </c>
      <c r="O278" s="1545">
        <f>O275</f>
        <v>5.5</v>
      </c>
      <c r="P278" s="1349">
        <f>P275</f>
        <v>73.624999999999986</v>
      </c>
      <c r="Q278" s="215">
        <f t="shared" ref="Q278:Q301" si="136">IF(O278&gt;=0,610.5*EXP(17.269*O278/(237.3+O278)),610.5*EXP(21.875*O278/(265.5+O278)))/100</f>
        <v>9.0276510813052724</v>
      </c>
      <c r="R278" s="1722">
        <f t="shared" ref="R278:R301" si="137">(P278%*622*Q278)/($R$275-P278%*Q278)</f>
        <v>4.3906976061409928</v>
      </c>
      <c r="S278" s="1543">
        <f t="shared" ref="S278:S301" si="138">R278*$S$275</f>
        <v>4.8297673667550924</v>
      </c>
      <c r="T278" s="1565">
        <f>S$278+IF(G278=0,0,M278/G278*(1-EXP(-G278/G$275)))</f>
        <v>5.619444929725641</v>
      </c>
      <c r="U278" s="1566">
        <f>($U$275-IF($G278=0,0,$M278/$G278)-S278)*EXP(-$G278/$G$275)+IF($G278=0,0,$M278/$G278)+S278</f>
        <v>6.1533383025048805</v>
      </c>
      <c r="V278" s="1566">
        <f>($V$275-IF($G278=0,0,$M278/$G278)-S278)*EXP(-$G278/$G$275)+IF($G278=0,0,$M278/$G278)+S278</f>
        <v>7.1133907462158206</v>
      </c>
      <c r="W278" s="1727">
        <f>W275</f>
        <v>22.666666666666664</v>
      </c>
      <c r="X278" s="215">
        <f>IF(W278&gt;=0,610.5*EXP(17.269*W278/(237.3+W278)),610.5*EXP(21.875*W278/(265.5+W278)))/100</f>
        <v>27.516992132007175</v>
      </c>
      <c r="Y278" s="1544">
        <f>MIN(100,(V278/$S$275*$R$275)/(X278%*(622+V278/$S$275)))</f>
        <v>35.45786495353908</v>
      </c>
      <c r="Z278" s="237"/>
      <c r="AA278" s="237">
        <f t="shared" ref="AA278:AA301" si="139">IF(O278&gt;=0,610.5*EXP(17.269*O278/(237.3+O278)),610.5*EXP(21.875*O278/(265.5+O278)))</f>
        <v>902.76510813052721</v>
      </c>
      <c r="AB278" s="1550">
        <f t="shared" ref="AB278:AB301" si="140">(0.75-0.0025*O278)*AA278</f>
        <v>664.66081086110057</v>
      </c>
      <c r="AC278" s="237">
        <f t="shared" ref="AC278:AC301" si="141">AA278*P278%</f>
        <v>664.66081086110057</v>
      </c>
      <c r="AD278" s="215">
        <f t="shared" ref="AD278:AD301" si="142">O278+$AE$270*(W278-O278)</f>
        <v>15.628333333333332</v>
      </c>
      <c r="AE278" s="237">
        <f>IF(AD278&gt;=0,610.5*EXP(17.269*AD278/(237.3+AD278)),610.5*EXP(21.875*AD278/(265.5+AD278)))</f>
        <v>1774.5859436995597</v>
      </c>
      <c r="AF278" s="1550">
        <f>0.2*AB278+0.8*0.8*AE278</f>
        <v>1268.6671661399387</v>
      </c>
      <c r="AG278" s="237">
        <f>0.2*AC278+0.8*0.8*AE278</f>
        <v>1268.6671661399387</v>
      </c>
      <c r="AH278" s="237">
        <f t="shared" ref="AH278:AH301" si="143">IF(W278&gt;=0,610.5*EXP(17.269*W278/(237.3+W278)),610.5*EXP(21.875*W278/(265.5+W278)))</f>
        <v>2751.6992132007176</v>
      </c>
      <c r="AI278" s="1550">
        <f>AF278/AH278%</f>
        <v>46.104863498661693</v>
      </c>
      <c r="AJ278" s="237">
        <f>AG278/AH278%</f>
        <v>46.104863498661693</v>
      </c>
      <c r="AK278" s="1726">
        <f>(AJ278%*622*X278)/($R$275-AJ278%*X278)</f>
        <v>8.4348244913498238</v>
      </c>
      <c r="AL278" s="1208">
        <f t="shared" ref="AL278:AL301" si="144">AK278*$S$275</f>
        <v>9.2783069404848071</v>
      </c>
      <c r="AM278" s="1550">
        <f t="shared" ref="AM278:AM301" si="145">M278/(AL278-S278)</f>
        <v>10.725831460746436</v>
      </c>
      <c r="AN278" s="1550">
        <f t="shared" ref="AN278:AN301" si="146">G278</f>
        <v>19.571428571428573</v>
      </c>
      <c r="AQ278" s="28" t="str">
        <f>'SIA 380-1'!B68</f>
        <v>Zürich-MeteoSchweiz</v>
      </c>
      <c r="AR278"/>
      <c r="AS278" t="s">
        <v>37</v>
      </c>
      <c r="AT278" t="s">
        <v>38</v>
      </c>
      <c r="AU278" t="s">
        <v>351</v>
      </c>
      <c r="AV278" t="s">
        <v>39</v>
      </c>
      <c r="AW278" t="s">
        <v>40</v>
      </c>
      <c r="AX278" t="s">
        <v>41</v>
      </c>
      <c r="AY278" t="s">
        <v>42</v>
      </c>
      <c r="AZ278" t="s">
        <v>43</v>
      </c>
      <c r="BA278" t="s">
        <v>44</v>
      </c>
      <c r="BB278" t="s">
        <v>45</v>
      </c>
      <c r="BC278" t="s">
        <v>46</v>
      </c>
      <c r="BD278" t="s">
        <v>47</v>
      </c>
      <c r="BE278" s="379" t="s">
        <v>4</v>
      </c>
      <c r="BF278" s="379" t="s">
        <v>2</v>
      </c>
    </row>
    <row r="279" spans="1:58" s="238" customFormat="1">
      <c r="A279" s="1136">
        <f>A278+1</f>
        <v>2</v>
      </c>
      <c r="C279" s="215">
        <f t="shared" ref="C279:C301" si="147">B64</f>
        <v>1</v>
      </c>
      <c r="D279" s="215">
        <f t="shared" ref="D279:D301" si="148">IF(C$275=0,0,C279*D$275/C$275)</f>
        <v>0.5714285714285714</v>
      </c>
      <c r="E279" s="237">
        <f t="shared" ref="E279:E301" si="149">D279*E$275*1000</f>
        <v>13714.285714285714</v>
      </c>
      <c r="F279" s="1101">
        <f t="shared" ref="F279:F301" si="150">K99+N99</f>
        <v>0.97857142857142865</v>
      </c>
      <c r="G279" s="237">
        <f t="shared" ref="G279:G301" si="151">F279*D$275</f>
        <v>19.571428571428573</v>
      </c>
      <c r="H279" s="237">
        <f t="shared" ref="H279:H301" si="152">H$275+IF(G279=0,0,E279/G279*(1-EXP(-G279/G$275)))</f>
        <v>626.97319175201392</v>
      </c>
      <c r="I279" s="237">
        <f>(I278-IF(G279=0,0,E279/G279)-I$275)*EXP(-G279/G$275)+IF(G279=0,0,E279/G279)+I$275</f>
        <v>780.42757434724433</v>
      </c>
      <c r="J279" s="237">
        <f>(J278-IF(G279=0,0,E279/G279)-I$275)*EXP(-G279/G$275)+IF(G279=0,0,E279/G279)+I$275</f>
        <v>1062.7831880301155</v>
      </c>
      <c r="L279" s="237">
        <f t="shared" ref="L279:L301" si="153">L$275*D279</f>
        <v>37.714285714285715</v>
      </c>
      <c r="M279" s="237">
        <f t="shared" ref="M279:M301" si="154">L279+M$275*D$275</f>
        <v>47.714285714285715</v>
      </c>
      <c r="N279" s="1139">
        <f t="shared" ref="N279:N301" si="155">M279/D$275</f>
        <v>2.3857142857142857</v>
      </c>
      <c r="O279" s="238">
        <f t="shared" ref="O279:P301" si="156">O$278</f>
        <v>5.5</v>
      </c>
      <c r="P279" s="237">
        <f t="shared" si="156"/>
        <v>73.624999999999986</v>
      </c>
      <c r="Q279" s="215">
        <f t="shared" si="136"/>
        <v>9.0276510813052724</v>
      </c>
      <c r="R279" s="1722">
        <f t="shared" si="137"/>
        <v>4.3906976061409928</v>
      </c>
      <c r="S279" s="1543">
        <f t="shared" si="138"/>
        <v>4.8297673667550924</v>
      </c>
      <c r="T279" s="1543">
        <f>S279+IF(G279=0,0,M279/G279*(1-EXP(-G279/G$275)))</f>
        <v>5.619444929725641</v>
      </c>
      <c r="U279" s="1101">
        <f t="shared" ref="U279:U301" si="157">(U278-IF(G279=0,0,M279/G279)-S279)*EXP(-G279/G$275)+IF(G279=0,0,M279/G279)+S279</f>
        <v>6.5142984549313239</v>
      </c>
      <c r="V279" s="1101">
        <f t="shared" ref="V279:V301" si="158">($V278-IF($G279=0,0,$M279/$G279)-S279)*EXP(-$G279/$G$275)+IF($G279=0,0,$M279/$G279)+S279</f>
        <v>7.1633806389174737</v>
      </c>
      <c r="W279" s="215">
        <f t="shared" ref="W279:W301" si="159">W$278</f>
        <v>22.666666666666664</v>
      </c>
      <c r="X279" s="215">
        <f t="shared" ref="X279:X301" si="160">IF(W279&gt;=0,610.5*EXP(17.269*W279/(237.3+W279)),610.5*EXP(21.875*W279/(265.5+W279)))/100</f>
        <v>27.516992132007175</v>
      </c>
      <c r="Y279" s="1544">
        <f t="shared" ref="Y279:Y301" si="161">MIN(100,(V279/$S$275*$R$275)/(X279%*(622+V279/$S$275)))</f>
        <v>35.704465944707806</v>
      </c>
      <c r="Z279" s="237"/>
      <c r="AA279" s="237">
        <f t="shared" si="139"/>
        <v>902.76510813052721</v>
      </c>
      <c r="AB279" s="1550">
        <f t="shared" si="140"/>
        <v>664.66081086110057</v>
      </c>
      <c r="AC279" s="237">
        <f t="shared" si="141"/>
        <v>664.66081086110057</v>
      </c>
      <c r="AD279" s="215">
        <f t="shared" si="142"/>
        <v>15.628333333333332</v>
      </c>
      <c r="AE279" s="237">
        <f t="shared" ref="AE279:AE301" si="162">IF(AD279&gt;=0,610.5*EXP(17.269*AD279/(237.3+AD279)),610.5*EXP(21.875*AD279/(265.5+AD279)))</f>
        <v>1774.5859436995597</v>
      </c>
      <c r="AF279" s="1550">
        <f t="shared" ref="AF279:AF301" si="163">0.2*AB279+0.8*0.8*AE279</f>
        <v>1268.6671661399387</v>
      </c>
      <c r="AG279" s="237">
        <f t="shared" ref="AG279:AG301" si="164">0.2*AC279+0.8*0.8*AE279</f>
        <v>1268.6671661399387</v>
      </c>
      <c r="AH279" s="237">
        <f t="shared" si="143"/>
        <v>2751.6992132007176</v>
      </c>
      <c r="AI279" s="1550">
        <f t="shared" ref="AI279:AI301" si="165">AF279/AH279%</f>
        <v>46.104863498661693</v>
      </c>
      <c r="AJ279" s="237">
        <f t="shared" ref="AJ279:AJ301" si="166">AG279/AH279%</f>
        <v>46.104863498661693</v>
      </c>
      <c r="AK279" s="1726">
        <f t="shared" ref="AK279:AK301" si="167">(AJ279%*622*X279)/($R$275-AJ279%*X279)</f>
        <v>8.4348244913498238</v>
      </c>
      <c r="AL279" s="1208">
        <f t="shared" si="144"/>
        <v>9.2783069404848071</v>
      </c>
      <c r="AM279" s="1550">
        <f t="shared" si="145"/>
        <v>10.725831460746436</v>
      </c>
      <c r="AN279" s="1550">
        <f t="shared" si="146"/>
        <v>19.571428571428573</v>
      </c>
      <c r="AQ279" t="s">
        <v>356</v>
      </c>
      <c r="AR279" s="379" t="s">
        <v>3</v>
      </c>
      <c r="AS279">
        <f>'SIA 380-1'!D70</f>
        <v>0.4</v>
      </c>
      <c r="AT279">
        <f>'SIA 380-1'!E70</f>
        <v>1.6</v>
      </c>
      <c r="AU279">
        <f>'SIA 380-1'!F70</f>
        <v>5.5</v>
      </c>
      <c r="AV279">
        <f>'SIA 380-1'!G70</f>
        <v>8.4</v>
      </c>
      <c r="AW279">
        <f>'SIA 380-1'!H70</f>
        <v>13.4</v>
      </c>
      <c r="AX279">
        <f>'SIA 380-1'!I70</f>
        <v>16.2</v>
      </c>
      <c r="AY279">
        <f>'SIA 380-1'!J70</f>
        <v>18.399999999999999</v>
      </c>
      <c r="AZ279">
        <f>'SIA 380-1'!K70</f>
        <v>18.399999999999999</v>
      </c>
      <c r="BA279">
        <f>'SIA 380-1'!L70</f>
        <v>14</v>
      </c>
      <c r="BB279">
        <f>'SIA 380-1'!M70</f>
        <v>9.9</v>
      </c>
      <c r="BC279">
        <f>'SIA 380-1'!N70</f>
        <v>4.2</v>
      </c>
      <c r="BD279">
        <f>'SIA 380-1'!O70</f>
        <v>1.8</v>
      </c>
      <c r="BE279">
        <f>INDEX(Winter_Auslegung!$A$5:$I$44,MATCH(Profile!AQ278,Winter_Auslegung!$A$5:$A$44,0),6)</f>
        <v>-7.5</v>
      </c>
      <c r="BF279" s="1684">
        <f>MAX(O63:O86)</f>
        <v>32</v>
      </c>
    </row>
    <row r="280" spans="1:58" s="238" customFormat="1">
      <c r="A280" s="1136">
        <f t="shared" ref="A280:A301" si="168">A279+1</f>
        <v>3</v>
      </c>
      <c r="C280" s="215">
        <f t="shared" si="147"/>
        <v>1</v>
      </c>
      <c r="D280" s="215">
        <f t="shared" si="148"/>
        <v>0.5714285714285714</v>
      </c>
      <c r="E280" s="237">
        <f t="shared" si="149"/>
        <v>13714.285714285714</v>
      </c>
      <c r="F280" s="1101">
        <f>K100+N100</f>
        <v>0.97857142857142865</v>
      </c>
      <c r="G280" s="237">
        <f t="shared" si="151"/>
        <v>19.571428571428573</v>
      </c>
      <c r="H280" s="237">
        <f t="shared" si="152"/>
        <v>626.97319175201392</v>
      </c>
      <c r="I280" s="237">
        <f t="shared" ref="I280:I301" si="169">(I279-IF(G280=0,0,E280/G280)-I$275)*EXP(-G280/G$275)+IF(G280=0,0,E280/G280)+I$275</f>
        <v>884.17660019436585</v>
      </c>
      <c r="J280" s="237">
        <f t="shared" ref="J280:J301" si="170">(J279-IF(G280=0,0,E280/G280)-I$275)*EXP(-G280/G$275)+IF(G280=0,0,E280/G280)+I$275</f>
        <v>1075.0745033147591</v>
      </c>
      <c r="L280" s="237">
        <f t="shared" si="153"/>
        <v>37.714285714285715</v>
      </c>
      <c r="M280" s="237">
        <f t="shared" si="154"/>
        <v>47.714285714285715</v>
      </c>
      <c r="N280" s="1139">
        <f t="shared" si="155"/>
        <v>2.3857142857142857</v>
      </c>
      <c r="O280" s="238">
        <f t="shared" si="156"/>
        <v>5.5</v>
      </c>
      <c r="P280" s="237">
        <f t="shared" si="156"/>
        <v>73.624999999999986</v>
      </c>
      <c r="Q280" s="215">
        <f t="shared" si="136"/>
        <v>9.0276510813052724</v>
      </c>
      <c r="R280" s="1722">
        <f t="shared" si="137"/>
        <v>4.3906976061409928</v>
      </c>
      <c r="S280" s="1543">
        <f>R280*$S$275</f>
        <v>4.8297673667550924</v>
      </c>
      <c r="T280" s="1543">
        <f>S280+IF(G280=0,0,M280/G280*(1-EXP(-G280/G$275)))</f>
        <v>5.619444929725641</v>
      </c>
      <c r="U280" s="1101">
        <f>(U279-IF(G280=0,0,M280/G280)-S280)*EXP(-G280/G$275)+IF(G280=0,0,M280/G280)+S280</f>
        <v>6.7583401274500723</v>
      </c>
      <c r="V280" s="1101">
        <f t="shared" si="158"/>
        <v>7.1971783225175505</v>
      </c>
      <c r="W280" s="215">
        <f t="shared" si="159"/>
        <v>22.666666666666664</v>
      </c>
      <c r="X280" s="215">
        <f t="shared" si="160"/>
        <v>27.516992132007175</v>
      </c>
      <c r="Y280" s="1544">
        <f t="shared" si="161"/>
        <v>35.871170288241245</v>
      </c>
      <c r="Z280" s="237"/>
      <c r="AA280" s="237">
        <f t="shared" si="139"/>
        <v>902.76510813052721</v>
      </c>
      <c r="AB280" s="1550">
        <f t="shared" si="140"/>
        <v>664.66081086110057</v>
      </c>
      <c r="AC280" s="237">
        <f t="shared" si="141"/>
        <v>664.66081086110057</v>
      </c>
      <c r="AD280" s="215">
        <f t="shared" si="142"/>
        <v>15.628333333333332</v>
      </c>
      <c r="AE280" s="237">
        <f t="shared" si="162"/>
        <v>1774.5859436995597</v>
      </c>
      <c r="AF280" s="1550">
        <f t="shared" si="163"/>
        <v>1268.6671661399387</v>
      </c>
      <c r="AG280" s="237">
        <f t="shared" si="164"/>
        <v>1268.6671661399387</v>
      </c>
      <c r="AH280" s="237">
        <f t="shared" si="143"/>
        <v>2751.6992132007176</v>
      </c>
      <c r="AI280" s="1550">
        <f t="shared" si="165"/>
        <v>46.104863498661693</v>
      </c>
      <c r="AJ280" s="237">
        <f t="shared" si="166"/>
        <v>46.104863498661693</v>
      </c>
      <c r="AK280" s="1726">
        <f t="shared" si="167"/>
        <v>8.4348244913498238</v>
      </c>
      <c r="AL280" s="1208">
        <f t="shared" si="144"/>
        <v>9.2783069404848071</v>
      </c>
      <c r="AM280" s="1550">
        <f t="shared" si="145"/>
        <v>10.725831460746436</v>
      </c>
      <c r="AN280" s="1550">
        <f t="shared" si="146"/>
        <v>19.571428571428573</v>
      </c>
      <c r="AP280" s="1101"/>
      <c r="AQ280" s="379" t="s">
        <v>1653</v>
      </c>
      <c r="AR280" s="379" t="s">
        <v>1628</v>
      </c>
      <c r="AS280" s="848">
        <f t="shared" ref="AS280:BF280" si="171">IF(AS279&gt;=0,610.5*EXP(17.269*AS279/(237.3+AS279)),610.5*EXP(21.875*AS279/(265.5+AS279)))</f>
        <v>628.50152435684504</v>
      </c>
      <c r="AT280" s="848">
        <f t="shared" si="171"/>
        <v>685.35369886042088</v>
      </c>
      <c r="AU280" s="848">
        <f t="shared" si="171"/>
        <v>902.76510813052721</v>
      </c>
      <c r="AV280" s="848">
        <f t="shared" si="171"/>
        <v>1101.7680162076981</v>
      </c>
      <c r="AW280" s="848">
        <f t="shared" si="171"/>
        <v>1536.5765457978607</v>
      </c>
      <c r="AX280" s="848">
        <f t="shared" si="171"/>
        <v>1840.6229602197047</v>
      </c>
      <c r="AY280" s="848">
        <f t="shared" si="171"/>
        <v>2115.2830606090297</v>
      </c>
      <c r="AZ280" s="848">
        <f t="shared" si="171"/>
        <v>2115.2830606090297</v>
      </c>
      <c r="BA280" s="848">
        <f t="shared" si="171"/>
        <v>1597.7306774994004</v>
      </c>
      <c r="BB280" s="848">
        <f t="shared" si="171"/>
        <v>1219.1102818724526</v>
      </c>
      <c r="BC280" s="848">
        <f t="shared" si="171"/>
        <v>824.36115462420514</v>
      </c>
      <c r="BD280" s="848">
        <f t="shared" si="171"/>
        <v>695.2582173871732</v>
      </c>
      <c r="BE280" s="848">
        <f t="shared" si="171"/>
        <v>323.23419769845748</v>
      </c>
      <c r="BF280" s="848">
        <f t="shared" si="171"/>
        <v>4751.8753622061377</v>
      </c>
    </row>
    <row r="281" spans="1:58" s="238" customFormat="1">
      <c r="A281" s="1136">
        <f t="shared" si="168"/>
        <v>4</v>
      </c>
      <c r="C281" s="215">
        <f t="shared" si="147"/>
        <v>1</v>
      </c>
      <c r="D281" s="215">
        <f t="shared" si="148"/>
        <v>0.5714285714285714</v>
      </c>
      <c r="E281" s="237">
        <f t="shared" si="149"/>
        <v>13714.285714285714</v>
      </c>
      <c r="F281" s="1101">
        <f t="shared" si="150"/>
        <v>0.97857142857142865</v>
      </c>
      <c r="G281" s="237">
        <f t="shared" si="151"/>
        <v>19.571428571428573</v>
      </c>
      <c r="H281" s="237">
        <f t="shared" si="152"/>
        <v>626.97319175201392</v>
      </c>
      <c r="I281" s="237">
        <f t="shared" si="169"/>
        <v>954.32031445125176</v>
      </c>
      <c r="J281" s="237">
        <f t="shared" si="170"/>
        <v>1083.3845428561208</v>
      </c>
      <c r="L281" s="237">
        <f t="shared" si="153"/>
        <v>37.714285714285715</v>
      </c>
      <c r="M281" s="237">
        <f t="shared" si="154"/>
        <v>47.714285714285715</v>
      </c>
      <c r="N281" s="1139">
        <f t="shared" si="155"/>
        <v>2.3857142857142857</v>
      </c>
      <c r="O281" s="238">
        <f t="shared" si="156"/>
        <v>5.5</v>
      </c>
      <c r="P281" s="237">
        <f t="shared" si="156"/>
        <v>73.624999999999986</v>
      </c>
      <c r="Q281" s="215">
        <f t="shared" si="136"/>
        <v>9.0276510813052724</v>
      </c>
      <c r="R281" s="1722">
        <f t="shared" si="137"/>
        <v>4.3906976061409928</v>
      </c>
      <c r="S281" s="1543">
        <f t="shared" si="138"/>
        <v>4.8297673667550924</v>
      </c>
      <c r="T281" s="1543">
        <f t="shared" ref="T281:T301" si="172">S281+IF(G281=0,0,M281/G281*(1-EXP(-G281/G$275)))</f>
        <v>5.619444929725641</v>
      </c>
      <c r="U281" s="1101">
        <f>(U280-IF(G281=0,0,M281/G281)-S281)*EXP(-G281/G$275)+IF(G281=0,0,M281/G281)+S281</f>
        <v>6.9233343450261646</v>
      </c>
      <c r="V281" s="1101">
        <f>($V280-IF($G281=0,0,$M281/$G281)-S281)*EXP(-$G281/$G$275)+IF($G281=0,0,$M281/$G281)+S281</f>
        <v>7.220028609945615</v>
      </c>
      <c r="W281" s="215">
        <f t="shared" si="159"/>
        <v>22.666666666666664</v>
      </c>
      <c r="X281" s="215">
        <f t="shared" si="160"/>
        <v>27.516992132007175</v>
      </c>
      <c r="Y281" s="1544">
        <f t="shared" si="161"/>
        <v>35.9838682506076</v>
      </c>
      <c r="Z281" s="237"/>
      <c r="AA281" s="237">
        <f t="shared" si="139"/>
        <v>902.76510813052721</v>
      </c>
      <c r="AB281" s="1550">
        <f t="shared" si="140"/>
        <v>664.66081086110057</v>
      </c>
      <c r="AC281" s="237">
        <f t="shared" si="141"/>
        <v>664.66081086110057</v>
      </c>
      <c r="AD281" s="215">
        <f t="shared" si="142"/>
        <v>15.628333333333332</v>
      </c>
      <c r="AE281" s="237">
        <f t="shared" si="162"/>
        <v>1774.5859436995597</v>
      </c>
      <c r="AF281" s="1550">
        <f t="shared" si="163"/>
        <v>1268.6671661399387</v>
      </c>
      <c r="AG281" s="237">
        <f t="shared" si="164"/>
        <v>1268.6671661399387</v>
      </c>
      <c r="AH281" s="237">
        <f t="shared" si="143"/>
        <v>2751.6992132007176</v>
      </c>
      <c r="AI281" s="1550">
        <f t="shared" si="165"/>
        <v>46.104863498661693</v>
      </c>
      <c r="AJ281" s="237">
        <f t="shared" si="166"/>
        <v>46.104863498661693</v>
      </c>
      <c r="AK281" s="1726">
        <f t="shared" si="167"/>
        <v>8.4348244913498238</v>
      </c>
      <c r="AL281" s="1208">
        <f t="shared" si="144"/>
        <v>9.2783069404848071</v>
      </c>
      <c r="AM281" s="1550">
        <f t="shared" si="145"/>
        <v>10.725831460746436</v>
      </c>
      <c r="AN281" s="1550">
        <f t="shared" si="146"/>
        <v>19.571428571428573</v>
      </c>
      <c r="AQ281" s="379" t="s">
        <v>1654</v>
      </c>
      <c r="AR281" s="379" t="s">
        <v>1628</v>
      </c>
      <c r="AS281" s="848">
        <f t="shared" ref="AS281:BF281" si="173">(0.75-0.0025*AS279)*AS280</f>
        <v>470.74764174327692</v>
      </c>
      <c r="AT281" s="848">
        <f t="shared" si="173"/>
        <v>511.27385934987399</v>
      </c>
      <c r="AU281" s="848">
        <f t="shared" si="173"/>
        <v>664.66081086110057</v>
      </c>
      <c r="AV281" s="848">
        <f t="shared" si="173"/>
        <v>803.18888381541194</v>
      </c>
      <c r="AW281" s="848">
        <f t="shared" si="173"/>
        <v>1100.9570950641673</v>
      </c>
      <c r="AX281" s="848">
        <f t="shared" si="173"/>
        <v>1305.9219902758805</v>
      </c>
      <c r="AY281" s="848">
        <f t="shared" si="173"/>
        <v>1489.1592746687568</v>
      </c>
      <c r="AZ281" s="848">
        <f t="shared" si="173"/>
        <v>1489.1592746687568</v>
      </c>
      <c r="BA281" s="848">
        <f t="shared" si="173"/>
        <v>1142.3774344120711</v>
      </c>
      <c r="BB281" s="848">
        <f t="shared" si="173"/>
        <v>884.15973192799618</v>
      </c>
      <c r="BC281" s="848">
        <f t="shared" si="173"/>
        <v>609.61507384459969</v>
      </c>
      <c r="BD281" s="848">
        <f t="shared" si="173"/>
        <v>518.31500106213764</v>
      </c>
      <c r="BE281" s="848">
        <f t="shared" si="173"/>
        <v>248.48628948068921</v>
      </c>
      <c r="BF281" s="848">
        <f t="shared" si="173"/>
        <v>3183.7564926781124</v>
      </c>
    </row>
    <row r="282" spans="1:58" s="238" customFormat="1">
      <c r="A282" s="1136">
        <f t="shared" si="168"/>
        <v>5</v>
      </c>
      <c r="C282" s="215">
        <f t="shared" si="147"/>
        <v>1</v>
      </c>
      <c r="D282" s="215">
        <f t="shared" si="148"/>
        <v>0.5714285714285714</v>
      </c>
      <c r="E282" s="237">
        <f t="shared" si="149"/>
        <v>13714.285714285714</v>
      </c>
      <c r="F282" s="1101">
        <f t="shared" si="150"/>
        <v>0.97857142857142865</v>
      </c>
      <c r="G282" s="237">
        <f t="shared" si="151"/>
        <v>19.571428571428573</v>
      </c>
      <c r="H282" s="237">
        <f t="shared" si="152"/>
        <v>626.97319175201392</v>
      </c>
      <c r="I282" s="237">
        <f t="shared" si="169"/>
        <v>1001.7438021377933</v>
      </c>
      <c r="J282" s="237">
        <f t="shared" si="170"/>
        <v>1089.0028803228417</v>
      </c>
      <c r="L282" s="237">
        <f t="shared" si="153"/>
        <v>37.714285714285715</v>
      </c>
      <c r="M282" s="237">
        <f t="shared" si="154"/>
        <v>47.714285714285715</v>
      </c>
      <c r="N282" s="1139">
        <f t="shared" si="155"/>
        <v>2.3857142857142857</v>
      </c>
      <c r="O282" s="238">
        <f t="shared" si="156"/>
        <v>5.5</v>
      </c>
      <c r="P282" s="237">
        <f t="shared" si="156"/>
        <v>73.624999999999986</v>
      </c>
      <c r="Q282" s="215">
        <f t="shared" si="136"/>
        <v>9.0276510813052724</v>
      </c>
      <c r="R282" s="1722">
        <f t="shared" si="137"/>
        <v>4.3906976061409928</v>
      </c>
      <c r="S282" s="1543">
        <f t="shared" si="138"/>
        <v>4.8297673667550924</v>
      </c>
      <c r="T282" s="1543">
        <f t="shared" si="172"/>
        <v>5.619444929725641</v>
      </c>
      <c r="U282" s="1101">
        <f t="shared" si="157"/>
        <v>7.0348853418398569</v>
      </c>
      <c r="V282" s="1101">
        <f t="shared" si="158"/>
        <v>7.2354774685633689</v>
      </c>
      <c r="W282" s="215">
        <f t="shared" si="159"/>
        <v>22.666666666666664</v>
      </c>
      <c r="X282" s="215">
        <f t="shared" si="160"/>
        <v>27.516992132007175</v>
      </c>
      <c r="Y282" s="1544">
        <f t="shared" si="161"/>
        <v>36.060058033961973</v>
      </c>
      <c r="Z282" s="237"/>
      <c r="AA282" s="237">
        <f t="shared" si="139"/>
        <v>902.76510813052721</v>
      </c>
      <c r="AB282" s="1550">
        <f t="shared" si="140"/>
        <v>664.66081086110057</v>
      </c>
      <c r="AC282" s="237">
        <f t="shared" si="141"/>
        <v>664.66081086110057</v>
      </c>
      <c r="AD282" s="215">
        <f t="shared" si="142"/>
        <v>15.628333333333332</v>
      </c>
      <c r="AE282" s="237">
        <f t="shared" si="162"/>
        <v>1774.5859436995597</v>
      </c>
      <c r="AF282" s="1550">
        <f t="shared" si="163"/>
        <v>1268.6671661399387</v>
      </c>
      <c r="AG282" s="237">
        <f t="shared" si="164"/>
        <v>1268.6671661399387</v>
      </c>
      <c r="AH282" s="237">
        <f t="shared" si="143"/>
        <v>2751.6992132007176</v>
      </c>
      <c r="AI282" s="1550">
        <f t="shared" si="165"/>
        <v>46.104863498661693</v>
      </c>
      <c r="AJ282" s="237">
        <f t="shared" si="166"/>
        <v>46.104863498661693</v>
      </c>
      <c r="AK282" s="1726">
        <f t="shared" si="167"/>
        <v>8.4348244913498238</v>
      </c>
      <c r="AL282" s="1208">
        <f t="shared" si="144"/>
        <v>9.2783069404848071</v>
      </c>
      <c r="AM282" s="1550">
        <f t="shared" si="145"/>
        <v>10.725831460746436</v>
      </c>
      <c r="AN282" s="1550">
        <f t="shared" si="146"/>
        <v>19.571428571428573</v>
      </c>
      <c r="AQ282" s="379" t="s">
        <v>1652</v>
      </c>
      <c r="AR282" s="379" t="s">
        <v>1578</v>
      </c>
      <c r="AS282" s="848">
        <f t="shared" ref="AS282:BF282" si="174">AS281/AS280%</f>
        <v>74.899999999999991</v>
      </c>
      <c r="AT282" s="848">
        <f t="shared" si="174"/>
        <v>74.600000000000009</v>
      </c>
      <c r="AU282" s="848">
        <f t="shared" si="174"/>
        <v>73.624999999999986</v>
      </c>
      <c r="AV282" s="848">
        <f t="shared" si="174"/>
        <v>72.900000000000006</v>
      </c>
      <c r="AW282" s="848">
        <f t="shared" si="174"/>
        <v>71.650000000000006</v>
      </c>
      <c r="AX282" s="848">
        <f t="shared" si="174"/>
        <v>70.95</v>
      </c>
      <c r="AY282" s="848">
        <f t="shared" si="174"/>
        <v>70.399999999999991</v>
      </c>
      <c r="AZ282" s="848">
        <f t="shared" si="174"/>
        <v>70.399999999999991</v>
      </c>
      <c r="BA282" s="848">
        <f t="shared" si="174"/>
        <v>71.499999999999986</v>
      </c>
      <c r="BB282" s="848">
        <f t="shared" si="174"/>
        <v>72.524999999999991</v>
      </c>
      <c r="BC282" s="848">
        <f t="shared" si="174"/>
        <v>73.949999999999989</v>
      </c>
      <c r="BD282" s="848">
        <f t="shared" si="174"/>
        <v>74.550000000000011</v>
      </c>
      <c r="BE282" s="848">
        <f t="shared" si="174"/>
        <v>76.875</v>
      </c>
      <c r="BF282" s="848">
        <f t="shared" si="174"/>
        <v>67</v>
      </c>
    </row>
    <row r="283" spans="1:58" s="238" customFormat="1">
      <c r="A283" s="1136">
        <f t="shared" si="168"/>
        <v>6</v>
      </c>
      <c r="C283" s="215">
        <f t="shared" si="147"/>
        <v>1</v>
      </c>
      <c r="D283" s="215">
        <f t="shared" si="148"/>
        <v>0.5714285714285714</v>
      </c>
      <c r="E283" s="237">
        <f t="shared" si="149"/>
        <v>13714.285714285714</v>
      </c>
      <c r="F283" s="1101">
        <f t="shared" si="150"/>
        <v>0.97857142857142865</v>
      </c>
      <c r="G283" s="237">
        <f t="shared" si="151"/>
        <v>19.571428571428573</v>
      </c>
      <c r="H283" s="237">
        <f t="shared" si="152"/>
        <v>626.97319175201392</v>
      </c>
      <c r="I283" s="237">
        <f t="shared" si="169"/>
        <v>1033.8063640962198</v>
      </c>
      <c r="J283" s="237">
        <f t="shared" si="170"/>
        <v>1092.8013840162175</v>
      </c>
      <c r="L283" s="237">
        <f t="shared" si="153"/>
        <v>37.714285714285715</v>
      </c>
      <c r="M283" s="237">
        <f t="shared" si="154"/>
        <v>47.714285714285715</v>
      </c>
      <c r="N283" s="1139">
        <f t="shared" si="155"/>
        <v>2.3857142857142857</v>
      </c>
      <c r="O283" s="238">
        <f t="shared" si="156"/>
        <v>5.5</v>
      </c>
      <c r="P283" s="237">
        <f t="shared" si="156"/>
        <v>73.624999999999986</v>
      </c>
      <c r="Q283" s="215">
        <f t="shared" si="136"/>
        <v>9.0276510813052724</v>
      </c>
      <c r="R283" s="1722">
        <f t="shared" si="137"/>
        <v>4.3906976061409928</v>
      </c>
      <c r="S283" s="1543">
        <f t="shared" si="138"/>
        <v>4.8297673667550924</v>
      </c>
      <c r="T283" s="1543">
        <f t="shared" si="172"/>
        <v>5.619444929725641</v>
      </c>
      <c r="U283" s="1101">
        <f t="shared" si="157"/>
        <v>7.1103038933075133</v>
      </c>
      <c r="V283" s="1101">
        <f t="shared" si="158"/>
        <v>7.2459222926533373</v>
      </c>
      <c r="W283" s="215">
        <f t="shared" si="159"/>
        <v>22.666666666666664</v>
      </c>
      <c r="X283" s="215">
        <f t="shared" si="160"/>
        <v>27.516992132007175</v>
      </c>
      <c r="Y283" s="1544">
        <f t="shared" si="161"/>
        <v>36.11156728154446</v>
      </c>
      <c r="Z283" s="237"/>
      <c r="AA283" s="237">
        <f t="shared" si="139"/>
        <v>902.76510813052721</v>
      </c>
      <c r="AB283" s="1550">
        <f t="shared" si="140"/>
        <v>664.66081086110057</v>
      </c>
      <c r="AC283" s="237">
        <f t="shared" si="141"/>
        <v>664.66081086110057</v>
      </c>
      <c r="AD283" s="215">
        <f t="shared" si="142"/>
        <v>15.628333333333332</v>
      </c>
      <c r="AE283" s="237">
        <f t="shared" si="162"/>
        <v>1774.5859436995597</v>
      </c>
      <c r="AF283" s="1550">
        <f t="shared" si="163"/>
        <v>1268.6671661399387</v>
      </c>
      <c r="AG283" s="237">
        <f t="shared" si="164"/>
        <v>1268.6671661399387</v>
      </c>
      <c r="AH283" s="237">
        <f t="shared" si="143"/>
        <v>2751.6992132007176</v>
      </c>
      <c r="AI283" s="1550">
        <f t="shared" si="165"/>
        <v>46.104863498661693</v>
      </c>
      <c r="AJ283" s="237">
        <f t="shared" si="166"/>
        <v>46.104863498661693</v>
      </c>
      <c r="AK283" s="1726">
        <f t="shared" si="167"/>
        <v>8.4348244913498238</v>
      </c>
      <c r="AL283" s="1208">
        <f t="shared" si="144"/>
        <v>9.2783069404848071</v>
      </c>
      <c r="AM283" s="1550">
        <f t="shared" si="145"/>
        <v>10.725831460746436</v>
      </c>
      <c r="AN283" s="1550">
        <f t="shared" si="146"/>
        <v>19.571428571428573</v>
      </c>
      <c r="AQ283" s="1685" t="s">
        <v>1998</v>
      </c>
      <c r="AR283" s="1685" t="s">
        <v>1578</v>
      </c>
      <c r="AS283" s="1685">
        <v>87</v>
      </c>
      <c r="AT283" s="1685">
        <v>83</v>
      </c>
      <c r="AU283" s="1685">
        <v>81</v>
      </c>
      <c r="AV283" s="1685">
        <v>78</v>
      </c>
      <c r="AW283" s="1685">
        <v>77</v>
      </c>
      <c r="AX283" s="1685">
        <v>75</v>
      </c>
      <c r="AY283" s="1685">
        <v>69</v>
      </c>
      <c r="AZ283" s="1685">
        <v>69</v>
      </c>
      <c r="BA283" s="1685">
        <v>75</v>
      </c>
      <c r="BB283" s="1685">
        <v>10</v>
      </c>
      <c r="BC283" s="1685">
        <v>81</v>
      </c>
      <c r="BD283" s="1685">
        <v>83</v>
      </c>
      <c r="BE283" s="1685">
        <v>85</v>
      </c>
      <c r="BF283" s="1685">
        <v>30</v>
      </c>
    </row>
    <row r="284" spans="1:58" s="238" customFormat="1">
      <c r="A284" s="1136">
        <f t="shared" si="168"/>
        <v>7</v>
      </c>
      <c r="C284" s="215">
        <f t="shared" si="147"/>
        <v>0.6</v>
      </c>
      <c r="D284" s="215">
        <f t="shared" si="148"/>
        <v>0.34285714285714286</v>
      </c>
      <c r="E284" s="237">
        <f t="shared" si="149"/>
        <v>8228.5714285714275</v>
      </c>
      <c r="F284" s="1101">
        <f t="shared" si="150"/>
        <v>0.97857142857142865</v>
      </c>
      <c r="G284" s="237">
        <f t="shared" si="151"/>
        <v>19.571428571428573</v>
      </c>
      <c r="H284" s="237">
        <f t="shared" si="152"/>
        <v>536.18391505120837</v>
      </c>
      <c r="I284" s="237">
        <f t="shared" si="169"/>
        <v>964.69427584120774</v>
      </c>
      <c r="J284" s="237">
        <f t="shared" si="170"/>
        <v>1004.5802389725177</v>
      </c>
      <c r="L284" s="237">
        <f t="shared" si="153"/>
        <v>22.62857142857143</v>
      </c>
      <c r="M284" s="237">
        <f t="shared" si="154"/>
        <v>32.628571428571433</v>
      </c>
      <c r="N284" s="1139">
        <f t="shared" si="155"/>
        <v>1.6314285714285717</v>
      </c>
      <c r="O284" s="238">
        <f t="shared" si="156"/>
        <v>5.5</v>
      </c>
      <c r="P284" s="237">
        <f t="shared" si="156"/>
        <v>73.624999999999986</v>
      </c>
      <c r="Q284" s="215">
        <f t="shared" si="136"/>
        <v>9.0276510813052724</v>
      </c>
      <c r="R284" s="1722">
        <f t="shared" si="137"/>
        <v>4.3906976061409928</v>
      </c>
      <c r="S284" s="1543">
        <f t="shared" si="138"/>
        <v>4.8297673667550924</v>
      </c>
      <c r="T284" s="1543">
        <f t="shared" si="172"/>
        <v>5.3697744187984258</v>
      </c>
      <c r="U284" s="1101">
        <f t="shared" si="157"/>
        <v>6.9116231365550576</v>
      </c>
      <c r="V284" s="1101">
        <f t="shared" si="158"/>
        <v>7.0033134264061383</v>
      </c>
      <c r="W284" s="215">
        <f t="shared" si="159"/>
        <v>22.666666666666664</v>
      </c>
      <c r="X284" s="215">
        <f t="shared" si="160"/>
        <v>27.516992132007175</v>
      </c>
      <c r="Y284" s="1544">
        <f t="shared" si="161"/>
        <v>34.914725912465833</v>
      </c>
      <c r="Z284" s="237"/>
      <c r="AA284" s="237">
        <f t="shared" si="139"/>
        <v>902.76510813052721</v>
      </c>
      <c r="AB284" s="1550">
        <f t="shared" si="140"/>
        <v>664.66081086110057</v>
      </c>
      <c r="AC284" s="237">
        <f t="shared" si="141"/>
        <v>664.66081086110057</v>
      </c>
      <c r="AD284" s="215">
        <f t="shared" si="142"/>
        <v>15.628333333333332</v>
      </c>
      <c r="AE284" s="237">
        <f t="shared" si="162"/>
        <v>1774.5859436995597</v>
      </c>
      <c r="AF284" s="1550">
        <f t="shared" si="163"/>
        <v>1268.6671661399387</v>
      </c>
      <c r="AG284" s="237">
        <f t="shared" si="164"/>
        <v>1268.6671661399387</v>
      </c>
      <c r="AH284" s="237">
        <f t="shared" si="143"/>
        <v>2751.6992132007176</v>
      </c>
      <c r="AI284" s="1550">
        <f t="shared" si="165"/>
        <v>46.104863498661693</v>
      </c>
      <c r="AJ284" s="237">
        <f t="shared" si="166"/>
        <v>46.104863498661693</v>
      </c>
      <c r="AK284" s="1726">
        <f t="shared" si="167"/>
        <v>8.4348244913498238</v>
      </c>
      <c r="AL284" s="1208">
        <f t="shared" si="144"/>
        <v>9.2783069404848071</v>
      </c>
      <c r="AM284" s="1550">
        <f t="shared" si="145"/>
        <v>7.3346703761511574</v>
      </c>
      <c r="AN284" s="1550">
        <f t="shared" si="146"/>
        <v>19.571428571428573</v>
      </c>
      <c r="AQ284" s="210" t="s">
        <v>1436</v>
      </c>
      <c r="AR284" s="210" t="s">
        <v>3</v>
      </c>
      <c r="AS284" s="210">
        <f>BE284</f>
        <v>21</v>
      </c>
      <c r="AT284" s="220">
        <f>AS284+($BF284-$BE284)/6*1</f>
        <v>21.833333333333332</v>
      </c>
      <c r="AU284" s="220">
        <f t="shared" ref="AU284:AX284" si="175">AT284+($BF284-$BE284)/6*1</f>
        <v>22.666666666666664</v>
      </c>
      <c r="AV284" s="220">
        <f t="shared" si="175"/>
        <v>23.499999999999996</v>
      </c>
      <c r="AW284" s="220">
        <f t="shared" si="175"/>
        <v>24.333333333333329</v>
      </c>
      <c r="AX284" s="220">
        <f t="shared" si="175"/>
        <v>25.166666666666661</v>
      </c>
      <c r="AY284" s="210">
        <v>26</v>
      </c>
      <c r="AZ284" s="220">
        <f>AY284-($BF284-$BE284)/6*1</f>
        <v>25.166666666666668</v>
      </c>
      <c r="BA284" s="220">
        <f t="shared" ref="BA284:BD284" si="176">AZ284-($BF284-$BE284)/6*1</f>
        <v>24.333333333333336</v>
      </c>
      <c r="BB284" s="220">
        <f t="shared" si="176"/>
        <v>23.500000000000004</v>
      </c>
      <c r="BC284" s="220">
        <f t="shared" si="176"/>
        <v>22.666666666666671</v>
      </c>
      <c r="BD284" s="220">
        <f t="shared" si="176"/>
        <v>21.833333333333339</v>
      </c>
      <c r="BE284" s="210">
        <v>21</v>
      </c>
      <c r="BF284" s="210">
        <v>26</v>
      </c>
    </row>
    <row r="285" spans="1:58" s="238" customFormat="1">
      <c r="A285" s="1136">
        <f t="shared" si="168"/>
        <v>8</v>
      </c>
      <c r="C285" s="215">
        <f t="shared" si="147"/>
        <v>0.4</v>
      </c>
      <c r="D285" s="215">
        <f t="shared" si="148"/>
        <v>0.22857142857142856</v>
      </c>
      <c r="E285" s="237">
        <f>D285*E$275*1000</f>
        <v>5485.7142857142853</v>
      </c>
      <c r="F285" s="1101">
        <f t="shared" si="150"/>
        <v>0.97857142857142865</v>
      </c>
      <c r="G285" s="237">
        <f t="shared" si="151"/>
        <v>19.571428571428573</v>
      </c>
      <c r="H285" s="237">
        <f t="shared" si="152"/>
        <v>490.78927670080554</v>
      </c>
      <c r="I285" s="237">
        <f t="shared" si="169"/>
        <v>872.57362217958996</v>
      </c>
      <c r="J285" s="237">
        <f t="shared" si="170"/>
        <v>899.54013659164707</v>
      </c>
      <c r="L285" s="237">
        <f t="shared" si="153"/>
        <v>15.085714285714285</v>
      </c>
      <c r="M285" s="237">
        <f t="shared" si="154"/>
        <v>25.085714285714285</v>
      </c>
      <c r="N285" s="1139">
        <f t="shared" si="155"/>
        <v>1.2542857142857142</v>
      </c>
      <c r="O285" s="238">
        <f t="shared" si="156"/>
        <v>5.5</v>
      </c>
      <c r="P285" s="237">
        <f t="shared" si="156"/>
        <v>73.624999999999986</v>
      </c>
      <c r="Q285" s="215">
        <f t="shared" si="136"/>
        <v>9.0276510813052724</v>
      </c>
      <c r="R285" s="1722">
        <f t="shared" si="137"/>
        <v>4.3906976061409928</v>
      </c>
      <c r="S285" s="1543">
        <f t="shared" si="138"/>
        <v>4.8297673667550924</v>
      </c>
      <c r="T285" s="1543">
        <f t="shared" si="172"/>
        <v>5.2449391633348181</v>
      </c>
      <c r="U285" s="1101">
        <f t="shared" si="157"/>
        <v>6.6524617405210158</v>
      </c>
      <c r="V285" s="1101">
        <f t="shared" si="158"/>
        <v>6.7144526598470664</v>
      </c>
      <c r="W285" s="215">
        <f t="shared" si="159"/>
        <v>22.666666666666664</v>
      </c>
      <c r="X285" s="215">
        <f t="shared" si="160"/>
        <v>27.516992132007175</v>
      </c>
      <c r="Y285" s="1544">
        <f t="shared" si="161"/>
        <v>33.488617880971354</v>
      </c>
      <c r="Z285" s="237"/>
      <c r="AA285" s="237">
        <f t="shared" si="139"/>
        <v>902.76510813052721</v>
      </c>
      <c r="AB285" s="1550">
        <f t="shared" si="140"/>
        <v>664.66081086110057</v>
      </c>
      <c r="AC285" s="237">
        <f t="shared" si="141"/>
        <v>664.66081086110057</v>
      </c>
      <c r="AD285" s="215">
        <f t="shared" si="142"/>
        <v>15.628333333333332</v>
      </c>
      <c r="AE285" s="237">
        <f t="shared" si="162"/>
        <v>1774.5859436995597</v>
      </c>
      <c r="AF285" s="1550">
        <f t="shared" si="163"/>
        <v>1268.6671661399387</v>
      </c>
      <c r="AG285" s="237">
        <f t="shared" si="164"/>
        <v>1268.6671661399387</v>
      </c>
      <c r="AH285" s="237">
        <f t="shared" si="143"/>
        <v>2751.6992132007176</v>
      </c>
      <c r="AI285" s="1550">
        <f t="shared" si="165"/>
        <v>46.104863498661693</v>
      </c>
      <c r="AJ285" s="237">
        <f t="shared" si="166"/>
        <v>46.104863498661693</v>
      </c>
      <c r="AK285" s="1726">
        <f t="shared" si="167"/>
        <v>8.4348244913498238</v>
      </c>
      <c r="AL285" s="1208">
        <f t="shared" si="144"/>
        <v>9.2783069404848071</v>
      </c>
      <c r="AM285" s="1550">
        <f t="shared" si="145"/>
        <v>5.6390898338535154</v>
      </c>
      <c r="AN285" s="1550">
        <f t="shared" si="146"/>
        <v>19.571428571428573</v>
      </c>
    </row>
    <row r="286" spans="1:58" s="238" customFormat="1">
      <c r="A286" s="1136">
        <f t="shared" si="168"/>
        <v>9</v>
      </c>
      <c r="C286" s="215">
        <f t="shared" si="147"/>
        <v>0</v>
      </c>
      <c r="D286" s="215">
        <f t="shared" si="148"/>
        <v>0</v>
      </c>
      <c r="E286" s="237">
        <f t="shared" si="149"/>
        <v>0</v>
      </c>
      <c r="F286" s="1101">
        <f t="shared" si="150"/>
        <v>0.97857142857142865</v>
      </c>
      <c r="G286" s="237">
        <f t="shared" si="151"/>
        <v>19.571428571428573</v>
      </c>
      <c r="H286" s="237">
        <f t="shared" si="152"/>
        <v>400</v>
      </c>
      <c r="I286" s="237">
        <f t="shared" si="169"/>
        <v>719.50246133734072</v>
      </c>
      <c r="J286" s="237">
        <f t="shared" si="170"/>
        <v>737.73426126007712</v>
      </c>
      <c r="L286" s="237">
        <f t="shared" si="153"/>
        <v>0</v>
      </c>
      <c r="M286" s="237">
        <f t="shared" si="154"/>
        <v>10</v>
      </c>
      <c r="N286" s="1139">
        <f t="shared" si="155"/>
        <v>0.5</v>
      </c>
      <c r="O286" s="238">
        <f t="shared" si="156"/>
        <v>5.5</v>
      </c>
      <c r="P286" s="237">
        <f t="shared" si="156"/>
        <v>73.624999999999986</v>
      </c>
      <c r="Q286" s="215">
        <f t="shared" si="136"/>
        <v>9.0276510813052724</v>
      </c>
      <c r="R286" s="1722">
        <f t="shared" si="137"/>
        <v>4.3906976061409928</v>
      </c>
      <c r="S286" s="1543">
        <f t="shared" si="138"/>
        <v>4.8297673667550924</v>
      </c>
      <c r="T286" s="1543">
        <f t="shared" si="172"/>
        <v>4.9952686524076029</v>
      </c>
      <c r="U286" s="1101">
        <f t="shared" si="157"/>
        <v>6.2275747129913768</v>
      </c>
      <c r="V286" s="1101">
        <f t="shared" si="158"/>
        <v>6.2694861747735384</v>
      </c>
      <c r="W286" s="215">
        <f t="shared" si="159"/>
        <v>22.666666666666664</v>
      </c>
      <c r="X286" s="215">
        <f t="shared" si="160"/>
        <v>27.516992132007175</v>
      </c>
      <c r="Y286" s="1544">
        <f t="shared" si="161"/>
        <v>31.289479854888295</v>
      </c>
      <c r="Z286" s="237"/>
      <c r="AA286" s="237">
        <f t="shared" si="139"/>
        <v>902.76510813052721</v>
      </c>
      <c r="AB286" s="1550">
        <f t="shared" si="140"/>
        <v>664.66081086110057</v>
      </c>
      <c r="AC286" s="237">
        <f t="shared" si="141"/>
        <v>664.66081086110057</v>
      </c>
      <c r="AD286" s="215">
        <f t="shared" si="142"/>
        <v>15.628333333333332</v>
      </c>
      <c r="AE286" s="237">
        <f t="shared" si="162"/>
        <v>1774.5859436995597</v>
      </c>
      <c r="AF286" s="1550">
        <f t="shared" si="163"/>
        <v>1268.6671661399387</v>
      </c>
      <c r="AG286" s="237">
        <f t="shared" si="164"/>
        <v>1268.6671661399387</v>
      </c>
      <c r="AH286" s="237">
        <f t="shared" si="143"/>
        <v>2751.6992132007176</v>
      </c>
      <c r="AI286" s="1550">
        <f t="shared" si="165"/>
        <v>46.104863498661693</v>
      </c>
      <c r="AJ286" s="237">
        <f t="shared" si="166"/>
        <v>46.104863498661693</v>
      </c>
      <c r="AK286" s="1726">
        <f t="shared" si="167"/>
        <v>8.4348244913498238</v>
      </c>
      <c r="AL286" s="1208">
        <f t="shared" si="144"/>
        <v>9.2783069404848071</v>
      </c>
      <c r="AM286" s="1550">
        <f t="shared" si="145"/>
        <v>2.2479287492582349</v>
      </c>
      <c r="AN286" s="1550">
        <f t="shared" si="146"/>
        <v>19.571428571428573</v>
      </c>
    </row>
    <row r="287" spans="1:58" s="238" customFormat="1">
      <c r="A287" s="1136">
        <f t="shared" si="168"/>
        <v>10</v>
      </c>
      <c r="C287" s="215">
        <f t="shared" si="147"/>
        <v>0</v>
      </c>
      <c r="D287" s="215">
        <f t="shared" si="148"/>
        <v>0</v>
      </c>
      <c r="E287" s="237">
        <f t="shared" si="149"/>
        <v>0</v>
      </c>
      <c r="F287" s="1101">
        <f t="shared" si="150"/>
        <v>0.97857142857142865</v>
      </c>
      <c r="G287" s="237">
        <f t="shared" si="151"/>
        <v>19.571428571428573</v>
      </c>
      <c r="H287" s="237">
        <f t="shared" si="152"/>
        <v>400</v>
      </c>
      <c r="I287" s="237">
        <f>(I286-IF(G287=0,0,E287/G287)-I$275)*EXP(-G287/G$275)+IF(G287=0,0,E287/G287)+I$275</f>
        <v>616.0125280158469</v>
      </c>
      <c r="J287" s="237">
        <f>(J286-IF(G287=0,0,E287/G287)-I$275)*EXP(-G287/G$275)+IF(G287=0,0,E287/G287)+I$275</f>
        <v>628.3388718415091</v>
      </c>
      <c r="L287" s="237">
        <f t="shared" si="153"/>
        <v>0</v>
      </c>
      <c r="M287" s="237">
        <f t="shared" si="154"/>
        <v>10</v>
      </c>
      <c r="N287" s="1139">
        <f t="shared" si="155"/>
        <v>0.5</v>
      </c>
      <c r="O287" s="238">
        <f t="shared" si="156"/>
        <v>5.5</v>
      </c>
      <c r="P287" s="237">
        <f t="shared" si="156"/>
        <v>73.624999999999986</v>
      </c>
      <c r="Q287" s="215">
        <f t="shared" si="136"/>
        <v>9.0276510813052724</v>
      </c>
      <c r="R287" s="1722">
        <f t="shared" si="137"/>
        <v>4.3906976061409928</v>
      </c>
      <c r="S287" s="1543">
        <f t="shared" si="138"/>
        <v>4.8297673667550924</v>
      </c>
      <c r="T287" s="1543">
        <f t="shared" si="172"/>
        <v>4.9952686524076029</v>
      </c>
      <c r="U287" s="1101">
        <f t="shared" si="157"/>
        <v>5.9403126976890572</v>
      </c>
      <c r="V287" s="1101">
        <f t="shared" si="158"/>
        <v>5.9686486321745367</v>
      </c>
      <c r="W287" s="215">
        <f t="shared" si="159"/>
        <v>22.666666666666664</v>
      </c>
      <c r="X287" s="215">
        <f t="shared" si="160"/>
        <v>27.516992132007175</v>
      </c>
      <c r="Y287" s="1544">
        <f t="shared" si="161"/>
        <v>29.801057206947011</v>
      </c>
      <c r="Z287" s="237"/>
      <c r="AA287" s="237">
        <f t="shared" si="139"/>
        <v>902.76510813052721</v>
      </c>
      <c r="AB287" s="1550">
        <f t="shared" si="140"/>
        <v>664.66081086110057</v>
      </c>
      <c r="AC287" s="237">
        <f t="shared" si="141"/>
        <v>664.66081086110057</v>
      </c>
      <c r="AD287" s="215">
        <f t="shared" si="142"/>
        <v>15.628333333333332</v>
      </c>
      <c r="AE287" s="237">
        <f t="shared" si="162"/>
        <v>1774.5859436995597</v>
      </c>
      <c r="AF287" s="1550">
        <f t="shared" si="163"/>
        <v>1268.6671661399387</v>
      </c>
      <c r="AG287" s="237">
        <f t="shared" si="164"/>
        <v>1268.6671661399387</v>
      </c>
      <c r="AH287" s="237">
        <f t="shared" si="143"/>
        <v>2751.6992132007176</v>
      </c>
      <c r="AI287" s="1550">
        <f t="shared" si="165"/>
        <v>46.104863498661693</v>
      </c>
      <c r="AJ287" s="237">
        <f t="shared" si="166"/>
        <v>46.104863498661693</v>
      </c>
      <c r="AK287" s="1726">
        <f t="shared" si="167"/>
        <v>8.4348244913498238</v>
      </c>
      <c r="AL287" s="1208">
        <f t="shared" si="144"/>
        <v>9.2783069404848071</v>
      </c>
      <c r="AM287" s="1550">
        <f t="shared" si="145"/>
        <v>2.2479287492582349</v>
      </c>
      <c r="AN287" s="1550">
        <f t="shared" si="146"/>
        <v>19.571428571428573</v>
      </c>
    </row>
    <row r="288" spans="1:58" s="238" customFormat="1">
      <c r="A288" s="1136">
        <f t="shared" si="168"/>
        <v>11</v>
      </c>
      <c r="C288" s="215">
        <f t="shared" si="147"/>
        <v>0</v>
      </c>
      <c r="D288" s="215">
        <f t="shared" si="148"/>
        <v>0</v>
      </c>
      <c r="E288" s="237">
        <f t="shared" si="149"/>
        <v>0</v>
      </c>
      <c r="F288" s="1101">
        <f t="shared" si="150"/>
        <v>0.97857142857142865</v>
      </c>
      <c r="G288" s="237">
        <f t="shared" si="151"/>
        <v>19.571428571428573</v>
      </c>
      <c r="H288" s="237">
        <f t="shared" si="152"/>
        <v>400</v>
      </c>
      <c r="I288" s="237">
        <f t="shared" si="169"/>
        <v>546.0439837129469</v>
      </c>
      <c r="J288" s="237">
        <f t="shared" si="170"/>
        <v>554.37770571254839</v>
      </c>
      <c r="L288" s="237">
        <f t="shared" si="153"/>
        <v>0</v>
      </c>
      <c r="M288" s="237">
        <f t="shared" si="154"/>
        <v>10</v>
      </c>
      <c r="N288" s="1139">
        <f t="shared" si="155"/>
        <v>0.5</v>
      </c>
      <c r="O288" s="238">
        <f t="shared" si="156"/>
        <v>5.5</v>
      </c>
      <c r="P288" s="237">
        <f t="shared" si="156"/>
        <v>73.624999999999986</v>
      </c>
      <c r="Q288" s="215">
        <f t="shared" si="136"/>
        <v>9.0276510813052724</v>
      </c>
      <c r="R288" s="1722">
        <f t="shared" si="137"/>
        <v>4.3906976061409928</v>
      </c>
      <c r="S288" s="1543">
        <f t="shared" si="138"/>
        <v>4.8297673667550924</v>
      </c>
      <c r="T288" s="1543">
        <f t="shared" si="172"/>
        <v>4.9952686524076029</v>
      </c>
      <c r="U288" s="1101">
        <f t="shared" si="157"/>
        <v>5.7460976238249959</v>
      </c>
      <c r="V288" s="1101">
        <f t="shared" si="158"/>
        <v>5.7652552754320592</v>
      </c>
      <c r="W288" s="215">
        <f t="shared" si="159"/>
        <v>22.666666666666664</v>
      </c>
      <c r="X288" s="215">
        <f t="shared" si="160"/>
        <v>27.516992132007175</v>
      </c>
      <c r="Y288" s="1544">
        <f t="shared" si="161"/>
        <v>28.794013615168961</v>
      </c>
      <c r="Z288" s="237"/>
      <c r="AA288" s="237">
        <f t="shared" si="139"/>
        <v>902.76510813052721</v>
      </c>
      <c r="AB288" s="1550">
        <f t="shared" si="140"/>
        <v>664.66081086110057</v>
      </c>
      <c r="AC288" s="237">
        <f t="shared" si="141"/>
        <v>664.66081086110057</v>
      </c>
      <c r="AD288" s="215">
        <f t="shared" si="142"/>
        <v>15.628333333333332</v>
      </c>
      <c r="AE288" s="237">
        <f t="shared" si="162"/>
        <v>1774.5859436995597</v>
      </c>
      <c r="AF288" s="1550">
        <f t="shared" si="163"/>
        <v>1268.6671661399387</v>
      </c>
      <c r="AG288" s="237">
        <f t="shared" si="164"/>
        <v>1268.6671661399387</v>
      </c>
      <c r="AH288" s="237">
        <f t="shared" si="143"/>
        <v>2751.6992132007176</v>
      </c>
      <c r="AI288" s="1550">
        <f t="shared" si="165"/>
        <v>46.104863498661693</v>
      </c>
      <c r="AJ288" s="237">
        <f t="shared" si="166"/>
        <v>46.104863498661693</v>
      </c>
      <c r="AK288" s="1726">
        <f t="shared" si="167"/>
        <v>8.4348244913498238</v>
      </c>
      <c r="AL288" s="1208">
        <f t="shared" si="144"/>
        <v>9.2783069404848071</v>
      </c>
      <c r="AM288" s="1550">
        <f t="shared" si="145"/>
        <v>2.2479287492582349</v>
      </c>
      <c r="AN288" s="1550">
        <f t="shared" si="146"/>
        <v>19.571428571428573</v>
      </c>
    </row>
    <row r="289" spans="1:40" s="238" customFormat="1">
      <c r="A289" s="1136">
        <f t="shared" si="168"/>
        <v>12</v>
      </c>
      <c r="C289" s="215">
        <f t="shared" si="147"/>
        <v>0</v>
      </c>
      <c r="D289" s="215">
        <f t="shared" si="148"/>
        <v>0</v>
      </c>
      <c r="E289" s="237">
        <f t="shared" si="149"/>
        <v>0</v>
      </c>
      <c r="F289" s="1101">
        <f t="shared" si="150"/>
        <v>0.97857142857142865</v>
      </c>
      <c r="G289" s="237">
        <f t="shared" si="151"/>
        <v>19.571428571428573</v>
      </c>
      <c r="H289" s="237">
        <f t="shared" si="152"/>
        <v>400</v>
      </c>
      <c r="I289" s="237">
        <f t="shared" si="169"/>
        <v>498.73892674031754</v>
      </c>
      <c r="J289" s="237">
        <f t="shared" si="170"/>
        <v>504.3732756883042</v>
      </c>
      <c r="L289" s="237">
        <f t="shared" si="153"/>
        <v>0</v>
      </c>
      <c r="M289" s="237">
        <f t="shared" si="154"/>
        <v>10</v>
      </c>
      <c r="N289" s="1139">
        <f t="shared" si="155"/>
        <v>0.5</v>
      </c>
      <c r="O289" s="238">
        <f t="shared" si="156"/>
        <v>5.5</v>
      </c>
      <c r="P289" s="237">
        <f t="shared" si="156"/>
        <v>73.624999999999986</v>
      </c>
      <c r="Q289" s="215">
        <f t="shared" si="136"/>
        <v>9.0276510813052724</v>
      </c>
      <c r="R289" s="1722">
        <f t="shared" si="137"/>
        <v>4.3906976061409928</v>
      </c>
      <c r="S289" s="1543">
        <f t="shared" si="138"/>
        <v>4.8297673667550924</v>
      </c>
      <c r="T289" s="1543">
        <f t="shared" si="172"/>
        <v>4.9952686524076029</v>
      </c>
      <c r="U289" s="1101">
        <f t="shared" si="157"/>
        <v>5.6147906883210936</v>
      </c>
      <c r="V289" s="1101">
        <f t="shared" si="158"/>
        <v>5.6277429915276693</v>
      </c>
      <c r="W289" s="215">
        <f t="shared" si="159"/>
        <v>22.666666666666664</v>
      </c>
      <c r="X289" s="215">
        <f t="shared" si="160"/>
        <v>27.516992132007175</v>
      </c>
      <c r="Y289" s="1544">
        <f t="shared" si="161"/>
        <v>28.112824699722488</v>
      </c>
      <c r="Z289" s="237"/>
      <c r="AA289" s="237">
        <f t="shared" si="139"/>
        <v>902.76510813052721</v>
      </c>
      <c r="AB289" s="1550">
        <f t="shared" si="140"/>
        <v>664.66081086110057</v>
      </c>
      <c r="AC289" s="237">
        <f t="shared" si="141"/>
        <v>664.66081086110057</v>
      </c>
      <c r="AD289" s="215">
        <f t="shared" si="142"/>
        <v>15.628333333333332</v>
      </c>
      <c r="AE289" s="237">
        <f t="shared" si="162"/>
        <v>1774.5859436995597</v>
      </c>
      <c r="AF289" s="1550">
        <f t="shared" si="163"/>
        <v>1268.6671661399387</v>
      </c>
      <c r="AG289" s="237">
        <f t="shared" si="164"/>
        <v>1268.6671661399387</v>
      </c>
      <c r="AH289" s="237">
        <f t="shared" si="143"/>
        <v>2751.6992132007176</v>
      </c>
      <c r="AI289" s="1550">
        <f t="shared" si="165"/>
        <v>46.104863498661693</v>
      </c>
      <c r="AJ289" s="237">
        <f t="shared" si="166"/>
        <v>46.104863498661693</v>
      </c>
      <c r="AK289" s="1726">
        <f t="shared" si="167"/>
        <v>8.4348244913498238</v>
      </c>
      <c r="AL289" s="1208">
        <f t="shared" si="144"/>
        <v>9.2783069404848071</v>
      </c>
      <c r="AM289" s="1550">
        <f t="shared" si="145"/>
        <v>2.2479287492582349</v>
      </c>
      <c r="AN289" s="1550">
        <f t="shared" si="146"/>
        <v>19.571428571428573</v>
      </c>
    </row>
    <row r="290" spans="1:40" s="238" customFormat="1">
      <c r="A290" s="1136">
        <f t="shared" si="168"/>
        <v>13</v>
      </c>
      <c r="C290" s="215">
        <f t="shared" si="147"/>
        <v>0.8</v>
      </c>
      <c r="D290" s="215">
        <f t="shared" si="148"/>
        <v>0.45714285714285713</v>
      </c>
      <c r="E290" s="237">
        <f t="shared" si="149"/>
        <v>10971.428571428571</v>
      </c>
      <c r="F290" s="1101">
        <f t="shared" si="150"/>
        <v>0.97857142857142865</v>
      </c>
      <c r="G290" s="237">
        <f t="shared" si="151"/>
        <v>19.571428571428573</v>
      </c>
      <c r="H290" s="237">
        <f t="shared" si="152"/>
        <v>581.57855340161109</v>
      </c>
      <c r="I290" s="237">
        <f t="shared" si="169"/>
        <v>648.33498804524856</v>
      </c>
      <c r="J290" s="237">
        <f t="shared" si="170"/>
        <v>652.14431694645225</v>
      </c>
      <c r="L290" s="237">
        <f t="shared" si="153"/>
        <v>30.171428571428571</v>
      </c>
      <c r="M290" s="237">
        <f t="shared" si="154"/>
        <v>40.171428571428571</v>
      </c>
      <c r="N290" s="1139">
        <f t="shared" si="155"/>
        <v>2.0085714285714285</v>
      </c>
      <c r="O290" s="238">
        <f t="shared" si="156"/>
        <v>5.5</v>
      </c>
      <c r="P290" s="237">
        <f t="shared" si="156"/>
        <v>73.624999999999986</v>
      </c>
      <c r="Q290" s="215">
        <f t="shared" si="136"/>
        <v>9.0276510813052724</v>
      </c>
      <c r="R290" s="1722">
        <f t="shared" si="137"/>
        <v>4.3906976061409928</v>
      </c>
      <c r="S290" s="1543">
        <f t="shared" si="138"/>
        <v>4.8297673667550924</v>
      </c>
      <c r="T290" s="1543">
        <f t="shared" si="172"/>
        <v>5.4946096742620334</v>
      </c>
      <c r="U290" s="1101">
        <f t="shared" si="157"/>
        <v>6.0253563593832675</v>
      </c>
      <c r="V290" s="1101">
        <f t="shared" si="158"/>
        <v>6.034113286474124</v>
      </c>
      <c r="W290" s="215">
        <f t="shared" si="159"/>
        <v>22.666666666666664</v>
      </c>
      <c r="X290" s="215">
        <f t="shared" si="160"/>
        <v>27.516992132007175</v>
      </c>
      <c r="Y290" s="1544">
        <f t="shared" si="161"/>
        <v>30.125060323089691</v>
      </c>
      <c r="Z290" s="237"/>
      <c r="AA290" s="237">
        <f t="shared" si="139"/>
        <v>902.76510813052721</v>
      </c>
      <c r="AB290" s="1550">
        <f t="shared" si="140"/>
        <v>664.66081086110057</v>
      </c>
      <c r="AC290" s="237">
        <f t="shared" si="141"/>
        <v>664.66081086110057</v>
      </c>
      <c r="AD290" s="215">
        <f t="shared" si="142"/>
        <v>15.628333333333332</v>
      </c>
      <c r="AE290" s="237">
        <f t="shared" si="162"/>
        <v>1774.5859436995597</v>
      </c>
      <c r="AF290" s="1550">
        <f t="shared" si="163"/>
        <v>1268.6671661399387</v>
      </c>
      <c r="AG290" s="237">
        <f t="shared" si="164"/>
        <v>1268.6671661399387</v>
      </c>
      <c r="AH290" s="237">
        <f t="shared" si="143"/>
        <v>2751.6992132007176</v>
      </c>
      <c r="AI290" s="1550">
        <f t="shared" si="165"/>
        <v>46.104863498661693</v>
      </c>
      <c r="AJ290" s="237">
        <f t="shared" si="166"/>
        <v>46.104863498661693</v>
      </c>
      <c r="AK290" s="1726">
        <f t="shared" si="167"/>
        <v>8.4348244913498238</v>
      </c>
      <c r="AL290" s="1208">
        <f t="shared" si="144"/>
        <v>9.2783069404848071</v>
      </c>
      <c r="AM290" s="1550">
        <f t="shared" si="145"/>
        <v>9.0302509184487967</v>
      </c>
      <c r="AN290" s="1550">
        <f t="shared" si="146"/>
        <v>19.571428571428573</v>
      </c>
    </row>
    <row r="291" spans="1:40" s="238" customFormat="1">
      <c r="A291" s="1136">
        <f t="shared" si="168"/>
        <v>14</v>
      </c>
      <c r="C291" s="215">
        <f t="shared" si="147"/>
        <v>0.4</v>
      </c>
      <c r="D291" s="215">
        <f t="shared" si="148"/>
        <v>0.22857142857142856</v>
      </c>
      <c r="E291" s="237">
        <f t="shared" si="149"/>
        <v>5485.7142857142853</v>
      </c>
      <c r="F291" s="1101">
        <f t="shared" si="150"/>
        <v>0.97857142857142865</v>
      </c>
      <c r="G291" s="237">
        <f t="shared" si="151"/>
        <v>19.571428571428573</v>
      </c>
      <c r="H291" s="237">
        <f t="shared" si="152"/>
        <v>490.78927670080554</v>
      </c>
      <c r="I291" s="237">
        <f t="shared" si="169"/>
        <v>658.68616343496069</v>
      </c>
      <c r="J291" s="237">
        <f t="shared" si="170"/>
        <v>661.26161391051744</v>
      </c>
      <c r="L291" s="237">
        <f t="shared" si="153"/>
        <v>15.085714285714285</v>
      </c>
      <c r="M291" s="237">
        <f t="shared" si="154"/>
        <v>25.085714285714285</v>
      </c>
      <c r="N291" s="1139">
        <f t="shared" si="155"/>
        <v>1.2542857142857142</v>
      </c>
      <c r="O291" s="238">
        <f t="shared" si="156"/>
        <v>5.5</v>
      </c>
      <c r="P291" s="237">
        <f t="shared" si="156"/>
        <v>73.624999999999986</v>
      </c>
      <c r="Q291" s="215">
        <f t="shared" si="136"/>
        <v>9.0276510813052724</v>
      </c>
      <c r="R291" s="1722">
        <f t="shared" si="137"/>
        <v>4.3906976061409928</v>
      </c>
      <c r="S291" s="1543">
        <f t="shared" si="138"/>
        <v>4.8297673667550924</v>
      </c>
      <c r="T291" s="1543">
        <f t="shared" si="172"/>
        <v>5.2449391633348181</v>
      </c>
      <c r="U291" s="1101">
        <f t="shared" si="157"/>
        <v>6.0532653329816002</v>
      </c>
      <c r="V291" s="1101">
        <f t="shared" si="158"/>
        <v>6.0591858068040203</v>
      </c>
      <c r="W291" s="215">
        <f t="shared" si="159"/>
        <v>22.666666666666664</v>
      </c>
      <c r="X291" s="215">
        <f t="shared" si="160"/>
        <v>27.516992132007175</v>
      </c>
      <c r="Y291" s="1544">
        <f t="shared" si="161"/>
        <v>30.249135051392557</v>
      </c>
      <c r="Z291" s="237"/>
      <c r="AA291" s="237">
        <f t="shared" si="139"/>
        <v>902.76510813052721</v>
      </c>
      <c r="AB291" s="1550">
        <f t="shared" si="140"/>
        <v>664.66081086110057</v>
      </c>
      <c r="AC291" s="237">
        <f t="shared" si="141"/>
        <v>664.66081086110057</v>
      </c>
      <c r="AD291" s="215">
        <f t="shared" si="142"/>
        <v>15.628333333333332</v>
      </c>
      <c r="AE291" s="237">
        <f t="shared" si="162"/>
        <v>1774.5859436995597</v>
      </c>
      <c r="AF291" s="1550">
        <f t="shared" si="163"/>
        <v>1268.6671661399387</v>
      </c>
      <c r="AG291" s="237">
        <f t="shared" si="164"/>
        <v>1268.6671661399387</v>
      </c>
      <c r="AH291" s="237">
        <f t="shared" si="143"/>
        <v>2751.6992132007176</v>
      </c>
      <c r="AI291" s="1550">
        <f t="shared" si="165"/>
        <v>46.104863498661693</v>
      </c>
      <c r="AJ291" s="237">
        <f t="shared" si="166"/>
        <v>46.104863498661693</v>
      </c>
      <c r="AK291" s="1726">
        <f t="shared" si="167"/>
        <v>8.4348244913498238</v>
      </c>
      <c r="AL291" s="1208">
        <f t="shared" si="144"/>
        <v>9.2783069404848071</v>
      </c>
      <c r="AM291" s="1550">
        <f t="shared" si="145"/>
        <v>5.6390898338535154</v>
      </c>
      <c r="AN291" s="1550">
        <f t="shared" si="146"/>
        <v>19.571428571428573</v>
      </c>
    </row>
    <row r="292" spans="1:40" s="238" customFormat="1">
      <c r="A292" s="1136">
        <f t="shared" si="168"/>
        <v>15</v>
      </c>
      <c r="C292" s="215">
        <f t="shared" si="147"/>
        <v>0</v>
      </c>
      <c r="D292" s="215">
        <f t="shared" si="148"/>
        <v>0</v>
      </c>
      <c r="E292" s="237">
        <f t="shared" si="149"/>
        <v>0</v>
      </c>
      <c r="F292" s="1101">
        <f t="shared" si="150"/>
        <v>0.97857142857142865</v>
      </c>
      <c r="G292" s="237">
        <f t="shared" si="151"/>
        <v>19.571428571428573</v>
      </c>
      <c r="H292" s="237">
        <f t="shared" si="152"/>
        <v>400</v>
      </c>
      <c r="I292" s="237">
        <f t="shared" si="169"/>
        <v>574.89521643248656</v>
      </c>
      <c r="J292" s="237">
        <f t="shared" si="170"/>
        <v>576.63645362257273</v>
      </c>
      <c r="L292" s="237">
        <f t="shared" si="153"/>
        <v>0</v>
      </c>
      <c r="M292" s="237">
        <f t="shared" si="154"/>
        <v>10</v>
      </c>
      <c r="N292" s="1139">
        <f t="shared" si="155"/>
        <v>0.5</v>
      </c>
      <c r="O292" s="238">
        <f t="shared" si="156"/>
        <v>5.5</v>
      </c>
      <c r="P292" s="237">
        <f t="shared" si="156"/>
        <v>73.624999999999986</v>
      </c>
      <c r="Q292" s="215">
        <f t="shared" si="136"/>
        <v>9.0276510813052724</v>
      </c>
      <c r="R292" s="1722">
        <f t="shared" si="137"/>
        <v>4.3906976061409928</v>
      </c>
      <c r="S292" s="1543">
        <f t="shared" si="138"/>
        <v>4.8297673667550924</v>
      </c>
      <c r="T292" s="1543">
        <f t="shared" si="172"/>
        <v>4.9952686524076029</v>
      </c>
      <c r="U292" s="1101">
        <f t="shared" si="157"/>
        <v>5.8224638095296903</v>
      </c>
      <c r="V292" s="1101">
        <f t="shared" si="158"/>
        <v>5.8264665846948001</v>
      </c>
      <c r="W292" s="215">
        <f t="shared" si="159"/>
        <v>22.666666666666664</v>
      </c>
      <c r="X292" s="215">
        <f t="shared" si="160"/>
        <v>27.516992132007175</v>
      </c>
      <c r="Y292" s="1544">
        <f t="shared" si="161"/>
        <v>29.097146221563424</v>
      </c>
      <c r="Z292" s="237"/>
      <c r="AA292" s="237">
        <f t="shared" si="139"/>
        <v>902.76510813052721</v>
      </c>
      <c r="AB292" s="1550">
        <f t="shared" si="140"/>
        <v>664.66081086110057</v>
      </c>
      <c r="AC292" s="237">
        <f t="shared" si="141"/>
        <v>664.66081086110057</v>
      </c>
      <c r="AD292" s="215">
        <f t="shared" si="142"/>
        <v>15.628333333333332</v>
      </c>
      <c r="AE292" s="237">
        <f t="shared" si="162"/>
        <v>1774.5859436995597</v>
      </c>
      <c r="AF292" s="1550">
        <f t="shared" si="163"/>
        <v>1268.6671661399387</v>
      </c>
      <c r="AG292" s="237">
        <f t="shared" si="164"/>
        <v>1268.6671661399387</v>
      </c>
      <c r="AH292" s="237">
        <f t="shared" si="143"/>
        <v>2751.6992132007176</v>
      </c>
      <c r="AI292" s="1550">
        <f t="shared" si="165"/>
        <v>46.104863498661693</v>
      </c>
      <c r="AJ292" s="237">
        <f t="shared" si="166"/>
        <v>46.104863498661693</v>
      </c>
      <c r="AK292" s="1726">
        <f t="shared" si="167"/>
        <v>8.4348244913498238</v>
      </c>
      <c r="AL292" s="1208">
        <f t="shared" si="144"/>
        <v>9.2783069404848071</v>
      </c>
      <c r="AM292" s="1550">
        <f t="shared" si="145"/>
        <v>2.2479287492582349</v>
      </c>
      <c r="AN292" s="1550">
        <f t="shared" si="146"/>
        <v>19.571428571428573</v>
      </c>
    </row>
    <row r="293" spans="1:40" s="238" customFormat="1">
      <c r="A293" s="1136">
        <f t="shared" si="168"/>
        <v>16</v>
      </c>
      <c r="C293" s="215">
        <f t="shared" si="147"/>
        <v>0</v>
      </c>
      <c r="D293" s="215">
        <f t="shared" si="148"/>
        <v>0</v>
      </c>
      <c r="E293" s="237">
        <f t="shared" si="149"/>
        <v>0</v>
      </c>
      <c r="F293" s="1101">
        <f t="shared" si="150"/>
        <v>0.97857142857142865</v>
      </c>
      <c r="G293" s="237">
        <f t="shared" si="151"/>
        <v>19.571428571428573</v>
      </c>
      <c r="H293" s="237">
        <f t="shared" si="152"/>
        <v>400</v>
      </c>
      <c r="I293" s="237">
        <f t="shared" si="169"/>
        <v>518.24496650613048</v>
      </c>
      <c r="J293" s="237">
        <f t="shared" si="170"/>
        <v>519.42220015162843</v>
      </c>
      <c r="L293" s="237">
        <f t="shared" si="153"/>
        <v>0</v>
      </c>
      <c r="M293" s="237">
        <f t="shared" si="154"/>
        <v>10</v>
      </c>
      <c r="N293" s="1139">
        <f t="shared" si="155"/>
        <v>0.5</v>
      </c>
      <c r="O293" s="238">
        <f t="shared" si="156"/>
        <v>5.5</v>
      </c>
      <c r="P293" s="237">
        <f t="shared" si="156"/>
        <v>73.624999999999986</v>
      </c>
      <c r="Q293" s="215">
        <f t="shared" si="136"/>
        <v>9.0276510813052724</v>
      </c>
      <c r="R293" s="1722">
        <f t="shared" si="137"/>
        <v>4.3906976061409928</v>
      </c>
      <c r="S293" s="1543">
        <f t="shared" si="138"/>
        <v>4.8297673667550924</v>
      </c>
      <c r="T293" s="1543">
        <f t="shared" si="172"/>
        <v>4.9952686524076029</v>
      </c>
      <c r="U293" s="1101">
        <f t="shared" si="157"/>
        <v>5.6664211288502564</v>
      </c>
      <c r="V293" s="1101">
        <f t="shared" si="158"/>
        <v>5.6691273664763306</v>
      </c>
      <c r="W293" s="215">
        <f t="shared" si="159"/>
        <v>22.666666666666664</v>
      </c>
      <c r="X293" s="215">
        <f t="shared" si="160"/>
        <v>27.516992132007175</v>
      </c>
      <c r="Y293" s="1544">
        <f t="shared" si="161"/>
        <v>28.317857332628961</v>
      </c>
      <c r="Z293" s="237"/>
      <c r="AA293" s="237">
        <f t="shared" si="139"/>
        <v>902.76510813052721</v>
      </c>
      <c r="AB293" s="1550">
        <f t="shared" si="140"/>
        <v>664.66081086110057</v>
      </c>
      <c r="AC293" s="237">
        <f t="shared" si="141"/>
        <v>664.66081086110057</v>
      </c>
      <c r="AD293" s="215">
        <f t="shared" si="142"/>
        <v>15.628333333333332</v>
      </c>
      <c r="AE293" s="237">
        <f t="shared" si="162"/>
        <v>1774.5859436995597</v>
      </c>
      <c r="AF293" s="1550">
        <f t="shared" si="163"/>
        <v>1268.6671661399387</v>
      </c>
      <c r="AG293" s="237">
        <f t="shared" si="164"/>
        <v>1268.6671661399387</v>
      </c>
      <c r="AH293" s="237">
        <f t="shared" si="143"/>
        <v>2751.6992132007176</v>
      </c>
      <c r="AI293" s="1550">
        <f t="shared" si="165"/>
        <v>46.104863498661693</v>
      </c>
      <c r="AJ293" s="237">
        <f t="shared" si="166"/>
        <v>46.104863498661693</v>
      </c>
      <c r="AK293" s="1726">
        <f t="shared" si="167"/>
        <v>8.4348244913498238</v>
      </c>
      <c r="AL293" s="1208">
        <f t="shared" si="144"/>
        <v>9.2783069404848071</v>
      </c>
      <c r="AM293" s="1550">
        <f t="shared" si="145"/>
        <v>2.2479287492582349</v>
      </c>
      <c r="AN293" s="1550">
        <f t="shared" si="146"/>
        <v>19.571428571428573</v>
      </c>
    </row>
    <row r="294" spans="1:40" s="238" customFormat="1">
      <c r="A294" s="1136">
        <f t="shared" si="168"/>
        <v>17</v>
      </c>
      <c r="C294" s="215">
        <f t="shared" si="147"/>
        <v>0</v>
      </c>
      <c r="D294" s="215">
        <f t="shared" si="148"/>
        <v>0</v>
      </c>
      <c r="E294" s="237">
        <f t="shared" si="149"/>
        <v>0</v>
      </c>
      <c r="F294" s="1101">
        <f t="shared" si="150"/>
        <v>0.97857142857142865</v>
      </c>
      <c r="G294" s="237">
        <f t="shared" si="151"/>
        <v>19.571428571428573</v>
      </c>
      <c r="H294" s="237">
        <f t="shared" si="152"/>
        <v>400</v>
      </c>
      <c r="I294" s="237">
        <f t="shared" si="169"/>
        <v>479.94427971924108</v>
      </c>
      <c r="J294" s="237">
        <f t="shared" si="170"/>
        <v>480.7401960159886</v>
      </c>
      <c r="L294" s="237">
        <f t="shared" si="153"/>
        <v>0</v>
      </c>
      <c r="M294" s="237">
        <f t="shared" si="154"/>
        <v>10</v>
      </c>
      <c r="N294" s="1139">
        <f t="shared" si="155"/>
        <v>0.5</v>
      </c>
      <c r="O294" s="238">
        <f t="shared" si="156"/>
        <v>5.5</v>
      </c>
      <c r="P294" s="237">
        <f t="shared" si="156"/>
        <v>73.624999999999986</v>
      </c>
      <c r="Q294" s="215">
        <f t="shared" si="136"/>
        <v>9.0276510813052724</v>
      </c>
      <c r="R294" s="1722">
        <f t="shared" si="137"/>
        <v>4.3906976061409928</v>
      </c>
      <c r="S294" s="1543">
        <f t="shared" si="138"/>
        <v>4.8297673667550924</v>
      </c>
      <c r="T294" s="1543">
        <f t="shared" si="172"/>
        <v>4.9952686524076029</v>
      </c>
      <c r="U294" s="1101">
        <f t="shared" si="157"/>
        <v>5.5609221796689381</v>
      </c>
      <c r="V294" s="1101">
        <f t="shared" si="158"/>
        <v>5.5627518407882084</v>
      </c>
      <c r="W294" s="215">
        <f t="shared" si="159"/>
        <v>22.666666666666664</v>
      </c>
      <c r="X294" s="215">
        <f t="shared" si="160"/>
        <v>27.516992132007175</v>
      </c>
      <c r="Y294" s="1544">
        <f t="shared" si="161"/>
        <v>27.790786205649741</v>
      </c>
      <c r="Z294" s="237"/>
      <c r="AA294" s="237">
        <f t="shared" si="139"/>
        <v>902.76510813052721</v>
      </c>
      <c r="AB294" s="1550">
        <f t="shared" si="140"/>
        <v>664.66081086110057</v>
      </c>
      <c r="AC294" s="237">
        <f t="shared" si="141"/>
        <v>664.66081086110057</v>
      </c>
      <c r="AD294" s="215">
        <f t="shared" si="142"/>
        <v>15.628333333333332</v>
      </c>
      <c r="AE294" s="237">
        <f t="shared" si="162"/>
        <v>1774.5859436995597</v>
      </c>
      <c r="AF294" s="1550">
        <f t="shared" si="163"/>
        <v>1268.6671661399387</v>
      </c>
      <c r="AG294" s="237">
        <f t="shared" si="164"/>
        <v>1268.6671661399387</v>
      </c>
      <c r="AH294" s="237">
        <f t="shared" si="143"/>
        <v>2751.6992132007176</v>
      </c>
      <c r="AI294" s="1550">
        <f t="shared" si="165"/>
        <v>46.104863498661693</v>
      </c>
      <c r="AJ294" s="237">
        <f t="shared" si="166"/>
        <v>46.104863498661693</v>
      </c>
      <c r="AK294" s="1726">
        <f t="shared" si="167"/>
        <v>8.4348244913498238</v>
      </c>
      <c r="AL294" s="1208">
        <f t="shared" si="144"/>
        <v>9.2783069404848071</v>
      </c>
      <c r="AM294" s="1550">
        <f t="shared" si="145"/>
        <v>2.2479287492582349</v>
      </c>
      <c r="AN294" s="1550">
        <f t="shared" si="146"/>
        <v>19.571428571428573</v>
      </c>
    </row>
    <row r="295" spans="1:40" s="238" customFormat="1">
      <c r="A295" s="1136">
        <f t="shared" si="168"/>
        <v>18</v>
      </c>
      <c r="C295" s="215">
        <f t="shared" si="147"/>
        <v>0.4</v>
      </c>
      <c r="D295" s="215">
        <f t="shared" si="148"/>
        <v>0.22857142857142856</v>
      </c>
      <c r="E295" s="237">
        <f t="shared" si="149"/>
        <v>5485.7142857142853</v>
      </c>
      <c r="F295" s="1101">
        <f t="shared" si="150"/>
        <v>0.97857142857142865</v>
      </c>
      <c r="G295" s="237">
        <f t="shared" si="151"/>
        <v>19.571428571428573</v>
      </c>
      <c r="H295" s="237">
        <f t="shared" si="152"/>
        <v>490.78927670080554</v>
      </c>
      <c r="I295" s="237">
        <f t="shared" si="169"/>
        <v>544.83883203216851</v>
      </c>
      <c r="J295" s="237">
        <f t="shared" si="170"/>
        <v>545.37694335259403</v>
      </c>
      <c r="L295" s="237">
        <f t="shared" si="153"/>
        <v>15.085714285714285</v>
      </c>
      <c r="M295" s="237">
        <f t="shared" si="154"/>
        <v>25.085714285714285</v>
      </c>
      <c r="N295" s="1139">
        <f t="shared" si="155"/>
        <v>1.2542857142857142</v>
      </c>
      <c r="O295" s="238">
        <f t="shared" si="156"/>
        <v>5.5</v>
      </c>
      <c r="P295" s="237">
        <f t="shared" si="156"/>
        <v>73.624999999999986</v>
      </c>
      <c r="Q295" s="215">
        <f t="shared" si="136"/>
        <v>9.0276510813052724</v>
      </c>
      <c r="R295" s="1722">
        <f t="shared" si="137"/>
        <v>4.3906976061409928</v>
      </c>
      <c r="S295" s="1543">
        <f t="shared" si="138"/>
        <v>4.8297673667550924</v>
      </c>
      <c r="T295" s="1543">
        <f t="shared" si="172"/>
        <v>5.2449391633348181</v>
      </c>
      <c r="U295" s="1101">
        <f t="shared" si="157"/>
        <v>5.739265870075636</v>
      </c>
      <c r="V295" s="1101">
        <f t="shared" si="158"/>
        <v>5.7405028862855634</v>
      </c>
      <c r="W295" s="215">
        <f t="shared" si="159"/>
        <v>22.666666666666664</v>
      </c>
      <c r="X295" s="215">
        <f t="shared" si="160"/>
        <v>27.516992132007175</v>
      </c>
      <c r="Y295" s="1544">
        <f t="shared" si="161"/>
        <v>28.67141876789044</v>
      </c>
      <c r="Z295" s="237"/>
      <c r="AA295" s="237">
        <f t="shared" si="139"/>
        <v>902.76510813052721</v>
      </c>
      <c r="AB295" s="1550">
        <f t="shared" si="140"/>
        <v>664.66081086110057</v>
      </c>
      <c r="AC295" s="237">
        <f t="shared" si="141"/>
        <v>664.66081086110057</v>
      </c>
      <c r="AD295" s="215">
        <f t="shared" si="142"/>
        <v>15.628333333333332</v>
      </c>
      <c r="AE295" s="237">
        <f t="shared" si="162"/>
        <v>1774.5859436995597</v>
      </c>
      <c r="AF295" s="1550">
        <f t="shared" si="163"/>
        <v>1268.6671661399387</v>
      </c>
      <c r="AG295" s="237">
        <f t="shared" si="164"/>
        <v>1268.6671661399387</v>
      </c>
      <c r="AH295" s="237">
        <f t="shared" si="143"/>
        <v>2751.6992132007176</v>
      </c>
      <c r="AI295" s="1550">
        <f t="shared" si="165"/>
        <v>46.104863498661693</v>
      </c>
      <c r="AJ295" s="237">
        <f t="shared" si="166"/>
        <v>46.104863498661693</v>
      </c>
      <c r="AK295" s="1726">
        <f t="shared" si="167"/>
        <v>8.4348244913498238</v>
      </c>
      <c r="AL295" s="1208">
        <f t="shared" si="144"/>
        <v>9.2783069404848071</v>
      </c>
      <c r="AM295" s="1550">
        <f t="shared" si="145"/>
        <v>5.6390898338535154</v>
      </c>
      <c r="AN295" s="1550">
        <f t="shared" si="146"/>
        <v>19.571428571428573</v>
      </c>
    </row>
    <row r="296" spans="1:40" s="238" customFormat="1">
      <c r="A296" s="1136">
        <f t="shared" si="168"/>
        <v>19</v>
      </c>
      <c r="C296" s="215">
        <f t="shared" si="147"/>
        <v>0.8</v>
      </c>
      <c r="D296" s="215">
        <f t="shared" si="148"/>
        <v>0.45714285714285713</v>
      </c>
      <c r="E296" s="237">
        <f t="shared" si="149"/>
        <v>10971.428571428571</v>
      </c>
      <c r="F296" s="1101">
        <f t="shared" si="150"/>
        <v>0.97857142857142865</v>
      </c>
      <c r="G296" s="237">
        <f t="shared" si="151"/>
        <v>19.571428571428573</v>
      </c>
      <c r="H296" s="237">
        <f t="shared" si="152"/>
        <v>581.57855340161109</v>
      </c>
      <c r="I296" s="237">
        <f t="shared" si="169"/>
        <v>679.50268873119012</v>
      </c>
      <c r="J296" s="237">
        <f t="shared" si="170"/>
        <v>679.86650059727879</v>
      </c>
      <c r="L296" s="237">
        <f t="shared" si="153"/>
        <v>30.171428571428571</v>
      </c>
      <c r="M296" s="237">
        <f t="shared" si="154"/>
        <v>40.171428571428571</v>
      </c>
      <c r="N296" s="1139">
        <f t="shared" si="155"/>
        <v>2.0085714285714285</v>
      </c>
      <c r="O296" s="238">
        <f t="shared" si="156"/>
        <v>5.5</v>
      </c>
      <c r="P296" s="237">
        <f t="shared" si="156"/>
        <v>73.624999999999986</v>
      </c>
      <c r="Q296" s="215">
        <f t="shared" si="136"/>
        <v>9.0276510813052724</v>
      </c>
      <c r="R296" s="1722">
        <f t="shared" si="137"/>
        <v>4.3906976061409928</v>
      </c>
      <c r="S296" s="1543">
        <f t="shared" si="138"/>
        <v>4.8297673667550924</v>
      </c>
      <c r="T296" s="1543">
        <f t="shared" si="172"/>
        <v>5.4946096742620334</v>
      </c>
      <c r="U296" s="1101">
        <f t="shared" si="157"/>
        <v>6.1095128274539201</v>
      </c>
      <c r="V296" s="1101">
        <f t="shared" si="158"/>
        <v>6.1103491621650345</v>
      </c>
      <c r="W296" s="215">
        <f t="shared" si="159"/>
        <v>22.666666666666664</v>
      </c>
      <c r="X296" s="215">
        <f t="shared" si="160"/>
        <v>27.516992132007175</v>
      </c>
      <c r="Y296" s="1544">
        <f t="shared" si="161"/>
        <v>30.502295813392482</v>
      </c>
      <c r="Z296" s="237"/>
      <c r="AA296" s="237">
        <f t="shared" si="139"/>
        <v>902.76510813052721</v>
      </c>
      <c r="AB296" s="1550">
        <f t="shared" si="140"/>
        <v>664.66081086110057</v>
      </c>
      <c r="AC296" s="237">
        <f t="shared" si="141"/>
        <v>664.66081086110057</v>
      </c>
      <c r="AD296" s="215">
        <f t="shared" si="142"/>
        <v>15.628333333333332</v>
      </c>
      <c r="AE296" s="237">
        <f t="shared" si="162"/>
        <v>1774.5859436995597</v>
      </c>
      <c r="AF296" s="1550">
        <f t="shared" si="163"/>
        <v>1268.6671661399387</v>
      </c>
      <c r="AG296" s="237">
        <f t="shared" si="164"/>
        <v>1268.6671661399387</v>
      </c>
      <c r="AH296" s="237">
        <f t="shared" si="143"/>
        <v>2751.6992132007176</v>
      </c>
      <c r="AI296" s="1550">
        <f t="shared" si="165"/>
        <v>46.104863498661693</v>
      </c>
      <c r="AJ296" s="237">
        <f t="shared" si="166"/>
        <v>46.104863498661693</v>
      </c>
      <c r="AK296" s="1726">
        <f t="shared" si="167"/>
        <v>8.4348244913498238</v>
      </c>
      <c r="AL296" s="1208">
        <f t="shared" si="144"/>
        <v>9.2783069404848071</v>
      </c>
      <c r="AM296" s="1550">
        <f t="shared" si="145"/>
        <v>9.0302509184487967</v>
      </c>
      <c r="AN296" s="1550">
        <f t="shared" si="146"/>
        <v>19.571428571428573</v>
      </c>
    </row>
    <row r="297" spans="1:40" s="238" customFormat="1">
      <c r="A297" s="1136">
        <f t="shared" si="168"/>
        <v>20</v>
      </c>
      <c r="C297" s="215">
        <f t="shared" si="147"/>
        <v>0.8</v>
      </c>
      <c r="D297" s="215">
        <f t="shared" si="148"/>
        <v>0.45714285714285713</v>
      </c>
      <c r="E297" s="237">
        <f t="shared" si="149"/>
        <v>10971.428571428571</v>
      </c>
      <c r="F297" s="1101">
        <f t="shared" si="150"/>
        <v>0.97857142857142865</v>
      </c>
      <c r="G297" s="237">
        <f t="shared" si="151"/>
        <v>19.571428571428573</v>
      </c>
      <c r="H297" s="237">
        <f t="shared" si="152"/>
        <v>581.57855340161109</v>
      </c>
      <c r="I297" s="237">
        <f t="shared" si="169"/>
        <v>770.54762151875389</v>
      </c>
      <c r="J297" s="237">
        <f t="shared" si="170"/>
        <v>770.79359120733488</v>
      </c>
      <c r="L297" s="237">
        <f t="shared" si="153"/>
        <v>30.171428571428571</v>
      </c>
      <c r="M297" s="237">
        <f t="shared" si="154"/>
        <v>40.171428571428571</v>
      </c>
      <c r="N297" s="1139">
        <f t="shared" si="155"/>
        <v>2.0085714285714285</v>
      </c>
      <c r="O297" s="238">
        <f t="shared" si="156"/>
        <v>5.5</v>
      </c>
      <c r="P297" s="237">
        <f t="shared" si="156"/>
        <v>73.624999999999986</v>
      </c>
      <c r="Q297" s="215">
        <f t="shared" si="136"/>
        <v>9.0276510813052724</v>
      </c>
      <c r="R297" s="1722">
        <f t="shared" si="137"/>
        <v>4.3906976061409928</v>
      </c>
      <c r="S297" s="1543">
        <f t="shared" si="138"/>
        <v>4.8297673667550924</v>
      </c>
      <c r="T297" s="1543">
        <f t="shared" si="172"/>
        <v>5.4946096742620334</v>
      </c>
      <c r="U297" s="1101">
        <f t="shared" si="157"/>
        <v>6.3598332190987765</v>
      </c>
      <c r="V297" s="1101">
        <f t="shared" si="158"/>
        <v>6.3603986569187505</v>
      </c>
      <c r="W297" s="215">
        <f t="shared" si="159"/>
        <v>22.666666666666664</v>
      </c>
      <c r="X297" s="215">
        <f t="shared" si="160"/>
        <v>27.516992132007175</v>
      </c>
      <c r="Y297" s="1544">
        <f t="shared" si="161"/>
        <v>31.739022928257491</v>
      </c>
      <c r="Z297" s="237"/>
      <c r="AA297" s="237">
        <f t="shared" si="139"/>
        <v>902.76510813052721</v>
      </c>
      <c r="AB297" s="1550">
        <f t="shared" si="140"/>
        <v>664.66081086110057</v>
      </c>
      <c r="AC297" s="237">
        <f t="shared" si="141"/>
        <v>664.66081086110057</v>
      </c>
      <c r="AD297" s="215">
        <f t="shared" si="142"/>
        <v>15.628333333333332</v>
      </c>
      <c r="AE297" s="237">
        <f t="shared" si="162"/>
        <v>1774.5859436995597</v>
      </c>
      <c r="AF297" s="1550">
        <f t="shared" si="163"/>
        <v>1268.6671661399387</v>
      </c>
      <c r="AG297" s="237">
        <f t="shared" si="164"/>
        <v>1268.6671661399387</v>
      </c>
      <c r="AH297" s="237">
        <f t="shared" si="143"/>
        <v>2751.6992132007176</v>
      </c>
      <c r="AI297" s="1550">
        <f t="shared" si="165"/>
        <v>46.104863498661693</v>
      </c>
      <c r="AJ297" s="237">
        <f t="shared" si="166"/>
        <v>46.104863498661693</v>
      </c>
      <c r="AK297" s="1726">
        <f t="shared" si="167"/>
        <v>8.4348244913498238</v>
      </c>
      <c r="AL297" s="1208">
        <f t="shared" si="144"/>
        <v>9.2783069404848071</v>
      </c>
      <c r="AM297" s="1550">
        <f t="shared" si="145"/>
        <v>9.0302509184487967</v>
      </c>
      <c r="AN297" s="1550">
        <f t="shared" si="146"/>
        <v>19.571428571428573</v>
      </c>
    </row>
    <row r="298" spans="1:40" s="238" customFormat="1">
      <c r="A298" s="1136">
        <f t="shared" si="168"/>
        <v>21</v>
      </c>
      <c r="C298" s="215">
        <f t="shared" si="147"/>
        <v>0.8</v>
      </c>
      <c r="D298" s="215">
        <f t="shared" si="148"/>
        <v>0.45714285714285713</v>
      </c>
      <c r="E298" s="237">
        <f t="shared" si="149"/>
        <v>10971.428571428571</v>
      </c>
      <c r="F298" s="1101">
        <f t="shared" si="150"/>
        <v>0.97857142857142865</v>
      </c>
      <c r="G298" s="237">
        <f t="shared" si="151"/>
        <v>19.571428571428573</v>
      </c>
      <c r="H298" s="237">
        <f t="shared" si="152"/>
        <v>581.57855340161109</v>
      </c>
      <c r="I298" s="237">
        <f t="shared" si="169"/>
        <v>832.10222116770512</v>
      </c>
      <c r="J298" s="237">
        <f t="shared" si="170"/>
        <v>832.26851889831812</v>
      </c>
      <c r="L298" s="237">
        <f t="shared" si="153"/>
        <v>30.171428571428571</v>
      </c>
      <c r="M298" s="237">
        <f t="shared" si="154"/>
        <v>40.171428571428571</v>
      </c>
      <c r="N298" s="1139">
        <f t="shared" si="155"/>
        <v>2.0085714285714285</v>
      </c>
      <c r="O298" s="238">
        <f t="shared" si="156"/>
        <v>5.5</v>
      </c>
      <c r="P298" s="237">
        <f t="shared" si="156"/>
        <v>73.624999999999986</v>
      </c>
      <c r="Q298" s="215">
        <f t="shared" si="136"/>
        <v>9.0276510813052724</v>
      </c>
      <c r="R298" s="1722">
        <f t="shared" si="137"/>
        <v>4.3906976061409928</v>
      </c>
      <c r="S298" s="1543">
        <f t="shared" si="138"/>
        <v>4.8297673667550924</v>
      </c>
      <c r="T298" s="1543">
        <f t="shared" si="172"/>
        <v>5.4946096742620334</v>
      </c>
      <c r="U298" s="1101">
        <f t="shared" si="157"/>
        <v>6.5290724180294877</v>
      </c>
      <c r="V298" s="1101">
        <f t="shared" si="158"/>
        <v>6.5294547050779723</v>
      </c>
      <c r="W298" s="215">
        <f t="shared" si="159"/>
        <v>22.666666666666664</v>
      </c>
      <c r="X298" s="215">
        <f t="shared" si="160"/>
        <v>27.516992132007175</v>
      </c>
      <c r="Y298" s="1544">
        <f t="shared" si="161"/>
        <v>32.574654850906064</v>
      </c>
      <c r="Z298" s="237"/>
      <c r="AA298" s="237">
        <f t="shared" si="139"/>
        <v>902.76510813052721</v>
      </c>
      <c r="AB298" s="1550">
        <f t="shared" si="140"/>
        <v>664.66081086110057</v>
      </c>
      <c r="AC298" s="237">
        <f t="shared" si="141"/>
        <v>664.66081086110057</v>
      </c>
      <c r="AD298" s="215">
        <f t="shared" si="142"/>
        <v>15.628333333333332</v>
      </c>
      <c r="AE298" s="237">
        <f t="shared" si="162"/>
        <v>1774.5859436995597</v>
      </c>
      <c r="AF298" s="1550">
        <f t="shared" si="163"/>
        <v>1268.6671661399387</v>
      </c>
      <c r="AG298" s="237">
        <f t="shared" si="164"/>
        <v>1268.6671661399387</v>
      </c>
      <c r="AH298" s="237">
        <f t="shared" si="143"/>
        <v>2751.6992132007176</v>
      </c>
      <c r="AI298" s="1550">
        <f t="shared" si="165"/>
        <v>46.104863498661693</v>
      </c>
      <c r="AJ298" s="237">
        <f t="shared" si="166"/>
        <v>46.104863498661693</v>
      </c>
      <c r="AK298" s="1726">
        <f t="shared" si="167"/>
        <v>8.4348244913498238</v>
      </c>
      <c r="AL298" s="1208">
        <f t="shared" si="144"/>
        <v>9.2783069404848071</v>
      </c>
      <c r="AM298" s="1550">
        <f t="shared" si="145"/>
        <v>9.0302509184487967</v>
      </c>
      <c r="AN298" s="1550">
        <f t="shared" si="146"/>
        <v>19.571428571428573</v>
      </c>
    </row>
    <row r="299" spans="1:40" s="238" customFormat="1">
      <c r="A299" s="1136">
        <f t="shared" si="168"/>
        <v>22</v>
      </c>
      <c r="C299" s="215">
        <f t="shared" si="147"/>
        <v>1</v>
      </c>
      <c r="D299" s="215">
        <f t="shared" si="148"/>
        <v>0.5714285714285714</v>
      </c>
      <c r="E299" s="237">
        <f t="shared" si="149"/>
        <v>13714.285714285714</v>
      </c>
      <c r="F299" s="1101">
        <f t="shared" si="150"/>
        <v>0.97857142857142865</v>
      </c>
      <c r="G299" s="237">
        <f t="shared" si="151"/>
        <v>19.571428571428573</v>
      </c>
      <c r="H299" s="237">
        <f t="shared" si="152"/>
        <v>626.97319175201392</v>
      </c>
      <c r="I299" s="237">
        <f t="shared" si="169"/>
        <v>919.11332978102212</v>
      </c>
      <c r="J299" s="237">
        <f t="shared" si="170"/>
        <v>919.22576207040936</v>
      </c>
      <c r="L299" s="237">
        <f t="shared" si="153"/>
        <v>37.714285714285715</v>
      </c>
      <c r="M299" s="237">
        <f t="shared" si="154"/>
        <v>47.714285714285715</v>
      </c>
      <c r="N299" s="1139">
        <f t="shared" si="155"/>
        <v>2.3857142857142857</v>
      </c>
      <c r="O299" s="238">
        <f t="shared" si="156"/>
        <v>5.5</v>
      </c>
      <c r="P299" s="237">
        <f t="shared" si="156"/>
        <v>73.624999999999986</v>
      </c>
      <c r="Q299" s="215">
        <f t="shared" si="136"/>
        <v>9.0276510813052724</v>
      </c>
      <c r="R299" s="1722">
        <f t="shared" si="137"/>
        <v>4.3906976061409928</v>
      </c>
      <c r="S299" s="1543">
        <f t="shared" si="138"/>
        <v>4.8297673667550924</v>
      </c>
      <c r="T299" s="1543">
        <f t="shared" si="172"/>
        <v>5.619444929725641</v>
      </c>
      <c r="U299" s="1101">
        <f t="shared" si="157"/>
        <v>6.7683286611981046</v>
      </c>
      <c r="V299" s="1101">
        <f t="shared" si="158"/>
        <v>6.7685871217790501</v>
      </c>
      <c r="W299" s="215">
        <f t="shared" si="159"/>
        <v>22.666666666666664</v>
      </c>
      <c r="X299" s="215">
        <f t="shared" si="160"/>
        <v>27.516992132007175</v>
      </c>
      <c r="Y299" s="1544">
        <f t="shared" si="161"/>
        <v>33.755970965019173</v>
      </c>
      <c r="Z299" s="237"/>
      <c r="AA299" s="237">
        <f t="shared" si="139"/>
        <v>902.76510813052721</v>
      </c>
      <c r="AB299" s="1550">
        <f t="shared" si="140"/>
        <v>664.66081086110057</v>
      </c>
      <c r="AC299" s="237">
        <f t="shared" si="141"/>
        <v>664.66081086110057</v>
      </c>
      <c r="AD299" s="215">
        <f t="shared" si="142"/>
        <v>15.628333333333332</v>
      </c>
      <c r="AE299" s="237">
        <f t="shared" si="162"/>
        <v>1774.5859436995597</v>
      </c>
      <c r="AF299" s="1550">
        <f t="shared" si="163"/>
        <v>1268.6671661399387</v>
      </c>
      <c r="AG299" s="237">
        <f t="shared" si="164"/>
        <v>1268.6671661399387</v>
      </c>
      <c r="AH299" s="237">
        <f t="shared" si="143"/>
        <v>2751.6992132007176</v>
      </c>
      <c r="AI299" s="1550">
        <f t="shared" si="165"/>
        <v>46.104863498661693</v>
      </c>
      <c r="AJ299" s="237">
        <f t="shared" si="166"/>
        <v>46.104863498661693</v>
      </c>
      <c r="AK299" s="1726">
        <f t="shared" si="167"/>
        <v>8.4348244913498238</v>
      </c>
      <c r="AL299" s="1208">
        <f t="shared" si="144"/>
        <v>9.2783069404848071</v>
      </c>
      <c r="AM299" s="1550">
        <f t="shared" si="145"/>
        <v>10.725831460746436</v>
      </c>
      <c r="AN299" s="1550">
        <f t="shared" si="146"/>
        <v>19.571428571428573</v>
      </c>
    </row>
    <row r="300" spans="1:40" s="238" customFormat="1">
      <c r="A300" s="1136">
        <f t="shared" si="168"/>
        <v>23</v>
      </c>
      <c r="C300" s="215">
        <f t="shared" si="147"/>
        <v>1</v>
      </c>
      <c r="D300" s="215">
        <f t="shared" si="148"/>
        <v>0.5714285714285714</v>
      </c>
      <c r="E300" s="237">
        <f t="shared" si="149"/>
        <v>13714.285714285714</v>
      </c>
      <c r="F300" s="1101">
        <f t="shared" si="150"/>
        <v>0.97857142857142865</v>
      </c>
      <c r="G300" s="237">
        <f t="shared" si="151"/>
        <v>19.571428571428573</v>
      </c>
      <c r="H300" s="237">
        <f t="shared" si="152"/>
        <v>626.97319175201392</v>
      </c>
      <c r="I300" s="237">
        <f t="shared" si="169"/>
        <v>977.94069986872591</v>
      </c>
      <c r="J300" s="237">
        <f t="shared" si="170"/>
        <v>978.01671425359018</v>
      </c>
      <c r="L300" s="237">
        <f t="shared" si="153"/>
        <v>37.714285714285715</v>
      </c>
      <c r="M300" s="237">
        <f t="shared" si="154"/>
        <v>47.714285714285715</v>
      </c>
      <c r="N300" s="1139">
        <f t="shared" si="155"/>
        <v>2.3857142857142857</v>
      </c>
      <c r="O300" s="238">
        <f t="shared" si="156"/>
        <v>5.5</v>
      </c>
      <c r="P300" s="237">
        <f t="shared" si="156"/>
        <v>73.624999999999986</v>
      </c>
      <c r="Q300" s="215">
        <f t="shared" si="136"/>
        <v>9.0276510813052724</v>
      </c>
      <c r="R300" s="1722">
        <f t="shared" si="137"/>
        <v>4.3906976061409928</v>
      </c>
      <c r="S300" s="1543">
        <f t="shared" si="138"/>
        <v>4.8297673667550924</v>
      </c>
      <c r="T300" s="1543">
        <f t="shared" si="172"/>
        <v>5.619444929725641</v>
      </c>
      <c r="U300" s="1101">
        <f t="shared" si="157"/>
        <v>6.9300874962133356</v>
      </c>
      <c r="V300" s="1101">
        <f t="shared" si="158"/>
        <v>6.9302622389156259</v>
      </c>
      <c r="W300" s="215">
        <f t="shared" si="159"/>
        <v>22.666666666666664</v>
      </c>
      <c r="X300" s="215">
        <f t="shared" si="160"/>
        <v>27.516992132007175</v>
      </c>
      <c r="Y300" s="1544">
        <f t="shared" si="161"/>
        <v>34.554184202534572</v>
      </c>
      <c r="Z300" s="237"/>
      <c r="AA300" s="237">
        <f t="shared" si="139"/>
        <v>902.76510813052721</v>
      </c>
      <c r="AB300" s="1550">
        <f t="shared" si="140"/>
        <v>664.66081086110057</v>
      </c>
      <c r="AC300" s="237">
        <f t="shared" si="141"/>
        <v>664.66081086110057</v>
      </c>
      <c r="AD300" s="215">
        <f t="shared" si="142"/>
        <v>15.628333333333332</v>
      </c>
      <c r="AE300" s="237">
        <f t="shared" si="162"/>
        <v>1774.5859436995597</v>
      </c>
      <c r="AF300" s="1550">
        <f t="shared" si="163"/>
        <v>1268.6671661399387</v>
      </c>
      <c r="AG300" s="237">
        <f t="shared" si="164"/>
        <v>1268.6671661399387</v>
      </c>
      <c r="AH300" s="237">
        <f t="shared" si="143"/>
        <v>2751.6992132007176</v>
      </c>
      <c r="AI300" s="1550">
        <f t="shared" si="165"/>
        <v>46.104863498661693</v>
      </c>
      <c r="AJ300" s="237">
        <f t="shared" si="166"/>
        <v>46.104863498661693</v>
      </c>
      <c r="AK300" s="1726">
        <f t="shared" si="167"/>
        <v>8.4348244913498238</v>
      </c>
      <c r="AL300" s="1208">
        <f t="shared" si="144"/>
        <v>9.2783069404848071</v>
      </c>
      <c r="AM300" s="1550">
        <f t="shared" si="145"/>
        <v>10.725831460746436</v>
      </c>
      <c r="AN300" s="1550">
        <f t="shared" si="146"/>
        <v>19.571428571428573</v>
      </c>
    </row>
    <row r="301" spans="1:40" s="238" customFormat="1">
      <c r="A301" s="1136">
        <f t="shared" si="168"/>
        <v>24</v>
      </c>
      <c r="C301" s="215">
        <f t="shared" si="147"/>
        <v>1</v>
      </c>
      <c r="D301" s="215">
        <f t="shared" si="148"/>
        <v>0.5714285714285714</v>
      </c>
      <c r="E301" s="237">
        <f t="shared" si="149"/>
        <v>13714.285714285714</v>
      </c>
      <c r="F301" s="1101">
        <f t="shared" si="150"/>
        <v>0.97857142857142865</v>
      </c>
      <c r="G301" s="237">
        <f t="shared" si="151"/>
        <v>19.571428571428573</v>
      </c>
      <c r="H301" s="237">
        <f t="shared" si="152"/>
        <v>626.97319175201392</v>
      </c>
      <c r="I301" s="237">
        <f t="shared" si="169"/>
        <v>1017.7133165677623</v>
      </c>
      <c r="J301" s="237">
        <f t="shared" si="170"/>
        <v>1017.7647091591413</v>
      </c>
      <c r="L301" s="237">
        <f t="shared" si="153"/>
        <v>37.714285714285715</v>
      </c>
      <c r="M301" s="237">
        <f t="shared" si="154"/>
        <v>47.714285714285715</v>
      </c>
      <c r="N301" s="1139">
        <f t="shared" si="155"/>
        <v>2.3857142857142857</v>
      </c>
      <c r="O301" s="238">
        <f t="shared" si="156"/>
        <v>5.5</v>
      </c>
      <c r="P301" s="237">
        <f t="shared" si="156"/>
        <v>73.624999999999986</v>
      </c>
      <c r="Q301" s="215">
        <f t="shared" si="136"/>
        <v>9.0276510813052724</v>
      </c>
      <c r="R301" s="1722">
        <f t="shared" si="137"/>
        <v>4.3906976061409928</v>
      </c>
      <c r="S301" s="1543">
        <f t="shared" si="138"/>
        <v>4.8297673667550924</v>
      </c>
      <c r="T301" s="1543">
        <f t="shared" si="172"/>
        <v>5.619444929725641</v>
      </c>
      <c r="U301" s="1101">
        <f t="shared" si="157"/>
        <v>7.0394510821283918</v>
      </c>
      <c r="V301" s="1101">
        <f t="shared" si="158"/>
        <v>7.0395692239815597</v>
      </c>
      <c r="W301" s="215">
        <f t="shared" si="159"/>
        <v>22.666666666666664</v>
      </c>
      <c r="X301" s="215">
        <f t="shared" si="160"/>
        <v>27.516992132007175</v>
      </c>
      <c r="Y301" s="1544">
        <f t="shared" si="161"/>
        <v>35.093636901396408</v>
      </c>
      <c r="Z301" s="237"/>
      <c r="AA301" s="237">
        <f t="shared" si="139"/>
        <v>902.76510813052721</v>
      </c>
      <c r="AB301" s="1550">
        <f t="shared" si="140"/>
        <v>664.66081086110057</v>
      </c>
      <c r="AC301" s="237">
        <f t="shared" si="141"/>
        <v>664.66081086110057</v>
      </c>
      <c r="AD301" s="215">
        <f t="shared" si="142"/>
        <v>15.628333333333332</v>
      </c>
      <c r="AE301" s="237">
        <f t="shared" si="162"/>
        <v>1774.5859436995597</v>
      </c>
      <c r="AF301" s="1550">
        <f t="shared" si="163"/>
        <v>1268.6671661399387</v>
      </c>
      <c r="AG301" s="237">
        <f t="shared" si="164"/>
        <v>1268.6671661399387</v>
      </c>
      <c r="AH301" s="237">
        <f t="shared" si="143"/>
        <v>2751.6992132007176</v>
      </c>
      <c r="AI301" s="1550">
        <f t="shared" si="165"/>
        <v>46.104863498661693</v>
      </c>
      <c r="AJ301" s="237">
        <f t="shared" si="166"/>
        <v>46.104863498661693</v>
      </c>
      <c r="AK301" s="1726">
        <f t="shared" si="167"/>
        <v>8.4348244913498238</v>
      </c>
      <c r="AL301" s="1208">
        <f t="shared" si="144"/>
        <v>9.2783069404848071</v>
      </c>
      <c r="AM301" s="1550">
        <f t="shared" si="145"/>
        <v>10.725831460746436</v>
      </c>
      <c r="AN301" s="1550">
        <f t="shared" si="146"/>
        <v>19.571428571428573</v>
      </c>
    </row>
    <row r="302" spans="1:40" s="238" customFormat="1">
      <c r="L302" s="237"/>
      <c r="N302" s="1138"/>
      <c r="T302" s="29"/>
      <c r="U302" s="29"/>
      <c r="V302" s="29"/>
      <c r="W302" s="29"/>
      <c r="X302" s="29"/>
      <c r="AC302" s="29"/>
      <c r="AD302" s="29"/>
      <c r="AE302" s="29"/>
      <c r="AF302" s="29"/>
      <c r="AG302" s="29"/>
    </row>
    <row r="303" spans="1:40" s="238" customFormat="1">
      <c r="A303" s="238" t="s">
        <v>1058</v>
      </c>
      <c r="C303" s="215">
        <f>SUM(C278:C301)</f>
        <v>14.000000000000002</v>
      </c>
      <c r="L303" s="237">
        <f>SUM(L278:L301)</f>
        <v>528</v>
      </c>
      <c r="M303" s="237">
        <f>SUM(M278:M301)</f>
        <v>767.99999999999989</v>
      </c>
      <c r="N303" s="1563">
        <f>SUM(N278:N301)</f>
        <v>38.4</v>
      </c>
      <c r="T303" s="29"/>
      <c r="U303" s="540"/>
      <c r="V303" s="29"/>
      <c r="W303" s="29"/>
      <c r="X303" s="29"/>
      <c r="AC303" s="29"/>
      <c r="AD303" s="29"/>
      <c r="AE303" s="29"/>
      <c r="AF303" s="29"/>
      <c r="AG303" s="29"/>
      <c r="AK303" s="1723"/>
    </row>
    <row r="304" spans="1:40" s="238" customFormat="1">
      <c r="A304" s="238" t="s">
        <v>1458</v>
      </c>
      <c r="C304" s="215">
        <f t="shared" ref="C304:E304" si="177">MAX(C278:C301)</f>
        <v>1</v>
      </c>
      <c r="D304" s="215">
        <f t="shared" si="177"/>
        <v>0.5714285714285714</v>
      </c>
      <c r="E304" s="237">
        <f t="shared" si="177"/>
        <v>13714.285714285714</v>
      </c>
      <c r="F304" s="215">
        <f t="shared" ref="F304" si="178">MAX(F278:F301)</f>
        <v>0.97857142857142865</v>
      </c>
      <c r="G304" s="237">
        <f>MAX(G278:G301)</f>
        <v>19.571428571428573</v>
      </c>
      <c r="H304" s="237">
        <f>MAX(H278:H301)</f>
        <v>626.97319175201392</v>
      </c>
      <c r="I304" s="237">
        <f>MAX(I278:I301)</f>
        <v>1033.8063640962198</v>
      </c>
      <c r="J304" s="237">
        <f>MAX(J278:J301)</f>
        <v>1092.8013840162175</v>
      </c>
      <c r="L304" s="237">
        <f t="shared" ref="L304:M304" si="179">MAX(L278:L301)</f>
        <v>37.714285714285715</v>
      </c>
      <c r="M304" s="237">
        <f t="shared" si="179"/>
        <v>47.714285714285715</v>
      </c>
      <c r="N304" s="1139">
        <f t="shared" ref="N304" si="180">MAX(N278:N301)</f>
        <v>2.3857142857142857</v>
      </c>
      <c r="T304" s="29"/>
      <c r="U304" s="29"/>
      <c r="V304" s="29"/>
      <c r="W304" s="29"/>
      <c r="X304" s="29"/>
      <c r="AC304" s="29"/>
      <c r="AD304" s="29"/>
      <c r="AE304" s="29"/>
      <c r="AF304" s="29"/>
      <c r="AG304" s="29"/>
      <c r="AK304" s="1724"/>
    </row>
    <row r="305" spans="1:33" s="238" customFormat="1">
      <c r="A305" s="238" t="s">
        <v>1459</v>
      </c>
      <c r="C305" s="215">
        <f t="shared" ref="C305:E305" si="181">MIN(C278:C301)</f>
        <v>0</v>
      </c>
      <c r="D305" s="215">
        <f t="shared" si="181"/>
        <v>0</v>
      </c>
      <c r="E305" s="237">
        <f t="shared" si="181"/>
        <v>0</v>
      </c>
      <c r="F305" s="215">
        <f t="shared" ref="F305" si="182">MIN(F278:F301)</f>
        <v>0.97857142857142865</v>
      </c>
      <c r="G305" s="237">
        <f>MIN(G278:G301)</f>
        <v>19.571428571428573</v>
      </c>
      <c r="H305" s="237">
        <f>MIN(H278:H301)</f>
        <v>400</v>
      </c>
      <c r="I305" s="237">
        <f>MIN(I278:I301)</f>
        <v>479.94427971924108</v>
      </c>
      <c r="J305" s="237">
        <f>MIN(J278:J301)</f>
        <v>480.7401960159886</v>
      </c>
      <c r="L305" s="237">
        <f t="shared" ref="L305:M305" si="183">MIN(L278:L301)</f>
        <v>0</v>
      </c>
      <c r="M305" s="237">
        <f t="shared" si="183"/>
        <v>10</v>
      </c>
      <c r="N305" s="1139">
        <f t="shared" ref="N305" si="184">MIN(N278:N301)</f>
        <v>0.5</v>
      </c>
      <c r="T305" s="29"/>
      <c r="U305" s="29"/>
      <c r="V305" s="1544"/>
      <c r="W305" s="29"/>
      <c r="X305" s="29"/>
      <c r="AC305" s="29"/>
      <c r="AD305" s="29"/>
      <c r="AE305" s="29"/>
      <c r="AF305" s="29"/>
      <c r="AG305" s="29"/>
    </row>
    <row r="306" spans="1:33" s="238" customFormat="1">
      <c r="A306" s="238" t="s">
        <v>1660</v>
      </c>
      <c r="F306" s="1101">
        <f>AVERAGE(F278:F301)</f>
        <v>0.97857142857142809</v>
      </c>
      <c r="G306" s="1101">
        <f>AVERAGE(G278:G301)</f>
        <v>19.571428571428566</v>
      </c>
      <c r="H306" s="237">
        <f>AVERAGE(H278:H301)</f>
        <v>532.401028522008</v>
      </c>
      <c r="I306" s="237">
        <f>AVERAGE(I278:I301)</f>
        <v>755.03658202548058</v>
      </c>
      <c r="J306" s="237">
        <f>AVERAGE(J278:J301)</f>
        <v>808.75465447267754</v>
      </c>
      <c r="L306" s="237">
        <f>AVERAGE(L278:L301)</f>
        <v>22</v>
      </c>
      <c r="M306" s="237">
        <f>AVERAGE(M278:M301)</f>
        <v>31.999999999999996</v>
      </c>
      <c r="N306" s="1139">
        <f>AVERAGE(N278:N301)</f>
        <v>1.5999999999999999</v>
      </c>
      <c r="T306" s="29"/>
      <c r="U306" s="29"/>
      <c r="V306" s="29"/>
      <c r="W306" s="29"/>
      <c r="X306" s="29"/>
      <c r="AC306" s="29"/>
      <c r="AD306" s="29"/>
      <c r="AE306" s="29"/>
      <c r="AF306" s="29"/>
      <c r="AG306" s="29"/>
    </row>
    <row r="307" spans="1:33" s="238" customFormat="1">
      <c r="T307" s="29"/>
      <c r="U307" s="29"/>
      <c r="V307" s="29"/>
      <c r="W307" s="29"/>
      <c r="X307" s="29"/>
      <c r="AC307" s="29"/>
      <c r="AD307" s="29"/>
      <c r="AE307" s="29"/>
      <c r="AF307" s="29"/>
      <c r="AG307" s="29"/>
    </row>
    <row r="308" spans="1:33" s="238" customFormat="1">
      <c r="T308" s="29"/>
      <c r="U308" s="29"/>
      <c r="V308" s="29"/>
      <c r="W308" s="29"/>
      <c r="X308" s="29"/>
      <c r="AC308" s="29"/>
      <c r="AD308" s="29"/>
      <c r="AE308" s="29"/>
      <c r="AF308" s="29"/>
      <c r="AG308" s="29"/>
    </row>
    <row r="309" spans="1:33" s="238" customFormat="1">
      <c r="T309" s="29"/>
      <c r="U309" s="29"/>
      <c r="V309" s="29"/>
      <c r="W309" s="29"/>
      <c r="X309" s="29"/>
      <c r="AC309" s="29"/>
      <c r="AD309" s="29"/>
      <c r="AE309" s="29"/>
      <c r="AF309" s="29"/>
      <c r="AG309" s="29"/>
    </row>
    <row r="310" spans="1:33" s="238" customFormat="1">
      <c r="T310" s="29"/>
      <c r="U310" s="29"/>
      <c r="V310" s="29"/>
      <c r="W310" s="29"/>
      <c r="X310" s="29"/>
      <c r="AC310" s="29"/>
      <c r="AD310" s="29"/>
      <c r="AE310" s="29"/>
      <c r="AF310" s="29"/>
      <c r="AG310" s="29"/>
    </row>
    <row r="311" spans="1:33" s="238" customFormat="1">
      <c r="A311" s="212"/>
      <c r="T311" s="29"/>
      <c r="U311" s="29"/>
      <c r="V311" s="29"/>
      <c r="W311" s="29"/>
      <c r="X311" s="29"/>
      <c r="AC311" s="29"/>
      <c r="AD311" s="29"/>
      <c r="AE311" s="29"/>
      <c r="AF311" s="29"/>
      <c r="AG311" s="29"/>
    </row>
    <row r="312" spans="1:33" s="238" customFormat="1">
      <c r="A312" s="212" t="str">
        <f>Begriffe!F415</f>
        <v>CO2-Konzentration, ppm</v>
      </c>
      <c r="T312" s="29"/>
      <c r="U312" s="29"/>
      <c r="V312" s="29"/>
      <c r="W312" s="29"/>
      <c r="X312" s="29"/>
      <c r="AC312" s="29"/>
      <c r="AD312" s="29"/>
      <c r="AE312" s="29"/>
      <c r="AF312" s="29"/>
      <c r="AG312" s="29"/>
    </row>
    <row r="313" spans="1:33" s="238" customFormat="1">
      <c r="A313" s="238" t="str">
        <f>Begriffe!F418</f>
        <v>Personenprofil, -
Aussenluft-Volumenstrom, m3/m2h</v>
      </c>
      <c r="T313" s="29"/>
      <c r="U313" s="29"/>
      <c r="V313" s="29"/>
      <c r="W313" s="29"/>
      <c r="X313" s="29"/>
      <c r="AC313" s="29"/>
      <c r="AD313" s="29"/>
      <c r="AE313" s="29"/>
      <c r="AF313" s="29"/>
      <c r="AG313" s="29"/>
    </row>
    <row r="314" spans="1:33" s="238" customFormat="1">
      <c r="A314" s="238" t="str">
        <f>Begriffe!F417</f>
        <v>Relative Raumluftfeuchte, % r.F.</v>
      </c>
      <c r="T314" s="29"/>
      <c r="U314" s="29"/>
      <c r="V314" s="29"/>
      <c r="W314" s="29"/>
      <c r="X314" s="29"/>
      <c r="AC314" s="29"/>
      <c r="AD314" s="29"/>
      <c r="AE314" s="29"/>
      <c r="AF314" s="29"/>
      <c r="AG314" s="29"/>
    </row>
    <row r="315" spans="1:33" s="238" customFormat="1">
      <c r="T315" s="29"/>
      <c r="U315" s="29"/>
      <c r="V315" s="29"/>
      <c r="W315" s="29"/>
      <c r="X315" s="29"/>
      <c r="AC315" s="29"/>
      <c r="AD315" s="29"/>
      <c r="AE315" s="29"/>
      <c r="AF315" s="29"/>
      <c r="AG315" s="29"/>
    </row>
    <row r="316" spans="1:33" s="238" customFormat="1">
      <c r="T316" s="29"/>
      <c r="U316" s="29"/>
      <c r="V316" s="29"/>
      <c r="W316" s="29"/>
      <c r="X316" s="29"/>
      <c r="AC316" s="29"/>
      <c r="AD316" s="29"/>
      <c r="AE316" s="29"/>
      <c r="AF316" s="29"/>
      <c r="AG316" s="29"/>
    </row>
    <row r="317" spans="1:33" s="238" customFormat="1">
      <c r="T317" s="29"/>
      <c r="U317" s="29"/>
      <c r="V317" s="29"/>
      <c r="W317" s="29"/>
      <c r="X317" s="29"/>
      <c r="AC317" s="29"/>
      <c r="AD317" s="29"/>
      <c r="AE317" s="29"/>
      <c r="AF317" s="29"/>
      <c r="AG317" s="29"/>
    </row>
    <row r="318" spans="1:33" s="238" customFormat="1">
      <c r="T318" s="29"/>
      <c r="U318" s="29"/>
      <c r="V318" s="29"/>
      <c r="W318" s="29"/>
      <c r="X318" s="29"/>
      <c r="AC318" s="29"/>
      <c r="AD318" s="29"/>
      <c r="AE318" s="29"/>
      <c r="AF318" s="29"/>
      <c r="AG318" s="29"/>
    </row>
    <row r="319" spans="1:33" s="238" customFormat="1">
      <c r="T319" s="29"/>
      <c r="U319" s="29"/>
      <c r="V319" s="29"/>
      <c r="W319" s="29"/>
      <c r="X319" s="29"/>
      <c r="AC319" s="29"/>
      <c r="AD319" s="29"/>
      <c r="AE319" s="29"/>
      <c r="AF319" s="29"/>
      <c r="AG319" s="29"/>
    </row>
    <row r="320" spans="1:33" s="238" customFormat="1">
      <c r="T320" s="29"/>
      <c r="U320" s="29"/>
      <c r="V320" s="29"/>
      <c r="W320" s="29"/>
      <c r="X320" s="29"/>
      <c r="AC320" s="29"/>
      <c r="AD320" s="29"/>
      <c r="AE320" s="29"/>
      <c r="AF320" s="29"/>
      <c r="AG320" s="29"/>
    </row>
    <row r="321" spans="1:40" s="238" customFormat="1">
      <c r="T321" s="29"/>
      <c r="U321" s="29"/>
      <c r="V321" s="29"/>
      <c r="W321" s="29"/>
      <c r="X321" s="29"/>
      <c r="AC321" s="29"/>
      <c r="AD321" s="29"/>
      <c r="AE321" s="29"/>
      <c r="AF321" s="29"/>
      <c r="AG321" s="29"/>
    </row>
    <row r="322" spans="1:40" s="238" customFormat="1">
      <c r="T322" s="29"/>
      <c r="U322" s="29"/>
      <c r="V322" s="29"/>
      <c r="W322" s="29"/>
      <c r="X322" s="29"/>
      <c r="AC322" s="29"/>
      <c r="AD322" s="29"/>
      <c r="AE322" s="29"/>
      <c r="AF322" s="29"/>
      <c r="AG322" s="29"/>
    </row>
    <row r="323" spans="1:40" s="238" customFormat="1">
      <c r="T323" s="29"/>
      <c r="U323" s="29"/>
      <c r="V323" s="29"/>
      <c r="W323" s="29"/>
      <c r="X323" s="29"/>
      <c r="AC323" s="29"/>
      <c r="AD323" s="29"/>
      <c r="AE323" s="29"/>
      <c r="AF323" s="29"/>
      <c r="AG323" s="29"/>
    </row>
    <row r="324" spans="1:40" s="238" customFormat="1">
      <c r="T324" s="29"/>
      <c r="U324" s="29"/>
      <c r="V324" s="29"/>
      <c r="W324" s="29"/>
      <c r="X324" s="29"/>
      <c r="AC324" s="29"/>
      <c r="AD324" s="29"/>
      <c r="AE324" s="29"/>
      <c r="AF324" s="29"/>
      <c r="AG324" s="29"/>
    </row>
    <row r="325" spans="1:40" s="238" customFormat="1">
      <c r="T325" s="29"/>
      <c r="U325" s="29"/>
      <c r="V325" s="29"/>
      <c r="W325" s="29"/>
      <c r="X325" s="29"/>
      <c r="AC325" s="29"/>
      <c r="AD325" s="29"/>
      <c r="AE325" s="29"/>
      <c r="AF325" s="29"/>
      <c r="AG325" s="29"/>
    </row>
    <row r="326" spans="1:40" s="238" customFormat="1">
      <c r="T326" s="29"/>
      <c r="U326" s="29"/>
      <c r="V326" s="29"/>
      <c r="W326" s="29"/>
      <c r="X326" s="29"/>
      <c r="AC326" s="29"/>
      <c r="AD326" s="29"/>
      <c r="AE326" s="29"/>
      <c r="AF326" s="29"/>
      <c r="AG326" s="29"/>
    </row>
    <row r="327" spans="1:40" s="238" customFormat="1">
      <c r="T327" s="29"/>
      <c r="U327" s="29"/>
      <c r="V327" s="29"/>
      <c r="W327" s="29"/>
      <c r="X327" s="29"/>
      <c r="AC327" s="29"/>
      <c r="AD327" s="29"/>
      <c r="AE327" s="29"/>
      <c r="AF327" s="29"/>
      <c r="AG327" s="29"/>
    </row>
    <row r="328" spans="1:40" s="238" customFormat="1">
      <c r="T328" s="29"/>
      <c r="U328" s="29"/>
      <c r="V328" s="29"/>
      <c r="W328" s="29"/>
      <c r="X328" s="29"/>
      <c r="AC328" s="29"/>
      <c r="AD328" s="29"/>
      <c r="AE328" s="29"/>
      <c r="AF328" s="29"/>
      <c r="AG328" s="29"/>
    </row>
    <row r="329" spans="1:40" s="238" customFormat="1">
      <c r="T329" s="29"/>
      <c r="U329" s="29"/>
      <c r="V329" s="29"/>
      <c r="W329" s="29"/>
      <c r="X329" s="29"/>
      <c r="AC329" s="29"/>
      <c r="AD329" s="29"/>
      <c r="AE329" s="29"/>
      <c r="AF329" s="29"/>
      <c r="AG329" s="29"/>
    </row>
    <row r="330" spans="1:40" s="238" customFormat="1" ht="15.45">
      <c r="A330" s="1135" t="s">
        <v>1858</v>
      </c>
      <c r="B330" s="367"/>
      <c r="C330" s="367"/>
      <c r="D330" s="367"/>
      <c r="E330" s="1542" t="s">
        <v>1592</v>
      </c>
      <c r="F330" s="367"/>
      <c r="G330" s="367"/>
      <c r="H330" s="367"/>
      <c r="I330" s="367"/>
      <c r="J330" s="367"/>
      <c r="K330" s="210"/>
      <c r="L330" s="1542" t="s">
        <v>1626</v>
      </c>
      <c r="M330" s="367"/>
      <c r="N330" s="367"/>
      <c r="O330" s="367"/>
      <c r="P330" s="367"/>
      <c r="Q330" s="367"/>
      <c r="R330" s="367"/>
      <c r="S330" s="367"/>
      <c r="T330" s="1134"/>
      <c r="U330" s="1134"/>
      <c r="V330" s="1134"/>
      <c r="W330" s="1134"/>
      <c r="X330" s="1134"/>
      <c r="Y330" s="1134"/>
      <c r="Z330" s="1134"/>
      <c r="AA330" s="1354" t="s">
        <v>1644</v>
      </c>
      <c r="AB330" s="230"/>
      <c r="AC330" s="230"/>
      <c r="AD330" s="1546"/>
      <c r="AE330" s="1546"/>
      <c r="AF330" s="230"/>
      <c r="AG330" s="230"/>
      <c r="AH330" s="230"/>
      <c r="AI330" s="230"/>
      <c r="AJ330" s="230"/>
      <c r="AK330" s="1546"/>
      <c r="AL330" s="1546"/>
      <c r="AM330" s="1546"/>
      <c r="AN330" s="1546"/>
    </row>
    <row r="331" spans="1:40" s="238" customFormat="1">
      <c r="A331" s="367"/>
      <c r="B331" s="367"/>
      <c r="C331" s="367"/>
      <c r="D331" s="367"/>
      <c r="E331" s="367"/>
      <c r="F331" s="367"/>
      <c r="G331" s="367"/>
      <c r="H331" s="367"/>
      <c r="I331" s="367"/>
      <c r="J331" s="367"/>
      <c r="K331" s="210"/>
      <c r="L331" s="367"/>
      <c r="M331" s="367"/>
      <c r="N331" s="367"/>
      <c r="O331" s="367"/>
      <c r="P331" s="367"/>
      <c r="Q331" s="367"/>
      <c r="R331" s="367"/>
      <c r="S331" s="367"/>
      <c r="T331" s="1134"/>
      <c r="U331" s="1134"/>
      <c r="V331" s="1134"/>
      <c r="W331" s="1134"/>
      <c r="X331" s="1134"/>
      <c r="Y331" s="1134"/>
      <c r="Z331" s="1134"/>
      <c r="AA331" s="230"/>
      <c r="AB331" s="230"/>
      <c r="AC331" s="230"/>
      <c r="AD331" s="230" t="s">
        <v>1631</v>
      </c>
      <c r="AE331" s="1547">
        <v>0.59</v>
      </c>
      <c r="AF331" s="230"/>
      <c r="AG331" s="230"/>
      <c r="AH331" s="230"/>
      <c r="AI331" s="230"/>
      <c r="AJ331" s="230"/>
      <c r="AK331" s="1546"/>
      <c r="AL331" s="1546"/>
      <c r="AM331" s="1546"/>
      <c r="AN331" s="1546"/>
    </row>
    <row r="332" spans="1:40" s="238" customFormat="1">
      <c r="A332" s="210"/>
      <c r="C332" s="238" t="str">
        <f>Begriffe!F88</f>
        <v>Personenprofil</v>
      </c>
      <c r="D332" s="238" t="s">
        <v>10</v>
      </c>
      <c r="E332" s="238" t="s">
        <v>1592</v>
      </c>
      <c r="F332" s="238" t="str">
        <f>Begriffe!F30</f>
        <v>Aussenluft-Volumenstrom</v>
      </c>
      <c r="G332" s="238" t="s">
        <v>1434</v>
      </c>
      <c r="H332" s="238" t="s">
        <v>1619</v>
      </c>
      <c r="I332" s="238" t="s">
        <v>1619</v>
      </c>
      <c r="J332" s="238" t="str">
        <f>Begriffe!F414</f>
        <v>CO2-Konzentration</v>
      </c>
      <c r="L332" s="238" t="s">
        <v>1633</v>
      </c>
      <c r="M332" s="238" t="s">
        <v>1633</v>
      </c>
      <c r="N332" s="1138" t="s">
        <v>1633</v>
      </c>
      <c r="O332" s="238" t="s">
        <v>1636</v>
      </c>
      <c r="P332" s="238" t="s">
        <v>1643</v>
      </c>
      <c r="Q332" s="238" t="s">
        <v>1994</v>
      </c>
      <c r="R332" s="540" t="s">
        <v>1638</v>
      </c>
      <c r="S332" s="540" t="s">
        <v>1637</v>
      </c>
      <c r="T332" s="540" t="s">
        <v>1662</v>
      </c>
      <c r="U332" s="540" t="s">
        <v>1662</v>
      </c>
      <c r="V332" s="540" t="s">
        <v>1662</v>
      </c>
      <c r="W332" s="540" t="s">
        <v>1632</v>
      </c>
      <c r="X332" s="238" t="s">
        <v>1995</v>
      </c>
      <c r="Y332" s="540" t="str">
        <f>Begriffe!$F$97</f>
        <v xml:space="preserve">Relative Raumluftfeuchte </v>
      </c>
      <c r="AA332" s="238" t="s">
        <v>1627</v>
      </c>
      <c r="AB332" s="1549" t="s">
        <v>1641</v>
      </c>
      <c r="AC332" s="238" t="s">
        <v>1642</v>
      </c>
      <c r="AD332" s="238" t="s">
        <v>1629</v>
      </c>
      <c r="AE332" s="238" t="s">
        <v>1630</v>
      </c>
      <c r="AF332" s="1549" t="s">
        <v>1648</v>
      </c>
      <c r="AG332" s="238" t="s">
        <v>1649</v>
      </c>
      <c r="AH332" s="238" t="s">
        <v>1645</v>
      </c>
      <c r="AI332" s="1549" t="s">
        <v>1650</v>
      </c>
      <c r="AJ332" s="238" t="str">
        <f>Begriffe!$F$416</f>
        <v>Max. zulässige Raumluftfeuchte</v>
      </c>
      <c r="AK332" s="1138" t="s">
        <v>1663</v>
      </c>
      <c r="AL332" s="1138" t="s">
        <v>1664</v>
      </c>
      <c r="AM332" s="1138" t="s">
        <v>1666</v>
      </c>
      <c r="AN332" s="1138" t="s">
        <v>1665</v>
      </c>
    </row>
    <row r="333" spans="1:40" s="238" customFormat="1">
      <c r="A333" s="215" t="s">
        <v>28</v>
      </c>
      <c r="E333" s="238" t="s">
        <v>1613</v>
      </c>
      <c r="H333" s="238" t="s">
        <v>1621</v>
      </c>
      <c r="I333" s="238" t="s">
        <v>1622</v>
      </c>
      <c r="J333" s="238" t="s">
        <v>1624</v>
      </c>
      <c r="L333" s="238" t="s">
        <v>10</v>
      </c>
      <c r="M333" s="238" t="s">
        <v>1058</v>
      </c>
      <c r="N333" s="1138" t="s">
        <v>1058</v>
      </c>
      <c r="R333" s="29"/>
      <c r="S333" s="29"/>
      <c r="T333" s="238" t="s">
        <v>1621</v>
      </c>
      <c r="U333" s="238" t="s">
        <v>1622</v>
      </c>
      <c r="V333" s="238" t="s">
        <v>1624</v>
      </c>
      <c r="W333" s="29"/>
      <c r="Y333" s="29"/>
      <c r="AB333" s="1549"/>
      <c r="AF333" s="1549"/>
      <c r="AI333" s="1549"/>
      <c r="AJ333" s="238" t="s">
        <v>1651</v>
      </c>
      <c r="AK333" s="1138"/>
      <c r="AL333" s="1138"/>
      <c r="AM333" s="1138"/>
      <c r="AN333" s="1138"/>
    </row>
    <row r="334" spans="1:40" s="238" customFormat="1">
      <c r="A334" s="210"/>
      <c r="B334" s="210"/>
      <c r="C334" s="1101" t="s">
        <v>102</v>
      </c>
      <c r="D334" s="1101" t="s">
        <v>1611</v>
      </c>
      <c r="E334" s="210"/>
      <c r="G334" s="238" t="s">
        <v>1617</v>
      </c>
      <c r="H334" s="238" t="s">
        <v>1623</v>
      </c>
      <c r="I334" s="238" t="s">
        <v>1623</v>
      </c>
      <c r="J334" s="238" t="s">
        <v>1623</v>
      </c>
      <c r="M334" s="238" t="s">
        <v>1635</v>
      </c>
      <c r="N334" s="1138" t="s">
        <v>1635</v>
      </c>
      <c r="O334" s="1786" t="str">
        <f>'Eigene Nutzung'!L212</f>
        <v>Jan</v>
      </c>
      <c r="R334" s="540" t="s">
        <v>1854</v>
      </c>
      <c r="S334" s="540" t="s">
        <v>1646</v>
      </c>
      <c r="T334" s="29"/>
      <c r="U334" s="238" t="s">
        <v>1667</v>
      </c>
      <c r="V334" s="238" t="s">
        <v>1667</v>
      </c>
      <c r="W334" s="29"/>
      <c r="Y334" s="540"/>
      <c r="AB334" s="1549"/>
      <c r="AF334" s="1549"/>
      <c r="AI334" s="1549"/>
      <c r="AK334" s="1340"/>
      <c r="AL334" s="1138"/>
      <c r="AM334" s="1138"/>
      <c r="AN334" s="1138"/>
    </row>
    <row r="335" spans="1:40" s="238" customFormat="1">
      <c r="A335" s="210"/>
      <c r="B335" s="210"/>
      <c r="C335" s="238" t="s">
        <v>209</v>
      </c>
      <c r="D335" s="238" t="s">
        <v>209</v>
      </c>
      <c r="E335" s="238" t="s">
        <v>1615</v>
      </c>
      <c r="G335" s="238" t="s">
        <v>1618</v>
      </c>
      <c r="H335" s="238" t="s">
        <v>1620</v>
      </c>
      <c r="I335" s="238" t="s">
        <v>1620</v>
      </c>
      <c r="J335" s="238" t="s">
        <v>1620</v>
      </c>
      <c r="L335" s="238" t="s">
        <v>1659</v>
      </c>
      <c r="M335" s="238" t="s">
        <v>853</v>
      </c>
      <c r="N335" s="1138"/>
      <c r="O335" s="238" t="s">
        <v>3</v>
      </c>
      <c r="P335" s="238" t="s">
        <v>5</v>
      </c>
      <c r="R335" s="540" t="s">
        <v>1855</v>
      </c>
      <c r="S335" s="540" t="s">
        <v>1647</v>
      </c>
      <c r="T335" s="29"/>
      <c r="U335" s="238" t="s">
        <v>1639</v>
      </c>
      <c r="V335" s="238" t="s">
        <v>1639</v>
      </c>
      <c r="W335" s="238" t="s">
        <v>3</v>
      </c>
      <c r="Y335" s="540"/>
      <c r="AB335" s="1549"/>
      <c r="AD335" s="29"/>
      <c r="AE335" s="29"/>
      <c r="AF335" s="1360" t="s">
        <v>1997</v>
      </c>
      <c r="AI335" s="1551"/>
      <c r="AJ335" s="29"/>
      <c r="AK335" s="1340"/>
      <c r="AL335" s="1138"/>
      <c r="AM335" s="1138"/>
      <c r="AN335" s="1138"/>
    </row>
    <row r="336" spans="1:40" s="238" customFormat="1">
      <c r="A336" s="210"/>
      <c r="B336" s="210"/>
      <c r="C336" s="237">
        <f>'Eigene Nutzung'!M58</f>
        <v>35</v>
      </c>
      <c r="D336" s="237">
        <f>'Eigene Nutzung'!M13</f>
        <v>20</v>
      </c>
      <c r="E336" s="1396">
        <f>20*'Eigene Nutzung'!M$59</f>
        <v>24</v>
      </c>
      <c r="G336" s="238">
        <f>D336*'Eigene Nutzung'!M12</f>
        <v>50</v>
      </c>
      <c r="H336" s="1545">
        <v>400</v>
      </c>
      <c r="I336" s="1545">
        <v>400</v>
      </c>
      <c r="J336" s="237">
        <f>I362</f>
        <v>1017.7133165677623</v>
      </c>
      <c r="L336" s="237">
        <f>'Eigene Nutzung'!H67</f>
        <v>66</v>
      </c>
      <c r="M336" s="238">
        <f>'Eigene Nutzung'!M68</f>
        <v>0.5</v>
      </c>
      <c r="N336" s="1138"/>
      <c r="O336" s="238">
        <f>INDEX(Profile!$AS$339:$BD$343,2,MATCH(O334,Profile!AS$339:BD$339,0))</f>
        <v>-1.2</v>
      </c>
      <c r="P336" s="237">
        <f>INDEX(Profile!$AS$339:$BD$343,5,MATCH(O334,Profile!AS$339:BD$339,0))</f>
        <v>75.3</v>
      </c>
      <c r="R336" s="1544" cm="1">
        <f t="array" ref="R336">INDEX(Winter_Auslegung!D5:D44,'Eigene Nutzung'!$G$1)</f>
        <v>864.42769071035002</v>
      </c>
      <c r="S336" s="1548">
        <v>1.1000000000000001</v>
      </c>
      <c r="T336" s="29"/>
      <c r="U336" s="1564">
        <f>T362</f>
        <v>4.1002085286555605</v>
      </c>
      <c r="V336" s="1564">
        <f>U362</f>
        <v>5.5202146810583113</v>
      </c>
      <c r="W336" s="215">
        <f>INDEX(Profile!$AS$338:$BD$344,7,MATCH(Profile!O334,Profile!AS$339:BD$339,0))</f>
        <v>21</v>
      </c>
      <c r="Y336" s="1544"/>
      <c r="AB336" s="1549"/>
      <c r="AD336" s="29"/>
      <c r="AE336" s="29"/>
      <c r="AI336" s="1551"/>
      <c r="AJ336" s="29"/>
      <c r="AK336" s="1343"/>
      <c r="AL336" s="1138"/>
      <c r="AM336" s="1138"/>
      <c r="AN336" s="1138"/>
    </row>
    <row r="337" spans="1:58" s="238" customFormat="1">
      <c r="A337" s="210"/>
      <c r="B337" s="210"/>
      <c r="C337" s="215"/>
      <c r="D337" s="215"/>
      <c r="G337" s="237"/>
      <c r="N337" s="1138"/>
      <c r="R337" s="29"/>
      <c r="S337" s="29"/>
      <c r="T337" s="29"/>
      <c r="W337" s="29"/>
      <c r="Y337" s="29"/>
      <c r="AB337" s="1549"/>
      <c r="AD337" s="29"/>
      <c r="AE337" s="29"/>
      <c r="AF337" s="1551"/>
      <c r="AI337" s="1551"/>
      <c r="AJ337" s="29"/>
      <c r="AK337" s="1138"/>
      <c r="AL337" s="1138"/>
      <c r="AM337" s="1138"/>
      <c r="AN337" s="1138"/>
    </row>
    <row r="338" spans="1:58" s="238" customFormat="1">
      <c r="A338" s="215" t="s">
        <v>14</v>
      </c>
      <c r="C338" s="238" t="s">
        <v>16</v>
      </c>
      <c r="D338" s="238" t="s">
        <v>1612</v>
      </c>
      <c r="E338" s="238" t="s">
        <v>1614</v>
      </c>
      <c r="F338" s="238" t="s">
        <v>301</v>
      </c>
      <c r="G338" s="238" t="s">
        <v>1616</v>
      </c>
      <c r="H338" s="238" t="s">
        <v>1620</v>
      </c>
      <c r="I338" s="238" t="s">
        <v>1620</v>
      </c>
      <c r="J338" s="238" t="s">
        <v>1620</v>
      </c>
      <c r="L338" s="238" t="s">
        <v>1634</v>
      </c>
      <c r="M338" s="238" t="s">
        <v>1634</v>
      </c>
      <c r="N338" s="1138" t="s">
        <v>853</v>
      </c>
      <c r="O338" s="238" t="s">
        <v>3</v>
      </c>
      <c r="P338" s="238" t="s">
        <v>5</v>
      </c>
      <c r="Q338" s="238" t="s">
        <v>1855</v>
      </c>
      <c r="R338" s="540" t="s">
        <v>1216</v>
      </c>
      <c r="S338" s="540" t="s">
        <v>1639</v>
      </c>
      <c r="T338" s="540" t="s">
        <v>1639</v>
      </c>
      <c r="U338" s="540" t="s">
        <v>1639</v>
      </c>
      <c r="V338" s="540" t="s">
        <v>1639</v>
      </c>
      <c r="W338" s="540" t="s">
        <v>3</v>
      </c>
      <c r="X338" s="238" t="s">
        <v>1855</v>
      </c>
      <c r="Y338" s="540" t="s">
        <v>5</v>
      </c>
      <c r="AA338" s="238" t="s">
        <v>1628</v>
      </c>
      <c r="AB338" s="1549" t="s">
        <v>1628</v>
      </c>
      <c r="AC338" s="238" t="s">
        <v>1628</v>
      </c>
      <c r="AD338" s="238" t="s">
        <v>3</v>
      </c>
      <c r="AE338" s="238" t="s">
        <v>1628</v>
      </c>
      <c r="AF338" s="1549" t="s">
        <v>1628</v>
      </c>
      <c r="AG338" s="238" t="s">
        <v>1628</v>
      </c>
      <c r="AH338" s="238" t="s">
        <v>1628</v>
      </c>
      <c r="AI338" s="1549" t="s">
        <v>5</v>
      </c>
      <c r="AJ338" s="238" t="s">
        <v>5</v>
      </c>
      <c r="AK338" s="1340" t="s">
        <v>1216</v>
      </c>
      <c r="AL338" s="1340" t="s">
        <v>1639</v>
      </c>
      <c r="AM338" s="1138" t="s">
        <v>1616</v>
      </c>
      <c r="AN338" s="1138" t="s">
        <v>1616</v>
      </c>
      <c r="AQ338"/>
      <c r="AR338"/>
      <c r="AS338" s="379" t="s">
        <v>1661</v>
      </c>
      <c r="AT338"/>
      <c r="AU338"/>
      <c r="AV338"/>
      <c r="AW338"/>
      <c r="AX338"/>
      <c r="AY338"/>
      <c r="AZ338"/>
      <c r="BA338"/>
      <c r="BB338"/>
      <c r="BC338"/>
      <c r="BD338"/>
      <c r="BE338" s="379" t="s">
        <v>1376</v>
      </c>
      <c r="BF338"/>
    </row>
    <row r="339" spans="1:58" s="238" customFormat="1">
      <c r="A339" s="1136">
        <v>1</v>
      </c>
      <c r="C339" s="215">
        <f>B63</f>
        <v>1</v>
      </c>
      <c r="D339" s="215">
        <f>IF(C$336=0,0,C339*D$336/C$336)</f>
        <v>0.5714285714285714</v>
      </c>
      <c r="E339" s="237">
        <f>D339*E$336*1000</f>
        <v>13714.285714285714</v>
      </c>
      <c r="F339" s="1101">
        <f>K238+N238</f>
        <v>0.97857142857142865</v>
      </c>
      <c r="G339" s="237">
        <f>F339*D$336</f>
        <v>19.571428571428573</v>
      </c>
      <c r="H339" s="237">
        <f>H$336+IF(G339=0,0,E339/G339*(1-EXP(-G339/G$336)))</f>
        <v>626.97319175201392</v>
      </c>
      <c r="I339" s="1395">
        <f>(H$336-IF(G339=0,0,E339/G339)-I$336)*EXP(-G339/G$336)+IF(G339=0,0,E339/G339)+I$336</f>
        <v>626.97319175201392</v>
      </c>
      <c r="J339" s="1395">
        <f>(J$336-IF(G339=0,0,E339/G339)-I$336)*EXP(-G339/G$336)+IF(G339=0,0,E339/G339)+I$336</f>
        <v>1044.6031985517793</v>
      </c>
      <c r="L339" s="237">
        <f>L$336*D339</f>
        <v>37.714285714285715</v>
      </c>
      <c r="M339" s="237">
        <f>L339+M$336*D$336</f>
        <v>47.714285714285715</v>
      </c>
      <c r="N339" s="1139">
        <f>M339/D$336</f>
        <v>2.3857142857142857</v>
      </c>
      <c r="O339" s="1545">
        <f>O336</f>
        <v>-1.2</v>
      </c>
      <c r="P339" s="1349">
        <f>P336</f>
        <v>75.3</v>
      </c>
      <c r="Q339" s="215">
        <f t="shared" ref="Q339:Q362" si="185">IF(O339&gt;=0,610.5*EXP(17.269*O339/(237.3+O339)),610.5*EXP(21.875*O339/(265.5+O339)))/100</f>
        <v>5.5277958291092082</v>
      </c>
      <c r="R339" s="1543">
        <f t="shared" ref="R339:R362" si="186">(P339%*622*Q339)/($R$336-P339%*Q339)</f>
        <v>3.0095736051681925</v>
      </c>
      <c r="S339" s="1543">
        <f>R339*$S$336</f>
        <v>3.3105309656850119</v>
      </c>
      <c r="T339" s="1565">
        <f>S339+IF(G339=0,0,M339/G339*(1-EXP(-G339/G$336)))</f>
        <v>4.1002085286555605</v>
      </c>
      <c r="U339" s="1566">
        <f>($U$336-IF($G339=0,0,$M339/$G339)-S339)*EXP(-$G339/$G$336)+IF($G339=0,0,$M339/$G339)+S339</f>
        <v>4.6341019014347999</v>
      </c>
      <c r="V339" s="1566">
        <f>($V$336-IF($G339=0,0,$M339/$G339)-S339)*EXP(-$G339/$G$336)+IF($G339=0,0,$M339/$G339)+S339</f>
        <v>5.5941543451457392</v>
      </c>
      <c r="W339" s="1727">
        <f>W336</f>
        <v>21</v>
      </c>
      <c r="X339" s="215">
        <f>IF(W339&gt;=0,610.5*EXP(17.269*W339/(237.3+W339)),610.5*EXP(21.875*W339/(265.5+W339)))/100</f>
        <v>24.855817938155223</v>
      </c>
      <c r="Y339" s="1544">
        <f>MIN(100,(V339/$S$336*$R$336)/(X339%*(622+V339/$S$336)))</f>
        <v>28.204314335350944</v>
      </c>
      <c r="AA339" s="237">
        <f t="shared" ref="AA339:AA362" si="187">IF(O339&gt;=0,610.5*EXP(17.269*O339/(237.3+O339)),610.5*EXP(21.875*O339/(265.5+O339)))</f>
        <v>552.77958291092079</v>
      </c>
      <c r="AB339" s="1550">
        <f t="shared" ref="AB339:AB362" si="188">(0.75-0.0025*O339)*AA339</f>
        <v>416.24302593192334</v>
      </c>
      <c r="AC339" s="237">
        <f t="shared" ref="AC339:AC362" si="189">AA339*P339%</f>
        <v>416.24302593192334</v>
      </c>
      <c r="AD339" s="215">
        <f t="shared" ref="AD339:AD362" si="190">O339+$AE$270*(W339-O339)</f>
        <v>11.898</v>
      </c>
      <c r="AE339" s="237">
        <f>IF(AD339&gt;=0,610.5*EXP(17.269*AD339/(237.3+AD339)),610.5*EXP(21.875*AD339/(265.5+AD339)))</f>
        <v>1392.4075437655936</v>
      </c>
      <c r="AF339" s="1550">
        <f>0.2*AB339+0.8*0.8*AE339</f>
        <v>974.38943319636473</v>
      </c>
      <c r="AG339" s="237">
        <f>0.2*AC339+0.8*0.8*AE339</f>
        <v>974.38943319636473</v>
      </c>
      <c r="AH339" s="237">
        <f t="shared" ref="AH339:AH362" si="191">IF(W339&gt;=0,610.5*EXP(17.269*W339/(237.3+W339)),610.5*EXP(21.875*W339/(265.5+W339)))</f>
        <v>2485.5817938155224</v>
      </c>
      <c r="AI339" s="1550">
        <f t="shared" ref="AI339:AI362" si="192">AF339/AH339%</f>
        <v>39.201664399891527</v>
      </c>
      <c r="AJ339" s="237">
        <f>AG339/AH339%</f>
        <v>39.201664399891527</v>
      </c>
      <c r="AK339" s="1726">
        <f>(AJ339%*622*X339)/($R$336-AJ339%*X339)</f>
        <v>7.0911631882607846</v>
      </c>
      <c r="AL339" s="1139">
        <f t="shared" ref="AL339:AL362" si="193">AK339*$S$275</f>
        <v>7.8002795070868638</v>
      </c>
      <c r="AM339" s="1563">
        <f t="shared" ref="AM339:AM362" si="194">M339/(AL339-S339)</f>
        <v>10.627384868950299</v>
      </c>
      <c r="AN339" s="1563">
        <f t="shared" ref="AN339:AN362" si="195">G339</f>
        <v>19.571428571428573</v>
      </c>
      <c r="AQ339" s="1333" t="str">
        <f>F2</f>
        <v>Adelboden</v>
      </c>
      <c r="AR339"/>
      <c r="AS339" t="str">
        <f>Begriffe!$F391</f>
        <v>Jan</v>
      </c>
      <c r="AT339" t="str">
        <f>Begriffe!$F392</f>
        <v>Feb</v>
      </c>
      <c r="AU339" t="str">
        <f>Begriffe!$F393</f>
        <v>Mrz</v>
      </c>
      <c r="AV339" t="str">
        <f>Begriffe!$F394</f>
        <v>Apr</v>
      </c>
      <c r="AW339" t="str">
        <f>Begriffe!$F395</f>
        <v>Mai</v>
      </c>
      <c r="AX339" t="str">
        <f>Begriffe!$F396</f>
        <v>Jun</v>
      </c>
      <c r="AY339" t="str">
        <f>Begriffe!$F397</f>
        <v>Jul</v>
      </c>
      <c r="AZ339" t="str">
        <f>Begriffe!$F398</f>
        <v>Aug</v>
      </c>
      <c r="BA339" t="str">
        <f>Begriffe!$F399</f>
        <v>Sep</v>
      </c>
      <c r="BB339" t="str">
        <f>Begriffe!$F400</f>
        <v>Okt</v>
      </c>
      <c r="BC339" t="str">
        <f>Begriffe!$F401</f>
        <v>Nov</v>
      </c>
      <c r="BD339" t="str">
        <f>Begriffe!$F402</f>
        <v>Dez</v>
      </c>
      <c r="BE339" s="379" t="s">
        <v>4</v>
      </c>
      <c r="BF339" s="379" t="s">
        <v>2</v>
      </c>
    </row>
    <row r="340" spans="1:58" s="238" customFormat="1">
      <c r="A340" s="1136">
        <f>A339+1</f>
        <v>2</v>
      </c>
      <c r="C340" s="215">
        <f t="shared" ref="C340:C362" si="196">B64</f>
        <v>1</v>
      </c>
      <c r="D340" s="215">
        <f t="shared" ref="D340:D362" si="197">IF(C$336=0,0,C340*D$336/C$336)</f>
        <v>0.5714285714285714</v>
      </c>
      <c r="E340" s="237">
        <f t="shared" ref="E340:E362" si="198">D340*E$336*1000</f>
        <v>13714.285714285714</v>
      </c>
      <c r="F340" s="1101">
        <f t="shared" ref="F340:F362" si="199">K239+N239</f>
        <v>0.97857142857142865</v>
      </c>
      <c r="G340" s="237">
        <f t="shared" ref="G340:G362" si="200">F340*D$336</f>
        <v>19.571428571428573</v>
      </c>
      <c r="H340" s="237">
        <f t="shared" ref="H340:H362" si="201">H$336+IF(G340=0,0,E340/G340*(1-EXP(-G340/G$336)))</f>
        <v>626.97319175201392</v>
      </c>
      <c r="I340" s="237">
        <f>(I339-IF(G340=0,0,E340/G340)-I$336)*EXP(-G340/G$336)+IF(G340=0,0,E340/G340)+I$275</f>
        <v>780.42757434724433</v>
      </c>
      <c r="J340" s="237">
        <f>(J339-IF(G340=0,0,E340/G340)-I$336)*EXP(-G340/G$336)+IF(G340=0,0,E340/G340)+I$336</f>
        <v>1062.7831880301155</v>
      </c>
      <c r="L340" s="237">
        <f t="shared" ref="L340:L362" si="202">L$336*D340</f>
        <v>37.714285714285715</v>
      </c>
      <c r="M340" s="237">
        <f t="shared" ref="M340:M362" si="203">L340+M$336*D$336</f>
        <v>47.714285714285715</v>
      </c>
      <c r="N340" s="1139">
        <f t="shared" ref="N340:N362" si="204">M340/D$336</f>
        <v>2.3857142857142857</v>
      </c>
      <c r="O340" s="238">
        <f>O$339</f>
        <v>-1.2</v>
      </c>
      <c r="P340" s="237">
        <f>P$339</f>
        <v>75.3</v>
      </c>
      <c r="Q340" s="215">
        <f t="shared" si="185"/>
        <v>5.5277958291092082</v>
      </c>
      <c r="R340" s="1543">
        <f t="shared" si="186"/>
        <v>3.0095736051681925</v>
      </c>
      <c r="S340" s="1543">
        <f t="shared" ref="S340:S362" si="205">R340*$S$336</f>
        <v>3.3105309656850119</v>
      </c>
      <c r="T340" s="1543">
        <f>S339+IF(G340=0,0,M340/G340*(1-EXP(-G340/G$336)))</f>
        <v>4.1002085286555605</v>
      </c>
      <c r="U340" s="1101">
        <f>(U339-IF(G340=0,0,M340/G340)-S340)*EXP(-G340/G$336)+IF(G340=0,0,M340/G340)+S340</f>
        <v>4.9950620538612434</v>
      </c>
      <c r="V340" s="1101">
        <f>($V339-IF($G340=0,0,$M340/$G340)-S340)*EXP(-$G340/$G$336)+IF($G340=0,0,$M340/$G340)+S340</f>
        <v>5.6441442378473932</v>
      </c>
      <c r="W340" s="215">
        <f>W$339</f>
        <v>21</v>
      </c>
      <c r="X340" s="215">
        <f t="shared" ref="X340:X362" si="206">IF(W340&gt;=0,610.5*EXP(17.269*W340/(237.3+W340)),610.5*EXP(21.875*W340/(265.5+W340)))/100</f>
        <v>24.855817938155223</v>
      </c>
      <c r="Y340" s="1544">
        <f t="shared" ref="Y340:Y362" si="207">MIN(100,(V340/$S$336*$R$336)/(X340%*(622+V340/$S$336)))</f>
        <v>28.454288654372696</v>
      </c>
      <c r="AA340" s="237">
        <f t="shared" si="187"/>
        <v>552.77958291092079</v>
      </c>
      <c r="AB340" s="1550">
        <f t="shared" si="188"/>
        <v>416.24302593192334</v>
      </c>
      <c r="AC340" s="237">
        <f t="shared" si="189"/>
        <v>416.24302593192334</v>
      </c>
      <c r="AD340" s="215">
        <f t="shared" si="190"/>
        <v>11.898</v>
      </c>
      <c r="AE340" s="237">
        <f t="shared" ref="AE340:AE362" si="208">IF(AD340&gt;=0,610.5*EXP(17.269*AD340/(237.3+AD340)),610.5*EXP(21.875*AD340/(265.5+AD340)))</f>
        <v>1392.4075437655936</v>
      </c>
      <c r="AF340" s="1550">
        <f t="shared" ref="AF340:AF362" si="209">0.2*AB340+0.8*0.8*AE340</f>
        <v>974.38943319636473</v>
      </c>
      <c r="AG340" s="237">
        <f t="shared" ref="AG340:AG362" si="210">0.2*AC340+0.8*0.8*AE340</f>
        <v>974.38943319636473</v>
      </c>
      <c r="AH340" s="237">
        <f t="shared" si="191"/>
        <v>2485.5817938155224</v>
      </c>
      <c r="AI340" s="1550">
        <f t="shared" si="192"/>
        <v>39.201664399891527</v>
      </c>
      <c r="AJ340" s="237">
        <f t="shared" ref="AJ340:AJ362" si="211">AG340/AH340%</f>
        <v>39.201664399891527</v>
      </c>
      <c r="AK340" s="1726">
        <f t="shared" ref="AK340:AK362" si="212">(AJ340%*622*X340)/($R$336-AJ340%*X340)</f>
        <v>7.0911631882607846</v>
      </c>
      <c r="AL340" s="1139">
        <f t="shared" si="193"/>
        <v>7.8002795070868638</v>
      </c>
      <c r="AM340" s="1563">
        <f t="shared" si="194"/>
        <v>10.627384868950299</v>
      </c>
      <c r="AN340" s="1563">
        <f t="shared" si="195"/>
        <v>19.571428571428573</v>
      </c>
      <c r="AQ340" t="s">
        <v>356</v>
      </c>
      <c r="AR340" s="379" t="s">
        <v>3</v>
      </c>
      <c r="AS340">
        <f>'SIA 380-1_EN'!D70</f>
        <v>-1.2</v>
      </c>
      <c r="AT340">
        <f>'SIA 380-1_EN'!E70</f>
        <v>-0.9</v>
      </c>
      <c r="AU340">
        <f>'SIA 380-1_EN'!F70</f>
        <v>1.7</v>
      </c>
      <c r="AV340">
        <f>'SIA 380-1_EN'!G70</f>
        <v>4.0999999999999996</v>
      </c>
      <c r="AW340">
        <f>'SIA 380-1_EN'!H70</f>
        <v>9.1999999999999993</v>
      </c>
      <c r="AX340">
        <f>'SIA 380-1_EN'!I70</f>
        <v>11.8</v>
      </c>
      <c r="AY340">
        <f>'SIA 380-1_EN'!J70</f>
        <v>14.2</v>
      </c>
      <c r="AZ340">
        <f>'SIA 380-1_EN'!K70</f>
        <v>14.4</v>
      </c>
      <c r="BA340">
        <f>'SIA 380-1_EN'!L70</f>
        <v>10.5</v>
      </c>
      <c r="BB340">
        <f>'SIA 380-1_EN'!M70</f>
        <v>7.3</v>
      </c>
      <c r="BC340">
        <f>'SIA 380-1_EN'!N70</f>
        <v>2</v>
      </c>
      <c r="BD340">
        <f>'SIA 380-1_EN'!O70</f>
        <v>0</v>
      </c>
      <c r="BE340">
        <f>INDEX(Winter_Auslegung!$A$5:$I$44,MATCH(Profile!AQ339,Winter_Auslegung!$A$5:$A$44,0),6)</f>
        <v>-10.199999999999999</v>
      </c>
      <c r="BF340">
        <f>MAX(X63:X86)</f>
        <v>24.6</v>
      </c>
    </row>
    <row r="341" spans="1:58" s="238" customFormat="1">
      <c r="A341" s="1136">
        <f t="shared" ref="A341:A362" si="213">A340+1</f>
        <v>3</v>
      </c>
      <c r="C341" s="215">
        <f t="shared" si="196"/>
        <v>1</v>
      </c>
      <c r="D341" s="215">
        <f t="shared" si="197"/>
        <v>0.5714285714285714</v>
      </c>
      <c r="E341" s="237">
        <f t="shared" si="198"/>
        <v>13714.285714285714</v>
      </c>
      <c r="F341" s="1101">
        <f t="shared" si="199"/>
        <v>0.97857142857142865</v>
      </c>
      <c r="G341" s="237">
        <f t="shared" si="200"/>
        <v>19.571428571428573</v>
      </c>
      <c r="H341" s="237">
        <f t="shared" si="201"/>
        <v>626.97319175201392</v>
      </c>
      <c r="I341" s="237">
        <f t="shared" ref="I341:I362" si="214">(I340-IF(G341=0,0,E341/G341)-I$336)*EXP(-G341/G$336)+IF(G341=0,0,E341/G341)+I$275</f>
        <v>884.17660019436585</v>
      </c>
      <c r="J341" s="237">
        <f t="shared" ref="J341:J362" si="215">(J340-IF(G341=0,0,E341/G341)-I$336)*EXP(-G341/G$336)+IF(G341=0,0,E341/G341)+I$336</f>
        <v>1075.0745033147591</v>
      </c>
      <c r="L341" s="237">
        <f t="shared" si="202"/>
        <v>37.714285714285715</v>
      </c>
      <c r="M341" s="237">
        <f t="shared" si="203"/>
        <v>47.714285714285715</v>
      </c>
      <c r="N341" s="1139">
        <f t="shared" si="204"/>
        <v>2.3857142857142857</v>
      </c>
      <c r="O341" s="238">
        <f t="shared" ref="O341:P362" si="216">O$339</f>
        <v>-1.2</v>
      </c>
      <c r="P341" s="237">
        <f t="shared" si="216"/>
        <v>75.3</v>
      </c>
      <c r="Q341" s="215">
        <f t="shared" si="185"/>
        <v>5.5277958291092082</v>
      </c>
      <c r="R341" s="1543">
        <f t="shared" si="186"/>
        <v>3.0095736051681925</v>
      </c>
      <c r="S341" s="1543">
        <f t="shared" si="205"/>
        <v>3.3105309656850119</v>
      </c>
      <c r="T341" s="1543">
        <f t="shared" ref="T341:T362" si="217">S340+IF(G341=0,0,M341/G341*(1-EXP(-G341/G$336)))</f>
        <v>4.1002085286555605</v>
      </c>
      <c r="U341" s="1101">
        <f t="shared" ref="U341:U362" si="218">(U340-IF(G341=0,0,M341/G341)-S341)*EXP(-G341/G$336)+IF(G341=0,0,M341/G341)+S341</f>
        <v>5.2391037263799918</v>
      </c>
      <c r="V341" s="1101">
        <f t="shared" ref="V341:V362" si="219">($V340-IF($G341=0,0,$M341/$G341)-S341)*EXP(-$G341/$G$336)+IF($G341=0,0,$M341/$G341)+S341</f>
        <v>5.67794192144747</v>
      </c>
      <c r="W341" s="215">
        <f t="shared" ref="W341:W362" si="220">W$339</f>
        <v>21</v>
      </c>
      <c r="X341" s="215">
        <f t="shared" si="206"/>
        <v>24.855817938155223</v>
      </c>
      <c r="Y341" s="1544">
        <f t="shared" si="207"/>
        <v>28.623273350795856</v>
      </c>
      <c r="AA341" s="237">
        <f t="shared" si="187"/>
        <v>552.77958291092079</v>
      </c>
      <c r="AB341" s="1550">
        <f t="shared" si="188"/>
        <v>416.24302593192334</v>
      </c>
      <c r="AC341" s="237">
        <f t="shared" si="189"/>
        <v>416.24302593192334</v>
      </c>
      <c r="AD341" s="215">
        <f t="shared" si="190"/>
        <v>11.898</v>
      </c>
      <c r="AE341" s="237">
        <f t="shared" si="208"/>
        <v>1392.4075437655936</v>
      </c>
      <c r="AF341" s="1550">
        <f t="shared" si="209"/>
        <v>974.38943319636473</v>
      </c>
      <c r="AG341" s="237">
        <f t="shared" si="210"/>
        <v>974.38943319636473</v>
      </c>
      <c r="AH341" s="237">
        <f t="shared" si="191"/>
        <v>2485.5817938155224</v>
      </c>
      <c r="AI341" s="1550">
        <f t="shared" si="192"/>
        <v>39.201664399891527</v>
      </c>
      <c r="AJ341" s="237">
        <f t="shared" si="211"/>
        <v>39.201664399891527</v>
      </c>
      <c r="AK341" s="1726">
        <f t="shared" si="212"/>
        <v>7.0911631882607846</v>
      </c>
      <c r="AL341" s="1139">
        <f t="shared" si="193"/>
        <v>7.8002795070868638</v>
      </c>
      <c r="AM341" s="1563">
        <f t="shared" si="194"/>
        <v>10.627384868950299</v>
      </c>
      <c r="AN341" s="1563">
        <f t="shared" si="195"/>
        <v>19.571428571428573</v>
      </c>
      <c r="AQ341" s="379" t="s">
        <v>1653</v>
      </c>
      <c r="AR341" s="379" t="s">
        <v>1628</v>
      </c>
      <c r="AS341" s="848">
        <f t="shared" ref="AS341:BF341" si="221">IF(AS340&gt;=0,610.5*EXP(17.269*AS340/(237.3+AS340)),610.5*EXP(21.875*AS340/(265.5+AS340)))</f>
        <v>552.77958291092079</v>
      </c>
      <c r="AT341" s="848">
        <f t="shared" si="221"/>
        <v>566.72463411758906</v>
      </c>
      <c r="AU341" s="848">
        <f t="shared" si="221"/>
        <v>690.29026618610044</v>
      </c>
      <c r="AV341" s="848">
        <f t="shared" si="221"/>
        <v>818.58681196337375</v>
      </c>
      <c r="AW341" s="848">
        <f t="shared" si="221"/>
        <v>1163.0496102711104</v>
      </c>
      <c r="AX341" s="848">
        <f t="shared" si="221"/>
        <v>1383.4283982914001</v>
      </c>
      <c r="AY341" s="848">
        <f t="shared" si="221"/>
        <v>1618.5845624075746</v>
      </c>
      <c r="AZ341" s="848">
        <f t="shared" si="221"/>
        <v>1639.6768449639578</v>
      </c>
      <c r="BA341" s="848">
        <f t="shared" si="221"/>
        <v>1269.0394842446758</v>
      </c>
      <c r="BB341" s="848">
        <f t="shared" si="221"/>
        <v>1022.1519678802143</v>
      </c>
      <c r="BC341" s="848">
        <f t="shared" si="221"/>
        <v>705.2889572820236</v>
      </c>
      <c r="BD341" s="848">
        <f t="shared" si="221"/>
        <v>610.5</v>
      </c>
      <c r="BE341" s="848">
        <f t="shared" si="221"/>
        <v>254.75606912498944</v>
      </c>
      <c r="BF341" s="848">
        <f t="shared" si="221"/>
        <v>3091.2717607284635</v>
      </c>
    </row>
    <row r="342" spans="1:58" s="238" customFormat="1">
      <c r="A342" s="1136">
        <f t="shared" si="213"/>
        <v>4</v>
      </c>
      <c r="C342" s="215">
        <f t="shared" si="196"/>
        <v>1</v>
      </c>
      <c r="D342" s="215">
        <f t="shared" si="197"/>
        <v>0.5714285714285714</v>
      </c>
      <c r="E342" s="237">
        <f t="shared" si="198"/>
        <v>13714.285714285714</v>
      </c>
      <c r="F342" s="1101">
        <f t="shared" si="199"/>
        <v>0.97857142857142865</v>
      </c>
      <c r="G342" s="237">
        <f t="shared" si="200"/>
        <v>19.571428571428573</v>
      </c>
      <c r="H342" s="237">
        <f t="shared" si="201"/>
        <v>626.97319175201392</v>
      </c>
      <c r="I342" s="237">
        <f t="shared" si="214"/>
        <v>954.32031445125176</v>
      </c>
      <c r="J342" s="237">
        <f t="shared" si="215"/>
        <v>1083.3845428561208</v>
      </c>
      <c r="L342" s="237">
        <f t="shared" si="202"/>
        <v>37.714285714285715</v>
      </c>
      <c r="M342" s="237">
        <f t="shared" si="203"/>
        <v>47.714285714285715</v>
      </c>
      <c r="N342" s="1139">
        <f t="shared" si="204"/>
        <v>2.3857142857142857</v>
      </c>
      <c r="O342" s="238">
        <f t="shared" si="216"/>
        <v>-1.2</v>
      </c>
      <c r="P342" s="237">
        <f t="shared" si="216"/>
        <v>75.3</v>
      </c>
      <c r="Q342" s="215">
        <f t="shared" si="185"/>
        <v>5.5277958291092082</v>
      </c>
      <c r="R342" s="1543">
        <f t="shared" si="186"/>
        <v>3.0095736051681925</v>
      </c>
      <c r="S342" s="1543">
        <f t="shared" si="205"/>
        <v>3.3105309656850119</v>
      </c>
      <c r="T342" s="1543">
        <f t="shared" si="217"/>
        <v>4.1002085286555605</v>
      </c>
      <c r="U342" s="1101">
        <f t="shared" si="218"/>
        <v>5.404097943956085</v>
      </c>
      <c r="V342" s="1101">
        <f t="shared" si="219"/>
        <v>5.7007922088755345</v>
      </c>
      <c r="W342" s="215">
        <f t="shared" si="220"/>
        <v>21</v>
      </c>
      <c r="X342" s="215">
        <f t="shared" si="206"/>
        <v>24.855817938155223</v>
      </c>
      <c r="Y342" s="1544">
        <f t="shared" si="207"/>
        <v>28.737512890798929</v>
      </c>
      <c r="AA342" s="237">
        <f t="shared" si="187"/>
        <v>552.77958291092079</v>
      </c>
      <c r="AB342" s="1550">
        <f t="shared" si="188"/>
        <v>416.24302593192334</v>
      </c>
      <c r="AC342" s="237">
        <f t="shared" si="189"/>
        <v>416.24302593192334</v>
      </c>
      <c r="AD342" s="215">
        <f t="shared" si="190"/>
        <v>11.898</v>
      </c>
      <c r="AE342" s="237">
        <f t="shared" si="208"/>
        <v>1392.4075437655936</v>
      </c>
      <c r="AF342" s="1550">
        <f t="shared" si="209"/>
        <v>974.38943319636473</v>
      </c>
      <c r="AG342" s="237">
        <f t="shared" si="210"/>
        <v>974.38943319636473</v>
      </c>
      <c r="AH342" s="237">
        <f t="shared" si="191"/>
        <v>2485.5817938155224</v>
      </c>
      <c r="AI342" s="1550">
        <f t="shared" si="192"/>
        <v>39.201664399891527</v>
      </c>
      <c r="AJ342" s="237">
        <f t="shared" si="211"/>
        <v>39.201664399891527</v>
      </c>
      <c r="AK342" s="1726">
        <f t="shared" si="212"/>
        <v>7.0911631882607846</v>
      </c>
      <c r="AL342" s="1139">
        <f t="shared" si="193"/>
        <v>7.8002795070868638</v>
      </c>
      <c r="AM342" s="1563">
        <f t="shared" si="194"/>
        <v>10.627384868950299</v>
      </c>
      <c r="AN342" s="1563">
        <f t="shared" si="195"/>
        <v>19.571428571428573</v>
      </c>
      <c r="AQ342" s="379" t="s">
        <v>1654</v>
      </c>
      <c r="AR342" s="379" t="s">
        <v>1628</v>
      </c>
      <c r="AS342" s="848">
        <f t="shared" ref="AS342:BF342" si="222">(0.75-0.0025*AS340)*AS341</f>
        <v>416.24302593192334</v>
      </c>
      <c r="AT342" s="848">
        <f t="shared" si="222"/>
        <v>426.31860601495634</v>
      </c>
      <c r="AU342" s="848">
        <f t="shared" si="222"/>
        <v>514.78396600828444</v>
      </c>
      <c r="AV342" s="848">
        <f t="shared" si="222"/>
        <v>605.54959414990572</v>
      </c>
      <c r="AW342" s="848">
        <f t="shared" si="222"/>
        <v>845.53706666709718</v>
      </c>
      <c r="AX342" s="848">
        <f t="shared" si="222"/>
        <v>996.76016096895376</v>
      </c>
      <c r="AY342" s="848">
        <f t="shared" si="222"/>
        <v>1156.478669840212</v>
      </c>
      <c r="AZ342" s="848">
        <f t="shared" si="222"/>
        <v>1170.7292673042659</v>
      </c>
      <c r="BA342" s="848">
        <f t="shared" si="222"/>
        <v>918.46732672208407</v>
      </c>
      <c r="BB342" s="848">
        <f t="shared" si="222"/>
        <v>747.95970249634684</v>
      </c>
      <c r="BC342" s="848">
        <f t="shared" si="222"/>
        <v>525.44027317510756</v>
      </c>
      <c r="BD342" s="848">
        <f t="shared" si="222"/>
        <v>457.875</v>
      </c>
      <c r="BE342" s="848">
        <f t="shared" si="222"/>
        <v>197.5633316064293</v>
      </c>
      <c r="BF342" s="848">
        <f t="shared" si="222"/>
        <v>2128.3406072615471</v>
      </c>
    </row>
    <row r="343" spans="1:58" s="238" customFormat="1">
      <c r="A343" s="1136">
        <f t="shared" si="213"/>
        <v>5</v>
      </c>
      <c r="C343" s="215">
        <f t="shared" si="196"/>
        <v>1</v>
      </c>
      <c r="D343" s="215">
        <f t="shared" si="197"/>
        <v>0.5714285714285714</v>
      </c>
      <c r="E343" s="237">
        <f t="shared" si="198"/>
        <v>13714.285714285714</v>
      </c>
      <c r="F343" s="1101">
        <f t="shared" si="199"/>
        <v>0.97857142857142865</v>
      </c>
      <c r="G343" s="237">
        <f t="shared" si="200"/>
        <v>19.571428571428573</v>
      </c>
      <c r="H343" s="237">
        <f t="shared" si="201"/>
        <v>626.97319175201392</v>
      </c>
      <c r="I343" s="237">
        <f t="shared" si="214"/>
        <v>1001.7438021377933</v>
      </c>
      <c r="J343" s="237">
        <f t="shared" si="215"/>
        <v>1089.0028803228417</v>
      </c>
      <c r="L343" s="237">
        <f t="shared" si="202"/>
        <v>37.714285714285715</v>
      </c>
      <c r="M343" s="237">
        <f t="shared" si="203"/>
        <v>47.714285714285715</v>
      </c>
      <c r="N343" s="1139">
        <f t="shared" si="204"/>
        <v>2.3857142857142857</v>
      </c>
      <c r="O343" s="238">
        <f t="shared" si="216"/>
        <v>-1.2</v>
      </c>
      <c r="P343" s="237">
        <f t="shared" si="216"/>
        <v>75.3</v>
      </c>
      <c r="Q343" s="215">
        <f t="shared" si="185"/>
        <v>5.5277958291092082</v>
      </c>
      <c r="R343" s="1543">
        <f t="shared" si="186"/>
        <v>3.0095736051681925</v>
      </c>
      <c r="S343" s="1543">
        <f t="shared" si="205"/>
        <v>3.3105309656850119</v>
      </c>
      <c r="T343" s="1543">
        <f t="shared" si="217"/>
        <v>4.1002085286555605</v>
      </c>
      <c r="U343" s="1101">
        <f t="shared" si="218"/>
        <v>5.5156489407697773</v>
      </c>
      <c r="V343" s="1101">
        <f t="shared" si="219"/>
        <v>5.7162410674932884</v>
      </c>
      <c r="W343" s="215">
        <f t="shared" si="220"/>
        <v>21</v>
      </c>
      <c r="X343" s="215">
        <f t="shared" si="206"/>
        <v>24.855817938155223</v>
      </c>
      <c r="Y343" s="1544">
        <f t="shared" si="207"/>
        <v>28.814744852751701</v>
      </c>
      <c r="AA343" s="237">
        <f t="shared" si="187"/>
        <v>552.77958291092079</v>
      </c>
      <c r="AB343" s="1550">
        <f t="shared" si="188"/>
        <v>416.24302593192334</v>
      </c>
      <c r="AC343" s="237">
        <f t="shared" si="189"/>
        <v>416.24302593192334</v>
      </c>
      <c r="AD343" s="215">
        <f t="shared" si="190"/>
        <v>11.898</v>
      </c>
      <c r="AE343" s="237">
        <f t="shared" si="208"/>
        <v>1392.4075437655936</v>
      </c>
      <c r="AF343" s="1550">
        <f t="shared" si="209"/>
        <v>974.38943319636473</v>
      </c>
      <c r="AG343" s="237">
        <f t="shared" si="210"/>
        <v>974.38943319636473</v>
      </c>
      <c r="AH343" s="237">
        <f t="shared" si="191"/>
        <v>2485.5817938155224</v>
      </c>
      <c r="AI343" s="1550">
        <f t="shared" si="192"/>
        <v>39.201664399891527</v>
      </c>
      <c r="AJ343" s="237">
        <f t="shared" si="211"/>
        <v>39.201664399891527</v>
      </c>
      <c r="AK343" s="1726">
        <f t="shared" si="212"/>
        <v>7.0911631882607846</v>
      </c>
      <c r="AL343" s="1139">
        <f t="shared" si="193"/>
        <v>7.8002795070868638</v>
      </c>
      <c r="AM343" s="1563">
        <f t="shared" si="194"/>
        <v>10.627384868950299</v>
      </c>
      <c r="AN343" s="1563">
        <f t="shared" si="195"/>
        <v>19.571428571428573</v>
      </c>
      <c r="AQ343" s="379" t="s">
        <v>1652</v>
      </c>
      <c r="AR343" s="379" t="s">
        <v>1578</v>
      </c>
      <c r="AS343" s="848">
        <f t="shared" ref="AS343:BF343" si="223">AS342/AS341%</f>
        <v>75.3</v>
      </c>
      <c r="AT343" s="848">
        <f t="shared" si="223"/>
        <v>75.224999999999994</v>
      </c>
      <c r="AU343" s="848">
        <f t="shared" si="223"/>
        <v>74.575000000000003</v>
      </c>
      <c r="AV343" s="848">
        <f t="shared" si="223"/>
        <v>73.975000000000009</v>
      </c>
      <c r="AW343" s="848">
        <f t="shared" si="223"/>
        <v>72.699999999999989</v>
      </c>
      <c r="AX343" s="848">
        <f t="shared" si="223"/>
        <v>72.05</v>
      </c>
      <c r="AY343" s="848">
        <f t="shared" si="223"/>
        <v>71.449999999999989</v>
      </c>
      <c r="AZ343" s="848">
        <f t="shared" si="223"/>
        <v>71.400000000000006</v>
      </c>
      <c r="BA343" s="848">
        <f t="shared" si="223"/>
        <v>72.375</v>
      </c>
      <c r="BB343" s="848">
        <f t="shared" si="223"/>
        <v>73.174999999999997</v>
      </c>
      <c r="BC343" s="848">
        <f t="shared" si="223"/>
        <v>74.5</v>
      </c>
      <c r="BD343" s="848">
        <f t="shared" si="223"/>
        <v>75</v>
      </c>
      <c r="BE343" s="848">
        <f t="shared" si="223"/>
        <v>77.55</v>
      </c>
      <c r="BF343" s="848">
        <f t="shared" si="223"/>
        <v>68.850000000000009</v>
      </c>
    </row>
    <row r="344" spans="1:58" s="238" customFormat="1">
      <c r="A344" s="1136">
        <f t="shared" si="213"/>
        <v>6</v>
      </c>
      <c r="C344" s="215">
        <f t="shared" si="196"/>
        <v>1</v>
      </c>
      <c r="D344" s="215">
        <f t="shared" si="197"/>
        <v>0.5714285714285714</v>
      </c>
      <c r="E344" s="237">
        <f t="shared" si="198"/>
        <v>13714.285714285714</v>
      </c>
      <c r="F344" s="1101">
        <f t="shared" si="199"/>
        <v>0.97857142857142865</v>
      </c>
      <c r="G344" s="237">
        <f t="shared" si="200"/>
        <v>19.571428571428573</v>
      </c>
      <c r="H344" s="237">
        <f t="shared" si="201"/>
        <v>626.97319175201392</v>
      </c>
      <c r="I344" s="237">
        <f t="shared" si="214"/>
        <v>1033.8063640962198</v>
      </c>
      <c r="J344" s="237">
        <f t="shared" si="215"/>
        <v>1092.8013840162175</v>
      </c>
      <c r="L344" s="237">
        <f t="shared" si="202"/>
        <v>37.714285714285715</v>
      </c>
      <c r="M344" s="237">
        <f t="shared" si="203"/>
        <v>47.714285714285715</v>
      </c>
      <c r="N344" s="1139">
        <f t="shared" si="204"/>
        <v>2.3857142857142857</v>
      </c>
      <c r="O344" s="238">
        <f t="shared" si="216"/>
        <v>-1.2</v>
      </c>
      <c r="P344" s="237">
        <f t="shared" si="216"/>
        <v>75.3</v>
      </c>
      <c r="Q344" s="215">
        <f t="shared" si="185"/>
        <v>5.5277958291092082</v>
      </c>
      <c r="R344" s="1543">
        <f t="shared" si="186"/>
        <v>3.0095736051681925</v>
      </c>
      <c r="S344" s="1543">
        <f t="shared" si="205"/>
        <v>3.3105309656850119</v>
      </c>
      <c r="T344" s="1543">
        <f t="shared" si="217"/>
        <v>4.1002085286555605</v>
      </c>
      <c r="U344" s="1101">
        <f t="shared" si="218"/>
        <v>5.5910674922374337</v>
      </c>
      <c r="V344" s="1101">
        <f t="shared" si="219"/>
        <v>5.7266858915832568</v>
      </c>
      <c r="W344" s="215">
        <f t="shared" si="220"/>
        <v>21</v>
      </c>
      <c r="X344" s="215">
        <f t="shared" si="206"/>
        <v>24.855817938155223</v>
      </c>
      <c r="Y344" s="1544">
        <f t="shared" si="207"/>
        <v>28.866958676525687</v>
      </c>
      <c r="AA344" s="237">
        <f t="shared" si="187"/>
        <v>552.77958291092079</v>
      </c>
      <c r="AB344" s="1550">
        <f t="shared" si="188"/>
        <v>416.24302593192334</v>
      </c>
      <c r="AC344" s="237">
        <f t="shared" si="189"/>
        <v>416.24302593192334</v>
      </c>
      <c r="AD344" s="215">
        <f t="shared" si="190"/>
        <v>11.898</v>
      </c>
      <c r="AE344" s="237">
        <f t="shared" si="208"/>
        <v>1392.4075437655936</v>
      </c>
      <c r="AF344" s="1550">
        <f t="shared" si="209"/>
        <v>974.38943319636473</v>
      </c>
      <c r="AG344" s="237">
        <f t="shared" si="210"/>
        <v>974.38943319636473</v>
      </c>
      <c r="AH344" s="237">
        <f t="shared" si="191"/>
        <v>2485.5817938155224</v>
      </c>
      <c r="AI344" s="1550">
        <f t="shared" si="192"/>
        <v>39.201664399891527</v>
      </c>
      <c r="AJ344" s="237">
        <f t="shared" si="211"/>
        <v>39.201664399891527</v>
      </c>
      <c r="AK344" s="1726">
        <f t="shared" si="212"/>
        <v>7.0911631882607846</v>
      </c>
      <c r="AL344" s="1139">
        <f t="shared" si="193"/>
        <v>7.8002795070868638</v>
      </c>
      <c r="AM344" s="1563">
        <f t="shared" si="194"/>
        <v>10.627384868950299</v>
      </c>
      <c r="AN344" s="1563">
        <f t="shared" si="195"/>
        <v>19.571428571428573</v>
      </c>
      <c r="AQ344" s="210" t="s">
        <v>1436</v>
      </c>
      <c r="AR344" s="210" t="s">
        <v>3</v>
      </c>
      <c r="AS344" s="210">
        <f>BE344</f>
        <v>21</v>
      </c>
      <c r="AT344" s="220">
        <f>AS344+($BF344-$BE344)/6*1</f>
        <v>21.833333333333332</v>
      </c>
      <c r="AU344" s="220">
        <f t="shared" ref="AU344:AX344" si="224">AT344+($BF344-$BE344)/6*1</f>
        <v>22.666666666666664</v>
      </c>
      <c r="AV344" s="220">
        <f t="shared" si="224"/>
        <v>23.499999999999996</v>
      </c>
      <c r="AW344" s="220">
        <f t="shared" si="224"/>
        <v>24.333333333333329</v>
      </c>
      <c r="AX344" s="220">
        <f t="shared" si="224"/>
        <v>25.166666666666661</v>
      </c>
      <c r="AY344" s="210">
        <v>26</v>
      </c>
      <c r="AZ344" s="220">
        <f>AY344-($BF344-$BE344)/6*1</f>
        <v>25.166666666666668</v>
      </c>
      <c r="BA344" s="220">
        <f t="shared" ref="BA344:BD344" si="225">AZ344-($BF344-$BE344)/6*1</f>
        <v>24.333333333333336</v>
      </c>
      <c r="BB344" s="220">
        <f t="shared" si="225"/>
        <v>23.500000000000004</v>
      </c>
      <c r="BC344" s="220">
        <f t="shared" si="225"/>
        <v>22.666666666666671</v>
      </c>
      <c r="BD344" s="220">
        <f t="shared" si="225"/>
        <v>21.833333333333339</v>
      </c>
      <c r="BE344" s="210">
        <v>21</v>
      </c>
      <c r="BF344" s="210">
        <v>26</v>
      </c>
    </row>
    <row r="345" spans="1:58" s="238" customFormat="1">
      <c r="A345" s="1136">
        <f t="shared" si="213"/>
        <v>7</v>
      </c>
      <c r="C345" s="215">
        <f t="shared" si="196"/>
        <v>0.6</v>
      </c>
      <c r="D345" s="215">
        <f t="shared" si="197"/>
        <v>0.34285714285714286</v>
      </c>
      <c r="E345" s="237">
        <f t="shared" si="198"/>
        <v>8228.5714285714275</v>
      </c>
      <c r="F345" s="1101">
        <f t="shared" si="199"/>
        <v>0.97857142857142865</v>
      </c>
      <c r="G345" s="237">
        <f t="shared" si="200"/>
        <v>19.571428571428573</v>
      </c>
      <c r="H345" s="237">
        <f t="shared" si="201"/>
        <v>536.18391505120837</v>
      </c>
      <c r="I345" s="237">
        <f t="shared" si="214"/>
        <v>964.69427584120774</v>
      </c>
      <c r="J345" s="237">
        <f t="shared" si="215"/>
        <v>1004.5802389725177</v>
      </c>
      <c r="L345" s="237">
        <f t="shared" si="202"/>
        <v>22.62857142857143</v>
      </c>
      <c r="M345" s="237">
        <f t="shared" si="203"/>
        <v>32.628571428571433</v>
      </c>
      <c r="N345" s="1139">
        <f t="shared" si="204"/>
        <v>1.6314285714285717</v>
      </c>
      <c r="O345" s="238">
        <f t="shared" si="216"/>
        <v>-1.2</v>
      </c>
      <c r="P345" s="237">
        <f t="shared" si="216"/>
        <v>75.3</v>
      </c>
      <c r="Q345" s="215">
        <f t="shared" si="185"/>
        <v>5.5277958291092082</v>
      </c>
      <c r="R345" s="1543">
        <f t="shared" si="186"/>
        <v>3.0095736051681925</v>
      </c>
      <c r="S345" s="1543">
        <f t="shared" si="205"/>
        <v>3.3105309656850119</v>
      </c>
      <c r="T345" s="1543">
        <f t="shared" si="217"/>
        <v>3.8505380177283453</v>
      </c>
      <c r="U345" s="1101">
        <f t="shared" si="218"/>
        <v>5.3923867354849779</v>
      </c>
      <c r="V345" s="1101">
        <f t="shared" si="219"/>
        <v>5.4840770253360569</v>
      </c>
      <c r="W345" s="215">
        <f t="shared" si="220"/>
        <v>21</v>
      </c>
      <c r="X345" s="215">
        <f t="shared" si="206"/>
        <v>24.855817938155223</v>
      </c>
      <c r="Y345" s="1544">
        <f t="shared" si="207"/>
        <v>27.653745253993169</v>
      </c>
      <c r="AA345" s="237">
        <f t="shared" si="187"/>
        <v>552.77958291092079</v>
      </c>
      <c r="AB345" s="1550">
        <f t="shared" si="188"/>
        <v>416.24302593192334</v>
      </c>
      <c r="AC345" s="237">
        <f t="shared" si="189"/>
        <v>416.24302593192334</v>
      </c>
      <c r="AD345" s="215">
        <f t="shared" si="190"/>
        <v>11.898</v>
      </c>
      <c r="AE345" s="237">
        <f t="shared" si="208"/>
        <v>1392.4075437655936</v>
      </c>
      <c r="AF345" s="1550">
        <f t="shared" si="209"/>
        <v>974.38943319636473</v>
      </c>
      <c r="AG345" s="237">
        <f t="shared" si="210"/>
        <v>974.38943319636473</v>
      </c>
      <c r="AH345" s="237">
        <f t="shared" si="191"/>
        <v>2485.5817938155224</v>
      </c>
      <c r="AI345" s="1550">
        <f t="shared" si="192"/>
        <v>39.201664399891527</v>
      </c>
      <c r="AJ345" s="237">
        <f t="shared" si="211"/>
        <v>39.201664399891527</v>
      </c>
      <c r="AK345" s="1726">
        <f t="shared" si="212"/>
        <v>7.0911631882607846</v>
      </c>
      <c r="AL345" s="1139">
        <f t="shared" si="193"/>
        <v>7.8002795070868638</v>
      </c>
      <c r="AM345" s="1563">
        <f t="shared" si="194"/>
        <v>7.2673494133779899</v>
      </c>
      <c r="AN345" s="1563">
        <f t="shared" si="195"/>
        <v>19.571428571428573</v>
      </c>
    </row>
    <row r="346" spans="1:58" s="238" customFormat="1">
      <c r="A346" s="1136">
        <f t="shared" si="213"/>
        <v>8</v>
      </c>
      <c r="C346" s="215">
        <f t="shared" si="196"/>
        <v>0.4</v>
      </c>
      <c r="D346" s="215">
        <f t="shared" si="197"/>
        <v>0.22857142857142856</v>
      </c>
      <c r="E346" s="237">
        <f t="shared" si="198"/>
        <v>5485.7142857142853</v>
      </c>
      <c r="F346" s="1101">
        <f t="shared" si="199"/>
        <v>0.97857142857142865</v>
      </c>
      <c r="G346" s="237">
        <f t="shared" si="200"/>
        <v>19.571428571428573</v>
      </c>
      <c r="H346" s="237">
        <f t="shared" si="201"/>
        <v>490.78927670080554</v>
      </c>
      <c r="I346" s="237">
        <f t="shared" si="214"/>
        <v>872.57362217958996</v>
      </c>
      <c r="J346" s="237">
        <f t="shared" si="215"/>
        <v>899.54013659164707</v>
      </c>
      <c r="L346" s="237">
        <f t="shared" si="202"/>
        <v>15.085714285714285</v>
      </c>
      <c r="M346" s="237">
        <f t="shared" si="203"/>
        <v>25.085714285714285</v>
      </c>
      <c r="N346" s="1139">
        <f t="shared" si="204"/>
        <v>1.2542857142857142</v>
      </c>
      <c r="O346" s="238">
        <f t="shared" si="216"/>
        <v>-1.2</v>
      </c>
      <c r="P346" s="237">
        <f t="shared" si="216"/>
        <v>75.3</v>
      </c>
      <c r="Q346" s="215">
        <f t="shared" si="185"/>
        <v>5.5277958291092082</v>
      </c>
      <c r="R346" s="1543">
        <f t="shared" si="186"/>
        <v>3.0095736051681925</v>
      </c>
      <c r="S346" s="1543">
        <f t="shared" si="205"/>
        <v>3.3105309656850119</v>
      </c>
      <c r="T346" s="1543">
        <f t="shared" si="217"/>
        <v>3.7257027622647376</v>
      </c>
      <c r="U346" s="1101">
        <f t="shared" si="218"/>
        <v>5.1332253394509362</v>
      </c>
      <c r="V346" s="1101">
        <f t="shared" si="219"/>
        <v>5.1952162587769859</v>
      </c>
      <c r="W346" s="215">
        <f t="shared" si="220"/>
        <v>21</v>
      </c>
      <c r="X346" s="215">
        <f t="shared" si="206"/>
        <v>24.855817938155223</v>
      </c>
      <c r="Y346" s="1544">
        <f t="shared" si="207"/>
        <v>26.208126493511344</v>
      </c>
      <c r="AA346" s="237">
        <f t="shared" si="187"/>
        <v>552.77958291092079</v>
      </c>
      <c r="AB346" s="1550">
        <f t="shared" si="188"/>
        <v>416.24302593192334</v>
      </c>
      <c r="AC346" s="237">
        <f t="shared" si="189"/>
        <v>416.24302593192334</v>
      </c>
      <c r="AD346" s="215">
        <f t="shared" si="190"/>
        <v>11.898</v>
      </c>
      <c r="AE346" s="237">
        <f t="shared" si="208"/>
        <v>1392.4075437655936</v>
      </c>
      <c r="AF346" s="1550">
        <f t="shared" si="209"/>
        <v>974.38943319636473</v>
      </c>
      <c r="AG346" s="237">
        <f t="shared" si="210"/>
        <v>974.38943319636473</v>
      </c>
      <c r="AH346" s="237">
        <f t="shared" si="191"/>
        <v>2485.5817938155224</v>
      </c>
      <c r="AI346" s="1550">
        <f t="shared" si="192"/>
        <v>39.201664399891527</v>
      </c>
      <c r="AJ346" s="237">
        <f t="shared" si="211"/>
        <v>39.201664399891527</v>
      </c>
      <c r="AK346" s="1726">
        <f t="shared" si="212"/>
        <v>7.0911631882607846</v>
      </c>
      <c r="AL346" s="1139">
        <f t="shared" si="193"/>
        <v>7.8002795070868638</v>
      </c>
      <c r="AM346" s="1563">
        <f t="shared" si="194"/>
        <v>5.5873316855918338</v>
      </c>
      <c r="AN346" s="1563">
        <f t="shared" si="195"/>
        <v>19.571428571428573</v>
      </c>
    </row>
    <row r="347" spans="1:58" s="238" customFormat="1">
      <c r="A347" s="1136">
        <f t="shared" si="213"/>
        <v>9</v>
      </c>
      <c r="C347" s="215">
        <f t="shared" si="196"/>
        <v>0</v>
      </c>
      <c r="D347" s="215">
        <f t="shared" si="197"/>
        <v>0</v>
      </c>
      <c r="E347" s="237">
        <f t="shared" si="198"/>
        <v>0</v>
      </c>
      <c r="F347" s="1101">
        <f t="shared" si="199"/>
        <v>0.97857142857142865</v>
      </c>
      <c r="G347" s="237">
        <f t="shared" si="200"/>
        <v>19.571428571428573</v>
      </c>
      <c r="H347" s="237">
        <f t="shared" si="201"/>
        <v>400</v>
      </c>
      <c r="I347" s="237">
        <f t="shared" si="214"/>
        <v>719.50246133734072</v>
      </c>
      <c r="J347" s="237">
        <f t="shared" si="215"/>
        <v>737.73426126007712</v>
      </c>
      <c r="L347" s="237">
        <f t="shared" si="202"/>
        <v>0</v>
      </c>
      <c r="M347" s="237">
        <f t="shared" si="203"/>
        <v>10</v>
      </c>
      <c r="N347" s="1139">
        <f t="shared" si="204"/>
        <v>0.5</v>
      </c>
      <c r="O347" s="238">
        <f t="shared" si="216"/>
        <v>-1.2</v>
      </c>
      <c r="P347" s="237">
        <f t="shared" si="216"/>
        <v>75.3</v>
      </c>
      <c r="Q347" s="215">
        <f t="shared" si="185"/>
        <v>5.5277958291092082</v>
      </c>
      <c r="R347" s="1543">
        <f t="shared" si="186"/>
        <v>3.0095736051681925</v>
      </c>
      <c r="S347" s="1543">
        <f t="shared" si="205"/>
        <v>3.3105309656850119</v>
      </c>
      <c r="T347" s="1543">
        <f t="shared" si="217"/>
        <v>3.4760322513375219</v>
      </c>
      <c r="U347" s="1101">
        <f t="shared" si="218"/>
        <v>4.7083383119212971</v>
      </c>
      <c r="V347" s="1101">
        <f t="shared" si="219"/>
        <v>4.7502497737034588</v>
      </c>
      <c r="W347" s="215">
        <f t="shared" si="220"/>
        <v>21</v>
      </c>
      <c r="X347" s="215">
        <f t="shared" si="206"/>
        <v>24.855817938155223</v>
      </c>
      <c r="Y347" s="1544">
        <f t="shared" si="207"/>
        <v>23.978896617577718</v>
      </c>
      <c r="AA347" s="237">
        <f t="shared" si="187"/>
        <v>552.77958291092079</v>
      </c>
      <c r="AB347" s="1550">
        <f t="shared" si="188"/>
        <v>416.24302593192334</v>
      </c>
      <c r="AC347" s="237">
        <f t="shared" si="189"/>
        <v>416.24302593192334</v>
      </c>
      <c r="AD347" s="215">
        <f t="shared" si="190"/>
        <v>11.898</v>
      </c>
      <c r="AE347" s="237">
        <f t="shared" si="208"/>
        <v>1392.4075437655936</v>
      </c>
      <c r="AF347" s="1550">
        <f t="shared" si="209"/>
        <v>974.38943319636473</v>
      </c>
      <c r="AG347" s="237">
        <f t="shared" si="210"/>
        <v>974.38943319636473</v>
      </c>
      <c r="AH347" s="237">
        <f t="shared" si="191"/>
        <v>2485.5817938155224</v>
      </c>
      <c r="AI347" s="1550">
        <f t="shared" si="192"/>
        <v>39.201664399891527</v>
      </c>
      <c r="AJ347" s="237">
        <f t="shared" si="211"/>
        <v>39.201664399891527</v>
      </c>
      <c r="AK347" s="1726">
        <f t="shared" si="212"/>
        <v>7.0911631882607846</v>
      </c>
      <c r="AL347" s="1139">
        <f t="shared" si="193"/>
        <v>7.8002795070868638</v>
      </c>
      <c r="AM347" s="1563">
        <f t="shared" si="194"/>
        <v>2.2272962300195238</v>
      </c>
      <c r="AN347" s="1563">
        <f t="shared" si="195"/>
        <v>19.571428571428573</v>
      </c>
    </row>
    <row r="348" spans="1:58" s="238" customFormat="1">
      <c r="A348" s="1136">
        <f t="shared" si="213"/>
        <v>10</v>
      </c>
      <c r="C348" s="215">
        <f t="shared" si="196"/>
        <v>0</v>
      </c>
      <c r="D348" s="215">
        <f t="shared" si="197"/>
        <v>0</v>
      </c>
      <c r="E348" s="237">
        <f t="shared" si="198"/>
        <v>0</v>
      </c>
      <c r="F348" s="1101">
        <f t="shared" si="199"/>
        <v>0.97857142857142865</v>
      </c>
      <c r="G348" s="237">
        <f t="shared" si="200"/>
        <v>19.571428571428573</v>
      </c>
      <c r="H348" s="237">
        <f t="shared" si="201"/>
        <v>400</v>
      </c>
      <c r="I348" s="237">
        <f t="shared" si="214"/>
        <v>616.0125280158469</v>
      </c>
      <c r="J348" s="237">
        <f t="shared" si="215"/>
        <v>628.3388718415091</v>
      </c>
      <c r="L348" s="237">
        <f t="shared" si="202"/>
        <v>0</v>
      </c>
      <c r="M348" s="237">
        <f t="shared" si="203"/>
        <v>10</v>
      </c>
      <c r="N348" s="1139">
        <f t="shared" si="204"/>
        <v>0.5</v>
      </c>
      <c r="O348" s="238">
        <f t="shared" si="216"/>
        <v>-1.2</v>
      </c>
      <c r="P348" s="237">
        <f t="shared" si="216"/>
        <v>75.3</v>
      </c>
      <c r="Q348" s="215">
        <f t="shared" si="185"/>
        <v>5.5277958291092082</v>
      </c>
      <c r="R348" s="1543">
        <f t="shared" si="186"/>
        <v>3.0095736051681925</v>
      </c>
      <c r="S348" s="1543">
        <f t="shared" si="205"/>
        <v>3.3105309656850119</v>
      </c>
      <c r="T348" s="1543">
        <f t="shared" si="217"/>
        <v>3.4760322513375219</v>
      </c>
      <c r="U348" s="1101">
        <f t="shared" si="218"/>
        <v>4.4210762966189776</v>
      </c>
      <c r="V348" s="1101">
        <f t="shared" si="219"/>
        <v>4.449412231104457</v>
      </c>
      <c r="W348" s="215">
        <f t="shared" si="220"/>
        <v>21</v>
      </c>
      <c r="X348" s="215">
        <f t="shared" si="206"/>
        <v>24.855817938155223</v>
      </c>
      <c r="Y348" s="1544">
        <f t="shared" si="207"/>
        <v>22.470103582789296</v>
      </c>
      <c r="AA348" s="237">
        <f t="shared" si="187"/>
        <v>552.77958291092079</v>
      </c>
      <c r="AB348" s="1550">
        <f t="shared" si="188"/>
        <v>416.24302593192334</v>
      </c>
      <c r="AC348" s="237">
        <f t="shared" si="189"/>
        <v>416.24302593192334</v>
      </c>
      <c r="AD348" s="215">
        <f t="shared" si="190"/>
        <v>11.898</v>
      </c>
      <c r="AE348" s="237">
        <f t="shared" si="208"/>
        <v>1392.4075437655936</v>
      </c>
      <c r="AF348" s="1550">
        <f t="shared" si="209"/>
        <v>974.38943319636473</v>
      </c>
      <c r="AG348" s="237">
        <f t="shared" si="210"/>
        <v>974.38943319636473</v>
      </c>
      <c r="AH348" s="237">
        <f t="shared" si="191"/>
        <v>2485.5817938155224</v>
      </c>
      <c r="AI348" s="1550">
        <f t="shared" si="192"/>
        <v>39.201664399891527</v>
      </c>
      <c r="AJ348" s="237">
        <f t="shared" si="211"/>
        <v>39.201664399891527</v>
      </c>
      <c r="AK348" s="1726">
        <f t="shared" si="212"/>
        <v>7.0911631882607846</v>
      </c>
      <c r="AL348" s="1139">
        <f t="shared" si="193"/>
        <v>7.8002795070868638</v>
      </c>
      <c r="AM348" s="1563">
        <f t="shared" si="194"/>
        <v>2.2272962300195238</v>
      </c>
      <c r="AN348" s="1563">
        <f t="shared" si="195"/>
        <v>19.571428571428573</v>
      </c>
    </row>
    <row r="349" spans="1:58" s="238" customFormat="1">
      <c r="A349" s="1136">
        <f t="shared" si="213"/>
        <v>11</v>
      </c>
      <c r="C349" s="215">
        <f t="shared" si="196"/>
        <v>0</v>
      </c>
      <c r="D349" s="215">
        <f t="shared" si="197"/>
        <v>0</v>
      </c>
      <c r="E349" s="237">
        <f t="shared" si="198"/>
        <v>0</v>
      </c>
      <c r="F349" s="1101">
        <f t="shared" si="199"/>
        <v>0.97857142857142865</v>
      </c>
      <c r="G349" s="237">
        <f t="shared" si="200"/>
        <v>19.571428571428573</v>
      </c>
      <c r="H349" s="237">
        <f t="shared" si="201"/>
        <v>400</v>
      </c>
      <c r="I349" s="237">
        <f t="shared" si="214"/>
        <v>546.0439837129469</v>
      </c>
      <c r="J349" s="237">
        <f t="shared" si="215"/>
        <v>554.37770571254839</v>
      </c>
      <c r="L349" s="237">
        <f t="shared" si="202"/>
        <v>0</v>
      </c>
      <c r="M349" s="237">
        <f t="shared" si="203"/>
        <v>10</v>
      </c>
      <c r="N349" s="1139">
        <f t="shared" si="204"/>
        <v>0.5</v>
      </c>
      <c r="O349" s="238">
        <f t="shared" si="216"/>
        <v>-1.2</v>
      </c>
      <c r="P349" s="237">
        <f t="shared" si="216"/>
        <v>75.3</v>
      </c>
      <c r="Q349" s="215">
        <f t="shared" si="185"/>
        <v>5.5277958291092082</v>
      </c>
      <c r="R349" s="1543">
        <f t="shared" si="186"/>
        <v>3.0095736051681925</v>
      </c>
      <c r="S349" s="1543">
        <f t="shared" si="205"/>
        <v>3.3105309656850119</v>
      </c>
      <c r="T349" s="1543">
        <f t="shared" si="217"/>
        <v>3.4760322513375219</v>
      </c>
      <c r="U349" s="1101">
        <f t="shared" si="218"/>
        <v>4.2268612227549163</v>
      </c>
      <c r="V349" s="1101">
        <f t="shared" si="219"/>
        <v>4.2460188743619787</v>
      </c>
      <c r="W349" s="215">
        <f t="shared" si="220"/>
        <v>21</v>
      </c>
      <c r="X349" s="215">
        <f t="shared" si="206"/>
        <v>24.855817938155223</v>
      </c>
      <c r="Y349" s="1544">
        <f t="shared" si="207"/>
        <v>21.449276059298171</v>
      </c>
      <c r="AA349" s="237">
        <f t="shared" si="187"/>
        <v>552.77958291092079</v>
      </c>
      <c r="AB349" s="1550">
        <f t="shared" si="188"/>
        <v>416.24302593192334</v>
      </c>
      <c r="AC349" s="237">
        <f t="shared" si="189"/>
        <v>416.24302593192334</v>
      </c>
      <c r="AD349" s="215">
        <f t="shared" si="190"/>
        <v>11.898</v>
      </c>
      <c r="AE349" s="237">
        <f t="shared" si="208"/>
        <v>1392.4075437655936</v>
      </c>
      <c r="AF349" s="1550">
        <f t="shared" si="209"/>
        <v>974.38943319636473</v>
      </c>
      <c r="AG349" s="237">
        <f t="shared" si="210"/>
        <v>974.38943319636473</v>
      </c>
      <c r="AH349" s="237">
        <f t="shared" si="191"/>
        <v>2485.5817938155224</v>
      </c>
      <c r="AI349" s="1550">
        <f t="shared" si="192"/>
        <v>39.201664399891527</v>
      </c>
      <c r="AJ349" s="237">
        <f t="shared" si="211"/>
        <v>39.201664399891527</v>
      </c>
      <c r="AK349" s="1726">
        <f t="shared" si="212"/>
        <v>7.0911631882607846</v>
      </c>
      <c r="AL349" s="1139">
        <f t="shared" si="193"/>
        <v>7.8002795070868638</v>
      </c>
      <c r="AM349" s="1563">
        <f t="shared" si="194"/>
        <v>2.2272962300195238</v>
      </c>
      <c r="AN349" s="1563">
        <f t="shared" si="195"/>
        <v>19.571428571428573</v>
      </c>
    </row>
    <row r="350" spans="1:58" s="238" customFormat="1">
      <c r="A350" s="1136">
        <f t="shared" si="213"/>
        <v>12</v>
      </c>
      <c r="C350" s="215">
        <f t="shared" si="196"/>
        <v>0</v>
      </c>
      <c r="D350" s="215">
        <f t="shared" si="197"/>
        <v>0</v>
      </c>
      <c r="E350" s="237">
        <f t="shared" si="198"/>
        <v>0</v>
      </c>
      <c r="F350" s="1101">
        <f t="shared" si="199"/>
        <v>0.97857142857142865</v>
      </c>
      <c r="G350" s="237">
        <f t="shared" si="200"/>
        <v>19.571428571428573</v>
      </c>
      <c r="H350" s="237">
        <f t="shared" si="201"/>
        <v>400</v>
      </c>
      <c r="I350" s="237">
        <f t="shared" si="214"/>
        <v>498.73892674031754</v>
      </c>
      <c r="J350" s="237">
        <f t="shared" si="215"/>
        <v>504.3732756883042</v>
      </c>
      <c r="L350" s="237">
        <f t="shared" si="202"/>
        <v>0</v>
      </c>
      <c r="M350" s="237">
        <f t="shared" si="203"/>
        <v>10</v>
      </c>
      <c r="N350" s="1139">
        <f t="shared" si="204"/>
        <v>0.5</v>
      </c>
      <c r="O350" s="238">
        <f t="shared" si="216"/>
        <v>-1.2</v>
      </c>
      <c r="P350" s="237">
        <f t="shared" si="216"/>
        <v>75.3</v>
      </c>
      <c r="Q350" s="215">
        <f t="shared" si="185"/>
        <v>5.5277958291092082</v>
      </c>
      <c r="R350" s="1543">
        <f t="shared" si="186"/>
        <v>3.0095736051681925</v>
      </c>
      <c r="S350" s="1543">
        <f t="shared" si="205"/>
        <v>3.3105309656850119</v>
      </c>
      <c r="T350" s="1543">
        <f t="shared" si="217"/>
        <v>3.4760322513375219</v>
      </c>
      <c r="U350" s="1101">
        <f t="shared" si="218"/>
        <v>4.0955542872510131</v>
      </c>
      <c r="V350" s="1101">
        <f t="shared" si="219"/>
        <v>4.1085065904575888</v>
      </c>
      <c r="W350" s="215">
        <f t="shared" si="220"/>
        <v>21</v>
      </c>
      <c r="X350" s="215">
        <f t="shared" si="206"/>
        <v>24.855817938155223</v>
      </c>
      <c r="Y350" s="1544">
        <f t="shared" si="207"/>
        <v>20.75876260249478</v>
      </c>
      <c r="AA350" s="237">
        <f t="shared" si="187"/>
        <v>552.77958291092079</v>
      </c>
      <c r="AB350" s="1550">
        <f t="shared" si="188"/>
        <v>416.24302593192334</v>
      </c>
      <c r="AC350" s="237">
        <f t="shared" si="189"/>
        <v>416.24302593192334</v>
      </c>
      <c r="AD350" s="215">
        <f t="shared" si="190"/>
        <v>11.898</v>
      </c>
      <c r="AE350" s="237">
        <f t="shared" si="208"/>
        <v>1392.4075437655936</v>
      </c>
      <c r="AF350" s="1550">
        <f t="shared" si="209"/>
        <v>974.38943319636473</v>
      </c>
      <c r="AG350" s="237">
        <f t="shared" si="210"/>
        <v>974.38943319636473</v>
      </c>
      <c r="AH350" s="237">
        <f t="shared" si="191"/>
        <v>2485.5817938155224</v>
      </c>
      <c r="AI350" s="1550">
        <f t="shared" si="192"/>
        <v>39.201664399891527</v>
      </c>
      <c r="AJ350" s="237">
        <f t="shared" si="211"/>
        <v>39.201664399891527</v>
      </c>
      <c r="AK350" s="1726">
        <f t="shared" si="212"/>
        <v>7.0911631882607846</v>
      </c>
      <c r="AL350" s="1139">
        <f t="shared" si="193"/>
        <v>7.8002795070868638</v>
      </c>
      <c r="AM350" s="1563">
        <f t="shared" si="194"/>
        <v>2.2272962300195238</v>
      </c>
      <c r="AN350" s="1563">
        <f t="shared" si="195"/>
        <v>19.571428571428573</v>
      </c>
    </row>
    <row r="351" spans="1:58" s="238" customFormat="1">
      <c r="A351" s="1136">
        <f t="shared" si="213"/>
        <v>13</v>
      </c>
      <c r="C351" s="215">
        <f t="shared" si="196"/>
        <v>0.8</v>
      </c>
      <c r="D351" s="215">
        <f t="shared" si="197"/>
        <v>0.45714285714285713</v>
      </c>
      <c r="E351" s="237">
        <f t="shared" si="198"/>
        <v>10971.428571428571</v>
      </c>
      <c r="F351" s="1101">
        <f t="shared" si="199"/>
        <v>0.97857142857142865</v>
      </c>
      <c r="G351" s="237">
        <f t="shared" si="200"/>
        <v>19.571428571428573</v>
      </c>
      <c r="H351" s="237">
        <f t="shared" si="201"/>
        <v>581.57855340161109</v>
      </c>
      <c r="I351" s="237">
        <f t="shared" si="214"/>
        <v>648.33498804524856</v>
      </c>
      <c r="J351" s="237">
        <f t="shared" si="215"/>
        <v>652.14431694645225</v>
      </c>
      <c r="L351" s="237">
        <f t="shared" si="202"/>
        <v>30.171428571428571</v>
      </c>
      <c r="M351" s="237">
        <f t="shared" si="203"/>
        <v>40.171428571428571</v>
      </c>
      <c r="N351" s="1139">
        <f t="shared" si="204"/>
        <v>2.0085714285714285</v>
      </c>
      <c r="O351" s="238">
        <f t="shared" si="216"/>
        <v>-1.2</v>
      </c>
      <c r="P351" s="237">
        <f t="shared" si="216"/>
        <v>75.3</v>
      </c>
      <c r="Q351" s="215">
        <f t="shared" si="185"/>
        <v>5.5277958291092082</v>
      </c>
      <c r="R351" s="1543">
        <f t="shared" si="186"/>
        <v>3.0095736051681925</v>
      </c>
      <c r="S351" s="1543">
        <f t="shared" si="205"/>
        <v>3.3105309656850119</v>
      </c>
      <c r="T351" s="1543">
        <f t="shared" si="217"/>
        <v>3.9753732731919529</v>
      </c>
      <c r="U351" s="1101">
        <f t="shared" si="218"/>
        <v>4.506119958313187</v>
      </c>
      <c r="V351" s="1101">
        <f t="shared" si="219"/>
        <v>4.5148768854040435</v>
      </c>
      <c r="W351" s="215">
        <f t="shared" si="220"/>
        <v>21</v>
      </c>
      <c r="X351" s="215">
        <f t="shared" si="206"/>
        <v>24.855817938155223</v>
      </c>
      <c r="Y351" s="1544">
        <f t="shared" si="207"/>
        <v>22.798541216523905</v>
      </c>
      <c r="AA351" s="237">
        <f t="shared" si="187"/>
        <v>552.77958291092079</v>
      </c>
      <c r="AB351" s="1550">
        <f t="shared" si="188"/>
        <v>416.24302593192334</v>
      </c>
      <c r="AC351" s="237">
        <f t="shared" si="189"/>
        <v>416.24302593192334</v>
      </c>
      <c r="AD351" s="215">
        <f t="shared" si="190"/>
        <v>11.898</v>
      </c>
      <c r="AE351" s="237">
        <f t="shared" si="208"/>
        <v>1392.4075437655936</v>
      </c>
      <c r="AF351" s="1550">
        <f t="shared" si="209"/>
        <v>974.38943319636473</v>
      </c>
      <c r="AG351" s="237">
        <f t="shared" si="210"/>
        <v>974.38943319636473</v>
      </c>
      <c r="AH351" s="237">
        <f t="shared" si="191"/>
        <v>2485.5817938155224</v>
      </c>
      <c r="AI351" s="1550">
        <f t="shared" si="192"/>
        <v>39.201664399891527</v>
      </c>
      <c r="AJ351" s="237">
        <f t="shared" si="211"/>
        <v>39.201664399891527</v>
      </c>
      <c r="AK351" s="1726">
        <f t="shared" si="212"/>
        <v>7.0911631882607846</v>
      </c>
      <c r="AL351" s="1139">
        <f t="shared" si="193"/>
        <v>7.8002795070868638</v>
      </c>
      <c r="AM351" s="1563">
        <f t="shared" si="194"/>
        <v>8.9473671411641433</v>
      </c>
      <c r="AN351" s="1563">
        <f t="shared" si="195"/>
        <v>19.571428571428573</v>
      </c>
    </row>
    <row r="352" spans="1:58" s="238" customFormat="1">
      <c r="A352" s="1136">
        <f t="shared" si="213"/>
        <v>14</v>
      </c>
      <c r="C352" s="215">
        <f t="shared" si="196"/>
        <v>0.4</v>
      </c>
      <c r="D352" s="215">
        <f t="shared" si="197"/>
        <v>0.22857142857142856</v>
      </c>
      <c r="E352" s="237">
        <f t="shared" si="198"/>
        <v>5485.7142857142853</v>
      </c>
      <c r="F352" s="1101">
        <f t="shared" si="199"/>
        <v>0.97857142857142865</v>
      </c>
      <c r="G352" s="237">
        <f t="shared" si="200"/>
        <v>19.571428571428573</v>
      </c>
      <c r="H352" s="237">
        <f t="shared" si="201"/>
        <v>490.78927670080554</v>
      </c>
      <c r="I352" s="237">
        <f t="shared" si="214"/>
        <v>658.68616343496069</v>
      </c>
      <c r="J352" s="237">
        <f t="shared" si="215"/>
        <v>661.26161391051744</v>
      </c>
      <c r="L352" s="237">
        <f t="shared" si="202"/>
        <v>15.085714285714285</v>
      </c>
      <c r="M352" s="237">
        <f t="shared" si="203"/>
        <v>25.085714285714285</v>
      </c>
      <c r="N352" s="1139">
        <f t="shared" si="204"/>
        <v>1.2542857142857142</v>
      </c>
      <c r="O352" s="238">
        <f t="shared" si="216"/>
        <v>-1.2</v>
      </c>
      <c r="P352" s="237">
        <f t="shared" si="216"/>
        <v>75.3</v>
      </c>
      <c r="Q352" s="215">
        <f t="shared" si="185"/>
        <v>5.5277958291092082</v>
      </c>
      <c r="R352" s="1543">
        <f t="shared" si="186"/>
        <v>3.0095736051681925</v>
      </c>
      <c r="S352" s="1543">
        <f t="shared" si="205"/>
        <v>3.3105309656850119</v>
      </c>
      <c r="T352" s="1543">
        <f t="shared" si="217"/>
        <v>3.7257027622647376</v>
      </c>
      <c r="U352" s="1101">
        <f t="shared" si="218"/>
        <v>4.5340289319115197</v>
      </c>
      <c r="V352" s="1101">
        <f t="shared" si="219"/>
        <v>4.5399494057339389</v>
      </c>
      <c r="W352" s="215">
        <f t="shared" si="220"/>
        <v>21</v>
      </c>
      <c r="X352" s="215">
        <f t="shared" si="206"/>
        <v>24.855817938155223</v>
      </c>
      <c r="Y352" s="1544">
        <f t="shared" si="207"/>
        <v>22.924314075944071</v>
      </c>
      <c r="AA352" s="237">
        <f t="shared" si="187"/>
        <v>552.77958291092079</v>
      </c>
      <c r="AB352" s="1550">
        <f t="shared" si="188"/>
        <v>416.24302593192334</v>
      </c>
      <c r="AC352" s="237">
        <f t="shared" si="189"/>
        <v>416.24302593192334</v>
      </c>
      <c r="AD352" s="215">
        <f t="shared" si="190"/>
        <v>11.898</v>
      </c>
      <c r="AE352" s="237">
        <f t="shared" si="208"/>
        <v>1392.4075437655936</v>
      </c>
      <c r="AF352" s="1550">
        <f t="shared" si="209"/>
        <v>974.38943319636473</v>
      </c>
      <c r="AG352" s="237">
        <f t="shared" si="210"/>
        <v>974.38943319636473</v>
      </c>
      <c r="AH352" s="237">
        <f t="shared" si="191"/>
        <v>2485.5817938155224</v>
      </c>
      <c r="AI352" s="1550">
        <f t="shared" si="192"/>
        <v>39.201664399891527</v>
      </c>
      <c r="AJ352" s="237">
        <f t="shared" si="211"/>
        <v>39.201664399891527</v>
      </c>
      <c r="AK352" s="1726">
        <f t="shared" si="212"/>
        <v>7.0911631882607846</v>
      </c>
      <c r="AL352" s="1139">
        <f t="shared" si="193"/>
        <v>7.8002795070868638</v>
      </c>
      <c r="AM352" s="1563">
        <f t="shared" si="194"/>
        <v>5.5873316855918338</v>
      </c>
      <c r="AN352" s="1563">
        <f t="shared" si="195"/>
        <v>19.571428571428573</v>
      </c>
    </row>
    <row r="353" spans="1:40" s="238" customFormat="1">
      <c r="A353" s="1136">
        <f t="shared" si="213"/>
        <v>15</v>
      </c>
      <c r="C353" s="215">
        <f t="shared" si="196"/>
        <v>0</v>
      </c>
      <c r="D353" s="215">
        <f t="shared" si="197"/>
        <v>0</v>
      </c>
      <c r="E353" s="237">
        <f t="shared" si="198"/>
        <v>0</v>
      </c>
      <c r="F353" s="1101">
        <f t="shared" si="199"/>
        <v>0.97857142857142865</v>
      </c>
      <c r="G353" s="237">
        <f t="shared" si="200"/>
        <v>19.571428571428573</v>
      </c>
      <c r="H353" s="237">
        <f t="shared" si="201"/>
        <v>400</v>
      </c>
      <c r="I353" s="237">
        <f t="shared" si="214"/>
        <v>574.89521643248656</v>
      </c>
      <c r="J353" s="237">
        <f t="shared" si="215"/>
        <v>576.63645362257273</v>
      </c>
      <c r="L353" s="237">
        <f t="shared" si="202"/>
        <v>0</v>
      </c>
      <c r="M353" s="237">
        <f t="shared" si="203"/>
        <v>10</v>
      </c>
      <c r="N353" s="1139">
        <f t="shared" si="204"/>
        <v>0.5</v>
      </c>
      <c r="O353" s="238">
        <f t="shared" si="216"/>
        <v>-1.2</v>
      </c>
      <c r="P353" s="237">
        <f t="shared" si="216"/>
        <v>75.3</v>
      </c>
      <c r="Q353" s="215">
        <f t="shared" si="185"/>
        <v>5.5277958291092082</v>
      </c>
      <c r="R353" s="1543">
        <f t="shared" si="186"/>
        <v>3.0095736051681925</v>
      </c>
      <c r="S353" s="1543">
        <f t="shared" si="205"/>
        <v>3.3105309656850119</v>
      </c>
      <c r="T353" s="1543">
        <f t="shared" si="217"/>
        <v>3.4760322513375219</v>
      </c>
      <c r="U353" s="1101">
        <f t="shared" si="218"/>
        <v>4.3032274084596098</v>
      </c>
      <c r="V353" s="1101">
        <f t="shared" si="219"/>
        <v>4.3072301836247187</v>
      </c>
      <c r="W353" s="215">
        <f t="shared" si="220"/>
        <v>21</v>
      </c>
      <c r="X353" s="215">
        <f t="shared" si="206"/>
        <v>24.855817938155223</v>
      </c>
      <c r="Y353" s="1544">
        <f t="shared" si="207"/>
        <v>21.756557939713538</v>
      </c>
      <c r="AA353" s="237">
        <f t="shared" si="187"/>
        <v>552.77958291092079</v>
      </c>
      <c r="AB353" s="1550">
        <f t="shared" si="188"/>
        <v>416.24302593192334</v>
      </c>
      <c r="AC353" s="237">
        <f t="shared" si="189"/>
        <v>416.24302593192334</v>
      </c>
      <c r="AD353" s="215">
        <f t="shared" si="190"/>
        <v>11.898</v>
      </c>
      <c r="AE353" s="237">
        <f t="shared" si="208"/>
        <v>1392.4075437655936</v>
      </c>
      <c r="AF353" s="1550">
        <f t="shared" si="209"/>
        <v>974.38943319636473</v>
      </c>
      <c r="AG353" s="237">
        <f t="shared" si="210"/>
        <v>974.38943319636473</v>
      </c>
      <c r="AH353" s="237">
        <f t="shared" si="191"/>
        <v>2485.5817938155224</v>
      </c>
      <c r="AI353" s="1550">
        <f t="shared" si="192"/>
        <v>39.201664399891527</v>
      </c>
      <c r="AJ353" s="237">
        <f t="shared" si="211"/>
        <v>39.201664399891527</v>
      </c>
      <c r="AK353" s="1726">
        <f t="shared" si="212"/>
        <v>7.0911631882607846</v>
      </c>
      <c r="AL353" s="1139">
        <f t="shared" si="193"/>
        <v>7.8002795070868638</v>
      </c>
      <c r="AM353" s="1563">
        <f t="shared" si="194"/>
        <v>2.2272962300195238</v>
      </c>
      <c r="AN353" s="1563">
        <f t="shared" si="195"/>
        <v>19.571428571428573</v>
      </c>
    </row>
    <row r="354" spans="1:40" s="238" customFormat="1">
      <c r="A354" s="1136">
        <f t="shared" si="213"/>
        <v>16</v>
      </c>
      <c r="C354" s="215">
        <f t="shared" si="196"/>
        <v>0</v>
      </c>
      <c r="D354" s="215">
        <f t="shared" si="197"/>
        <v>0</v>
      </c>
      <c r="E354" s="237">
        <f t="shared" si="198"/>
        <v>0</v>
      </c>
      <c r="F354" s="1101">
        <f t="shared" si="199"/>
        <v>0.97857142857142865</v>
      </c>
      <c r="G354" s="237">
        <f t="shared" si="200"/>
        <v>19.571428571428573</v>
      </c>
      <c r="H354" s="237">
        <f t="shared" si="201"/>
        <v>400</v>
      </c>
      <c r="I354" s="237">
        <f t="shared" si="214"/>
        <v>518.24496650613048</v>
      </c>
      <c r="J354" s="237">
        <f t="shared" si="215"/>
        <v>519.42220015162843</v>
      </c>
      <c r="L354" s="237">
        <f t="shared" si="202"/>
        <v>0</v>
      </c>
      <c r="M354" s="237">
        <f t="shared" si="203"/>
        <v>10</v>
      </c>
      <c r="N354" s="1139">
        <f t="shared" si="204"/>
        <v>0.5</v>
      </c>
      <c r="O354" s="238">
        <f t="shared" si="216"/>
        <v>-1.2</v>
      </c>
      <c r="P354" s="237">
        <f t="shared" si="216"/>
        <v>75.3</v>
      </c>
      <c r="Q354" s="215">
        <f t="shared" si="185"/>
        <v>5.5277958291092082</v>
      </c>
      <c r="R354" s="1543">
        <f t="shared" si="186"/>
        <v>3.0095736051681925</v>
      </c>
      <c r="S354" s="1543">
        <f t="shared" si="205"/>
        <v>3.3105309656850119</v>
      </c>
      <c r="T354" s="1543">
        <f t="shared" si="217"/>
        <v>3.4760322513375219</v>
      </c>
      <c r="U354" s="1101">
        <f t="shared" si="218"/>
        <v>4.147184727780175</v>
      </c>
      <c r="V354" s="1101">
        <f t="shared" si="219"/>
        <v>4.1498909654062492</v>
      </c>
      <c r="W354" s="215">
        <f t="shared" si="220"/>
        <v>21</v>
      </c>
      <c r="X354" s="215">
        <f t="shared" si="206"/>
        <v>24.855817938155223</v>
      </c>
      <c r="Y354" s="1544">
        <f t="shared" si="207"/>
        <v>20.966601914658941</v>
      </c>
      <c r="AA354" s="237">
        <f t="shared" si="187"/>
        <v>552.77958291092079</v>
      </c>
      <c r="AB354" s="1550">
        <f t="shared" si="188"/>
        <v>416.24302593192334</v>
      </c>
      <c r="AC354" s="237">
        <f t="shared" si="189"/>
        <v>416.24302593192334</v>
      </c>
      <c r="AD354" s="215">
        <f t="shared" si="190"/>
        <v>11.898</v>
      </c>
      <c r="AE354" s="237">
        <f t="shared" si="208"/>
        <v>1392.4075437655936</v>
      </c>
      <c r="AF354" s="1550">
        <f t="shared" si="209"/>
        <v>974.38943319636473</v>
      </c>
      <c r="AG354" s="237">
        <f t="shared" si="210"/>
        <v>974.38943319636473</v>
      </c>
      <c r="AH354" s="237">
        <f t="shared" si="191"/>
        <v>2485.5817938155224</v>
      </c>
      <c r="AI354" s="1550">
        <f t="shared" si="192"/>
        <v>39.201664399891527</v>
      </c>
      <c r="AJ354" s="237">
        <f t="shared" si="211"/>
        <v>39.201664399891527</v>
      </c>
      <c r="AK354" s="1726">
        <f t="shared" si="212"/>
        <v>7.0911631882607846</v>
      </c>
      <c r="AL354" s="1139">
        <f t="shared" si="193"/>
        <v>7.8002795070868638</v>
      </c>
      <c r="AM354" s="1563">
        <f t="shared" si="194"/>
        <v>2.2272962300195238</v>
      </c>
      <c r="AN354" s="1563">
        <f t="shared" si="195"/>
        <v>19.571428571428573</v>
      </c>
    </row>
    <row r="355" spans="1:40" s="238" customFormat="1">
      <c r="A355" s="1136">
        <f t="shared" si="213"/>
        <v>17</v>
      </c>
      <c r="C355" s="215">
        <f t="shared" si="196"/>
        <v>0</v>
      </c>
      <c r="D355" s="215">
        <f t="shared" si="197"/>
        <v>0</v>
      </c>
      <c r="E355" s="237">
        <f t="shared" si="198"/>
        <v>0</v>
      </c>
      <c r="F355" s="1101">
        <f t="shared" si="199"/>
        <v>0.97857142857142865</v>
      </c>
      <c r="G355" s="237">
        <f t="shared" si="200"/>
        <v>19.571428571428573</v>
      </c>
      <c r="H355" s="237">
        <f t="shared" si="201"/>
        <v>400</v>
      </c>
      <c r="I355" s="237">
        <f t="shared" si="214"/>
        <v>479.94427971924108</v>
      </c>
      <c r="J355" s="237">
        <f t="shared" si="215"/>
        <v>480.7401960159886</v>
      </c>
      <c r="L355" s="237">
        <f t="shared" si="202"/>
        <v>0</v>
      </c>
      <c r="M355" s="237">
        <f t="shared" si="203"/>
        <v>10</v>
      </c>
      <c r="N355" s="1139">
        <f t="shared" si="204"/>
        <v>0.5</v>
      </c>
      <c r="O355" s="238">
        <f t="shared" si="216"/>
        <v>-1.2</v>
      </c>
      <c r="P355" s="237">
        <f t="shared" si="216"/>
        <v>75.3</v>
      </c>
      <c r="Q355" s="215">
        <f t="shared" si="185"/>
        <v>5.5277958291092082</v>
      </c>
      <c r="R355" s="1543">
        <f t="shared" si="186"/>
        <v>3.0095736051681925</v>
      </c>
      <c r="S355" s="1543">
        <f t="shared" si="205"/>
        <v>3.3105309656850119</v>
      </c>
      <c r="T355" s="1543">
        <f t="shared" si="217"/>
        <v>3.4760322513375219</v>
      </c>
      <c r="U355" s="1101">
        <f t="shared" si="218"/>
        <v>4.0416857785988567</v>
      </c>
      <c r="V355" s="1101">
        <f t="shared" si="219"/>
        <v>4.043515439718127</v>
      </c>
      <c r="W355" s="215">
        <f t="shared" si="220"/>
        <v>21</v>
      </c>
      <c r="X355" s="215">
        <f t="shared" si="206"/>
        <v>24.855817938155223</v>
      </c>
      <c r="Y355" s="1544">
        <f t="shared" si="207"/>
        <v>20.432315631923561</v>
      </c>
      <c r="AA355" s="237">
        <f t="shared" si="187"/>
        <v>552.77958291092079</v>
      </c>
      <c r="AB355" s="1550">
        <f t="shared" si="188"/>
        <v>416.24302593192334</v>
      </c>
      <c r="AC355" s="237">
        <f t="shared" si="189"/>
        <v>416.24302593192334</v>
      </c>
      <c r="AD355" s="215">
        <f t="shared" si="190"/>
        <v>11.898</v>
      </c>
      <c r="AE355" s="237">
        <f t="shared" si="208"/>
        <v>1392.4075437655936</v>
      </c>
      <c r="AF355" s="1550">
        <f t="shared" si="209"/>
        <v>974.38943319636473</v>
      </c>
      <c r="AG355" s="237">
        <f t="shared" si="210"/>
        <v>974.38943319636473</v>
      </c>
      <c r="AH355" s="237">
        <f t="shared" si="191"/>
        <v>2485.5817938155224</v>
      </c>
      <c r="AI355" s="1550">
        <f t="shared" si="192"/>
        <v>39.201664399891527</v>
      </c>
      <c r="AJ355" s="237">
        <f t="shared" si="211"/>
        <v>39.201664399891527</v>
      </c>
      <c r="AK355" s="1726">
        <f t="shared" si="212"/>
        <v>7.0911631882607846</v>
      </c>
      <c r="AL355" s="1139">
        <f t="shared" si="193"/>
        <v>7.8002795070868638</v>
      </c>
      <c r="AM355" s="1563">
        <f t="shared" si="194"/>
        <v>2.2272962300195238</v>
      </c>
      <c r="AN355" s="1563">
        <f t="shared" si="195"/>
        <v>19.571428571428573</v>
      </c>
    </row>
    <row r="356" spans="1:40" s="238" customFormat="1">
      <c r="A356" s="1136">
        <f t="shared" si="213"/>
        <v>18</v>
      </c>
      <c r="C356" s="215">
        <f t="shared" si="196"/>
        <v>0.4</v>
      </c>
      <c r="D356" s="215">
        <f t="shared" si="197"/>
        <v>0.22857142857142856</v>
      </c>
      <c r="E356" s="237">
        <f t="shared" si="198"/>
        <v>5485.7142857142853</v>
      </c>
      <c r="F356" s="1101">
        <f t="shared" si="199"/>
        <v>0.97857142857142865</v>
      </c>
      <c r="G356" s="237">
        <f t="shared" si="200"/>
        <v>19.571428571428573</v>
      </c>
      <c r="H356" s="237">
        <f t="shared" si="201"/>
        <v>490.78927670080554</v>
      </c>
      <c r="I356" s="237">
        <f t="shared" si="214"/>
        <v>544.83883203216851</v>
      </c>
      <c r="J356" s="237">
        <f t="shared" si="215"/>
        <v>545.37694335259403</v>
      </c>
      <c r="L356" s="237">
        <f t="shared" si="202"/>
        <v>15.085714285714285</v>
      </c>
      <c r="M356" s="237">
        <f t="shared" si="203"/>
        <v>25.085714285714285</v>
      </c>
      <c r="N356" s="1139">
        <f t="shared" si="204"/>
        <v>1.2542857142857142</v>
      </c>
      <c r="O356" s="238">
        <f t="shared" si="216"/>
        <v>-1.2</v>
      </c>
      <c r="P356" s="237">
        <f t="shared" si="216"/>
        <v>75.3</v>
      </c>
      <c r="Q356" s="215">
        <f t="shared" si="185"/>
        <v>5.5277958291092082</v>
      </c>
      <c r="R356" s="1543">
        <f t="shared" si="186"/>
        <v>3.0095736051681925</v>
      </c>
      <c r="S356" s="1543">
        <f t="shared" si="205"/>
        <v>3.3105309656850119</v>
      </c>
      <c r="T356" s="1543">
        <f t="shared" si="217"/>
        <v>3.7257027622647376</v>
      </c>
      <c r="U356" s="1101">
        <f t="shared" si="218"/>
        <v>4.2200294690055555</v>
      </c>
      <c r="V356" s="1101">
        <f t="shared" si="219"/>
        <v>4.221266485215482</v>
      </c>
      <c r="W356" s="215">
        <f t="shared" si="220"/>
        <v>21</v>
      </c>
      <c r="X356" s="215">
        <f t="shared" si="206"/>
        <v>24.855817938155223</v>
      </c>
      <c r="Y356" s="1544">
        <f t="shared" si="207"/>
        <v>21.325003101644604</v>
      </c>
      <c r="AA356" s="237">
        <f t="shared" si="187"/>
        <v>552.77958291092079</v>
      </c>
      <c r="AB356" s="1550">
        <f t="shared" si="188"/>
        <v>416.24302593192334</v>
      </c>
      <c r="AC356" s="237">
        <f t="shared" si="189"/>
        <v>416.24302593192334</v>
      </c>
      <c r="AD356" s="215">
        <f t="shared" si="190"/>
        <v>11.898</v>
      </c>
      <c r="AE356" s="237">
        <f t="shared" si="208"/>
        <v>1392.4075437655936</v>
      </c>
      <c r="AF356" s="1550">
        <f t="shared" si="209"/>
        <v>974.38943319636473</v>
      </c>
      <c r="AG356" s="237">
        <f t="shared" si="210"/>
        <v>974.38943319636473</v>
      </c>
      <c r="AH356" s="237">
        <f t="shared" si="191"/>
        <v>2485.5817938155224</v>
      </c>
      <c r="AI356" s="1550">
        <f t="shared" si="192"/>
        <v>39.201664399891527</v>
      </c>
      <c r="AJ356" s="237">
        <f t="shared" si="211"/>
        <v>39.201664399891527</v>
      </c>
      <c r="AK356" s="1726">
        <f t="shared" si="212"/>
        <v>7.0911631882607846</v>
      </c>
      <c r="AL356" s="1139">
        <f t="shared" si="193"/>
        <v>7.8002795070868638</v>
      </c>
      <c r="AM356" s="1563">
        <f t="shared" si="194"/>
        <v>5.5873316855918338</v>
      </c>
      <c r="AN356" s="1563">
        <f t="shared" si="195"/>
        <v>19.571428571428573</v>
      </c>
    </row>
    <row r="357" spans="1:40" s="238" customFormat="1">
      <c r="A357" s="1136">
        <f t="shared" si="213"/>
        <v>19</v>
      </c>
      <c r="C357" s="215">
        <f t="shared" si="196"/>
        <v>0.8</v>
      </c>
      <c r="D357" s="215">
        <f t="shared" si="197"/>
        <v>0.45714285714285713</v>
      </c>
      <c r="E357" s="237">
        <f t="shared" si="198"/>
        <v>10971.428571428571</v>
      </c>
      <c r="F357" s="1101">
        <f t="shared" si="199"/>
        <v>0.97857142857142865</v>
      </c>
      <c r="G357" s="237">
        <f t="shared" si="200"/>
        <v>19.571428571428573</v>
      </c>
      <c r="H357" s="237">
        <f t="shared" si="201"/>
        <v>581.57855340161109</v>
      </c>
      <c r="I357" s="237">
        <f t="shared" si="214"/>
        <v>679.50268873119012</v>
      </c>
      <c r="J357" s="237">
        <f t="shared" si="215"/>
        <v>679.86650059727879</v>
      </c>
      <c r="L357" s="237">
        <f t="shared" si="202"/>
        <v>30.171428571428571</v>
      </c>
      <c r="M357" s="237">
        <f t="shared" si="203"/>
        <v>40.171428571428571</v>
      </c>
      <c r="N357" s="1139">
        <f t="shared" si="204"/>
        <v>2.0085714285714285</v>
      </c>
      <c r="O357" s="238">
        <f t="shared" si="216"/>
        <v>-1.2</v>
      </c>
      <c r="P357" s="237">
        <f t="shared" si="216"/>
        <v>75.3</v>
      </c>
      <c r="Q357" s="215">
        <f t="shared" si="185"/>
        <v>5.5277958291092082</v>
      </c>
      <c r="R357" s="1543">
        <f t="shared" si="186"/>
        <v>3.0095736051681925</v>
      </c>
      <c r="S357" s="1543">
        <f t="shared" si="205"/>
        <v>3.3105309656850119</v>
      </c>
      <c r="T357" s="1543">
        <f t="shared" si="217"/>
        <v>3.9753732731919529</v>
      </c>
      <c r="U357" s="1101">
        <f t="shared" si="218"/>
        <v>4.5902764263838396</v>
      </c>
      <c r="V357" s="1101">
        <f t="shared" si="219"/>
        <v>4.5911127610949531</v>
      </c>
      <c r="W357" s="215">
        <f t="shared" si="220"/>
        <v>21</v>
      </c>
      <c r="X357" s="215">
        <f t="shared" si="206"/>
        <v>24.855817938155223</v>
      </c>
      <c r="Y357" s="1544">
        <f t="shared" si="207"/>
        <v>23.180939624179576</v>
      </c>
      <c r="AA357" s="237">
        <f t="shared" si="187"/>
        <v>552.77958291092079</v>
      </c>
      <c r="AB357" s="1550">
        <f t="shared" si="188"/>
        <v>416.24302593192334</v>
      </c>
      <c r="AC357" s="237">
        <f t="shared" si="189"/>
        <v>416.24302593192334</v>
      </c>
      <c r="AD357" s="215">
        <f t="shared" si="190"/>
        <v>11.898</v>
      </c>
      <c r="AE357" s="237">
        <f t="shared" si="208"/>
        <v>1392.4075437655936</v>
      </c>
      <c r="AF357" s="1550">
        <f t="shared" si="209"/>
        <v>974.38943319636473</v>
      </c>
      <c r="AG357" s="237">
        <f t="shared" si="210"/>
        <v>974.38943319636473</v>
      </c>
      <c r="AH357" s="237">
        <f t="shared" si="191"/>
        <v>2485.5817938155224</v>
      </c>
      <c r="AI357" s="1550">
        <f t="shared" si="192"/>
        <v>39.201664399891527</v>
      </c>
      <c r="AJ357" s="237">
        <f t="shared" si="211"/>
        <v>39.201664399891527</v>
      </c>
      <c r="AK357" s="1726">
        <f t="shared" si="212"/>
        <v>7.0911631882607846</v>
      </c>
      <c r="AL357" s="1139">
        <f t="shared" si="193"/>
        <v>7.8002795070868638</v>
      </c>
      <c r="AM357" s="1563">
        <f t="shared" si="194"/>
        <v>8.9473671411641433</v>
      </c>
      <c r="AN357" s="1563">
        <f t="shared" si="195"/>
        <v>19.571428571428573</v>
      </c>
    </row>
    <row r="358" spans="1:40" s="238" customFormat="1">
      <c r="A358" s="1136">
        <f t="shared" si="213"/>
        <v>20</v>
      </c>
      <c r="C358" s="215">
        <f t="shared" si="196"/>
        <v>0.8</v>
      </c>
      <c r="D358" s="215">
        <f t="shared" si="197"/>
        <v>0.45714285714285713</v>
      </c>
      <c r="E358" s="237">
        <f t="shared" si="198"/>
        <v>10971.428571428571</v>
      </c>
      <c r="F358" s="1101">
        <f t="shared" si="199"/>
        <v>0.97857142857142865</v>
      </c>
      <c r="G358" s="237">
        <f t="shared" si="200"/>
        <v>19.571428571428573</v>
      </c>
      <c r="H358" s="237">
        <f t="shared" si="201"/>
        <v>581.57855340161109</v>
      </c>
      <c r="I358" s="237">
        <f t="shared" si="214"/>
        <v>770.54762151875389</v>
      </c>
      <c r="J358" s="237">
        <f t="shared" si="215"/>
        <v>770.79359120733488</v>
      </c>
      <c r="L358" s="237">
        <f t="shared" si="202"/>
        <v>30.171428571428571</v>
      </c>
      <c r="M358" s="237">
        <f t="shared" si="203"/>
        <v>40.171428571428571</v>
      </c>
      <c r="N358" s="1139">
        <f t="shared" si="204"/>
        <v>2.0085714285714285</v>
      </c>
      <c r="O358" s="238">
        <f t="shared" si="216"/>
        <v>-1.2</v>
      </c>
      <c r="P358" s="237">
        <f t="shared" si="216"/>
        <v>75.3</v>
      </c>
      <c r="Q358" s="215">
        <f t="shared" si="185"/>
        <v>5.5277958291092082</v>
      </c>
      <c r="R358" s="1543">
        <f t="shared" si="186"/>
        <v>3.0095736051681925</v>
      </c>
      <c r="S358" s="1543">
        <f t="shared" si="205"/>
        <v>3.3105309656850119</v>
      </c>
      <c r="T358" s="1543">
        <f t="shared" si="217"/>
        <v>3.9753732731919529</v>
      </c>
      <c r="U358" s="1101">
        <f t="shared" si="218"/>
        <v>4.8405968180286951</v>
      </c>
      <c r="V358" s="1101">
        <f t="shared" si="219"/>
        <v>4.84116225584867</v>
      </c>
      <c r="W358" s="215">
        <f t="shared" si="220"/>
        <v>21</v>
      </c>
      <c r="X358" s="215">
        <f t="shared" si="206"/>
        <v>24.855817938155223</v>
      </c>
      <c r="Y358" s="1544">
        <f t="shared" si="207"/>
        <v>24.434591517152839</v>
      </c>
      <c r="AA358" s="237">
        <f t="shared" si="187"/>
        <v>552.77958291092079</v>
      </c>
      <c r="AB358" s="1550">
        <f t="shared" si="188"/>
        <v>416.24302593192334</v>
      </c>
      <c r="AC358" s="237">
        <f t="shared" si="189"/>
        <v>416.24302593192334</v>
      </c>
      <c r="AD358" s="215">
        <f t="shared" si="190"/>
        <v>11.898</v>
      </c>
      <c r="AE358" s="237">
        <f t="shared" si="208"/>
        <v>1392.4075437655936</v>
      </c>
      <c r="AF358" s="1550">
        <f t="shared" si="209"/>
        <v>974.38943319636473</v>
      </c>
      <c r="AG358" s="237">
        <f t="shared" si="210"/>
        <v>974.38943319636473</v>
      </c>
      <c r="AH358" s="237">
        <f t="shared" si="191"/>
        <v>2485.5817938155224</v>
      </c>
      <c r="AI358" s="1550">
        <f t="shared" si="192"/>
        <v>39.201664399891527</v>
      </c>
      <c r="AJ358" s="237">
        <f t="shared" si="211"/>
        <v>39.201664399891527</v>
      </c>
      <c r="AK358" s="1726">
        <f t="shared" si="212"/>
        <v>7.0911631882607846</v>
      </c>
      <c r="AL358" s="1139">
        <f t="shared" si="193"/>
        <v>7.8002795070868638</v>
      </c>
      <c r="AM358" s="1563">
        <f t="shared" si="194"/>
        <v>8.9473671411641433</v>
      </c>
      <c r="AN358" s="1563">
        <f t="shared" si="195"/>
        <v>19.571428571428573</v>
      </c>
    </row>
    <row r="359" spans="1:40" s="238" customFormat="1">
      <c r="A359" s="1136">
        <f t="shared" si="213"/>
        <v>21</v>
      </c>
      <c r="C359" s="215">
        <f t="shared" si="196"/>
        <v>0.8</v>
      </c>
      <c r="D359" s="215">
        <f t="shared" si="197"/>
        <v>0.45714285714285713</v>
      </c>
      <c r="E359" s="237">
        <f t="shared" si="198"/>
        <v>10971.428571428571</v>
      </c>
      <c r="F359" s="1101">
        <f t="shared" si="199"/>
        <v>0.97857142857142865</v>
      </c>
      <c r="G359" s="237">
        <f t="shared" si="200"/>
        <v>19.571428571428573</v>
      </c>
      <c r="H359" s="237">
        <f t="shared" si="201"/>
        <v>581.57855340161109</v>
      </c>
      <c r="I359" s="237">
        <f t="shared" si="214"/>
        <v>832.10222116770512</v>
      </c>
      <c r="J359" s="237">
        <f t="shared" si="215"/>
        <v>832.26851889831812</v>
      </c>
      <c r="L359" s="237">
        <f t="shared" si="202"/>
        <v>30.171428571428571</v>
      </c>
      <c r="M359" s="237">
        <f t="shared" si="203"/>
        <v>40.171428571428571</v>
      </c>
      <c r="N359" s="1139">
        <f t="shared" si="204"/>
        <v>2.0085714285714285</v>
      </c>
      <c r="O359" s="238">
        <f t="shared" si="216"/>
        <v>-1.2</v>
      </c>
      <c r="P359" s="237">
        <f t="shared" si="216"/>
        <v>75.3</v>
      </c>
      <c r="Q359" s="215">
        <f t="shared" si="185"/>
        <v>5.5277958291092082</v>
      </c>
      <c r="R359" s="1543">
        <f t="shared" si="186"/>
        <v>3.0095736051681925</v>
      </c>
      <c r="S359" s="1543">
        <f t="shared" si="205"/>
        <v>3.3105309656850119</v>
      </c>
      <c r="T359" s="1543">
        <f t="shared" si="217"/>
        <v>3.9753732731919529</v>
      </c>
      <c r="U359" s="1101">
        <f t="shared" si="218"/>
        <v>5.0098360169594072</v>
      </c>
      <c r="V359" s="1101">
        <f t="shared" si="219"/>
        <v>5.0102183040078927</v>
      </c>
      <c r="W359" s="215">
        <f t="shared" si="220"/>
        <v>21</v>
      </c>
      <c r="X359" s="215">
        <f t="shared" si="206"/>
        <v>24.855817938155223</v>
      </c>
      <c r="Y359" s="1544">
        <f t="shared" si="207"/>
        <v>25.281658042238668</v>
      </c>
      <c r="AA359" s="237">
        <f t="shared" si="187"/>
        <v>552.77958291092079</v>
      </c>
      <c r="AB359" s="1550">
        <f t="shared" si="188"/>
        <v>416.24302593192334</v>
      </c>
      <c r="AC359" s="237">
        <f t="shared" si="189"/>
        <v>416.24302593192334</v>
      </c>
      <c r="AD359" s="215">
        <f t="shared" si="190"/>
        <v>11.898</v>
      </c>
      <c r="AE359" s="237">
        <f t="shared" si="208"/>
        <v>1392.4075437655936</v>
      </c>
      <c r="AF359" s="1550">
        <f t="shared" si="209"/>
        <v>974.38943319636473</v>
      </c>
      <c r="AG359" s="237">
        <f t="shared" si="210"/>
        <v>974.38943319636473</v>
      </c>
      <c r="AH359" s="237">
        <f t="shared" si="191"/>
        <v>2485.5817938155224</v>
      </c>
      <c r="AI359" s="1550">
        <f t="shared" si="192"/>
        <v>39.201664399891527</v>
      </c>
      <c r="AJ359" s="237">
        <f t="shared" si="211"/>
        <v>39.201664399891527</v>
      </c>
      <c r="AK359" s="1726">
        <f t="shared" si="212"/>
        <v>7.0911631882607846</v>
      </c>
      <c r="AL359" s="1139">
        <f t="shared" si="193"/>
        <v>7.8002795070868638</v>
      </c>
      <c r="AM359" s="1563">
        <f t="shared" si="194"/>
        <v>8.9473671411641433</v>
      </c>
      <c r="AN359" s="1563">
        <f t="shared" si="195"/>
        <v>19.571428571428573</v>
      </c>
    </row>
    <row r="360" spans="1:40" s="238" customFormat="1">
      <c r="A360" s="1136">
        <f t="shared" si="213"/>
        <v>22</v>
      </c>
      <c r="C360" s="215">
        <f t="shared" si="196"/>
        <v>1</v>
      </c>
      <c r="D360" s="215">
        <f t="shared" si="197"/>
        <v>0.5714285714285714</v>
      </c>
      <c r="E360" s="237">
        <f t="shared" si="198"/>
        <v>13714.285714285714</v>
      </c>
      <c r="F360" s="1101">
        <f t="shared" si="199"/>
        <v>0.97857142857142865</v>
      </c>
      <c r="G360" s="237">
        <f t="shared" si="200"/>
        <v>19.571428571428573</v>
      </c>
      <c r="H360" s="237">
        <f t="shared" si="201"/>
        <v>626.97319175201392</v>
      </c>
      <c r="I360" s="237">
        <f t="shared" si="214"/>
        <v>919.11332978102212</v>
      </c>
      <c r="J360" s="237">
        <f t="shared" si="215"/>
        <v>919.22576207040936</v>
      </c>
      <c r="L360" s="237">
        <f t="shared" si="202"/>
        <v>37.714285714285715</v>
      </c>
      <c r="M360" s="237">
        <f t="shared" si="203"/>
        <v>47.714285714285715</v>
      </c>
      <c r="N360" s="1139">
        <f t="shared" si="204"/>
        <v>2.3857142857142857</v>
      </c>
      <c r="O360" s="238">
        <f t="shared" si="216"/>
        <v>-1.2</v>
      </c>
      <c r="P360" s="237">
        <f t="shared" si="216"/>
        <v>75.3</v>
      </c>
      <c r="Q360" s="215">
        <f t="shared" si="185"/>
        <v>5.5277958291092082</v>
      </c>
      <c r="R360" s="1543">
        <f t="shared" si="186"/>
        <v>3.0095736051681925</v>
      </c>
      <c r="S360" s="1543">
        <f t="shared" si="205"/>
        <v>3.3105309656850119</v>
      </c>
      <c r="T360" s="1543">
        <f t="shared" si="217"/>
        <v>4.1002085286555605</v>
      </c>
      <c r="U360" s="1101">
        <f t="shared" si="218"/>
        <v>5.2490922601280232</v>
      </c>
      <c r="V360" s="1101">
        <f t="shared" si="219"/>
        <v>5.2493507207089696</v>
      </c>
      <c r="W360" s="215">
        <f t="shared" si="220"/>
        <v>21</v>
      </c>
      <c r="X360" s="215">
        <f t="shared" si="206"/>
        <v>24.855817938155223</v>
      </c>
      <c r="Y360" s="1544">
        <f t="shared" si="207"/>
        <v>26.479137465085678</v>
      </c>
      <c r="AA360" s="237">
        <f t="shared" si="187"/>
        <v>552.77958291092079</v>
      </c>
      <c r="AB360" s="1550">
        <f t="shared" si="188"/>
        <v>416.24302593192334</v>
      </c>
      <c r="AC360" s="237">
        <f t="shared" si="189"/>
        <v>416.24302593192334</v>
      </c>
      <c r="AD360" s="215">
        <f t="shared" si="190"/>
        <v>11.898</v>
      </c>
      <c r="AE360" s="237">
        <f t="shared" si="208"/>
        <v>1392.4075437655936</v>
      </c>
      <c r="AF360" s="1550">
        <f t="shared" si="209"/>
        <v>974.38943319636473</v>
      </c>
      <c r="AG360" s="237">
        <f t="shared" si="210"/>
        <v>974.38943319636473</v>
      </c>
      <c r="AH360" s="237">
        <f t="shared" si="191"/>
        <v>2485.5817938155224</v>
      </c>
      <c r="AI360" s="1550">
        <f t="shared" si="192"/>
        <v>39.201664399891527</v>
      </c>
      <c r="AJ360" s="237">
        <f t="shared" si="211"/>
        <v>39.201664399891527</v>
      </c>
      <c r="AK360" s="1726">
        <f t="shared" si="212"/>
        <v>7.0911631882607846</v>
      </c>
      <c r="AL360" s="1139">
        <f t="shared" si="193"/>
        <v>7.8002795070868638</v>
      </c>
      <c r="AM360" s="1563">
        <f t="shared" si="194"/>
        <v>10.627384868950299</v>
      </c>
      <c r="AN360" s="1563">
        <f t="shared" si="195"/>
        <v>19.571428571428573</v>
      </c>
    </row>
    <row r="361" spans="1:40" s="238" customFormat="1">
      <c r="A361" s="1136">
        <f t="shared" si="213"/>
        <v>23</v>
      </c>
      <c r="C361" s="215">
        <f t="shared" si="196"/>
        <v>1</v>
      </c>
      <c r="D361" s="215">
        <f t="shared" si="197"/>
        <v>0.5714285714285714</v>
      </c>
      <c r="E361" s="237">
        <f t="shared" si="198"/>
        <v>13714.285714285714</v>
      </c>
      <c r="F361" s="1101">
        <f t="shared" si="199"/>
        <v>0.97857142857142865</v>
      </c>
      <c r="G361" s="237">
        <f t="shared" si="200"/>
        <v>19.571428571428573</v>
      </c>
      <c r="H361" s="237">
        <f t="shared" si="201"/>
        <v>626.97319175201392</v>
      </c>
      <c r="I361" s="237">
        <f t="shared" si="214"/>
        <v>977.94069986872591</v>
      </c>
      <c r="J361" s="237">
        <f t="shared" si="215"/>
        <v>978.01671425359018</v>
      </c>
      <c r="L361" s="237">
        <f t="shared" si="202"/>
        <v>37.714285714285715</v>
      </c>
      <c r="M361" s="237">
        <f t="shared" si="203"/>
        <v>47.714285714285715</v>
      </c>
      <c r="N361" s="1139">
        <f t="shared" si="204"/>
        <v>2.3857142857142857</v>
      </c>
      <c r="O361" s="238">
        <f t="shared" si="216"/>
        <v>-1.2</v>
      </c>
      <c r="P361" s="237">
        <f t="shared" si="216"/>
        <v>75.3</v>
      </c>
      <c r="Q361" s="215">
        <f t="shared" si="185"/>
        <v>5.5277958291092082</v>
      </c>
      <c r="R361" s="1543">
        <f t="shared" si="186"/>
        <v>3.0095736051681925</v>
      </c>
      <c r="S361" s="1543">
        <f t="shared" si="205"/>
        <v>3.3105309656850119</v>
      </c>
      <c r="T361" s="1543">
        <f t="shared" si="217"/>
        <v>4.1002085286555605</v>
      </c>
      <c r="U361" s="1101">
        <f t="shared" si="218"/>
        <v>5.4108510951432542</v>
      </c>
      <c r="V361" s="1101">
        <f t="shared" si="219"/>
        <v>5.4110258378455445</v>
      </c>
      <c r="W361" s="215">
        <f t="shared" si="220"/>
        <v>21</v>
      </c>
      <c r="X361" s="215">
        <f t="shared" si="206"/>
        <v>24.855817938155223</v>
      </c>
      <c r="Y361" s="1544">
        <f t="shared" si="207"/>
        <v>27.288271187760166</v>
      </c>
      <c r="AA361" s="237">
        <f t="shared" si="187"/>
        <v>552.77958291092079</v>
      </c>
      <c r="AB361" s="1550">
        <f t="shared" si="188"/>
        <v>416.24302593192334</v>
      </c>
      <c r="AC361" s="237">
        <f t="shared" si="189"/>
        <v>416.24302593192334</v>
      </c>
      <c r="AD361" s="215">
        <f t="shared" si="190"/>
        <v>11.898</v>
      </c>
      <c r="AE361" s="237">
        <f t="shared" si="208"/>
        <v>1392.4075437655936</v>
      </c>
      <c r="AF361" s="1550">
        <f t="shared" si="209"/>
        <v>974.38943319636473</v>
      </c>
      <c r="AG361" s="237">
        <f t="shared" si="210"/>
        <v>974.38943319636473</v>
      </c>
      <c r="AH361" s="237">
        <f t="shared" si="191"/>
        <v>2485.5817938155224</v>
      </c>
      <c r="AI361" s="1550">
        <f t="shared" si="192"/>
        <v>39.201664399891527</v>
      </c>
      <c r="AJ361" s="237">
        <f t="shared" si="211"/>
        <v>39.201664399891527</v>
      </c>
      <c r="AK361" s="1726">
        <f t="shared" si="212"/>
        <v>7.0911631882607846</v>
      </c>
      <c r="AL361" s="1139">
        <f t="shared" si="193"/>
        <v>7.8002795070868638</v>
      </c>
      <c r="AM361" s="1563">
        <f t="shared" si="194"/>
        <v>10.627384868950299</v>
      </c>
      <c r="AN361" s="1563">
        <f t="shared" si="195"/>
        <v>19.571428571428573</v>
      </c>
    </row>
    <row r="362" spans="1:40" s="238" customFormat="1">
      <c r="A362" s="1136">
        <f t="shared" si="213"/>
        <v>24</v>
      </c>
      <c r="C362" s="215">
        <f t="shared" si="196"/>
        <v>1</v>
      </c>
      <c r="D362" s="215">
        <f t="shared" si="197"/>
        <v>0.5714285714285714</v>
      </c>
      <c r="E362" s="237">
        <f t="shared" si="198"/>
        <v>13714.285714285714</v>
      </c>
      <c r="F362" s="1101">
        <f t="shared" si="199"/>
        <v>0.97857142857142865</v>
      </c>
      <c r="G362" s="237">
        <f t="shared" si="200"/>
        <v>19.571428571428573</v>
      </c>
      <c r="H362" s="237">
        <f t="shared" si="201"/>
        <v>626.97319175201392</v>
      </c>
      <c r="I362" s="237">
        <f t="shared" si="214"/>
        <v>1017.7133165677623</v>
      </c>
      <c r="J362" s="237">
        <f t="shared" si="215"/>
        <v>1017.7647091591413</v>
      </c>
      <c r="L362" s="237">
        <f t="shared" si="202"/>
        <v>37.714285714285715</v>
      </c>
      <c r="M362" s="237">
        <f t="shared" si="203"/>
        <v>47.714285714285715</v>
      </c>
      <c r="N362" s="1139">
        <f t="shared" si="204"/>
        <v>2.3857142857142857</v>
      </c>
      <c r="O362" s="238">
        <f t="shared" si="216"/>
        <v>-1.2</v>
      </c>
      <c r="P362" s="237">
        <f t="shared" si="216"/>
        <v>75.3</v>
      </c>
      <c r="Q362" s="215">
        <f t="shared" si="185"/>
        <v>5.5277958291092082</v>
      </c>
      <c r="R362" s="1543">
        <f t="shared" si="186"/>
        <v>3.0095736051681925</v>
      </c>
      <c r="S362" s="1543">
        <f t="shared" si="205"/>
        <v>3.3105309656850119</v>
      </c>
      <c r="T362" s="1543">
        <f t="shared" si="217"/>
        <v>4.1002085286555605</v>
      </c>
      <c r="U362" s="1101">
        <f t="shared" si="218"/>
        <v>5.5202146810583113</v>
      </c>
      <c r="V362" s="1101">
        <f t="shared" si="219"/>
        <v>5.5203328229114783</v>
      </c>
      <c r="W362" s="215">
        <f t="shared" si="220"/>
        <v>21</v>
      </c>
      <c r="X362" s="215">
        <f t="shared" si="206"/>
        <v>24.855817938155223</v>
      </c>
      <c r="Y362" s="1544">
        <f t="shared" si="207"/>
        <v>27.835103754377851</v>
      </c>
      <c r="AA362" s="237">
        <f t="shared" si="187"/>
        <v>552.77958291092079</v>
      </c>
      <c r="AB362" s="1550">
        <f t="shared" si="188"/>
        <v>416.24302593192334</v>
      </c>
      <c r="AC362" s="237">
        <f t="shared" si="189"/>
        <v>416.24302593192334</v>
      </c>
      <c r="AD362" s="215">
        <f t="shared" si="190"/>
        <v>11.898</v>
      </c>
      <c r="AE362" s="237">
        <f t="shared" si="208"/>
        <v>1392.4075437655936</v>
      </c>
      <c r="AF362" s="1550">
        <f t="shared" si="209"/>
        <v>974.38943319636473</v>
      </c>
      <c r="AG362" s="237">
        <f t="shared" si="210"/>
        <v>974.38943319636473</v>
      </c>
      <c r="AH362" s="237">
        <f t="shared" si="191"/>
        <v>2485.5817938155224</v>
      </c>
      <c r="AI362" s="1550">
        <f t="shared" si="192"/>
        <v>39.201664399891527</v>
      </c>
      <c r="AJ362" s="237">
        <f t="shared" si="211"/>
        <v>39.201664399891527</v>
      </c>
      <c r="AK362" s="1726">
        <f t="shared" si="212"/>
        <v>7.0911631882607846</v>
      </c>
      <c r="AL362" s="1139">
        <f t="shared" si="193"/>
        <v>7.8002795070868638</v>
      </c>
      <c r="AM362" s="1563">
        <f t="shared" si="194"/>
        <v>10.627384868950299</v>
      </c>
      <c r="AN362" s="1563">
        <f t="shared" si="195"/>
        <v>19.571428571428573</v>
      </c>
    </row>
    <row r="363" spans="1:40" s="238" customFormat="1">
      <c r="L363" s="237"/>
      <c r="N363" s="1138"/>
      <c r="T363" s="29"/>
      <c r="U363" s="29"/>
      <c r="V363" s="29"/>
      <c r="W363" s="29"/>
      <c r="X363" s="29"/>
      <c r="AC363" s="29"/>
      <c r="AD363" s="29"/>
      <c r="AE363" s="29"/>
      <c r="AF363" s="29"/>
      <c r="AG363" s="29"/>
    </row>
    <row r="364" spans="1:40" s="238" customFormat="1">
      <c r="A364" s="238" t="s">
        <v>1058</v>
      </c>
      <c r="C364" s="215">
        <f>SUM(C339:C362)</f>
        <v>14.000000000000002</v>
      </c>
      <c r="L364" s="237">
        <f>SUM(L339:L362)</f>
        <v>528</v>
      </c>
      <c r="M364" s="237">
        <f>SUM(M339:M362)</f>
        <v>767.99999999999989</v>
      </c>
      <c r="N364" s="1563">
        <f>SUM(N339:N362)</f>
        <v>38.4</v>
      </c>
      <c r="T364" s="29"/>
      <c r="U364" s="540"/>
      <c r="V364" s="29"/>
      <c r="W364" s="29"/>
      <c r="X364" s="29"/>
      <c r="AC364" s="29"/>
      <c r="AD364" s="29"/>
      <c r="AE364" s="29"/>
      <c r="AF364" s="29"/>
      <c r="AG364" s="29"/>
    </row>
    <row r="365" spans="1:40" s="238" customFormat="1">
      <c r="A365" s="238" t="s">
        <v>1458</v>
      </c>
      <c r="C365" s="215">
        <f t="shared" ref="C365:F365" si="226">MAX(C339:C362)</f>
        <v>1</v>
      </c>
      <c r="D365" s="215">
        <f t="shared" si="226"/>
        <v>0.5714285714285714</v>
      </c>
      <c r="E365" s="237">
        <f t="shared" si="226"/>
        <v>13714.285714285714</v>
      </c>
      <c r="F365" s="215">
        <f t="shared" si="226"/>
        <v>0.97857142857142865</v>
      </c>
      <c r="G365" s="237">
        <f>MAX(G339:G362)</f>
        <v>19.571428571428573</v>
      </c>
      <c r="H365" s="237">
        <f>MAX(H339:H362)</f>
        <v>626.97319175201392</v>
      </c>
      <c r="I365" s="237">
        <f>MAX(I339:I362)</f>
        <v>1033.8063640962198</v>
      </c>
      <c r="J365" s="237">
        <f>MAX(J339:J362)</f>
        <v>1092.8013840162175</v>
      </c>
      <c r="L365" s="237">
        <f t="shared" ref="L365:N365" si="227">MAX(L339:L362)</f>
        <v>37.714285714285715</v>
      </c>
      <c r="M365" s="237">
        <f t="shared" si="227"/>
        <v>47.714285714285715</v>
      </c>
      <c r="N365" s="1139">
        <f t="shared" si="227"/>
        <v>2.3857142857142857</v>
      </c>
      <c r="T365" s="29"/>
      <c r="U365" s="29"/>
      <c r="V365" s="29"/>
      <c r="W365" s="29"/>
      <c r="X365" s="29"/>
      <c r="AC365" s="29"/>
      <c r="AD365" s="29"/>
      <c r="AE365" s="29"/>
      <c r="AF365" s="29"/>
      <c r="AG365" s="29"/>
    </row>
    <row r="366" spans="1:40" s="238" customFormat="1">
      <c r="A366" s="238" t="s">
        <v>1459</v>
      </c>
      <c r="C366" s="215">
        <f t="shared" ref="C366:F366" si="228">MIN(C339:C362)</f>
        <v>0</v>
      </c>
      <c r="D366" s="215">
        <f t="shared" si="228"/>
        <v>0</v>
      </c>
      <c r="E366" s="237">
        <f t="shared" si="228"/>
        <v>0</v>
      </c>
      <c r="F366" s="215">
        <f t="shared" si="228"/>
        <v>0.97857142857142865</v>
      </c>
      <c r="G366" s="237">
        <f>MIN(G339:G362)</f>
        <v>19.571428571428573</v>
      </c>
      <c r="H366" s="237">
        <f>MIN(H339:H362)</f>
        <v>400</v>
      </c>
      <c r="I366" s="237">
        <f>MIN(I339:I362)</f>
        <v>479.94427971924108</v>
      </c>
      <c r="J366" s="237">
        <f>MIN(J339:J362)</f>
        <v>480.7401960159886</v>
      </c>
      <c r="L366" s="237">
        <f t="shared" ref="L366:N366" si="229">MIN(L339:L362)</f>
        <v>0</v>
      </c>
      <c r="M366" s="237">
        <f t="shared" si="229"/>
        <v>10</v>
      </c>
      <c r="N366" s="1139">
        <f t="shared" si="229"/>
        <v>0.5</v>
      </c>
      <c r="T366" s="29"/>
      <c r="U366" s="29"/>
      <c r="V366" s="1544"/>
      <c r="W366" s="29"/>
      <c r="X366" s="29"/>
      <c r="AC366" s="29"/>
      <c r="AD366" s="29"/>
      <c r="AE366" s="29"/>
      <c r="AF366" s="29"/>
      <c r="AG366" s="29"/>
    </row>
    <row r="367" spans="1:40" s="238" customFormat="1">
      <c r="A367" s="238" t="s">
        <v>1660</v>
      </c>
      <c r="F367" s="1101">
        <f>AVERAGE(F339:F362)</f>
        <v>0.97857142857142809</v>
      </c>
      <c r="G367" s="1101">
        <f>AVERAGE(G339:G362)</f>
        <v>19.571428571428566</v>
      </c>
      <c r="H367" s="237">
        <f>AVERAGE(H339:H362)</f>
        <v>532.401028522008</v>
      </c>
      <c r="I367" s="237">
        <f>AVERAGE(I339:I362)</f>
        <v>755.03658202548058</v>
      </c>
      <c r="J367" s="237">
        <f>AVERAGE(J339:J362)</f>
        <v>808.75465447267754</v>
      </c>
      <c r="L367" s="237">
        <f>AVERAGE(L339:L362)</f>
        <v>22</v>
      </c>
      <c r="M367" s="237">
        <f>AVERAGE(M339:M362)</f>
        <v>31.999999999999996</v>
      </c>
      <c r="N367" s="1139">
        <f>AVERAGE(N339:N362)</f>
        <v>1.5999999999999999</v>
      </c>
      <c r="T367" s="29"/>
      <c r="U367" s="29"/>
      <c r="V367" s="29"/>
      <c r="W367" s="29"/>
      <c r="X367" s="29"/>
      <c r="AC367" s="29"/>
      <c r="AD367" s="29"/>
      <c r="AE367" s="29"/>
      <c r="AF367" s="29"/>
      <c r="AG367" s="29"/>
    </row>
    <row r="368" spans="1:40" s="238" customFormat="1">
      <c r="T368" s="29"/>
      <c r="U368" s="29"/>
      <c r="V368" s="29"/>
      <c r="W368" s="29"/>
      <c r="X368" s="29"/>
      <c r="AC368" s="29"/>
      <c r="AD368" s="29"/>
      <c r="AE368" s="29"/>
      <c r="AF368" s="29"/>
      <c r="AG368" s="29"/>
    </row>
    <row r="369" spans="1:33" s="238" customFormat="1">
      <c r="T369" s="29"/>
      <c r="U369" s="29"/>
      <c r="V369" s="29"/>
      <c r="W369" s="29"/>
      <c r="X369" s="29"/>
      <c r="AC369" s="29"/>
      <c r="AD369" s="29"/>
      <c r="AE369" s="29"/>
      <c r="AF369" s="29"/>
      <c r="AG369" s="29"/>
    </row>
    <row r="370" spans="1:33" s="238" customFormat="1">
      <c r="T370" s="29"/>
      <c r="U370" s="29"/>
      <c r="V370" s="29"/>
      <c r="W370" s="29"/>
      <c r="X370" s="29"/>
      <c r="AC370" s="29"/>
      <c r="AD370" s="29"/>
      <c r="AE370" s="29"/>
      <c r="AF370" s="29"/>
      <c r="AG370" s="29"/>
    </row>
    <row r="371" spans="1:33" s="238" customFormat="1">
      <c r="T371" s="29"/>
      <c r="U371" s="29"/>
      <c r="V371" s="29"/>
      <c r="W371" s="29"/>
      <c r="X371" s="29"/>
      <c r="AC371" s="29"/>
      <c r="AD371" s="29"/>
      <c r="AE371" s="29"/>
      <c r="AF371" s="29"/>
      <c r="AG371" s="29"/>
    </row>
    <row r="372" spans="1:33" s="238" customFormat="1">
      <c r="A372" s="212"/>
      <c r="T372" s="29"/>
      <c r="U372" s="29"/>
      <c r="V372" s="29"/>
      <c r="W372" s="29"/>
      <c r="X372" s="29"/>
      <c r="AC372" s="29"/>
      <c r="AD372" s="29"/>
      <c r="AE372" s="29"/>
      <c r="AF372" s="29"/>
      <c r="AG372" s="29"/>
    </row>
    <row r="373" spans="1:33" s="238" customFormat="1">
      <c r="A373" s="212">
        <f>Begriffe!F477</f>
        <v>0</v>
      </c>
      <c r="T373" s="29"/>
      <c r="U373" s="29"/>
      <c r="V373" s="29"/>
      <c r="W373" s="29"/>
      <c r="X373" s="29"/>
      <c r="AC373" s="29"/>
      <c r="AD373" s="29"/>
      <c r="AE373" s="29"/>
      <c r="AF373" s="29"/>
      <c r="AG373" s="29"/>
    </row>
    <row r="374" spans="1:33" s="238" customFormat="1">
      <c r="A374" s="238">
        <f>Begriffe!F480</f>
        <v>0</v>
      </c>
      <c r="T374" s="29"/>
      <c r="U374" s="29"/>
      <c r="V374" s="29"/>
      <c r="W374" s="29"/>
      <c r="X374" s="29"/>
      <c r="AC374" s="29"/>
      <c r="AD374" s="29"/>
      <c r="AE374" s="29"/>
      <c r="AF374" s="29"/>
      <c r="AG374" s="29"/>
    </row>
    <row r="375" spans="1:33" s="238" customFormat="1">
      <c r="A375" s="238">
        <f>Begriffe!C479</f>
        <v>0</v>
      </c>
      <c r="T375" s="29"/>
      <c r="U375" s="29"/>
      <c r="V375" s="29"/>
      <c r="W375" s="29"/>
      <c r="X375" s="29"/>
      <c r="AC375" s="29"/>
      <c r="AD375" s="29"/>
      <c r="AE375" s="29"/>
      <c r="AF375" s="29"/>
      <c r="AG375" s="29"/>
    </row>
    <row r="376" spans="1:33" s="238" customFormat="1">
      <c r="T376" s="29"/>
      <c r="U376" s="29"/>
      <c r="V376" s="29"/>
      <c r="W376" s="29"/>
      <c r="X376" s="29"/>
      <c r="AC376" s="29"/>
      <c r="AD376" s="29"/>
      <c r="AE376" s="29"/>
      <c r="AF376" s="29"/>
      <c r="AG376" s="29"/>
    </row>
    <row r="377" spans="1:33" s="238" customFormat="1">
      <c r="T377" s="29"/>
      <c r="U377" s="29"/>
      <c r="V377" s="29"/>
      <c r="W377" s="29"/>
      <c r="X377" s="29"/>
      <c r="AC377" s="29"/>
      <c r="AD377" s="29"/>
      <c r="AE377" s="29"/>
      <c r="AF377" s="29"/>
      <c r="AG377" s="29"/>
    </row>
    <row r="378" spans="1:33" s="238" customFormat="1">
      <c r="T378" s="29"/>
      <c r="U378" s="29"/>
      <c r="V378" s="29"/>
      <c r="W378" s="29"/>
      <c r="X378" s="29"/>
      <c r="AC378" s="29"/>
      <c r="AD378" s="29"/>
      <c r="AE378" s="29"/>
      <c r="AF378" s="29"/>
      <c r="AG378" s="29"/>
    </row>
    <row r="379" spans="1:33" s="238" customFormat="1">
      <c r="T379" s="29"/>
      <c r="U379" s="29"/>
      <c r="V379" s="29"/>
      <c r="W379" s="29"/>
      <c r="X379" s="29"/>
      <c r="AC379" s="29"/>
      <c r="AD379" s="29"/>
      <c r="AE379" s="29"/>
      <c r="AF379" s="29"/>
      <c r="AG379" s="29"/>
    </row>
    <row r="380" spans="1:33" s="238" customFormat="1">
      <c r="T380" s="29"/>
      <c r="U380" s="29"/>
      <c r="V380" s="29"/>
      <c r="W380" s="29"/>
      <c r="X380" s="29"/>
      <c r="AC380" s="29"/>
      <c r="AD380" s="29"/>
      <c r="AE380" s="29"/>
      <c r="AF380" s="29"/>
      <c r="AG380" s="29"/>
    </row>
    <row r="381" spans="1:33" s="238" customFormat="1">
      <c r="T381" s="29"/>
      <c r="U381" s="29"/>
      <c r="V381" s="29"/>
      <c r="W381" s="29"/>
      <c r="X381" s="29"/>
      <c r="AC381" s="29"/>
      <c r="AD381" s="29"/>
      <c r="AE381" s="29"/>
      <c r="AF381" s="29"/>
      <c r="AG381" s="29"/>
    </row>
    <row r="382" spans="1:33" s="238" customFormat="1">
      <c r="T382" s="29"/>
      <c r="U382" s="29"/>
      <c r="V382" s="29"/>
      <c r="W382" s="29"/>
      <c r="X382" s="29"/>
      <c r="AC382" s="29"/>
      <c r="AD382" s="29"/>
      <c r="AE382" s="29"/>
      <c r="AF382" s="29"/>
      <c r="AG382" s="29"/>
    </row>
    <row r="383" spans="1:33" s="238" customFormat="1">
      <c r="T383" s="29"/>
      <c r="U383" s="29"/>
      <c r="V383" s="29"/>
      <c r="W383" s="29"/>
      <c r="X383" s="29"/>
      <c r="AC383" s="29"/>
      <c r="AD383" s="29"/>
      <c r="AE383" s="29"/>
      <c r="AF383" s="29"/>
      <c r="AG383" s="29"/>
    </row>
    <row r="384" spans="1:33" s="238" customFormat="1">
      <c r="T384" s="29"/>
      <c r="U384" s="29"/>
      <c r="V384" s="29"/>
      <c r="W384" s="29"/>
      <c r="X384" s="29"/>
      <c r="AC384" s="29"/>
      <c r="AD384" s="29"/>
      <c r="AE384" s="29"/>
      <c r="AF384" s="29"/>
      <c r="AG384" s="29"/>
    </row>
    <row r="385" spans="1:35" s="238" customFormat="1">
      <c r="T385" s="29"/>
      <c r="U385" s="29"/>
      <c r="V385" s="29"/>
      <c r="W385" s="29"/>
      <c r="X385" s="29"/>
      <c r="AC385" s="29"/>
      <c r="AD385" s="29"/>
      <c r="AE385" s="29"/>
      <c r="AF385" s="29"/>
      <c r="AG385" s="29"/>
    </row>
    <row r="386" spans="1:35" s="238" customFormat="1">
      <c r="T386" s="29"/>
      <c r="U386" s="29"/>
      <c r="V386" s="29"/>
      <c r="W386" s="29"/>
      <c r="X386" s="29"/>
      <c r="AC386" s="29"/>
      <c r="AD386" s="29"/>
      <c r="AE386" s="29"/>
      <c r="AF386" s="29"/>
      <c r="AG386" s="29"/>
    </row>
    <row r="387" spans="1:35" s="238" customFormat="1">
      <c r="T387" s="29"/>
      <c r="U387" s="29"/>
      <c r="V387" s="29"/>
      <c r="W387" s="29"/>
      <c r="X387" s="29"/>
      <c r="AC387" s="29"/>
      <c r="AD387" s="29"/>
      <c r="AE387" s="29"/>
      <c r="AF387" s="29"/>
      <c r="AG387" s="29"/>
    </row>
    <row r="388" spans="1:35" s="238" customFormat="1">
      <c r="T388" s="29"/>
      <c r="U388" s="29"/>
      <c r="V388" s="29"/>
      <c r="W388" s="29"/>
      <c r="X388" s="29"/>
      <c r="AC388" s="29"/>
      <c r="AD388" s="29"/>
      <c r="AE388" s="29"/>
      <c r="AF388" s="29"/>
      <c r="AG388" s="29"/>
    </row>
    <row r="389" spans="1:35" s="238" customFormat="1">
      <c r="T389" s="29"/>
      <c r="U389" s="29"/>
      <c r="V389" s="29"/>
      <c r="W389" s="29"/>
      <c r="X389" s="29"/>
      <c r="AC389" s="29"/>
      <c r="AD389" s="29"/>
      <c r="AE389" s="29"/>
      <c r="AF389" s="29"/>
      <c r="AG389" s="29"/>
    </row>
    <row r="390" spans="1:35" s="238" customFormat="1">
      <c r="T390" s="29"/>
      <c r="U390" s="29"/>
      <c r="V390" s="29"/>
      <c r="W390" s="29"/>
      <c r="X390" s="29"/>
      <c r="AC390" s="29"/>
      <c r="AD390" s="29"/>
      <c r="AE390" s="29"/>
      <c r="AF390" s="29"/>
      <c r="AG390" s="29"/>
    </row>
    <row r="391" spans="1:35" ht="15.45">
      <c r="A391" s="1362" t="s">
        <v>223</v>
      </c>
      <c r="B391" s="1363"/>
      <c r="C391" s="1363"/>
      <c r="D391" s="1363"/>
      <c r="E391" s="1363"/>
      <c r="F391" s="230"/>
      <c r="G391" s="230"/>
      <c r="H391" s="230"/>
      <c r="I391" s="230"/>
      <c r="J391" s="230"/>
      <c r="K391" s="230"/>
      <c r="L391" s="230"/>
      <c r="M391" s="230"/>
      <c r="N391" s="230"/>
      <c r="O391" s="230"/>
      <c r="P391" s="230"/>
      <c r="Q391" s="230"/>
      <c r="R391" s="1364"/>
      <c r="S391" s="1364"/>
      <c r="T391" s="1364"/>
      <c r="U391" s="1364"/>
      <c r="V391" s="1364"/>
      <c r="W391" s="1364"/>
      <c r="X391" s="1364"/>
      <c r="Y391" s="230"/>
      <c r="Z391" s="230"/>
      <c r="AA391" s="230"/>
      <c r="AB391" s="230"/>
      <c r="AC391" s="230"/>
      <c r="AD391" s="230"/>
      <c r="AE391" s="230"/>
      <c r="AF391" s="230"/>
      <c r="AG391" s="230"/>
      <c r="AH391" s="230"/>
      <c r="AI391" s="230"/>
    </row>
    <row r="392" spans="1:35">
      <c r="A392" s="220" t="s">
        <v>224</v>
      </c>
      <c r="B392" s="221"/>
      <c r="C392" s="225">
        <f>7-INDEX(Eingabedaten!$FY$9:$FY$53,nutzid,1)</f>
        <v>7</v>
      </c>
      <c r="D392" s="221"/>
      <c r="E392" s="221"/>
      <c r="F392" s="210" t="s">
        <v>225</v>
      </c>
      <c r="G392" s="210">
        <f>INDEX(Eingabedaten!$BH$9:$BH$53,nutzid,1)%</f>
        <v>0.2</v>
      </c>
      <c r="J392" s="1101" t="str">
        <f>Datenblatt!M136</f>
        <v>IDA-C3</v>
      </c>
      <c r="K392" s="1101" t="str">
        <f>Datenblatt!N136</f>
        <v>IDA-C4</v>
      </c>
      <c r="L392" s="1101">
        <f>Datenblatt!O136</f>
        <v>0</v>
      </c>
    </row>
    <row r="393" spans="1:35">
      <c r="D393" s="1955" t="s">
        <v>10</v>
      </c>
      <c r="E393" s="1955"/>
      <c r="F393" s="1956" t="s">
        <v>51</v>
      </c>
      <c r="G393" s="1956"/>
      <c r="H393" s="1954" t="s">
        <v>17</v>
      </c>
      <c r="I393" s="1954"/>
      <c r="J393" s="1953" t="s">
        <v>1192</v>
      </c>
      <c r="K393" s="1953"/>
      <c r="L393" s="1953"/>
    </row>
    <row r="394" spans="1:35">
      <c r="A394" s="210" t="s">
        <v>226</v>
      </c>
      <c r="B394" s="210" t="s">
        <v>227</v>
      </c>
      <c r="C394" s="215" t="s">
        <v>28</v>
      </c>
      <c r="D394" s="215" t="s">
        <v>136</v>
      </c>
      <c r="E394" s="215" t="s">
        <v>23</v>
      </c>
      <c r="F394" s="215" t="s">
        <v>137</v>
      </c>
      <c r="G394" s="215"/>
      <c r="H394" s="215" t="s">
        <v>1668</v>
      </c>
      <c r="I394" s="215" t="s">
        <v>1669</v>
      </c>
      <c r="J394" s="238" t="s">
        <v>25</v>
      </c>
      <c r="K394" s="238" t="s">
        <v>50</v>
      </c>
      <c r="L394" s="238" t="s">
        <v>260</v>
      </c>
    </row>
    <row r="395" spans="1:35">
      <c r="A395" s="210">
        <f t="shared" ref="A395:A426" si="230">B395+1</f>
        <v>2</v>
      </c>
      <c r="B395" s="210">
        <v>1</v>
      </c>
      <c r="C395" s="217">
        <v>1</v>
      </c>
      <c r="D395" s="210">
        <f t="shared" ref="D395:D418" si="231">IF(B395&lt;=$C$392,B63,0)</f>
        <v>1</v>
      </c>
      <c r="E395" s="215">
        <f>IF(D395&gt;0,1,0)</f>
        <v>1</v>
      </c>
      <c r="F395" s="210">
        <f t="shared" ref="F395:F417" si="232">MAX(IF(B395&lt;=$C$392,D63,0),G$392)</f>
        <v>0.2</v>
      </c>
      <c r="G395" s="220"/>
      <c r="H395" s="210">
        <f t="shared" ref="H395:H418" si="233">IF(B395&lt;=$C$392,T63,0)</f>
        <v>0</v>
      </c>
      <c r="I395" s="210">
        <f t="shared" ref="I395:I418" si="234">IF(B395&lt;=$C$392,V63,0)</f>
        <v>0</v>
      </c>
      <c r="J395" s="220">
        <f>IF($B395&lt;=$C$392,IF(Datenblatt!$M$136="IDA-C3",$F63,IF(Datenblatt!$M$136="IDA-C4",$G63,$I63)),0)</f>
        <v>1</v>
      </c>
      <c r="K395" s="220">
        <f>IF($B395&lt;=$C$392,IF(Datenblatt!$N$136="IDA-C3",$F63,IF(Datenblatt!$N$136="IDA-C4",$G63,$I63)),0)</f>
        <v>1</v>
      </c>
      <c r="L395" s="220">
        <f>IF($B395&lt;=$C$392,IF(Datenblatt!$O$136="IDA-C3",$F63,IF(Datenblatt!$O$136="IDA-C4",$G63,$I63)),0)</f>
        <v>1</v>
      </c>
    </row>
    <row r="396" spans="1:35">
      <c r="A396" s="210">
        <f t="shared" si="230"/>
        <v>2</v>
      </c>
      <c r="B396" s="210">
        <v>1</v>
      </c>
      <c r="C396" s="217">
        <f t="shared" ref="C396:C427" si="235">C395+1</f>
        <v>2</v>
      </c>
      <c r="D396" s="210">
        <f t="shared" si="231"/>
        <v>1</v>
      </c>
      <c r="E396" s="215">
        <f t="shared" ref="E396:E426" si="236">IF(D396&gt;0,1,0)</f>
        <v>1</v>
      </c>
      <c r="F396" s="210">
        <f t="shared" si="232"/>
        <v>0.2</v>
      </c>
      <c r="H396" s="210">
        <f t="shared" si="233"/>
        <v>0</v>
      </c>
      <c r="I396" s="210">
        <f t="shared" si="234"/>
        <v>0</v>
      </c>
      <c r="J396" s="220">
        <f>IF($B396&lt;=$C$392,IF(Datenblatt!$M$136="IDA-C3",$F64,IF(Datenblatt!$M$136="IDA-C4",$G64,$I64)),0)</f>
        <v>1</v>
      </c>
      <c r="K396" s="220">
        <f>IF($B396&lt;=$C$392,IF(Datenblatt!$N$136="IDA-C3",$F64,IF(Datenblatt!$N$136="IDA-C4",$G64,$I64)),0)</f>
        <v>1</v>
      </c>
      <c r="L396" s="220">
        <f>IF($B396&lt;=$C$392,IF(Datenblatt!$O$136="IDA-C3",$F64,IF(Datenblatt!$O$136="IDA-C4",$G64,$I64)),0)</f>
        <v>1</v>
      </c>
    </row>
    <row r="397" spans="1:35">
      <c r="A397" s="210">
        <f t="shared" si="230"/>
        <v>2</v>
      </c>
      <c r="B397" s="210">
        <v>1</v>
      </c>
      <c r="C397" s="217">
        <f t="shared" si="235"/>
        <v>3</v>
      </c>
      <c r="D397" s="210">
        <f t="shared" si="231"/>
        <v>1</v>
      </c>
      <c r="E397" s="215">
        <f t="shared" si="236"/>
        <v>1</v>
      </c>
      <c r="F397" s="210">
        <f t="shared" si="232"/>
        <v>0.2</v>
      </c>
      <c r="H397" s="210">
        <f t="shared" si="233"/>
        <v>0</v>
      </c>
      <c r="I397" s="210">
        <f t="shared" si="234"/>
        <v>0</v>
      </c>
      <c r="J397" s="220">
        <f>IF($B397&lt;=$C$392,IF(Datenblatt!$M$136="IDA-C3",$F65,IF(Datenblatt!$M$136="IDA-C4",$G65,$I65)),0)</f>
        <v>1</v>
      </c>
      <c r="K397" s="220">
        <f>IF($B397&lt;=$C$392,IF(Datenblatt!$N$136="IDA-C3",$F65,IF(Datenblatt!$N$136="IDA-C4",$G65,$I65)),0)</f>
        <v>1</v>
      </c>
      <c r="L397" s="220">
        <f>IF($B397&lt;=$C$392,IF(Datenblatt!$O$136="IDA-C3",$F65,IF(Datenblatt!$O$136="IDA-C4",$G65,$I65)),0)</f>
        <v>1</v>
      </c>
    </row>
    <row r="398" spans="1:35">
      <c r="A398" s="210">
        <f t="shared" si="230"/>
        <v>2</v>
      </c>
      <c r="B398" s="210">
        <v>1</v>
      </c>
      <c r="C398" s="217">
        <f t="shared" si="235"/>
        <v>4</v>
      </c>
      <c r="D398" s="210">
        <f t="shared" si="231"/>
        <v>1</v>
      </c>
      <c r="E398" s="215">
        <f t="shared" si="236"/>
        <v>1</v>
      </c>
      <c r="F398" s="210">
        <f t="shared" si="232"/>
        <v>0.2</v>
      </c>
      <c r="H398" s="210">
        <f t="shared" si="233"/>
        <v>0</v>
      </c>
      <c r="I398" s="210">
        <f t="shared" si="234"/>
        <v>0</v>
      </c>
      <c r="J398" s="220">
        <f>IF($B398&lt;=$C$392,IF(Datenblatt!$M$136="IDA-C3",$F66,IF(Datenblatt!$M$136="IDA-C4",$G66,$I66)),0)</f>
        <v>1</v>
      </c>
      <c r="K398" s="220">
        <f>IF($B398&lt;=$C$392,IF(Datenblatt!$N$136="IDA-C3",$F66,IF(Datenblatt!$N$136="IDA-C4",$G66,$I66)),0)</f>
        <v>1</v>
      </c>
      <c r="L398" s="220">
        <f>IF($B398&lt;=$C$392,IF(Datenblatt!$O$136="IDA-C3",$F66,IF(Datenblatt!$O$136="IDA-C4",$G66,$I66)),0)</f>
        <v>1</v>
      </c>
    </row>
    <row r="399" spans="1:35">
      <c r="A399" s="210">
        <f t="shared" si="230"/>
        <v>2</v>
      </c>
      <c r="B399" s="210">
        <v>1</v>
      </c>
      <c r="C399" s="217">
        <f t="shared" si="235"/>
        <v>5</v>
      </c>
      <c r="D399" s="210">
        <f t="shared" si="231"/>
        <v>1</v>
      </c>
      <c r="E399" s="215">
        <f t="shared" si="236"/>
        <v>1</v>
      </c>
      <c r="F399" s="210">
        <f t="shared" si="232"/>
        <v>0.2</v>
      </c>
      <c r="H399" s="210">
        <f t="shared" si="233"/>
        <v>0</v>
      </c>
      <c r="I399" s="210">
        <f t="shared" si="234"/>
        <v>0</v>
      </c>
      <c r="J399" s="220">
        <f>IF($B399&lt;=$C$392,IF(Datenblatt!$M$136="IDA-C3",$F67,IF(Datenblatt!$M$136="IDA-C4",$G67,$I67)),0)</f>
        <v>1</v>
      </c>
      <c r="K399" s="220">
        <f>IF($B399&lt;=$C$392,IF(Datenblatt!$N$136="IDA-C3",$F67,IF(Datenblatt!$N$136="IDA-C4",$G67,$I67)),0)</f>
        <v>1</v>
      </c>
      <c r="L399" s="220">
        <f>IF($B399&lt;=$C$392,IF(Datenblatt!$O$136="IDA-C3",$F67,IF(Datenblatt!$O$136="IDA-C4",$G67,$I67)),0)</f>
        <v>1</v>
      </c>
    </row>
    <row r="400" spans="1:35">
      <c r="A400" s="210">
        <f t="shared" si="230"/>
        <v>2</v>
      </c>
      <c r="B400" s="210">
        <v>1</v>
      </c>
      <c r="C400" s="217">
        <f t="shared" si="235"/>
        <v>6</v>
      </c>
      <c r="D400" s="210">
        <f t="shared" si="231"/>
        <v>1</v>
      </c>
      <c r="E400" s="215">
        <f t="shared" si="236"/>
        <v>1</v>
      </c>
      <c r="F400" s="210">
        <f t="shared" si="232"/>
        <v>0.2</v>
      </c>
      <c r="H400" s="210">
        <f t="shared" si="233"/>
        <v>0</v>
      </c>
      <c r="I400" s="210">
        <f t="shared" si="234"/>
        <v>0</v>
      </c>
      <c r="J400" s="220">
        <f>IF($B400&lt;=$C$392,IF(Datenblatt!$M$136="IDA-C3",$F68,IF(Datenblatt!$M$136="IDA-C4",$G68,$I68)),0)</f>
        <v>1</v>
      </c>
      <c r="K400" s="220">
        <f>IF($B400&lt;=$C$392,IF(Datenblatt!$N$136="IDA-C3",$F68,IF(Datenblatt!$N$136="IDA-C4",$G68,$I68)),0)</f>
        <v>1</v>
      </c>
      <c r="L400" s="220">
        <f>IF($B400&lt;=$C$392,IF(Datenblatt!$O$136="IDA-C3",$F68,IF(Datenblatt!$O$136="IDA-C4",$G68,$I68)),0)</f>
        <v>1</v>
      </c>
    </row>
    <row r="401" spans="1:12">
      <c r="A401" s="210">
        <f t="shared" si="230"/>
        <v>2</v>
      </c>
      <c r="B401" s="210">
        <v>1</v>
      </c>
      <c r="C401" s="217">
        <f t="shared" si="235"/>
        <v>7</v>
      </c>
      <c r="D401" s="210">
        <f t="shared" si="231"/>
        <v>0.6</v>
      </c>
      <c r="E401" s="215">
        <f t="shared" si="236"/>
        <v>1</v>
      </c>
      <c r="F401" s="210">
        <f t="shared" si="232"/>
        <v>0.8</v>
      </c>
      <c r="H401" s="210">
        <f t="shared" si="233"/>
        <v>0</v>
      </c>
      <c r="I401" s="210">
        <f t="shared" si="234"/>
        <v>1</v>
      </c>
      <c r="J401" s="220">
        <f>IF($B401&lt;=$C$392,IF(Datenblatt!$M$136="IDA-C3",$F69,IF(Datenblatt!$M$136="IDA-C4",$G69,$I69)),0)</f>
        <v>1</v>
      </c>
      <c r="K401" s="220">
        <f>IF($B401&lt;=$C$392,IF(Datenblatt!$N$136="IDA-C3",$F69,IF(Datenblatt!$N$136="IDA-C4",$G69,$I69)),0)</f>
        <v>1</v>
      </c>
      <c r="L401" s="220">
        <f>IF($B401&lt;=$C$392,IF(Datenblatt!$O$136="IDA-C3",$F69,IF(Datenblatt!$O$136="IDA-C4",$G69,$I69)),0)</f>
        <v>0.6</v>
      </c>
    </row>
    <row r="402" spans="1:12">
      <c r="A402" s="210">
        <f t="shared" si="230"/>
        <v>2</v>
      </c>
      <c r="B402" s="210">
        <v>1</v>
      </c>
      <c r="C402" s="217">
        <f t="shared" si="235"/>
        <v>8</v>
      </c>
      <c r="D402" s="210">
        <f t="shared" si="231"/>
        <v>0.4</v>
      </c>
      <c r="E402" s="215">
        <f t="shared" si="236"/>
        <v>1</v>
      </c>
      <c r="F402" s="210">
        <f t="shared" si="232"/>
        <v>0.2</v>
      </c>
      <c r="H402" s="210">
        <f t="shared" si="233"/>
        <v>0</v>
      </c>
      <c r="I402" s="210">
        <f t="shared" si="234"/>
        <v>1</v>
      </c>
      <c r="J402" s="220">
        <f>IF($B402&lt;=$C$392,IF(Datenblatt!$M$136="IDA-C3",$F70,IF(Datenblatt!$M$136="IDA-C4",$G70,$I70)),0)</f>
        <v>1</v>
      </c>
      <c r="K402" s="220">
        <f>IF($B402&lt;=$C$392,IF(Datenblatt!$N$136="IDA-C3",$F70,IF(Datenblatt!$N$136="IDA-C4",$G70,$I70)),0)</f>
        <v>0.66700000000000004</v>
      </c>
      <c r="L402" s="220">
        <f>IF($B402&lt;=$C$392,IF(Datenblatt!$O$136="IDA-C3",$F70,IF(Datenblatt!$O$136="IDA-C4",$G70,$I70)),0)</f>
        <v>0.4</v>
      </c>
    </row>
    <row r="403" spans="1:12">
      <c r="A403" s="210">
        <f t="shared" si="230"/>
        <v>2</v>
      </c>
      <c r="B403" s="210">
        <v>1</v>
      </c>
      <c r="C403" s="217">
        <f t="shared" si="235"/>
        <v>9</v>
      </c>
      <c r="D403" s="210">
        <f t="shared" si="231"/>
        <v>0</v>
      </c>
      <c r="E403" s="215">
        <f t="shared" si="236"/>
        <v>0</v>
      </c>
      <c r="F403" s="210">
        <f t="shared" si="232"/>
        <v>0.2</v>
      </c>
      <c r="H403" s="210">
        <f t="shared" si="233"/>
        <v>0</v>
      </c>
      <c r="I403" s="210">
        <f t="shared" si="234"/>
        <v>0</v>
      </c>
      <c r="J403" s="220">
        <f>IF($B403&lt;=$C$392,IF(Datenblatt!$M$136="IDA-C3",$F71,IF(Datenblatt!$M$136="IDA-C4",$G71,$I71)),0)</f>
        <v>1</v>
      </c>
      <c r="K403" s="220">
        <f>IF($B403&lt;=$C$392,IF(Datenblatt!$N$136="IDA-C3",$F71,IF(Datenblatt!$N$136="IDA-C4",$G71,$I71)),0)</f>
        <v>0.66700000000000004</v>
      </c>
      <c r="L403" s="220">
        <f>IF($B403&lt;=$C$392,IF(Datenblatt!$O$136="IDA-C3",$F71,IF(Datenblatt!$O$136="IDA-C4",$G71,$I71)),0)</f>
        <v>0.25</v>
      </c>
    </row>
    <row r="404" spans="1:12">
      <c r="A404" s="210">
        <f t="shared" si="230"/>
        <v>2</v>
      </c>
      <c r="B404" s="210">
        <v>1</v>
      </c>
      <c r="C404" s="217">
        <f t="shared" si="235"/>
        <v>10</v>
      </c>
      <c r="D404" s="210">
        <f t="shared" si="231"/>
        <v>0</v>
      </c>
      <c r="E404" s="215">
        <f t="shared" si="236"/>
        <v>0</v>
      </c>
      <c r="F404" s="210">
        <f t="shared" si="232"/>
        <v>0.2</v>
      </c>
      <c r="H404" s="210">
        <f t="shared" si="233"/>
        <v>0</v>
      </c>
      <c r="I404" s="210">
        <f t="shared" si="234"/>
        <v>0</v>
      </c>
      <c r="J404" s="220">
        <f>IF($B404&lt;=$C$392,IF(Datenblatt!$M$136="IDA-C3",$F72,IF(Datenblatt!$M$136="IDA-C4",$G72,$I72)),0)</f>
        <v>1</v>
      </c>
      <c r="K404" s="220">
        <f>IF($B404&lt;=$C$392,IF(Datenblatt!$N$136="IDA-C3",$F72,IF(Datenblatt!$N$136="IDA-C4",$G72,$I72)),0)</f>
        <v>0.66700000000000004</v>
      </c>
      <c r="L404" s="220">
        <f>IF($B404&lt;=$C$392,IF(Datenblatt!$O$136="IDA-C3",$F72,IF(Datenblatt!$O$136="IDA-C4",$G72,$I72)),0)</f>
        <v>0.25</v>
      </c>
    </row>
    <row r="405" spans="1:12">
      <c r="A405" s="210">
        <f t="shared" si="230"/>
        <v>2</v>
      </c>
      <c r="B405" s="210">
        <v>1</v>
      </c>
      <c r="C405" s="217">
        <f t="shared" si="235"/>
        <v>11</v>
      </c>
      <c r="D405" s="210">
        <f t="shared" si="231"/>
        <v>0</v>
      </c>
      <c r="E405" s="215">
        <f t="shared" si="236"/>
        <v>0</v>
      </c>
      <c r="F405" s="210">
        <f t="shared" si="232"/>
        <v>0.2</v>
      </c>
      <c r="H405" s="210">
        <f t="shared" si="233"/>
        <v>0</v>
      </c>
      <c r="I405" s="210">
        <f t="shared" si="234"/>
        <v>0</v>
      </c>
      <c r="J405" s="220">
        <f>IF($B405&lt;=$C$392,IF(Datenblatt!$M$136="IDA-C3",$F73,IF(Datenblatt!$M$136="IDA-C4",$G73,$I73)),0)</f>
        <v>1</v>
      </c>
      <c r="K405" s="220">
        <f>IF($B405&lt;=$C$392,IF(Datenblatt!$N$136="IDA-C3",$F73,IF(Datenblatt!$N$136="IDA-C4",$G73,$I73)),0)</f>
        <v>0.66700000000000004</v>
      </c>
      <c r="L405" s="220">
        <f>IF($B405&lt;=$C$392,IF(Datenblatt!$O$136="IDA-C3",$F73,IF(Datenblatt!$O$136="IDA-C4",$G73,$I73)),0)</f>
        <v>0.25</v>
      </c>
    </row>
    <row r="406" spans="1:12">
      <c r="A406" s="210">
        <f t="shared" si="230"/>
        <v>2</v>
      </c>
      <c r="B406" s="210">
        <v>1</v>
      </c>
      <c r="C406" s="217">
        <f t="shared" si="235"/>
        <v>12</v>
      </c>
      <c r="D406" s="210">
        <f t="shared" si="231"/>
        <v>0</v>
      </c>
      <c r="E406" s="215">
        <f t="shared" si="236"/>
        <v>0</v>
      </c>
      <c r="F406" s="210">
        <f t="shared" si="232"/>
        <v>0.2</v>
      </c>
      <c r="H406" s="210">
        <f t="shared" si="233"/>
        <v>0</v>
      </c>
      <c r="I406" s="210">
        <f t="shared" si="234"/>
        <v>0</v>
      </c>
      <c r="J406" s="220">
        <f>IF($B406&lt;=$C$392,IF(Datenblatt!$M$136="IDA-C3",$F74,IF(Datenblatt!$M$136="IDA-C4",$G74,$I74)),0)</f>
        <v>1</v>
      </c>
      <c r="K406" s="220">
        <f>IF($B406&lt;=$C$392,IF(Datenblatt!$N$136="IDA-C3",$F74,IF(Datenblatt!$N$136="IDA-C4",$G74,$I74)),0)</f>
        <v>0.66700000000000004</v>
      </c>
      <c r="L406" s="220">
        <f>IF($B406&lt;=$C$392,IF(Datenblatt!$O$136="IDA-C3",$F74,IF(Datenblatt!$O$136="IDA-C4",$G74,$I74)),0)</f>
        <v>0.25</v>
      </c>
    </row>
    <row r="407" spans="1:12">
      <c r="A407" s="210">
        <f t="shared" si="230"/>
        <v>2</v>
      </c>
      <c r="B407" s="210">
        <v>1</v>
      </c>
      <c r="C407" s="217">
        <f t="shared" si="235"/>
        <v>13</v>
      </c>
      <c r="D407" s="210">
        <f t="shared" si="231"/>
        <v>0.8</v>
      </c>
      <c r="E407" s="215">
        <f t="shared" si="236"/>
        <v>1</v>
      </c>
      <c r="F407" s="210">
        <f t="shared" si="232"/>
        <v>0.8</v>
      </c>
      <c r="H407" s="210">
        <f t="shared" si="233"/>
        <v>0</v>
      </c>
      <c r="I407" s="210">
        <f t="shared" si="234"/>
        <v>1</v>
      </c>
      <c r="J407" s="220">
        <f>IF($B407&lt;=$C$392,IF(Datenblatt!$M$136="IDA-C3",$F75,IF(Datenblatt!$M$136="IDA-C4",$G75,$I75)),0)</f>
        <v>1</v>
      </c>
      <c r="K407" s="220">
        <f>IF($B407&lt;=$C$392,IF(Datenblatt!$N$136="IDA-C3",$F75,IF(Datenblatt!$N$136="IDA-C4",$G75,$I75)),0)</f>
        <v>1</v>
      </c>
      <c r="L407" s="220">
        <f>IF($B407&lt;=$C$392,IF(Datenblatt!$O$136="IDA-C3",$F75,IF(Datenblatt!$O$136="IDA-C4",$G75,$I75)),0)</f>
        <v>0.8</v>
      </c>
    </row>
    <row r="408" spans="1:12">
      <c r="A408" s="210">
        <f t="shared" si="230"/>
        <v>2</v>
      </c>
      <c r="B408" s="210">
        <v>1</v>
      </c>
      <c r="C408" s="217">
        <f t="shared" si="235"/>
        <v>14</v>
      </c>
      <c r="D408" s="210">
        <f t="shared" si="231"/>
        <v>0.4</v>
      </c>
      <c r="E408" s="215">
        <f t="shared" si="236"/>
        <v>1</v>
      </c>
      <c r="F408" s="210">
        <f t="shared" si="232"/>
        <v>0.2</v>
      </c>
      <c r="H408" s="210">
        <f t="shared" si="233"/>
        <v>0</v>
      </c>
      <c r="I408" s="210">
        <f t="shared" si="234"/>
        <v>0</v>
      </c>
      <c r="J408" s="220">
        <f>IF($B408&lt;=$C$392,IF(Datenblatt!$M$136="IDA-C3",$F76,IF(Datenblatt!$M$136="IDA-C4",$G76,$I76)),0)</f>
        <v>1</v>
      </c>
      <c r="K408" s="220">
        <f>IF($B408&lt;=$C$392,IF(Datenblatt!$N$136="IDA-C3",$F76,IF(Datenblatt!$N$136="IDA-C4",$G76,$I76)),0)</f>
        <v>0.66700000000000004</v>
      </c>
      <c r="L408" s="220">
        <f>IF($B408&lt;=$C$392,IF(Datenblatt!$O$136="IDA-C3",$F76,IF(Datenblatt!$O$136="IDA-C4",$G76,$I76)),0)</f>
        <v>0.4</v>
      </c>
    </row>
    <row r="409" spans="1:12">
      <c r="A409" s="210">
        <f t="shared" si="230"/>
        <v>2</v>
      </c>
      <c r="B409" s="210">
        <v>1</v>
      </c>
      <c r="C409" s="217">
        <f t="shared" si="235"/>
        <v>15</v>
      </c>
      <c r="D409" s="210">
        <f t="shared" si="231"/>
        <v>0</v>
      </c>
      <c r="E409" s="215">
        <f t="shared" si="236"/>
        <v>0</v>
      </c>
      <c r="F409" s="210">
        <f t="shared" si="232"/>
        <v>0.2</v>
      </c>
      <c r="H409" s="210">
        <f t="shared" si="233"/>
        <v>0</v>
      </c>
      <c r="I409" s="210">
        <f t="shared" si="234"/>
        <v>0</v>
      </c>
      <c r="J409" s="220">
        <f>IF($B409&lt;=$C$392,IF(Datenblatt!$M$136="IDA-C3",$F77,IF(Datenblatt!$M$136="IDA-C4",$G77,$I77)),0)</f>
        <v>1</v>
      </c>
      <c r="K409" s="220">
        <f>IF($B409&lt;=$C$392,IF(Datenblatt!$N$136="IDA-C3",$F77,IF(Datenblatt!$N$136="IDA-C4",$G77,$I77)),0)</f>
        <v>0.66700000000000004</v>
      </c>
      <c r="L409" s="220">
        <f>IF($B409&lt;=$C$392,IF(Datenblatt!$O$136="IDA-C3",$F77,IF(Datenblatt!$O$136="IDA-C4",$G77,$I77)),0)</f>
        <v>0.25</v>
      </c>
    </row>
    <row r="410" spans="1:12">
      <c r="A410" s="210">
        <f t="shared" si="230"/>
        <v>2</v>
      </c>
      <c r="B410" s="210">
        <v>1</v>
      </c>
      <c r="C410" s="217">
        <f t="shared" si="235"/>
        <v>16</v>
      </c>
      <c r="D410" s="210">
        <f t="shared" si="231"/>
        <v>0</v>
      </c>
      <c r="E410" s="215">
        <f t="shared" si="236"/>
        <v>0</v>
      </c>
      <c r="F410" s="210">
        <f t="shared" si="232"/>
        <v>0.2</v>
      </c>
      <c r="H410" s="210">
        <f t="shared" si="233"/>
        <v>0</v>
      </c>
      <c r="I410" s="210">
        <f t="shared" si="234"/>
        <v>0</v>
      </c>
      <c r="J410" s="220">
        <f>IF($B410&lt;=$C$392,IF(Datenblatt!$M$136="IDA-C3",$F78,IF(Datenblatt!$M$136="IDA-C4",$G78,$I78)),0)</f>
        <v>1</v>
      </c>
      <c r="K410" s="220">
        <f>IF($B410&lt;=$C$392,IF(Datenblatt!$N$136="IDA-C3",$F78,IF(Datenblatt!$N$136="IDA-C4",$G78,$I78)),0)</f>
        <v>0.66700000000000004</v>
      </c>
      <c r="L410" s="220">
        <f>IF($B410&lt;=$C$392,IF(Datenblatt!$O$136="IDA-C3",$F78,IF(Datenblatt!$O$136="IDA-C4",$G78,$I78)),0)</f>
        <v>0.25</v>
      </c>
    </row>
    <row r="411" spans="1:12">
      <c r="A411" s="210">
        <f t="shared" si="230"/>
        <v>2</v>
      </c>
      <c r="B411" s="210">
        <v>1</v>
      </c>
      <c r="C411" s="217">
        <f t="shared" si="235"/>
        <v>17</v>
      </c>
      <c r="D411" s="210">
        <f t="shared" si="231"/>
        <v>0</v>
      </c>
      <c r="E411" s="215">
        <f t="shared" si="236"/>
        <v>0</v>
      </c>
      <c r="F411" s="210">
        <f t="shared" si="232"/>
        <v>0.2</v>
      </c>
      <c r="H411" s="210">
        <f t="shared" si="233"/>
        <v>0</v>
      </c>
      <c r="I411" s="210">
        <f t="shared" si="234"/>
        <v>0</v>
      </c>
      <c r="J411" s="220">
        <f>IF($B411&lt;=$C$392,IF(Datenblatt!$M$136="IDA-C3",$F79,IF(Datenblatt!$M$136="IDA-C4",$G79,$I79)),0)</f>
        <v>1</v>
      </c>
      <c r="K411" s="220">
        <f>IF($B411&lt;=$C$392,IF(Datenblatt!$N$136="IDA-C3",$F79,IF(Datenblatt!$N$136="IDA-C4",$G79,$I79)),0)</f>
        <v>0.66700000000000004</v>
      </c>
      <c r="L411" s="220">
        <f>IF($B411&lt;=$C$392,IF(Datenblatt!$O$136="IDA-C3",$F79,IF(Datenblatt!$O$136="IDA-C4",$G79,$I79)),0)</f>
        <v>0.25</v>
      </c>
    </row>
    <row r="412" spans="1:12">
      <c r="A412" s="210">
        <f t="shared" si="230"/>
        <v>2</v>
      </c>
      <c r="B412" s="210">
        <v>1</v>
      </c>
      <c r="C412" s="217">
        <f t="shared" si="235"/>
        <v>18</v>
      </c>
      <c r="D412" s="210">
        <f t="shared" si="231"/>
        <v>0.4</v>
      </c>
      <c r="E412" s="215">
        <f t="shared" si="236"/>
        <v>1</v>
      </c>
      <c r="F412" s="210">
        <f t="shared" si="232"/>
        <v>0.2</v>
      </c>
      <c r="H412" s="210">
        <f t="shared" si="233"/>
        <v>0</v>
      </c>
      <c r="I412" s="210">
        <f t="shared" si="234"/>
        <v>0</v>
      </c>
      <c r="J412" s="220">
        <f>IF($B412&lt;=$C$392,IF(Datenblatt!$M$136="IDA-C3",$F80,IF(Datenblatt!$M$136="IDA-C4",$G80,$I80)),0)</f>
        <v>1</v>
      </c>
      <c r="K412" s="220">
        <f>IF($B412&lt;=$C$392,IF(Datenblatt!$N$136="IDA-C3",$F80,IF(Datenblatt!$N$136="IDA-C4",$G80,$I80)),0)</f>
        <v>0.66700000000000004</v>
      </c>
      <c r="L412" s="220">
        <f>IF($B412&lt;=$C$392,IF(Datenblatt!$O$136="IDA-C3",$F80,IF(Datenblatt!$O$136="IDA-C4",$G80,$I80)),0)</f>
        <v>0.4</v>
      </c>
    </row>
    <row r="413" spans="1:12">
      <c r="A413" s="210">
        <f t="shared" si="230"/>
        <v>2</v>
      </c>
      <c r="B413" s="210">
        <v>1</v>
      </c>
      <c r="C413" s="217">
        <f t="shared" si="235"/>
        <v>19</v>
      </c>
      <c r="D413" s="210">
        <f t="shared" si="231"/>
        <v>0.8</v>
      </c>
      <c r="E413" s="215">
        <f t="shared" si="236"/>
        <v>1</v>
      </c>
      <c r="F413" s="210">
        <f t="shared" si="232"/>
        <v>0.8</v>
      </c>
      <c r="H413" s="210">
        <f t="shared" si="233"/>
        <v>0</v>
      </c>
      <c r="I413" s="210">
        <f t="shared" si="234"/>
        <v>1</v>
      </c>
      <c r="J413" s="220">
        <f>IF($B413&lt;=$C$392,IF(Datenblatt!$M$136="IDA-C3",$F81,IF(Datenblatt!$M$136="IDA-C4",$G81,$I81)),0)</f>
        <v>1</v>
      </c>
      <c r="K413" s="220">
        <f>IF($B413&lt;=$C$392,IF(Datenblatt!$N$136="IDA-C3",$F81,IF(Datenblatt!$N$136="IDA-C4",$G81,$I81)),0)</f>
        <v>1</v>
      </c>
      <c r="L413" s="220">
        <f>IF($B413&lt;=$C$392,IF(Datenblatt!$O$136="IDA-C3",$F81,IF(Datenblatt!$O$136="IDA-C4",$G81,$I81)),0)</f>
        <v>0.8</v>
      </c>
    </row>
    <row r="414" spans="1:12">
      <c r="A414" s="210">
        <f t="shared" si="230"/>
        <v>2</v>
      </c>
      <c r="B414" s="210">
        <v>1</v>
      </c>
      <c r="C414" s="217">
        <f t="shared" si="235"/>
        <v>20</v>
      </c>
      <c r="D414" s="210">
        <f t="shared" si="231"/>
        <v>0.8</v>
      </c>
      <c r="E414" s="215">
        <f t="shared" si="236"/>
        <v>1</v>
      </c>
      <c r="F414" s="210">
        <f t="shared" si="232"/>
        <v>1</v>
      </c>
      <c r="H414" s="210">
        <f t="shared" si="233"/>
        <v>1</v>
      </c>
      <c r="I414" s="210">
        <f t="shared" si="234"/>
        <v>1</v>
      </c>
      <c r="J414" s="220">
        <f>IF($B414&lt;=$C$392,IF(Datenblatt!$M$136="IDA-C3",$F82,IF(Datenblatt!$M$136="IDA-C4",$G82,$I82)),0)</f>
        <v>1</v>
      </c>
      <c r="K414" s="220">
        <f>IF($B414&lt;=$C$392,IF(Datenblatt!$N$136="IDA-C3",$F82,IF(Datenblatt!$N$136="IDA-C4",$G82,$I82)),0)</f>
        <v>1</v>
      </c>
      <c r="L414" s="220">
        <f>IF($B414&lt;=$C$392,IF(Datenblatt!$O$136="IDA-C3",$F82,IF(Datenblatt!$O$136="IDA-C4",$G82,$I82)),0)</f>
        <v>0.8</v>
      </c>
    </row>
    <row r="415" spans="1:12">
      <c r="A415" s="210">
        <f t="shared" si="230"/>
        <v>2</v>
      </c>
      <c r="B415" s="210">
        <v>1</v>
      </c>
      <c r="C415" s="217">
        <f t="shared" si="235"/>
        <v>21</v>
      </c>
      <c r="D415" s="210">
        <f t="shared" si="231"/>
        <v>0.8</v>
      </c>
      <c r="E415" s="215">
        <f t="shared" si="236"/>
        <v>1</v>
      </c>
      <c r="F415" s="210">
        <f t="shared" si="232"/>
        <v>0.2</v>
      </c>
      <c r="H415" s="210">
        <f t="shared" si="233"/>
        <v>1</v>
      </c>
      <c r="I415" s="210">
        <f t="shared" si="234"/>
        <v>1</v>
      </c>
      <c r="J415" s="220">
        <f>IF($B415&lt;=$C$392,IF(Datenblatt!$M$136="IDA-C3",$F83,IF(Datenblatt!$M$136="IDA-C4",$G83,$I83)),0)</f>
        <v>1</v>
      </c>
      <c r="K415" s="220">
        <f>IF($B415&lt;=$C$392,IF(Datenblatt!$N$136="IDA-C3",$F83,IF(Datenblatt!$N$136="IDA-C4",$G83,$I83)),0)</f>
        <v>1</v>
      </c>
      <c r="L415" s="220">
        <f>IF($B415&lt;=$C$392,IF(Datenblatt!$O$136="IDA-C3",$F83,IF(Datenblatt!$O$136="IDA-C4",$G83,$I83)),0)</f>
        <v>0.8</v>
      </c>
    </row>
    <row r="416" spans="1:12">
      <c r="A416" s="210">
        <f t="shared" si="230"/>
        <v>2</v>
      </c>
      <c r="B416" s="210">
        <v>1</v>
      </c>
      <c r="C416" s="217">
        <f t="shared" si="235"/>
        <v>22</v>
      </c>
      <c r="D416" s="210">
        <f t="shared" si="231"/>
        <v>1</v>
      </c>
      <c r="E416" s="215">
        <f t="shared" si="236"/>
        <v>1</v>
      </c>
      <c r="F416" s="210">
        <f t="shared" si="232"/>
        <v>0.2</v>
      </c>
      <c r="H416" s="210">
        <f t="shared" si="233"/>
        <v>1</v>
      </c>
      <c r="I416" s="210">
        <f t="shared" si="234"/>
        <v>1</v>
      </c>
      <c r="J416" s="220">
        <f>IF($B416&lt;=$C$392,IF(Datenblatt!$M$136="IDA-C3",$F84,IF(Datenblatt!$M$136="IDA-C4",$G84,$I84)),0)</f>
        <v>1</v>
      </c>
      <c r="K416" s="220">
        <f>IF($B416&lt;=$C$392,IF(Datenblatt!$N$136="IDA-C3",$F84,IF(Datenblatt!$N$136="IDA-C4",$G84,$I84)),0)</f>
        <v>1</v>
      </c>
      <c r="L416" s="220">
        <f>IF($B416&lt;=$C$392,IF(Datenblatt!$O$136="IDA-C3",$F84,IF(Datenblatt!$O$136="IDA-C4",$G84,$I84)),0)</f>
        <v>1</v>
      </c>
    </row>
    <row r="417" spans="1:12">
      <c r="A417" s="210">
        <f t="shared" si="230"/>
        <v>2</v>
      </c>
      <c r="B417" s="210">
        <v>1</v>
      </c>
      <c r="C417" s="217">
        <f t="shared" si="235"/>
        <v>23</v>
      </c>
      <c r="D417" s="210">
        <f t="shared" si="231"/>
        <v>1</v>
      </c>
      <c r="E417" s="215">
        <f t="shared" si="236"/>
        <v>1</v>
      </c>
      <c r="F417" s="210">
        <f t="shared" si="232"/>
        <v>0.2</v>
      </c>
      <c r="H417" s="210">
        <f t="shared" si="233"/>
        <v>0</v>
      </c>
      <c r="I417" s="210">
        <f t="shared" si="234"/>
        <v>0</v>
      </c>
      <c r="J417" s="220">
        <f>IF($B417&lt;=$C$392,IF(Datenblatt!$M$136="IDA-C3",$F85,IF(Datenblatt!$M$136="IDA-C4",$G85,$I85)),0)</f>
        <v>1</v>
      </c>
      <c r="K417" s="220">
        <f>IF($B417&lt;=$C$392,IF(Datenblatt!$N$136="IDA-C3",$F85,IF(Datenblatt!$N$136="IDA-C4",$G85,$I85)),0)</f>
        <v>1</v>
      </c>
      <c r="L417" s="220">
        <f>IF($B417&lt;=$C$392,IF(Datenblatt!$O$136="IDA-C3",$F85,IF(Datenblatt!$O$136="IDA-C4",$G85,$I85)),0)</f>
        <v>1</v>
      </c>
    </row>
    <row r="418" spans="1:12">
      <c r="A418" s="210">
        <f t="shared" si="230"/>
        <v>2</v>
      </c>
      <c r="B418" s="210">
        <v>1</v>
      </c>
      <c r="C418" s="217">
        <f t="shared" si="235"/>
        <v>24</v>
      </c>
      <c r="D418" s="210">
        <f t="shared" si="231"/>
        <v>1</v>
      </c>
      <c r="E418" s="215">
        <f t="shared" si="236"/>
        <v>1</v>
      </c>
      <c r="F418" s="210">
        <f t="shared" ref="F418:F442" si="237">MAX(IF(B418&lt;=$C$392,D63,0),G$392)</f>
        <v>0.2</v>
      </c>
      <c r="H418" s="210">
        <f t="shared" si="233"/>
        <v>0</v>
      </c>
      <c r="I418" s="210">
        <f t="shared" si="234"/>
        <v>0</v>
      </c>
      <c r="J418" s="220">
        <f>IF($B418&lt;=$C$392,IF(Datenblatt!$M$136="IDA-C3",$F86,IF(Datenblatt!$M$136="IDA-C4",$G86,$I86)),0)</f>
        <v>1</v>
      </c>
      <c r="K418" s="220">
        <f>IF($B418&lt;=$C$392,IF(Datenblatt!$N$136="IDA-C3",$F86,IF(Datenblatt!$N$136="IDA-C4",$G86,$I86)),0)</f>
        <v>1</v>
      </c>
      <c r="L418" s="220">
        <f>IF($B418&lt;=$C$392,IF(Datenblatt!$O$136="IDA-C3",$F86,IF(Datenblatt!$O$136="IDA-C4",$G86,$I86)),0)</f>
        <v>1</v>
      </c>
    </row>
    <row r="419" spans="1:12">
      <c r="A419" s="1567">
        <f t="shared" si="230"/>
        <v>3</v>
      </c>
      <c r="B419" s="1567">
        <v>2</v>
      </c>
      <c r="C419" s="1568">
        <f t="shared" si="235"/>
        <v>25</v>
      </c>
      <c r="D419" s="1567">
        <f t="shared" ref="D419:D442" si="238">IF(B419&lt;=$C$392,B63,0)</f>
        <v>1</v>
      </c>
      <c r="E419" s="1569">
        <f t="shared" si="236"/>
        <v>1</v>
      </c>
      <c r="F419" s="1567">
        <f t="shared" si="237"/>
        <v>0.2</v>
      </c>
      <c r="G419" s="1567"/>
      <c r="H419" s="1567">
        <f t="shared" ref="H419:H442" si="239">IF(B419&lt;=$C$392,T63,0)</f>
        <v>0</v>
      </c>
      <c r="I419" s="210">
        <f t="shared" ref="I419:I442" si="240">IF(B419&lt;=$C$392,V63,0)</f>
        <v>0</v>
      </c>
      <c r="J419" s="1570">
        <f>IF($B419&lt;=$C$392,IF(Datenblatt!$M$136="IDA-C3",$F63,IF(Datenblatt!$M$136="IDA-C4",$G63,$I63)),0)</f>
        <v>1</v>
      </c>
      <c r="K419" s="1570">
        <f>IF($B419&lt;=$C$392,IF(Datenblatt!$N$136="IDA-C3",$F63,IF(Datenblatt!$N$136="IDA-C4",$G63,$I63)),0)</f>
        <v>1</v>
      </c>
      <c r="L419" s="1570">
        <f>IF($B419&lt;=$C$392,IF(Datenblatt!$O$136="IDA-C3",$F63,IF(Datenblatt!$O$136="IDA-C4",$G63,$I63)),0)</f>
        <v>1</v>
      </c>
    </row>
    <row r="420" spans="1:12">
      <c r="A420" s="210">
        <f t="shared" si="230"/>
        <v>3</v>
      </c>
      <c r="B420" s="210">
        <v>2</v>
      </c>
      <c r="C420" s="217">
        <f t="shared" si="235"/>
        <v>26</v>
      </c>
      <c r="D420" s="210">
        <f t="shared" si="238"/>
        <v>1</v>
      </c>
      <c r="E420" s="215">
        <f t="shared" si="236"/>
        <v>1</v>
      </c>
      <c r="F420" s="210">
        <f t="shared" si="237"/>
        <v>0.2</v>
      </c>
      <c r="H420" s="210">
        <f t="shared" si="239"/>
        <v>0</v>
      </c>
      <c r="I420" s="210">
        <f t="shared" si="240"/>
        <v>0</v>
      </c>
      <c r="J420" s="220">
        <f>IF($B420&lt;=$C$392,IF(Datenblatt!$M$136="IDA-C3",$F64,IF(Datenblatt!$M$136="IDA-C4",$G64,$I64)),0)</f>
        <v>1</v>
      </c>
      <c r="K420" s="220">
        <f>IF($B420&lt;=$C$392,IF(Datenblatt!$N$136="IDA-C3",$F64,IF(Datenblatt!$N$136="IDA-C4",$G64,$I64)),0)</f>
        <v>1</v>
      </c>
      <c r="L420" s="220">
        <f>IF($B420&lt;=$C$392,IF(Datenblatt!$O$136="IDA-C3",$F64,IF(Datenblatt!$O$136="IDA-C4",$G64,$I64)),0)</f>
        <v>1</v>
      </c>
    </row>
    <row r="421" spans="1:12">
      <c r="A421" s="210">
        <f t="shared" si="230"/>
        <v>3</v>
      </c>
      <c r="B421" s="210">
        <v>2</v>
      </c>
      <c r="C421" s="217">
        <f t="shared" si="235"/>
        <v>27</v>
      </c>
      <c r="D421" s="210">
        <f t="shared" si="238"/>
        <v>1</v>
      </c>
      <c r="E421" s="215">
        <f t="shared" si="236"/>
        <v>1</v>
      </c>
      <c r="F421" s="210">
        <f t="shared" si="237"/>
        <v>0.2</v>
      </c>
      <c r="H421" s="210">
        <f t="shared" si="239"/>
        <v>0</v>
      </c>
      <c r="I421" s="210">
        <f t="shared" si="240"/>
        <v>0</v>
      </c>
      <c r="J421" s="220">
        <f>IF($B421&lt;=$C$392,IF(Datenblatt!$M$136="IDA-C3",$F65,IF(Datenblatt!$M$136="IDA-C4",$G65,$I65)),0)</f>
        <v>1</v>
      </c>
      <c r="K421" s="220">
        <f>IF($B421&lt;=$C$392,IF(Datenblatt!$N$136="IDA-C3",$F65,IF(Datenblatt!$N$136="IDA-C4",$G65,$I65)),0)</f>
        <v>1</v>
      </c>
      <c r="L421" s="220">
        <f>IF($B421&lt;=$C$392,IF(Datenblatt!$O$136="IDA-C3",$F65,IF(Datenblatt!$O$136="IDA-C4",$G65,$I65)),0)</f>
        <v>1</v>
      </c>
    </row>
    <row r="422" spans="1:12">
      <c r="A422" s="210">
        <f t="shared" si="230"/>
        <v>3</v>
      </c>
      <c r="B422" s="210">
        <v>2</v>
      </c>
      <c r="C422" s="217">
        <f t="shared" si="235"/>
        <v>28</v>
      </c>
      <c r="D422" s="210">
        <f t="shared" si="238"/>
        <v>1</v>
      </c>
      <c r="E422" s="215">
        <f t="shared" si="236"/>
        <v>1</v>
      </c>
      <c r="F422" s="210">
        <f t="shared" si="237"/>
        <v>0.2</v>
      </c>
      <c r="H422" s="210">
        <f t="shared" si="239"/>
        <v>0</v>
      </c>
      <c r="I422" s="210">
        <f t="shared" si="240"/>
        <v>0</v>
      </c>
      <c r="J422" s="220">
        <f>IF($B422&lt;=$C$392,IF(Datenblatt!$M$136="IDA-C3",$F66,IF(Datenblatt!$M$136="IDA-C4",$G66,$I66)),0)</f>
        <v>1</v>
      </c>
      <c r="K422" s="220">
        <f>IF($B422&lt;=$C$392,IF(Datenblatt!$N$136="IDA-C3",$F66,IF(Datenblatt!$N$136="IDA-C4",$G66,$I66)),0)</f>
        <v>1</v>
      </c>
      <c r="L422" s="220">
        <f>IF($B422&lt;=$C$392,IF(Datenblatt!$O$136="IDA-C3",$F66,IF(Datenblatt!$O$136="IDA-C4",$G66,$I66)),0)</f>
        <v>1</v>
      </c>
    </row>
    <row r="423" spans="1:12">
      <c r="A423" s="210">
        <f t="shared" si="230"/>
        <v>3</v>
      </c>
      <c r="B423" s="210">
        <v>2</v>
      </c>
      <c r="C423" s="217">
        <f t="shared" si="235"/>
        <v>29</v>
      </c>
      <c r="D423" s="210">
        <f t="shared" si="238"/>
        <v>1</v>
      </c>
      <c r="E423" s="215">
        <f t="shared" si="236"/>
        <v>1</v>
      </c>
      <c r="F423" s="210">
        <f t="shared" si="237"/>
        <v>0.2</v>
      </c>
      <c r="H423" s="210">
        <f t="shared" si="239"/>
        <v>0</v>
      </c>
      <c r="I423" s="210">
        <f t="shared" si="240"/>
        <v>0</v>
      </c>
      <c r="J423" s="220">
        <f>IF($B423&lt;=$C$392,IF(Datenblatt!$M$136="IDA-C3",$F67,IF(Datenblatt!$M$136="IDA-C4",$G67,$I67)),0)</f>
        <v>1</v>
      </c>
      <c r="K423" s="220">
        <f>IF($B423&lt;=$C$392,IF(Datenblatt!$N$136="IDA-C3",$F67,IF(Datenblatt!$N$136="IDA-C4",$G67,$I67)),0)</f>
        <v>1</v>
      </c>
      <c r="L423" s="220">
        <f>IF($B423&lt;=$C$392,IF(Datenblatt!$O$136="IDA-C3",$F67,IF(Datenblatt!$O$136="IDA-C4",$G67,$I67)),0)</f>
        <v>1</v>
      </c>
    </row>
    <row r="424" spans="1:12">
      <c r="A424" s="210">
        <f t="shared" si="230"/>
        <v>3</v>
      </c>
      <c r="B424" s="210">
        <v>2</v>
      </c>
      <c r="C424" s="217">
        <f t="shared" si="235"/>
        <v>30</v>
      </c>
      <c r="D424" s="210">
        <f t="shared" si="238"/>
        <v>1</v>
      </c>
      <c r="E424" s="215">
        <f t="shared" si="236"/>
        <v>1</v>
      </c>
      <c r="F424" s="210">
        <f t="shared" si="237"/>
        <v>0.8</v>
      </c>
      <c r="H424" s="210">
        <f t="shared" si="239"/>
        <v>0</v>
      </c>
      <c r="I424" s="210">
        <f t="shared" si="240"/>
        <v>0</v>
      </c>
      <c r="J424" s="220">
        <f>IF($B424&lt;=$C$392,IF(Datenblatt!$M$136="IDA-C3",$F68,IF(Datenblatt!$M$136="IDA-C4",$G68,$I68)),0)</f>
        <v>1</v>
      </c>
      <c r="K424" s="220">
        <f>IF($B424&lt;=$C$392,IF(Datenblatt!$N$136="IDA-C3",$F68,IF(Datenblatt!$N$136="IDA-C4",$G68,$I68)),0)</f>
        <v>1</v>
      </c>
      <c r="L424" s="220">
        <f>IF($B424&lt;=$C$392,IF(Datenblatt!$O$136="IDA-C3",$F68,IF(Datenblatt!$O$136="IDA-C4",$G68,$I68)),0)</f>
        <v>1</v>
      </c>
    </row>
    <row r="425" spans="1:12">
      <c r="A425" s="210">
        <f t="shared" si="230"/>
        <v>3</v>
      </c>
      <c r="B425" s="210">
        <v>2</v>
      </c>
      <c r="C425" s="217">
        <f t="shared" si="235"/>
        <v>31</v>
      </c>
      <c r="D425" s="210">
        <f t="shared" si="238"/>
        <v>0.6</v>
      </c>
      <c r="E425" s="215">
        <f t="shared" si="236"/>
        <v>1</v>
      </c>
      <c r="F425" s="210">
        <f t="shared" si="237"/>
        <v>0.2</v>
      </c>
      <c r="H425" s="210">
        <f t="shared" si="239"/>
        <v>0</v>
      </c>
      <c r="I425" s="210">
        <f t="shared" si="240"/>
        <v>1</v>
      </c>
      <c r="J425" s="220">
        <f>IF($B425&lt;=$C$392,IF(Datenblatt!$M$136="IDA-C3",$F69,IF(Datenblatt!$M$136="IDA-C4",$G69,$I69)),0)</f>
        <v>1</v>
      </c>
      <c r="K425" s="220">
        <f>IF($B425&lt;=$C$392,IF(Datenblatt!$N$136="IDA-C3",$F69,IF(Datenblatt!$N$136="IDA-C4",$G69,$I69)),0)</f>
        <v>1</v>
      </c>
      <c r="L425" s="220">
        <f>IF($B425&lt;=$C$392,IF(Datenblatt!$O$136="IDA-C3",$F69,IF(Datenblatt!$O$136="IDA-C4",$G69,$I69)),0)</f>
        <v>0.6</v>
      </c>
    </row>
    <row r="426" spans="1:12">
      <c r="A426" s="210">
        <f t="shared" si="230"/>
        <v>3</v>
      </c>
      <c r="B426" s="210">
        <v>2</v>
      </c>
      <c r="C426" s="217">
        <f t="shared" si="235"/>
        <v>32</v>
      </c>
      <c r="D426" s="210">
        <f t="shared" si="238"/>
        <v>0.4</v>
      </c>
      <c r="E426" s="215">
        <f t="shared" si="236"/>
        <v>1</v>
      </c>
      <c r="F426" s="210">
        <f t="shared" si="237"/>
        <v>0.2</v>
      </c>
      <c r="H426" s="210">
        <f t="shared" si="239"/>
        <v>0</v>
      </c>
      <c r="I426" s="210">
        <f t="shared" si="240"/>
        <v>1</v>
      </c>
      <c r="J426" s="220">
        <f>IF($B426&lt;=$C$392,IF(Datenblatt!$M$136="IDA-C3",$F70,IF(Datenblatt!$M$136="IDA-C4",$G70,$I70)),0)</f>
        <v>1</v>
      </c>
      <c r="K426" s="220">
        <f>IF($B426&lt;=$C$392,IF(Datenblatt!$N$136="IDA-C3",$F70,IF(Datenblatt!$N$136="IDA-C4",$G70,$I70)),0)</f>
        <v>0.66700000000000004</v>
      </c>
      <c r="L426" s="220">
        <f>IF($B426&lt;=$C$392,IF(Datenblatt!$O$136="IDA-C3",$F70,IF(Datenblatt!$O$136="IDA-C4",$G70,$I70)),0)</f>
        <v>0.4</v>
      </c>
    </row>
    <row r="427" spans="1:12">
      <c r="A427" s="210">
        <f t="shared" ref="A427:A458" si="241">B427+1</f>
        <v>3</v>
      </c>
      <c r="B427" s="210">
        <v>2</v>
      </c>
      <c r="C427" s="217">
        <f t="shared" si="235"/>
        <v>33</v>
      </c>
      <c r="D427" s="210">
        <f t="shared" si="238"/>
        <v>0</v>
      </c>
      <c r="E427" s="215">
        <f t="shared" ref="E427:E458" si="242">IF(D427&gt;0,1,0)</f>
        <v>0</v>
      </c>
      <c r="F427" s="210">
        <f t="shared" si="237"/>
        <v>0.2</v>
      </c>
      <c r="H427" s="210">
        <f t="shared" si="239"/>
        <v>0</v>
      </c>
      <c r="I427" s="210">
        <f t="shared" si="240"/>
        <v>0</v>
      </c>
      <c r="J427" s="220">
        <f>IF($B427&lt;=$C$392,IF(Datenblatt!$M$136="IDA-C3",$F71,IF(Datenblatt!$M$136="IDA-C4",$G71,$I71)),0)</f>
        <v>1</v>
      </c>
      <c r="K427" s="220">
        <f>IF($B427&lt;=$C$392,IF(Datenblatt!$N$136="IDA-C3",$F71,IF(Datenblatt!$N$136="IDA-C4",$G71,$I71)),0)</f>
        <v>0.66700000000000004</v>
      </c>
      <c r="L427" s="220">
        <f>IF($B427&lt;=$C$392,IF(Datenblatt!$O$136="IDA-C3",$F71,IF(Datenblatt!$O$136="IDA-C4",$G71,$I71)),0)</f>
        <v>0.25</v>
      </c>
    </row>
    <row r="428" spans="1:12">
      <c r="A428" s="210">
        <f t="shared" si="241"/>
        <v>3</v>
      </c>
      <c r="B428" s="210">
        <v>2</v>
      </c>
      <c r="C428" s="217">
        <f t="shared" ref="C428:C459" si="243">C427+1</f>
        <v>34</v>
      </c>
      <c r="D428" s="210">
        <f t="shared" si="238"/>
        <v>0</v>
      </c>
      <c r="E428" s="215">
        <f t="shared" si="242"/>
        <v>0</v>
      </c>
      <c r="F428" s="210">
        <f t="shared" si="237"/>
        <v>0.2</v>
      </c>
      <c r="H428" s="210">
        <f t="shared" si="239"/>
        <v>0</v>
      </c>
      <c r="I428" s="210">
        <f t="shared" si="240"/>
        <v>0</v>
      </c>
      <c r="J428" s="220">
        <f>IF($B428&lt;=$C$392,IF(Datenblatt!$M$136="IDA-C3",$F72,IF(Datenblatt!$M$136="IDA-C4",$G72,$I72)),0)</f>
        <v>1</v>
      </c>
      <c r="K428" s="220">
        <f>IF($B428&lt;=$C$392,IF(Datenblatt!$N$136="IDA-C3",$F72,IF(Datenblatt!$N$136="IDA-C4",$G72,$I72)),0)</f>
        <v>0.66700000000000004</v>
      </c>
      <c r="L428" s="220">
        <f>IF($B428&lt;=$C$392,IF(Datenblatt!$O$136="IDA-C3",$F72,IF(Datenblatt!$O$136="IDA-C4",$G72,$I72)),0)</f>
        <v>0.25</v>
      </c>
    </row>
    <row r="429" spans="1:12">
      <c r="A429" s="210">
        <f t="shared" si="241"/>
        <v>3</v>
      </c>
      <c r="B429" s="210">
        <v>2</v>
      </c>
      <c r="C429" s="217">
        <f t="shared" si="243"/>
        <v>35</v>
      </c>
      <c r="D429" s="210">
        <f t="shared" si="238"/>
        <v>0</v>
      </c>
      <c r="E429" s="215">
        <f t="shared" si="242"/>
        <v>0</v>
      </c>
      <c r="F429" s="210">
        <f t="shared" si="237"/>
        <v>0.2</v>
      </c>
      <c r="H429" s="210">
        <f t="shared" si="239"/>
        <v>0</v>
      </c>
      <c r="I429" s="210">
        <f t="shared" si="240"/>
        <v>0</v>
      </c>
      <c r="J429" s="220">
        <f>IF($B429&lt;=$C$392,IF(Datenblatt!$M$136="IDA-C3",$F73,IF(Datenblatt!$M$136="IDA-C4",$G73,$I73)),0)</f>
        <v>1</v>
      </c>
      <c r="K429" s="220">
        <f>IF($B429&lt;=$C$392,IF(Datenblatt!$N$136="IDA-C3",$F73,IF(Datenblatt!$N$136="IDA-C4",$G73,$I73)),0)</f>
        <v>0.66700000000000004</v>
      </c>
      <c r="L429" s="220">
        <f>IF($B429&lt;=$C$392,IF(Datenblatt!$O$136="IDA-C3",$F73,IF(Datenblatt!$O$136="IDA-C4",$G73,$I73)),0)</f>
        <v>0.25</v>
      </c>
    </row>
    <row r="430" spans="1:12">
      <c r="A430" s="210">
        <f t="shared" si="241"/>
        <v>3</v>
      </c>
      <c r="B430" s="210">
        <v>2</v>
      </c>
      <c r="C430" s="217">
        <f t="shared" si="243"/>
        <v>36</v>
      </c>
      <c r="D430" s="210">
        <f t="shared" si="238"/>
        <v>0</v>
      </c>
      <c r="E430" s="215">
        <f t="shared" si="242"/>
        <v>0</v>
      </c>
      <c r="F430" s="210">
        <f t="shared" si="237"/>
        <v>0.8</v>
      </c>
      <c r="H430" s="210">
        <f t="shared" si="239"/>
        <v>0</v>
      </c>
      <c r="I430" s="210">
        <f t="shared" si="240"/>
        <v>0</v>
      </c>
      <c r="J430" s="220">
        <f>IF($B430&lt;=$C$392,IF(Datenblatt!$M$136="IDA-C3",$F74,IF(Datenblatt!$M$136="IDA-C4",$G74,$I74)),0)</f>
        <v>1</v>
      </c>
      <c r="K430" s="220">
        <f>IF($B430&lt;=$C$392,IF(Datenblatt!$N$136="IDA-C3",$F74,IF(Datenblatt!$N$136="IDA-C4",$G74,$I74)),0)</f>
        <v>0.66700000000000004</v>
      </c>
      <c r="L430" s="220">
        <f>IF($B430&lt;=$C$392,IF(Datenblatt!$O$136="IDA-C3",$F74,IF(Datenblatt!$O$136="IDA-C4",$G74,$I74)),0)</f>
        <v>0.25</v>
      </c>
    </row>
    <row r="431" spans="1:12">
      <c r="A431" s="210">
        <f t="shared" si="241"/>
        <v>3</v>
      </c>
      <c r="B431" s="210">
        <v>2</v>
      </c>
      <c r="C431" s="217">
        <f t="shared" si="243"/>
        <v>37</v>
      </c>
      <c r="D431" s="210">
        <f t="shared" si="238"/>
        <v>0.8</v>
      </c>
      <c r="E431" s="215">
        <f t="shared" si="242"/>
        <v>1</v>
      </c>
      <c r="F431" s="210">
        <f t="shared" si="237"/>
        <v>0.2</v>
      </c>
      <c r="H431" s="210">
        <f t="shared" si="239"/>
        <v>0</v>
      </c>
      <c r="I431" s="210">
        <f t="shared" si="240"/>
        <v>1</v>
      </c>
      <c r="J431" s="220">
        <f>IF($B431&lt;=$C$392,IF(Datenblatt!$M$136="IDA-C3",$F75,IF(Datenblatt!$M$136="IDA-C4",$G75,$I75)),0)</f>
        <v>1</v>
      </c>
      <c r="K431" s="220">
        <f>IF($B431&lt;=$C$392,IF(Datenblatt!$N$136="IDA-C3",$F75,IF(Datenblatt!$N$136="IDA-C4",$G75,$I75)),0)</f>
        <v>1</v>
      </c>
      <c r="L431" s="220">
        <f>IF($B431&lt;=$C$392,IF(Datenblatt!$O$136="IDA-C3",$F75,IF(Datenblatt!$O$136="IDA-C4",$G75,$I75)),0)</f>
        <v>0.8</v>
      </c>
    </row>
    <row r="432" spans="1:12">
      <c r="A432" s="210">
        <f t="shared" si="241"/>
        <v>3</v>
      </c>
      <c r="B432" s="210">
        <v>2</v>
      </c>
      <c r="C432" s="217">
        <f t="shared" si="243"/>
        <v>38</v>
      </c>
      <c r="D432" s="210">
        <f t="shared" si="238"/>
        <v>0.4</v>
      </c>
      <c r="E432" s="215">
        <f t="shared" si="242"/>
        <v>1</v>
      </c>
      <c r="F432" s="210">
        <f t="shared" si="237"/>
        <v>0.2</v>
      </c>
      <c r="H432" s="210">
        <f t="shared" si="239"/>
        <v>0</v>
      </c>
      <c r="I432" s="210">
        <f t="shared" si="240"/>
        <v>0</v>
      </c>
      <c r="J432" s="220">
        <f>IF($B432&lt;=$C$392,IF(Datenblatt!$M$136="IDA-C3",$F76,IF(Datenblatt!$M$136="IDA-C4",$G76,$I76)),0)</f>
        <v>1</v>
      </c>
      <c r="K432" s="220">
        <f>IF($B432&lt;=$C$392,IF(Datenblatt!$N$136="IDA-C3",$F76,IF(Datenblatt!$N$136="IDA-C4",$G76,$I76)),0)</f>
        <v>0.66700000000000004</v>
      </c>
      <c r="L432" s="220">
        <f>IF($B432&lt;=$C$392,IF(Datenblatt!$O$136="IDA-C3",$F76,IF(Datenblatt!$O$136="IDA-C4",$G76,$I76)),0)</f>
        <v>0.4</v>
      </c>
    </row>
    <row r="433" spans="1:12">
      <c r="A433" s="210">
        <f t="shared" si="241"/>
        <v>3</v>
      </c>
      <c r="B433" s="210">
        <v>2</v>
      </c>
      <c r="C433" s="217">
        <f t="shared" si="243"/>
        <v>39</v>
      </c>
      <c r="D433" s="210">
        <f t="shared" si="238"/>
        <v>0</v>
      </c>
      <c r="E433" s="215">
        <f t="shared" si="242"/>
        <v>0</v>
      </c>
      <c r="F433" s="210">
        <f t="shared" si="237"/>
        <v>0.2</v>
      </c>
      <c r="H433" s="210">
        <f t="shared" si="239"/>
        <v>0</v>
      </c>
      <c r="I433" s="210">
        <f t="shared" si="240"/>
        <v>0</v>
      </c>
      <c r="J433" s="220">
        <f>IF($B433&lt;=$C$392,IF(Datenblatt!$M$136="IDA-C3",$F77,IF(Datenblatt!$M$136="IDA-C4",$G77,$I77)),0)</f>
        <v>1</v>
      </c>
      <c r="K433" s="220">
        <f>IF($B433&lt;=$C$392,IF(Datenblatt!$N$136="IDA-C3",$F77,IF(Datenblatt!$N$136="IDA-C4",$G77,$I77)),0)</f>
        <v>0.66700000000000004</v>
      </c>
      <c r="L433" s="220">
        <f>IF($B433&lt;=$C$392,IF(Datenblatt!$O$136="IDA-C3",$F77,IF(Datenblatt!$O$136="IDA-C4",$G77,$I77)),0)</f>
        <v>0.25</v>
      </c>
    </row>
    <row r="434" spans="1:12">
      <c r="A434" s="210">
        <f t="shared" si="241"/>
        <v>3</v>
      </c>
      <c r="B434" s="210">
        <v>2</v>
      </c>
      <c r="C434" s="217">
        <f t="shared" si="243"/>
        <v>40</v>
      </c>
      <c r="D434" s="210">
        <f t="shared" si="238"/>
        <v>0</v>
      </c>
      <c r="E434" s="215">
        <f t="shared" si="242"/>
        <v>0</v>
      </c>
      <c r="F434" s="210">
        <f t="shared" si="237"/>
        <v>0.2</v>
      </c>
      <c r="H434" s="210">
        <f t="shared" si="239"/>
        <v>0</v>
      </c>
      <c r="I434" s="210">
        <f t="shared" si="240"/>
        <v>0</v>
      </c>
      <c r="J434" s="220">
        <f>IF($B434&lt;=$C$392,IF(Datenblatt!$M$136="IDA-C3",$F78,IF(Datenblatt!$M$136="IDA-C4",$G78,$I78)),0)</f>
        <v>1</v>
      </c>
      <c r="K434" s="220">
        <f>IF($B434&lt;=$C$392,IF(Datenblatt!$N$136="IDA-C3",$F78,IF(Datenblatt!$N$136="IDA-C4",$G78,$I78)),0)</f>
        <v>0.66700000000000004</v>
      </c>
      <c r="L434" s="220">
        <f>IF($B434&lt;=$C$392,IF(Datenblatt!$O$136="IDA-C3",$F78,IF(Datenblatt!$O$136="IDA-C4",$G78,$I78)),0)</f>
        <v>0.25</v>
      </c>
    </row>
    <row r="435" spans="1:12">
      <c r="A435" s="210">
        <f t="shared" si="241"/>
        <v>3</v>
      </c>
      <c r="B435" s="210">
        <v>2</v>
      </c>
      <c r="C435" s="217">
        <f t="shared" si="243"/>
        <v>41</v>
      </c>
      <c r="D435" s="210">
        <f t="shared" si="238"/>
        <v>0</v>
      </c>
      <c r="E435" s="215">
        <f t="shared" si="242"/>
        <v>0</v>
      </c>
      <c r="F435" s="210">
        <f t="shared" si="237"/>
        <v>0.2</v>
      </c>
      <c r="H435" s="210">
        <f t="shared" si="239"/>
        <v>0</v>
      </c>
      <c r="I435" s="210">
        <f t="shared" si="240"/>
        <v>0</v>
      </c>
      <c r="J435" s="220">
        <f>IF($B435&lt;=$C$392,IF(Datenblatt!$M$136="IDA-C3",$F79,IF(Datenblatt!$M$136="IDA-C4",$G79,$I79)),0)</f>
        <v>1</v>
      </c>
      <c r="K435" s="220">
        <f>IF($B435&lt;=$C$392,IF(Datenblatt!$N$136="IDA-C3",$F79,IF(Datenblatt!$N$136="IDA-C4",$G79,$I79)),0)</f>
        <v>0.66700000000000004</v>
      </c>
      <c r="L435" s="220">
        <f>IF($B435&lt;=$C$392,IF(Datenblatt!$O$136="IDA-C3",$F79,IF(Datenblatt!$O$136="IDA-C4",$G79,$I79)),0)</f>
        <v>0.25</v>
      </c>
    </row>
    <row r="436" spans="1:12">
      <c r="A436" s="210">
        <f t="shared" si="241"/>
        <v>3</v>
      </c>
      <c r="B436" s="210">
        <v>2</v>
      </c>
      <c r="C436" s="217">
        <f t="shared" si="243"/>
        <v>42</v>
      </c>
      <c r="D436" s="210">
        <f t="shared" si="238"/>
        <v>0.4</v>
      </c>
      <c r="E436" s="215">
        <f t="shared" si="242"/>
        <v>1</v>
      </c>
      <c r="F436" s="210">
        <f t="shared" si="237"/>
        <v>0.8</v>
      </c>
      <c r="H436" s="210">
        <f t="shared" si="239"/>
        <v>0</v>
      </c>
      <c r="I436" s="210">
        <f t="shared" si="240"/>
        <v>0</v>
      </c>
      <c r="J436" s="220">
        <f>IF($B436&lt;=$C$392,IF(Datenblatt!$M$136="IDA-C3",$F80,IF(Datenblatt!$M$136="IDA-C4",$G80,$I80)),0)</f>
        <v>1</v>
      </c>
      <c r="K436" s="220">
        <f>IF($B436&lt;=$C$392,IF(Datenblatt!$N$136="IDA-C3",$F80,IF(Datenblatt!$N$136="IDA-C4",$G80,$I80)),0)</f>
        <v>0.66700000000000004</v>
      </c>
      <c r="L436" s="220">
        <f>IF($B436&lt;=$C$392,IF(Datenblatt!$O$136="IDA-C3",$F80,IF(Datenblatt!$O$136="IDA-C4",$G80,$I80)),0)</f>
        <v>0.4</v>
      </c>
    </row>
    <row r="437" spans="1:12">
      <c r="A437" s="210">
        <f t="shared" si="241"/>
        <v>3</v>
      </c>
      <c r="B437" s="210">
        <v>2</v>
      </c>
      <c r="C437" s="217">
        <f t="shared" si="243"/>
        <v>43</v>
      </c>
      <c r="D437" s="210">
        <f t="shared" si="238"/>
        <v>0.8</v>
      </c>
      <c r="E437" s="215">
        <f t="shared" si="242"/>
        <v>1</v>
      </c>
      <c r="F437" s="210">
        <f t="shared" si="237"/>
        <v>1</v>
      </c>
      <c r="H437" s="210">
        <f t="shared" si="239"/>
        <v>0</v>
      </c>
      <c r="I437" s="210">
        <f t="shared" si="240"/>
        <v>1</v>
      </c>
      <c r="J437" s="220">
        <f>IF($B437&lt;=$C$392,IF(Datenblatt!$M$136="IDA-C3",$F81,IF(Datenblatt!$M$136="IDA-C4",$G81,$I81)),0)</f>
        <v>1</v>
      </c>
      <c r="K437" s="220">
        <f>IF($B437&lt;=$C$392,IF(Datenblatt!$N$136="IDA-C3",$F81,IF(Datenblatt!$N$136="IDA-C4",$G81,$I81)),0)</f>
        <v>1</v>
      </c>
      <c r="L437" s="220">
        <f>IF($B437&lt;=$C$392,IF(Datenblatt!$O$136="IDA-C3",$F81,IF(Datenblatt!$O$136="IDA-C4",$G81,$I81)),0)</f>
        <v>0.8</v>
      </c>
    </row>
    <row r="438" spans="1:12">
      <c r="A438" s="210">
        <f t="shared" si="241"/>
        <v>3</v>
      </c>
      <c r="B438" s="210">
        <v>2</v>
      </c>
      <c r="C438" s="217">
        <f t="shared" si="243"/>
        <v>44</v>
      </c>
      <c r="D438" s="210">
        <f t="shared" si="238"/>
        <v>0.8</v>
      </c>
      <c r="E438" s="215">
        <f t="shared" si="242"/>
        <v>1</v>
      </c>
      <c r="F438" s="210">
        <f t="shared" si="237"/>
        <v>0.2</v>
      </c>
      <c r="H438" s="210">
        <f t="shared" si="239"/>
        <v>1</v>
      </c>
      <c r="I438" s="210">
        <f t="shared" si="240"/>
        <v>1</v>
      </c>
      <c r="J438" s="220">
        <f>IF($B438&lt;=$C$392,IF(Datenblatt!$M$136="IDA-C3",$F82,IF(Datenblatt!$M$136="IDA-C4",$G82,$I82)),0)</f>
        <v>1</v>
      </c>
      <c r="K438" s="220">
        <f>IF($B438&lt;=$C$392,IF(Datenblatt!$N$136="IDA-C3",$F82,IF(Datenblatt!$N$136="IDA-C4",$G82,$I82)),0)</f>
        <v>1</v>
      </c>
      <c r="L438" s="220">
        <f>IF($B438&lt;=$C$392,IF(Datenblatt!$O$136="IDA-C3",$F82,IF(Datenblatt!$O$136="IDA-C4",$G82,$I82)),0)</f>
        <v>0.8</v>
      </c>
    </row>
    <row r="439" spans="1:12">
      <c r="A439" s="210">
        <f t="shared" si="241"/>
        <v>3</v>
      </c>
      <c r="B439" s="210">
        <v>2</v>
      </c>
      <c r="C439" s="217">
        <f t="shared" si="243"/>
        <v>45</v>
      </c>
      <c r="D439" s="210">
        <f t="shared" si="238"/>
        <v>0.8</v>
      </c>
      <c r="E439" s="215">
        <f t="shared" si="242"/>
        <v>1</v>
      </c>
      <c r="F439" s="210">
        <f t="shared" si="237"/>
        <v>0.2</v>
      </c>
      <c r="H439" s="210">
        <f t="shared" si="239"/>
        <v>1</v>
      </c>
      <c r="I439" s="210">
        <f t="shared" si="240"/>
        <v>1</v>
      </c>
      <c r="J439" s="220">
        <f>IF($B439&lt;=$C$392,IF(Datenblatt!$M$136="IDA-C3",$F83,IF(Datenblatt!$M$136="IDA-C4",$G83,$I83)),0)</f>
        <v>1</v>
      </c>
      <c r="K439" s="220">
        <f>IF($B439&lt;=$C$392,IF(Datenblatt!$N$136="IDA-C3",$F83,IF(Datenblatt!$N$136="IDA-C4",$G83,$I83)),0)</f>
        <v>1</v>
      </c>
      <c r="L439" s="220">
        <f>IF($B439&lt;=$C$392,IF(Datenblatt!$O$136="IDA-C3",$F83,IF(Datenblatt!$O$136="IDA-C4",$G83,$I83)),0)</f>
        <v>0.8</v>
      </c>
    </row>
    <row r="440" spans="1:12">
      <c r="A440" s="210">
        <f t="shared" si="241"/>
        <v>3</v>
      </c>
      <c r="B440" s="210">
        <v>2</v>
      </c>
      <c r="C440" s="217">
        <f t="shared" si="243"/>
        <v>46</v>
      </c>
      <c r="D440" s="210">
        <f t="shared" si="238"/>
        <v>1</v>
      </c>
      <c r="E440" s="215">
        <f t="shared" si="242"/>
        <v>1</v>
      </c>
      <c r="F440" s="210">
        <f t="shared" si="237"/>
        <v>0.2</v>
      </c>
      <c r="H440" s="210">
        <f t="shared" si="239"/>
        <v>1</v>
      </c>
      <c r="I440" s="210">
        <f t="shared" si="240"/>
        <v>1</v>
      </c>
      <c r="J440" s="220">
        <f>IF($B440&lt;=$C$392,IF(Datenblatt!$M$136="IDA-C3",$F84,IF(Datenblatt!$M$136="IDA-C4",$G84,$I84)),0)</f>
        <v>1</v>
      </c>
      <c r="K440" s="220">
        <f>IF($B440&lt;=$C$392,IF(Datenblatt!$N$136="IDA-C3",$F84,IF(Datenblatt!$N$136="IDA-C4",$G84,$I84)),0)</f>
        <v>1</v>
      </c>
      <c r="L440" s="220">
        <f>IF($B440&lt;=$C$392,IF(Datenblatt!$O$136="IDA-C3",$F84,IF(Datenblatt!$O$136="IDA-C4",$G84,$I84)),0)</f>
        <v>1</v>
      </c>
    </row>
    <row r="441" spans="1:12">
      <c r="A441" s="210">
        <f t="shared" si="241"/>
        <v>3</v>
      </c>
      <c r="B441" s="210">
        <v>2</v>
      </c>
      <c r="C441" s="217">
        <f t="shared" si="243"/>
        <v>47</v>
      </c>
      <c r="D441" s="210">
        <f t="shared" si="238"/>
        <v>1</v>
      </c>
      <c r="E441" s="215">
        <f t="shared" si="242"/>
        <v>1</v>
      </c>
      <c r="F441" s="210">
        <f t="shared" si="237"/>
        <v>0.2</v>
      </c>
      <c r="H441" s="210">
        <f t="shared" si="239"/>
        <v>0</v>
      </c>
      <c r="I441" s="210">
        <f t="shared" si="240"/>
        <v>0</v>
      </c>
      <c r="J441" s="220">
        <f>IF($B441&lt;=$C$392,IF(Datenblatt!$M$136="IDA-C3",$F85,IF(Datenblatt!$M$136="IDA-C4",$G85,$I85)),0)</f>
        <v>1</v>
      </c>
      <c r="K441" s="220">
        <f>IF($B441&lt;=$C$392,IF(Datenblatt!$N$136="IDA-C3",$F85,IF(Datenblatt!$N$136="IDA-C4",$G85,$I85)),0)</f>
        <v>1</v>
      </c>
      <c r="L441" s="220">
        <f>IF($B441&lt;=$C$392,IF(Datenblatt!$O$136="IDA-C3",$F85,IF(Datenblatt!$O$136="IDA-C4",$G85,$I85)),0)</f>
        <v>1</v>
      </c>
    </row>
    <row r="442" spans="1:12">
      <c r="A442" s="210">
        <f t="shared" si="241"/>
        <v>3</v>
      </c>
      <c r="B442" s="210">
        <v>2</v>
      </c>
      <c r="C442" s="217">
        <f t="shared" si="243"/>
        <v>48</v>
      </c>
      <c r="D442" s="210">
        <f t="shared" si="238"/>
        <v>1</v>
      </c>
      <c r="E442" s="215">
        <f t="shared" si="242"/>
        <v>1</v>
      </c>
      <c r="F442" s="210">
        <f t="shared" si="237"/>
        <v>0.2</v>
      </c>
      <c r="H442" s="210">
        <f t="shared" si="239"/>
        <v>0</v>
      </c>
      <c r="I442" s="210">
        <f t="shared" si="240"/>
        <v>0</v>
      </c>
      <c r="J442" s="220">
        <f>IF($B442&lt;=$C$392,IF(Datenblatt!$M$136="IDA-C3",$F86,IF(Datenblatt!$M$136="IDA-C4",$G86,$I86)),0)</f>
        <v>1</v>
      </c>
      <c r="K442" s="220">
        <f>IF($B442&lt;=$C$392,IF(Datenblatt!$N$136="IDA-C3",$F86,IF(Datenblatt!$N$136="IDA-C4",$G86,$I86)),0)</f>
        <v>1</v>
      </c>
      <c r="L442" s="220">
        <f>IF($B442&lt;=$C$392,IF(Datenblatt!$O$136="IDA-C3",$F86,IF(Datenblatt!$O$136="IDA-C4",$G86,$I86)),0)</f>
        <v>1</v>
      </c>
    </row>
    <row r="443" spans="1:12">
      <c r="A443" s="1567">
        <f t="shared" si="241"/>
        <v>4</v>
      </c>
      <c r="B443" s="1567">
        <v>3</v>
      </c>
      <c r="C443" s="1568">
        <f t="shared" si="243"/>
        <v>49</v>
      </c>
      <c r="D443" s="1567">
        <f t="shared" ref="D443:D466" si="244">IF(B443&lt;=$C$392,B63,0)</f>
        <v>1</v>
      </c>
      <c r="E443" s="1569">
        <f t="shared" si="242"/>
        <v>1</v>
      </c>
      <c r="F443" s="1567">
        <f t="shared" ref="F443:F466" si="245">MAX(IF(B443&lt;=$C$392,D63,0),G$392)</f>
        <v>0.2</v>
      </c>
      <c r="G443" s="1567"/>
      <c r="H443" s="1567">
        <f t="shared" ref="H443:H466" si="246">IF(B443&lt;=$C$392,T63,0)</f>
        <v>0</v>
      </c>
      <c r="I443" s="210">
        <f t="shared" ref="I443:I466" si="247">IF(B443&lt;=$C$392,V63,0)</f>
        <v>0</v>
      </c>
      <c r="J443" s="1570">
        <f>IF($B443&lt;=$C$392,IF(Datenblatt!$M$136="IDA-C3",$F63,IF(Datenblatt!$M$136="IDA-C4",$G63,$I63)),0)</f>
        <v>1</v>
      </c>
      <c r="K443" s="1570">
        <f>IF($B443&lt;=$C$392,IF(Datenblatt!$N$136="IDA-C3",$F63,IF(Datenblatt!$N$136="IDA-C4",$G63,$I63)),0)</f>
        <v>1</v>
      </c>
      <c r="L443" s="1570">
        <f>IF($B443&lt;=$C$392,IF(Datenblatt!$O$136="IDA-C3",$F63,IF(Datenblatt!$O$136="IDA-C4",$G63,$I63)),0)</f>
        <v>1</v>
      </c>
    </row>
    <row r="444" spans="1:12">
      <c r="A444" s="210">
        <f t="shared" si="241"/>
        <v>4</v>
      </c>
      <c r="B444" s="210">
        <v>3</v>
      </c>
      <c r="C444" s="217">
        <f t="shared" si="243"/>
        <v>50</v>
      </c>
      <c r="D444" s="210">
        <f t="shared" si="244"/>
        <v>1</v>
      </c>
      <c r="E444" s="215">
        <f t="shared" si="242"/>
        <v>1</v>
      </c>
      <c r="F444" s="210">
        <f t="shared" si="245"/>
        <v>0.2</v>
      </c>
      <c r="H444" s="210">
        <f t="shared" si="246"/>
        <v>0</v>
      </c>
      <c r="I444" s="210">
        <f t="shared" si="247"/>
        <v>0</v>
      </c>
      <c r="J444" s="220">
        <f>IF($B444&lt;=$C$392,IF(Datenblatt!$M$136="IDA-C3",$F64,IF(Datenblatt!$M$136="IDA-C4",$G64,$I64)),0)</f>
        <v>1</v>
      </c>
      <c r="K444" s="220">
        <f>IF($B444&lt;=$C$392,IF(Datenblatt!$N$136="IDA-C3",$F64,IF(Datenblatt!$N$136="IDA-C4",$G64,$I64)),0)</f>
        <v>1</v>
      </c>
      <c r="L444" s="220">
        <f>IF($B444&lt;=$C$392,IF(Datenblatt!$O$136="IDA-C3",$F64,IF(Datenblatt!$O$136="IDA-C4",$G64,$I64)),0)</f>
        <v>1</v>
      </c>
    </row>
    <row r="445" spans="1:12">
      <c r="A445" s="210">
        <f t="shared" si="241"/>
        <v>4</v>
      </c>
      <c r="B445" s="210">
        <v>3</v>
      </c>
      <c r="C445" s="217">
        <f t="shared" si="243"/>
        <v>51</v>
      </c>
      <c r="D445" s="210">
        <f t="shared" si="244"/>
        <v>1</v>
      </c>
      <c r="E445" s="215">
        <f t="shared" si="242"/>
        <v>1</v>
      </c>
      <c r="F445" s="210">
        <f t="shared" si="245"/>
        <v>0.2</v>
      </c>
      <c r="H445" s="210">
        <f t="shared" si="246"/>
        <v>0</v>
      </c>
      <c r="I445" s="210">
        <f t="shared" si="247"/>
        <v>0</v>
      </c>
      <c r="J445" s="220">
        <f>IF($B445&lt;=$C$392,IF(Datenblatt!$M$136="IDA-C3",$F65,IF(Datenblatt!$M$136="IDA-C4",$G65,$I65)),0)</f>
        <v>1</v>
      </c>
      <c r="K445" s="220">
        <f>IF($B445&lt;=$C$392,IF(Datenblatt!$N$136="IDA-C3",$F65,IF(Datenblatt!$N$136="IDA-C4",$G65,$I65)),0)</f>
        <v>1</v>
      </c>
      <c r="L445" s="220">
        <f>IF($B445&lt;=$C$392,IF(Datenblatt!$O$136="IDA-C3",$F65,IF(Datenblatt!$O$136="IDA-C4",$G65,$I65)),0)</f>
        <v>1</v>
      </c>
    </row>
    <row r="446" spans="1:12">
      <c r="A446" s="210">
        <f t="shared" si="241"/>
        <v>4</v>
      </c>
      <c r="B446" s="210">
        <v>3</v>
      </c>
      <c r="C446" s="217">
        <f t="shared" si="243"/>
        <v>52</v>
      </c>
      <c r="D446" s="210">
        <f t="shared" si="244"/>
        <v>1</v>
      </c>
      <c r="E446" s="215">
        <f t="shared" si="242"/>
        <v>1</v>
      </c>
      <c r="F446" s="210">
        <f t="shared" si="245"/>
        <v>0.2</v>
      </c>
      <c r="H446" s="210">
        <f t="shared" si="246"/>
        <v>0</v>
      </c>
      <c r="I446" s="210">
        <f t="shared" si="247"/>
        <v>0</v>
      </c>
      <c r="J446" s="220">
        <f>IF($B446&lt;=$C$392,IF(Datenblatt!$M$136="IDA-C3",$F66,IF(Datenblatt!$M$136="IDA-C4",$G66,$I66)),0)</f>
        <v>1</v>
      </c>
      <c r="K446" s="220">
        <f>IF($B446&lt;=$C$392,IF(Datenblatt!$N$136="IDA-C3",$F66,IF(Datenblatt!$N$136="IDA-C4",$G66,$I66)),0)</f>
        <v>1</v>
      </c>
      <c r="L446" s="220">
        <f>IF($B446&lt;=$C$392,IF(Datenblatt!$O$136="IDA-C3",$F66,IF(Datenblatt!$O$136="IDA-C4",$G66,$I66)),0)</f>
        <v>1</v>
      </c>
    </row>
    <row r="447" spans="1:12">
      <c r="A447" s="210">
        <f t="shared" si="241"/>
        <v>4</v>
      </c>
      <c r="B447" s="210">
        <v>3</v>
      </c>
      <c r="C447" s="217">
        <f t="shared" si="243"/>
        <v>53</v>
      </c>
      <c r="D447" s="210">
        <f t="shared" si="244"/>
        <v>1</v>
      </c>
      <c r="E447" s="215">
        <f t="shared" si="242"/>
        <v>1</v>
      </c>
      <c r="F447" s="210">
        <f t="shared" si="245"/>
        <v>0.2</v>
      </c>
      <c r="H447" s="210">
        <f t="shared" si="246"/>
        <v>0</v>
      </c>
      <c r="I447" s="210">
        <f t="shared" si="247"/>
        <v>0</v>
      </c>
      <c r="J447" s="220">
        <f>IF($B447&lt;=$C$392,IF(Datenblatt!$M$136="IDA-C3",$F67,IF(Datenblatt!$M$136="IDA-C4",$G67,$I67)),0)</f>
        <v>1</v>
      </c>
      <c r="K447" s="220">
        <f>IF($B447&lt;=$C$392,IF(Datenblatt!$N$136="IDA-C3",$F67,IF(Datenblatt!$N$136="IDA-C4",$G67,$I67)),0)</f>
        <v>1</v>
      </c>
      <c r="L447" s="220">
        <f>IF($B447&lt;=$C$392,IF(Datenblatt!$O$136="IDA-C3",$F67,IF(Datenblatt!$O$136="IDA-C4",$G67,$I67)),0)</f>
        <v>1</v>
      </c>
    </row>
    <row r="448" spans="1:12">
      <c r="A448" s="210">
        <f t="shared" si="241"/>
        <v>4</v>
      </c>
      <c r="B448" s="210">
        <v>3</v>
      </c>
      <c r="C448" s="217">
        <f t="shared" si="243"/>
        <v>54</v>
      </c>
      <c r="D448" s="210">
        <f t="shared" si="244"/>
        <v>1</v>
      </c>
      <c r="E448" s="215">
        <f t="shared" si="242"/>
        <v>1</v>
      </c>
      <c r="F448" s="210">
        <f t="shared" si="245"/>
        <v>0.2</v>
      </c>
      <c r="H448" s="210">
        <f t="shared" si="246"/>
        <v>0</v>
      </c>
      <c r="I448" s="210">
        <f t="shared" si="247"/>
        <v>0</v>
      </c>
      <c r="J448" s="220">
        <f>IF($B448&lt;=$C$392,IF(Datenblatt!$M$136="IDA-C3",$F68,IF(Datenblatt!$M$136="IDA-C4",$G68,$I68)),0)</f>
        <v>1</v>
      </c>
      <c r="K448" s="220">
        <f>IF($B448&lt;=$C$392,IF(Datenblatt!$N$136="IDA-C3",$F68,IF(Datenblatt!$N$136="IDA-C4",$G68,$I68)),0)</f>
        <v>1</v>
      </c>
      <c r="L448" s="220">
        <f>IF($B448&lt;=$C$392,IF(Datenblatt!$O$136="IDA-C3",$F68,IF(Datenblatt!$O$136="IDA-C4",$G68,$I68)),0)</f>
        <v>1</v>
      </c>
    </row>
    <row r="449" spans="1:12">
      <c r="A449" s="210">
        <f t="shared" si="241"/>
        <v>4</v>
      </c>
      <c r="B449" s="210">
        <v>3</v>
      </c>
      <c r="C449" s="217">
        <f t="shared" si="243"/>
        <v>55</v>
      </c>
      <c r="D449" s="210">
        <f t="shared" si="244"/>
        <v>0.6</v>
      </c>
      <c r="E449" s="215">
        <f t="shared" si="242"/>
        <v>1</v>
      </c>
      <c r="F449" s="210">
        <f t="shared" si="245"/>
        <v>0.8</v>
      </c>
      <c r="H449" s="210">
        <f t="shared" si="246"/>
        <v>0</v>
      </c>
      <c r="I449" s="210">
        <f t="shared" si="247"/>
        <v>1</v>
      </c>
      <c r="J449" s="220">
        <f>IF($B449&lt;=$C$392,IF(Datenblatt!$M$136="IDA-C3",$F69,IF(Datenblatt!$M$136="IDA-C4",$G69,$I69)),0)</f>
        <v>1</v>
      </c>
      <c r="K449" s="220">
        <f>IF($B449&lt;=$C$392,IF(Datenblatt!$N$136="IDA-C3",$F69,IF(Datenblatt!$N$136="IDA-C4",$G69,$I69)),0)</f>
        <v>1</v>
      </c>
      <c r="L449" s="220">
        <f>IF($B449&lt;=$C$392,IF(Datenblatt!$O$136="IDA-C3",$F69,IF(Datenblatt!$O$136="IDA-C4",$G69,$I69)),0)</f>
        <v>0.6</v>
      </c>
    </row>
    <row r="450" spans="1:12">
      <c r="A450" s="210">
        <f t="shared" si="241"/>
        <v>4</v>
      </c>
      <c r="B450" s="210">
        <v>3</v>
      </c>
      <c r="C450" s="217">
        <f t="shared" si="243"/>
        <v>56</v>
      </c>
      <c r="D450" s="210">
        <f t="shared" si="244"/>
        <v>0.4</v>
      </c>
      <c r="E450" s="215">
        <f t="shared" si="242"/>
        <v>1</v>
      </c>
      <c r="F450" s="210">
        <f t="shared" si="245"/>
        <v>0.2</v>
      </c>
      <c r="H450" s="210">
        <f t="shared" si="246"/>
        <v>0</v>
      </c>
      <c r="I450" s="210">
        <f t="shared" si="247"/>
        <v>1</v>
      </c>
      <c r="J450" s="220">
        <f>IF($B450&lt;=$C$392,IF(Datenblatt!$M$136="IDA-C3",$F70,IF(Datenblatt!$M$136="IDA-C4",$G70,$I70)),0)</f>
        <v>1</v>
      </c>
      <c r="K450" s="220">
        <f>IF($B450&lt;=$C$392,IF(Datenblatt!$N$136="IDA-C3",$F70,IF(Datenblatt!$N$136="IDA-C4",$G70,$I70)),0)</f>
        <v>0.66700000000000004</v>
      </c>
      <c r="L450" s="220">
        <f>IF($B450&lt;=$C$392,IF(Datenblatt!$O$136="IDA-C3",$F70,IF(Datenblatt!$O$136="IDA-C4",$G70,$I70)),0)</f>
        <v>0.4</v>
      </c>
    </row>
    <row r="451" spans="1:12">
      <c r="A451" s="210">
        <f t="shared" si="241"/>
        <v>4</v>
      </c>
      <c r="B451" s="210">
        <v>3</v>
      </c>
      <c r="C451" s="217">
        <f t="shared" si="243"/>
        <v>57</v>
      </c>
      <c r="D451" s="210">
        <f t="shared" si="244"/>
        <v>0</v>
      </c>
      <c r="E451" s="215">
        <f t="shared" si="242"/>
        <v>0</v>
      </c>
      <c r="F451" s="210">
        <f t="shared" si="245"/>
        <v>0.2</v>
      </c>
      <c r="H451" s="210">
        <f t="shared" si="246"/>
        <v>0</v>
      </c>
      <c r="I451" s="210">
        <f t="shared" si="247"/>
        <v>0</v>
      </c>
      <c r="J451" s="220">
        <f>IF($B451&lt;=$C$392,IF(Datenblatt!$M$136="IDA-C3",$F71,IF(Datenblatt!$M$136="IDA-C4",$G71,$I71)),0)</f>
        <v>1</v>
      </c>
      <c r="K451" s="220">
        <f>IF($B451&lt;=$C$392,IF(Datenblatt!$N$136="IDA-C3",$F71,IF(Datenblatt!$N$136="IDA-C4",$G71,$I71)),0)</f>
        <v>0.66700000000000004</v>
      </c>
      <c r="L451" s="220">
        <f>IF($B451&lt;=$C$392,IF(Datenblatt!$O$136="IDA-C3",$F71,IF(Datenblatt!$O$136="IDA-C4",$G71,$I71)),0)</f>
        <v>0.25</v>
      </c>
    </row>
    <row r="452" spans="1:12">
      <c r="A452" s="210">
        <f t="shared" si="241"/>
        <v>4</v>
      </c>
      <c r="B452" s="210">
        <v>3</v>
      </c>
      <c r="C452" s="217">
        <f t="shared" si="243"/>
        <v>58</v>
      </c>
      <c r="D452" s="210">
        <f t="shared" si="244"/>
        <v>0</v>
      </c>
      <c r="E452" s="215">
        <f t="shared" si="242"/>
        <v>0</v>
      </c>
      <c r="F452" s="210">
        <f t="shared" si="245"/>
        <v>0.2</v>
      </c>
      <c r="H452" s="210">
        <f t="shared" si="246"/>
        <v>0</v>
      </c>
      <c r="I452" s="210">
        <f t="shared" si="247"/>
        <v>0</v>
      </c>
      <c r="J452" s="220">
        <f>IF($B452&lt;=$C$392,IF(Datenblatt!$M$136="IDA-C3",$F72,IF(Datenblatt!$M$136="IDA-C4",$G72,$I72)),0)</f>
        <v>1</v>
      </c>
      <c r="K452" s="220">
        <f>IF($B452&lt;=$C$392,IF(Datenblatt!$N$136="IDA-C3",$F72,IF(Datenblatt!$N$136="IDA-C4",$G72,$I72)),0)</f>
        <v>0.66700000000000004</v>
      </c>
      <c r="L452" s="220">
        <f>IF($B452&lt;=$C$392,IF(Datenblatt!$O$136="IDA-C3",$F72,IF(Datenblatt!$O$136="IDA-C4",$G72,$I72)),0)</f>
        <v>0.25</v>
      </c>
    </row>
    <row r="453" spans="1:12">
      <c r="A453" s="210">
        <f t="shared" si="241"/>
        <v>4</v>
      </c>
      <c r="B453" s="210">
        <v>3</v>
      </c>
      <c r="C453" s="217">
        <f t="shared" si="243"/>
        <v>59</v>
      </c>
      <c r="D453" s="210">
        <f t="shared" si="244"/>
        <v>0</v>
      </c>
      <c r="E453" s="215">
        <f t="shared" si="242"/>
        <v>0</v>
      </c>
      <c r="F453" s="210">
        <f t="shared" si="245"/>
        <v>0.2</v>
      </c>
      <c r="H453" s="210">
        <f t="shared" si="246"/>
        <v>0</v>
      </c>
      <c r="I453" s="210">
        <f t="shared" si="247"/>
        <v>0</v>
      </c>
      <c r="J453" s="220">
        <f>IF($B453&lt;=$C$392,IF(Datenblatt!$M$136="IDA-C3",$F73,IF(Datenblatt!$M$136="IDA-C4",$G73,$I73)),0)</f>
        <v>1</v>
      </c>
      <c r="K453" s="220">
        <f>IF($B453&lt;=$C$392,IF(Datenblatt!$N$136="IDA-C3",$F73,IF(Datenblatt!$N$136="IDA-C4",$G73,$I73)),0)</f>
        <v>0.66700000000000004</v>
      </c>
      <c r="L453" s="220">
        <f>IF($B453&lt;=$C$392,IF(Datenblatt!$O$136="IDA-C3",$F73,IF(Datenblatt!$O$136="IDA-C4",$G73,$I73)),0)</f>
        <v>0.25</v>
      </c>
    </row>
    <row r="454" spans="1:12">
      <c r="A454" s="210">
        <f t="shared" si="241"/>
        <v>4</v>
      </c>
      <c r="B454" s="210">
        <v>3</v>
      </c>
      <c r="C454" s="217">
        <f t="shared" si="243"/>
        <v>60</v>
      </c>
      <c r="D454" s="210">
        <f t="shared" si="244"/>
        <v>0</v>
      </c>
      <c r="E454" s="215">
        <f t="shared" si="242"/>
        <v>0</v>
      </c>
      <c r="F454" s="210">
        <f t="shared" si="245"/>
        <v>0.2</v>
      </c>
      <c r="H454" s="210">
        <f t="shared" si="246"/>
        <v>0</v>
      </c>
      <c r="I454" s="210">
        <f t="shared" si="247"/>
        <v>0</v>
      </c>
      <c r="J454" s="220">
        <f>IF($B454&lt;=$C$392,IF(Datenblatt!$M$136="IDA-C3",$F74,IF(Datenblatt!$M$136="IDA-C4",$G74,$I74)),0)</f>
        <v>1</v>
      </c>
      <c r="K454" s="220">
        <f>IF($B454&lt;=$C$392,IF(Datenblatt!$N$136="IDA-C3",$F74,IF(Datenblatt!$N$136="IDA-C4",$G74,$I74)),0)</f>
        <v>0.66700000000000004</v>
      </c>
      <c r="L454" s="220">
        <f>IF($B454&lt;=$C$392,IF(Datenblatt!$O$136="IDA-C3",$F74,IF(Datenblatt!$O$136="IDA-C4",$G74,$I74)),0)</f>
        <v>0.25</v>
      </c>
    </row>
    <row r="455" spans="1:12">
      <c r="A455" s="210">
        <f t="shared" si="241"/>
        <v>4</v>
      </c>
      <c r="B455" s="210">
        <v>3</v>
      </c>
      <c r="C455" s="217">
        <f t="shared" si="243"/>
        <v>61</v>
      </c>
      <c r="D455" s="210">
        <f t="shared" si="244"/>
        <v>0.8</v>
      </c>
      <c r="E455" s="215">
        <f t="shared" si="242"/>
        <v>1</v>
      </c>
      <c r="F455" s="210">
        <f t="shared" si="245"/>
        <v>0.8</v>
      </c>
      <c r="H455" s="210">
        <f t="shared" si="246"/>
        <v>0</v>
      </c>
      <c r="I455" s="210">
        <f t="shared" si="247"/>
        <v>1</v>
      </c>
      <c r="J455" s="220">
        <f>IF($B455&lt;=$C$392,IF(Datenblatt!$M$136="IDA-C3",$F75,IF(Datenblatt!$M$136="IDA-C4",$G75,$I75)),0)</f>
        <v>1</v>
      </c>
      <c r="K455" s="220">
        <f>IF($B455&lt;=$C$392,IF(Datenblatt!$N$136="IDA-C3",$F75,IF(Datenblatt!$N$136="IDA-C4",$G75,$I75)),0)</f>
        <v>1</v>
      </c>
      <c r="L455" s="220">
        <f>IF($B455&lt;=$C$392,IF(Datenblatt!$O$136="IDA-C3",$F75,IF(Datenblatt!$O$136="IDA-C4",$G75,$I75)),0)</f>
        <v>0.8</v>
      </c>
    </row>
    <row r="456" spans="1:12">
      <c r="A456" s="210">
        <f t="shared" si="241"/>
        <v>4</v>
      </c>
      <c r="B456" s="210">
        <v>3</v>
      </c>
      <c r="C456" s="217">
        <f t="shared" si="243"/>
        <v>62</v>
      </c>
      <c r="D456" s="210">
        <f t="shared" si="244"/>
        <v>0.4</v>
      </c>
      <c r="E456" s="215">
        <f t="shared" si="242"/>
        <v>1</v>
      </c>
      <c r="F456" s="210">
        <f t="shared" si="245"/>
        <v>0.2</v>
      </c>
      <c r="H456" s="210">
        <f t="shared" si="246"/>
        <v>0</v>
      </c>
      <c r="I456" s="210">
        <f t="shared" si="247"/>
        <v>0</v>
      </c>
      <c r="J456" s="220">
        <f>IF($B456&lt;=$C$392,IF(Datenblatt!$M$136="IDA-C3",$F76,IF(Datenblatt!$M$136="IDA-C4",$G76,$I76)),0)</f>
        <v>1</v>
      </c>
      <c r="K456" s="220">
        <f>IF($B456&lt;=$C$392,IF(Datenblatt!$N$136="IDA-C3",$F76,IF(Datenblatt!$N$136="IDA-C4",$G76,$I76)),0)</f>
        <v>0.66700000000000004</v>
      </c>
      <c r="L456" s="220">
        <f>IF($B456&lt;=$C$392,IF(Datenblatt!$O$136="IDA-C3",$F76,IF(Datenblatt!$O$136="IDA-C4",$G76,$I76)),0)</f>
        <v>0.4</v>
      </c>
    </row>
    <row r="457" spans="1:12">
      <c r="A457" s="210">
        <f t="shared" si="241"/>
        <v>4</v>
      </c>
      <c r="B457" s="210">
        <v>3</v>
      </c>
      <c r="C457" s="217">
        <f t="shared" si="243"/>
        <v>63</v>
      </c>
      <c r="D457" s="210">
        <f t="shared" si="244"/>
        <v>0</v>
      </c>
      <c r="E457" s="215">
        <f t="shared" si="242"/>
        <v>0</v>
      </c>
      <c r="F457" s="210">
        <f t="shared" si="245"/>
        <v>0.2</v>
      </c>
      <c r="H457" s="210">
        <f t="shared" si="246"/>
        <v>0</v>
      </c>
      <c r="I457" s="210">
        <f t="shared" si="247"/>
        <v>0</v>
      </c>
      <c r="J457" s="220">
        <f>IF($B457&lt;=$C$392,IF(Datenblatt!$M$136="IDA-C3",$F77,IF(Datenblatt!$M$136="IDA-C4",$G77,$I77)),0)</f>
        <v>1</v>
      </c>
      <c r="K457" s="220">
        <f>IF($B457&lt;=$C$392,IF(Datenblatt!$N$136="IDA-C3",$F77,IF(Datenblatt!$N$136="IDA-C4",$G77,$I77)),0)</f>
        <v>0.66700000000000004</v>
      </c>
      <c r="L457" s="220">
        <f>IF($B457&lt;=$C$392,IF(Datenblatt!$O$136="IDA-C3",$F77,IF(Datenblatt!$O$136="IDA-C4",$G77,$I77)),0)</f>
        <v>0.25</v>
      </c>
    </row>
    <row r="458" spans="1:12">
      <c r="A458" s="210">
        <f t="shared" si="241"/>
        <v>4</v>
      </c>
      <c r="B458" s="210">
        <v>3</v>
      </c>
      <c r="C458" s="217">
        <f t="shared" si="243"/>
        <v>64</v>
      </c>
      <c r="D458" s="210">
        <f t="shared" si="244"/>
        <v>0</v>
      </c>
      <c r="E458" s="215">
        <f t="shared" si="242"/>
        <v>0</v>
      </c>
      <c r="F458" s="210">
        <f t="shared" si="245"/>
        <v>0.2</v>
      </c>
      <c r="H458" s="210">
        <f t="shared" si="246"/>
        <v>0</v>
      </c>
      <c r="I458" s="210">
        <f t="shared" si="247"/>
        <v>0</v>
      </c>
      <c r="J458" s="220">
        <f>IF($B458&lt;=$C$392,IF(Datenblatt!$M$136="IDA-C3",$F78,IF(Datenblatt!$M$136="IDA-C4",$G78,$I78)),0)</f>
        <v>1</v>
      </c>
      <c r="K458" s="220">
        <f>IF($B458&lt;=$C$392,IF(Datenblatt!$N$136="IDA-C3",$F78,IF(Datenblatt!$N$136="IDA-C4",$G78,$I78)),0)</f>
        <v>0.66700000000000004</v>
      </c>
      <c r="L458" s="220">
        <f>IF($B458&lt;=$C$392,IF(Datenblatt!$O$136="IDA-C3",$F78,IF(Datenblatt!$O$136="IDA-C4",$G78,$I78)),0)</f>
        <v>0.25</v>
      </c>
    </row>
    <row r="459" spans="1:12">
      <c r="A459" s="210">
        <f t="shared" ref="A459:A490" si="248">B459+1</f>
        <v>4</v>
      </c>
      <c r="B459" s="210">
        <v>3</v>
      </c>
      <c r="C459" s="217">
        <f t="shared" si="243"/>
        <v>65</v>
      </c>
      <c r="D459" s="210">
        <f t="shared" si="244"/>
        <v>0</v>
      </c>
      <c r="E459" s="215">
        <f t="shared" ref="E459:E490" si="249">IF(D459&gt;0,1,0)</f>
        <v>0</v>
      </c>
      <c r="F459" s="210">
        <f t="shared" si="245"/>
        <v>0.2</v>
      </c>
      <c r="H459" s="210">
        <f t="shared" si="246"/>
        <v>0</v>
      </c>
      <c r="I459" s="210">
        <f t="shared" si="247"/>
        <v>0</v>
      </c>
      <c r="J459" s="220">
        <f>IF($B459&lt;=$C$392,IF(Datenblatt!$M$136="IDA-C3",$F79,IF(Datenblatt!$M$136="IDA-C4",$G79,$I79)),0)</f>
        <v>1</v>
      </c>
      <c r="K459" s="220">
        <f>IF($B459&lt;=$C$392,IF(Datenblatt!$N$136="IDA-C3",$F79,IF(Datenblatt!$N$136="IDA-C4",$G79,$I79)),0)</f>
        <v>0.66700000000000004</v>
      </c>
      <c r="L459" s="220">
        <f>IF($B459&lt;=$C$392,IF(Datenblatt!$O$136="IDA-C3",$F79,IF(Datenblatt!$O$136="IDA-C4",$G79,$I79)),0)</f>
        <v>0.25</v>
      </c>
    </row>
    <row r="460" spans="1:12">
      <c r="A460" s="210">
        <f t="shared" si="248"/>
        <v>4</v>
      </c>
      <c r="B460" s="210">
        <v>3</v>
      </c>
      <c r="C460" s="217">
        <f t="shared" ref="C460:C491" si="250">C459+1</f>
        <v>66</v>
      </c>
      <c r="D460" s="210">
        <f t="shared" si="244"/>
        <v>0.4</v>
      </c>
      <c r="E460" s="215">
        <f t="shared" si="249"/>
        <v>1</v>
      </c>
      <c r="F460" s="210">
        <f t="shared" si="245"/>
        <v>0.2</v>
      </c>
      <c r="H460" s="210">
        <f t="shared" si="246"/>
        <v>0</v>
      </c>
      <c r="I460" s="210">
        <f t="shared" si="247"/>
        <v>0</v>
      </c>
      <c r="J460" s="220">
        <f>IF($B460&lt;=$C$392,IF(Datenblatt!$M$136="IDA-C3",$F80,IF(Datenblatt!$M$136="IDA-C4",$G80,$I80)),0)</f>
        <v>1</v>
      </c>
      <c r="K460" s="220">
        <f>IF($B460&lt;=$C$392,IF(Datenblatt!$N$136="IDA-C3",$F80,IF(Datenblatt!$N$136="IDA-C4",$G80,$I80)),0)</f>
        <v>0.66700000000000004</v>
      </c>
      <c r="L460" s="220">
        <f>IF($B460&lt;=$C$392,IF(Datenblatt!$O$136="IDA-C3",$F80,IF(Datenblatt!$O$136="IDA-C4",$G80,$I80)),0)</f>
        <v>0.4</v>
      </c>
    </row>
    <row r="461" spans="1:12">
      <c r="A461" s="210">
        <f t="shared" si="248"/>
        <v>4</v>
      </c>
      <c r="B461" s="210">
        <v>3</v>
      </c>
      <c r="C461" s="217">
        <f t="shared" si="250"/>
        <v>67</v>
      </c>
      <c r="D461" s="210">
        <f t="shared" si="244"/>
        <v>0.8</v>
      </c>
      <c r="E461" s="215">
        <f t="shared" si="249"/>
        <v>1</v>
      </c>
      <c r="F461" s="210">
        <f t="shared" si="245"/>
        <v>0.8</v>
      </c>
      <c r="H461" s="210">
        <f t="shared" si="246"/>
        <v>0</v>
      </c>
      <c r="I461" s="210">
        <f t="shared" si="247"/>
        <v>1</v>
      </c>
      <c r="J461" s="220">
        <f>IF($B461&lt;=$C$392,IF(Datenblatt!$M$136="IDA-C3",$F81,IF(Datenblatt!$M$136="IDA-C4",$G81,$I81)),0)</f>
        <v>1</v>
      </c>
      <c r="K461" s="220">
        <f>IF($B461&lt;=$C$392,IF(Datenblatt!$N$136="IDA-C3",$F81,IF(Datenblatt!$N$136="IDA-C4",$G81,$I81)),0)</f>
        <v>1</v>
      </c>
      <c r="L461" s="220">
        <f>IF($B461&lt;=$C$392,IF(Datenblatt!$O$136="IDA-C3",$F81,IF(Datenblatt!$O$136="IDA-C4",$G81,$I81)),0)</f>
        <v>0.8</v>
      </c>
    </row>
    <row r="462" spans="1:12">
      <c r="A462" s="210">
        <f t="shared" si="248"/>
        <v>4</v>
      </c>
      <c r="B462" s="210">
        <v>3</v>
      </c>
      <c r="C462" s="217">
        <f t="shared" si="250"/>
        <v>68</v>
      </c>
      <c r="D462" s="210">
        <f t="shared" si="244"/>
        <v>0.8</v>
      </c>
      <c r="E462" s="215">
        <f t="shared" si="249"/>
        <v>1</v>
      </c>
      <c r="F462" s="210">
        <f t="shared" si="245"/>
        <v>1</v>
      </c>
      <c r="H462" s="210">
        <f t="shared" si="246"/>
        <v>1</v>
      </c>
      <c r="I462" s="210">
        <f t="shared" si="247"/>
        <v>1</v>
      </c>
      <c r="J462" s="220">
        <f>IF($B462&lt;=$C$392,IF(Datenblatt!$M$136="IDA-C3",$F82,IF(Datenblatt!$M$136="IDA-C4",$G82,$I82)),0)</f>
        <v>1</v>
      </c>
      <c r="K462" s="220">
        <f>IF($B462&lt;=$C$392,IF(Datenblatt!$N$136="IDA-C3",$F82,IF(Datenblatt!$N$136="IDA-C4",$G82,$I82)),0)</f>
        <v>1</v>
      </c>
      <c r="L462" s="220">
        <f>IF($B462&lt;=$C$392,IF(Datenblatt!$O$136="IDA-C3",$F82,IF(Datenblatt!$O$136="IDA-C4",$G82,$I82)),0)</f>
        <v>0.8</v>
      </c>
    </row>
    <row r="463" spans="1:12">
      <c r="A463" s="210">
        <f t="shared" si="248"/>
        <v>4</v>
      </c>
      <c r="B463" s="210">
        <v>3</v>
      </c>
      <c r="C463" s="217">
        <f t="shared" si="250"/>
        <v>69</v>
      </c>
      <c r="D463" s="210">
        <f t="shared" si="244"/>
        <v>0.8</v>
      </c>
      <c r="E463" s="215">
        <f t="shared" si="249"/>
        <v>1</v>
      </c>
      <c r="F463" s="210">
        <f t="shared" si="245"/>
        <v>0.2</v>
      </c>
      <c r="H463" s="210">
        <f t="shared" si="246"/>
        <v>1</v>
      </c>
      <c r="I463" s="210">
        <f t="shared" si="247"/>
        <v>1</v>
      </c>
      <c r="J463" s="220">
        <f>IF($B463&lt;=$C$392,IF(Datenblatt!$M$136="IDA-C3",$F83,IF(Datenblatt!$M$136="IDA-C4",$G83,$I83)),0)</f>
        <v>1</v>
      </c>
      <c r="K463" s="220">
        <f>IF($B463&lt;=$C$392,IF(Datenblatt!$N$136="IDA-C3",$F83,IF(Datenblatt!$N$136="IDA-C4",$G83,$I83)),0)</f>
        <v>1</v>
      </c>
      <c r="L463" s="220">
        <f>IF($B463&lt;=$C$392,IF(Datenblatt!$O$136="IDA-C3",$F83,IF(Datenblatt!$O$136="IDA-C4",$G83,$I83)),0)</f>
        <v>0.8</v>
      </c>
    </row>
    <row r="464" spans="1:12">
      <c r="A464" s="210">
        <f t="shared" si="248"/>
        <v>4</v>
      </c>
      <c r="B464" s="210">
        <v>3</v>
      </c>
      <c r="C464" s="217">
        <f t="shared" si="250"/>
        <v>70</v>
      </c>
      <c r="D464" s="210">
        <f t="shared" si="244"/>
        <v>1</v>
      </c>
      <c r="E464" s="215">
        <f t="shared" si="249"/>
        <v>1</v>
      </c>
      <c r="F464" s="210">
        <f t="shared" si="245"/>
        <v>0.2</v>
      </c>
      <c r="H464" s="210">
        <f t="shared" si="246"/>
        <v>1</v>
      </c>
      <c r="I464" s="210">
        <f t="shared" si="247"/>
        <v>1</v>
      </c>
      <c r="J464" s="220">
        <f>IF($B464&lt;=$C$392,IF(Datenblatt!$M$136="IDA-C3",$F84,IF(Datenblatt!$M$136="IDA-C4",$G84,$I84)),0)</f>
        <v>1</v>
      </c>
      <c r="K464" s="220">
        <f>IF($B464&lt;=$C$392,IF(Datenblatt!$N$136="IDA-C3",$F84,IF(Datenblatt!$N$136="IDA-C4",$G84,$I84)),0)</f>
        <v>1</v>
      </c>
      <c r="L464" s="220">
        <f>IF($B464&lt;=$C$392,IF(Datenblatt!$O$136="IDA-C3",$F84,IF(Datenblatt!$O$136="IDA-C4",$G84,$I84)),0)</f>
        <v>1</v>
      </c>
    </row>
    <row r="465" spans="1:12">
      <c r="A465" s="210">
        <f t="shared" si="248"/>
        <v>4</v>
      </c>
      <c r="B465" s="210">
        <v>3</v>
      </c>
      <c r="C465" s="217">
        <f t="shared" si="250"/>
        <v>71</v>
      </c>
      <c r="D465" s="210">
        <f t="shared" si="244"/>
        <v>1</v>
      </c>
      <c r="E465" s="215">
        <f t="shared" si="249"/>
        <v>1</v>
      </c>
      <c r="F465" s="210">
        <f t="shared" si="245"/>
        <v>0.2</v>
      </c>
      <c r="H465" s="210">
        <f t="shared" si="246"/>
        <v>0</v>
      </c>
      <c r="I465" s="210">
        <f t="shared" si="247"/>
        <v>0</v>
      </c>
      <c r="J465" s="220">
        <f>IF($B465&lt;=$C$392,IF(Datenblatt!$M$136="IDA-C3",$F85,IF(Datenblatt!$M$136="IDA-C4",$G85,$I85)),0)</f>
        <v>1</v>
      </c>
      <c r="K465" s="220">
        <f>IF($B465&lt;=$C$392,IF(Datenblatt!$N$136="IDA-C3",$F85,IF(Datenblatt!$N$136="IDA-C4",$G85,$I85)),0)</f>
        <v>1</v>
      </c>
      <c r="L465" s="220">
        <f>IF($B465&lt;=$C$392,IF(Datenblatt!$O$136="IDA-C3",$F85,IF(Datenblatt!$O$136="IDA-C4",$G85,$I85)),0)</f>
        <v>1</v>
      </c>
    </row>
    <row r="466" spans="1:12">
      <c r="A466" s="210">
        <f t="shared" si="248"/>
        <v>4</v>
      </c>
      <c r="B466" s="210">
        <v>3</v>
      </c>
      <c r="C466" s="217">
        <f t="shared" si="250"/>
        <v>72</v>
      </c>
      <c r="D466" s="210">
        <f t="shared" si="244"/>
        <v>1</v>
      </c>
      <c r="E466" s="215">
        <f t="shared" si="249"/>
        <v>1</v>
      </c>
      <c r="F466" s="210">
        <f t="shared" si="245"/>
        <v>0.2</v>
      </c>
      <c r="H466" s="210">
        <f t="shared" si="246"/>
        <v>0</v>
      </c>
      <c r="I466" s="210">
        <f t="shared" si="247"/>
        <v>0</v>
      </c>
      <c r="J466" s="220">
        <f>IF($B466&lt;=$C$392,IF(Datenblatt!$M$136="IDA-C3",$F86,IF(Datenblatt!$M$136="IDA-C4",$G86,$I86)),0)</f>
        <v>1</v>
      </c>
      <c r="K466" s="220">
        <f>IF($B466&lt;=$C$392,IF(Datenblatt!$N$136="IDA-C3",$F86,IF(Datenblatt!$N$136="IDA-C4",$G86,$I86)),0)</f>
        <v>1</v>
      </c>
      <c r="L466" s="220">
        <f>IF($B466&lt;=$C$392,IF(Datenblatt!$O$136="IDA-C3",$F86,IF(Datenblatt!$O$136="IDA-C4",$G86,$I86)),0)</f>
        <v>1</v>
      </c>
    </row>
    <row r="467" spans="1:12">
      <c r="A467" s="1567">
        <f t="shared" si="248"/>
        <v>5</v>
      </c>
      <c r="B467" s="1567">
        <v>4</v>
      </c>
      <c r="C467" s="1568">
        <f t="shared" si="250"/>
        <v>73</v>
      </c>
      <c r="D467" s="1567">
        <f t="shared" ref="D467:D490" si="251">IF(B467&lt;=$C$392,B63,0)</f>
        <v>1</v>
      </c>
      <c r="E467" s="1569">
        <f t="shared" si="249"/>
        <v>1</v>
      </c>
      <c r="F467" s="1567">
        <f t="shared" ref="F467:F490" si="252">MAX(IF(B467&lt;=$C$392,D63,0),G$392)</f>
        <v>0.2</v>
      </c>
      <c r="G467" s="1567"/>
      <c r="H467" s="1567">
        <f t="shared" ref="H467:H490" si="253">IF(B467&lt;=$C$392,T63,0)</f>
        <v>0</v>
      </c>
      <c r="I467" s="210">
        <f t="shared" ref="I467:I490" si="254">IF(B467&lt;=$C$392,V63,0)</f>
        <v>0</v>
      </c>
      <c r="J467" s="1570">
        <f>IF($B467&lt;=$C$392,IF(Datenblatt!$M$136="IDA-C3",$F63,IF(Datenblatt!$M$136="IDA-C4",$G63,$I63)),0)</f>
        <v>1</v>
      </c>
      <c r="K467" s="1570">
        <f>IF($B467&lt;=$C$392,IF(Datenblatt!$N$136="IDA-C3",$F63,IF(Datenblatt!$N$136="IDA-C4",$G63,$I63)),0)</f>
        <v>1</v>
      </c>
      <c r="L467" s="1570">
        <f>IF($B467&lt;=$C$392,IF(Datenblatt!$O$136="IDA-C3",$F63,IF(Datenblatt!$O$136="IDA-C4",$G63,$I63)),0)</f>
        <v>1</v>
      </c>
    </row>
    <row r="468" spans="1:12">
      <c r="A468" s="210">
        <f t="shared" si="248"/>
        <v>5</v>
      </c>
      <c r="B468" s="210">
        <v>4</v>
      </c>
      <c r="C468" s="217">
        <f t="shared" si="250"/>
        <v>74</v>
      </c>
      <c r="D468" s="210">
        <f t="shared" si="251"/>
        <v>1</v>
      </c>
      <c r="E468" s="215">
        <f t="shared" si="249"/>
        <v>1</v>
      </c>
      <c r="F468" s="210">
        <f t="shared" si="252"/>
        <v>0.2</v>
      </c>
      <c r="H468" s="210">
        <f t="shared" si="253"/>
        <v>0</v>
      </c>
      <c r="I468" s="210">
        <f t="shared" si="254"/>
        <v>0</v>
      </c>
      <c r="J468" s="220">
        <f>IF($B468&lt;=$C$392,IF(Datenblatt!$M$136="IDA-C3",$F64,IF(Datenblatt!$M$136="IDA-C4",$G64,$I64)),0)</f>
        <v>1</v>
      </c>
      <c r="K468" s="220">
        <f>IF($B468&lt;=$C$392,IF(Datenblatt!$N$136="IDA-C3",$F64,IF(Datenblatt!$N$136="IDA-C4",$G64,$I64)),0)</f>
        <v>1</v>
      </c>
      <c r="L468" s="220">
        <f>IF($B468&lt;=$C$392,IF(Datenblatt!$O$136="IDA-C3",$F64,IF(Datenblatt!$O$136="IDA-C4",$G64,$I64)),0)</f>
        <v>1</v>
      </c>
    </row>
    <row r="469" spans="1:12">
      <c r="A469" s="210">
        <f t="shared" si="248"/>
        <v>5</v>
      </c>
      <c r="B469" s="210">
        <v>4</v>
      </c>
      <c r="C469" s="217">
        <f t="shared" si="250"/>
        <v>75</v>
      </c>
      <c r="D469" s="210">
        <f t="shared" si="251"/>
        <v>1</v>
      </c>
      <c r="E469" s="215">
        <f t="shared" si="249"/>
        <v>1</v>
      </c>
      <c r="F469" s="210">
        <f t="shared" si="252"/>
        <v>0.2</v>
      </c>
      <c r="H469" s="210">
        <f t="shared" si="253"/>
        <v>0</v>
      </c>
      <c r="I469" s="210">
        <f t="shared" si="254"/>
        <v>0</v>
      </c>
      <c r="J469" s="220">
        <f>IF($B469&lt;=$C$392,IF(Datenblatt!$M$136="IDA-C3",$F65,IF(Datenblatt!$M$136="IDA-C4",$G65,$I65)),0)</f>
        <v>1</v>
      </c>
      <c r="K469" s="220">
        <f>IF($B469&lt;=$C$392,IF(Datenblatt!$N$136="IDA-C3",$F65,IF(Datenblatt!$N$136="IDA-C4",$G65,$I65)),0)</f>
        <v>1</v>
      </c>
      <c r="L469" s="220">
        <f>IF($B469&lt;=$C$392,IF(Datenblatt!$O$136="IDA-C3",$F65,IF(Datenblatt!$O$136="IDA-C4",$G65,$I65)),0)</f>
        <v>1</v>
      </c>
    </row>
    <row r="470" spans="1:12">
      <c r="A470" s="210">
        <f t="shared" si="248"/>
        <v>5</v>
      </c>
      <c r="B470" s="210">
        <v>4</v>
      </c>
      <c r="C470" s="217">
        <f t="shared" si="250"/>
        <v>76</v>
      </c>
      <c r="D470" s="210">
        <f t="shared" si="251"/>
        <v>1</v>
      </c>
      <c r="E470" s="215">
        <f t="shared" si="249"/>
        <v>1</v>
      </c>
      <c r="F470" s="210">
        <f t="shared" si="252"/>
        <v>0.2</v>
      </c>
      <c r="H470" s="210">
        <f t="shared" si="253"/>
        <v>0</v>
      </c>
      <c r="I470" s="210">
        <f t="shared" si="254"/>
        <v>0</v>
      </c>
      <c r="J470" s="220">
        <f>IF($B470&lt;=$C$392,IF(Datenblatt!$M$136="IDA-C3",$F66,IF(Datenblatt!$M$136="IDA-C4",$G66,$I66)),0)</f>
        <v>1</v>
      </c>
      <c r="K470" s="220">
        <f>IF($B470&lt;=$C$392,IF(Datenblatt!$N$136="IDA-C3",$F66,IF(Datenblatt!$N$136="IDA-C4",$G66,$I66)),0)</f>
        <v>1</v>
      </c>
      <c r="L470" s="220">
        <f>IF($B470&lt;=$C$392,IF(Datenblatt!$O$136="IDA-C3",$F66,IF(Datenblatt!$O$136="IDA-C4",$G66,$I66)),0)</f>
        <v>1</v>
      </c>
    </row>
    <row r="471" spans="1:12">
      <c r="A471" s="210">
        <f t="shared" si="248"/>
        <v>5</v>
      </c>
      <c r="B471" s="210">
        <v>4</v>
      </c>
      <c r="C471" s="217">
        <f t="shared" si="250"/>
        <v>77</v>
      </c>
      <c r="D471" s="210">
        <f t="shared" si="251"/>
        <v>1</v>
      </c>
      <c r="E471" s="215">
        <f t="shared" si="249"/>
        <v>1</v>
      </c>
      <c r="F471" s="210">
        <f t="shared" si="252"/>
        <v>0.2</v>
      </c>
      <c r="H471" s="210">
        <f t="shared" si="253"/>
        <v>0</v>
      </c>
      <c r="I471" s="210">
        <f t="shared" si="254"/>
        <v>0</v>
      </c>
      <c r="J471" s="220">
        <f>IF($B471&lt;=$C$392,IF(Datenblatt!$M$136="IDA-C3",$F67,IF(Datenblatt!$M$136="IDA-C4",$G67,$I67)),0)</f>
        <v>1</v>
      </c>
      <c r="K471" s="220">
        <f>IF($B471&lt;=$C$392,IF(Datenblatt!$N$136="IDA-C3",$F67,IF(Datenblatt!$N$136="IDA-C4",$G67,$I67)),0)</f>
        <v>1</v>
      </c>
      <c r="L471" s="220">
        <f>IF($B471&lt;=$C$392,IF(Datenblatt!$O$136="IDA-C3",$F67,IF(Datenblatt!$O$136="IDA-C4",$G67,$I67)),0)</f>
        <v>1</v>
      </c>
    </row>
    <row r="472" spans="1:12">
      <c r="A472" s="210">
        <f t="shared" si="248"/>
        <v>5</v>
      </c>
      <c r="B472" s="210">
        <v>4</v>
      </c>
      <c r="C472" s="217">
        <f t="shared" si="250"/>
        <v>78</v>
      </c>
      <c r="D472" s="210">
        <f t="shared" si="251"/>
        <v>1</v>
      </c>
      <c r="E472" s="215">
        <f t="shared" si="249"/>
        <v>1</v>
      </c>
      <c r="F472" s="210">
        <f t="shared" si="252"/>
        <v>0.2</v>
      </c>
      <c r="H472" s="210">
        <f t="shared" si="253"/>
        <v>0</v>
      </c>
      <c r="I472" s="210">
        <f t="shared" si="254"/>
        <v>0</v>
      </c>
      <c r="J472" s="220">
        <f>IF($B472&lt;=$C$392,IF(Datenblatt!$M$136="IDA-C3",$F68,IF(Datenblatt!$M$136="IDA-C4",$G68,$I68)),0)</f>
        <v>1</v>
      </c>
      <c r="K472" s="220">
        <f>IF($B472&lt;=$C$392,IF(Datenblatt!$N$136="IDA-C3",$F68,IF(Datenblatt!$N$136="IDA-C4",$G68,$I68)),0)</f>
        <v>1</v>
      </c>
      <c r="L472" s="220">
        <f>IF($B472&lt;=$C$392,IF(Datenblatt!$O$136="IDA-C3",$F68,IF(Datenblatt!$O$136="IDA-C4",$G68,$I68)),0)</f>
        <v>1</v>
      </c>
    </row>
    <row r="473" spans="1:12">
      <c r="A473" s="210">
        <f t="shared" si="248"/>
        <v>5</v>
      </c>
      <c r="B473" s="210">
        <v>4</v>
      </c>
      <c r="C473" s="217">
        <f t="shared" si="250"/>
        <v>79</v>
      </c>
      <c r="D473" s="210">
        <f t="shared" si="251"/>
        <v>0.6</v>
      </c>
      <c r="E473" s="215">
        <f t="shared" si="249"/>
        <v>1</v>
      </c>
      <c r="F473" s="210">
        <f t="shared" si="252"/>
        <v>0.8</v>
      </c>
      <c r="H473" s="210">
        <f t="shared" si="253"/>
        <v>0</v>
      </c>
      <c r="I473" s="210">
        <f t="shared" si="254"/>
        <v>1</v>
      </c>
      <c r="J473" s="220">
        <f>IF($B473&lt;=$C$392,IF(Datenblatt!$M$136="IDA-C3",$F69,IF(Datenblatt!$M$136="IDA-C4",$G69,$I69)),0)</f>
        <v>1</v>
      </c>
      <c r="K473" s="220">
        <f>IF($B473&lt;=$C$392,IF(Datenblatt!$N$136="IDA-C3",$F69,IF(Datenblatt!$N$136="IDA-C4",$G69,$I69)),0)</f>
        <v>1</v>
      </c>
      <c r="L473" s="220">
        <f>IF($B473&lt;=$C$392,IF(Datenblatt!$O$136="IDA-C3",$F69,IF(Datenblatt!$O$136="IDA-C4",$G69,$I69)),0)</f>
        <v>0.6</v>
      </c>
    </row>
    <row r="474" spans="1:12">
      <c r="A474" s="210">
        <f t="shared" si="248"/>
        <v>5</v>
      </c>
      <c r="B474" s="210">
        <v>4</v>
      </c>
      <c r="C474" s="217">
        <f t="shared" si="250"/>
        <v>80</v>
      </c>
      <c r="D474" s="210">
        <f t="shared" si="251"/>
        <v>0.4</v>
      </c>
      <c r="E474" s="215">
        <f t="shared" si="249"/>
        <v>1</v>
      </c>
      <c r="F474" s="210">
        <f t="shared" si="252"/>
        <v>0.2</v>
      </c>
      <c r="H474" s="210">
        <f t="shared" si="253"/>
        <v>0</v>
      </c>
      <c r="I474" s="210">
        <f t="shared" si="254"/>
        <v>1</v>
      </c>
      <c r="J474" s="220">
        <f>IF($B474&lt;=$C$392,IF(Datenblatt!$M$136="IDA-C3",$F70,IF(Datenblatt!$M$136="IDA-C4",$G70,$I70)),0)</f>
        <v>1</v>
      </c>
      <c r="K474" s="220">
        <f>IF($B474&lt;=$C$392,IF(Datenblatt!$N$136="IDA-C3",$F70,IF(Datenblatt!$N$136="IDA-C4",$G70,$I70)),0)</f>
        <v>0.66700000000000004</v>
      </c>
      <c r="L474" s="220">
        <f>IF($B474&lt;=$C$392,IF(Datenblatt!$O$136="IDA-C3",$F70,IF(Datenblatt!$O$136="IDA-C4",$G70,$I70)),0)</f>
        <v>0.4</v>
      </c>
    </row>
    <row r="475" spans="1:12">
      <c r="A475" s="210">
        <f t="shared" si="248"/>
        <v>5</v>
      </c>
      <c r="B475" s="210">
        <v>4</v>
      </c>
      <c r="C475" s="217">
        <f t="shared" si="250"/>
        <v>81</v>
      </c>
      <c r="D475" s="210">
        <f t="shared" si="251"/>
        <v>0</v>
      </c>
      <c r="E475" s="215">
        <f t="shared" si="249"/>
        <v>0</v>
      </c>
      <c r="F475" s="210">
        <f t="shared" si="252"/>
        <v>0.2</v>
      </c>
      <c r="H475" s="210">
        <f t="shared" si="253"/>
        <v>0</v>
      </c>
      <c r="I475" s="210">
        <f t="shared" si="254"/>
        <v>0</v>
      </c>
      <c r="J475" s="220">
        <f>IF($B475&lt;=$C$392,IF(Datenblatt!$M$136="IDA-C3",$F71,IF(Datenblatt!$M$136="IDA-C4",$G71,$I71)),0)</f>
        <v>1</v>
      </c>
      <c r="K475" s="220">
        <f>IF($B475&lt;=$C$392,IF(Datenblatt!$N$136="IDA-C3",$F71,IF(Datenblatt!$N$136="IDA-C4",$G71,$I71)),0)</f>
        <v>0.66700000000000004</v>
      </c>
      <c r="L475" s="220">
        <f>IF($B475&lt;=$C$392,IF(Datenblatt!$O$136="IDA-C3",$F71,IF(Datenblatt!$O$136="IDA-C4",$G71,$I71)),0)</f>
        <v>0.25</v>
      </c>
    </row>
    <row r="476" spans="1:12">
      <c r="A476" s="210">
        <f t="shared" si="248"/>
        <v>5</v>
      </c>
      <c r="B476" s="210">
        <v>4</v>
      </c>
      <c r="C476" s="217">
        <f t="shared" si="250"/>
        <v>82</v>
      </c>
      <c r="D476" s="210">
        <f t="shared" si="251"/>
        <v>0</v>
      </c>
      <c r="E476" s="215">
        <f t="shared" si="249"/>
        <v>0</v>
      </c>
      <c r="F476" s="210">
        <f t="shared" si="252"/>
        <v>0.2</v>
      </c>
      <c r="H476" s="210">
        <f t="shared" si="253"/>
        <v>0</v>
      </c>
      <c r="I476" s="210">
        <f t="shared" si="254"/>
        <v>0</v>
      </c>
      <c r="J476" s="220">
        <f>IF($B476&lt;=$C$392,IF(Datenblatt!$M$136="IDA-C3",$F72,IF(Datenblatt!$M$136="IDA-C4",$G72,$I72)),0)</f>
        <v>1</v>
      </c>
      <c r="K476" s="220">
        <f>IF($B476&lt;=$C$392,IF(Datenblatt!$N$136="IDA-C3",$F72,IF(Datenblatt!$N$136="IDA-C4",$G72,$I72)),0)</f>
        <v>0.66700000000000004</v>
      </c>
      <c r="L476" s="220">
        <f>IF($B476&lt;=$C$392,IF(Datenblatt!$O$136="IDA-C3",$F72,IF(Datenblatt!$O$136="IDA-C4",$G72,$I72)),0)</f>
        <v>0.25</v>
      </c>
    </row>
    <row r="477" spans="1:12">
      <c r="A477" s="210">
        <f t="shared" si="248"/>
        <v>5</v>
      </c>
      <c r="B477" s="210">
        <v>4</v>
      </c>
      <c r="C477" s="217">
        <f t="shared" si="250"/>
        <v>83</v>
      </c>
      <c r="D477" s="210">
        <f t="shared" si="251"/>
        <v>0</v>
      </c>
      <c r="E477" s="215">
        <f t="shared" si="249"/>
        <v>0</v>
      </c>
      <c r="F477" s="210">
        <f t="shared" si="252"/>
        <v>0.2</v>
      </c>
      <c r="H477" s="210">
        <f t="shared" si="253"/>
        <v>0</v>
      </c>
      <c r="I477" s="210">
        <f t="shared" si="254"/>
        <v>0</v>
      </c>
      <c r="J477" s="220">
        <f>IF($B477&lt;=$C$392,IF(Datenblatt!$M$136="IDA-C3",$F73,IF(Datenblatt!$M$136="IDA-C4",$G73,$I73)),0)</f>
        <v>1</v>
      </c>
      <c r="K477" s="220">
        <f>IF($B477&lt;=$C$392,IF(Datenblatt!$N$136="IDA-C3",$F73,IF(Datenblatt!$N$136="IDA-C4",$G73,$I73)),0)</f>
        <v>0.66700000000000004</v>
      </c>
      <c r="L477" s="220">
        <f>IF($B477&lt;=$C$392,IF(Datenblatt!$O$136="IDA-C3",$F73,IF(Datenblatt!$O$136="IDA-C4",$G73,$I73)),0)</f>
        <v>0.25</v>
      </c>
    </row>
    <row r="478" spans="1:12">
      <c r="A478" s="210">
        <f t="shared" si="248"/>
        <v>5</v>
      </c>
      <c r="B478" s="210">
        <v>4</v>
      </c>
      <c r="C478" s="217">
        <f t="shared" si="250"/>
        <v>84</v>
      </c>
      <c r="D478" s="210">
        <f t="shared" si="251"/>
        <v>0</v>
      </c>
      <c r="E478" s="215">
        <f t="shared" si="249"/>
        <v>0</v>
      </c>
      <c r="F478" s="210">
        <f t="shared" si="252"/>
        <v>0.2</v>
      </c>
      <c r="H478" s="210">
        <f t="shared" si="253"/>
        <v>0</v>
      </c>
      <c r="I478" s="210">
        <f t="shared" si="254"/>
        <v>0</v>
      </c>
      <c r="J478" s="220">
        <f>IF($B478&lt;=$C$392,IF(Datenblatt!$M$136="IDA-C3",$F74,IF(Datenblatt!$M$136="IDA-C4",$G74,$I74)),0)</f>
        <v>1</v>
      </c>
      <c r="K478" s="220">
        <f>IF($B478&lt;=$C$392,IF(Datenblatt!$N$136="IDA-C3",$F74,IF(Datenblatt!$N$136="IDA-C4",$G74,$I74)),0)</f>
        <v>0.66700000000000004</v>
      </c>
      <c r="L478" s="220">
        <f>IF($B478&lt;=$C$392,IF(Datenblatt!$O$136="IDA-C3",$F74,IF(Datenblatt!$O$136="IDA-C4",$G74,$I74)),0)</f>
        <v>0.25</v>
      </c>
    </row>
    <row r="479" spans="1:12">
      <c r="A479" s="210">
        <f t="shared" si="248"/>
        <v>5</v>
      </c>
      <c r="B479" s="210">
        <v>4</v>
      </c>
      <c r="C479" s="217">
        <f t="shared" si="250"/>
        <v>85</v>
      </c>
      <c r="D479" s="210">
        <f t="shared" si="251"/>
        <v>0.8</v>
      </c>
      <c r="E479" s="215">
        <f t="shared" si="249"/>
        <v>1</v>
      </c>
      <c r="F479" s="210">
        <f t="shared" si="252"/>
        <v>0.8</v>
      </c>
      <c r="H479" s="210">
        <f t="shared" si="253"/>
        <v>0</v>
      </c>
      <c r="I479" s="210">
        <f t="shared" si="254"/>
        <v>1</v>
      </c>
      <c r="J479" s="220">
        <f>IF($B479&lt;=$C$392,IF(Datenblatt!$M$136="IDA-C3",$F75,IF(Datenblatt!$M$136="IDA-C4",$G75,$I75)),0)</f>
        <v>1</v>
      </c>
      <c r="K479" s="220">
        <f>IF($B479&lt;=$C$392,IF(Datenblatt!$N$136="IDA-C3",$F75,IF(Datenblatt!$N$136="IDA-C4",$G75,$I75)),0)</f>
        <v>1</v>
      </c>
      <c r="L479" s="220">
        <f>IF($B479&lt;=$C$392,IF(Datenblatt!$O$136="IDA-C3",$F75,IF(Datenblatt!$O$136="IDA-C4",$G75,$I75)),0)</f>
        <v>0.8</v>
      </c>
    </row>
    <row r="480" spans="1:12">
      <c r="A480" s="210">
        <f t="shared" si="248"/>
        <v>5</v>
      </c>
      <c r="B480" s="210">
        <v>4</v>
      </c>
      <c r="C480" s="217">
        <f t="shared" si="250"/>
        <v>86</v>
      </c>
      <c r="D480" s="210">
        <f t="shared" si="251"/>
        <v>0.4</v>
      </c>
      <c r="E480" s="215">
        <f t="shared" si="249"/>
        <v>1</v>
      </c>
      <c r="F480" s="210">
        <f t="shared" si="252"/>
        <v>0.2</v>
      </c>
      <c r="H480" s="210">
        <f t="shared" si="253"/>
        <v>0</v>
      </c>
      <c r="I480" s="210">
        <f t="shared" si="254"/>
        <v>0</v>
      </c>
      <c r="J480" s="220">
        <f>IF($B480&lt;=$C$392,IF(Datenblatt!$M$136="IDA-C3",$F76,IF(Datenblatt!$M$136="IDA-C4",$G76,$I76)),0)</f>
        <v>1</v>
      </c>
      <c r="K480" s="220">
        <f>IF($B480&lt;=$C$392,IF(Datenblatt!$N$136="IDA-C3",$F76,IF(Datenblatt!$N$136="IDA-C4",$G76,$I76)),0)</f>
        <v>0.66700000000000004</v>
      </c>
      <c r="L480" s="220">
        <f>IF($B480&lt;=$C$392,IF(Datenblatt!$O$136="IDA-C3",$F76,IF(Datenblatt!$O$136="IDA-C4",$G76,$I76)),0)</f>
        <v>0.4</v>
      </c>
    </row>
    <row r="481" spans="1:12">
      <c r="A481" s="210">
        <f t="shared" si="248"/>
        <v>5</v>
      </c>
      <c r="B481" s="210">
        <v>4</v>
      </c>
      <c r="C481" s="217">
        <f t="shared" si="250"/>
        <v>87</v>
      </c>
      <c r="D481" s="210">
        <f t="shared" si="251"/>
        <v>0</v>
      </c>
      <c r="E481" s="215">
        <f t="shared" si="249"/>
        <v>0</v>
      </c>
      <c r="F481" s="210">
        <f t="shared" si="252"/>
        <v>0.2</v>
      </c>
      <c r="H481" s="210">
        <f t="shared" si="253"/>
        <v>0</v>
      </c>
      <c r="I481" s="210">
        <f t="shared" si="254"/>
        <v>0</v>
      </c>
      <c r="J481" s="220">
        <f>IF($B481&lt;=$C$392,IF(Datenblatt!$M$136="IDA-C3",$F77,IF(Datenblatt!$M$136="IDA-C4",$G77,$I77)),0)</f>
        <v>1</v>
      </c>
      <c r="K481" s="220">
        <f>IF($B481&lt;=$C$392,IF(Datenblatt!$N$136="IDA-C3",$F77,IF(Datenblatt!$N$136="IDA-C4",$G77,$I77)),0)</f>
        <v>0.66700000000000004</v>
      </c>
      <c r="L481" s="220">
        <f>IF($B481&lt;=$C$392,IF(Datenblatt!$O$136="IDA-C3",$F77,IF(Datenblatt!$O$136="IDA-C4",$G77,$I77)),0)</f>
        <v>0.25</v>
      </c>
    </row>
    <row r="482" spans="1:12">
      <c r="A482" s="210">
        <f t="shared" si="248"/>
        <v>5</v>
      </c>
      <c r="B482" s="210">
        <v>4</v>
      </c>
      <c r="C482" s="217">
        <f t="shared" si="250"/>
        <v>88</v>
      </c>
      <c r="D482" s="210">
        <f t="shared" si="251"/>
        <v>0</v>
      </c>
      <c r="E482" s="215">
        <f t="shared" si="249"/>
        <v>0</v>
      </c>
      <c r="F482" s="210">
        <f t="shared" si="252"/>
        <v>0.2</v>
      </c>
      <c r="H482" s="210">
        <f t="shared" si="253"/>
        <v>0</v>
      </c>
      <c r="I482" s="210">
        <f t="shared" si="254"/>
        <v>0</v>
      </c>
      <c r="J482" s="220">
        <f>IF($B482&lt;=$C$392,IF(Datenblatt!$M$136="IDA-C3",$F78,IF(Datenblatt!$M$136="IDA-C4",$G78,$I78)),0)</f>
        <v>1</v>
      </c>
      <c r="K482" s="220">
        <f>IF($B482&lt;=$C$392,IF(Datenblatt!$N$136="IDA-C3",$F78,IF(Datenblatt!$N$136="IDA-C4",$G78,$I78)),0)</f>
        <v>0.66700000000000004</v>
      </c>
      <c r="L482" s="220">
        <f>IF($B482&lt;=$C$392,IF(Datenblatt!$O$136="IDA-C3",$F78,IF(Datenblatt!$O$136="IDA-C4",$G78,$I78)),0)</f>
        <v>0.25</v>
      </c>
    </row>
    <row r="483" spans="1:12">
      <c r="A483" s="210">
        <f t="shared" si="248"/>
        <v>5</v>
      </c>
      <c r="B483" s="210">
        <v>4</v>
      </c>
      <c r="C483" s="217">
        <f t="shared" si="250"/>
        <v>89</v>
      </c>
      <c r="D483" s="210">
        <f t="shared" si="251"/>
        <v>0</v>
      </c>
      <c r="E483" s="215">
        <f t="shared" si="249"/>
        <v>0</v>
      </c>
      <c r="F483" s="210">
        <f t="shared" si="252"/>
        <v>0.2</v>
      </c>
      <c r="H483" s="210">
        <f t="shared" si="253"/>
        <v>0</v>
      </c>
      <c r="I483" s="210">
        <f t="shared" si="254"/>
        <v>0</v>
      </c>
      <c r="J483" s="220">
        <f>IF($B483&lt;=$C$392,IF(Datenblatt!$M$136="IDA-C3",$F79,IF(Datenblatt!$M$136="IDA-C4",$G79,$I79)),0)</f>
        <v>1</v>
      </c>
      <c r="K483" s="220">
        <f>IF($B483&lt;=$C$392,IF(Datenblatt!$N$136="IDA-C3",$F79,IF(Datenblatt!$N$136="IDA-C4",$G79,$I79)),0)</f>
        <v>0.66700000000000004</v>
      </c>
      <c r="L483" s="220">
        <f>IF($B483&lt;=$C$392,IF(Datenblatt!$O$136="IDA-C3",$F79,IF(Datenblatt!$O$136="IDA-C4",$G79,$I79)),0)</f>
        <v>0.25</v>
      </c>
    </row>
    <row r="484" spans="1:12">
      <c r="A484" s="210">
        <f t="shared" si="248"/>
        <v>5</v>
      </c>
      <c r="B484" s="210">
        <v>4</v>
      </c>
      <c r="C484" s="217">
        <f t="shared" si="250"/>
        <v>90</v>
      </c>
      <c r="D484" s="210">
        <f t="shared" si="251"/>
        <v>0.4</v>
      </c>
      <c r="E484" s="215">
        <f t="shared" si="249"/>
        <v>1</v>
      </c>
      <c r="F484" s="210">
        <f t="shared" si="252"/>
        <v>0.2</v>
      </c>
      <c r="H484" s="210">
        <f t="shared" si="253"/>
        <v>0</v>
      </c>
      <c r="I484" s="210">
        <f t="shared" si="254"/>
        <v>0</v>
      </c>
      <c r="J484" s="220">
        <f>IF($B484&lt;=$C$392,IF(Datenblatt!$M$136="IDA-C3",$F80,IF(Datenblatt!$M$136="IDA-C4",$G80,$I80)),0)</f>
        <v>1</v>
      </c>
      <c r="K484" s="220">
        <f>IF($B484&lt;=$C$392,IF(Datenblatt!$N$136="IDA-C3",$F80,IF(Datenblatt!$N$136="IDA-C4",$G80,$I80)),0)</f>
        <v>0.66700000000000004</v>
      </c>
      <c r="L484" s="220">
        <f>IF($B484&lt;=$C$392,IF(Datenblatt!$O$136="IDA-C3",$F80,IF(Datenblatt!$O$136="IDA-C4",$G80,$I80)),0)</f>
        <v>0.4</v>
      </c>
    </row>
    <row r="485" spans="1:12">
      <c r="A485" s="210">
        <f t="shared" si="248"/>
        <v>5</v>
      </c>
      <c r="B485" s="210">
        <v>4</v>
      </c>
      <c r="C485" s="217">
        <f t="shared" si="250"/>
        <v>91</v>
      </c>
      <c r="D485" s="210">
        <f t="shared" si="251"/>
        <v>0.8</v>
      </c>
      <c r="E485" s="215">
        <f t="shared" si="249"/>
        <v>1</v>
      </c>
      <c r="F485" s="210">
        <f t="shared" si="252"/>
        <v>0.8</v>
      </c>
      <c r="H485" s="210">
        <f t="shared" si="253"/>
        <v>0</v>
      </c>
      <c r="I485" s="210">
        <f t="shared" si="254"/>
        <v>1</v>
      </c>
      <c r="J485" s="220">
        <f>IF($B485&lt;=$C$392,IF(Datenblatt!$M$136="IDA-C3",$F81,IF(Datenblatt!$M$136="IDA-C4",$G81,$I81)),0)</f>
        <v>1</v>
      </c>
      <c r="K485" s="220">
        <f>IF($B485&lt;=$C$392,IF(Datenblatt!$N$136="IDA-C3",$F81,IF(Datenblatt!$N$136="IDA-C4",$G81,$I81)),0)</f>
        <v>1</v>
      </c>
      <c r="L485" s="220">
        <f>IF($B485&lt;=$C$392,IF(Datenblatt!$O$136="IDA-C3",$F81,IF(Datenblatt!$O$136="IDA-C4",$G81,$I81)),0)</f>
        <v>0.8</v>
      </c>
    </row>
    <row r="486" spans="1:12">
      <c r="A486" s="210">
        <f t="shared" si="248"/>
        <v>5</v>
      </c>
      <c r="B486" s="210">
        <v>4</v>
      </c>
      <c r="C486" s="217">
        <f t="shared" si="250"/>
        <v>92</v>
      </c>
      <c r="D486" s="210">
        <f t="shared" si="251"/>
        <v>0.8</v>
      </c>
      <c r="E486" s="215">
        <f t="shared" si="249"/>
        <v>1</v>
      </c>
      <c r="F486" s="210">
        <f t="shared" si="252"/>
        <v>1</v>
      </c>
      <c r="H486" s="210">
        <f t="shared" si="253"/>
        <v>1</v>
      </c>
      <c r="I486" s="210">
        <f t="shared" si="254"/>
        <v>1</v>
      </c>
      <c r="J486" s="220">
        <f>IF($B486&lt;=$C$392,IF(Datenblatt!$M$136="IDA-C3",$F82,IF(Datenblatt!$M$136="IDA-C4",$G82,$I82)),0)</f>
        <v>1</v>
      </c>
      <c r="K486" s="220">
        <f>IF($B486&lt;=$C$392,IF(Datenblatt!$N$136="IDA-C3",$F82,IF(Datenblatt!$N$136="IDA-C4",$G82,$I82)),0)</f>
        <v>1</v>
      </c>
      <c r="L486" s="220">
        <f>IF($B486&lt;=$C$392,IF(Datenblatt!$O$136="IDA-C3",$F82,IF(Datenblatt!$O$136="IDA-C4",$G82,$I82)),0)</f>
        <v>0.8</v>
      </c>
    </row>
    <row r="487" spans="1:12">
      <c r="A487" s="210">
        <f t="shared" si="248"/>
        <v>5</v>
      </c>
      <c r="B487" s="210">
        <v>4</v>
      </c>
      <c r="C487" s="217">
        <f t="shared" si="250"/>
        <v>93</v>
      </c>
      <c r="D487" s="210">
        <f t="shared" si="251"/>
        <v>0.8</v>
      </c>
      <c r="E487" s="215">
        <f t="shared" si="249"/>
        <v>1</v>
      </c>
      <c r="F487" s="210">
        <f t="shared" si="252"/>
        <v>0.2</v>
      </c>
      <c r="H487" s="210">
        <f t="shared" si="253"/>
        <v>1</v>
      </c>
      <c r="I487" s="210">
        <f t="shared" si="254"/>
        <v>1</v>
      </c>
      <c r="J487" s="220">
        <f>IF($B487&lt;=$C$392,IF(Datenblatt!$M$136="IDA-C3",$F83,IF(Datenblatt!$M$136="IDA-C4",$G83,$I83)),0)</f>
        <v>1</v>
      </c>
      <c r="K487" s="220">
        <f>IF($B487&lt;=$C$392,IF(Datenblatt!$N$136="IDA-C3",$F83,IF(Datenblatt!$N$136="IDA-C4",$G83,$I83)),0)</f>
        <v>1</v>
      </c>
      <c r="L487" s="220">
        <f>IF($B487&lt;=$C$392,IF(Datenblatt!$O$136="IDA-C3",$F83,IF(Datenblatt!$O$136="IDA-C4",$G83,$I83)),0)</f>
        <v>0.8</v>
      </c>
    </row>
    <row r="488" spans="1:12">
      <c r="A488" s="210">
        <f t="shared" si="248"/>
        <v>5</v>
      </c>
      <c r="B488" s="210">
        <v>4</v>
      </c>
      <c r="C488" s="217">
        <f t="shared" si="250"/>
        <v>94</v>
      </c>
      <c r="D488" s="210">
        <f t="shared" si="251"/>
        <v>1</v>
      </c>
      <c r="E488" s="215">
        <f t="shared" si="249"/>
        <v>1</v>
      </c>
      <c r="F488" s="210">
        <f t="shared" si="252"/>
        <v>0.2</v>
      </c>
      <c r="H488" s="210">
        <f t="shared" si="253"/>
        <v>1</v>
      </c>
      <c r="I488" s="210">
        <f t="shared" si="254"/>
        <v>1</v>
      </c>
      <c r="J488" s="220">
        <f>IF($B488&lt;=$C$392,IF(Datenblatt!$M$136="IDA-C3",$F84,IF(Datenblatt!$M$136="IDA-C4",$G84,$I84)),0)</f>
        <v>1</v>
      </c>
      <c r="K488" s="220">
        <f>IF($B488&lt;=$C$392,IF(Datenblatt!$N$136="IDA-C3",$F84,IF(Datenblatt!$N$136="IDA-C4",$G84,$I84)),0)</f>
        <v>1</v>
      </c>
      <c r="L488" s="220">
        <f>IF($B488&lt;=$C$392,IF(Datenblatt!$O$136="IDA-C3",$F84,IF(Datenblatt!$O$136="IDA-C4",$G84,$I84)),0)</f>
        <v>1</v>
      </c>
    </row>
    <row r="489" spans="1:12">
      <c r="A489" s="210">
        <f t="shared" si="248"/>
        <v>5</v>
      </c>
      <c r="B489" s="210">
        <v>4</v>
      </c>
      <c r="C489" s="217">
        <f t="shared" si="250"/>
        <v>95</v>
      </c>
      <c r="D489" s="210">
        <f t="shared" si="251"/>
        <v>1</v>
      </c>
      <c r="E489" s="215">
        <f t="shared" si="249"/>
        <v>1</v>
      </c>
      <c r="F489" s="210">
        <f t="shared" si="252"/>
        <v>0.2</v>
      </c>
      <c r="H489" s="210">
        <f t="shared" si="253"/>
        <v>0</v>
      </c>
      <c r="I489" s="210">
        <f t="shared" si="254"/>
        <v>0</v>
      </c>
      <c r="J489" s="220">
        <f>IF($B489&lt;=$C$392,IF(Datenblatt!$M$136="IDA-C3",$F85,IF(Datenblatt!$M$136="IDA-C4",$G85,$I85)),0)</f>
        <v>1</v>
      </c>
      <c r="K489" s="220">
        <f>IF($B489&lt;=$C$392,IF(Datenblatt!$N$136="IDA-C3",$F85,IF(Datenblatt!$N$136="IDA-C4",$G85,$I85)),0)</f>
        <v>1</v>
      </c>
      <c r="L489" s="220">
        <f>IF($B489&lt;=$C$392,IF(Datenblatt!$O$136="IDA-C3",$F85,IF(Datenblatt!$O$136="IDA-C4",$G85,$I85)),0)</f>
        <v>1</v>
      </c>
    </row>
    <row r="490" spans="1:12">
      <c r="A490" s="210">
        <f t="shared" si="248"/>
        <v>5</v>
      </c>
      <c r="B490" s="210">
        <v>4</v>
      </c>
      <c r="C490" s="217">
        <f t="shared" si="250"/>
        <v>96</v>
      </c>
      <c r="D490" s="210">
        <f t="shared" si="251"/>
        <v>1</v>
      </c>
      <c r="E490" s="215">
        <f t="shared" si="249"/>
        <v>1</v>
      </c>
      <c r="F490" s="210">
        <f t="shared" si="252"/>
        <v>0.2</v>
      </c>
      <c r="H490" s="210">
        <f t="shared" si="253"/>
        <v>0</v>
      </c>
      <c r="I490" s="210">
        <f t="shared" si="254"/>
        <v>0</v>
      </c>
      <c r="J490" s="220">
        <f>IF($B490&lt;=$C$392,IF(Datenblatt!$M$136="IDA-C3",$F86,IF(Datenblatt!$M$136="IDA-C4",$G86,$I86)),0)</f>
        <v>1</v>
      </c>
      <c r="K490" s="220">
        <f>IF($B490&lt;=$C$392,IF(Datenblatt!$N$136="IDA-C3",$F86,IF(Datenblatt!$N$136="IDA-C4",$G86,$I86)),0)</f>
        <v>1</v>
      </c>
      <c r="L490" s="220">
        <f>IF($B490&lt;=$C$392,IF(Datenblatt!$O$136="IDA-C3",$F86,IF(Datenblatt!$O$136="IDA-C4",$G86,$I86)),0)</f>
        <v>1</v>
      </c>
    </row>
    <row r="491" spans="1:12">
      <c r="A491" s="1567">
        <f t="shared" ref="A491:A522" si="255">B491+1</f>
        <v>6</v>
      </c>
      <c r="B491" s="1567">
        <v>5</v>
      </c>
      <c r="C491" s="1568">
        <f t="shared" si="250"/>
        <v>97</v>
      </c>
      <c r="D491" s="1567">
        <f t="shared" ref="D491:D514" si="256">IF(B491&lt;=$C$392,B63,0)</f>
        <v>1</v>
      </c>
      <c r="E491" s="1569">
        <f t="shared" ref="E491:E522" si="257">IF(D491&gt;0,1,0)</f>
        <v>1</v>
      </c>
      <c r="F491" s="1567">
        <f t="shared" ref="F491:F514" si="258">MAX(IF(B491&lt;=$C$392,D63,0),G$392)</f>
        <v>0.2</v>
      </c>
      <c r="G491" s="1567"/>
      <c r="H491" s="1567">
        <f t="shared" ref="H491:H514" si="259">IF(B491&lt;=$C$392,T63,0)</f>
        <v>0</v>
      </c>
      <c r="I491" s="210">
        <f t="shared" ref="I491:I514" si="260">IF(B491&lt;=$C$392,V63,0)</f>
        <v>0</v>
      </c>
      <c r="J491" s="1570">
        <f>IF($B491&lt;=$C$392,IF(Datenblatt!$M$136="IDA-C3",$F63,IF(Datenblatt!$M$136="IDA-C4",$G63,$I63)),0)</f>
        <v>1</v>
      </c>
      <c r="K491" s="1570">
        <f>IF($B491&lt;=$C$392,IF(Datenblatt!$N$136="IDA-C3",$F63,IF(Datenblatt!$N$136="IDA-C4",$G63,$I63)),0)</f>
        <v>1</v>
      </c>
      <c r="L491" s="1570">
        <f>IF($B491&lt;=$C$392,IF(Datenblatt!$O$136="IDA-C3",$F63,IF(Datenblatt!$O$136="IDA-C4",$G63,$I63)),0)</f>
        <v>1</v>
      </c>
    </row>
    <row r="492" spans="1:12">
      <c r="A492" s="210">
        <f t="shared" si="255"/>
        <v>6</v>
      </c>
      <c r="B492" s="210">
        <v>5</v>
      </c>
      <c r="C492" s="217">
        <f t="shared" ref="C492:C523" si="261">C491+1</f>
        <v>98</v>
      </c>
      <c r="D492" s="210">
        <f t="shared" si="256"/>
        <v>1</v>
      </c>
      <c r="E492" s="215">
        <f t="shared" si="257"/>
        <v>1</v>
      </c>
      <c r="F492" s="210">
        <f t="shared" si="258"/>
        <v>0.2</v>
      </c>
      <c r="H492" s="210">
        <f t="shared" si="259"/>
        <v>0</v>
      </c>
      <c r="I492" s="210">
        <f t="shared" si="260"/>
        <v>0</v>
      </c>
      <c r="J492" s="220">
        <f>IF($B492&lt;=$C$392,IF(Datenblatt!$M$136="IDA-C3",$F64,IF(Datenblatt!$M$136="IDA-C4",$G64,$I64)),0)</f>
        <v>1</v>
      </c>
      <c r="K492" s="220">
        <f>IF($B492&lt;=$C$392,IF(Datenblatt!$N$136="IDA-C3",$F64,IF(Datenblatt!$N$136="IDA-C4",$G64,$I64)),0)</f>
        <v>1</v>
      </c>
      <c r="L492" s="220">
        <f>IF($B492&lt;=$C$392,IF(Datenblatt!$O$136="IDA-C3",$F64,IF(Datenblatt!$O$136="IDA-C4",$G64,$I64)),0)</f>
        <v>1</v>
      </c>
    </row>
    <row r="493" spans="1:12">
      <c r="A493" s="210">
        <f t="shared" si="255"/>
        <v>6</v>
      </c>
      <c r="B493" s="210">
        <v>5</v>
      </c>
      <c r="C493" s="217">
        <f t="shared" si="261"/>
        <v>99</v>
      </c>
      <c r="D493" s="210">
        <f t="shared" si="256"/>
        <v>1</v>
      </c>
      <c r="E493" s="215">
        <f t="shared" si="257"/>
        <v>1</v>
      </c>
      <c r="F493" s="210">
        <f t="shared" si="258"/>
        <v>0.2</v>
      </c>
      <c r="H493" s="210">
        <f t="shared" si="259"/>
        <v>0</v>
      </c>
      <c r="I493" s="210">
        <f t="shared" si="260"/>
        <v>0</v>
      </c>
      <c r="J493" s="220">
        <f>IF($B493&lt;=$C$392,IF(Datenblatt!$M$136="IDA-C3",$F65,IF(Datenblatt!$M$136="IDA-C4",$G65,$I65)),0)</f>
        <v>1</v>
      </c>
      <c r="K493" s="220">
        <f>IF($B493&lt;=$C$392,IF(Datenblatt!$N$136="IDA-C3",$F65,IF(Datenblatt!$N$136="IDA-C4",$G65,$I65)),0)</f>
        <v>1</v>
      </c>
      <c r="L493" s="220">
        <f>IF($B493&lt;=$C$392,IF(Datenblatt!$O$136="IDA-C3",$F65,IF(Datenblatt!$O$136="IDA-C4",$G65,$I65)),0)</f>
        <v>1</v>
      </c>
    </row>
    <row r="494" spans="1:12">
      <c r="A494" s="210">
        <f t="shared" si="255"/>
        <v>6</v>
      </c>
      <c r="B494" s="210">
        <v>5</v>
      </c>
      <c r="C494" s="217">
        <f t="shared" si="261"/>
        <v>100</v>
      </c>
      <c r="D494" s="210">
        <f t="shared" si="256"/>
        <v>1</v>
      </c>
      <c r="E494" s="215">
        <f t="shared" si="257"/>
        <v>1</v>
      </c>
      <c r="F494" s="210">
        <f t="shared" si="258"/>
        <v>0.2</v>
      </c>
      <c r="H494" s="210">
        <f t="shared" si="259"/>
        <v>0</v>
      </c>
      <c r="I494" s="210">
        <f t="shared" si="260"/>
        <v>0</v>
      </c>
      <c r="J494" s="220">
        <f>IF($B494&lt;=$C$392,IF(Datenblatt!$M$136="IDA-C3",$F66,IF(Datenblatt!$M$136="IDA-C4",$G66,$I66)),0)</f>
        <v>1</v>
      </c>
      <c r="K494" s="220">
        <f>IF($B494&lt;=$C$392,IF(Datenblatt!$N$136="IDA-C3",$F66,IF(Datenblatt!$N$136="IDA-C4",$G66,$I66)),0)</f>
        <v>1</v>
      </c>
      <c r="L494" s="220">
        <f>IF($B494&lt;=$C$392,IF(Datenblatt!$O$136="IDA-C3",$F66,IF(Datenblatt!$O$136="IDA-C4",$G66,$I66)),0)</f>
        <v>1</v>
      </c>
    </row>
    <row r="495" spans="1:12">
      <c r="A495" s="210">
        <f t="shared" si="255"/>
        <v>6</v>
      </c>
      <c r="B495" s="210">
        <v>5</v>
      </c>
      <c r="C495" s="217">
        <f t="shared" si="261"/>
        <v>101</v>
      </c>
      <c r="D495" s="210">
        <f t="shared" si="256"/>
        <v>1</v>
      </c>
      <c r="E495" s="215">
        <f t="shared" si="257"/>
        <v>1</v>
      </c>
      <c r="F495" s="210">
        <f t="shared" si="258"/>
        <v>0.2</v>
      </c>
      <c r="H495" s="210">
        <f t="shared" si="259"/>
        <v>0</v>
      </c>
      <c r="I495" s="210">
        <f t="shared" si="260"/>
        <v>0</v>
      </c>
      <c r="J495" s="220">
        <f>IF($B495&lt;=$C$392,IF(Datenblatt!$M$136="IDA-C3",$F67,IF(Datenblatt!$M$136="IDA-C4",$G67,$I67)),0)</f>
        <v>1</v>
      </c>
      <c r="K495" s="220">
        <f>IF($B495&lt;=$C$392,IF(Datenblatt!$N$136="IDA-C3",$F67,IF(Datenblatt!$N$136="IDA-C4",$G67,$I67)),0)</f>
        <v>1</v>
      </c>
      <c r="L495" s="220">
        <f>IF($B495&lt;=$C$392,IF(Datenblatt!$O$136="IDA-C3",$F67,IF(Datenblatt!$O$136="IDA-C4",$G67,$I67)),0)</f>
        <v>1</v>
      </c>
    </row>
    <row r="496" spans="1:12">
      <c r="A496" s="210">
        <f t="shared" si="255"/>
        <v>6</v>
      </c>
      <c r="B496" s="210">
        <v>5</v>
      </c>
      <c r="C496" s="217">
        <f t="shared" si="261"/>
        <v>102</v>
      </c>
      <c r="D496" s="210">
        <f t="shared" si="256"/>
        <v>1</v>
      </c>
      <c r="E496" s="215">
        <f t="shared" si="257"/>
        <v>1</v>
      </c>
      <c r="F496" s="210">
        <f t="shared" si="258"/>
        <v>0.2</v>
      </c>
      <c r="H496" s="210">
        <f t="shared" si="259"/>
        <v>0</v>
      </c>
      <c r="I496" s="210">
        <f t="shared" si="260"/>
        <v>0</v>
      </c>
      <c r="J496" s="220">
        <f>IF($B496&lt;=$C$392,IF(Datenblatt!$M$136="IDA-C3",$F68,IF(Datenblatt!$M$136="IDA-C4",$G68,$I68)),0)</f>
        <v>1</v>
      </c>
      <c r="K496" s="220">
        <f>IF($B496&lt;=$C$392,IF(Datenblatt!$N$136="IDA-C3",$F68,IF(Datenblatt!$N$136="IDA-C4",$G68,$I68)),0)</f>
        <v>1</v>
      </c>
      <c r="L496" s="220">
        <f>IF($B496&lt;=$C$392,IF(Datenblatt!$O$136="IDA-C3",$F68,IF(Datenblatt!$O$136="IDA-C4",$G68,$I68)),0)</f>
        <v>1</v>
      </c>
    </row>
    <row r="497" spans="1:12">
      <c r="A497" s="210">
        <f t="shared" si="255"/>
        <v>6</v>
      </c>
      <c r="B497" s="210">
        <v>5</v>
      </c>
      <c r="C497" s="217">
        <f t="shared" si="261"/>
        <v>103</v>
      </c>
      <c r="D497" s="210">
        <f t="shared" si="256"/>
        <v>0.6</v>
      </c>
      <c r="E497" s="215">
        <f t="shared" si="257"/>
        <v>1</v>
      </c>
      <c r="F497" s="210">
        <f t="shared" si="258"/>
        <v>0.8</v>
      </c>
      <c r="H497" s="210">
        <f t="shared" si="259"/>
        <v>0</v>
      </c>
      <c r="I497" s="210">
        <f t="shared" si="260"/>
        <v>1</v>
      </c>
      <c r="J497" s="220">
        <f>IF($B497&lt;=$C$392,IF(Datenblatt!$M$136="IDA-C3",$F69,IF(Datenblatt!$M$136="IDA-C4",$G69,$I69)),0)</f>
        <v>1</v>
      </c>
      <c r="K497" s="220">
        <f>IF($B497&lt;=$C$392,IF(Datenblatt!$N$136="IDA-C3",$F69,IF(Datenblatt!$N$136="IDA-C4",$G69,$I69)),0)</f>
        <v>1</v>
      </c>
      <c r="L497" s="220">
        <f>IF($B497&lt;=$C$392,IF(Datenblatt!$O$136="IDA-C3",$F69,IF(Datenblatt!$O$136="IDA-C4",$G69,$I69)),0)</f>
        <v>0.6</v>
      </c>
    </row>
    <row r="498" spans="1:12">
      <c r="A498" s="210">
        <f t="shared" si="255"/>
        <v>6</v>
      </c>
      <c r="B498" s="210">
        <v>5</v>
      </c>
      <c r="C498" s="217">
        <f t="shared" si="261"/>
        <v>104</v>
      </c>
      <c r="D498" s="210">
        <f t="shared" si="256"/>
        <v>0.4</v>
      </c>
      <c r="E498" s="215">
        <f t="shared" si="257"/>
        <v>1</v>
      </c>
      <c r="F498" s="210">
        <f t="shared" si="258"/>
        <v>0.2</v>
      </c>
      <c r="H498" s="210">
        <f t="shared" si="259"/>
        <v>0</v>
      </c>
      <c r="I498" s="210">
        <f t="shared" si="260"/>
        <v>1</v>
      </c>
      <c r="J498" s="220">
        <f>IF($B498&lt;=$C$392,IF(Datenblatt!$M$136="IDA-C3",$F70,IF(Datenblatt!$M$136="IDA-C4",$G70,$I70)),0)</f>
        <v>1</v>
      </c>
      <c r="K498" s="220">
        <f>IF($B498&lt;=$C$392,IF(Datenblatt!$N$136="IDA-C3",$F70,IF(Datenblatt!$N$136="IDA-C4",$G70,$I70)),0)</f>
        <v>0.66700000000000004</v>
      </c>
      <c r="L498" s="220">
        <f>IF($B498&lt;=$C$392,IF(Datenblatt!$O$136="IDA-C3",$F70,IF(Datenblatt!$O$136="IDA-C4",$G70,$I70)),0)</f>
        <v>0.4</v>
      </c>
    </row>
    <row r="499" spans="1:12">
      <c r="A499" s="210">
        <f t="shared" si="255"/>
        <v>6</v>
      </c>
      <c r="B499" s="210">
        <v>5</v>
      </c>
      <c r="C499" s="217">
        <f t="shared" si="261"/>
        <v>105</v>
      </c>
      <c r="D499" s="210">
        <f t="shared" si="256"/>
        <v>0</v>
      </c>
      <c r="E499" s="215">
        <f t="shared" si="257"/>
        <v>0</v>
      </c>
      <c r="F499" s="210">
        <f t="shared" si="258"/>
        <v>0.2</v>
      </c>
      <c r="H499" s="210">
        <f t="shared" si="259"/>
        <v>0</v>
      </c>
      <c r="I499" s="210">
        <f t="shared" si="260"/>
        <v>0</v>
      </c>
      <c r="J499" s="220">
        <f>IF($B499&lt;=$C$392,IF(Datenblatt!$M$136="IDA-C3",$F71,IF(Datenblatt!$M$136="IDA-C4",$G71,$I71)),0)</f>
        <v>1</v>
      </c>
      <c r="K499" s="220">
        <f>IF($B499&lt;=$C$392,IF(Datenblatt!$N$136="IDA-C3",$F71,IF(Datenblatt!$N$136="IDA-C4",$G71,$I71)),0)</f>
        <v>0.66700000000000004</v>
      </c>
      <c r="L499" s="220">
        <f>IF($B499&lt;=$C$392,IF(Datenblatt!$O$136="IDA-C3",$F71,IF(Datenblatt!$O$136="IDA-C4",$G71,$I71)),0)</f>
        <v>0.25</v>
      </c>
    </row>
    <row r="500" spans="1:12">
      <c r="A500" s="210">
        <f t="shared" si="255"/>
        <v>6</v>
      </c>
      <c r="B500" s="210">
        <v>5</v>
      </c>
      <c r="C500" s="217">
        <f t="shared" si="261"/>
        <v>106</v>
      </c>
      <c r="D500" s="210">
        <f t="shared" si="256"/>
        <v>0</v>
      </c>
      <c r="E500" s="215">
        <f t="shared" si="257"/>
        <v>0</v>
      </c>
      <c r="F500" s="210">
        <f t="shared" si="258"/>
        <v>0.2</v>
      </c>
      <c r="H500" s="210">
        <f t="shared" si="259"/>
        <v>0</v>
      </c>
      <c r="I500" s="210">
        <f t="shared" si="260"/>
        <v>0</v>
      </c>
      <c r="J500" s="220">
        <f>IF($B500&lt;=$C$392,IF(Datenblatt!$M$136="IDA-C3",$F72,IF(Datenblatt!$M$136="IDA-C4",$G72,$I72)),0)</f>
        <v>1</v>
      </c>
      <c r="K500" s="220">
        <f>IF($B500&lt;=$C$392,IF(Datenblatt!$N$136="IDA-C3",$F72,IF(Datenblatt!$N$136="IDA-C4",$G72,$I72)),0)</f>
        <v>0.66700000000000004</v>
      </c>
      <c r="L500" s="220">
        <f>IF($B500&lt;=$C$392,IF(Datenblatt!$O$136="IDA-C3",$F72,IF(Datenblatt!$O$136="IDA-C4",$G72,$I72)),0)</f>
        <v>0.25</v>
      </c>
    </row>
    <row r="501" spans="1:12">
      <c r="A501" s="210">
        <f t="shared" si="255"/>
        <v>6</v>
      </c>
      <c r="B501" s="210">
        <v>5</v>
      </c>
      <c r="C501" s="217">
        <f t="shared" si="261"/>
        <v>107</v>
      </c>
      <c r="D501" s="210">
        <f t="shared" si="256"/>
        <v>0</v>
      </c>
      <c r="E501" s="215">
        <f t="shared" si="257"/>
        <v>0</v>
      </c>
      <c r="F501" s="210">
        <f t="shared" si="258"/>
        <v>0.2</v>
      </c>
      <c r="H501" s="210">
        <f t="shared" si="259"/>
        <v>0</v>
      </c>
      <c r="I501" s="210">
        <f t="shared" si="260"/>
        <v>0</v>
      </c>
      <c r="J501" s="220">
        <f>IF($B501&lt;=$C$392,IF(Datenblatt!$M$136="IDA-C3",$F73,IF(Datenblatt!$M$136="IDA-C4",$G73,$I73)),0)</f>
        <v>1</v>
      </c>
      <c r="K501" s="220">
        <f>IF($B501&lt;=$C$392,IF(Datenblatt!$N$136="IDA-C3",$F73,IF(Datenblatt!$N$136="IDA-C4",$G73,$I73)),0)</f>
        <v>0.66700000000000004</v>
      </c>
      <c r="L501" s="220">
        <f>IF($B501&lt;=$C$392,IF(Datenblatt!$O$136="IDA-C3",$F73,IF(Datenblatt!$O$136="IDA-C4",$G73,$I73)),0)</f>
        <v>0.25</v>
      </c>
    </row>
    <row r="502" spans="1:12">
      <c r="A502" s="210">
        <f t="shared" si="255"/>
        <v>6</v>
      </c>
      <c r="B502" s="210">
        <v>5</v>
      </c>
      <c r="C502" s="217">
        <f t="shared" si="261"/>
        <v>108</v>
      </c>
      <c r="D502" s="210">
        <f t="shared" si="256"/>
        <v>0</v>
      </c>
      <c r="E502" s="215">
        <f t="shared" si="257"/>
        <v>0</v>
      </c>
      <c r="F502" s="210">
        <f t="shared" si="258"/>
        <v>0.2</v>
      </c>
      <c r="H502" s="210">
        <f t="shared" si="259"/>
        <v>0</v>
      </c>
      <c r="I502" s="210">
        <f t="shared" si="260"/>
        <v>0</v>
      </c>
      <c r="J502" s="220">
        <f>IF($B502&lt;=$C$392,IF(Datenblatt!$M$136="IDA-C3",$F74,IF(Datenblatt!$M$136="IDA-C4",$G74,$I74)),0)</f>
        <v>1</v>
      </c>
      <c r="K502" s="220">
        <f>IF($B502&lt;=$C$392,IF(Datenblatt!$N$136="IDA-C3",$F74,IF(Datenblatt!$N$136="IDA-C4",$G74,$I74)),0)</f>
        <v>0.66700000000000004</v>
      </c>
      <c r="L502" s="220">
        <f>IF($B502&lt;=$C$392,IF(Datenblatt!$O$136="IDA-C3",$F74,IF(Datenblatt!$O$136="IDA-C4",$G74,$I74)),0)</f>
        <v>0.25</v>
      </c>
    </row>
    <row r="503" spans="1:12">
      <c r="A503" s="210">
        <f t="shared" si="255"/>
        <v>6</v>
      </c>
      <c r="B503" s="210">
        <v>5</v>
      </c>
      <c r="C503" s="217">
        <f t="shared" si="261"/>
        <v>109</v>
      </c>
      <c r="D503" s="210">
        <f t="shared" si="256"/>
        <v>0.8</v>
      </c>
      <c r="E503" s="215">
        <f t="shared" si="257"/>
        <v>1</v>
      </c>
      <c r="F503" s="210">
        <f t="shared" si="258"/>
        <v>0.8</v>
      </c>
      <c r="H503" s="210">
        <f t="shared" si="259"/>
        <v>0</v>
      </c>
      <c r="I503" s="210">
        <f t="shared" si="260"/>
        <v>1</v>
      </c>
      <c r="J503" s="220">
        <f>IF($B503&lt;=$C$392,IF(Datenblatt!$M$136="IDA-C3",$F75,IF(Datenblatt!$M$136="IDA-C4",$G75,$I75)),0)</f>
        <v>1</v>
      </c>
      <c r="K503" s="220">
        <f>IF($B503&lt;=$C$392,IF(Datenblatt!$N$136="IDA-C3",$F75,IF(Datenblatt!$N$136="IDA-C4",$G75,$I75)),0)</f>
        <v>1</v>
      </c>
      <c r="L503" s="220">
        <f>IF($B503&lt;=$C$392,IF(Datenblatt!$O$136="IDA-C3",$F75,IF(Datenblatt!$O$136="IDA-C4",$G75,$I75)),0)</f>
        <v>0.8</v>
      </c>
    </row>
    <row r="504" spans="1:12">
      <c r="A504" s="210">
        <f t="shared" si="255"/>
        <v>6</v>
      </c>
      <c r="B504" s="210">
        <v>5</v>
      </c>
      <c r="C504" s="217">
        <f t="shared" si="261"/>
        <v>110</v>
      </c>
      <c r="D504" s="210">
        <f t="shared" si="256"/>
        <v>0.4</v>
      </c>
      <c r="E504" s="215">
        <f t="shared" si="257"/>
        <v>1</v>
      </c>
      <c r="F504" s="210">
        <f t="shared" si="258"/>
        <v>0.2</v>
      </c>
      <c r="H504" s="210">
        <f t="shared" si="259"/>
        <v>0</v>
      </c>
      <c r="I504" s="210">
        <f t="shared" si="260"/>
        <v>0</v>
      </c>
      <c r="J504" s="220">
        <f>IF($B504&lt;=$C$392,IF(Datenblatt!$M$136="IDA-C3",$F76,IF(Datenblatt!$M$136="IDA-C4",$G76,$I76)),0)</f>
        <v>1</v>
      </c>
      <c r="K504" s="220">
        <f>IF($B504&lt;=$C$392,IF(Datenblatt!$N$136="IDA-C3",$F76,IF(Datenblatt!$N$136="IDA-C4",$G76,$I76)),0)</f>
        <v>0.66700000000000004</v>
      </c>
      <c r="L504" s="220">
        <f>IF($B504&lt;=$C$392,IF(Datenblatt!$O$136="IDA-C3",$F76,IF(Datenblatt!$O$136="IDA-C4",$G76,$I76)),0)</f>
        <v>0.4</v>
      </c>
    </row>
    <row r="505" spans="1:12">
      <c r="A505" s="210">
        <f t="shared" si="255"/>
        <v>6</v>
      </c>
      <c r="B505" s="210">
        <v>5</v>
      </c>
      <c r="C505" s="217">
        <f t="shared" si="261"/>
        <v>111</v>
      </c>
      <c r="D505" s="210">
        <f t="shared" si="256"/>
        <v>0</v>
      </c>
      <c r="E505" s="215">
        <f t="shared" si="257"/>
        <v>0</v>
      </c>
      <c r="F505" s="210">
        <f t="shared" si="258"/>
        <v>0.2</v>
      </c>
      <c r="H505" s="210">
        <f t="shared" si="259"/>
        <v>0</v>
      </c>
      <c r="I505" s="210">
        <f t="shared" si="260"/>
        <v>0</v>
      </c>
      <c r="J505" s="220">
        <f>IF($B505&lt;=$C$392,IF(Datenblatt!$M$136="IDA-C3",$F77,IF(Datenblatt!$M$136="IDA-C4",$G77,$I77)),0)</f>
        <v>1</v>
      </c>
      <c r="K505" s="220">
        <f>IF($B505&lt;=$C$392,IF(Datenblatt!$N$136="IDA-C3",$F77,IF(Datenblatt!$N$136="IDA-C4",$G77,$I77)),0)</f>
        <v>0.66700000000000004</v>
      </c>
      <c r="L505" s="220">
        <f>IF($B505&lt;=$C$392,IF(Datenblatt!$O$136="IDA-C3",$F77,IF(Datenblatt!$O$136="IDA-C4",$G77,$I77)),0)</f>
        <v>0.25</v>
      </c>
    </row>
    <row r="506" spans="1:12">
      <c r="A506" s="210">
        <f t="shared" si="255"/>
        <v>6</v>
      </c>
      <c r="B506" s="210">
        <v>5</v>
      </c>
      <c r="C506" s="217">
        <f t="shared" si="261"/>
        <v>112</v>
      </c>
      <c r="D506" s="210">
        <f t="shared" si="256"/>
        <v>0</v>
      </c>
      <c r="E506" s="215">
        <f t="shared" si="257"/>
        <v>0</v>
      </c>
      <c r="F506" s="210">
        <f t="shared" si="258"/>
        <v>0.2</v>
      </c>
      <c r="H506" s="210">
        <f t="shared" si="259"/>
        <v>0</v>
      </c>
      <c r="I506" s="210">
        <f t="shared" si="260"/>
        <v>0</v>
      </c>
      <c r="J506" s="220">
        <f>IF($B506&lt;=$C$392,IF(Datenblatt!$M$136="IDA-C3",$F78,IF(Datenblatt!$M$136="IDA-C4",$G78,$I78)),0)</f>
        <v>1</v>
      </c>
      <c r="K506" s="220">
        <f>IF($B506&lt;=$C$392,IF(Datenblatt!$N$136="IDA-C3",$F78,IF(Datenblatt!$N$136="IDA-C4",$G78,$I78)),0)</f>
        <v>0.66700000000000004</v>
      </c>
      <c r="L506" s="220">
        <f>IF($B506&lt;=$C$392,IF(Datenblatt!$O$136="IDA-C3",$F78,IF(Datenblatt!$O$136="IDA-C4",$G78,$I78)),0)</f>
        <v>0.25</v>
      </c>
    </row>
    <row r="507" spans="1:12">
      <c r="A507" s="210">
        <f t="shared" si="255"/>
        <v>6</v>
      </c>
      <c r="B507" s="210">
        <v>5</v>
      </c>
      <c r="C507" s="217">
        <f t="shared" si="261"/>
        <v>113</v>
      </c>
      <c r="D507" s="210">
        <f t="shared" si="256"/>
        <v>0</v>
      </c>
      <c r="E507" s="215">
        <f t="shared" si="257"/>
        <v>0</v>
      </c>
      <c r="F507" s="210">
        <f t="shared" si="258"/>
        <v>0.2</v>
      </c>
      <c r="H507" s="210">
        <f t="shared" si="259"/>
        <v>0</v>
      </c>
      <c r="I507" s="210">
        <f t="shared" si="260"/>
        <v>0</v>
      </c>
      <c r="J507" s="220">
        <f>IF($B507&lt;=$C$392,IF(Datenblatt!$M$136="IDA-C3",$F79,IF(Datenblatt!$M$136="IDA-C4",$G79,$I79)),0)</f>
        <v>1</v>
      </c>
      <c r="K507" s="220">
        <f>IF($B507&lt;=$C$392,IF(Datenblatt!$N$136="IDA-C3",$F79,IF(Datenblatt!$N$136="IDA-C4",$G79,$I79)),0)</f>
        <v>0.66700000000000004</v>
      </c>
      <c r="L507" s="220">
        <f>IF($B507&lt;=$C$392,IF(Datenblatt!$O$136="IDA-C3",$F79,IF(Datenblatt!$O$136="IDA-C4",$G79,$I79)),0)</f>
        <v>0.25</v>
      </c>
    </row>
    <row r="508" spans="1:12">
      <c r="A508" s="210">
        <f t="shared" si="255"/>
        <v>6</v>
      </c>
      <c r="B508" s="210">
        <v>5</v>
      </c>
      <c r="C508" s="217">
        <f t="shared" si="261"/>
        <v>114</v>
      </c>
      <c r="D508" s="210">
        <f t="shared" si="256"/>
        <v>0.4</v>
      </c>
      <c r="E508" s="215">
        <f t="shared" si="257"/>
        <v>1</v>
      </c>
      <c r="F508" s="210">
        <f t="shared" si="258"/>
        <v>0.2</v>
      </c>
      <c r="H508" s="210">
        <f t="shared" si="259"/>
        <v>0</v>
      </c>
      <c r="I508" s="210">
        <f t="shared" si="260"/>
        <v>0</v>
      </c>
      <c r="J508" s="220">
        <f>IF($B508&lt;=$C$392,IF(Datenblatt!$M$136="IDA-C3",$F80,IF(Datenblatt!$M$136="IDA-C4",$G80,$I80)),0)</f>
        <v>1</v>
      </c>
      <c r="K508" s="220">
        <f>IF($B508&lt;=$C$392,IF(Datenblatt!$N$136="IDA-C3",$F80,IF(Datenblatt!$N$136="IDA-C4",$G80,$I80)),0)</f>
        <v>0.66700000000000004</v>
      </c>
      <c r="L508" s="220">
        <f>IF($B508&lt;=$C$392,IF(Datenblatt!$O$136="IDA-C3",$F80,IF(Datenblatt!$O$136="IDA-C4",$G80,$I80)),0)</f>
        <v>0.4</v>
      </c>
    </row>
    <row r="509" spans="1:12">
      <c r="A509" s="210">
        <f t="shared" si="255"/>
        <v>6</v>
      </c>
      <c r="B509" s="210">
        <v>5</v>
      </c>
      <c r="C509" s="217">
        <f t="shared" si="261"/>
        <v>115</v>
      </c>
      <c r="D509" s="210">
        <f t="shared" si="256"/>
        <v>0.8</v>
      </c>
      <c r="E509" s="215">
        <f t="shared" si="257"/>
        <v>1</v>
      </c>
      <c r="F509" s="210">
        <f t="shared" si="258"/>
        <v>0.8</v>
      </c>
      <c r="H509" s="210">
        <f t="shared" si="259"/>
        <v>0</v>
      </c>
      <c r="I509" s="210">
        <f t="shared" si="260"/>
        <v>1</v>
      </c>
      <c r="J509" s="220">
        <f>IF($B509&lt;=$C$392,IF(Datenblatt!$M$136="IDA-C3",$F81,IF(Datenblatt!$M$136="IDA-C4",$G81,$I81)),0)</f>
        <v>1</v>
      </c>
      <c r="K509" s="220">
        <f>IF($B509&lt;=$C$392,IF(Datenblatt!$N$136="IDA-C3",$F81,IF(Datenblatt!$N$136="IDA-C4",$G81,$I81)),0)</f>
        <v>1</v>
      </c>
      <c r="L509" s="220">
        <f>IF($B509&lt;=$C$392,IF(Datenblatt!$O$136="IDA-C3",$F81,IF(Datenblatt!$O$136="IDA-C4",$G81,$I81)),0)</f>
        <v>0.8</v>
      </c>
    </row>
    <row r="510" spans="1:12">
      <c r="A510" s="210">
        <f t="shared" si="255"/>
        <v>6</v>
      </c>
      <c r="B510" s="210">
        <v>5</v>
      </c>
      <c r="C510" s="217">
        <f t="shared" si="261"/>
        <v>116</v>
      </c>
      <c r="D510" s="210">
        <f t="shared" si="256"/>
        <v>0.8</v>
      </c>
      <c r="E510" s="215">
        <f t="shared" si="257"/>
        <v>1</v>
      </c>
      <c r="F510" s="210">
        <f t="shared" si="258"/>
        <v>1</v>
      </c>
      <c r="H510" s="210">
        <f t="shared" si="259"/>
        <v>1</v>
      </c>
      <c r="I510" s="210">
        <f t="shared" si="260"/>
        <v>1</v>
      </c>
      <c r="J510" s="220">
        <f>IF($B510&lt;=$C$392,IF(Datenblatt!$M$136="IDA-C3",$F82,IF(Datenblatt!$M$136="IDA-C4",$G82,$I82)),0)</f>
        <v>1</v>
      </c>
      <c r="K510" s="220">
        <f>IF($B510&lt;=$C$392,IF(Datenblatt!$N$136="IDA-C3",$F82,IF(Datenblatt!$N$136="IDA-C4",$G82,$I82)),0)</f>
        <v>1</v>
      </c>
      <c r="L510" s="220">
        <f>IF($B510&lt;=$C$392,IF(Datenblatt!$O$136="IDA-C3",$F82,IF(Datenblatt!$O$136="IDA-C4",$G82,$I82)),0)</f>
        <v>0.8</v>
      </c>
    </row>
    <row r="511" spans="1:12">
      <c r="A511" s="210">
        <f t="shared" si="255"/>
        <v>6</v>
      </c>
      <c r="B511" s="210">
        <v>5</v>
      </c>
      <c r="C511" s="217">
        <f t="shared" si="261"/>
        <v>117</v>
      </c>
      <c r="D511" s="210">
        <f t="shared" si="256"/>
        <v>0.8</v>
      </c>
      <c r="E511" s="215">
        <f t="shared" si="257"/>
        <v>1</v>
      </c>
      <c r="F511" s="210">
        <f t="shared" si="258"/>
        <v>0.2</v>
      </c>
      <c r="H511" s="210">
        <f t="shared" si="259"/>
        <v>1</v>
      </c>
      <c r="I511" s="210">
        <f t="shared" si="260"/>
        <v>1</v>
      </c>
      <c r="J511" s="220">
        <f>IF($B511&lt;=$C$392,IF(Datenblatt!$M$136="IDA-C3",$F83,IF(Datenblatt!$M$136="IDA-C4",$G83,$I83)),0)</f>
        <v>1</v>
      </c>
      <c r="K511" s="220">
        <f>IF($B511&lt;=$C$392,IF(Datenblatt!$N$136="IDA-C3",$F83,IF(Datenblatt!$N$136="IDA-C4",$G83,$I83)),0)</f>
        <v>1</v>
      </c>
      <c r="L511" s="220">
        <f>IF($B511&lt;=$C$392,IF(Datenblatt!$O$136="IDA-C3",$F83,IF(Datenblatt!$O$136="IDA-C4",$G83,$I83)),0)</f>
        <v>0.8</v>
      </c>
    </row>
    <row r="512" spans="1:12">
      <c r="A512" s="210">
        <f t="shared" si="255"/>
        <v>6</v>
      </c>
      <c r="B512" s="210">
        <v>5</v>
      </c>
      <c r="C512" s="217">
        <f t="shared" si="261"/>
        <v>118</v>
      </c>
      <c r="D512" s="210">
        <f t="shared" si="256"/>
        <v>1</v>
      </c>
      <c r="E512" s="215">
        <f t="shared" si="257"/>
        <v>1</v>
      </c>
      <c r="F512" s="210">
        <f t="shared" si="258"/>
        <v>0.2</v>
      </c>
      <c r="H512" s="210">
        <f t="shared" si="259"/>
        <v>1</v>
      </c>
      <c r="I512" s="210">
        <f t="shared" si="260"/>
        <v>1</v>
      </c>
      <c r="J512" s="220">
        <f>IF($B512&lt;=$C$392,IF(Datenblatt!$M$136="IDA-C3",$F84,IF(Datenblatt!$M$136="IDA-C4",$G84,$I84)),0)</f>
        <v>1</v>
      </c>
      <c r="K512" s="220">
        <f>IF($B512&lt;=$C$392,IF(Datenblatt!$N$136="IDA-C3",$F84,IF(Datenblatt!$N$136="IDA-C4",$G84,$I84)),0)</f>
        <v>1</v>
      </c>
      <c r="L512" s="220">
        <f>IF($B512&lt;=$C$392,IF(Datenblatt!$O$136="IDA-C3",$F84,IF(Datenblatt!$O$136="IDA-C4",$G84,$I84)),0)</f>
        <v>1</v>
      </c>
    </row>
    <row r="513" spans="1:12">
      <c r="A513" s="210">
        <f t="shared" si="255"/>
        <v>6</v>
      </c>
      <c r="B513" s="210">
        <v>5</v>
      </c>
      <c r="C513" s="217">
        <f t="shared" si="261"/>
        <v>119</v>
      </c>
      <c r="D513" s="210">
        <f t="shared" si="256"/>
        <v>1</v>
      </c>
      <c r="E513" s="215">
        <f t="shared" si="257"/>
        <v>1</v>
      </c>
      <c r="F513" s="210">
        <f t="shared" si="258"/>
        <v>0.2</v>
      </c>
      <c r="H513" s="210">
        <f t="shared" si="259"/>
        <v>0</v>
      </c>
      <c r="I513" s="210">
        <f t="shared" si="260"/>
        <v>0</v>
      </c>
      <c r="J513" s="220">
        <f>IF($B513&lt;=$C$392,IF(Datenblatt!$M$136="IDA-C3",$F85,IF(Datenblatt!$M$136="IDA-C4",$G85,$I85)),0)</f>
        <v>1</v>
      </c>
      <c r="K513" s="220">
        <f>IF($B513&lt;=$C$392,IF(Datenblatt!$N$136="IDA-C3",$F85,IF(Datenblatt!$N$136="IDA-C4",$G85,$I85)),0)</f>
        <v>1</v>
      </c>
      <c r="L513" s="220">
        <f>IF($B513&lt;=$C$392,IF(Datenblatt!$O$136="IDA-C3",$F85,IF(Datenblatt!$O$136="IDA-C4",$G85,$I85)),0)</f>
        <v>1</v>
      </c>
    </row>
    <row r="514" spans="1:12">
      <c r="A514" s="210">
        <f t="shared" si="255"/>
        <v>6</v>
      </c>
      <c r="B514" s="210">
        <v>5</v>
      </c>
      <c r="C514" s="217">
        <f t="shared" si="261"/>
        <v>120</v>
      </c>
      <c r="D514" s="210">
        <f t="shared" si="256"/>
        <v>1</v>
      </c>
      <c r="E514" s="215">
        <f t="shared" si="257"/>
        <v>1</v>
      </c>
      <c r="F514" s="210">
        <f t="shared" si="258"/>
        <v>0.2</v>
      </c>
      <c r="H514" s="210">
        <f t="shared" si="259"/>
        <v>0</v>
      </c>
      <c r="I514" s="210">
        <f t="shared" si="260"/>
        <v>0</v>
      </c>
      <c r="J514" s="220">
        <f>IF($B514&lt;=$C$392,IF(Datenblatt!$M$136="IDA-C3",$F86,IF(Datenblatt!$M$136="IDA-C4",$G86,$I86)),0)</f>
        <v>1</v>
      </c>
      <c r="K514" s="220">
        <f>IF($B514&lt;=$C$392,IF(Datenblatt!$N$136="IDA-C3",$F86,IF(Datenblatt!$N$136="IDA-C4",$G86,$I86)),0)</f>
        <v>1</v>
      </c>
      <c r="L514" s="220">
        <f>IF($B514&lt;=$C$392,IF(Datenblatt!$O$136="IDA-C3",$F86,IF(Datenblatt!$O$136="IDA-C4",$G86,$I86)),0)</f>
        <v>1</v>
      </c>
    </row>
    <row r="515" spans="1:12">
      <c r="A515" s="1567">
        <f t="shared" si="255"/>
        <v>7</v>
      </c>
      <c r="B515" s="1567">
        <v>6</v>
      </c>
      <c r="C515" s="1568">
        <f t="shared" si="261"/>
        <v>121</v>
      </c>
      <c r="D515" s="1567">
        <f t="shared" ref="D515:D538" si="262">IF(B515&lt;=$C$392,B63,0)</f>
        <v>1</v>
      </c>
      <c r="E515" s="1569">
        <f t="shared" si="257"/>
        <v>1</v>
      </c>
      <c r="F515" s="1567">
        <f t="shared" ref="F515:F538" si="263">MAX(IF(B515&lt;=$C$392,D63,0),G$392)</f>
        <v>0.2</v>
      </c>
      <c r="G515" s="1567"/>
      <c r="H515" s="1567">
        <f t="shared" ref="H515:H538" si="264">IF(B515&lt;=$C$392,T63,0)</f>
        <v>0</v>
      </c>
      <c r="I515" s="210">
        <f t="shared" ref="I515:I538" si="265">IF(B515&lt;=$C$392,V63,0)</f>
        <v>0</v>
      </c>
      <c r="J515" s="1570">
        <f>IF($B515&lt;=$C$392,IF(Datenblatt!$M$136="IDA-C3",$F63,IF(Datenblatt!$M$136="IDA-C4",$G63,$I63)),0)</f>
        <v>1</v>
      </c>
      <c r="K515" s="1570">
        <f>IF($B515&lt;=$C$392,IF(Datenblatt!$N$136="IDA-C3",$F63,IF(Datenblatt!$N$136="IDA-C4",$G63,$I63)),0)</f>
        <v>1</v>
      </c>
      <c r="L515" s="1570">
        <f>IF($B515&lt;=$C$392,IF(Datenblatt!$O$136="IDA-C3",$F63,IF(Datenblatt!$O$136="IDA-C4",$G63,$I63)),0)</f>
        <v>1</v>
      </c>
    </row>
    <row r="516" spans="1:12">
      <c r="A516" s="210">
        <f t="shared" si="255"/>
        <v>7</v>
      </c>
      <c r="B516" s="210">
        <v>6</v>
      </c>
      <c r="C516" s="217">
        <f t="shared" si="261"/>
        <v>122</v>
      </c>
      <c r="D516" s="210">
        <f t="shared" si="262"/>
        <v>1</v>
      </c>
      <c r="E516" s="215">
        <f t="shared" si="257"/>
        <v>1</v>
      </c>
      <c r="F516" s="210">
        <f t="shared" si="263"/>
        <v>0.2</v>
      </c>
      <c r="H516" s="210">
        <f t="shared" si="264"/>
        <v>0</v>
      </c>
      <c r="I516" s="210">
        <f t="shared" si="265"/>
        <v>0</v>
      </c>
      <c r="J516" s="220">
        <f>IF($B516&lt;=$C$392,IF(Datenblatt!$M$136="IDA-C3",$F64,IF(Datenblatt!$M$136="IDA-C4",$G64,$I64)),0)</f>
        <v>1</v>
      </c>
      <c r="K516" s="220">
        <f>IF($B516&lt;=$C$392,IF(Datenblatt!$N$136="IDA-C3",$F64,IF(Datenblatt!$N$136="IDA-C4",$G64,$I64)),0)</f>
        <v>1</v>
      </c>
      <c r="L516" s="220">
        <f>IF($B516&lt;=$C$392,IF(Datenblatt!$O$136="IDA-C3",$F64,IF(Datenblatt!$O$136="IDA-C4",$G64,$I64)),0)</f>
        <v>1</v>
      </c>
    </row>
    <row r="517" spans="1:12">
      <c r="A517" s="210">
        <f t="shared" si="255"/>
        <v>7</v>
      </c>
      <c r="B517" s="210">
        <v>6</v>
      </c>
      <c r="C517" s="217">
        <f t="shared" si="261"/>
        <v>123</v>
      </c>
      <c r="D517" s="210">
        <f t="shared" si="262"/>
        <v>1</v>
      </c>
      <c r="E517" s="215">
        <f t="shared" si="257"/>
        <v>1</v>
      </c>
      <c r="F517" s="210">
        <f t="shared" si="263"/>
        <v>0.2</v>
      </c>
      <c r="H517" s="210">
        <f t="shared" si="264"/>
        <v>0</v>
      </c>
      <c r="I517" s="210">
        <f t="shared" si="265"/>
        <v>0</v>
      </c>
      <c r="J517" s="220">
        <f>IF($B517&lt;=$C$392,IF(Datenblatt!$M$136="IDA-C3",$F65,IF(Datenblatt!$M$136="IDA-C4",$G65,$I65)),0)</f>
        <v>1</v>
      </c>
      <c r="K517" s="220">
        <f>IF($B517&lt;=$C$392,IF(Datenblatt!$N$136="IDA-C3",$F65,IF(Datenblatt!$N$136="IDA-C4",$G65,$I65)),0)</f>
        <v>1</v>
      </c>
      <c r="L517" s="220">
        <f>IF($B517&lt;=$C$392,IF(Datenblatt!$O$136="IDA-C3",$F65,IF(Datenblatt!$O$136="IDA-C4",$G65,$I65)),0)</f>
        <v>1</v>
      </c>
    </row>
    <row r="518" spans="1:12">
      <c r="A518" s="210">
        <f t="shared" si="255"/>
        <v>7</v>
      </c>
      <c r="B518" s="210">
        <v>6</v>
      </c>
      <c r="C518" s="217">
        <f t="shared" si="261"/>
        <v>124</v>
      </c>
      <c r="D518" s="210">
        <f t="shared" si="262"/>
        <v>1</v>
      </c>
      <c r="E518" s="215">
        <f t="shared" si="257"/>
        <v>1</v>
      </c>
      <c r="F518" s="210">
        <f t="shared" si="263"/>
        <v>0.2</v>
      </c>
      <c r="H518" s="210">
        <f t="shared" si="264"/>
        <v>0</v>
      </c>
      <c r="I518" s="210">
        <f t="shared" si="265"/>
        <v>0</v>
      </c>
      <c r="J518" s="220">
        <f>IF($B518&lt;=$C$392,IF(Datenblatt!$M$136="IDA-C3",$F66,IF(Datenblatt!$M$136="IDA-C4",$G66,$I66)),0)</f>
        <v>1</v>
      </c>
      <c r="K518" s="220">
        <f>IF($B518&lt;=$C$392,IF(Datenblatt!$N$136="IDA-C3",$F66,IF(Datenblatt!$N$136="IDA-C4",$G66,$I66)),0)</f>
        <v>1</v>
      </c>
      <c r="L518" s="220">
        <f>IF($B518&lt;=$C$392,IF(Datenblatt!$O$136="IDA-C3",$F66,IF(Datenblatt!$O$136="IDA-C4",$G66,$I66)),0)</f>
        <v>1</v>
      </c>
    </row>
    <row r="519" spans="1:12">
      <c r="A519" s="210">
        <f t="shared" si="255"/>
        <v>7</v>
      </c>
      <c r="B519" s="210">
        <v>6</v>
      </c>
      <c r="C519" s="217">
        <f t="shared" si="261"/>
        <v>125</v>
      </c>
      <c r="D519" s="210">
        <f t="shared" si="262"/>
        <v>1</v>
      </c>
      <c r="E519" s="215">
        <f t="shared" si="257"/>
        <v>1</v>
      </c>
      <c r="F519" s="210">
        <f t="shared" si="263"/>
        <v>0.2</v>
      </c>
      <c r="H519" s="210">
        <f t="shared" si="264"/>
        <v>0</v>
      </c>
      <c r="I519" s="210">
        <f t="shared" si="265"/>
        <v>0</v>
      </c>
      <c r="J519" s="220">
        <f>IF($B519&lt;=$C$392,IF(Datenblatt!$M$136="IDA-C3",$F67,IF(Datenblatt!$M$136="IDA-C4",$G67,$I67)),0)</f>
        <v>1</v>
      </c>
      <c r="K519" s="220">
        <f>IF($B519&lt;=$C$392,IF(Datenblatt!$N$136="IDA-C3",$F67,IF(Datenblatt!$N$136="IDA-C4",$G67,$I67)),0)</f>
        <v>1</v>
      </c>
      <c r="L519" s="220">
        <f>IF($B519&lt;=$C$392,IF(Datenblatt!$O$136="IDA-C3",$F67,IF(Datenblatt!$O$136="IDA-C4",$G67,$I67)),0)</f>
        <v>1</v>
      </c>
    </row>
    <row r="520" spans="1:12">
      <c r="A520" s="210">
        <f t="shared" si="255"/>
        <v>7</v>
      </c>
      <c r="B520" s="210">
        <v>6</v>
      </c>
      <c r="C520" s="217">
        <f t="shared" si="261"/>
        <v>126</v>
      </c>
      <c r="D520" s="210">
        <f t="shared" si="262"/>
        <v>1</v>
      </c>
      <c r="E520" s="215">
        <f t="shared" si="257"/>
        <v>1</v>
      </c>
      <c r="F520" s="210">
        <f t="shared" si="263"/>
        <v>0.2</v>
      </c>
      <c r="H520" s="210">
        <f t="shared" si="264"/>
        <v>0</v>
      </c>
      <c r="I520" s="210">
        <f t="shared" si="265"/>
        <v>0</v>
      </c>
      <c r="J520" s="220">
        <f>IF($B520&lt;=$C$392,IF(Datenblatt!$M$136="IDA-C3",$F68,IF(Datenblatt!$M$136="IDA-C4",$G68,$I68)),0)</f>
        <v>1</v>
      </c>
      <c r="K520" s="220">
        <f>IF($B520&lt;=$C$392,IF(Datenblatt!$N$136="IDA-C3",$F68,IF(Datenblatt!$N$136="IDA-C4",$G68,$I68)),0)</f>
        <v>1</v>
      </c>
      <c r="L520" s="220">
        <f>IF($B520&lt;=$C$392,IF(Datenblatt!$O$136="IDA-C3",$F68,IF(Datenblatt!$O$136="IDA-C4",$G68,$I68)),0)</f>
        <v>1</v>
      </c>
    </row>
    <row r="521" spans="1:12">
      <c r="A521" s="210">
        <f t="shared" si="255"/>
        <v>7</v>
      </c>
      <c r="B521" s="210">
        <v>6</v>
      </c>
      <c r="C521" s="217">
        <f t="shared" si="261"/>
        <v>127</v>
      </c>
      <c r="D521" s="210">
        <f t="shared" si="262"/>
        <v>0.6</v>
      </c>
      <c r="E521" s="215">
        <f t="shared" si="257"/>
        <v>1</v>
      </c>
      <c r="F521" s="210">
        <f t="shared" si="263"/>
        <v>0.8</v>
      </c>
      <c r="H521" s="210">
        <f t="shared" si="264"/>
        <v>0</v>
      </c>
      <c r="I521" s="210">
        <f t="shared" si="265"/>
        <v>1</v>
      </c>
      <c r="J521" s="220">
        <f>IF($B521&lt;=$C$392,IF(Datenblatt!$M$136="IDA-C3",$F69,IF(Datenblatt!$M$136="IDA-C4",$G69,$I69)),0)</f>
        <v>1</v>
      </c>
      <c r="K521" s="220">
        <f>IF($B521&lt;=$C$392,IF(Datenblatt!$N$136="IDA-C3",$F69,IF(Datenblatt!$N$136="IDA-C4",$G69,$I69)),0)</f>
        <v>1</v>
      </c>
      <c r="L521" s="220">
        <f>IF($B521&lt;=$C$392,IF(Datenblatt!$O$136="IDA-C3",$F69,IF(Datenblatt!$O$136="IDA-C4",$G69,$I69)),0)</f>
        <v>0.6</v>
      </c>
    </row>
    <row r="522" spans="1:12">
      <c r="A522" s="210">
        <f t="shared" si="255"/>
        <v>7</v>
      </c>
      <c r="B522" s="210">
        <v>6</v>
      </c>
      <c r="C522" s="217">
        <f t="shared" si="261"/>
        <v>128</v>
      </c>
      <c r="D522" s="210">
        <f t="shared" si="262"/>
        <v>0.4</v>
      </c>
      <c r="E522" s="215">
        <f t="shared" si="257"/>
        <v>1</v>
      </c>
      <c r="F522" s="210">
        <f t="shared" si="263"/>
        <v>0.2</v>
      </c>
      <c r="H522" s="210">
        <f t="shared" si="264"/>
        <v>0</v>
      </c>
      <c r="I522" s="210">
        <f t="shared" si="265"/>
        <v>1</v>
      </c>
      <c r="J522" s="220">
        <f>IF($B522&lt;=$C$392,IF(Datenblatt!$M$136="IDA-C3",$F70,IF(Datenblatt!$M$136="IDA-C4",$G70,$I70)),0)</f>
        <v>1</v>
      </c>
      <c r="K522" s="220">
        <f>IF($B522&lt;=$C$392,IF(Datenblatt!$N$136="IDA-C3",$F70,IF(Datenblatt!$N$136="IDA-C4",$G70,$I70)),0)</f>
        <v>0.66700000000000004</v>
      </c>
      <c r="L522" s="220">
        <f>IF($B522&lt;=$C$392,IF(Datenblatt!$O$136="IDA-C3",$F70,IF(Datenblatt!$O$136="IDA-C4",$G70,$I70)),0)</f>
        <v>0.4</v>
      </c>
    </row>
    <row r="523" spans="1:12">
      <c r="A523" s="210">
        <f>B523+1</f>
        <v>7</v>
      </c>
      <c r="B523" s="210">
        <v>6</v>
      </c>
      <c r="C523" s="217">
        <f t="shared" si="261"/>
        <v>129</v>
      </c>
      <c r="D523" s="210">
        <f t="shared" si="262"/>
        <v>0</v>
      </c>
      <c r="E523" s="215">
        <f t="shared" ref="E523:E562" si="266">IF(D523&gt;0,1,0)</f>
        <v>0</v>
      </c>
      <c r="F523" s="210">
        <f t="shared" si="263"/>
        <v>0.2</v>
      </c>
      <c r="H523" s="210">
        <f t="shared" si="264"/>
        <v>0</v>
      </c>
      <c r="I523" s="210">
        <f t="shared" si="265"/>
        <v>0</v>
      </c>
      <c r="J523" s="220">
        <f>IF($B523&lt;=$C$392,IF(Datenblatt!$M$136="IDA-C3",$F71,IF(Datenblatt!$M$136="IDA-C4",$G71,$I71)),0)</f>
        <v>1</v>
      </c>
      <c r="K523" s="220">
        <f>IF($B523&lt;=$C$392,IF(Datenblatt!$N$136="IDA-C3",$F71,IF(Datenblatt!$N$136="IDA-C4",$G71,$I71)),0)</f>
        <v>0.66700000000000004</v>
      </c>
      <c r="L523" s="220">
        <f>IF($B523&lt;=$C$392,IF(Datenblatt!$O$136="IDA-C3",$F71,IF(Datenblatt!$O$136="IDA-C4",$G71,$I71)),0)</f>
        <v>0.25</v>
      </c>
    </row>
    <row r="524" spans="1:12">
      <c r="A524" s="210">
        <f t="shared" ref="A524:A538" si="267">B524+1</f>
        <v>7</v>
      </c>
      <c r="B524" s="210">
        <v>6</v>
      </c>
      <c r="C524" s="217">
        <f t="shared" ref="C524:C562" si="268">C523+1</f>
        <v>130</v>
      </c>
      <c r="D524" s="210">
        <f t="shared" si="262"/>
        <v>0</v>
      </c>
      <c r="E524" s="215">
        <f t="shared" si="266"/>
        <v>0</v>
      </c>
      <c r="F524" s="210">
        <f t="shared" si="263"/>
        <v>0.2</v>
      </c>
      <c r="H524" s="210">
        <f t="shared" si="264"/>
        <v>0</v>
      </c>
      <c r="I524" s="210">
        <f t="shared" si="265"/>
        <v>0</v>
      </c>
      <c r="J524" s="220">
        <f>IF($B524&lt;=$C$392,IF(Datenblatt!$M$136="IDA-C3",$F72,IF(Datenblatt!$M$136="IDA-C4",$G72,$I72)),0)</f>
        <v>1</v>
      </c>
      <c r="K524" s="220">
        <f>IF($B524&lt;=$C$392,IF(Datenblatt!$N$136="IDA-C3",$F72,IF(Datenblatt!$N$136="IDA-C4",$G72,$I72)),0)</f>
        <v>0.66700000000000004</v>
      </c>
      <c r="L524" s="220">
        <f>IF($B524&lt;=$C$392,IF(Datenblatt!$O$136="IDA-C3",$F72,IF(Datenblatt!$O$136="IDA-C4",$G72,$I72)),0)</f>
        <v>0.25</v>
      </c>
    </row>
    <row r="525" spans="1:12">
      <c r="A525" s="210">
        <f t="shared" si="267"/>
        <v>7</v>
      </c>
      <c r="B525" s="210">
        <v>6</v>
      </c>
      <c r="C525" s="217">
        <f t="shared" si="268"/>
        <v>131</v>
      </c>
      <c r="D525" s="210">
        <f t="shared" si="262"/>
        <v>0</v>
      </c>
      <c r="E525" s="215">
        <f t="shared" si="266"/>
        <v>0</v>
      </c>
      <c r="F525" s="210">
        <f t="shared" si="263"/>
        <v>0.2</v>
      </c>
      <c r="H525" s="210">
        <f t="shared" si="264"/>
        <v>0</v>
      </c>
      <c r="I525" s="210">
        <f t="shared" si="265"/>
        <v>0</v>
      </c>
      <c r="J525" s="220">
        <f>IF($B525&lt;=$C$392,IF(Datenblatt!$M$136="IDA-C3",$F73,IF(Datenblatt!$M$136="IDA-C4",$G73,$I73)),0)</f>
        <v>1</v>
      </c>
      <c r="K525" s="220">
        <f>IF($B525&lt;=$C$392,IF(Datenblatt!$N$136="IDA-C3",$F73,IF(Datenblatt!$N$136="IDA-C4",$G73,$I73)),0)</f>
        <v>0.66700000000000004</v>
      </c>
      <c r="L525" s="220">
        <f>IF($B525&lt;=$C$392,IF(Datenblatt!$O$136="IDA-C3",$F73,IF(Datenblatt!$O$136="IDA-C4",$G73,$I73)),0)</f>
        <v>0.25</v>
      </c>
    </row>
    <row r="526" spans="1:12">
      <c r="A526" s="210">
        <f t="shared" si="267"/>
        <v>7</v>
      </c>
      <c r="B526" s="210">
        <v>6</v>
      </c>
      <c r="C526" s="217">
        <f t="shared" si="268"/>
        <v>132</v>
      </c>
      <c r="D526" s="210">
        <f t="shared" si="262"/>
        <v>0</v>
      </c>
      <c r="E526" s="215">
        <f t="shared" si="266"/>
        <v>0</v>
      </c>
      <c r="F526" s="210">
        <f t="shared" si="263"/>
        <v>0.2</v>
      </c>
      <c r="H526" s="210">
        <f t="shared" si="264"/>
        <v>0</v>
      </c>
      <c r="I526" s="210">
        <f t="shared" si="265"/>
        <v>0</v>
      </c>
      <c r="J526" s="220">
        <f>IF($B526&lt;=$C$392,IF(Datenblatt!$M$136="IDA-C3",$F74,IF(Datenblatt!$M$136="IDA-C4",$G74,$I74)),0)</f>
        <v>1</v>
      </c>
      <c r="K526" s="220">
        <f>IF($B526&lt;=$C$392,IF(Datenblatt!$N$136="IDA-C3",$F74,IF(Datenblatt!$N$136="IDA-C4",$G74,$I74)),0)</f>
        <v>0.66700000000000004</v>
      </c>
      <c r="L526" s="220">
        <f>IF($B526&lt;=$C$392,IF(Datenblatt!$O$136="IDA-C3",$F74,IF(Datenblatt!$O$136="IDA-C4",$G74,$I74)),0)</f>
        <v>0.25</v>
      </c>
    </row>
    <row r="527" spans="1:12">
      <c r="A527" s="210">
        <f t="shared" si="267"/>
        <v>7</v>
      </c>
      <c r="B527" s="210">
        <v>6</v>
      </c>
      <c r="C527" s="217">
        <f t="shared" si="268"/>
        <v>133</v>
      </c>
      <c r="D527" s="210">
        <f t="shared" si="262"/>
        <v>0.8</v>
      </c>
      <c r="E527" s="215">
        <f t="shared" si="266"/>
        <v>1</v>
      </c>
      <c r="F527" s="210">
        <f t="shared" si="263"/>
        <v>0.8</v>
      </c>
      <c r="H527" s="210">
        <f t="shared" si="264"/>
        <v>0</v>
      </c>
      <c r="I527" s="210">
        <f t="shared" si="265"/>
        <v>1</v>
      </c>
      <c r="J527" s="220">
        <f>IF($B527&lt;=$C$392,IF(Datenblatt!$M$136="IDA-C3",$F75,IF(Datenblatt!$M$136="IDA-C4",$G75,$I75)),0)</f>
        <v>1</v>
      </c>
      <c r="K527" s="220">
        <f>IF($B527&lt;=$C$392,IF(Datenblatt!$N$136="IDA-C3",$F75,IF(Datenblatt!$N$136="IDA-C4",$G75,$I75)),0)</f>
        <v>1</v>
      </c>
      <c r="L527" s="220">
        <f>IF($B527&lt;=$C$392,IF(Datenblatt!$O$136="IDA-C3",$F75,IF(Datenblatt!$O$136="IDA-C4",$G75,$I75)),0)</f>
        <v>0.8</v>
      </c>
    </row>
    <row r="528" spans="1:12">
      <c r="A528" s="210">
        <f t="shared" si="267"/>
        <v>7</v>
      </c>
      <c r="B528" s="210">
        <v>6</v>
      </c>
      <c r="C528" s="217">
        <f t="shared" si="268"/>
        <v>134</v>
      </c>
      <c r="D528" s="210">
        <f t="shared" si="262"/>
        <v>0.4</v>
      </c>
      <c r="E528" s="215">
        <f t="shared" si="266"/>
        <v>1</v>
      </c>
      <c r="F528" s="210">
        <f t="shared" si="263"/>
        <v>0.2</v>
      </c>
      <c r="H528" s="210">
        <f t="shared" si="264"/>
        <v>0</v>
      </c>
      <c r="I528" s="210">
        <f t="shared" si="265"/>
        <v>0</v>
      </c>
      <c r="J528" s="220">
        <f>IF($B528&lt;=$C$392,IF(Datenblatt!$M$136="IDA-C3",$F76,IF(Datenblatt!$M$136="IDA-C4",$G76,$I76)),0)</f>
        <v>1</v>
      </c>
      <c r="K528" s="220">
        <f>IF($B528&lt;=$C$392,IF(Datenblatt!$N$136="IDA-C3",$F76,IF(Datenblatt!$N$136="IDA-C4",$G76,$I76)),0)</f>
        <v>0.66700000000000004</v>
      </c>
      <c r="L528" s="220">
        <f>IF($B528&lt;=$C$392,IF(Datenblatt!$O$136="IDA-C3",$F76,IF(Datenblatt!$O$136="IDA-C4",$G76,$I76)),0)</f>
        <v>0.4</v>
      </c>
    </row>
    <row r="529" spans="1:12">
      <c r="A529" s="210">
        <f t="shared" si="267"/>
        <v>7</v>
      </c>
      <c r="B529" s="210">
        <v>6</v>
      </c>
      <c r="C529" s="217">
        <f t="shared" si="268"/>
        <v>135</v>
      </c>
      <c r="D529" s="210">
        <f t="shared" si="262"/>
        <v>0</v>
      </c>
      <c r="E529" s="215">
        <f t="shared" si="266"/>
        <v>0</v>
      </c>
      <c r="F529" s="210">
        <f t="shared" si="263"/>
        <v>0.2</v>
      </c>
      <c r="H529" s="210">
        <f t="shared" si="264"/>
        <v>0</v>
      </c>
      <c r="I529" s="210">
        <f t="shared" si="265"/>
        <v>0</v>
      </c>
      <c r="J529" s="220">
        <f>IF($B529&lt;=$C$392,IF(Datenblatt!$M$136="IDA-C3",$F77,IF(Datenblatt!$M$136="IDA-C4",$G77,$I77)),0)</f>
        <v>1</v>
      </c>
      <c r="K529" s="220">
        <f>IF($B529&lt;=$C$392,IF(Datenblatt!$N$136="IDA-C3",$F77,IF(Datenblatt!$N$136="IDA-C4",$G77,$I77)),0)</f>
        <v>0.66700000000000004</v>
      </c>
      <c r="L529" s="220">
        <f>IF($B529&lt;=$C$392,IF(Datenblatt!$O$136="IDA-C3",$F77,IF(Datenblatt!$O$136="IDA-C4",$G77,$I77)),0)</f>
        <v>0.25</v>
      </c>
    </row>
    <row r="530" spans="1:12">
      <c r="A530" s="210">
        <f t="shared" si="267"/>
        <v>7</v>
      </c>
      <c r="B530" s="210">
        <v>6</v>
      </c>
      <c r="C530" s="217">
        <f t="shared" si="268"/>
        <v>136</v>
      </c>
      <c r="D530" s="210">
        <f t="shared" si="262"/>
        <v>0</v>
      </c>
      <c r="E530" s="215">
        <f t="shared" si="266"/>
        <v>0</v>
      </c>
      <c r="F530" s="210">
        <f t="shared" si="263"/>
        <v>0.2</v>
      </c>
      <c r="H530" s="210">
        <f t="shared" si="264"/>
        <v>0</v>
      </c>
      <c r="I530" s="210">
        <f t="shared" si="265"/>
        <v>0</v>
      </c>
      <c r="J530" s="220">
        <f>IF($B530&lt;=$C$392,IF(Datenblatt!$M$136="IDA-C3",$F78,IF(Datenblatt!$M$136="IDA-C4",$G78,$I78)),0)</f>
        <v>1</v>
      </c>
      <c r="K530" s="220">
        <f>IF($B530&lt;=$C$392,IF(Datenblatt!$N$136="IDA-C3",$F78,IF(Datenblatt!$N$136="IDA-C4",$G78,$I78)),0)</f>
        <v>0.66700000000000004</v>
      </c>
      <c r="L530" s="220">
        <f>IF($B530&lt;=$C$392,IF(Datenblatt!$O$136="IDA-C3",$F78,IF(Datenblatt!$O$136="IDA-C4",$G78,$I78)),0)</f>
        <v>0.25</v>
      </c>
    </row>
    <row r="531" spans="1:12">
      <c r="A531" s="210">
        <f t="shared" si="267"/>
        <v>7</v>
      </c>
      <c r="B531" s="210">
        <v>6</v>
      </c>
      <c r="C531" s="217">
        <f t="shared" si="268"/>
        <v>137</v>
      </c>
      <c r="D531" s="210">
        <f t="shared" si="262"/>
        <v>0</v>
      </c>
      <c r="E531" s="215">
        <f t="shared" si="266"/>
        <v>0</v>
      </c>
      <c r="F531" s="210">
        <f t="shared" si="263"/>
        <v>0.2</v>
      </c>
      <c r="H531" s="210">
        <f t="shared" si="264"/>
        <v>0</v>
      </c>
      <c r="I531" s="210">
        <f t="shared" si="265"/>
        <v>0</v>
      </c>
      <c r="J531" s="220">
        <f>IF($B531&lt;=$C$392,IF(Datenblatt!$M$136="IDA-C3",$F79,IF(Datenblatt!$M$136="IDA-C4",$G79,$I79)),0)</f>
        <v>1</v>
      </c>
      <c r="K531" s="220">
        <f>IF($B531&lt;=$C$392,IF(Datenblatt!$N$136="IDA-C3",$F79,IF(Datenblatt!$N$136="IDA-C4",$G79,$I79)),0)</f>
        <v>0.66700000000000004</v>
      </c>
      <c r="L531" s="220">
        <f>IF($B531&lt;=$C$392,IF(Datenblatt!$O$136="IDA-C3",$F79,IF(Datenblatt!$O$136="IDA-C4",$G79,$I79)),0)</f>
        <v>0.25</v>
      </c>
    </row>
    <row r="532" spans="1:12">
      <c r="A532" s="210">
        <f t="shared" si="267"/>
        <v>7</v>
      </c>
      <c r="B532" s="210">
        <v>6</v>
      </c>
      <c r="C532" s="217">
        <f t="shared" si="268"/>
        <v>138</v>
      </c>
      <c r="D532" s="210">
        <f t="shared" si="262"/>
        <v>0.4</v>
      </c>
      <c r="E532" s="215">
        <f t="shared" si="266"/>
        <v>1</v>
      </c>
      <c r="F532" s="210">
        <f t="shared" si="263"/>
        <v>0.2</v>
      </c>
      <c r="H532" s="210">
        <f t="shared" si="264"/>
        <v>0</v>
      </c>
      <c r="I532" s="210">
        <f t="shared" si="265"/>
        <v>0</v>
      </c>
      <c r="J532" s="220">
        <f>IF($B532&lt;=$C$392,IF(Datenblatt!$M$136="IDA-C3",$F80,IF(Datenblatt!$M$136="IDA-C4",$G80,$I80)),0)</f>
        <v>1</v>
      </c>
      <c r="K532" s="220">
        <f>IF($B532&lt;=$C$392,IF(Datenblatt!$N$136="IDA-C3",$F80,IF(Datenblatt!$N$136="IDA-C4",$G80,$I80)),0)</f>
        <v>0.66700000000000004</v>
      </c>
      <c r="L532" s="220">
        <f>IF($B532&lt;=$C$392,IF(Datenblatt!$O$136="IDA-C3",$F80,IF(Datenblatt!$O$136="IDA-C4",$G80,$I80)),0)</f>
        <v>0.4</v>
      </c>
    </row>
    <row r="533" spans="1:12">
      <c r="A533" s="210">
        <f t="shared" si="267"/>
        <v>7</v>
      </c>
      <c r="B533" s="210">
        <v>6</v>
      </c>
      <c r="C533" s="217">
        <f t="shared" si="268"/>
        <v>139</v>
      </c>
      <c r="D533" s="210">
        <f t="shared" si="262"/>
        <v>0.8</v>
      </c>
      <c r="E533" s="215">
        <f t="shared" si="266"/>
        <v>1</v>
      </c>
      <c r="F533" s="210">
        <f t="shared" si="263"/>
        <v>0.8</v>
      </c>
      <c r="H533" s="210">
        <f t="shared" si="264"/>
        <v>0</v>
      </c>
      <c r="I533" s="210">
        <f t="shared" si="265"/>
        <v>1</v>
      </c>
      <c r="J533" s="220">
        <f>IF($B533&lt;=$C$392,IF(Datenblatt!$M$136="IDA-C3",$F81,IF(Datenblatt!$M$136="IDA-C4",$G81,$I81)),0)</f>
        <v>1</v>
      </c>
      <c r="K533" s="220">
        <f>IF($B533&lt;=$C$392,IF(Datenblatt!$N$136="IDA-C3",$F81,IF(Datenblatt!$N$136="IDA-C4",$G81,$I81)),0)</f>
        <v>1</v>
      </c>
      <c r="L533" s="220">
        <f>IF($B533&lt;=$C$392,IF(Datenblatt!$O$136="IDA-C3",$F81,IF(Datenblatt!$O$136="IDA-C4",$G81,$I81)),0)</f>
        <v>0.8</v>
      </c>
    </row>
    <row r="534" spans="1:12">
      <c r="A534" s="210">
        <f t="shared" si="267"/>
        <v>7</v>
      </c>
      <c r="B534" s="210">
        <v>6</v>
      </c>
      <c r="C534" s="217">
        <f t="shared" si="268"/>
        <v>140</v>
      </c>
      <c r="D534" s="210">
        <f t="shared" si="262"/>
        <v>0.8</v>
      </c>
      <c r="E534" s="215">
        <f t="shared" si="266"/>
        <v>1</v>
      </c>
      <c r="F534" s="210">
        <f t="shared" si="263"/>
        <v>1</v>
      </c>
      <c r="H534" s="210">
        <f t="shared" si="264"/>
        <v>1</v>
      </c>
      <c r="I534" s="210">
        <f t="shared" si="265"/>
        <v>1</v>
      </c>
      <c r="J534" s="220">
        <f>IF($B534&lt;=$C$392,IF(Datenblatt!$M$136="IDA-C3",$F82,IF(Datenblatt!$M$136="IDA-C4",$G82,$I82)),0)</f>
        <v>1</v>
      </c>
      <c r="K534" s="220">
        <f>IF($B534&lt;=$C$392,IF(Datenblatt!$N$136="IDA-C3",$F82,IF(Datenblatt!$N$136="IDA-C4",$G82,$I82)),0)</f>
        <v>1</v>
      </c>
      <c r="L534" s="220">
        <f>IF($B534&lt;=$C$392,IF(Datenblatt!$O$136="IDA-C3",$F82,IF(Datenblatt!$O$136="IDA-C4",$G82,$I82)),0)</f>
        <v>0.8</v>
      </c>
    </row>
    <row r="535" spans="1:12">
      <c r="A535" s="210">
        <f t="shared" si="267"/>
        <v>7</v>
      </c>
      <c r="B535" s="210">
        <v>6</v>
      </c>
      <c r="C535" s="217">
        <f t="shared" si="268"/>
        <v>141</v>
      </c>
      <c r="D535" s="210">
        <f t="shared" si="262"/>
        <v>0.8</v>
      </c>
      <c r="E535" s="215">
        <f t="shared" si="266"/>
        <v>1</v>
      </c>
      <c r="F535" s="210">
        <f t="shared" si="263"/>
        <v>0.2</v>
      </c>
      <c r="H535" s="210">
        <f t="shared" si="264"/>
        <v>1</v>
      </c>
      <c r="I535" s="210">
        <f t="shared" si="265"/>
        <v>1</v>
      </c>
      <c r="J535" s="220">
        <f>IF($B535&lt;=$C$392,IF(Datenblatt!$M$136="IDA-C3",$F83,IF(Datenblatt!$M$136="IDA-C4",$G83,$I83)),0)</f>
        <v>1</v>
      </c>
      <c r="K535" s="220">
        <f>IF($B535&lt;=$C$392,IF(Datenblatt!$N$136="IDA-C3",$F83,IF(Datenblatt!$N$136="IDA-C4",$G83,$I83)),0)</f>
        <v>1</v>
      </c>
      <c r="L535" s="220">
        <f>IF($B535&lt;=$C$392,IF(Datenblatt!$O$136="IDA-C3",$F83,IF(Datenblatt!$O$136="IDA-C4",$G83,$I83)),0)</f>
        <v>0.8</v>
      </c>
    </row>
    <row r="536" spans="1:12">
      <c r="A536" s="210">
        <f t="shared" si="267"/>
        <v>7</v>
      </c>
      <c r="B536" s="210">
        <v>6</v>
      </c>
      <c r="C536" s="217">
        <f t="shared" si="268"/>
        <v>142</v>
      </c>
      <c r="D536" s="210">
        <f t="shared" si="262"/>
        <v>1</v>
      </c>
      <c r="E536" s="215">
        <f t="shared" si="266"/>
        <v>1</v>
      </c>
      <c r="F536" s="210">
        <f t="shared" si="263"/>
        <v>0.2</v>
      </c>
      <c r="H536" s="210">
        <f t="shared" si="264"/>
        <v>1</v>
      </c>
      <c r="I536" s="210">
        <f t="shared" si="265"/>
        <v>1</v>
      </c>
      <c r="J536" s="220">
        <f>IF($B536&lt;=$C$392,IF(Datenblatt!$M$136="IDA-C3",$F84,IF(Datenblatt!$M$136="IDA-C4",$G84,$I84)),0)</f>
        <v>1</v>
      </c>
      <c r="K536" s="220">
        <f>IF($B536&lt;=$C$392,IF(Datenblatt!$N$136="IDA-C3",$F84,IF(Datenblatt!$N$136="IDA-C4",$G84,$I84)),0)</f>
        <v>1</v>
      </c>
      <c r="L536" s="220">
        <f>IF($B536&lt;=$C$392,IF(Datenblatt!$O$136="IDA-C3",$F84,IF(Datenblatt!$O$136="IDA-C4",$G84,$I84)),0)</f>
        <v>1</v>
      </c>
    </row>
    <row r="537" spans="1:12">
      <c r="A537" s="210">
        <f t="shared" si="267"/>
        <v>7</v>
      </c>
      <c r="B537" s="210">
        <v>6</v>
      </c>
      <c r="C537" s="217">
        <f t="shared" si="268"/>
        <v>143</v>
      </c>
      <c r="D537" s="210">
        <f t="shared" si="262"/>
        <v>1</v>
      </c>
      <c r="E537" s="215">
        <f t="shared" si="266"/>
        <v>1</v>
      </c>
      <c r="F537" s="210">
        <f t="shared" si="263"/>
        <v>0.2</v>
      </c>
      <c r="H537" s="210">
        <f t="shared" si="264"/>
        <v>0</v>
      </c>
      <c r="I537" s="210">
        <f t="shared" si="265"/>
        <v>0</v>
      </c>
      <c r="J537" s="220">
        <f>IF($B537&lt;=$C$392,IF(Datenblatt!$M$136="IDA-C3",$F85,IF(Datenblatt!$M$136="IDA-C4",$G85,$I85)),0)</f>
        <v>1</v>
      </c>
      <c r="K537" s="220">
        <f>IF($B537&lt;=$C$392,IF(Datenblatt!$N$136="IDA-C3",$F85,IF(Datenblatt!$N$136="IDA-C4",$G85,$I85)),0)</f>
        <v>1</v>
      </c>
      <c r="L537" s="220">
        <f>IF($B537&lt;=$C$392,IF(Datenblatt!$O$136="IDA-C3",$F85,IF(Datenblatt!$O$136="IDA-C4",$G85,$I85)),0)</f>
        <v>1</v>
      </c>
    </row>
    <row r="538" spans="1:12">
      <c r="A538" s="210">
        <f t="shared" si="267"/>
        <v>7</v>
      </c>
      <c r="B538" s="210">
        <v>6</v>
      </c>
      <c r="C538" s="217">
        <f t="shared" si="268"/>
        <v>144</v>
      </c>
      <c r="D538" s="210">
        <f t="shared" si="262"/>
        <v>1</v>
      </c>
      <c r="E538" s="215">
        <f t="shared" si="266"/>
        <v>1</v>
      </c>
      <c r="F538" s="210">
        <f t="shared" si="263"/>
        <v>0.2</v>
      </c>
      <c r="H538" s="210">
        <f t="shared" si="264"/>
        <v>0</v>
      </c>
      <c r="I538" s="210">
        <f t="shared" si="265"/>
        <v>0</v>
      </c>
      <c r="J538" s="220">
        <f>IF($B538&lt;=$C$392,IF(Datenblatt!$M$136="IDA-C3",$F86,IF(Datenblatt!$M$136="IDA-C4",$G86,$I86)),0)</f>
        <v>1</v>
      </c>
      <c r="K538" s="220">
        <f>IF($B538&lt;=$C$392,IF(Datenblatt!$N$136="IDA-C3",$F86,IF(Datenblatt!$N$136="IDA-C4",$G86,$I86)),0)</f>
        <v>1</v>
      </c>
      <c r="L538" s="220">
        <f>IF($B538&lt;=$C$392,IF(Datenblatt!$O$136="IDA-C3",$F86,IF(Datenblatt!$O$136="IDA-C4",$G86,$I86)),0)</f>
        <v>1</v>
      </c>
    </row>
    <row r="539" spans="1:12">
      <c r="A539" s="1567">
        <v>1</v>
      </c>
      <c r="B539" s="1567">
        <v>7</v>
      </c>
      <c r="C539" s="1568">
        <f t="shared" si="268"/>
        <v>145</v>
      </c>
      <c r="D539" s="1567">
        <f t="shared" ref="D539:D562" si="269">IF(B539&lt;=$C$392,B63,0)</f>
        <v>1</v>
      </c>
      <c r="E539" s="1569">
        <f t="shared" si="266"/>
        <v>1</v>
      </c>
      <c r="F539" s="1567">
        <f t="shared" ref="F539:F562" si="270">MAX(IF(B539&lt;=$C$392,D63,0),G$392)</f>
        <v>0.2</v>
      </c>
      <c r="G539" s="1567"/>
      <c r="H539" s="1567">
        <f t="shared" ref="H539:H562" si="271">IF(B539&lt;=$C$392,T63,0)</f>
        <v>0</v>
      </c>
      <c r="I539" s="210">
        <f t="shared" ref="I539:I562" si="272">IF(B539&lt;=$C$392,V63,0)</f>
        <v>0</v>
      </c>
      <c r="J539" s="1570">
        <f>IF($B539&lt;=$C$392,IF(Datenblatt!$M$136="IDA-C3",$F63,IF(Datenblatt!$M$136="IDA-C4",$G63,$I63)),0)</f>
        <v>1</v>
      </c>
      <c r="K539" s="1570">
        <f>IF($B539&lt;=$C$392,IF(Datenblatt!$N$136="IDA-C3",$F63,IF(Datenblatt!$N$136="IDA-C4",$G63,$I63)),0)</f>
        <v>1</v>
      </c>
      <c r="L539" s="1570">
        <f>IF($B539&lt;=$C$392,IF(Datenblatt!$O$136="IDA-C3",$F63,IF(Datenblatt!$O$136="IDA-C4",$G63,$I63)),0)</f>
        <v>1</v>
      </c>
    </row>
    <row r="540" spans="1:12">
      <c r="A540" s="210">
        <v>1</v>
      </c>
      <c r="B540" s="210">
        <v>7</v>
      </c>
      <c r="C540" s="217">
        <f t="shared" si="268"/>
        <v>146</v>
      </c>
      <c r="D540" s="210">
        <f t="shared" si="269"/>
        <v>1</v>
      </c>
      <c r="E540" s="215">
        <f t="shared" si="266"/>
        <v>1</v>
      </c>
      <c r="F540" s="210">
        <f t="shared" si="270"/>
        <v>0.2</v>
      </c>
      <c r="H540" s="210">
        <f t="shared" si="271"/>
        <v>0</v>
      </c>
      <c r="I540" s="210">
        <f t="shared" si="272"/>
        <v>0</v>
      </c>
      <c r="J540" s="220">
        <f>IF($B540&lt;=$C$392,IF(Datenblatt!$M$136="IDA-C3",$F64,IF(Datenblatt!$M$136="IDA-C4",$G64,$I64)),0)</f>
        <v>1</v>
      </c>
      <c r="K540" s="220">
        <f>IF($B540&lt;=$C$392,IF(Datenblatt!$N$136="IDA-C3",$F64,IF(Datenblatt!$N$136="IDA-C4",$G64,$I64)),0)</f>
        <v>1</v>
      </c>
      <c r="L540" s="220">
        <f>IF($B540&lt;=$C$392,IF(Datenblatt!$O$136="IDA-C3",$F64,IF(Datenblatt!$O$136="IDA-C4",$G64,$I64)),0)</f>
        <v>1</v>
      </c>
    </row>
    <row r="541" spans="1:12">
      <c r="A541" s="210">
        <v>1</v>
      </c>
      <c r="B541" s="210">
        <v>7</v>
      </c>
      <c r="C541" s="217">
        <f t="shared" si="268"/>
        <v>147</v>
      </c>
      <c r="D541" s="210">
        <f t="shared" si="269"/>
        <v>1</v>
      </c>
      <c r="E541" s="215">
        <f t="shared" si="266"/>
        <v>1</v>
      </c>
      <c r="F541" s="210">
        <f t="shared" si="270"/>
        <v>0.2</v>
      </c>
      <c r="H541" s="210">
        <f t="shared" si="271"/>
        <v>0</v>
      </c>
      <c r="I541" s="210">
        <f t="shared" si="272"/>
        <v>0</v>
      </c>
      <c r="J541" s="220">
        <f>IF($B541&lt;=$C$392,IF(Datenblatt!$M$136="IDA-C3",$F65,IF(Datenblatt!$M$136="IDA-C4",$G65,$I65)),0)</f>
        <v>1</v>
      </c>
      <c r="K541" s="220">
        <f>IF($B541&lt;=$C$392,IF(Datenblatt!$N$136="IDA-C3",$F65,IF(Datenblatt!$N$136="IDA-C4",$G65,$I65)),0)</f>
        <v>1</v>
      </c>
      <c r="L541" s="220">
        <f>IF($B541&lt;=$C$392,IF(Datenblatt!$O$136="IDA-C3",$F65,IF(Datenblatt!$O$136="IDA-C4",$G65,$I65)),0)</f>
        <v>1</v>
      </c>
    </row>
    <row r="542" spans="1:12">
      <c r="A542" s="210">
        <v>1</v>
      </c>
      <c r="B542" s="210">
        <v>7</v>
      </c>
      <c r="C542" s="217">
        <f t="shared" si="268"/>
        <v>148</v>
      </c>
      <c r="D542" s="210">
        <f t="shared" si="269"/>
        <v>1</v>
      </c>
      <c r="E542" s="215">
        <f t="shared" si="266"/>
        <v>1</v>
      </c>
      <c r="F542" s="210">
        <f t="shared" si="270"/>
        <v>0.2</v>
      </c>
      <c r="H542" s="210">
        <f t="shared" si="271"/>
        <v>0</v>
      </c>
      <c r="I542" s="210">
        <f t="shared" si="272"/>
        <v>0</v>
      </c>
      <c r="J542" s="220">
        <f>IF($B542&lt;=$C$392,IF(Datenblatt!$M$136="IDA-C3",$F66,IF(Datenblatt!$M$136="IDA-C4",$G66,$I66)),0)</f>
        <v>1</v>
      </c>
      <c r="K542" s="220">
        <f>IF($B542&lt;=$C$392,IF(Datenblatt!$N$136="IDA-C3",$F66,IF(Datenblatt!$N$136="IDA-C4",$G66,$I66)),0)</f>
        <v>1</v>
      </c>
      <c r="L542" s="220">
        <f>IF($B542&lt;=$C$392,IF(Datenblatt!$O$136="IDA-C3",$F66,IF(Datenblatt!$O$136="IDA-C4",$G66,$I66)),0)</f>
        <v>1</v>
      </c>
    </row>
    <row r="543" spans="1:12">
      <c r="A543" s="210">
        <v>1</v>
      </c>
      <c r="B543" s="210">
        <v>7</v>
      </c>
      <c r="C543" s="217">
        <f t="shared" si="268"/>
        <v>149</v>
      </c>
      <c r="D543" s="210">
        <f t="shared" si="269"/>
        <v>1</v>
      </c>
      <c r="E543" s="215">
        <f t="shared" si="266"/>
        <v>1</v>
      </c>
      <c r="F543" s="210">
        <f t="shared" si="270"/>
        <v>0.2</v>
      </c>
      <c r="H543" s="210">
        <f t="shared" si="271"/>
        <v>0</v>
      </c>
      <c r="I543" s="210">
        <f t="shared" si="272"/>
        <v>0</v>
      </c>
      <c r="J543" s="220">
        <f>IF($B543&lt;=$C$392,IF(Datenblatt!$M$136="IDA-C3",$F67,IF(Datenblatt!$M$136="IDA-C4",$G67,$I67)),0)</f>
        <v>1</v>
      </c>
      <c r="K543" s="220">
        <f>IF($B543&lt;=$C$392,IF(Datenblatt!$N$136="IDA-C3",$F67,IF(Datenblatt!$N$136="IDA-C4",$G67,$I67)),0)</f>
        <v>1</v>
      </c>
      <c r="L543" s="220">
        <f>IF($B543&lt;=$C$392,IF(Datenblatt!$O$136="IDA-C3",$F67,IF(Datenblatt!$O$136="IDA-C4",$G67,$I67)),0)</f>
        <v>1</v>
      </c>
    </row>
    <row r="544" spans="1:12">
      <c r="A544" s="210">
        <v>1</v>
      </c>
      <c r="B544" s="210">
        <v>7</v>
      </c>
      <c r="C544" s="217">
        <f t="shared" si="268"/>
        <v>150</v>
      </c>
      <c r="D544" s="210">
        <f t="shared" si="269"/>
        <v>1</v>
      </c>
      <c r="E544" s="215">
        <f t="shared" si="266"/>
        <v>1</v>
      </c>
      <c r="F544" s="210">
        <f t="shared" si="270"/>
        <v>0.2</v>
      </c>
      <c r="H544" s="210">
        <f t="shared" si="271"/>
        <v>0</v>
      </c>
      <c r="I544" s="210">
        <f t="shared" si="272"/>
        <v>0</v>
      </c>
      <c r="J544" s="220">
        <f>IF($B544&lt;=$C$392,IF(Datenblatt!$M$136="IDA-C3",$F68,IF(Datenblatt!$M$136="IDA-C4",$G68,$I68)),0)</f>
        <v>1</v>
      </c>
      <c r="K544" s="220">
        <f>IF($B544&lt;=$C$392,IF(Datenblatt!$N$136="IDA-C3",$F68,IF(Datenblatt!$N$136="IDA-C4",$G68,$I68)),0)</f>
        <v>1</v>
      </c>
      <c r="L544" s="220">
        <f>IF($B544&lt;=$C$392,IF(Datenblatt!$O$136="IDA-C3",$F68,IF(Datenblatt!$O$136="IDA-C4",$G68,$I68)),0)</f>
        <v>1</v>
      </c>
    </row>
    <row r="545" spans="1:12">
      <c r="A545" s="210">
        <v>1</v>
      </c>
      <c r="B545" s="210">
        <v>7</v>
      </c>
      <c r="C545" s="217">
        <f t="shared" si="268"/>
        <v>151</v>
      </c>
      <c r="D545" s="210">
        <f t="shared" si="269"/>
        <v>0.6</v>
      </c>
      <c r="E545" s="215">
        <f t="shared" si="266"/>
        <v>1</v>
      </c>
      <c r="F545" s="210">
        <f t="shared" si="270"/>
        <v>0.8</v>
      </c>
      <c r="H545" s="210">
        <f t="shared" si="271"/>
        <v>0</v>
      </c>
      <c r="I545" s="210">
        <f t="shared" si="272"/>
        <v>1</v>
      </c>
      <c r="J545" s="220">
        <f>IF($B545&lt;=$C$392,IF(Datenblatt!$M$136="IDA-C3",$F69,IF(Datenblatt!$M$136="IDA-C4",$G69,$I69)),0)</f>
        <v>1</v>
      </c>
      <c r="K545" s="220">
        <f>IF($B545&lt;=$C$392,IF(Datenblatt!$N$136="IDA-C3",$F69,IF(Datenblatt!$N$136="IDA-C4",$G69,$I69)),0)</f>
        <v>1</v>
      </c>
      <c r="L545" s="220">
        <f>IF($B545&lt;=$C$392,IF(Datenblatt!$O$136="IDA-C3",$F69,IF(Datenblatt!$O$136="IDA-C4",$G69,$I69)),0)</f>
        <v>0.6</v>
      </c>
    </row>
    <row r="546" spans="1:12">
      <c r="A546" s="210">
        <v>1</v>
      </c>
      <c r="B546" s="210">
        <v>7</v>
      </c>
      <c r="C546" s="217">
        <f t="shared" si="268"/>
        <v>152</v>
      </c>
      <c r="D546" s="210">
        <f t="shared" si="269"/>
        <v>0.4</v>
      </c>
      <c r="E546" s="215">
        <f t="shared" si="266"/>
        <v>1</v>
      </c>
      <c r="F546" s="210">
        <f t="shared" si="270"/>
        <v>0.2</v>
      </c>
      <c r="H546" s="210">
        <f t="shared" si="271"/>
        <v>0</v>
      </c>
      <c r="I546" s="210">
        <f t="shared" si="272"/>
        <v>1</v>
      </c>
      <c r="J546" s="220">
        <f>IF($B546&lt;=$C$392,IF(Datenblatt!$M$136="IDA-C3",$F70,IF(Datenblatt!$M$136="IDA-C4",$G70,$I70)),0)</f>
        <v>1</v>
      </c>
      <c r="K546" s="220">
        <f>IF($B546&lt;=$C$392,IF(Datenblatt!$N$136="IDA-C3",$F70,IF(Datenblatt!$N$136="IDA-C4",$G70,$I70)),0)</f>
        <v>0.66700000000000004</v>
      </c>
      <c r="L546" s="220">
        <f>IF($B546&lt;=$C$392,IF(Datenblatt!$O$136="IDA-C3",$F70,IF(Datenblatt!$O$136="IDA-C4",$G70,$I70)),0)</f>
        <v>0.4</v>
      </c>
    </row>
    <row r="547" spans="1:12">
      <c r="A547" s="210">
        <v>1</v>
      </c>
      <c r="B547" s="210">
        <v>7</v>
      </c>
      <c r="C547" s="217">
        <f t="shared" si="268"/>
        <v>153</v>
      </c>
      <c r="D547" s="210">
        <f t="shared" si="269"/>
        <v>0</v>
      </c>
      <c r="E547" s="215">
        <f t="shared" si="266"/>
        <v>0</v>
      </c>
      <c r="F547" s="210">
        <f t="shared" si="270"/>
        <v>0.2</v>
      </c>
      <c r="H547" s="210">
        <f t="shared" si="271"/>
        <v>0</v>
      </c>
      <c r="I547" s="210">
        <f t="shared" si="272"/>
        <v>0</v>
      </c>
      <c r="J547" s="220">
        <f>IF($B547&lt;=$C$392,IF(Datenblatt!$M$136="IDA-C3",$F71,IF(Datenblatt!$M$136="IDA-C4",$G71,$I71)),0)</f>
        <v>1</v>
      </c>
      <c r="K547" s="220">
        <f>IF($B547&lt;=$C$392,IF(Datenblatt!$N$136="IDA-C3",$F71,IF(Datenblatt!$N$136="IDA-C4",$G71,$I71)),0)</f>
        <v>0.66700000000000004</v>
      </c>
      <c r="L547" s="220">
        <f>IF($B547&lt;=$C$392,IF(Datenblatt!$O$136="IDA-C3",$F71,IF(Datenblatt!$O$136="IDA-C4",$G71,$I71)),0)</f>
        <v>0.25</v>
      </c>
    </row>
    <row r="548" spans="1:12">
      <c r="A548" s="210">
        <v>1</v>
      </c>
      <c r="B548" s="210">
        <v>7</v>
      </c>
      <c r="C548" s="217">
        <f t="shared" si="268"/>
        <v>154</v>
      </c>
      <c r="D548" s="210">
        <f t="shared" si="269"/>
        <v>0</v>
      </c>
      <c r="E548" s="215">
        <f t="shared" si="266"/>
        <v>0</v>
      </c>
      <c r="F548" s="210">
        <f t="shared" si="270"/>
        <v>0.2</v>
      </c>
      <c r="H548" s="210">
        <f t="shared" si="271"/>
        <v>0</v>
      </c>
      <c r="I548" s="210">
        <f t="shared" si="272"/>
        <v>0</v>
      </c>
      <c r="J548" s="220">
        <f>IF($B548&lt;=$C$392,IF(Datenblatt!$M$136="IDA-C3",$F72,IF(Datenblatt!$M$136="IDA-C4",$G72,$I72)),0)</f>
        <v>1</v>
      </c>
      <c r="K548" s="220">
        <f>IF($B548&lt;=$C$392,IF(Datenblatt!$N$136="IDA-C3",$F72,IF(Datenblatt!$N$136="IDA-C4",$G72,$I72)),0)</f>
        <v>0.66700000000000004</v>
      </c>
      <c r="L548" s="220">
        <f>IF($B548&lt;=$C$392,IF(Datenblatt!$O$136="IDA-C3",$F72,IF(Datenblatt!$O$136="IDA-C4",$G72,$I72)),0)</f>
        <v>0.25</v>
      </c>
    </row>
    <row r="549" spans="1:12">
      <c r="A549" s="210">
        <v>1</v>
      </c>
      <c r="B549" s="210">
        <v>7</v>
      </c>
      <c r="C549" s="217">
        <f t="shared" si="268"/>
        <v>155</v>
      </c>
      <c r="D549" s="210">
        <f t="shared" si="269"/>
        <v>0</v>
      </c>
      <c r="E549" s="215">
        <f t="shared" si="266"/>
        <v>0</v>
      </c>
      <c r="F549" s="210">
        <f t="shared" si="270"/>
        <v>0.2</v>
      </c>
      <c r="H549" s="210">
        <f t="shared" si="271"/>
        <v>0</v>
      </c>
      <c r="I549" s="210">
        <f t="shared" si="272"/>
        <v>0</v>
      </c>
      <c r="J549" s="220">
        <f>IF($B549&lt;=$C$392,IF(Datenblatt!$M$136="IDA-C3",$F73,IF(Datenblatt!$M$136="IDA-C4",$G73,$I73)),0)</f>
        <v>1</v>
      </c>
      <c r="K549" s="220">
        <f>IF($B549&lt;=$C$392,IF(Datenblatt!$N$136="IDA-C3",$F73,IF(Datenblatt!$N$136="IDA-C4",$G73,$I73)),0)</f>
        <v>0.66700000000000004</v>
      </c>
      <c r="L549" s="220">
        <f>IF($B549&lt;=$C$392,IF(Datenblatt!$O$136="IDA-C3",$F73,IF(Datenblatt!$O$136="IDA-C4",$G73,$I73)),0)</f>
        <v>0.25</v>
      </c>
    </row>
    <row r="550" spans="1:12">
      <c r="A550" s="210">
        <v>1</v>
      </c>
      <c r="B550" s="210">
        <v>7</v>
      </c>
      <c r="C550" s="217">
        <f t="shared" si="268"/>
        <v>156</v>
      </c>
      <c r="D550" s="210">
        <f t="shared" si="269"/>
        <v>0</v>
      </c>
      <c r="E550" s="215">
        <f t="shared" si="266"/>
        <v>0</v>
      </c>
      <c r="F550" s="210">
        <f t="shared" si="270"/>
        <v>0.2</v>
      </c>
      <c r="H550" s="210">
        <f t="shared" si="271"/>
        <v>0</v>
      </c>
      <c r="I550" s="210">
        <f t="shared" si="272"/>
        <v>0</v>
      </c>
      <c r="J550" s="220">
        <f>IF($B550&lt;=$C$392,IF(Datenblatt!$M$136="IDA-C3",$F74,IF(Datenblatt!$M$136="IDA-C4",$G74,$I74)),0)</f>
        <v>1</v>
      </c>
      <c r="K550" s="220">
        <f>IF($B550&lt;=$C$392,IF(Datenblatt!$N$136="IDA-C3",$F74,IF(Datenblatt!$N$136="IDA-C4",$G74,$I74)),0)</f>
        <v>0.66700000000000004</v>
      </c>
      <c r="L550" s="220">
        <f>IF($B550&lt;=$C$392,IF(Datenblatt!$O$136="IDA-C3",$F74,IF(Datenblatt!$O$136="IDA-C4",$G74,$I74)),0)</f>
        <v>0.25</v>
      </c>
    </row>
    <row r="551" spans="1:12">
      <c r="A551" s="210">
        <v>1</v>
      </c>
      <c r="B551" s="210">
        <v>7</v>
      </c>
      <c r="C551" s="217">
        <f t="shared" si="268"/>
        <v>157</v>
      </c>
      <c r="D551" s="210">
        <f t="shared" si="269"/>
        <v>0.8</v>
      </c>
      <c r="E551" s="215">
        <f t="shared" si="266"/>
        <v>1</v>
      </c>
      <c r="F551" s="210">
        <f t="shared" si="270"/>
        <v>0.8</v>
      </c>
      <c r="H551" s="210">
        <f t="shared" si="271"/>
        <v>0</v>
      </c>
      <c r="I551" s="210">
        <f t="shared" si="272"/>
        <v>1</v>
      </c>
      <c r="J551" s="220">
        <f>IF($B551&lt;=$C$392,IF(Datenblatt!$M$136="IDA-C3",$F75,IF(Datenblatt!$M$136="IDA-C4",$G75,$I75)),0)</f>
        <v>1</v>
      </c>
      <c r="K551" s="220">
        <f>IF($B551&lt;=$C$392,IF(Datenblatt!$N$136="IDA-C3",$F75,IF(Datenblatt!$N$136="IDA-C4",$G75,$I75)),0)</f>
        <v>1</v>
      </c>
      <c r="L551" s="220">
        <f>IF($B551&lt;=$C$392,IF(Datenblatt!$O$136="IDA-C3",$F75,IF(Datenblatt!$O$136="IDA-C4",$G75,$I75)),0)</f>
        <v>0.8</v>
      </c>
    </row>
    <row r="552" spans="1:12">
      <c r="A552" s="210">
        <v>1</v>
      </c>
      <c r="B552" s="210">
        <v>7</v>
      </c>
      <c r="C552" s="217">
        <f t="shared" si="268"/>
        <v>158</v>
      </c>
      <c r="D552" s="210">
        <f t="shared" si="269"/>
        <v>0.4</v>
      </c>
      <c r="E552" s="215">
        <f t="shared" si="266"/>
        <v>1</v>
      </c>
      <c r="F552" s="210">
        <f t="shared" si="270"/>
        <v>0.2</v>
      </c>
      <c r="H552" s="210">
        <f t="shared" si="271"/>
        <v>0</v>
      </c>
      <c r="I552" s="210">
        <f t="shared" si="272"/>
        <v>0</v>
      </c>
      <c r="J552" s="220">
        <f>IF($B552&lt;=$C$392,IF(Datenblatt!$M$136="IDA-C3",$F76,IF(Datenblatt!$M$136="IDA-C4",$G76,$I76)),0)</f>
        <v>1</v>
      </c>
      <c r="K552" s="220">
        <f>IF($B552&lt;=$C$392,IF(Datenblatt!$N$136="IDA-C3",$F76,IF(Datenblatt!$N$136="IDA-C4",$G76,$I76)),0)</f>
        <v>0.66700000000000004</v>
      </c>
      <c r="L552" s="220">
        <f>IF($B552&lt;=$C$392,IF(Datenblatt!$O$136="IDA-C3",$F76,IF(Datenblatt!$O$136="IDA-C4",$G76,$I76)),0)</f>
        <v>0.4</v>
      </c>
    </row>
    <row r="553" spans="1:12">
      <c r="A553" s="210">
        <v>1</v>
      </c>
      <c r="B553" s="210">
        <v>7</v>
      </c>
      <c r="C553" s="217">
        <f t="shared" si="268"/>
        <v>159</v>
      </c>
      <c r="D553" s="210">
        <f t="shared" si="269"/>
        <v>0</v>
      </c>
      <c r="E553" s="215">
        <f t="shared" si="266"/>
        <v>0</v>
      </c>
      <c r="F553" s="210">
        <f t="shared" si="270"/>
        <v>0.2</v>
      </c>
      <c r="H553" s="210">
        <f t="shared" si="271"/>
        <v>0</v>
      </c>
      <c r="I553" s="210">
        <f t="shared" si="272"/>
        <v>0</v>
      </c>
      <c r="J553" s="220">
        <f>IF($B553&lt;=$C$392,IF(Datenblatt!$M$136="IDA-C3",$F77,IF(Datenblatt!$M$136="IDA-C4",$G77,$I77)),0)</f>
        <v>1</v>
      </c>
      <c r="K553" s="220">
        <f>IF($B553&lt;=$C$392,IF(Datenblatt!$N$136="IDA-C3",$F77,IF(Datenblatt!$N$136="IDA-C4",$G77,$I77)),0)</f>
        <v>0.66700000000000004</v>
      </c>
      <c r="L553" s="220">
        <f>IF($B553&lt;=$C$392,IF(Datenblatt!$O$136="IDA-C3",$F77,IF(Datenblatt!$O$136="IDA-C4",$G77,$I77)),0)</f>
        <v>0.25</v>
      </c>
    </row>
    <row r="554" spans="1:12">
      <c r="A554" s="210">
        <v>1</v>
      </c>
      <c r="B554" s="210">
        <v>7</v>
      </c>
      <c r="C554" s="217">
        <f t="shared" si="268"/>
        <v>160</v>
      </c>
      <c r="D554" s="210">
        <f t="shared" si="269"/>
        <v>0</v>
      </c>
      <c r="E554" s="215">
        <f t="shared" si="266"/>
        <v>0</v>
      </c>
      <c r="F554" s="210">
        <f t="shared" si="270"/>
        <v>0.2</v>
      </c>
      <c r="H554" s="210">
        <f t="shared" si="271"/>
        <v>0</v>
      </c>
      <c r="I554" s="210">
        <f t="shared" si="272"/>
        <v>0</v>
      </c>
      <c r="J554" s="220">
        <f>IF($B554&lt;=$C$392,IF(Datenblatt!$M$136="IDA-C3",$F78,IF(Datenblatt!$M$136="IDA-C4",$G78,$I78)),0)</f>
        <v>1</v>
      </c>
      <c r="K554" s="220">
        <f>IF($B554&lt;=$C$392,IF(Datenblatt!$N$136="IDA-C3",$F78,IF(Datenblatt!$N$136="IDA-C4",$G78,$I78)),0)</f>
        <v>0.66700000000000004</v>
      </c>
      <c r="L554" s="220">
        <f>IF($B554&lt;=$C$392,IF(Datenblatt!$O$136="IDA-C3",$F78,IF(Datenblatt!$O$136="IDA-C4",$G78,$I78)),0)</f>
        <v>0.25</v>
      </c>
    </row>
    <row r="555" spans="1:12">
      <c r="A555" s="210">
        <v>1</v>
      </c>
      <c r="B555" s="210">
        <v>7</v>
      </c>
      <c r="C555" s="217">
        <f t="shared" si="268"/>
        <v>161</v>
      </c>
      <c r="D555" s="210">
        <f t="shared" si="269"/>
        <v>0</v>
      </c>
      <c r="E555" s="215">
        <f t="shared" si="266"/>
        <v>0</v>
      </c>
      <c r="F555" s="210">
        <f t="shared" si="270"/>
        <v>0.2</v>
      </c>
      <c r="H555" s="210">
        <f t="shared" si="271"/>
        <v>0</v>
      </c>
      <c r="I555" s="210">
        <f t="shared" si="272"/>
        <v>0</v>
      </c>
      <c r="J555" s="220">
        <f>IF($B555&lt;=$C$392,IF(Datenblatt!$M$136="IDA-C3",$F79,IF(Datenblatt!$M$136="IDA-C4",$G79,$I79)),0)</f>
        <v>1</v>
      </c>
      <c r="K555" s="220">
        <f>IF($B555&lt;=$C$392,IF(Datenblatt!$N$136="IDA-C3",$F79,IF(Datenblatt!$N$136="IDA-C4",$G79,$I79)),0)</f>
        <v>0.66700000000000004</v>
      </c>
      <c r="L555" s="220">
        <f>IF($B555&lt;=$C$392,IF(Datenblatt!$O$136="IDA-C3",$F79,IF(Datenblatt!$O$136="IDA-C4",$G79,$I79)),0)</f>
        <v>0.25</v>
      </c>
    </row>
    <row r="556" spans="1:12">
      <c r="A556" s="210">
        <v>1</v>
      </c>
      <c r="B556" s="210">
        <v>7</v>
      </c>
      <c r="C556" s="217">
        <f t="shared" si="268"/>
        <v>162</v>
      </c>
      <c r="D556" s="210">
        <f t="shared" si="269"/>
        <v>0.4</v>
      </c>
      <c r="E556" s="215">
        <f t="shared" si="266"/>
        <v>1</v>
      </c>
      <c r="F556" s="210">
        <f t="shared" si="270"/>
        <v>0.2</v>
      </c>
      <c r="H556" s="210">
        <f t="shared" si="271"/>
        <v>0</v>
      </c>
      <c r="I556" s="210">
        <f t="shared" si="272"/>
        <v>0</v>
      </c>
      <c r="J556" s="220">
        <f>IF($B556&lt;=$C$392,IF(Datenblatt!$M$136="IDA-C3",$F80,IF(Datenblatt!$M$136="IDA-C4",$G80,$I80)),0)</f>
        <v>1</v>
      </c>
      <c r="K556" s="220">
        <f>IF($B556&lt;=$C$392,IF(Datenblatt!$N$136="IDA-C3",$F80,IF(Datenblatt!$N$136="IDA-C4",$G80,$I80)),0)</f>
        <v>0.66700000000000004</v>
      </c>
      <c r="L556" s="220">
        <f>IF($B556&lt;=$C$392,IF(Datenblatt!$O$136="IDA-C3",$F80,IF(Datenblatt!$O$136="IDA-C4",$G80,$I80)),0)</f>
        <v>0.4</v>
      </c>
    </row>
    <row r="557" spans="1:12">
      <c r="A557" s="210">
        <v>1</v>
      </c>
      <c r="B557" s="210">
        <v>7</v>
      </c>
      <c r="C557" s="217">
        <f t="shared" si="268"/>
        <v>163</v>
      </c>
      <c r="D557" s="210">
        <f t="shared" si="269"/>
        <v>0.8</v>
      </c>
      <c r="E557" s="215">
        <f t="shared" si="266"/>
        <v>1</v>
      </c>
      <c r="F557" s="210">
        <f t="shared" si="270"/>
        <v>0.8</v>
      </c>
      <c r="H557" s="210">
        <f t="shared" si="271"/>
        <v>0</v>
      </c>
      <c r="I557" s="210">
        <f t="shared" si="272"/>
        <v>1</v>
      </c>
      <c r="J557" s="220">
        <f>IF($B557&lt;=$C$392,IF(Datenblatt!$M$136="IDA-C3",$F81,IF(Datenblatt!$M$136="IDA-C4",$G81,$I81)),0)</f>
        <v>1</v>
      </c>
      <c r="K557" s="220">
        <f>IF($B557&lt;=$C$392,IF(Datenblatt!$N$136="IDA-C3",$F81,IF(Datenblatt!$N$136="IDA-C4",$G81,$I81)),0)</f>
        <v>1</v>
      </c>
      <c r="L557" s="220">
        <f>IF($B557&lt;=$C$392,IF(Datenblatt!$O$136="IDA-C3",$F81,IF(Datenblatt!$O$136="IDA-C4",$G81,$I81)),0)</f>
        <v>0.8</v>
      </c>
    </row>
    <row r="558" spans="1:12">
      <c r="A558" s="210">
        <v>1</v>
      </c>
      <c r="B558" s="210">
        <v>7</v>
      </c>
      <c r="C558" s="217">
        <f t="shared" si="268"/>
        <v>164</v>
      </c>
      <c r="D558" s="210">
        <f t="shared" si="269"/>
        <v>0.8</v>
      </c>
      <c r="E558" s="215">
        <f t="shared" si="266"/>
        <v>1</v>
      </c>
      <c r="F558" s="210">
        <f t="shared" si="270"/>
        <v>1</v>
      </c>
      <c r="H558" s="210">
        <f t="shared" si="271"/>
        <v>1</v>
      </c>
      <c r="I558" s="210">
        <f t="shared" si="272"/>
        <v>1</v>
      </c>
      <c r="J558" s="220">
        <f>IF($B558&lt;=$C$392,IF(Datenblatt!$M$136="IDA-C3",$F82,IF(Datenblatt!$M$136="IDA-C4",$G82,$I82)),0)</f>
        <v>1</v>
      </c>
      <c r="K558" s="220">
        <f>IF($B558&lt;=$C$392,IF(Datenblatt!$N$136="IDA-C3",$F82,IF(Datenblatt!$N$136="IDA-C4",$G82,$I82)),0)</f>
        <v>1</v>
      </c>
      <c r="L558" s="220">
        <f>IF($B558&lt;=$C$392,IF(Datenblatt!$O$136="IDA-C3",$F82,IF(Datenblatt!$O$136="IDA-C4",$G82,$I82)),0)</f>
        <v>0.8</v>
      </c>
    </row>
    <row r="559" spans="1:12">
      <c r="A559" s="210">
        <v>1</v>
      </c>
      <c r="B559" s="210">
        <v>7</v>
      </c>
      <c r="C559" s="217">
        <f t="shared" si="268"/>
        <v>165</v>
      </c>
      <c r="D559" s="210">
        <f t="shared" si="269"/>
        <v>0.8</v>
      </c>
      <c r="E559" s="215">
        <f t="shared" si="266"/>
        <v>1</v>
      </c>
      <c r="F559" s="210">
        <f t="shared" si="270"/>
        <v>0.2</v>
      </c>
      <c r="H559" s="210">
        <f t="shared" si="271"/>
        <v>1</v>
      </c>
      <c r="I559" s="210">
        <f t="shared" si="272"/>
        <v>1</v>
      </c>
      <c r="J559" s="220">
        <f>IF($B559&lt;=$C$392,IF(Datenblatt!$M$136="IDA-C3",$F83,IF(Datenblatt!$M$136="IDA-C4",$G83,$I83)),0)</f>
        <v>1</v>
      </c>
      <c r="K559" s="220">
        <f>IF($B559&lt;=$C$392,IF(Datenblatt!$N$136="IDA-C3",$F83,IF(Datenblatt!$N$136="IDA-C4",$G83,$I83)),0)</f>
        <v>1</v>
      </c>
      <c r="L559" s="220">
        <f>IF($B559&lt;=$C$392,IF(Datenblatt!$O$136="IDA-C3",$F83,IF(Datenblatt!$O$136="IDA-C4",$G83,$I83)),0)</f>
        <v>0.8</v>
      </c>
    </row>
    <row r="560" spans="1:12">
      <c r="A560" s="210">
        <v>1</v>
      </c>
      <c r="B560" s="210">
        <v>7</v>
      </c>
      <c r="C560" s="217">
        <f t="shared" si="268"/>
        <v>166</v>
      </c>
      <c r="D560" s="210">
        <f t="shared" si="269"/>
        <v>1</v>
      </c>
      <c r="E560" s="215">
        <f t="shared" si="266"/>
        <v>1</v>
      </c>
      <c r="F560" s="210">
        <f t="shared" si="270"/>
        <v>0.2</v>
      </c>
      <c r="H560" s="210">
        <f t="shared" si="271"/>
        <v>1</v>
      </c>
      <c r="I560" s="210">
        <f t="shared" si="272"/>
        <v>1</v>
      </c>
      <c r="J560" s="220">
        <f>IF($B560&lt;=$C$392,IF(Datenblatt!$M$136="IDA-C3",$F84,IF(Datenblatt!$M$136="IDA-C4",$G84,$I84)),0)</f>
        <v>1</v>
      </c>
      <c r="K560" s="220">
        <f>IF($B560&lt;=$C$392,IF(Datenblatt!$N$136="IDA-C3",$F84,IF(Datenblatt!$N$136="IDA-C4",$G84,$I84)),0)</f>
        <v>1</v>
      </c>
      <c r="L560" s="220">
        <f>IF($B560&lt;=$C$392,IF(Datenblatt!$O$136="IDA-C3",$F84,IF(Datenblatt!$O$136="IDA-C4",$G84,$I84)),0)</f>
        <v>1</v>
      </c>
    </row>
    <row r="561" spans="1:35">
      <c r="A561" s="210">
        <v>1</v>
      </c>
      <c r="B561" s="210">
        <v>7</v>
      </c>
      <c r="C561" s="217">
        <f t="shared" si="268"/>
        <v>167</v>
      </c>
      <c r="D561" s="210">
        <f t="shared" si="269"/>
        <v>1</v>
      </c>
      <c r="E561" s="215">
        <f t="shared" si="266"/>
        <v>1</v>
      </c>
      <c r="F561" s="210">
        <f t="shared" si="270"/>
        <v>0.2</v>
      </c>
      <c r="H561" s="210">
        <f t="shared" si="271"/>
        <v>0</v>
      </c>
      <c r="I561" s="210">
        <f t="shared" si="272"/>
        <v>0</v>
      </c>
      <c r="J561" s="220">
        <f>IF($B561&lt;=$C$392,IF(Datenblatt!$M$136="IDA-C3",$F85,IF(Datenblatt!$M$136="IDA-C4",$G85,$I85)),0)</f>
        <v>1</v>
      </c>
      <c r="K561" s="220">
        <f>IF($B561&lt;=$C$392,IF(Datenblatt!$N$136="IDA-C3",$F85,IF(Datenblatt!$N$136="IDA-C4",$G85,$I85)),0)</f>
        <v>1</v>
      </c>
      <c r="L561" s="220">
        <f>IF($B561&lt;=$C$392,IF(Datenblatt!$O$136="IDA-C3",$F85,IF(Datenblatt!$O$136="IDA-C4",$G85,$I85)),0)</f>
        <v>1</v>
      </c>
    </row>
    <row r="562" spans="1:35">
      <c r="A562" s="210">
        <v>1</v>
      </c>
      <c r="B562" s="210">
        <v>7</v>
      </c>
      <c r="C562" s="217">
        <f t="shared" si="268"/>
        <v>168</v>
      </c>
      <c r="D562" s="210">
        <f t="shared" si="269"/>
        <v>1</v>
      </c>
      <c r="E562" s="215">
        <f t="shared" si="266"/>
        <v>1</v>
      </c>
      <c r="F562" s="210">
        <f t="shared" si="270"/>
        <v>0.2</v>
      </c>
      <c r="H562" s="210">
        <f t="shared" si="271"/>
        <v>0</v>
      </c>
      <c r="I562" s="210">
        <f t="shared" si="272"/>
        <v>0</v>
      </c>
      <c r="J562" s="220">
        <f>IF($B562&lt;=$C$392,IF(Datenblatt!$M$136="IDA-C3",$F86,IF(Datenblatt!$M$136="IDA-C4",$G86,$I86)),0)</f>
        <v>1</v>
      </c>
      <c r="K562" s="220">
        <f>IF($B562&lt;=$C$392,IF(Datenblatt!$N$136="IDA-C3",$F86,IF(Datenblatt!$N$136="IDA-C4",$G86,$I86)),0)</f>
        <v>1</v>
      </c>
      <c r="L562" s="220">
        <f>IF($B562&lt;=$C$392,IF(Datenblatt!$O$136="IDA-C3",$F86,IF(Datenblatt!$O$136="IDA-C4",$G86,$I86)),0)</f>
        <v>1</v>
      </c>
    </row>
    <row r="563" spans="1:35">
      <c r="A563" s="217"/>
    </row>
    <row r="565" spans="1:35" ht="15.45">
      <c r="I565" s="1335" t="s">
        <v>1585</v>
      </c>
      <c r="J565" s="1335"/>
      <c r="K565" s="1335"/>
      <c r="L565" s="1335"/>
      <c r="M565" s="1335"/>
      <c r="N565" s="1335" t="s">
        <v>25</v>
      </c>
      <c r="O565" s="1335"/>
      <c r="P565" s="1335" t="str">
        <f>F2</f>
        <v>Adelboden</v>
      </c>
      <c r="Q565" s="230"/>
      <c r="R565" s="230"/>
      <c r="S565" s="230"/>
      <c r="T565" s="230"/>
      <c r="U565" s="230" t="s">
        <v>1607</v>
      </c>
      <c r="V565" s="230" t="s">
        <v>1608</v>
      </c>
      <c r="W565" s="230"/>
      <c r="X565" s="230"/>
      <c r="Y565" s="230"/>
      <c r="Z565" s="230"/>
      <c r="AA565" s="230"/>
      <c r="AB565" s="230"/>
      <c r="AC565" s="230"/>
      <c r="AD565" s="230"/>
      <c r="AE565" s="230"/>
      <c r="AF565" s="230"/>
      <c r="AG565" s="230"/>
      <c r="AH565" s="230"/>
      <c r="AI565" s="230"/>
    </row>
    <row r="566" spans="1:35" ht="15.45">
      <c r="A566" s="222" t="s">
        <v>133</v>
      </c>
      <c r="B566" s="223"/>
      <c r="C566" s="230"/>
      <c r="D566" s="230"/>
      <c r="E566" s="230"/>
      <c r="F566" s="1335" t="s">
        <v>245</v>
      </c>
      <c r="G566" s="1336"/>
      <c r="H566" s="1336"/>
      <c r="I566" s="1354"/>
      <c r="J566" s="230"/>
      <c r="K566" s="230"/>
      <c r="L566" s="230"/>
      <c r="M566" s="230"/>
      <c r="N566" s="230" t="s">
        <v>1601</v>
      </c>
      <c r="O566" s="230"/>
      <c r="P566" s="230"/>
      <c r="Q566" s="230"/>
      <c r="R566" s="230"/>
      <c r="S566" s="230"/>
      <c r="T566" s="230"/>
      <c r="U566" s="1339">
        <f>IF(Datenblatt!$M$31&lt;=0,0,1)</f>
        <v>1</v>
      </c>
      <c r="V566" s="1338">
        <f>IF(Datenblatt!$M$32&lt;=0,0,1)</f>
        <v>1</v>
      </c>
      <c r="W566" s="230"/>
      <c r="X566" s="230"/>
      <c r="Y566" s="230"/>
      <c r="Z566" s="230"/>
      <c r="AA566" s="230"/>
      <c r="AB566" s="230"/>
      <c r="AC566" s="230"/>
      <c r="AD566" s="230"/>
      <c r="AE566" s="230"/>
      <c r="AF566" s="230"/>
      <c r="AG566" s="230"/>
      <c r="AH566" s="230"/>
      <c r="AI566" s="230"/>
    </row>
    <row r="567" spans="1:35">
      <c r="A567" s="212" t="s">
        <v>135</v>
      </c>
      <c r="B567" s="212"/>
      <c r="C567" s="1205" t="s">
        <v>244</v>
      </c>
      <c r="D567" s="210" t="s">
        <v>243</v>
      </c>
      <c r="F567" s="212" t="s">
        <v>227</v>
      </c>
      <c r="I567" s="210" t="str">
        <f>Begriffe!F404</f>
        <v>Personen</v>
      </c>
      <c r="J567" s="210" t="s">
        <v>1677</v>
      </c>
      <c r="K567" s="210" t="str">
        <f>Begriffe!F408</f>
        <v>Geräte+Bel.</v>
      </c>
      <c r="L567" s="210" t="s">
        <v>1590</v>
      </c>
      <c r="M567" s="210" t="s">
        <v>1591</v>
      </c>
      <c r="N567" s="210" t="str">
        <f>Begriffe!F409</f>
        <v>Solarstrahlung</v>
      </c>
      <c r="O567" s="210" t="s">
        <v>1586</v>
      </c>
      <c r="P567" s="210" t="s">
        <v>1587</v>
      </c>
      <c r="Q567" s="210" t="str">
        <f>Begriffe!F410</f>
        <v>Lüftung</v>
      </c>
      <c r="R567" s="210" t="s">
        <v>1588</v>
      </c>
      <c r="S567" s="210" t="s">
        <v>1589</v>
      </c>
      <c r="T567" s="210" t="str">
        <f>Begriffe!F411</f>
        <v>Transmission</v>
      </c>
      <c r="U567" s="210" t="str">
        <f>Begriffe!F412</f>
        <v>Klimakälte</v>
      </c>
      <c r="V567" s="210" t="str">
        <f>Begriffe!F413</f>
        <v>Heizwärme</v>
      </c>
    </row>
    <row r="568" spans="1:35">
      <c r="A568" s="212"/>
      <c r="C568" s="1206">
        <f>SUM(C569:C580)/12</f>
        <v>0.78333333333333333</v>
      </c>
      <c r="D568" s="224">
        <f>SUM(D569:D580)/12</f>
        <v>0.79999999999999993</v>
      </c>
      <c r="F568" s="212"/>
      <c r="I568" s="210" t="s">
        <v>134</v>
      </c>
      <c r="J568" s="210" t="s">
        <v>16</v>
      </c>
      <c r="K568" s="210" t="s">
        <v>134</v>
      </c>
      <c r="L568" s="210" t="s">
        <v>134</v>
      </c>
      <c r="M568" s="210" t="s">
        <v>134</v>
      </c>
      <c r="N568" s="210" t="s">
        <v>134</v>
      </c>
      <c r="O568" s="210" t="s">
        <v>134</v>
      </c>
      <c r="P568" s="210" t="s">
        <v>134</v>
      </c>
      <c r="Q568" s="210" t="s">
        <v>134</v>
      </c>
      <c r="R568" s="210" t="s">
        <v>134</v>
      </c>
      <c r="S568" s="210" t="s">
        <v>134</v>
      </c>
      <c r="T568" s="210" t="s">
        <v>134</v>
      </c>
      <c r="U568" s="210" t="s">
        <v>134</v>
      </c>
      <c r="V568" s="210" t="s">
        <v>134</v>
      </c>
    </row>
    <row r="569" spans="1:35">
      <c r="A569" s="210">
        <v>1</v>
      </c>
      <c r="B569" s="212" t="str">
        <f>Begriffe!F391</f>
        <v>Jan</v>
      </c>
      <c r="C569" s="1207">
        <f>INDEX(Eingabedaten!$HC$9:$HN$53,nutzid,A569)</f>
        <v>0.8</v>
      </c>
      <c r="D569" s="218">
        <f>INDEX(Eingabedaten!$FM$9:$FX$53,nutzid,A569)</f>
        <v>0.8</v>
      </c>
      <c r="F569" s="210">
        <v>1</v>
      </c>
      <c r="G569" s="210" t="s">
        <v>236</v>
      </c>
      <c r="H569" s="236">
        <f>INDEX(Eingabedaten!$HS$9:$HY$53,nutzid,A569)</f>
        <v>1</v>
      </c>
      <c r="I569" s="874">
        <f>'SIA 380-1'!$D$123/3.6*IF(U569&lt;0,1,J569)</f>
        <v>0.83327610292860699</v>
      </c>
      <c r="J569" s="1573">
        <f>'SIA 380-1'!D$130</f>
        <v>0.99999532321501394</v>
      </c>
      <c r="K569" s="874">
        <f>'SIA 380-1'!$D$122/3.6*IF(U569&lt;0,1,J569)</f>
        <v>2.0485702137533224</v>
      </c>
      <c r="L569" s="220">
        <f>'SIA 380-1'!$D$125*J569/3.6</f>
        <v>1.7646976292029659</v>
      </c>
      <c r="M569" s="220">
        <f>'SIA 380-1_Qc'!$D$125/3.6</f>
        <v>0.49411764705882366</v>
      </c>
      <c r="N569" s="874">
        <f>IF(U569&lt;0,M569,L569)</f>
        <v>1.7646976292029659</v>
      </c>
      <c r="O569" s="220">
        <f>'SIA 380-1'!$D$118/3.6</f>
        <v>1.692236077714286</v>
      </c>
      <c r="P569" s="220">
        <f>'SIA 380-1_Qc'!$D$118/3.6</f>
        <v>2.0530978662857149</v>
      </c>
      <c r="Q569" s="874">
        <f>IF(U569&lt;0,-P569,-O569)</f>
        <v>-1.692236077714286</v>
      </c>
      <c r="R569" s="220">
        <f>'SIA 380-1'!$D$116/3.6</f>
        <v>7.808234047058825</v>
      </c>
      <c r="S569" s="220">
        <f>'SIA 380-1_Qc'!$D$116/3.6</f>
        <v>8.461630164705884</v>
      </c>
      <c r="T569" s="874">
        <f>IF(U569&lt;0,-S569,-R569)</f>
        <v>-7.808234047058825</v>
      </c>
      <c r="U569" s="220">
        <f>-'SIA 380-1_Qc'!$D$137/3.6*$U$566</f>
        <v>0</v>
      </c>
      <c r="V569" s="220">
        <f>'SIA 380-1'!$D$133/3.6*$V$566</f>
        <v>4.8539261788882166</v>
      </c>
    </row>
    <row r="570" spans="1:35">
      <c r="A570" s="210">
        <f>A569+1</f>
        <v>2</v>
      </c>
      <c r="B570" s="212" t="str">
        <f>Begriffe!F392</f>
        <v>Feb</v>
      </c>
      <c r="C570" s="1207">
        <f>INDEX(Eingabedaten!$HC$9:$HN$53,nutzid,A570)</f>
        <v>0.6</v>
      </c>
      <c r="D570" s="218">
        <f>INDEX(Eingabedaten!$FM$9:$FX$53,nutzid,A570)</f>
        <v>0.8</v>
      </c>
      <c r="F570" s="210">
        <f t="shared" ref="F570:F575" si="273">F569+1</f>
        <v>2</v>
      </c>
      <c r="G570" s="210" t="s">
        <v>237</v>
      </c>
      <c r="H570" s="236">
        <f>INDEX(Eingabedaten!$HS$9:$HY$53,nutzid,A570)</f>
        <v>1</v>
      </c>
      <c r="I570" s="874">
        <f>'SIA 380-1'!$D$123/3.6*IF(U570&lt;0,1,J570)</f>
        <v>0.83273257931565425</v>
      </c>
      <c r="J570" s="1573">
        <f>'SIA 380-1'!E$130</f>
        <v>0.99934305313418559</v>
      </c>
      <c r="K570" s="874">
        <f>'SIA 380-1'!$D$122/3.6*IF(U570&lt;0,1,J570)</f>
        <v>2.0472339864451672</v>
      </c>
      <c r="L570" s="220">
        <f>'SIA 380-1'!$E$125*J570/3.6</f>
        <v>2.71145284269496</v>
      </c>
      <c r="M570" s="220">
        <f>'SIA 380-1_Qc'!$E$125/3.6</f>
        <v>0.75970588235294145</v>
      </c>
      <c r="N570" s="874">
        <f t="shared" ref="N570:N580" si="274">IF(U570&lt;0,M570,L570)</f>
        <v>2.71145284269496</v>
      </c>
      <c r="O570" s="220">
        <f>'SIA 380-1'!$E$118/3.6</f>
        <v>1.4435562239999999</v>
      </c>
      <c r="P570" s="220">
        <f>'SIA 380-1_Qc'!$E$118/3.6</f>
        <v>1.7639519039999998</v>
      </c>
      <c r="Q570" s="874">
        <f t="shared" ref="Q570:Q580" si="275">IF(U570&lt;0,-P570,-O570)</f>
        <v>-1.4435562239999999</v>
      </c>
      <c r="R570" s="220">
        <f>'SIA 380-1'!$E$116/3.6</f>
        <v>6.3379007999999999</v>
      </c>
      <c r="S570" s="220">
        <f>'SIA 380-1_Qc'!$E$116/3.6</f>
        <v>7.2699450352941195</v>
      </c>
      <c r="T570" s="874">
        <f t="shared" ref="T570:T580" si="276">IF(U570&lt;0,-S570,-R570)</f>
        <v>-6.3379007999999999</v>
      </c>
      <c r="U570" s="220">
        <f>-'SIA 380-1_Qc'!$E$137/3.6*$U$566</f>
        <v>0</v>
      </c>
      <c r="V570" s="220">
        <f>'SIA 380-1'!$E$133/3.6*$V$566</f>
        <v>2.4687440573920396</v>
      </c>
    </row>
    <row r="571" spans="1:35">
      <c r="A571" s="210">
        <f t="shared" ref="A571:A580" si="277">A570+1</f>
        <v>3</v>
      </c>
      <c r="B571" s="212" t="str">
        <f>Begriffe!F393</f>
        <v>Mrz</v>
      </c>
      <c r="C571" s="1207">
        <f>INDEX(Eingabedaten!$HC$9:$HN$53,nutzid,A571)</f>
        <v>1</v>
      </c>
      <c r="D571" s="218">
        <f>INDEX(Eingabedaten!$FM$9:$FX$53,nutzid,A571)</f>
        <v>0.8</v>
      </c>
      <c r="F571" s="210">
        <f t="shared" si="273"/>
        <v>3</v>
      </c>
      <c r="G571" s="210" t="s">
        <v>238</v>
      </c>
      <c r="H571" s="236">
        <f>INDEX(Eingabedaten!$HS$9:$HY$53,nutzid,A571)</f>
        <v>1</v>
      </c>
      <c r="I571" s="874">
        <f>'SIA 380-1'!$D$123/3.6*IF(U571&lt;0,1,J571)</f>
        <v>0.76784518627004339</v>
      </c>
      <c r="J571" s="1573">
        <f>'SIA 380-1'!F$130</f>
        <v>0.92147319780871162</v>
      </c>
      <c r="K571" s="874">
        <f>'SIA 380-1'!$D$122/3.6*IF(U571&lt;0,1,J571)</f>
        <v>1.8877113742231628</v>
      </c>
      <c r="L571" s="220">
        <f>'SIA 380-1'!$F$125*J571/3.6</f>
        <v>4.0246697021939317</v>
      </c>
      <c r="M571" s="220">
        <f>'SIA 380-1_Qc'!$F$125/3.6</f>
        <v>1.2229411764705884</v>
      </c>
      <c r="N571" s="874">
        <f t="shared" si="274"/>
        <v>4.0246697021939317</v>
      </c>
      <c r="O571" s="220">
        <f>'SIA 380-1'!$F$118/3.6</f>
        <v>1.2926803371428572</v>
      </c>
      <c r="P571" s="220">
        <f>'SIA 380-1_Qc'!$F$118/3.6</f>
        <v>1.6274556257142858</v>
      </c>
      <c r="Q571" s="874">
        <f t="shared" si="275"/>
        <v>-1.2926803371428572</v>
      </c>
      <c r="R571" s="220">
        <f>'SIA 380-1'!$F$116/3.6</f>
        <v>5.6754836470588232</v>
      </c>
      <c r="S571" s="220">
        <f>'SIA 380-1_Qc'!$F$116/3.6</f>
        <v>6.7073897647058827</v>
      </c>
      <c r="T571" s="874">
        <f t="shared" si="276"/>
        <v>-5.6754836470588232</v>
      </c>
      <c r="U571" s="220">
        <f>-'SIA 380-1_Qc'!$F$137/3.6*$U$566</f>
        <v>0</v>
      </c>
      <c r="V571" s="220">
        <f>'SIA 380-1'!$F$133/3.6*$V$566</f>
        <v>0.28793772151454178</v>
      </c>
    </row>
    <row r="572" spans="1:35">
      <c r="A572" s="210">
        <f t="shared" si="277"/>
        <v>4</v>
      </c>
      <c r="B572" s="212" t="str">
        <f>Begriffe!F394</f>
        <v>Apr</v>
      </c>
      <c r="C572" s="1207">
        <f>INDEX(Eingabedaten!$HC$9:$HN$53,nutzid,A572)</f>
        <v>0.8</v>
      </c>
      <c r="D572" s="218">
        <f>INDEX(Eingabedaten!$FM$9:$FX$53,nutzid,A572)</f>
        <v>0.8</v>
      </c>
      <c r="F572" s="210">
        <f t="shared" si="273"/>
        <v>4</v>
      </c>
      <c r="G572" s="210" t="s">
        <v>239</v>
      </c>
      <c r="H572" s="236">
        <f>INDEX(Eingabedaten!$HS$9:$HY$53,nutzid,A572)</f>
        <v>1</v>
      </c>
      <c r="I572" s="1337">
        <f>'SIA 380-1'!$D$123/3.6*IF(U572&lt;0,1,J572)</f>
        <v>0.58682412645542303</v>
      </c>
      <c r="J572" s="1573">
        <f>'SIA 380-1'!G$130</f>
        <v>0.70423402272396185</v>
      </c>
      <c r="K572" s="1337">
        <f>'SIA 380-1'!$D$122/3.6*IF(U572&lt;0,1,J572)</f>
        <v>1.4426795895662328</v>
      </c>
      <c r="L572" s="220">
        <f>'SIA 380-1'!$G$125*J572/3.6</f>
        <v>3.5884866010860703</v>
      </c>
      <c r="M572" s="220">
        <f>'SIA 380-1_Qc'!$G$125/3.6</f>
        <v>1.4267647058823532</v>
      </c>
      <c r="N572" s="1337">
        <f t="shared" si="274"/>
        <v>3.5884866010860703</v>
      </c>
      <c r="O572" s="220">
        <f>'SIA 380-1'!$G$118/3.6</f>
        <v>1.0311115885714286</v>
      </c>
      <c r="P572" s="220">
        <f>'SIA 380-1_Qc'!$G$118/3.6</f>
        <v>1.3407326742857146</v>
      </c>
      <c r="Q572" s="1337">
        <f t="shared" si="275"/>
        <v>-1.0311115885714286</v>
      </c>
      <c r="R572" s="220">
        <f>'SIA 380-1'!$G$116/3.6</f>
        <v>4.5270720000000004</v>
      </c>
      <c r="S572" s="220">
        <f>'SIA 380-1_Qc'!$G$116/3.6</f>
        <v>5.5256908235294135</v>
      </c>
      <c r="T572" s="1337">
        <f t="shared" si="276"/>
        <v>-4.5270720000000004</v>
      </c>
      <c r="U572" s="220">
        <f>-'SIA 380-1_Qc'!$G$137/3.6*$U$566</f>
        <v>0</v>
      </c>
      <c r="V572" s="220">
        <f>'SIA 380-1'!$G$133/3.6*$V$566</f>
        <v>5.6611332708526403E-3</v>
      </c>
    </row>
    <row r="573" spans="1:35">
      <c r="A573" s="210">
        <f t="shared" si="277"/>
        <v>5</v>
      </c>
      <c r="B573" s="212" t="str">
        <f>Begriffe!F395</f>
        <v>Mai</v>
      </c>
      <c r="C573" s="1207">
        <f>INDEX(Eingabedaten!$HC$9:$HN$53,nutzid,A573)</f>
        <v>0.6</v>
      </c>
      <c r="D573" s="218">
        <f>INDEX(Eingabedaten!$FM$9:$FX$53,nutzid,A573)</f>
        <v>0.8</v>
      </c>
      <c r="F573" s="210">
        <f t="shared" si="273"/>
        <v>5</v>
      </c>
      <c r="G573" s="210" t="s">
        <v>240</v>
      </c>
      <c r="H573" s="236">
        <f>INDEX(Eingabedaten!$HS$9:$HY$53,nutzid,A573)</f>
        <v>1</v>
      </c>
      <c r="I573" s="1337">
        <f>'SIA 380-1'!$D$123/3.6*IF(U573&lt;0,1,J573)</f>
        <v>0.32849959530394307</v>
      </c>
      <c r="J573" s="1573">
        <f>'SIA 380-1'!H$130</f>
        <v>0.39422474474839553</v>
      </c>
      <c r="K573" s="1337">
        <f>'SIA 380-1'!$D$122/3.6*IF(U573&lt;0,1,J573)</f>
        <v>0.80760084659158371</v>
      </c>
      <c r="L573" s="220">
        <f>'SIA 380-1'!$H$125*J573/3.6</f>
        <v>2.4957904796203567</v>
      </c>
      <c r="M573" s="220">
        <f>'SIA 380-1_Qc'!$H$125/3.6</f>
        <v>1.7726470588235297</v>
      </c>
      <c r="N573" s="1337">
        <f t="shared" si="274"/>
        <v>2.4957904796203567</v>
      </c>
      <c r="O573" s="220">
        <f>'SIA 380-1'!$H$118/3.6</f>
        <v>0.67376066057142869</v>
      </c>
      <c r="P573" s="220">
        <f>'SIA 380-1_Qc'!$H$118/3.6</f>
        <v>0.9681274491428572</v>
      </c>
      <c r="Q573" s="1337">
        <f t="shared" si="275"/>
        <v>-0.67376066057142869</v>
      </c>
      <c r="R573" s="220">
        <f>'SIA 380-1'!$H$116/3.6</f>
        <v>2.9581308705882354</v>
      </c>
      <c r="S573" s="220">
        <f>'SIA 380-1_Qc'!$H$116/3.6</f>
        <v>3.9900369882352944</v>
      </c>
      <c r="T573" s="1337">
        <f t="shared" si="276"/>
        <v>-2.9581308705882354</v>
      </c>
      <c r="U573" s="220">
        <f>-'SIA 380-1_Qc'!$H$137/3.6*$U$566</f>
        <v>0</v>
      </c>
      <c r="V573" s="220">
        <f>'SIA 380-1'!$H$133/3.6*$V$566</f>
        <v>6.0964378088988895E-7</v>
      </c>
    </row>
    <row r="574" spans="1:35">
      <c r="A574" s="210">
        <f t="shared" si="277"/>
        <v>6</v>
      </c>
      <c r="B574" s="212" t="str">
        <f>Begriffe!F396</f>
        <v>Jun</v>
      </c>
      <c r="C574" s="1207">
        <f>INDEX(Eingabedaten!$HC$9:$HN$53,nutzid,A574)</f>
        <v>1</v>
      </c>
      <c r="D574" s="218">
        <f>INDEX(Eingabedaten!$FM$9:$FX$53,nutzid,A574)</f>
        <v>0.8</v>
      </c>
      <c r="F574" s="210">
        <f t="shared" si="273"/>
        <v>6</v>
      </c>
      <c r="G574" s="210" t="s">
        <v>241</v>
      </c>
      <c r="H574" s="236">
        <f>INDEX(Eingabedaten!$HS$9:$HY$53,nutzid,A574)</f>
        <v>1</v>
      </c>
      <c r="I574" s="1337">
        <f>'SIA 380-1'!$D$123/3.6*IF(U574&lt;0,1,J574)</f>
        <v>0.83328000000000013</v>
      </c>
      <c r="J574" s="1573">
        <f>'SIA 380-1'!I$130</f>
        <v>0.25023454699551434</v>
      </c>
      <c r="K574" s="1337">
        <f>'SIA 380-1'!$D$122/3.6*IF(U574&lt;0,1,J574)</f>
        <v>2.0485797945205482</v>
      </c>
      <c r="L574" s="220">
        <f>'SIA 380-1'!$I$125*J574/3.6</f>
        <v>1.6725235530803129</v>
      </c>
      <c r="M574" s="220">
        <f>'SIA 380-1_Qc'!$I$125/3.6</f>
        <v>1.8714705882352944</v>
      </c>
      <c r="N574" s="1337">
        <f t="shared" si="274"/>
        <v>1.8714705882352944</v>
      </c>
      <c r="O574" s="220">
        <f>'SIA 380-1'!$I$118/3.6</f>
        <v>0.43973876571428588</v>
      </c>
      <c r="P574" s="220">
        <f>'SIA 380-1_Qc'!$I$118/3.6</f>
        <v>0.71074985142857161</v>
      </c>
      <c r="Q574" s="1337">
        <f t="shared" si="275"/>
        <v>-0.71074985142857161</v>
      </c>
      <c r="R574" s="220">
        <f>'SIA 380-1'!$I$116/3.6</f>
        <v>1.9306630588235298</v>
      </c>
      <c r="S574" s="220">
        <f>'SIA 380-1_Qc'!$I$116/3.6</f>
        <v>2.9292818823529418</v>
      </c>
      <c r="T574" s="1337">
        <f t="shared" si="276"/>
        <v>-2.9292818823529418</v>
      </c>
      <c r="U574" s="220">
        <f>-'SIA 380-1_Qc'!$I$137/3.6*$U$566</f>
        <v>-1.020335429796247</v>
      </c>
      <c r="V574" s="220">
        <f>'SIA 380-1'!$I$133/3.6*$V$566</f>
        <v>3.0933971433771351E-10</v>
      </c>
    </row>
    <row r="575" spans="1:35">
      <c r="A575" s="210">
        <f t="shared" si="277"/>
        <v>7</v>
      </c>
      <c r="B575" s="212" t="str">
        <f>Begriffe!F397</f>
        <v>Jul</v>
      </c>
      <c r="C575" s="1207">
        <f>INDEX(Eingabedaten!$HC$9:$HN$53,nutzid,A575)</f>
        <v>0.6</v>
      </c>
      <c r="D575" s="218">
        <f>INDEX(Eingabedaten!$FM$9:$FX$53,nutzid,A575)</f>
        <v>0.8</v>
      </c>
      <c r="F575" s="210">
        <f t="shared" si="273"/>
        <v>7</v>
      </c>
      <c r="G575" s="210" t="s">
        <v>242</v>
      </c>
      <c r="H575" s="236">
        <f>INDEX(Eingabedaten!$HS$9:$HY$53,nutzid,A575)</f>
        <v>1</v>
      </c>
      <c r="I575" s="1337">
        <f>'SIA 380-1'!$D$123/3.6*IF(U575&lt;0,1,J575)</f>
        <v>0.83328000000000013</v>
      </c>
      <c r="J575" s="1573">
        <f>'SIA 380-1'!J$130</f>
        <v>0.15060053165553786</v>
      </c>
      <c r="K575" s="1337">
        <f>'SIA 380-1'!$D$122/3.6*IF(U575&lt;0,1,J575)</f>
        <v>2.0485797945205482</v>
      </c>
      <c r="L575" s="220">
        <f>'SIA 380-1'!$J$125*J575/3.6</f>
        <v>1.086317070250608</v>
      </c>
      <c r="M575" s="220">
        <f>'SIA 380-1_Qc'!$J$125/3.6</f>
        <v>2.0197058823529419</v>
      </c>
      <c r="N575" s="1337">
        <f t="shared" si="274"/>
        <v>2.0197058823529419</v>
      </c>
      <c r="O575" s="220">
        <f>'SIA 380-1'!$J$118/3.6</f>
        <v>0.28203934628571442</v>
      </c>
      <c r="P575" s="220">
        <f>'SIA 380-1_Qc'!$J$118/3.6</f>
        <v>0.55083113485714308</v>
      </c>
      <c r="Q575" s="1337">
        <f t="shared" si="275"/>
        <v>-0.55083113485714308</v>
      </c>
      <c r="R575" s="220">
        <f>'SIA 380-1'!$J$116/3.6</f>
        <v>1.2382873411764714</v>
      </c>
      <c r="S575" s="220">
        <f>'SIA 380-1_Qc'!$J$116/3.6</f>
        <v>2.2701934588235302</v>
      </c>
      <c r="T575" s="1337">
        <f t="shared" si="276"/>
        <v>-2.2701934588235302</v>
      </c>
      <c r="U575" s="220">
        <f>-'SIA 380-1_Qc'!$J$137/3.6*$U$566</f>
        <v>-2.0805410831928164</v>
      </c>
      <c r="V575" s="220">
        <f>'SIA 380-1'!$J$133/3.6*$V$566</f>
        <v>6.4146219200564593E-14</v>
      </c>
    </row>
    <row r="576" spans="1:35">
      <c r="A576" s="210">
        <f t="shared" si="277"/>
        <v>8</v>
      </c>
      <c r="B576" s="212" t="str">
        <f>Begriffe!F398</f>
        <v>Aug</v>
      </c>
      <c r="C576" s="1207">
        <f>INDEX(Eingabedaten!$HC$9:$HN$53,nutzid,A576)</f>
        <v>0.6</v>
      </c>
      <c r="D576" s="218">
        <f>INDEX(Eingabedaten!$FM$9:$FX$53,nutzid,A576)</f>
        <v>0.8</v>
      </c>
      <c r="I576" s="1337">
        <f>'SIA 380-1'!$D$123/3.6*IF(U576&lt;0,1,J576)</f>
        <v>0.83328000000000013</v>
      </c>
      <c r="J576" s="1573">
        <f>'SIA 380-1'!K$130</f>
        <v>0.16192270111016185</v>
      </c>
      <c r="K576" s="1337">
        <f>'SIA 380-1'!$D$122/3.6*IF(U576&lt;0,1,J576)</f>
        <v>2.0485797945205482</v>
      </c>
      <c r="L576" s="220">
        <f>'SIA 380-1'!$K$125*J576/3.6</f>
        <v>1.0536881653124504</v>
      </c>
      <c r="M576" s="220">
        <f>'SIA 380-1_Qc'!$K$125/3.6</f>
        <v>1.8220588235294117</v>
      </c>
      <c r="N576" s="1337">
        <f t="shared" si="274"/>
        <v>1.8220588235294117</v>
      </c>
      <c r="O576" s="220">
        <f>'SIA 380-1'!$K$118/3.6</f>
        <v>0.28203934628571442</v>
      </c>
      <c r="P576" s="220">
        <f>'SIA 380-1_Qc'!$K$118/3.6</f>
        <v>0.55083113485714308</v>
      </c>
      <c r="Q576" s="1337">
        <f t="shared" si="275"/>
        <v>-0.55083113485714308</v>
      </c>
      <c r="R576" s="220">
        <f>'SIA 380-1'!$K$116/3.6</f>
        <v>1.2382873411764714</v>
      </c>
      <c r="S576" s="220">
        <f>'SIA 380-1_Qc'!$K$116/3.6</f>
        <v>2.2701934588235302</v>
      </c>
      <c r="T576" s="1337">
        <f t="shared" si="276"/>
        <v>-2.2701934588235302</v>
      </c>
      <c r="U576" s="220">
        <f>-'SIA 380-1_Qc'!$K$137/3.6*$U$566</f>
        <v>-1.8828940243692862</v>
      </c>
      <c r="V576" s="220">
        <f>'SIA 380-1'!$K$133/3.6*$V$566</f>
        <v>1.9194522514630484E-13</v>
      </c>
    </row>
    <row r="577" spans="1:35">
      <c r="A577" s="210">
        <f t="shared" si="277"/>
        <v>9</v>
      </c>
      <c r="B577" s="212" t="str">
        <f>Begriffe!F399</f>
        <v>Sep</v>
      </c>
      <c r="C577" s="1207">
        <f>INDEX(Eingabedaten!$HC$9:$HN$53,nutzid,A577)</f>
        <v>1</v>
      </c>
      <c r="D577" s="218">
        <f>INDEX(Eingabedaten!$FM$9:$FX$53,nutzid,A577)</f>
        <v>0.8</v>
      </c>
      <c r="I577" s="1337">
        <f>'SIA 380-1'!$D$123/3.6*IF(U577&lt;0,1,J577)</f>
        <v>0.35858436539334893</v>
      </c>
      <c r="J577" s="1573">
        <f>'SIA 380-1'!L$130</f>
        <v>0.43032877951390752</v>
      </c>
      <c r="K577" s="1337">
        <f>'SIA 380-1'!$D$122/3.6*IF(U577&lt;0,1,J577)</f>
        <v>0.88156284271287899</v>
      </c>
      <c r="L577" s="220">
        <f>'SIA 380-1'!$L$125*J577/3.6</f>
        <v>2.0693751603095256</v>
      </c>
      <c r="M577" s="220">
        <f>'SIA 380-1_Qc'!$L$125/3.6</f>
        <v>1.3464705882352943</v>
      </c>
      <c r="N577" s="1337">
        <f t="shared" si="274"/>
        <v>2.0693751603095256</v>
      </c>
      <c r="O577" s="220">
        <f>'SIA 380-1'!$L$118/3.6</f>
        <v>0.60653622857142853</v>
      </c>
      <c r="P577" s="220">
        <f>'SIA 380-1_Qc'!$L$118/3.6</f>
        <v>0.88843731428571449</v>
      </c>
      <c r="Q577" s="1337">
        <f t="shared" si="275"/>
        <v>-0.60653622857142853</v>
      </c>
      <c r="R577" s="220">
        <f>'SIA 380-1'!$L$116/3.6</f>
        <v>2.6629835294117656</v>
      </c>
      <c r="S577" s="220">
        <f>'SIA 380-1_Qc'!$L$116/3.6</f>
        <v>3.6616023529411774</v>
      </c>
      <c r="T577" s="1337">
        <f t="shared" si="276"/>
        <v>-2.6629835294117656</v>
      </c>
      <c r="U577" s="220">
        <f>-'SIA 380-1_Qc'!$L$137/3.6*$U$566</f>
        <v>0</v>
      </c>
      <c r="V577" s="220">
        <f>'SIA 380-1'!$L$133/3.6*$V$566</f>
        <v>2.1382160284330907E-6</v>
      </c>
    </row>
    <row r="578" spans="1:35">
      <c r="A578" s="210">
        <f t="shared" si="277"/>
        <v>10</v>
      </c>
      <c r="B578" s="212" t="str">
        <f>Begriffe!F400</f>
        <v>Okt</v>
      </c>
      <c r="C578" s="1207">
        <f>INDEX(Eingabedaten!$HC$9:$HN$53,nutzid,A578)</f>
        <v>0.8</v>
      </c>
      <c r="D578" s="218">
        <f>INDEX(Eingabedaten!$FM$9:$FX$53,nutzid,A578)</f>
        <v>0.8</v>
      </c>
      <c r="I578" s="874">
        <f>'SIA 380-1'!$D$123/3.6*IF(U578&lt;0,1,J578)</f>
        <v>0.69993583740223786</v>
      </c>
      <c r="J578" s="1573">
        <f>'SIA 380-1'!M$130</f>
        <v>0.83997676339554261</v>
      </c>
      <c r="K578" s="874">
        <f>'SIA 380-1'!$D$122/3.6*IF(U578&lt;0,1,J578)</f>
        <v>1.7207594253588758</v>
      </c>
      <c r="L578" s="220">
        <f>'SIA 380-1'!$M$125*J578/3.6</f>
        <v>2.6311036853419201</v>
      </c>
      <c r="M578" s="220">
        <f>'SIA 380-1_Qc'!$M$125/3.6</f>
        <v>0.877058823529412</v>
      </c>
      <c r="N578" s="874">
        <f t="shared" si="274"/>
        <v>2.6311036853419201</v>
      </c>
      <c r="O578" s="220">
        <f>'SIA 380-1'!$M$118/3.6</f>
        <v>0.94796558057142866</v>
      </c>
      <c r="P578" s="220">
        <f>'SIA 380-1_Qc'!$M$118/3.6</f>
        <v>1.2602348691428573</v>
      </c>
      <c r="Q578" s="874">
        <f t="shared" si="275"/>
        <v>-0.94796558057142866</v>
      </c>
      <c r="R578" s="220">
        <f>'SIA 380-1'!$M$116/3.6</f>
        <v>4.1620213411764704</v>
      </c>
      <c r="S578" s="220">
        <f>'SIA 380-1_Qc'!$M$116/3.6</f>
        <v>5.1939274588235298</v>
      </c>
      <c r="T578" s="874">
        <f t="shared" si="276"/>
        <v>-4.1620213411764704</v>
      </c>
      <c r="U578" s="220">
        <f>-'SIA 380-1_Qc'!$M$137/3.6*$U$566</f>
        <v>0</v>
      </c>
      <c r="V578" s="220">
        <f>'SIA 380-1'!$M$133/3.6*$V$566</f>
        <v>5.8187973644864895E-2</v>
      </c>
    </row>
    <row r="579" spans="1:35">
      <c r="A579" s="210">
        <f t="shared" si="277"/>
        <v>11</v>
      </c>
      <c r="B579" s="212" t="str">
        <f>Begriffe!F401</f>
        <v>Nov</v>
      </c>
      <c r="C579" s="1207">
        <f>INDEX(Eingabedaten!$HC$9:$HN$53,nutzid,A579)</f>
        <v>1</v>
      </c>
      <c r="D579" s="218">
        <f>INDEX(Eingabedaten!$FM$9:$FX$53,nutzid,A579)</f>
        <v>0.8</v>
      </c>
      <c r="I579" s="874">
        <f>'SIA 380-1'!$D$123/3.6*IF(U579&lt;0,1,J579)</f>
        <v>0.83317084045909895</v>
      </c>
      <c r="J579" s="1573">
        <f>'SIA 380-1'!N$130</f>
        <v>0.99986900016692926</v>
      </c>
      <c r="K579" s="874">
        <f>'SIA 380-1'!$D$122/3.6*IF(U579&lt;0,1,J579)</f>
        <v>2.0483114309094339</v>
      </c>
      <c r="L579" s="220">
        <f>'SIA 380-1'!$N$125*J579/3.6</f>
        <v>1.6541950370408753</v>
      </c>
      <c r="M579" s="220">
        <f>'SIA 380-1_Qc'!$N$125/3.6</f>
        <v>0.46323529411764702</v>
      </c>
      <c r="N579" s="874">
        <f t="shared" si="274"/>
        <v>1.6541950370408753</v>
      </c>
      <c r="O579" s="220">
        <f>'SIA 380-1'!$N$118/3.6</f>
        <v>1.3495431085714289</v>
      </c>
      <c r="P579" s="220">
        <f>'SIA 380-1_Qc'!$N$118/3.6</f>
        <v>1.6799541942857146</v>
      </c>
      <c r="Q579" s="874">
        <f t="shared" si="275"/>
        <v>-1.3495431085714289</v>
      </c>
      <c r="R579" s="220">
        <f>'SIA 380-1'!$N$116/3.6</f>
        <v>5.9251383529411772</v>
      </c>
      <c r="S579" s="220">
        <f>'SIA 380-1_Qc'!$N$116/3.6</f>
        <v>6.9237571764705894</v>
      </c>
      <c r="T579" s="874">
        <f t="shared" si="276"/>
        <v>-5.9251383529411772</v>
      </c>
      <c r="U579" s="220">
        <f>-'SIA 380-1_Qc'!$N$137/3.6*$U$566</f>
        <v>0</v>
      </c>
      <c r="V579" s="220">
        <f>'SIA 380-1'!$N$133/3.6*$V$566</f>
        <v>2.831955194115086</v>
      </c>
    </row>
    <row r="580" spans="1:35">
      <c r="A580" s="210">
        <f t="shared" si="277"/>
        <v>12</v>
      </c>
      <c r="B580" s="212" t="str">
        <f>Begriffe!F402</f>
        <v>Dez</v>
      </c>
      <c r="C580" s="1207">
        <f>INDEX(Eingabedaten!$HC$9:$HN$53,nutzid,A580)</f>
        <v>0.6</v>
      </c>
      <c r="D580" s="218">
        <f>INDEX(Eingabedaten!$FM$9:$FX$53,nutzid,A580)</f>
        <v>0.8</v>
      </c>
      <c r="I580" s="874">
        <f>'SIA 380-1'!$D$123/3.6*IF(U580&lt;0,1,J580)</f>
        <v>0.83327594230484858</v>
      </c>
      <c r="J580" s="1573">
        <f>'SIA 380-1'!O$130</f>
        <v>0.99999513045416721</v>
      </c>
      <c r="K580" s="874">
        <f>'SIA 380-1'!$D$122/3.6*IF(U580&lt;0,1,J580)</f>
        <v>2.0485698188673465</v>
      </c>
      <c r="L580" s="220">
        <f>'SIA 380-1'!$O$125*J580/3.6</f>
        <v>1.3014642506646148</v>
      </c>
      <c r="M580" s="220">
        <f>'SIA 380-1_Qc'!$O$125/3.6</f>
        <v>0.36441176470588243</v>
      </c>
      <c r="N580" s="874">
        <f t="shared" si="274"/>
        <v>1.3014642506646148</v>
      </c>
      <c r="O580" s="220">
        <f>'SIA 380-1'!$O$118/3.6</f>
        <v>1.5825541097142857</v>
      </c>
      <c r="P580" s="220">
        <f>'SIA 380-1_Qc'!$O$118/3.6</f>
        <v>1.9362548982857144</v>
      </c>
      <c r="Q580" s="874">
        <f t="shared" si="275"/>
        <v>-1.5825541097142857</v>
      </c>
      <c r="R580" s="220">
        <f>'SIA 380-1'!$O$116/3.6</f>
        <v>6.9481678588235294</v>
      </c>
      <c r="S580" s="220">
        <f>'SIA 380-1_Qc'!$O$116/3.6</f>
        <v>7.9800739764705888</v>
      </c>
      <c r="T580" s="874">
        <f t="shared" si="276"/>
        <v>-6.9481678588235294</v>
      </c>
      <c r="U580" s="220">
        <f>-'SIA 380-1_Qc'!$O$137/3.6*$U$566</f>
        <v>0</v>
      </c>
      <c r="V580" s="220">
        <f>'SIA 380-1'!$O$133/3.6*$V$566</f>
        <v>4.3474119567010066</v>
      </c>
    </row>
    <row r="584" spans="1:35" ht="17.600000000000001">
      <c r="I584" s="1784" t="str">
        <f>'Eigene Nutzung'!C2</f>
        <v>Wohnen MFH</v>
      </c>
    </row>
    <row r="585" spans="1:35" ht="15.45">
      <c r="I585" s="1335" t="s">
        <v>1585</v>
      </c>
      <c r="J585" s="1335"/>
      <c r="K585" s="1335"/>
      <c r="L585" s="1335"/>
      <c r="M585" s="1335"/>
      <c r="N585" s="1361" t="s">
        <v>842</v>
      </c>
      <c r="O585" s="1335"/>
      <c r="P585" s="1361" t="str">
        <f>F2</f>
        <v>Adelboden</v>
      </c>
      <c r="Q585" s="230"/>
      <c r="R585" s="230"/>
      <c r="S585" s="230"/>
      <c r="T585" s="230"/>
      <c r="U585" s="230" t="s">
        <v>1607</v>
      </c>
      <c r="V585" s="230" t="s">
        <v>1608</v>
      </c>
      <c r="W585" s="230"/>
      <c r="X585" s="230"/>
      <c r="Y585" s="230"/>
      <c r="Z585" s="230"/>
      <c r="AA585" s="230"/>
      <c r="AB585" s="230"/>
      <c r="AC585" s="230"/>
      <c r="AD585" s="230"/>
      <c r="AE585" s="230"/>
      <c r="AF585" s="230"/>
      <c r="AG585" s="230"/>
      <c r="AH585" s="230"/>
      <c r="AI585" s="230"/>
    </row>
    <row r="586" spans="1:35">
      <c r="I586" s="1354"/>
      <c r="J586" s="230"/>
      <c r="K586" s="230"/>
      <c r="L586" s="230"/>
      <c r="M586" s="230"/>
      <c r="N586" s="230" t="s">
        <v>1601</v>
      </c>
      <c r="O586" s="230"/>
      <c r="P586" s="230" t="s">
        <v>1602</v>
      </c>
      <c r="Q586" s="230"/>
      <c r="R586" s="230"/>
      <c r="S586" s="230"/>
      <c r="T586" s="230"/>
      <c r="U586" s="1339">
        <f>IF('Eigene Nutzung'!$M$31&lt;=0,0,1)</f>
        <v>1</v>
      </c>
      <c r="V586" s="1338">
        <f>IF('Eigene Nutzung'!$M$32&lt;=0,0,1)</f>
        <v>1</v>
      </c>
      <c r="W586" s="230"/>
      <c r="X586" s="230"/>
      <c r="Y586" s="230"/>
      <c r="Z586" s="230"/>
      <c r="AA586" s="230"/>
      <c r="AB586" s="230"/>
      <c r="AC586" s="230"/>
      <c r="AD586" s="230"/>
      <c r="AE586" s="230"/>
      <c r="AF586" s="230"/>
      <c r="AG586" s="230"/>
      <c r="AH586" s="230"/>
      <c r="AI586" s="230"/>
    </row>
    <row r="587" spans="1:35">
      <c r="I587" s="210" t="str">
        <f>I567</f>
        <v>Personen</v>
      </c>
      <c r="J587" s="210" t="s">
        <v>1677</v>
      </c>
      <c r="K587" s="210" t="str">
        <f>K567</f>
        <v>Geräte+Bel.</v>
      </c>
      <c r="L587" s="210" t="s">
        <v>1590</v>
      </c>
      <c r="M587" s="210" t="s">
        <v>1591</v>
      </c>
      <c r="N587" s="210" t="str">
        <f>N567</f>
        <v>Solarstrahlung</v>
      </c>
      <c r="O587" s="210" t="s">
        <v>1586</v>
      </c>
      <c r="P587" s="210" t="s">
        <v>1587</v>
      </c>
      <c r="Q587" s="210" t="str">
        <f>Q567</f>
        <v>Lüftung</v>
      </c>
      <c r="R587" s="210" t="s">
        <v>1588</v>
      </c>
      <c r="S587" s="210" t="s">
        <v>1589</v>
      </c>
      <c r="T587" s="210" t="str">
        <f>T567</f>
        <v>Transmission</v>
      </c>
      <c r="U587" s="210" t="str">
        <f>U567</f>
        <v>Klimakälte</v>
      </c>
      <c r="V587" s="210" t="str">
        <f>V567</f>
        <v>Heizwärme</v>
      </c>
    </row>
    <row r="588" spans="1:35">
      <c r="I588" s="210" t="s">
        <v>134</v>
      </c>
      <c r="J588" s="210" t="s">
        <v>16</v>
      </c>
      <c r="K588" s="210" t="s">
        <v>134</v>
      </c>
      <c r="L588" s="210" t="s">
        <v>134</v>
      </c>
      <c r="M588" s="210" t="s">
        <v>134</v>
      </c>
      <c r="N588" s="210" t="s">
        <v>134</v>
      </c>
      <c r="O588" s="210" t="s">
        <v>134</v>
      </c>
      <c r="P588" s="210" t="s">
        <v>134</v>
      </c>
      <c r="Q588" s="210" t="s">
        <v>134</v>
      </c>
      <c r="R588" s="210" t="s">
        <v>134</v>
      </c>
      <c r="S588" s="210" t="s">
        <v>134</v>
      </c>
      <c r="T588" s="210" t="s">
        <v>134</v>
      </c>
      <c r="U588" s="210" t="s">
        <v>134</v>
      </c>
      <c r="V588" s="210" t="s">
        <v>134</v>
      </c>
    </row>
    <row r="589" spans="1:35">
      <c r="I589" s="874">
        <f>'SIA 380-1_EN'!$D$123/3.6*IF(U589&lt;0,1,J589)</f>
        <v>0.8332322164976983</v>
      </c>
      <c r="J589" s="1573">
        <f>'SIA 380-1_EN'!D$130</f>
        <v>0.99994265612722999</v>
      </c>
      <c r="K589" s="874">
        <f>'SIA 380-1_EN'!$D$122/3.6*IF(U589&lt;0,1,J589)</f>
        <v>2.0484623210214519</v>
      </c>
      <c r="L589" s="220">
        <f>'SIA 380-1_EN'!$D$125*J589/3.6</f>
        <v>2.9557128511996074</v>
      </c>
      <c r="M589" s="220">
        <f>'SIA 380-1_Qc_EN'!$D$125/3.6</f>
        <v>0.82764705882352951</v>
      </c>
      <c r="N589" s="874">
        <f>IF(U589&lt;0,M589,L589)</f>
        <v>2.9557128511996074</v>
      </c>
      <c r="O589" s="220">
        <f>'SIA 380-1_EN'!$D$118/3.6</f>
        <v>1.6362621942857145</v>
      </c>
      <c r="P589" s="220">
        <f>'SIA 380-1_Qc_EN'!$D$118/3.6</f>
        <v>1.9818608228571433</v>
      </c>
      <c r="Q589" s="874">
        <f>IF(U589&lt;0,-P589,-O589)</f>
        <v>-1.6362621942857145</v>
      </c>
      <c r="R589" s="220">
        <f>'SIA 380-1_EN'!$D$116/3.6</f>
        <v>8.3585839764705891</v>
      </c>
      <c r="S589" s="220">
        <f>'SIA 380-1_Qc_EN'!$D$116/3.6</f>
        <v>9.0119800941176482</v>
      </c>
      <c r="T589" s="874">
        <f>IF(U589&lt;0,-S589,-R589)</f>
        <v>-8.3585839764705891</v>
      </c>
      <c r="U589" s="220">
        <f>-'SIA 380-1_Qc_EN'!$D$137/3.6*$U$586</f>
        <v>0</v>
      </c>
      <c r="V589" s="220">
        <f>'SIA 380-1_EN'!$D$133/3.6*$V$586</f>
        <v>4.1574387820375458</v>
      </c>
    </row>
    <row r="590" spans="1:35">
      <c r="I590" s="874">
        <f>'SIA 380-1_EN'!$D$123/3.6*IF(U590&lt;0,1,J590)</f>
        <v>0.83182268474628296</v>
      </c>
      <c r="J590" s="1573">
        <f>'SIA 380-1_EN'!E$130</f>
        <v>0.99825110976656439</v>
      </c>
      <c r="K590" s="874">
        <f>'SIA 380-1_EN'!$D$122/3.6*IF(U590&lt;0,1,J590)</f>
        <v>2.0449970533254977</v>
      </c>
      <c r="L590" s="220">
        <f>'SIA 380-1_EN'!$E$125*J590/3.6</f>
        <v>3.7214214165562365</v>
      </c>
      <c r="M590" s="220">
        <f>'SIA 380-1_Qc_EN'!$E$125/3.6</f>
        <v>1.0438235294117648</v>
      </c>
      <c r="N590" s="874">
        <f t="shared" ref="N590:N599" si="278">IF(U590&lt;0,M590,L590)</f>
        <v>3.7214214165562365</v>
      </c>
      <c r="O590" s="220">
        <f>'SIA 380-1_EN'!$E$118/3.6</f>
        <v>1.4588032800000001</v>
      </c>
      <c r="P590" s="220">
        <f>'SIA 380-1_Qc_EN'!$E$118/3.6</f>
        <v>1.7695708800000003</v>
      </c>
      <c r="Q590" s="874">
        <f t="shared" ref="Q590:Q600" si="279">IF(U590&lt;0,-P590,-O590)</f>
        <v>-1.4588032800000001</v>
      </c>
      <c r="R590" s="220">
        <f>'SIA 380-1_EN'!$E$116/3.6</f>
        <v>7.1146043294117645</v>
      </c>
      <c r="S590" s="220">
        <f>'SIA 380-1_Qc_EN'!$E$116/3.6</f>
        <v>8.0466485647058832</v>
      </c>
      <c r="T590" s="874">
        <f t="shared" ref="T590:T600" si="280">IF(U590&lt;0,-S590,-R590)</f>
        <v>-7.1146043294117645</v>
      </c>
      <c r="U590" s="220">
        <f>-'SIA 380-1_Qc_EN'!$E$137/3.6*$U$586</f>
        <v>0</v>
      </c>
      <c r="V590" s="220">
        <f>'SIA 380-1_EN'!$E$133/3.6*$V$586</f>
        <v>2.2535683649197273</v>
      </c>
    </row>
    <row r="591" spans="1:35">
      <c r="I591" s="874">
        <f>'SIA 380-1_EN'!$D$123/3.6*IF(U591&lt;0,1,J591)</f>
        <v>0.77915684604889823</v>
      </c>
      <c r="J591" s="1573">
        <f>'SIA 380-1_EN'!F$130</f>
        <v>0.93504805833441107</v>
      </c>
      <c r="K591" s="874">
        <f>'SIA 380-1_EN'!$D$122/3.6*IF(U591&lt;0,1,J591)</f>
        <v>1.9155205592095454</v>
      </c>
      <c r="L591" s="220">
        <f>'SIA 380-1_EN'!$F$125*J591/3.6</f>
        <v>5.300897448351698</v>
      </c>
      <c r="M591" s="220">
        <f>'SIA 380-1_Qc_EN'!$F$125/3.6</f>
        <v>1.5873529411764709</v>
      </c>
      <c r="N591" s="874">
        <f t="shared" si="278"/>
        <v>5.300897448351698</v>
      </c>
      <c r="O591" s="220">
        <f>'SIA 380-1_EN'!$F$118/3.6</f>
        <v>1.4317294200000004</v>
      </c>
      <c r="P591" s="220">
        <f>'SIA 380-1_Qc_EN'!$F$118/3.6</f>
        <v>1.762494548571429</v>
      </c>
      <c r="Q591" s="874">
        <f t="shared" si="279"/>
        <v>-1.4317294200000004</v>
      </c>
      <c r="R591" s="220">
        <f>'SIA 380-1_EN'!$F$116/3.6</f>
        <v>6.9825647294117674</v>
      </c>
      <c r="S591" s="220">
        <f>'SIA 380-1_Qc_EN'!$F$116/3.6</f>
        <v>8.014470847058826</v>
      </c>
      <c r="T591" s="874">
        <f t="shared" si="280"/>
        <v>-6.9825647294117674</v>
      </c>
      <c r="U591" s="220">
        <f>-'SIA 380-1_Qc_EN'!$F$137/3.6*$U$586</f>
        <v>0</v>
      </c>
      <c r="V591" s="220">
        <f>'SIA 380-1_EN'!$F$133/3.6*$V$586</f>
        <v>0.41871929580162615</v>
      </c>
    </row>
    <row r="592" spans="1:35">
      <c r="I592" s="1337">
        <f>'SIA 380-1_EN'!$D$123/3.6*IF(U592&lt;0,1,J592)</f>
        <v>0.80483487239264684</v>
      </c>
      <c r="J592" s="1573">
        <f>'SIA 380-1_EN'!G$130</f>
        <v>0.9658636621455533</v>
      </c>
      <c r="K592" s="1337">
        <f>'SIA 380-1_EN'!$D$122/3.6*IF(U592&lt;0,1,J592)</f>
        <v>1.9786487825330017</v>
      </c>
      <c r="L592" s="220">
        <f>'SIA 380-1_EN'!$G$125*J592/3.6</f>
        <v>3.856352709889967</v>
      </c>
      <c r="M592" s="220">
        <f>'SIA 380-1_Qc_EN'!$G$125/3.6</f>
        <v>1.1179411764705882</v>
      </c>
      <c r="N592" s="1337">
        <f t="shared" si="278"/>
        <v>3.856352709889967</v>
      </c>
      <c r="O592" s="220">
        <f>'SIA 380-1_EN'!$G$118/3.6</f>
        <v>1.2217363714285716</v>
      </c>
      <c r="P592" s="220">
        <f>'SIA 380-1_Qc_EN'!$G$118/3.6</f>
        <v>1.5299516571428571</v>
      </c>
      <c r="Q592" s="1337">
        <f t="shared" si="279"/>
        <v>-1.2217363714285716</v>
      </c>
      <c r="R592" s="220">
        <f>'SIA 380-1_EN'!$G$116/3.6</f>
        <v>5.9584256470588244</v>
      </c>
      <c r="S592" s="220">
        <f>'SIA 380-1_Qc_EN'!$G$116/3.6</f>
        <v>6.9570444705882375</v>
      </c>
      <c r="T592" s="1337">
        <f t="shared" si="280"/>
        <v>-5.9584256470588244</v>
      </c>
      <c r="U592" s="220">
        <f>-'SIA 380-1_Qc_EN'!$G$137/3.6*$U$586</f>
        <v>0</v>
      </c>
      <c r="V592" s="220">
        <f>'SIA 380-1_EN'!$G$133/3.6*$V$586</f>
        <v>0.63011544899196359</v>
      </c>
    </row>
    <row r="593" spans="1:35">
      <c r="I593" s="1337">
        <f>'SIA 380-1_EN'!$D$123/3.6*IF(U593&lt;0,1,J593)</f>
        <v>0.60889524382520754</v>
      </c>
      <c r="J593" s="1573">
        <f>'SIA 380-1_EN'!H$130</f>
        <v>0.73072105873800819</v>
      </c>
      <c r="K593" s="1337">
        <f>'SIA 380-1_EN'!$D$122/3.6*IF(U593&lt;0,1,J593)</f>
        <v>1.4969403963613461</v>
      </c>
      <c r="L593" s="220">
        <f>'SIA 380-1_EN'!$H$125*J593/3.6</f>
        <v>3.1915316830174771</v>
      </c>
      <c r="M593" s="220">
        <f>'SIA 380-1_Qc_EN'!$H$125/3.6</f>
        <v>1.2229411764705884</v>
      </c>
      <c r="N593" s="1337">
        <f t="shared" si="278"/>
        <v>3.1915316830174771</v>
      </c>
      <c r="O593" s="220">
        <f>'SIA 380-1_EN'!$H$118/3.6</f>
        <v>0.90276534857142865</v>
      </c>
      <c r="P593" s="220">
        <f>'SIA 380-1_Qc_EN'!$H$118/3.6</f>
        <v>1.1951679771428572</v>
      </c>
      <c r="Q593" s="1337">
        <f t="shared" si="279"/>
        <v>-0.90276534857142865</v>
      </c>
      <c r="R593" s="220">
        <f>'SIA 380-1_EN'!$H$116/3.6</f>
        <v>4.4027994352941189</v>
      </c>
      <c r="S593" s="220">
        <f>'SIA 380-1_Qc_EN'!$H$116/3.6</f>
        <v>5.4347055529411774</v>
      </c>
      <c r="T593" s="1337">
        <f t="shared" si="280"/>
        <v>-4.4027994352941189</v>
      </c>
      <c r="U593" s="220">
        <f>-'SIA 380-1_Qc_EN'!$H$137/3.6*$U$586</f>
        <v>0</v>
      </c>
      <c r="V593" s="220">
        <f>'SIA 380-1_EN'!$H$133/3.6*$V$586</f>
        <v>8.1974606615167443E-3</v>
      </c>
    </row>
    <row r="594" spans="1:35">
      <c r="I594" s="1337">
        <f>'SIA 380-1_EN'!$D$123/3.6*IF(U594&lt;0,1,J594)</f>
        <v>0.49308195479587952</v>
      </c>
      <c r="J594" s="1573">
        <f>'SIA 380-1_EN'!I$130</f>
        <v>0.59173621687293521</v>
      </c>
      <c r="K594" s="1337">
        <f>'SIA 380-1_EN'!$D$122/3.6*IF(U594&lt;0,1,J594)</f>
        <v>1.2122188575719242</v>
      </c>
      <c r="L594" s="220">
        <f>'SIA 380-1_EN'!$I$125*J594/3.6</f>
        <v>2.4409118946008577</v>
      </c>
      <c r="M594" s="220">
        <f>'SIA 380-1_Qc_EN'!$I$125/3.6</f>
        <v>1.155</v>
      </c>
      <c r="N594" s="1337">
        <f t="shared" si="278"/>
        <v>2.4409118946008577</v>
      </c>
      <c r="O594" s="220">
        <f>'SIA 380-1_EN'!$I$118/3.6</f>
        <v>0.6961849714285715</v>
      </c>
      <c r="P594" s="220">
        <f>'SIA 380-1_Qc_EN'!$I$118/3.6</f>
        <v>0.96628525714285707</v>
      </c>
      <c r="Q594" s="1337">
        <f t="shared" si="279"/>
        <v>-0.6961849714285715</v>
      </c>
      <c r="R594" s="220">
        <f>'SIA 380-1_EN'!$I$116/3.6</f>
        <v>3.3953040000000008</v>
      </c>
      <c r="S594" s="220">
        <f>'SIA 380-1_Qc_EN'!$I$116/3.6</f>
        <v>4.3939228235294125</v>
      </c>
      <c r="T594" s="1337">
        <f t="shared" si="280"/>
        <v>-3.3953040000000008</v>
      </c>
      <c r="U594" s="220">
        <f>-'SIA 380-1_Qc_EN'!$I$137/3.6*$U$586</f>
        <v>0</v>
      </c>
      <c r="V594" s="220">
        <f>'SIA 380-1_EN'!$I$133/3.6*$V$586</f>
        <v>2.8596808467846243E-4</v>
      </c>
    </row>
    <row r="595" spans="1:35">
      <c r="I595" s="1337">
        <f>'SIA 380-1_EN'!$D$123/3.6*IF(U595&lt;0,1,J595)</f>
        <v>0.37161938881533613</v>
      </c>
      <c r="J595" s="1573">
        <f>'SIA 380-1_EN'!J$130</f>
        <v>0.44597180877416481</v>
      </c>
      <c r="K595" s="1337">
        <f>'SIA 380-1_EN'!$D$122/3.6*IF(U595&lt;0,1,J595)</f>
        <v>0.9136088363805358</v>
      </c>
      <c r="L595" s="220">
        <f>'SIA 380-1_EN'!$J$125*J595/3.6</f>
        <v>1.9478474589106904</v>
      </c>
      <c r="M595" s="220">
        <f>'SIA 380-1_Qc_EN'!$J$125/3.6</f>
        <v>1.2229411764705884</v>
      </c>
      <c r="N595" s="1337">
        <f t="shared" si="278"/>
        <v>1.9478474589106904</v>
      </c>
      <c r="O595" s="220">
        <f>'SIA 380-1_EN'!$J$118/3.6</f>
        <v>0.5501226342857144</v>
      </c>
      <c r="P595" s="220">
        <f>'SIA 380-1_Qc_EN'!$J$118/3.6</f>
        <v>0.81695026285714289</v>
      </c>
      <c r="Q595" s="1337">
        <f t="shared" si="279"/>
        <v>-0.5501226342857144</v>
      </c>
      <c r="R595" s="220">
        <f>'SIA 380-1_EN'!$J$116/3.6</f>
        <v>2.6829559058823538</v>
      </c>
      <c r="S595" s="220">
        <f>'SIA 380-1_Qc_EN'!$J$116/3.6</f>
        <v>3.7148620235294127</v>
      </c>
      <c r="T595" s="1337">
        <f t="shared" si="280"/>
        <v>-2.6829559058823538</v>
      </c>
      <c r="U595" s="220">
        <f>-'SIA 380-1_Qc_EN'!$J$137/3.6*$U$586</f>
        <v>0</v>
      </c>
      <c r="V595" s="220">
        <f>'SIA 380-1_EN'!$J$133/3.6*$V$586</f>
        <v>2.8560615058144854E-6</v>
      </c>
    </row>
    <row r="596" spans="1:35">
      <c r="I596" s="1337">
        <f>'SIA 380-1_EN'!$D$123/3.6*IF(U596&lt;0,1,J596)</f>
        <v>0.3746298166342017</v>
      </c>
      <c r="J596" s="1573">
        <f>'SIA 380-1_EN'!K$130</f>
        <v>0.44958455337245778</v>
      </c>
      <c r="K596" s="1337">
        <f>'SIA 380-1_EN'!$D$122/3.6*IF(U596&lt;0,1,J596)</f>
        <v>0.92100983196736197</v>
      </c>
      <c r="L596" s="220">
        <f>'SIA 380-1_EN'!$K$125*J596/3.6</f>
        <v>1.8545362826613883</v>
      </c>
      <c r="M596" s="220">
        <f>'SIA 380-1_Qc_EN'!$K$125/3.6</f>
        <v>1.155</v>
      </c>
      <c r="N596" s="1337">
        <f t="shared" si="278"/>
        <v>1.8545362826613883</v>
      </c>
      <c r="O596" s="220">
        <f>'SIA 380-1_EN'!$K$118/3.6</f>
        <v>0.53601692571428572</v>
      </c>
      <c r="P596" s="220">
        <f>'SIA 380-1_Qc_EN'!$K$118/3.6</f>
        <v>0.80182155428571433</v>
      </c>
      <c r="Q596" s="1337">
        <f t="shared" si="279"/>
        <v>-0.53601692571428572</v>
      </c>
      <c r="R596" s="220">
        <f>'SIA 380-1_EN'!$K$116/3.6</f>
        <v>2.6141621647058826</v>
      </c>
      <c r="S596" s="220">
        <f>'SIA 380-1_Qc_EN'!$K$116/3.6</f>
        <v>3.6460682823529411</v>
      </c>
      <c r="T596" s="1337">
        <f t="shared" si="280"/>
        <v>-2.6141621647058826</v>
      </c>
      <c r="U596" s="220">
        <f>-'SIA 380-1_Qc_EN'!$K$137/3.6*$U$586</f>
        <v>0</v>
      </c>
      <c r="V596" s="220">
        <f>'SIA 380-1_EN'!$K$133/3.6*$V$586</f>
        <v>3.1591572158262693E-6</v>
      </c>
    </row>
    <row r="597" spans="1:35">
      <c r="I597" s="1337">
        <f>'SIA 380-1_EN'!$D$123/3.6*IF(U597&lt;0,1,J597)</f>
        <v>0.61586824701300269</v>
      </c>
      <c r="J597" s="1573">
        <f>'SIA 380-1_EN'!L$130</f>
        <v>0.73908919812428309</v>
      </c>
      <c r="K597" s="1337">
        <f>'SIA 380-1_EN'!$D$122/3.6*IF(U597&lt;0,1,J597)</f>
        <v>1.5140831976258005</v>
      </c>
      <c r="L597" s="220">
        <f>'SIA 380-1_EN'!$L$125*J597/3.6</f>
        <v>2.5433363582512096</v>
      </c>
      <c r="M597" s="220">
        <f>'SIA 380-1_Qc_EN'!$L$125/3.6</f>
        <v>0.96352941176470597</v>
      </c>
      <c r="N597" s="1337">
        <f t="shared" si="278"/>
        <v>2.5433363582512096</v>
      </c>
      <c r="O597" s="220">
        <f>'SIA 380-1_EN'!$L$118/3.6</f>
        <v>0.78491442857142879</v>
      </c>
      <c r="P597" s="220">
        <f>'SIA 380-1_Qc_EN'!$L$118/3.6</f>
        <v>1.0614497142857144</v>
      </c>
      <c r="Q597" s="1337">
        <f t="shared" si="279"/>
        <v>-0.78491442857142879</v>
      </c>
      <c r="R597" s="220">
        <f>'SIA 380-1_EN'!$L$116/3.6</f>
        <v>3.828038823529412</v>
      </c>
      <c r="S597" s="220">
        <f>'SIA 380-1_Qc_EN'!$L$116/3.6</f>
        <v>4.8266576470588252</v>
      </c>
      <c r="T597" s="1337">
        <f t="shared" si="280"/>
        <v>-3.828038823529412</v>
      </c>
      <c r="U597" s="220">
        <f>-'SIA 380-1_Qc_EN'!$L$137/3.6*$U$586</f>
        <v>0</v>
      </c>
      <c r="V597" s="220">
        <f>'SIA 380-1_EN'!$L$133/3.6*$V$586</f>
        <v>8.3735603282085614E-3</v>
      </c>
    </row>
    <row r="598" spans="1:35">
      <c r="I598" s="874">
        <f>'SIA 380-1_EN'!$D$123/3.6*IF(U598&lt;0,1,J598)</f>
        <v>0.70871496969460168</v>
      </c>
      <c r="J598" s="1573">
        <f>'SIA 380-1_EN'!M$130</f>
        <v>0.85051239642689325</v>
      </c>
      <c r="K598" s="874">
        <f>'SIA 380-1_EN'!$D$122/3.6*IF(U598&lt;0,1,J598)</f>
        <v>1.7423425103093839</v>
      </c>
      <c r="L598" s="220">
        <f>'SIA 380-1_EN'!$M$125*J598/3.6</f>
        <v>3.5646475438480083</v>
      </c>
      <c r="M598" s="220">
        <f>'SIA 380-1_Qc_EN'!$M$125/3.6</f>
        <v>1.1735294117647059</v>
      </c>
      <c r="N598" s="874">
        <f t="shared" si="278"/>
        <v>3.5646475438480083</v>
      </c>
      <c r="O598" s="220">
        <f>'SIA 380-1_EN'!$M$118/3.6</f>
        <v>1.0367695800000001</v>
      </c>
      <c r="P598" s="220">
        <f>'SIA 380-1_Qc_EN'!$M$118/3.6</f>
        <v>1.3388907085714286</v>
      </c>
      <c r="Q598" s="874">
        <f t="shared" si="279"/>
        <v>-1.0367695800000001</v>
      </c>
      <c r="R598" s="220">
        <f>'SIA 380-1_EN'!$M$116/3.6</f>
        <v>5.0563399764705883</v>
      </c>
      <c r="S598" s="220">
        <f>'SIA 380-1_Qc_EN'!$M$116/3.6</f>
        <v>6.0882460941176477</v>
      </c>
      <c r="T598" s="874">
        <f t="shared" si="280"/>
        <v>-5.0563399764705883</v>
      </c>
      <c r="U598" s="220">
        <f>-'SIA 380-1_Qc_EN'!$M$137/3.6*$U$586</f>
        <v>0</v>
      </c>
      <c r="V598" s="220">
        <f>'SIA 380-1_EN'!$M$133/3.6*$V$586</f>
        <v>7.7404532618595326E-2</v>
      </c>
    </row>
    <row r="599" spans="1:35">
      <c r="I599" s="874">
        <f>'SIA 380-1_EN'!$D$123/3.6*IF(U599&lt;0,1,J599)</f>
        <v>0.83279477316029471</v>
      </c>
      <c r="J599" s="1573">
        <f>'SIA 380-1_EN'!N$130</f>
        <v>0.9994176905245471</v>
      </c>
      <c r="K599" s="874">
        <f>'SIA 380-1_EN'!$D$122/3.6*IF(U599&lt;0,1,J599)</f>
        <v>2.0473868870949774</v>
      </c>
      <c r="L599" s="220">
        <f>'SIA 380-1_EN'!$N$125*J599/3.6</f>
        <v>2.6896093730292958</v>
      </c>
      <c r="M599" s="220">
        <f>'SIA 380-1_Qc_EN'!$N$125/3.6</f>
        <v>0.753529411764706</v>
      </c>
      <c r="N599" s="874">
        <f t="shared" si="278"/>
        <v>2.6896093730292958</v>
      </c>
      <c r="O599" s="220">
        <f>'SIA 380-1_EN'!$N$118/3.6</f>
        <v>1.3650685714285715</v>
      </c>
      <c r="P599" s="220">
        <f>'SIA 380-1_Qc_EN'!$N$118/3.6</f>
        <v>1.6836788571428574</v>
      </c>
      <c r="Q599" s="874">
        <f t="shared" si="279"/>
        <v>-1.3650685714285715</v>
      </c>
      <c r="R599" s="220">
        <f>'SIA 380-1_EN'!$N$116/3.6</f>
        <v>6.6574588235294136</v>
      </c>
      <c r="S599" s="220">
        <f>'SIA 380-1_Qc_EN'!$N$116/3.6</f>
        <v>7.6560776470588241</v>
      </c>
      <c r="T599" s="874">
        <f t="shared" si="280"/>
        <v>-6.6574588235294136</v>
      </c>
      <c r="U599" s="220">
        <f>-'SIA 380-1_Qc_EN'!$N$137/3.6*$U$586</f>
        <v>0</v>
      </c>
      <c r="V599" s="220">
        <f>'SIA 380-1_EN'!$N$133/3.6*$V$586</f>
        <v>2.5456454474881034</v>
      </c>
    </row>
    <row r="600" spans="1:35">
      <c r="I600" s="874">
        <f>'SIA 380-1_EN'!$D$123/3.6*IF(U600&lt;0,1,J600)</f>
        <v>0.83324904027354807</v>
      </c>
      <c r="J600" s="1573">
        <f>'SIA 380-1_EN'!O$130</f>
        <v>0.9999628459503983</v>
      </c>
      <c r="K600" s="874">
        <f>'SIA 380-1_EN'!$D$122/3.6*IF(U600&lt;0,1,J600)</f>
        <v>2.0485036814852493</v>
      </c>
      <c r="L600" s="220">
        <f>'SIA 380-1_EN'!$O$125*J600/3.6</f>
        <v>2.2940324112979726</v>
      </c>
      <c r="M600" s="220">
        <f>'SIA 380-1_Qc_EN'!$O$125/3.6</f>
        <v>0.64235294117647068</v>
      </c>
      <c r="N600" s="874">
        <f>IF(U600&lt;0,M600,L600)</f>
        <v>2.2940324112979726</v>
      </c>
      <c r="O600" s="220">
        <f>'SIA 380-1_EN'!$O$118/3.6</f>
        <v>1.5516279428571431</v>
      </c>
      <c r="P600" s="220">
        <f>'SIA 380-1_Qc_EN'!$O$118/3.6</f>
        <v>1.8910885714285717</v>
      </c>
      <c r="Q600" s="874">
        <f t="shared" si="279"/>
        <v>-1.5516279428571431</v>
      </c>
      <c r="R600" s="220">
        <f>'SIA 380-1_EN'!$O$116/3.6</f>
        <v>7.5673115294117661</v>
      </c>
      <c r="S600" s="220">
        <f>'SIA 380-1_Qc_EN'!$O$116/3.6</f>
        <v>8.5992176470588237</v>
      </c>
      <c r="T600" s="874">
        <f t="shared" si="280"/>
        <v>-7.5673115294117661</v>
      </c>
      <c r="U600" s="220">
        <f>-'SIA 380-1_Qc_EN'!$O$137/3.6*$U$586</f>
        <v>0</v>
      </c>
      <c r="V600" s="220">
        <f>'SIA 380-1_EN'!$O$133/3.6*$V$586</f>
        <v>3.9431543392121386</v>
      </c>
    </row>
    <row r="603" spans="1:35">
      <c r="I603" s="210" t="s">
        <v>2257</v>
      </c>
    </row>
    <row r="607" spans="1:35" ht="15.45">
      <c r="A607" s="1362" t="s">
        <v>228</v>
      </c>
      <c r="B607" s="1363"/>
      <c r="C607" s="1363"/>
      <c r="D607" s="230"/>
      <c r="E607" s="230"/>
      <c r="F607" s="230"/>
      <c r="G607" s="230"/>
      <c r="H607" s="230"/>
      <c r="I607" s="230"/>
      <c r="J607" s="230"/>
      <c r="K607" s="230"/>
      <c r="L607" s="230"/>
      <c r="M607" s="230"/>
      <c r="N607" s="230"/>
      <c r="O607" s="230"/>
      <c r="P607" s="230"/>
      <c r="Q607" s="230"/>
      <c r="R607" s="230"/>
      <c r="S607" s="230"/>
      <c r="T607" s="230"/>
      <c r="U607" s="230"/>
      <c r="V607" s="230"/>
      <c r="W607" s="230"/>
      <c r="X607" s="230"/>
      <c r="Y607" s="230"/>
      <c r="Z607" s="230"/>
      <c r="AA607" s="230"/>
      <c r="AB607" s="230"/>
      <c r="AC607" s="230"/>
      <c r="AD607" s="230"/>
      <c r="AE607" s="230"/>
      <c r="AF607" s="230"/>
      <c r="AG607" s="230"/>
      <c r="AH607" s="230"/>
      <c r="AI607" s="230"/>
    </row>
    <row r="608" spans="1:35">
      <c r="A608" s="220" t="s">
        <v>224</v>
      </c>
      <c r="B608" s="221"/>
      <c r="C608" s="221">
        <v>5</v>
      </c>
      <c r="D608" s="221"/>
      <c r="E608" s="221"/>
      <c r="O608" s="235" t="s">
        <v>19</v>
      </c>
    </row>
    <row r="609" spans="1:28">
      <c r="F609" s="1205" t="s">
        <v>246</v>
      </c>
      <c r="G609" s="210" t="s">
        <v>229</v>
      </c>
      <c r="I609" s="234" t="s">
        <v>10</v>
      </c>
      <c r="J609" s="232"/>
      <c r="L609" s="235" t="s">
        <v>51</v>
      </c>
      <c r="M609" s="226"/>
      <c r="N609" s="238"/>
      <c r="O609" s="226" t="s">
        <v>1523</v>
      </c>
      <c r="P609" s="226" t="s">
        <v>1523</v>
      </c>
      <c r="Q609" s="226" t="s">
        <v>1524</v>
      </c>
      <c r="R609" s="226" t="s">
        <v>1524</v>
      </c>
      <c r="S609" s="226" t="s">
        <v>1524</v>
      </c>
      <c r="T609" s="226" t="s">
        <v>1524</v>
      </c>
      <c r="U609" s="226" t="s">
        <v>191</v>
      </c>
      <c r="V609" s="226" t="s">
        <v>191</v>
      </c>
      <c r="W609" s="226" t="s">
        <v>191</v>
      </c>
      <c r="X609" s="226" t="s">
        <v>191</v>
      </c>
      <c r="Y609" s="226" t="s">
        <v>191</v>
      </c>
      <c r="Z609" s="226" t="s">
        <v>191</v>
      </c>
      <c r="AA609" s="226" t="s">
        <v>191</v>
      </c>
      <c r="AB609" s="226" t="s">
        <v>191</v>
      </c>
    </row>
    <row r="610" spans="1:28">
      <c r="A610" s="210" t="s">
        <v>135</v>
      </c>
      <c r="B610" s="210" t="s">
        <v>227</v>
      </c>
      <c r="C610" s="210" t="s">
        <v>230</v>
      </c>
      <c r="D610" s="210" t="s">
        <v>231</v>
      </c>
      <c r="E610" s="215" t="s">
        <v>1191</v>
      </c>
      <c r="F610" s="1208" t="s">
        <v>232</v>
      </c>
      <c r="G610" s="215" t="s">
        <v>232</v>
      </c>
      <c r="I610" s="230" t="s">
        <v>234</v>
      </c>
      <c r="J610" s="210" t="s">
        <v>247</v>
      </c>
      <c r="L610" s="230" t="s">
        <v>234</v>
      </c>
      <c r="M610" s="210" t="s">
        <v>247</v>
      </c>
      <c r="N610" s="215"/>
      <c r="O610" s="230" t="s">
        <v>212</v>
      </c>
      <c r="P610" s="230" t="s">
        <v>248</v>
      </c>
      <c r="Q610" s="230" t="s">
        <v>212</v>
      </c>
      <c r="R610" s="230" t="s">
        <v>1494</v>
      </c>
      <c r="S610" s="230" t="s">
        <v>1495</v>
      </c>
      <c r="T610" s="230" t="s">
        <v>248</v>
      </c>
      <c r="U610" s="230" t="s">
        <v>212</v>
      </c>
      <c r="V610" s="230" t="s">
        <v>1496</v>
      </c>
      <c r="W610" s="230" t="s">
        <v>1497</v>
      </c>
      <c r="X610" s="230" t="s">
        <v>1498</v>
      </c>
      <c r="Y610" s="230" t="s">
        <v>1499</v>
      </c>
      <c r="Z610" s="230" t="s">
        <v>1500</v>
      </c>
      <c r="AA610" s="230" t="s">
        <v>1495</v>
      </c>
      <c r="AB610" s="230" t="s">
        <v>248</v>
      </c>
    </row>
    <row r="611" spans="1:28">
      <c r="E611" s="215"/>
      <c r="F611" s="1208"/>
      <c r="G611" s="215"/>
      <c r="H611" s="239" t="s">
        <v>250</v>
      </c>
      <c r="I611" s="240">
        <f>SUM(I612:I976)</f>
        <v>4087.9999999999727</v>
      </c>
      <c r="J611" s="241"/>
      <c r="K611" s="241"/>
      <c r="L611" s="240">
        <f>SUM(L612:L976)</f>
        <v>2160.8000000000116</v>
      </c>
      <c r="M611" s="241"/>
      <c r="N611" s="242"/>
      <c r="O611" s="240">
        <f>SUM(O612:O976)</f>
        <v>8760</v>
      </c>
      <c r="P611" s="240">
        <f t="shared" ref="P611" si="281">SUM(P612:P976)</f>
        <v>8760</v>
      </c>
      <c r="Q611" s="240">
        <f t="shared" ref="Q611:AB611" si="282">ROUND(SUM(Q612:Q976),-1)</f>
        <v>7540</v>
      </c>
      <c r="R611" s="240">
        <f t="shared" si="282"/>
        <v>3650</v>
      </c>
      <c r="S611" s="240">
        <f t="shared" si="282"/>
        <v>5110</v>
      </c>
      <c r="T611" s="240">
        <f t="shared" si="282"/>
        <v>6440</v>
      </c>
      <c r="U611" s="240">
        <f t="shared" si="282"/>
        <v>5750</v>
      </c>
      <c r="V611" s="240">
        <f>ROUND(SUM(V612:V976),-1)</f>
        <v>2560</v>
      </c>
      <c r="W611" s="240">
        <f t="shared" si="282"/>
        <v>1100</v>
      </c>
      <c r="X611" s="240">
        <f t="shared" si="282"/>
        <v>0</v>
      </c>
      <c r="Y611" s="240">
        <f t="shared" si="282"/>
        <v>370</v>
      </c>
      <c r="Z611" s="240">
        <f t="shared" si="282"/>
        <v>1460</v>
      </c>
      <c r="AA611" s="240">
        <f t="shared" si="282"/>
        <v>3290</v>
      </c>
      <c r="AB611" s="240">
        <f t="shared" si="282"/>
        <v>5100</v>
      </c>
    </row>
    <row r="612" spans="1:28">
      <c r="A612" s="210">
        <v>1</v>
      </c>
      <c r="B612" s="210">
        <f>$F$569</f>
        <v>1</v>
      </c>
      <c r="C612" s="210">
        <v>1</v>
      </c>
      <c r="D612" s="217">
        <v>1</v>
      </c>
      <c r="E612" s="237">
        <f>INDEX($H$569:$H$575,B612)</f>
        <v>1</v>
      </c>
      <c r="F612" s="1208">
        <f>INDEX($C$569:$C$580,A612)</f>
        <v>0.8</v>
      </c>
      <c r="G612" s="210">
        <f t="shared" ref="G612:G675" si="283">INDEX($D$569:$D$580,A612)</f>
        <v>0.8</v>
      </c>
      <c r="I612" s="233">
        <f>$E612*$B$62*G612</f>
        <v>11.200000000000003</v>
      </c>
      <c r="J612" s="210">
        <f>$E612*MAX($B$63:$B$86)*G612</f>
        <v>0.8</v>
      </c>
      <c r="L612" s="233">
        <f>IF(E612=1, $D$62*G612,$E$62*G612)</f>
        <v>5.9200000000000017</v>
      </c>
      <c r="M612" s="220">
        <f>IF(E612=1,MAX($D$63:$D$86)*G612,MAX($E$63:$E$86)*G612)</f>
        <v>0.8</v>
      </c>
      <c r="O612" s="873">
        <f>$E612*$F$62*IF($G612=0,0,1)</f>
        <v>24</v>
      </c>
      <c r="P612" s="873">
        <f>$E612*$F$62*IF($G612=0,0,1)</f>
        <v>24</v>
      </c>
      <c r="Q612" s="874">
        <f>$E612*$G$62*IF($G612=0,0,1)</f>
        <v>20.669999999999998</v>
      </c>
      <c r="R612" s="873">
        <f>(O612-S612)*IF($G612=0,0,1)</f>
        <v>10</v>
      </c>
      <c r="S612" s="873">
        <f>IF(E612=0,0,COUNTIF(G$63:G$86,1))*IF($G612=0,0,1)</f>
        <v>14</v>
      </c>
      <c r="T612" s="874">
        <f>$E612*$H$62*IF($G612=0,0,1)</f>
        <v>17.633411486304666</v>
      </c>
      <c r="U612" s="874">
        <f>$E612*$I$62*IF($G612=0,0,1)</f>
        <v>15.750000000000004</v>
      </c>
      <c r="V612" s="873">
        <f>IF($E612=0,0,COUNTIF($I$63:$I$86,0.25))*IF($G612=0,0,1)</f>
        <v>7</v>
      </c>
      <c r="W612" s="873">
        <f>IF($E612=0,0,COUNTIF($I$63:$I$86,0.4))*IF($G612=0,0,1)</f>
        <v>3</v>
      </c>
      <c r="X612" s="873">
        <f>IF($E612=0,0,COUNTIF($I$63:$I$86,0.5))*IF($G612=0,0,1)</f>
        <v>0</v>
      </c>
      <c r="Y612" s="873">
        <f>IF($E612=0,0,COUNTIF($I$63:$I$86,0.6))*IF($G612=0,0,1)</f>
        <v>1</v>
      </c>
      <c r="Z612" s="873">
        <f>IF($E612=0,0,COUNTIF($I$63:$I$86,0.8))*IF($G612=0,0,1)</f>
        <v>4</v>
      </c>
      <c r="AA612" s="873">
        <f>IF($E612=0,0,COUNTIF($I$63:$I$86,1))*IF($G612=0,0,1)</f>
        <v>9</v>
      </c>
      <c r="AB612" s="874">
        <f>$E612*$J$62*IF($G612=0,0,1)</f>
        <v>13.960871651185032</v>
      </c>
    </row>
    <row r="613" spans="1:28">
      <c r="A613" s="210">
        <f>A612</f>
        <v>1</v>
      </c>
      <c r="B613" s="210">
        <f>$F$570</f>
        <v>2</v>
      </c>
      <c r="C613" s="210">
        <f>C612+1</f>
        <v>2</v>
      </c>
      <c r="D613" s="210">
        <f>D612+1</f>
        <v>2</v>
      </c>
      <c r="E613" s="237">
        <f t="shared" ref="E613:E676" si="284">INDEX($H$569:$H$575,B613)</f>
        <v>1</v>
      </c>
      <c r="F613" s="1208">
        <f t="shared" ref="F613:F675" si="285">INDEX($C$569:$C$580,A613)</f>
        <v>0.8</v>
      </c>
      <c r="G613" s="210">
        <f t="shared" si="283"/>
        <v>0.8</v>
      </c>
      <c r="I613" s="233">
        <f t="shared" ref="I613:I676" si="286">$E613*$B$62*G613</f>
        <v>11.200000000000003</v>
      </c>
      <c r="J613" s="210">
        <f t="shared" ref="J613:J676" si="287">$E613*MAX($B$63:$B$86)*G613</f>
        <v>0.8</v>
      </c>
      <c r="L613" s="233">
        <f t="shared" ref="L613:L676" si="288">IF(E613=1, $D$62*G613,$E$62*G613)</f>
        <v>5.9200000000000017</v>
      </c>
      <c r="M613" s="220">
        <f t="shared" ref="M613:M676" si="289">IF(E613=1,MAX($D$63:$D$86)*G613,MAX($E$63:$E$86)*G613)</f>
        <v>0.8</v>
      </c>
      <c r="O613" s="873">
        <f t="shared" ref="O613:P676" si="290">$E613*$F$62*IF($G613=0,0,1)</f>
        <v>24</v>
      </c>
      <c r="P613" s="873">
        <f t="shared" si="290"/>
        <v>24</v>
      </c>
      <c r="Q613" s="874">
        <f t="shared" ref="Q613:Q676" si="291">$E613*$G$62*IF($G613=0,0,1)</f>
        <v>20.669999999999998</v>
      </c>
      <c r="R613" s="873">
        <f t="shared" ref="R613:R676" si="292">(O613-S613)*IF($G613=0,0,1)</f>
        <v>10</v>
      </c>
      <c r="S613" s="873">
        <f t="shared" ref="S613:S676" si="293">IF(E613=0,0,COUNTIF(G$63:G$86,1))*IF($G613=0,0,1)</f>
        <v>14</v>
      </c>
      <c r="T613" s="874">
        <f t="shared" ref="T613:T676" si="294">$E613*$H$62*IF($G613=0,0,1)</f>
        <v>17.633411486304666</v>
      </c>
      <c r="U613" s="874">
        <f t="shared" ref="U613:U676" si="295">$E613*$I$62*IF($G613=0,0,1)</f>
        <v>15.750000000000004</v>
      </c>
      <c r="V613" s="873">
        <f t="shared" ref="V613:V676" si="296">IF($E613=0,0,COUNTIF($I$63:$I$86,0.25))*IF($G613=0,0,1)</f>
        <v>7</v>
      </c>
      <c r="W613" s="873">
        <f t="shared" ref="W613:W676" si="297">IF($E613=0,0,COUNTIF($I$63:$I$86,0.4))*IF($G613=0,0,1)</f>
        <v>3</v>
      </c>
      <c r="X613" s="873">
        <f t="shared" ref="X613:X676" si="298">IF($E613=0,0,COUNTIF($I$63:$I$86,0.5))*IF($G613=0,0,1)</f>
        <v>0</v>
      </c>
      <c r="Y613" s="873">
        <f t="shared" ref="Y613:Y676" si="299">IF($E613=0,0,COUNTIF($I$63:$I$86,0.6))*IF($G613=0,0,1)</f>
        <v>1</v>
      </c>
      <c r="Z613" s="873">
        <f t="shared" ref="Z613:Z676" si="300">IF($E613=0,0,COUNTIF($I$63:$I$86,0.8))*IF($G613=0,0,1)</f>
        <v>4</v>
      </c>
      <c r="AA613" s="873">
        <f t="shared" ref="AA613:AA676" si="301">IF($E613=0,0,COUNTIF($I$63:$I$86,1))*IF($G613=0,0,1)</f>
        <v>9</v>
      </c>
      <c r="AB613" s="874">
        <f t="shared" ref="AB613:AB676" si="302">$E613*$J$62*IF($G613=0,0,1)</f>
        <v>13.960871651185032</v>
      </c>
    </row>
    <row r="614" spans="1:28">
      <c r="A614" s="210">
        <f t="shared" ref="A614:A677" si="303">A613</f>
        <v>1</v>
      </c>
      <c r="B614" s="210">
        <f>$F$571</f>
        <v>3</v>
      </c>
      <c r="C614" s="210">
        <f t="shared" ref="C614:D629" si="304">C613+1</f>
        <v>3</v>
      </c>
      <c r="D614" s="210">
        <f t="shared" si="304"/>
        <v>3</v>
      </c>
      <c r="E614" s="237">
        <f t="shared" si="284"/>
        <v>1</v>
      </c>
      <c r="F614" s="1208">
        <f t="shared" si="285"/>
        <v>0.8</v>
      </c>
      <c r="G614" s="210">
        <f t="shared" si="283"/>
        <v>0.8</v>
      </c>
      <c r="I614" s="233">
        <f>$E614*$B$62*G614</f>
        <v>11.200000000000003</v>
      </c>
      <c r="J614" s="210">
        <f t="shared" si="287"/>
        <v>0.8</v>
      </c>
      <c r="L614" s="233">
        <f t="shared" si="288"/>
        <v>5.9200000000000017</v>
      </c>
      <c r="M614" s="220">
        <f t="shared" si="289"/>
        <v>0.8</v>
      </c>
      <c r="O614" s="873">
        <f t="shared" si="290"/>
        <v>24</v>
      </c>
      <c r="P614" s="873">
        <f t="shared" si="290"/>
        <v>24</v>
      </c>
      <c r="Q614" s="874">
        <f t="shared" si="291"/>
        <v>20.669999999999998</v>
      </c>
      <c r="R614" s="873">
        <f t="shared" si="292"/>
        <v>10</v>
      </c>
      <c r="S614" s="873">
        <f t="shared" si="293"/>
        <v>14</v>
      </c>
      <c r="T614" s="874">
        <f t="shared" si="294"/>
        <v>17.633411486304666</v>
      </c>
      <c r="U614" s="874">
        <f t="shared" si="295"/>
        <v>15.750000000000004</v>
      </c>
      <c r="V614" s="873">
        <f t="shared" si="296"/>
        <v>7</v>
      </c>
      <c r="W614" s="873">
        <f t="shared" si="297"/>
        <v>3</v>
      </c>
      <c r="X614" s="873">
        <f t="shared" si="298"/>
        <v>0</v>
      </c>
      <c r="Y614" s="873">
        <f t="shared" si="299"/>
        <v>1</v>
      </c>
      <c r="Z614" s="873">
        <f t="shared" si="300"/>
        <v>4</v>
      </c>
      <c r="AA614" s="873">
        <f t="shared" si="301"/>
        <v>9</v>
      </c>
      <c r="AB614" s="874">
        <f t="shared" si="302"/>
        <v>13.960871651185032</v>
      </c>
    </row>
    <row r="615" spans="1:28">
      <c r="A615" s="210">
        <f t="shared" si="303"/>
        <v>1</v>
      </c>
      <c r="B615" s="210">
        <f>$F$572</f>
        <v>4</v>
      </c>
      <c r="C615" s="210">
        <f t="shared" si="304"/>
        <v>4</v>
      </c>
      <c r="D615" s="210">
        <f t="shared" si="304"/>
        <v>4</v>
      </c>
      <c r="E615" s="237">
        <f t="shared" si="284"/>
        <v>1</v>
      </c>
      <c r="F615" s="1208">
        <f t="shared" si="285"/>
        <v>0.8</v>
      </c>
      <c r="G615" s="210">
        <f t="shared" si="283"/>
        <v>0.8</v>
      </c>
      <c r="I615" s="233">
        <f t="shared" si="286"/>
        <v>11.200000000000003</v>
      </c>
      <c r="J615" s="210">
        <f t="shared" si="287"/>
        <v>0.8</v>
      </c>
      <c r="L615" s="233">
        <f t="shared" si="288"/>
        <v>5.9200000000000017</v>
      </c>
      <c r="M615" s="220">
        <f t="shared" si="289"/>
        <v>0.8</v>
      </c>
      <c r="O615" s="873">
        <f t="shared" si="290"/>
        <v>24</v>
      </c>
      <c r="P615" s="873">
        <f t="shared" si="290"/>
        <v>24</v>
      </c>
      <c r="Q615" s="874">
        <f t="shared" si="291"/>
        <v>20.669999999999998</v>
      </c>
      <c r="R615" s="873">
        <f t="shared" si="292"/>
        <v>10</v>
      </c>
      <c r="S615" s="873">
        <f t="shared" si="293"/>
        <v>14</v>
      </c>
      <c r="T615" s="874">
        <f t="shared" si="294"/>
        <v>17.633411486304666</v>
      </c>
      <c r="U615" s="874">
        <f t="shared" si="295"/>
        <v>15.750000000000004</v>
      </c>
      <c r="V615" s="873">
        <f t="shared" si="296"/>
        <v>7</v>
      </c>
      <c r="W615" s="873">
        <f t="shared" si="297"/>
        <v>3</v>
      </c>
      <c r="X615" s="873">
        <f t="shared" si="298"/>
        <v>0</v>
      </c>
      <c r="Y615" s="873">
        <f t="shared" si="299"/>
        <v>1</v>
      </c>
      <c r="Z615" s="873">
        <f t="shared" si="300"/>
        <v>4</v>
      </c>
      <c r="AA615" s="873">
        <f t="shared" si="301"/>
        <v>9</v>
      </c>
      <c r="AB615" s="874">
        <f t="shared" si="302"/>
        <v>13.960871651185032</v>
      </c>
    </row>
    <row r="616" spans="1:28">
      <c r="A616" s="210">
        <f t="shared" si="303"/>
        <v>1</v>
      </c>
      <c r="B616" s="210">
        <f>$F$573</f>
        <v>5</v>
      </c>
      <c r="C616" s="210">
        <f t="shared" si="304"/>
        <v>5</v>
      </c>
      <c r="D616" s="210">
        <f t="shared" si="304"/>
        <v>5</v>
      </c>
      <c r="E616" s="237">
        <f t="shared" si="284"/>
        <v>1</v>
      </c>
      <c r="F616" s="1208">
        <f t="shared" si="285"/>
        <v>0.8</v>
      </c>
      <c r="G616" s="210">
        <f t="shared" si="283"/>
        <v>0.8</v>
      </c>
      <c r="I616" s="233">
        <f t="shared" si="286"/>
        <v>11.200000000000003</v>
      </c>
      <c r="J616" s="210">
        <f t="shared" si="287"/>
        <v>0.8</v>
      </c>
      <c r="L616" s="233">
        <f t="shared" si="288"/>
        <v>5.9200000000000017</v>
      </c>
      <c r="M616" s="220">
        <f t="shared" si="289"/>
        <v>0.8</v>
      </c>
      <c r="O616" s="873">
        <f t="shared" si="290"/>
        <v>24</v>
      </c>
      <c r="P616" s="873">
        <f t="shared" si="290"/>
        <v>24</v>
      </c>
      <c r="Q616" s="874">
        <f t="shared" si="291"/>
        <v>20.669999999999998</v>
      </c>
      <c r="R616" s="873">
        <f t="shared" si="292"/>
        <v>10</v>
      </c>
      <c r="S616" s="873">
        <f t="shared" si="293"/>
        <v>14</v>
      </c>
      <c r="T616" s="874">
        <f t="shared" si="294"/>
        <v>17.633411486304666</v>
      </c>
      <c r="U616" s="874">
        <f t="shared" si="295"/>
        <v>15.750000000000004</v>
      </c>
      <c r="V616" s="873">
        <f t="shared" si="296"/>
        <v>7</v>
      </c>
      <c r="W616" s="873">
        <f t="shared" si="297"/>
        <v>3</v>
      </c>
      <c r="X616" s="873">
        <f t="shared" si="298"/>
        <v>0</v>
      </c>
      <c r="Y616" s="873">
        <f t="shared" si="299"/>
        <v>1</v>
      </c>
      <c r="Z616" s="873">
        <f t="shared" si="300"/>
        <v>4</v>
      </c>
      <c r="AA616" s="873">
        <f t="shared" si="301"/>
        <v>9</v>
      </c>
      <c r="AB616" s="874">
        <f t="shared" si="302"/>
        <v>13.960871651185032</v>
      </c>
    </row>
    <row r="617" spans="1:28">
      <c r="A617" s="210">
        <f t="shared" si="303"/>
        <v>1</v>
      </c>
      <c r="B617" s="210">
        <f>$F$574</f>
        <v>6</v>
      </c>
      <c r="C617" s="210">
        <f t="shared" si="304"/>
        <v>6</v>
      </c>
      <c r="D617" s="210">
        <f t="shared" si="304"/>
        <v>6</v>
      </c>
      <c r="E617" s="237">
        <f t="shared" si="284"/>
        <v>1</v>
      </c>
      <c r="F617" s="1208">
        <f t="shared" si="285"/>
        <v>0.8</v>
      </c>
      <c r="G617" s="210">
        <f t="shared" si="283"/>
        <v>0.8</v>
      </c>
      <c r="I617" s="233">
        <f t="shared" si="286"/>
        <v>11.200000000000003</v>
      </c>
      <c r="J617" s="210">
        <f t="shared" si="287"/>
        <v>0.8</v>
      </c>
      <c r="L617" s="233">
        <f t="shared" si="288"/>
        <v>5.9200000000000017</v>
      </c>
      <c r="M617" s="220">
        <f t="shared" si="289"/>
        <v>0.8</v>
      </c>
      <c r="O617" s="873">
        <f t="shared" si="290"/>
        <v>24</v>
      </c>
      <c r="P617" s="873">
        <f t="shared" si="290"/>
        <v>24</v>
      </c>
      <c r="Q617" s="874">
        <f t="shared" si="291"/>
        <v>20.669999999999998</v>
      </c>
      <c r="R617" s="873">
        <f t="shared" si="292"/>
        <v>10</v>
      </c>
      <c r="S617" s="873">
        <f t="shared" si="293"/>
        <v>14</v>
      </c>
      <c r="T617" s="874">
        <f t="shared" si="294"/>
        <v>17.633411486304666</v>
      </c>
      <c r="U617" s="874">
        <f t="shared" si="295"/>
        <v>15.750000000000004</v>
      </c>
      <c r="V617" s="873">
        <f t="shared" si="296"/>
        <v>7</v>
      </c>
      <c r="W617" s="873">
        <f t="shared" si="297"/>
        <v>3</v>
      </c>
      <c r="X617" s="873">
        <f t="shared" si="298"/>
        <v>0</v>
      </c>
      <c r="Y617" s="873">
        <f t="shared" si="299"/>
        <v>1</v>
      </c>
      <c r="Z617" s="873">
        <f t="shared" si="300"/>
        <v>4</v>
      </c>
      <c r="AA617" s="873">
        <f t="shared" si="301"/>
        <v>9</v>
      </c>
      <c r="AB617" s="874">
        <f t="shared" si="302"/>
        <v>13.960871651185032</v>
      </c>
    </row>
    <row r="618" spans="1:28">
      <c r="A618" s="210">
        <f t="shared" si="303"/>
        <v>1</v>
      </c>
      <c r="B618" s="210">
        <f>$F$575</f>
        <v>7</v>
      </c>
      <c r="C618" s="210">
        <f t="shared" si="304"/>
        <v>7</v>
      </c>
      <c r="D618" s="210">
        <f t="shared" si="304"/>
        <v>7</v>
      </c>
      <c r="E618" s="237">
        <f t="shared" si="284"/>
        <v>1</v>
      </c>
      <c r="F618" s="1208">
        <f t="shared" si="285"/>
        <v>0.8</v>
      </c>
      <c r="G618" s="210">
        <f t="shared" si="283"/>
        <v>0.8</v>
      </c>
      <c r="I618" s="233">
        <f t="shared" si="286"/>
        <v>11.200000000000003</v>
      </c>
      <c r="J618" s="210">
        <f t="shared" si="287"/>
        <v>0.8</v>
      </c>
      <c r="L618" s="233">
        <f t="shared" si="288"/>
        <v>5.9200000000000017</v>
      </c>
      <c r="M618" s="220">
        <f t="shared" si="289"/>
        <v>0.8</v>
      </c>
      <c r="O618" s="873">
        <f t="shared" si="290"/>
        <v>24</v>
      </c>
      <c r="P618" s="873">
        <f t="shared" si="290"/>
        <v>24</v>
      </c>
      <c r="Q618" s="874">
        <f t="shared" si="291"/>
        <v>20.669999999999998</v>
      </c>
      <c r="R618" s="873">
        <f t="shared" si="292"/>
        <v>10</v>
      </c>
      <c r="S618" s="873">
        <f t="shared" si="293"/>
        <v>14</v>
      </c>
      <c r="T618" s="874">
        <f t="shared" si="294"/>
        <v>17.633411486304666</v>
      </c>
      <c r="U618" s="874">
        <f t="shared" si="295"/>
        <v>15.750000000000004</v>
      </c>
      <c r="V618" s="873">
        <f t="shared" si="296"/>
        <v>7</v>
      </c>
      <c r="W618" s="873">
        <f t="shared" si="297"/>
        <v>3</v>
      </c>
      <c r="X618" s="873">
        <f t="shared" si="298"/>
        <v>0</v>
      </c>
      <c r="Y618" s="873">
        <f t="shared" si="299"/>
        <v>1</v>
      </c>
      <c r="Z618" s="873">
        <f t="shared" si="300"/>
        <v>4</v>
      </c>
      <c r="AA618" s="873">
        <f t="shared" si="301"/>
        <v>9</v>
      </c>
      <c r="AB618" s="874">
        <f t="shared" si="302"/>
        <v>13.960871651185032</v>
      </c>
    </row>
    <row r="619" spans="1:28">
      <c r="A619" s="210">
        <f t="shared" si="303"/>
        <v>1</v>
      </c>
      <c r="B619" s="210">
        <f>$F$569</f>
        <v>1</v>
      </c>
      <c r="C619" s="210">
        <f t="shared" si="304"/>
        <v>8</v>
      </c>
      <c r="D619" s="210">
        <f t="shared" si="304"/>
        <v>8</v>
      </c>
      <c r="E619" s="237">
        <f t="shared" si="284"/>
        <v>1</v>
      </c>
      <c r="F619" s="1208">
        <f t="shared" si="285"/>
        <v>0.8</v>
      </c>
      <c r="G619" s="210">
        <f t="shared" si="283"/>
        <v>0.8</v>
      </c>
      <c r="I619" s="233">
        <f t="shared" si="286"/>
        <v>11.200000000000003</v>
      </c>
      <c r="J619" s="210">
        <f t="shared" si="287"/>
        <v>0.8</v>
      </c>
      <c r="L619" s="233">
        <f t="shared" si="288"/>
        <v>5.9200000000000017</v>
      </c>
      <c r="M619" s="220">
        <f t="shared" si="289"/>
        <v>0.8</v>
      </c>
      <c r="O619" s="873">
        <f t="shared" si="290"/>
        <v>24</v>
      </c>
      <c r="P619" s="873">
        <f t="shared" si="290"/>
        <v>24</v>
      </c>
      <c r="Q619" s="874">
        <f t="shared" si="291"/>
        <v>20.669999999999998</v>
      </c>
      <c r="R619" s="873">
        <f t="shared" si="292"/>
        <v>10</v>
      </c>
      <c r="S619" s="873">
        <f t="shared" si="293"/>
        <v>14</v>
      </c>
      <c r="T619" s="874">
        <f t="shared" si="294"/>
        <v>17.633411486304666</v>
      </c>
      <c r="U619" s="874">
        <f t="shared" si="295"/>
        <v>15.750000000000004</v>
      </c>
      <c r="V619" s="873">
        <f t="shared" si="296"/>
        <v>7</v>
      </c>
      <c r="W619" s="873">
        <f t="shared" si="297"/>
        <v>3</v>
      </c>
      <c r="X619" s="873">
        <f t="shared" si="298"/>
        <v>0</v>
      </c>
      <c r="Y619" s="873">
        <f t="shared" si="299"/>
        <v>1</v>
      </c>
      <c r="Z619" s="873">
        <f t="shared" si="300"/>
        <v>4</v>
      </c>
      <c r="AA619" s="873">
        <f t="shared" si="301"/>
        <v>9</v>
      </c>
      <c r="AB619" s="874">
        <f t="shared" si="302"/>
        <v>13.960871651185032</v>
      </c>
    </row>
    <row r="620" spans="1:28">
      <c r="A620" s="210">
        <f t="shared" si="303"/>
        <v>1</v>
      </c>
      <c r="B620" s="210">
        <f>$F$570</f>
        <v>2</v>
      </c>
      <c r="C620" s="210">
        <f t="shared" si="304"/>
        <v>9</v>
      </c>
      <c r="D620" s="210">
        <f t="shared" si="304"/>
        <v>9</v>
      </c>
      <c r="E620" s="237">
        <f t="shared" si="284"/>
        <v>1</v>
      </c>
      <c r="F620" s="1208">
        <f t="shared" si="285"/>
        <v>0.8</v>
      </c>
      <c r="G620" s="210">
        <f t="shared" si="283"/>
        <v>0.8</v>
      </c>
      <c r="I620" s="233">
        <f t="shared" si="286"/>
        <v>11.200000000000003</v>
      </c>
      <c r="J620" s="210">
        <f t="shared" si="287"/>
        <v>0.8</v>
      </c>
      <c r="L620" s="233">
        <f t="shared" si="288"/>
        <v>5.9200000000000017</v>
      </c>
      <c r="M620" s="220">
        <f t="shared" si="289"/>
        <v>0.8</v>
      </c>
      <c r="O620" s="873">
        <f t="shared" si="290"/>
        <v>24</v>
      </c>
      <c r="P620" s="873">
        <f t="shared" si="290"/>
        <v>24</v>
      </c>
      <c r="Q620" s="874">
        <f t="shared" si="291"/>
        <v>20.669999999999998</v>
      </c>
      <c r="R620" s="873">
        <f t="shared" si="292"/>
        <v>10</v>
      </c>
      <c r="S620" s="873">
        <f t="shared" si="293"/>
        <v>14</v>
      </c>
      <c r="T620" s="874">
        <f t="shared" si="294"/>
        <v>17.633411486304666</v>
      </c>
      <c r="U620" s="874">
        <f t="shared" si="295"/>
        <v>15.750000000000004</v>
      </c>
      <c r="V620" s="873">
        <f t="shared" si="296"/>
        <v>7</v>
      </c>
      <c r="W620" s="873">
        <f t="shared" si="297"/>
        <v>3</v>
      </c>
      <c r="X620" s="873">
        <f t="shared" si="298"/>
        <v>0</v>
      </c>
      <c r="Y620" s="873">
        <f t="shared" si="299"/>
        <v>1</v>
      </c>
      <c r="Z620" s="873">
        <f t="shared" si="300"/>
        <v>4</v>
      </c>
      <c r="AA620" s="873">
        <f t="shared" si="301"/>
        <v>9</v>
      </c>
      <c r="AB620" s="874">
        <f t="shared" si="302"/>
        <v>13.960871651185032</v>
      </c>
    </row>
    <row r="621" spans="1:28">
      <c r="A621" s="210">
        <f t="shared" si="303"/>
        <v>1</v>
      </c>
      <c r="B621" s="210">
        <f>$F$571</f>
        <v>3</v>
      </c>
      <c r="C621" s="210">
        <f t="shared" si="304"/>
        <v>10</v>
      </c>
      <c r="D621" s="210">
        <f t="shared" si="304"/>
        <v>10</v>
      </c>
      <c r="E621" s="237">
        <f t="shared" si="284"/>
        <v>1</v>
      </c>
      <c r="F621" s="1208">
        <f t="shared" si="285"/>
        <v>0.8</v>
      </c>
      <c r="G621" s="210">
        <f t="shared" si="283"/>
        <v>0.8</v>
      </c>
      <c r="I621" s="233">
        <f t="shared" si="286"/>
        <v>11.200000000000003</v>
      </c>
      <c r="J621" s="210">
        <f t="shared" si="287"/>
        <v>0.8</v>
      </c>
      <c r="L621" s="233">
        <f t="shared" si="288"/>
        <v>5.9200000000000017</v>
      </c>
      <c r="M621" s="220">
        <f t="shared" si="289"/>
        <v>0.8</v>
      </c>
      <c r="O621" s="873">
        <f t="shared" si="290"/>
        <v>24</v>
      </c>
      <c r="P621" s="873">
        <f t="shared" si="290"/>
        <v>24</v>
      </c>
      <c r="Q621" s="874">
        <f t="shared" si="291"/>
        <v>20.669999999999998</v>
      </c>
      <c r="R621" s="873">
        <f t="shared" si="292"/>
        <v>10</v>
      </c>
      <c r="S621" s="873">
        <f t="shared" si="293"/>
        <v>14</v>
      </c>
      <c r="T621" s="874">
        <f t="shared" si="294"/>
        <v>17.633411486304666</v>
      </c>
      <c r="U621" s="874">
        <f t="shared" si="295"/>
        <v>15.750000000000004</v>
      </c>
      <c r="V621" s="873">
        <f t="shared" si="296"/>
        <v>7</v>
      </c>
      <c r="W621" s="873">
        <f t="shared" si="297"/>
        <v>3</v>
      </c>
      <c r="X621" s="873">
        <f t="shared" si="298"/>
        <v>0</v>
      </c>
      <c r="Y621" s="873">
        <f t="shared" si="299"/>
        <v>1</v>
      </c>
      <c r="Z621" s="873">
        <f t="shared" si="300"/>
        <v>4</v>
      </c>
      <c r="AA621" s="873">
        <f t="shared" si="301"/>
        <v>9</v>
      </c>
      <c r="AB621" s="874">
        <f t="shared" si="302"/>
        <v>13.960871651185032</v>
      </c>
    </row>
    <row r="622" spans="1:28">
      <c r="A622" s="210">
        <f t="shared" si="303"/>
        <v>1</v>
      </c>
      <c r="B622" s="210">
        <f>$F$572</f>
        <v>4</v>
      </c>
      <c r="C622" s="210">
        <f t="shared" si="304"/>
        <v>11</v>
      </c>
      <c r="D622" s="210">
        <f t="shared" si="304"/>
        <v>11</v>
      </c>
      <c r="E622" s="237">
        <f t="shared" si="284"/>
        <v>1</v>
      </c>
      <c r="F622" s="1208">
        <f t="shared" si="285"/>
        <v>0.8</v>
      </c>
      <c r="G622" s="210">
        <f t="shared" si="283"/>
        <v>0.8</v>
      </c>
      <c r="I622" s="233">
        <f t="shared" si="286"/>
        <v>11.200000000000003</v>
      </c>
      <c r="J622" s="210">
        <f t="shared" si="287"/>
        <v>0.8</v>
      </c>
      <c r="L622" s="233">
        <f t="shared" si="288"/>
        <v>5.9200000000000017</v>
      </c>
      <c r="M622" s="220">
        <f t="shared" si="289"/>
        <v>0.8</v>
      </c>
      <c r="O622" s="873">
        <f t="shared" si="290"/>
        <v>24</v>
      </c>
      <c r="P622" s="873">
        <f t="shared" si="290"/>
        <v>24</v>
      </c>
      <c r="Q622" s="874">
        <f t="shared" si="291"/>
        <v>20.669999999999998</v>
      </c>
      <c r="R622" s="873">
        <f t="shared" si="292"/>
        <v>10</v>
      </c>
      <c r="S622" s="873">
        <f t="shared" si="293"/>
        <v>14</v>
      </c>
      <c r="T622" s="874">
        <f t="shared" si="294"/>
        <v>17.633411486304666</v>
      </c>
      <c r="U622" s="874">
        <f t="shared" si="295"/>
        <v>15.750000000000004</v>
      </c>
      <c r="V622" s="873">
        <f t="shared" si="296"/>
        <v>7</v>
      </c>
      <c r="W622" s="873">
        <f t="shared" si="297"/>
        <v>3</v>
      </c>
      <c r="X622" s="873">
        <f t="shared" si="298"/>
        <v>0</v>
      </c>
      <c r="Y622" s="873">
        <f t="shared" si="299"/>
        <v>1</v>
      </c>
      <c r="Z622" s="873">
        <f t="shared" si="300"/>
        <v>4</v>
      </c>
      <c r="AA622" s="873">
        <f t="shared" si="301"/>
        <v>9</v>
      </c>
      <c r="AB622" s="874">
        <f t="shared" si="302"/>
        <v>13.960871651185032</v>
      </c>
    </row>
    <row r="623" spans="1:28">
      <c r="A623" s="210">
        <f t="shared" si="303"/>
        <v>1</v>
      </c>
      <c r="B623" s="210">
        <f>$F$573</f>
        <v>5</v>
      </c>
      <c r="C623" s="210">
        <f t="shared" si="304"/>
        <v>12</v>
      </c>
      <c r="D623" s="210">
        <f t="shared" si="304"/>
        <v>12</v>
      </c>
      <c r="E623" s="237">
        <f t="shared" si="284"/>
        <v>1</v>
      </c>
      <c r="F623" s="1208">
        <f t="shared" si="285"/>
        <v>0.8</v>
      </c>
      <c r="G623" s="210">
        <f t="shared" si="283"/>
        <v>0.8</v>
      </c>
      <c r="I623" s="233">
        <f t="shared" si="286"/>
        <v>11.200000000000003</v>
      </c>
      <c r="J623" s="210">
        <f t="shared" si="287"/>
        <v>0.8</v>
      </c>
      <c r="L623" s="233">
        <f t="shared" si="288"/>
        <v>5.9200000000000017</v>
      </c>
      <c r="M623" s="220">
        <f t="shared" si="289"/>
        <v>0.8</v>
      </c>
      <c r="O623" s="873">
        <f t="shared" si="290"/>
        <v>24</v>
      </c>
      <c r="P623" s="873">
        <f t="shared" si="290"/>
        <v>24</v>
      </c>
      <c r="Q623" s="874">
        <f t="shared" si="291"/>
        <v>20.669999999999998</v>
      </c>
      <c r="R623" s="873">
        <f t="shared" si="292"/>
        <v>10</v>
      </c>
      <c r="S623" s="873">
        <f t="shared" si="293"/>
        <v>14</v>
      </c>
      <c r="T623" s="874">
        <f t="shared" si="294"/>
        <v>17.633411486304666</v>
      </c>
      <c r="U623" s="874">
        <f t="shared" si="295"/>
        <v>15.750000000000004</v>
      </c>
      <c r="V623" s="873">
        <f t="shared" si="296"/>
        <v>7</v>
      </c>
      <c r="W623" s="873">
        <f t="shared" si="297"/>
        <v>3</v>
      </c>
      <c r="X623" s="873">
        <f t="shared" si="298"/>
        <v>0</v>
      </c>
      <c r="Y623" s="873">
        <f t="shared" si="299"/>
        <v>1</v>
      </c>
      <c r="Z623" s="873">
        <f t="shared" si="300"/>
        <v>4</v>
      </c>
      <c r="AA623" s="873">
        <f t="shared" si="301"/>
        <v>9</v>
      </c>
      <c r="AB623" s="874">
        <f t="shared" si="302"/>
        <v>13.960871651185032</v>
      </c>
    </row>
    <row r="624" spans="1:28">
      <c r="A624" s="210">
        <f t="shared" si="303"/>
        <v>1</v>
      </c>
      <c r="B624" s="210">
        <f>$F$574</f>
        <v>6</v>
      </c>
      <c r="C624" s="210">
        <f t="shared" si="304"/>
        <v>13</v>
      </c>
      <c r="D624" s="210">
        <f t="shared" si="304"/>
        <v>13</v>
      </c>
      <c r="E624" s="237">
        <f t="shared" si="284"/>
        <v>1</v>
      </c>
      <c r="F624" s="1208">
        <f t="shared" si="285"/>
        <v>0.8</v>
      </c>
      <c r="G624" s="210">
        <f t="shared" si="283"/>
        <v>0.8</v>
      </c>
      <c r="I624" s="233">
        <f t="shared" si="286"/>
        <v>11.200000000000003</v>
      </c>
      <c r="J624" s="210">
        <f t="shared" si="287"/>
        <v>0.8</v>
      </c>
      <c r="L624" s="233">
        <f t="shared" si="288"/>
        <v>5.9200000000000017</v>
      </c>
      <c r="M624" s="220">
        <f t="shared" si="289"/>
        <v>0.8</v>
      </c>
      <c r="O624" s="873">
        <f t="shared" si="290"/>
        <v>24</v>
      </c>
      <c r="P624" s="873">
        <f t="shared" si="290"/>
        <v>24</v>
      </c>
      <c r="Q624" s="874">
        <f t="shared" si="291"/>
        <v>20.669999999999998</v>
      </c>
      <c r="R624" s="873">
        <f t="shared" si="292"/>
        <v>10</v>
      </c>
      <c r="S624" s="873">
        <f t="shared" si="293"/>
        <v>14</v>
      </c>
      <c r="T624" s="874">
        <f t="shared" si="294"/>
        <v>17.633411486304666</v>
      </c>
      <c r="U624" s="874">
        <f t="shared" si="295"/>
        <v>15.750000000000004</v>
      </c>
      <c r="V624" s="873">
        <f t="shared" si="296"/>
        <v>7</v>
      </c>
      <c r="W624" s="873">
        <f t="shared" si="297"/>
        <v>3</v>
      </c>
      <c r="X624" s="873">
        <f t="shared" si="298"/>
        <v>0</v>
      </c>
      <c r="Y624" s="873">
        <f t="shared" si="299"/>
        <v>1</v>
      </c>
      <c r="Z624" s="873">
        <f t="shared" si="300"/>
        <v>4</v>
      </c>
      <c r="AA624" s="873">
        <f t="shared" si="301"/>
        <v>9</v>
      </c>
      <c r="AB624" s="874">
        <f t="shared" si="302"/>
        <v>13.960871651185032</v>
      </c>
    </row>
    <row r="625" spans="1:28">
      <c r="A625" s="210">
        <f t="shared" si="303"/>
        <v>1</v>
      </c>
      <c r="B625" s="210">
        <f>$F$575</f>
        <v>7</v>
      </c>
      <c r="C625" s="210">
        <f t="shared" si="304"/>
        <v>14</v>
      </c>
      <c r="D625" s="210">
        <f t="shared" si="304"/>
        <v>14</v>
      </c>
      <c r="E625" s="237">
        <f>INDEX($H$569:$H$575,B625)</f>
        <v>1</v>
      </c>
      <c r="F625" s="1208">
        <f t="shared" si="285"/>
        <v>0.8</v>
      </c>
      <c r="G625" s="210">
        <f t="shared" si="283"/>
        <v>0.8</v>
      </c>
      <c r="I625" s="233">
        <f t="shared" si="286"/>
        <v>11.200000000000003</v>
      </c>
      <c r="J625" s="210">
        <f t="shared" si="287"/>
        <v>0.8</v>
      </c>
      <c r="L625" s="233">
        <f t="shared" si="288"/>
        <v>5.9200000000000017</v>
      </c>
      <c r="M625" s="220">
        <f t="shared" si="289"/>
        <v>0.8</v>
      </c>
      <c r="O625" s="873">
        <f t="shared" si="290"/>
        <v>24</v>
      </c>
      <c r="P625" s="873">
        <f t="shared" si="290"/>
        <v>24</v>
      </c>
      <c r="Q625" s="874">
        <f t="shared" si="291"/>
        <v>20.669999999999998</v>
      </c>
      <c r="R625" s="873">
        <f t="shared" si="292"/>
        <v>10</v>
      </c>
      <c r="S625" s="873">
        <f t="shared" si="293"/>
        <v>14</v>
      </c>
      <c r="T625" s="874">
        <f t="shared" si="294"/>
        <v>17.633411486304666</v>
      </c>
      <c r="U625" s="874">
        <f t="shared" si="295"/>
        <v>15.750000000000004</v>
      </c>
      <c r="V625" s="873">
        <f t="shared" si="296"/>
        <v>7</v>
      </c>
      <c r="W625" s="873">
        <f t="shared" si="297"/>
        <v>3</v>
      </c>
      <c r="X625" s="873">
        <f t="shared" si="298"/>
        <v>0</v>
      </c>
      <c r="Y625" s="873">
        <f t="shared" si="299"/>
        <v>1</v>
      </c>
      <c r="Z625" s="873">
        <f t="shared" si="300"/>
        <v>4</v>
      </c>
      <c r="AA625" s="873">
        <f t="shared" si="301"/>
        <v>9</v>
      </c>
      <c r="AB625" s="874">
        <f t="shared" si="302"/>
        <v>13.960871651185032</v>
      </c>
    </row>
    <row r="626" spans="1:28">
      <c r="A626" s="210">
        <f t="shared" si="303"/>
        <v>1</v>
      </c>
      <c r="B626" s="210">
        <f>$F$569</f>
        <v>1</v>
      </c>
      <c r="C626" s="210">
        <f t="shared" si="304"/>
        <v>15</v>
      </c>
      <c r="D626" s="210">
        <f t="shared" si="304"/>
        <v>15</v>
      </c>
      <c r="E626" s="237">
        <f t="shared" si="284"/>
        <v>1</v>
      </c>
      <c r="F626" s="1208">
        <f t="shared" si="285"/>
        <v>0.8</v>
      </c>
      <c r="G626" s="210">
        <f t="shared" si="283"/>
        <v>0.8</v>
      </c>
      <c r="I626" s="233">
        <f t="shared" si="286"/>
        <v>11.200000000000003</v>
      </c>
      <c r="J626" s="210">
        <f t="shared" si="287"/>
        <v>0.8</v>
      </c>
      <c r="L626" s="233">
        <f t="shared" si="288"/>
        <v>5.9200000000000017</v>
      </c>
      <c r="M626" s="220">
        <f t="shared" si="289"/>
        <v>0.8</v>
      </c>
      <c r="O626" s="873">
        <f t="shared" si="290"/>
        <v>24</v>
      </c>
      <c r="P626" s="873">
        <f t="shared" si="290"/>
        <v>24</v>
      </c>
      <c r="Q626" s="874">
        <f t="shared" si="291"/>
        <v>20.669999999999998</v>
      </c>
      <c r="R626" s="873">
        <f t="shared" si="292"/>
        <v>10</v>
      </c>
      <c r="S626" s="873">
        <f t="shared" si="293"/>
        <v>14</v>
      </c>
      <c r="T626" s="874">
        <f t="shared" si="294"/>
        <v>17.633411486304666</v>
      </c>
      <c r="U626" s="874">
        <f t="shared" si="295"/>
        <v>15.750000000000004</v>
      </c>
      <c r="V626" s="873">
        <f t="shared" si="296"/>
        <v>7</v>
      </c>
      <c r="W626" s="873">
        <f t="shared" si="297"/>
        <v>3</v>
      </c>
      <c r="X626" s="873">
        <f t="shared" si="298"/>
        <v>0</v>
      </c>
      <c r="Y626" s="873">
        <f t="shared" si="299"/>
        <v>1</v>
      </c>
      <c r="Z626" s="873">
        <f t="shared" si="300"/>
        <v>4</v>
      </c>
      <c r="AA626" s="873">
        <f t="shared" si="301"/>
        <v>9</v>
      </c>
      <c r="AB626" s="874">
        <f t="shared" si="302"/>
        <v>13.960871651185032</v>
      </c>
    </row>
    <row r="627" spans="1:28">
      <c r="A627" s="210">
        <f t="shared" si="303"/>
        <v>1</v>
      </c>
      <c r="B627" s="210">
        <f>$F$570</f>
        <v>2</v>
      </c>
      <c r="C627" s="210">
        <f t="shared" si="304"/>
        <v>16</v>
      </c>
      <c r="D627" s="210">
        <f t="shared" si="304"/>
        <v>16</v>
      </c>
      <c r="E627" s="237">
        <f t="shared" si="284"/>
        <v>1</v>
      </c>
      <c r="F627" s="1208">
        <f t="shared" si="285"/>
        <v>0.8</v>
      </c>
      <c r="G627" s="210">
        <f t="shared" si="283"/>
        <v>0.8</v>
      </c>
      <c r="I627" s="233">
        <f t="shared" si="286"/>
        <v>11.200000000000003</v>
      </c>
      <c r="J627" s="210">
        <f t="shared" si="287"/>
        <v>0.8</v>
      </c>
      <c r="L627" s="233">
        <f t="shared" si="288"/>
        <v>5.9200000000000017</v>
      </c>
      <c r="M627" s="220">
        <f t="shared" si="289"/>
        <v>0.8</v>
      </c>
      <c r="O627" s="873">
        <f t="shared" si="290"/>
        <v>24</v>
      </c>
      <c r="P627" s="873">
        <f t="shared" si="290"/>
        <v>24</v>
      </c>
      <c r="Q627" s="874">
        <f t="shared" si="291"/>
        <v>20.669999999999998</v>
      </c>
      <c r="R627" s="873">
        <f t="shared" si="292"/>
        <v>10</v>
      </c>
      <c r="S627" s="873">
        <f t="shared" si="293"/>
        <v>14</v>
      </c>
      <c r="T627" s="874">
        <f t="shared" si="294"/>
        <v>17.633411486304666</v>
      </c>
      <c r="U627" s="874">
        <f t="shared" si="295"/>
        <v>15.750000000000004</v>
      </c>
      <c r="V627" s="873">
        <f t="shared" si="296"/>
        <v>7</v>
      </c>
      <c r="W627" s="873">
        <f t="shared" si="297"/>
        <v>3</v>
      </c>
      <c r="X627" s="873">
        <f t="shared" si="298"/>
        <v>0</v>
      </c>
      <c r="Y627" s="873">
        <f t="shared" si="299"/>
        <v>1</v>
      </c>
      <c r="Z627" s="873">
        <f t="shared" si="300"/>
        <v>4</v>
      </c>
      <c r="AA627" s="873">
        <f t="shared" si="301"/>
        <v>9</v>
      </c>
      <c r="AB627" s="874">
        <f t="shared" si="302"/>
        <v>13.960871651185032</v>
      </c>
    </row>
    <row r="628" spans="1:28">
      <c r="A628" s="210">
        <f t="shared" si="303"/>
        <v>1</v>
      </c>
      <c r="B628" s="210">
        <f>$F$571</f>
        <v>3</v>
      </c>
      <c r="C628" s="210">
        <f t="shared" si="304"/>
        <v>17</v>
      </c>
      <c r="D628" s="210">
        <f t="shared" si="304"/>
        <v>17</v>
      </c>
      <c r="E628" s="237">
        <f t="shared" si="284"/>
        <v>1</v>
      </c>
      <c r="F628" s="1208">
        <f t="shared" si="285"/>
        <v>0.8</v>
      </c>
      <c r="G628" s="210">
        <f t="shared" si="283"/>
        <v>0.8</v>
      </c>
      <c r="I628" s="233">
        <f t="shared" si="286"/>
        <v>11.200000000000003</v>
      </c>
      <c r="J628" s="210">
        <f t="shared" si="287"/>
        <v>0.8</v>
      </c>
      <c r="L628" s="233">
        <f t="shared" si="288"/>
        <v>5.9200000000000017</v>
      </c>
      <c r="M628" s="220">
        <f t="shared" si="289"/>
        <v>0.8</v>
      </c>
      <c r="O628" s="873">
        <f t="shared" si="290"/>
        <v>24</v>
      </c>
      <c r="P628" s="873">
        <f t="shared" si="290"/>
        <v>24</v>
      </c>
      <c r="Q628" s="874">
        <f t="shared" si="291"/>
        <v>20.669999999999998</v>
      </c>
      <c r="R628" s="873">
        <f t="shared" si="292"/>
        <v>10</v>
      </c>
      <c r="S628" s="873">
        <f t="shared" si="293"/>
        <v>14</v>
      </c>
      <c r="T628" s="874">
        <f t="shared" si="294"/>
        <v>17.633411486304666</v>
      </c>
      <c r="U628" s="874">
        <f t="shared" si="295"/>
        <v>15.750000000000004</v>
      </c>
      <c r="V628" s="873">
        <f t="shared" si="296"/>
        <v>7</v>
      </c>
      <c r="W628" s="873">
        <f t="shared" si="297"/>
        <v>3</v>
      </c>
      <c r="X628" s="873">
        <f t="shared" si="298"/>
        <v>0</v>
      </c>
      <c r="Y628" s="873">
        <f t="shared" si="299"/>
        <v>1</v>
      </c>
      <c r="Z628" s="873">
        <f t="shared" si="300"/>
        <v>4</v>
      </c>
      <c r="AA628" s="873">
        <f t="shared" si="301"/>
        <v>9</v>
      </c>
      <c r="AB628" s="874">
        <f t="shared" si="302"/>
        <v>13.960871651185032</v>
      </c>
    </row>
    <row r="629" spans="1:28">
      <c r="A629" s="210">
        <f t="shared" si="303"/>
        <v>1</v>
      </c>
      <c r="B629" s="210">
        <f>$F$572</f>
        <v>4</v>
      </c>
      <c r="C629" s="210">
        <f t="shared" si="304"/>
        <v>18</v>
      </c>
      <c r="D629" s="210">
        <f t="shared" si="304"/>
        <v>18</v>
      </c>
      <c r="E629" s="237">
        <f>INDEX($H$569:$H$575,B629)</f>
        <v>1</v>
      </c>
      <c r="F629" s="1208">
        <f t="shared" si="285"/>
        <v>0.8</v>
      </c>
      <c r="G629" s="210">
        <f t="shared" si="283"/>
        <v>0.8</v>
      </c>
      <c r="I629" s="233">
        <f t="shared" si="286"/>
        <v>11.200000000000003</v>
      </c>
      <c r="J629" s="210">
        <f t="shared" si="287"/>
        <v>0.8</v>
      </c>
      <c r="L629" s="233">
        <f t="shared" si="288"/>
        <v>5.9200000000000017</v>
      </c>
      <c r="M629" s="220">
        <f t="shared" si="289"/>
        <v>0.8</v>
      </c>
      <c r="O629" s="873">
        <f t="shared" si="290"/>
        <v>24</v>
      </c>
      <c r="P629" s="873">
        <f t="shared" si="290"/>
        <v>24</v>
      </c>
      <c r="Q629" s="874">
        <f t="shared" si="291"/>
        <v>20.669999999999998</v>
      </c>
      <c r="R629" s="873">
        <f t="shared" si="292"/>
        <v>10</v>
      </c>
      <c r="S629" s="873">
        <f t="shared" si="293"/>
        <v>14</v>
      </c>
      <c r="T629" s="874">
        <f t="shared" si="294"/>
        <v>17.633411486304666</v>
      </c>
      <c r="U629" s="874">
        <f t="shared" si="295"/>
        <v>15.750000000000004</v>
      </c>
      <c r="V629" s="873">
        <f t="shared" si="296"/>
        <v>7</v>
      </c>
      <c r="W629" s="873">
        <f t="shared" si="297"/>
        <v>3</v>
      </c>
      <c r="X629" s="873">
        <f t="shared" si="298"/>
        <v>0</v>
      </c>
      <c r="Y629" s="873">
        <f t="shared" si="299"/>
        <v>1</v>
      </c>
      <c r="Z629" s="873">
        <f t="shared" si="300"/>
        <v>4</v>
      </c>
      <c r="AA629" s="873">
        <f t="shared" si="301"/>
        <v>9</v>
      </c>
      <c r="AB629" s="874">
        <f t="shared" si="302"/>
        <v>13.960871651185032</v>
      </c>
    </row>
    <row r="630" spans="1:28">
      <c r="A630" s="210">
        <f t="shared" si="303"/>
        <v>1</v>
      </c>
      <c r="B630" s="210">
        <f>$F$573</f>
        <v>5</v>
      </c>
      <c r="C630" s="210">
        <f t="shared" ref="C630:D645" si="305">C629+1</f>
        <v>19</v>
      </c>
      <c r="D630" s="210">
        <f t="shared" si="305"/>
        <v>19</v>
      </c>
      <c r="E630" s="237">
        <f t="shared" si="284"/>
        <v>1</v>
      </c>
      <c r="F630" s="1208">
        <f t="shared" si="285"/>
        <v>0.8</v>
      </c>
      <c r="G630" s="210">
        <f t="shared" si="283"/>
        <v>0.8</v>
      </c>
      <c r="I630" s="233">
        <f t="shared" si="286"/>
        <v>11.200000000000003</v>
      </c>
      <c r="J630" s="210">
        <f t="shared" si="287"/>
        <v>0.8</v>
      </c>
      <c r="L630" s="233">
        <f t="shared" si="288"/>
        <v>5.9200000000000017</v>
      </c>
      <c r="M630" s="220">
        <f t="shared" si="289"/>
        <v>0.8</v>
      </c>
      <c r="O630" s="873">
        <f t="shared" si="290"/>
        <v>24</v>
      </c>
      <c r="P630" s="873">
        <f t="shared" si="290"/>
        <v>24</v>
      </c>
      <c r="Q630" s="874">
        <f t="shared" si="291"/>
        <v>20.669999999999998</v>
      </c>
      <c r="R630" s="873">
        <f t="shared" si="292"/>
        <v>10</v>
      </c>
      <c r="S630" s="873">
        <f t="shared" si="293"/>
        <v>14</v>
      </c>
      <c r="T630" s="874">
        <f t="shared" si="294"/>
        <v>17.633411486304666</v>
      </c>
      <c r="U630" s="874">
        <f t="shared" si="295"/>
        <v>15.750000000000004</v>
      </c>
      <c r="V630" s="873">
        <f t="shared" si="296"/>
        <v>7</v>
      </c>
      <c r="W630" s="873">
        <f t="shared" si="297"/>
        <v>3</v>
      </c>
      <c r="X630" s="873">
        <f t="shared" si="298"/>
        <v>0</v>
      </c>
      <c r="Y630" s="873">
        <f t="shared" si="299"/>
        <v>1</v>
      </c>
      <c r="Z630" s="873">
        <f t="shared" si="300"/>
        <v>4</v>
      </c>
      <c r="AA630" s="873">
        <f t="shared" si="301"/>
        <v>9</v>
      </c>
      <c r="AB630" s="874">
        <f t="shared" si="302"/>
        <v>13.960871651185032</v>
      </c>
    </row>
    <row r="631" spans="1:28">
      <c r="A631" s="210">
        <f t="shared" si="303"/>
        <v>1</v>
      </c>
      <c r="B631" s="210">
        <f>$F$574</f>
        <v>6</v>
      </c>
      <c r="C631" s="210">
        <f t="shared" si="305"/>
        <v>20</v>
      </c>
      <c r="D631" s="210">
        <f t="shared" si="305"/>
        <v>20</v>
      </c>
      <c r="E631" s="237">
        <f t="shared" si="284"/>
        <v>1</v>
      </c>
      <c r="F631" s="1208">
        <f t="shared" si="285"/>
        <v>0.8</v>
      </c>
      <c r="G631" s="210">
        <f t="shared" si="283"/>
        <v>0.8</v>
      </c>
      <c r="I631" s="233">
        <f t="shared" si="286"/>
        <v>11.200000000000003</v>
      </c>
      <c r="J631" s="210">
        <f t="shared" si="287"/>
        <v>0.8</v>
      </c>
      <c r="L631" s="233">
        <f t="shared" si="288"/>
        <v>5.9200000000000017</v>
      </c>
      <c r="M631" s="220">
        <f t="shared" si="289"/>
        <v>0.8</v>
      </c>
      <c r="O631" s="873">
        <f t="shared" si="290"/>
        <v>24</v>
      </c>
      <c r="P631" s="873">
        <f t="shared" si="290"/>
        <v>24</v>
      </c>
      <c r="Q631" s="874">
        <f t="shared" si="291"/>
        <v>20.669999999999998</v>
      </c>
      <c r="R631" s="873">
        <f t="shared" si="292"/>
        <v>10</v>
      </c>
      <c r="S631" s="873">
        <f t="shared" si="293"/>
        <v>14</v>
      </c>
      <c r="T631" s="874">
        <f t="shared" si="294"/>
        <v>17.633411486304666</v>
      </c>
      <c r="U631" s="874">
        <f t="shared" si="295"/>
        <v>15.750000000000004</v>
      </c>
      <c r="V631" s="873">
        <f t="shared" si="296"/>
        <v>7</v>
      </c>
      <c r="W631" s="873">
        <f t="shared" si="297"/>
        <v>3</v>
      </c>
      <c r="X631" s="873">
        <f t="shared" si="298"/>
        <v>0</v>
      </c>
      <c r="Y631" s="873">
        <f t="shared" si="299"/>
        <v>1</v>
      </c>
      <c r="Z631" s="873">
        <f t="shared" si="300"/>
        <v>4</v>
      </c>
      <c r="AA631" s="873">
        <f t="shared" si="301"/>
        <v>9</v>
      </c>
      <c r="AB631" s="874">
        <f t="shared" si="302"/>
        <v>13.960871651185032</v>
      </c>
    </row>
    <row r="632" spans="1:28">
      <c r="A632" s="210">
        <f t="shared" si="303"/>
        <v>1</v>
      </c>
      <c r="B632" s="210">
        <f>$F$575</f>
        <v>7</v>
      </c>
      <c r="C632" s="210">
        <f t="shared" si="305"/>
        <v>21</v>
      </c>
      <c r="D632" s="210">
        <f t="shared" si="305"/>
        <v>21</v>
      </c>
      <c r="E632" s="237">
        <f t="shared" si="284"/>
        <v>1</v>
      </c>
      <c r="F632" s="1208">
        <f t="shared" si="285"/>
        <v>0.8</v>
      </c>
      <c r="G632" s="210">
        <f t="shared" si="283"/>
        <v>0.8</v>
      </c>
      <c r="I632" s="233">
        <f t="shared" si="286"/>
        <v>11.200000000000003</v>
      </c>
      <c r="J632" s="210">
        <f t="shared" si="287"/>
        <v>0.8</v>
      </c>
      <c r="L632" s="233">
        <f t="shared" si="288"/>
        <v>5.9200000000000017</v>
      </c>
      <c r="M632" s="220">
        <f t="shared" si="289"/>
        <v>0.8</v>
      </c>
      <c r="O632" s="873">
        <f t="shared" si="290"/>
        <v>24</v>
      </c>
      <c r="P632" s="873">
        <f t="shared" si="290"/>
        <v>24</v>
      </c>
      <c r="Q632" s="874">
        <f t="shared" si="291"/>
        <v>20.669999999999998</v>
      </c>
      <c r="R632" s="873">
        <f t="shared" si="292"/>
        <v>10</v>
      </c>
      <c r="S632" s="873">
        <f t="shared" si="293"/>
        <v>14</v>
      </c>
      <c r="T632" s="874">
        <f t="shared" si="294"/>
        <v>17.633411486304666</v>
      </c>
      <c r="U632" s="874">
        <f t="shared" si="295"/>
        <v>15.750000000000004</v>
      </c>
      <c r="V632" s="873">
        <f t="shared" si="296"/>
        <v>7</v>
      </c>
      <c r="W632" s="873">
        <f t="shared" si="297"/>
        <v>3</v>
      </c>
      <c r="X632" s="873">
        <f t="shared" si="298"/>
        <v>0</v>
      </c>
      <c r="Y632" s="873">
        <f t="shared" si="299"/>
        <v>1</v>
      </c>
      <c r="Z632" s="873">
        <f t="shared" si="300"/>
        <v>4</v>
      </c>
      <c r="AA632" s="873">
        <f t="shared" si="301"/>
        <v>9</v>
      </c>
      <c r="AB632" s="874">
        <f t="shared" si="302"/>
        <v>13.960871651185032</v>
      </c>
    </row>
    <row r="633" spans="1:28">
      <c r="A633" s="210">
        <f t="shared" si="303"/>
        <v>1</v>
      </c>
      <c r="B633" s="210">
        <f>$F$569</f>
        <v>1</v>
      </c>
      <c r="C633" s="210">
        <f t="shared" si="305"/>
        <v>22</v>
      </c>
      <c r="D633" s="210">
        <f t="shared" si="305"/>
        <v>22</v>
      </c>
      <c r="E633" s="237">
        <f t="shared" si="284"/>
        <v>1</v>
      </c>
      <c r="F633" s="1208">
        <f t="shared" si="285"/>
        <v>0.8</v>
      </c>
      <c r="G633" s="210">
        <f t="shared" si="283"/>
        <v>0.8</v>
      </c>
      <c r="I633" s="233">
        <f t="shared" si="286"/>
        <v>11.200000000000003</v>
      </c>
      <c r="J633" s="210">
        <f t="shared" si="287"/>
        <v>0.8</v>
      </c>
      <c r="L633" s="233">
        <f t="shared" si="288"/>
        <v>5.9200000000000017</v>
      </c>
      <c r="M633" s="220">
        <f t="shared" si="289"/>
        <v>0.8</v>
      </c>
      <c r="O633" s="873">
        <f t="shared" si="290"/>
        <v>24</v>
      </c>
      <c r="P633" s="873">
        <f t="shared" si="290"/>
        <v>24</v>
      </c>
      <c r="Q633" s="874">
        <f t="shared" si="291"/>
        <v>20.669999999999998</v>
      </c>
      <c r="R633" s="873">
        <f t="shared" si="292"/>
        <v>10</v>
      </c>
      <c r="S633" s="873">
        <f t="shared" si="293"/>
        <v>14</v>
      </c>
      <c r="T633" s="874">
        <f t="shared" si="294"/>
        <v>17.633411486304666</v>
      </c>
      <c r="U633" s="874">
        <f t="shared" si="295"/>
        <v>15.750000000000004</v>
      </c>
      <c r="V633" s="873">
        <f t="shared" si="296"/>
        <v>7</v>
      </c>
      <c r="W633" s="873">
        <f t="shared" si="297"/>
        <v>3</v>
      </c>
      <c r="X633" s="873">
        <f t="shared" si="298"/>
        <v>0</v>
      </c>
      <c r="Y633" s="873">
        <f t="shared" si="299"/>
        <v>1</v>
      </c>
      <c r="Z633" s="873">
        <f t="shared" si="300"/>
        <v>4</v>
      </c>
      <c r="AA633" s="873">
        <f t="shared" si="301"/>
        <v>9</v>
      </c>
      <c r="AB633" s="874">
        <f t="shared" si="302"/>
        <v>13.960871651185032</v>
      </c>
    </row>
    <row r="634" spans="1:28">
      <c r="A634" s="210">
        <f t="shared" si="303"/>
        <v>1</v>
      </c>
      <c r="B634" s="210">
        <f>$F$570</f>
        <v>2</v>
      </c>
      <c r="C634" s="210">
        <f t="shared" si="305"/>
        <v>23</v>
      </c>
      <c r="D634" s="210">
        <f t="shared" si="305"/>
        <v>23</v>
      </c>
      <c r="E634" s="237">
        <f t="shared" si="284"/>
        <v>1</v>
      </c>
      <c r="F634" s="1208">
        <f t="shared" si="285"/>
        <v>0.8</v>
      </c>
      <c r="G634" s="210">
        <f t="shared" si="283"/>
        <v>0.8</v>
      </c>
      <c r="I634" s="233">
        <f t="shared" si="286"/>
        <v>11.200000000000003</v>
      </c>
      <c r="J634" s="210">
        <f t="shared" si="287"/>
        <v>0.8</v>
      </c>
      <c r="L634" s="233">
        <f t="shared" si="288"/>
        <v>5.9200000000000017</v>
      </c>
      <c r="M634" s="220">
        <f t="shared" si="289"/>
        <v>0.8</v>
      </c>
      <c r="O634" s="873">
        <f t="shared" si="290"/>
        <v>24</v>
      </c>
      <c r="P634" s="873">
        <f t="shared" si="290"/>
        <v>24</v>
      </c>
      <c r="Q634" s="874">
        <f t="shared" si="291"/>
        <v>20.669999999999998</v>
      </c>
      <c r="R634" s="873">
        <f t="shared" si="292"/>
        <v>10</v>
      </c>
      <c r="S634" s="873">
        <f t="shared" si="293"/>
        <v>14</v>
      </c>
      <c r="T634" s="874">
        <f t="shared" si="294"/>
        <v>17.633411486304666</v>
      </c>
      <c r="U634" s="874">
        <f t="shared" si="295"/>
        <v>15.750000000000004</v>
      </c>
      <c r="V634" s="873">
        <f t="shared" si="296"/>
        <v>7</v>
      </c>
      <c r="W634" s="873">
        <f t="shared" si="297"/>
        <v>3</v>
      </c>
      <c r="X634" s="873">
        <f t="shared" si="298"/>
        <v>0</v>
      </c>
      <c r="Y634" s="873">
        <f t="shared" si="299"/>
        <v>1</v>
      </c>
      <c r="Z634" s="873">
        <f t="shared" si="300"/>
        <v>4</v>
      </c>
      <c r="AA634" s="873">
        <f t="shared" si="301"/>
        <v>9</v>
      </c>
      <c r="AB634" s="874">
        <f t="shared" si="302"/>
        <v>13.960871651185032</v>
      </c>
    </row>
    <row r="635" spans="1:28">
      <c r="A635" s="210">
        <f t="shared" si="303"/>
        <v>1</v>
      </c>
      <c r="B635" s="210">
        <f>$F$571</f>
        <v>3</v>
      </c>
      <c r="C635" s="210">
        <f t="shared" si="305"/>
        <v>24</v>
      </c>
      <c r="D635" s="210">
        <f t="shared" si="305"/>
        <v>24</v>
      </c>
      <c r="E635" s="237">
        <f t="shared" si="284"/>
        <v>1</v>
      </c>
      <c r="F635" s="1208">
        <f t="shared" si="285"/>
        <v>0.8</v>
      </c>
      <c r="G635" s="210">
        <f t="shared" si="283"/>
        <v>0.8</v>
      </c>
      <c r="I635" s="233">
        <f t="shared" si="286"/>
        <v>11.200000000000003</v>
      </c>
      <c r="J635" s="210">
        <f t="shared" si="287"/>
        <v>0.8</v>
      </c>
      <c r="L635" s="233">
        <f t="shared" si="288"/>
        <v>5.9200000000000017</v>
      </c>
      <c r="M635" s="220">
        <f t="shared" si="289"/>
        <v>0.8</v>
      </c>
      <c r="O635" s="873">
        <f t="shared" si="290"/>
        <v>24</v>
      </c>
      <c r="P635" s="873">
        <f t="shared" si="290"/>
        <v>24</v>
      </c>
      <c r="Q635" s="874">
        <f t="shared" si="291"/>
        <v>20.669999999999998</v>
      </c>
      <c r="R635" s="873">
        <f t="shared" si="292"/>
        <v>10</v>
      </c>
      <c r="S635" s="873">
        <f t="shared" si="293"/>
        <v>14</v>
      </c>
      <c r="T635" s="874">
        <f t="shared" si="294"/>
        <v>17.633411486304666</v>
      </c>
      <c r="U635" s="874">
        <f t="shared" si="295"/>
        <v>15.750000000000004</v>
      </c>
      <c r="V635" s="873">
        <f t="shared" si="296"/>
        <v>7</v>
      </c>
      <c r="W635" s="873">
        <f t="shared" si="297"/>
        <v>3</v>
      </c>
      <c r="X635" s="873">
        <f t="shared" si="298"/>
        <v>0</v>
      </c>
      <c r="Y635" s="873">
        <f t="shared" si="299"/>
        <v>1</v>
      </c>
      <c r="Z635" s="873">
        <f t="shared" si="300"/>
        <v>4</v>
      </c>
      <c r="AA635" s="873">
        <f t="shared" si="301"/>
        <v>9</v>
      </c>
      <c r="AB635" s="874">
        <f t="shared" si="302"/>
        <v>13.960871651185032</v>
      </c>
    </row>
    <row r="636" spans="1:28">
      <c r="A636" s="210">
        <f t="shared" si="303"/>
        <v>1</v>
      </c>
      <c r="B636" s="210">
        <f>$F$572</f>
        <v>4</v>
      </c>
      <c r="C636" s="210">
        <f t="shared" si="305"/>
        <v>25</v>
      </c>
      <c r="D636" s="210">
        <f t="shared" si="305"/>
        <v>25</v>
      </c>
      <c r="E636" s="237">
        <f t="shared" si="284"/>
        <v>1</v>
      </c>
      <c r="F636" s="1208">
        <f t="shared" si="285"/>
        <v>0.8</v>
      </c>
      <c r="G636" s="210">
        <f t="shared" si="283"/>
        <v>0.8</v>
      </c>
      <c r="I636" s="233">
        <f t="shared" si="286"/>
        <v>11.200000000000003</v>
      </c>
      <c r="J636" s="210">
        <f t="shared" si="287"/>
        <v>0.8</v>
      </c>
      <c r="L636" s="233">
        <f t="shared" si="288"/>
        <v>5.9200000000000017</v>
      </c>
      <c r="M636" s="220">
        <f t="shared" si="289"/>
        <v>0.8</v>
      </c>
      <c r="O636" s="873">
        <f t="shared" si="290"/>
        <v>24</v>
      </c>
      <c r="P636" s="873">
        <f t="shared" si="290"/>
        <v>24</v>
      </c>
      <c r="Q636" s="874">
        <f t="shared" si="291"/>
        <v>20.669999999999998</v>
      </c>
      <c r="R636" s="873">
        <f t="shared" si="292"/>
        <v>10</v>
      </c>
      <c r="S636" s="873">
        <f t="shared" si="293"/>
        <v>14</v>
      </c>
      <c r="T636" s="874">
        <f t="shared" si="294"/>
        <v>17.633411486304666</v>
      </c>
      <c r="U636" s="874">
        <f t="shared" si="295"/>
        <v>15.750000000000004</v>
      </c>
      <c r="V636" s="873">
        <f t="shared" si="296"/>
        <v>7</v>
      </c>
      <c r="W636" s="873">
        <f t="shared" si="297"/>
        <v>3</v>
      </c>
      <c r="X636" s="873">
        <f t="shared" si="298"/>
        <v>0</v>
      </c>
      <c r="Y636" s="873">
        <f t="shared" si="299"/>
        <v>1</v>
      </c>
      <c r="Z636" s="873">
        <f t="shared" si="300"/>
        <v>4</v>
      </c>
      <c r="AA636" s="873">
        <f t="shared" si="301"/>
        <v>9</v>
      </c>
      <c r="AB636" s="874">
        <f t="shared" si="302"/>
        <v>13.960871651185032</v>
      </c>
    </row>
    <row r="637" spans="1:28">
      <c r="A637" s="210">
        <f t="shared" si="303"/>
        <v>1</v>
      </c>
      <c r="B637" s="210">
        <f>$F$573</f>
        <v>5</v>
      </c>
      <c r="C637" s="210">
        <f t="shared" si="305"/>
        <v>26</v>
      </c>
      <c r="D637" s="210">
        <f t="shared" si="305"/>
        <v>26</v>
      </c>
      <c r="E637" s="237">
        <f t="shared" si="284"/>
        <v>1</v>
      </c>
      <c r="F637" s="1208">
        <f t="shared" si="285"/>
        <v>0.8</v>
      </c>
      <c r="G637" s="210">
        <f t="shared" si="283"/>
        <v>0.8</v>
      </c>
      <c r="I637" s="233">
        <f t="shared" si="286"/>
        <v>11.200000000000003</v>
      </c>
      <c r="J637" s="210">
        <f t="shared" si="287"/>
        <v>0.8</v>
      </c>
      <c r="L637" s="233">
        <f t="shared" si="288"/>
        <v>5.9200000000000017</v>
      </c>
      <c r="M637" s="220">
        <f t="shared" si="289"/>
        <v>0.8</v>
      </c>
      <c r="O637" s="873">
        <f t="shared" si="290"/>
        <v>24</v>
      </c>
      <c r="P637" s="873">
        <f t="shared" si="290"/>
        <v>24</v>
      </c>
      <c r="Q637" s="874">
        <f t="shared" si="291"/>
        <v>20.669999999999998</v>
      </c>
      <c r="R637" s="873">
        <f t="shared" si="292"/>
        <v>10</v>
      </c>
      <c r="S637" s="873">
        <f t="shared" si="293"/>
        <v>14</v>
      </c>
      <c r="T637" s="874">
        <f t="shared" si="294"/>
        <v>17.633411486304666</v>
      </c>
      <c r="U637" s="874">
        <f t="shared" si="295"/>
        <v>15.750000000000004</v>
      </c>
      <c r="V637" s="873">
        <f t="shared" si="296"/>
        <v>7</v>
      </c>
      <c r="W637" s="873">
        <f t="shared" si="297"/>
        <v>3</v>
      </c>
      <c r="X637" s="873">
        <f t="shared" si="298"/>
        <v>0</v>
      </c>
      <c r="Y637" s="873">
        <f t="shared" si="299"/>
        <v>1</v>
      </c>
      <c r="Z637" s="873">
        <f t="shared" si="300"/>
        <v>4</v>
      </c>
      <c r="AA637" s="873">
        <f t="shared" si="301"/>
        <v>9</v>
      </c>
      <c r="AB637" s="874">
        <f t="shared" si="302"/>
        <v>13.960871651185032</v>
      </c>
    </row>
    <row r="638" spans="1:28">
      <c r="A638" s="210">
        <f t="shared" si="303"/>
        <v>1</v>
      </c>
      <c r="B638" s="210">
        <f>$F$574</f>
        <v>6</v>
      </c>
      <c r="C638" s="210">
        <f t="shared" si="305"/>
        <v>27</v>
      </c>
      <c r="D638" s="210">
        <f t="shared" si="305"/>
        <v>27</v>
      </c>
      <c r="E638" s="237">
        <f t="shared" si="284"/>
        <v>1</v>
      </c>
      <c r="F638" s="1208">
        <f t="shared" si="285"/>
        <v>0.8</v>
      </c>
      <c r="G638" s="210">
        <f t="shared" si="283"/>
        <v>0.8</v>
      </c>
      <c r="I638" s="233">
        <f t="shared" si="286"/>
        <v>11.200000000000003</v>
      </c>
      <c r="J638" s="210">
        <f t="shared" si="287"/>
        <v>0.8</v>
      </c>
      <c r="L638" s="233">
        <f t="shared" si="288"/>
        <v>5.9200000000000017</v>
      </c>
      <c r="M638" s="220">
        <f t="shared" si="289"/>
        <v>0.8</v>
      </c>
      <c r="O638" s="873">
        <f t="shared" si="290"/>
        <v>24</v>
      </c>
      <c r="P638" s="873">
        <f t="shared" si="290"/>
        <v>24</v>
      </c>
      <c r="Q638" s="874">
        <f t="shared" si="291"/>
        <v>20.669999999999998</v>
      </c>
      <c r="R638" s="873">
        <f t="shared" si="292"/>
        <v>10</v>
      </c>
      <c r="S638" s="873">
        <f t="shared" si="293"/>
        <v>14</v>
      </c>
      <c r="T638" s="874">
        <f t="shared" si="294"/>
        <v>17.633411486304666</v>
      </c>
      <c r="U638" s="874">
        <f t="shared" si="295"/>
        <v>15.750000000000004</v>
      </c>
      <c r="V638" s="873">
        <f t="shared" si="296"/>
        <v>7</v>
      </c>
      <c r="W638" s="873">
        <f t="shared" si="297"/>
        <v>3</v>
      </c>
      <c r="X638" s="873">
        <f t="shared" si="298"/>
        <v>0</v>
      </c>
      <c r="Y638" s="873">
        <f t="shared" si="299"/>
        <v>1</v>
      </c>
      <c r="Z638" s="873">
        <f t="shared" si="300"/>
        <v>4</v>
      </c>
      <c r="AA638" s="873">
        <f t="shared" si="301"/>
        <v>9</v>
      </c>
      <c r="AB638" s="874">
        <f t="shared" si="302"/>
        <v>13.960871651185032</v>
      </c>
    </row>
    <row r="639" spans="1:28">
      <c r="A639" s="210">
        <f t="shared" si="303"/>
        <v>1</v>
      </c>
      <c r="B639" s="210">
        <f>$F$575</f>
        <v>7</v>
      </c>
      <c r="C639" s="210">
        <f t="shared" si="305"/>
        <v>28</v>
      </c>
      <c r="D639" s="210">
        <f t="shared" si="305"/>
        <v>28</v>
      </c>
      <c r="E639" s="237">
        <f t="shared" si="284"/>
        <v>1</v>
      </c>
      <c r="F639" s="1208">
        <f t="shared" si="285"/>
        <v>0.8</v>
      </c>
      <c r="G639" s="210">
        <f t="shared" si="283"/>
        <v>0.8</v>
      </c>
      <c r="I639" s="233">
        <f t="shared" si="286"/>
        <v>11.200000000000003</v>
      </c>
      <c r="J639" s="210">
        <f t="shared" si="287"/>
        <v>0.8</v>
      </c>
      <c r="L639" s="233">
        <f t="shared" si="288"/>
        <v>5.9200000000000017</v>
      </c>
      <c r="M639" s="220">
        <f t="shared" si="289"/>
        <v>0.8</v>
      </c>
      <c r="O639" s="873">
        <f t="shared" si="290"/>
        <v>24</v>
      </c>
      <c r="P639" s="873">
        <f t="shared" si="290"/>
        <v>24</v>
      </c>
      <c r="Q639" s="874">
        <f t="shared" si="291"/>
        <v>20.669999999999998</v>
      </c>
      <c r="R639" s="873">
        <f t="shared" si="292"/>
        <v>10</v>
      </c>
      <c r="S639" s="873">
        <f t="shared" si="293"/>
        <v>14</v>
      </c>
      <c r="T639" s="874">
        <f t="shared" si="294"/>
        <v>17.633411486304666</v>
      </c>
      <c r="U639" s="874">
        <f t="shared" si="295"/>
        <v>15.750000000000004</v>
      </c>
      <c r="V639" s="873">
        <f t="shared" si="296"/>
        <v>7</v>
      </c>
      <c r="W639" s="873">
        <f t="shared" si="297"/>
        <v>3</v>
      </c>
      <c r="X639" s="873">
        <f t="shared" si="298"/>
        <v>0</v>
      </c>
      <c r="Y639" s="873">
        <f t="shared" si="299"/>
        <v>1</v>
      </c>
      <c r="Z639" s="873">
        <f t="shared" si="300"/>
        <v>4</v>
      </c>
      <c r="AA639" s="873">
        <f t="shared" si="301"/>
        <v>9</v>
      </c>
      <c r="AB639" s="874">
        <f t="shared" si="302"/>
        <v>13.960871651185032</v>
      </c>
    </row>
    <row r="640" spans="1:28">
      <c r="A640" s="210">
        <f t="shared" si="303"/>
        <v>1</v>
      </c>
      <c r="B640" s="210">
        <f>$F$569</f>
        <v>1</v>
      </c>
      <c r="C640" s="210">
        <f t="shared" si="305"/>
        <v>29</v>
      </c>
      <c r="D640" s="210">
        <f t="shared" si="305"/>
        <v>29</v>
      </c>
      <c r="E640" s="237">
        <f t="shared" si="284"/>
        <v>1</v>
      </c>
      <c r="F640" s="1208">
        <f t="shared" si="285"/>
        <v>0.8</v>
      </c>
      <c r="G640" s="210">
        <f t="shared" si="283"/>
        <v>0.8</v>
      </c>
      <c r="I640" s="233">
        <f t="shared" si="286"/>
        <v>11.200000000000003</v>
      </c>
      <c r="J640" s="210">
        <f t="shared" si="287"/>
        <v>0.8</v>
      </c>
      <c r="L640" s="233">
        <f t="shared" si="288"/>
        <v>5.9200000000000017</v>
      </c>
      <c r="M640" s="220">
        <f t="shared" si="289"/>
        <v>0.8</v>
      </c>
      <c r="O640" s="873">
        <f t="shared" si="290"/>
        <v>24</v>
      </c>
      <c r="P640" s="873">
        <f t="shared" si="290"/>
        <v>24</v>
      </c>
      <c r="Q640" s="874">
        <f t="shared" si="291"/>
        <v>20.669999999999998</v>
      </c>
      <c r="R640" s="873">
        <f t="shared" si="292"/>
        <v>10</v>
      </c>
      <c r="S640" s="873">
        <f t="shared" si="293"/>
        <v>14</v>
      </c>
      <c r="T640" s="874">
        <f t="shared" si="294"/>
        <v>17.633411486304666</v>
      </c>
      <c r="U640" s="874">
        <f t="shared" si="295"/>
        <v>15.750000000000004</v>
      </c>
      <c r="V640" s="873">
        <f t="shared" si="296"/>
        <v>7</v>
      </c>
      <c r="W640" s="873">
        <f t="shared" si="297"/>
        <v>3</v>
      </c>
      <c r="X640" s="873">
        <f t="shared" si="298"/>
        <v>0</v>
      </c>
      <c r="Y640" s="873">
        <f t="shared" si="299"/>
        <v>1</v>
      </c>
      <c r="Z640" s="873">
        <f t="shared" si="300"/>
        <v>4</v>
      </c>
      <c r="AA640" s="873">
        <f t="shared" si="301"/>
        <v>9</v>
      </c>
      <c r="AB640" s="874">
        <f t="shared" si="302"/>
        <v>13.960871651185032</v>
      </c>
    </row>
    <row r="641" spans="1:28">
      <c r="A641" s="210">
        <f t="shared" si="303"/>
        <v>1</v>
      </c>
      <c r="B641" s="210">
        <f>$F$570</f>
        <v>2</v>
      </c>
      <c r="C641" s="210">
        <f t="shared" si="305"/>
        <v>30</v>
      </c>
      <c r="D641" s="210">
        <f t="shared" si="305"/>
        <v>30</v>
      </c>
      <c r="E641" s="237">
        <f t="shared" si="284"/>
        <v>1</v>
      </c>
      <c r="F641" s="1208">
        <f t="shared" si="285"/>
        <v>0.8</v>
      </c>
      <c r="G641" s="210">
        <f t="shared" si="283"/>
        <v>0.8</v>
      </c>
      <c r="I641" s="233">
        <f t="shared" si="286"/>
        <v>11.200000000000003</v>
      </c>
      <c r="J641" s="210">
        <f t="shared" si="287"/>
        <v>0.8</v>
      </c>
      <c r="L641" s="233">
        <f t="shared" si="288"/>
        <v>5.9200000000000017</v>
      </c>
      <c r="M641" s="220">
        <f t="shared" si="289"/>
        <v>0.8</v>
      </c>
      <c r="O641" s="873">
        <f t="shared" si="290"/>
        <v>24</v>
      </c>
      <c r="P641" s="873">
        <f t="shared" si="290"/>
        <v>24</v>
      </c>
      <c r="Q641" s="874">
        <f t="shared" si="291"/>
        <v>20.669999999999998</v>
      </c>
      <c r="R641" s="873">
        <f t="shared" si="292"/>
        <v>10</v>
      </c>
      <c r="S641" s="873">
        <f t="shared" si="293"/>
        <v>14</v>
      </c>
      <c r="T641" s="874">
        <f t="shared" si="294"/>
        <v>17.633411486304666</v>
      </c>
      <c r="U641" s="874">
        <f t="shared" si="295"/>
        <v>15.750000000000004</v>
      </c>
      <c r="V641" s="873">
        <f t="shared" si="296"/>
        <v>7</v>
      </c>
      <c r="W641" s="873">
        <f t="shared" si="297"/>
        <v>3</v>
      </c>
      <c r="X641" s="873">
        <f t="shared" si="298"/>
        <v>0</v>
      </c>
      <c r="Y641" s="873">
        <f t="shared" si="299"/>
        <v>1</v>
      </c>
      <c r="Z641" s="873">
        <f t="shared" si="300"/>
        <v>4</v>
      </c>
      <c r="AA641" s="873">
        <f t="shared" si="301"/>
        <v>9</v>
      </c>
      <c r="AB641" s="874">
        <f t="shared" si="302"/>
        <v>13.960871651185032</v>
      </c>
    </row>
    <row r="642" spans="1:28">
      <c r="A642" s="210">
        <f t="shared" si="303"/>
        <v>1</v>
      </c>
      <c r="B642" s="210">
        <f>$F$571</f>
        <v>3</v>
      </c>
      <c r="C642" s="210">
        <f t="shared" si="305"/>
        <v>31</v>
      </c>
      <c r="D642" s="210">
        <f t="shared" si="305"/>
        <v>31</v>
      </c>
      <c r="E642" s="237">
        <f t="shared" si="284"/>
        <v>1</v>
      </c>
      <c r="F642" s="1208">
        <f t="shared" si="285"/>
        <v>0.8</v>
      </c>
      <c r="G642" s="210">
        <f t="shared" si="283"/>
        <v>0.8</v>
      </c>
      <c r="I642" s="233">
        <f t="shared" si="286"/>
        <v>11.200000000000003</v>
      </c>
      <c r="J642" s="210">
        <f t="shared" si="287"/>
        <v>0.8</v>
      </c>
      <c r="L642" s="233">
        <f t="shared" si="288"/>
        <v>5.9200000000000017</v>
      </c>
      <c r="M642" s="220">
        <f t="shared" si="289"/>
        <v>0.8</v>
      </c>
      <c r="O642" s="873">
        <f t="shared" si="290"/>
        <v>24</v>
      </c>
      <c r="P642" s="873">
        <f t="shared" si="290"/>
        <v>24</v>
      </c>
      <c r="Q642" s="874">
        <f t="shared" si="291"/>
        <v>20.669999999999998</v>
      </c>
      <c r="R642" s="873">
        <f t="shared" si="292"/>
        <v>10</v>
      </c>
      <c r="S642" s="873">
        <f t="shared" si="293"/>
        <v>14</v>
      </c>
      <c r="T642" s="874">
        <f t="shared" si="294"/>
        <v>17.633411486304666</v>
      </c>
      <c r="U642" s="874">
        <f t="shared" si="295"/>
        <v>15.750000000000004</v>
      </c>
      <c r="V642" s="873">
        <f t="shared" si="296"/>
        <v>7</v>
      </c>
      <c r="W642" s="873">
        <f t="shared" si="297"/>
        <v>3</v>
      </c>
      <c r="X642" s="873">
        <f t="shared" si="298"/>
        <v>0</v>
      </c>
      <c r="Y642" s="873">
        <f t="shared" si="299"/>
        <v>1</v>
      </c>
      <c r="Z642" s="873">
        <f t="shared" si="300"/>
        <v>4</v>
      </c>
      <c r="AA642" s="873">
        <f t="shared" si="301"/>
        <v>9</v>
      </c>
      <c r="AB642" s="874">
        <f t="shared" si="302"/>
        <v>13.960871651185032</v>
      </c>
    </row>
    <row r="643" spans="1:28">
      <c r="A643" s="210">
        <v>2</v>
      </c>
      <c r="B643" s="210">
        <f>$F$572</f>
        <v>4</v>
      </c>
      <c r="C643" s="210">
        <v>1</v>
      </c>
      <c r="D643" s="210">
        <f t="shared" si="305"/>
        <v>32</v>
      </c>
      <c r="E643" s="237">
        <f t="shared" si="284"/>
        <v>1</v>
      </c>
      <c r="F643" s="1208">
        <f t="shared" si="285"/>
        <v>0.6</v>
      </c>
      <c r="G643" s="210">
        <f t="shared" si="283"/>
        <v>0.8</v>
      </c>
      <c r="I643" s="233">
        <f t="shared" si="286"/>
        <v>11.200000000000003</v>
      </c>
      <c r="J643" s="210">
        <f t="shared" si="287"/>
        <v>0.8</v>
      </c>
      <c r="L643" s="233">
        <f t="shared" si="288"/>
        <v>5.9200000000000017</v>
      </c>
      <c r="M643" s="220">
        <f t="shared" si="289"/>
        <v>0.8</v>
      </c>
      <c r="O643" s="873">
        <f t="shared" si="290"/>
        <v>24</v>
      </c>
      <c r="P643" s="873">
        <f t="shared" si="290"/>
        <v>24</v>
      </c>
      <c r="Q643" s="874">
        <f t="shared" si="291"/>
        <v>20.669999999999998</v>
      </c>
      <c r="R643" s="873">
        <f t="shared" si="292"/>
        <v>10</v>
      </c>
      <c r="S643" s="873">
        <f t="shared" si="293"/>
        <v>14</v>
      </c>
      <c r="T643" s="874">
        <f t="shared" si="294"/>
        <v>17.633411486304666</v>
      </c>
      <c r="U643" s="874">
        <f t="shared" si="295"/>
        <v>15.750000000000004</v>
      </c>
      <c r="V643" s="873">
        <f t="shared" si="296"/>
        <v>7</v>
      </c>
      <c r="W643" s="873">
        <f t="shared" si="297"/>
        <v>3</v>
      </c>
      <c r="X643" s="873">
        <f t="shared" si="298"/>
        <v>0</v>
      </c>
      <c r="Y643" s="873">
        <f t="shared" si="299"/>
        <v>1</v>
      </c>
      <c r="Z643" s="873">
        <f t="shared" si="300"/>
        <v>4</v>
      </c>
      <c r="AA643" s="873">
        <f t="shared" si="301"/>
        <v>9</v>
      </c>
      <c r="AB643" s="874">
        <f t="shared" si="302"/>
        <v>13.960871651185032</v>
      </c>
    </row>
    <row r="644" spans="1:28">
      <c r="A644" s="210">
        <f t="shared" si="303"/>
        <v>2</v>
      </c>
      <c r="B644" s="210">
        <f>$F$573</f>
        <v>5</v>
      </c>
      <c r="C644" s="210">
        <f>C643+1</f>
        <v>2</v>
      </c>
      <c r="D644" s="210">
        <f t="shared" si="305"/>
        <v>33</v>
      </c>
      <c r="E644" s="237">
        <f t="shared" si="284"/>
        <v>1</v>
      </c>
      <c r="F644" s="1208">
        <f t="shared" si="285"/>
        <v>0.6</v>
      </c>
      <c r="G644" s="210">
        <f t="shared" si="283"/>
        <v>0.8</v>
      </c>
      <c r="I644" s="233">
        <f t="shared" si="286"/>
        <v>11.200000000000003</v>
      </c>
      <c r="J644" s="210">
        <f t="shared" si="287"/>
        <v>0.8</v>
      </c>
      <c r="L644" s="233">
        <f t="shared" si="288"/>
        <v>5.9200000000000017</v>
      </c>
      <c r="M644" s="220">
        <f t="shared" si="289"/>
        <v>0.8</v>
      </c>
      <c r="O644" s="873">
        <f t="shared" si="290"/>
        <v>24</v>
      </c>
      <c r="P644" s="873">
        <f t="shared" si="290"/>
        <v>24</v>
      </c>
      <c r="Q644" s="874">
        <f t="shared" si="291"/>
        <v>20.669999999999998</v>
      </c>
      <c r="R644" s="873">
        <f t="shared" si="292"/>
        <v>10</v>
      </c>
      <c r="S644" s="873">
        <f t="shared" si="293"/>
        <v>14</v>
      </c>
      <c r="T644" s="874">
        <f t="shared" si="294"/>
        <v>17.633411486304666</v>
      </c>
      <c r="U644" s="874">
        <f t="shared" si="295"/>
        <v>15.750000000000004</v>
      </c>
      <c r="V644" s="873">
        <f t="shared" si="296"/>
        <v>7</v>
      </c>
      <c r="W644" s="873">
        <f t="shared" si="297"/>
        <v>3</v>
      </c>
      <c r="X644" s="873">
        <f t="shared" si="298"/>
        <v>0</v>
      </c>
      <c r="Y644" s="873">
        <f t="shared" si="299"/>
        <v>1</v>
      </c>
      <c r="Z644" s="873">
        <f t="shared" si="300"/>
        <v>4</v>
      </c>
      <c r="AA644" s="873">
        <f t="shared" si="301"/>
        <v>9</v>
      </c>
      <c r="AB644" s="874">
        <f t="shared" si="302"/>
        <v>13.960871651185032</v>
      </c>
    </row>
    <row r="645" spans="1:28">
      <c r="A645" s="210">
        <f t="shared" si="303"/>
        <v>2</v>
      </c>
      <c r="B645" s="210">
        <f>$F$574</f>
        <v>6</v>
      </c>
      <c r="C645" s="210">
        <f t="shared" ref="C645:D660" si="306">C644+1</f>
        <v>3</v>
      </c>
      <c r="D645" s="210">
        <f t="shared" si="305"/>
        <v>34</v>
      </c>
      <c r="E645" s="237">
        <f t="shared" si="284"/>
        <v>1</v>
      </c>
      <c r="F645" s="1208">
        <f t="shared" si="285"/>
        <v>0.6</v>
      </c>
      <c r="G645" s="210">
        <f t="shared" si="283"/>
        <v>0.8</v>
      </c>
      <c r="I645" s="233">
        <f t="shared" si="286"/>
        <v>11.200000000000003</v>
      </c>
      <c r="J645" s="210">
        <f t="shared" si="287"/>
        <v>0.8</v>
      </c>
      <c r="L645" s="233">
        <f t="shared" si="288"/>
        <v>5.9200000000000017</v>
      </c>
      <c r="M645" s="220">
        <f t="shared" si="289"/>
        <v>0.8</v>
      </c>
      <c r="O645" s="873">
        <f t="shared" si="290"/>
        <v>24</v>
      </c>
      <c r="P645" s="873">
        <f t="shared" si="290"/>
        <v>24</v>
      </c>
      <c r="Q645" s="874">
        <f t="shared" si="291"/>
        <v>20.669999999999998</v>
      </c>
      <c r="R645" s="873">
        <f t="shared" si="292"/>
        <v>10</v>
      </c>
      <c r="S645" s="873">
        <f t="shared" si="293"/>
        <v>14</v>
      </c>
      <c r="T645" s="874">
        <f t="shared" si="294"/>
        <v>17.633411486304666</v>
      </c>
      <c r="U645" s="874">
        <f t="shared" si="295"/>
        <v>15.750000000000004</v>
      </c>
      <c r="V645" s="873">
        <f t="shared" si="296"/>
        <v>7</v>
      </c>
      <c r="W645" s="873">
        <f t="shared" si="297"/>
        <v>3</v>
      </c>
      <c r="X645" s="873">
        <f t="shared" si="298"/>
        <v>0</v>
      </c>
      <c r="Y645" s="873">
        <f t="shared" si="299"/>
        <v>1</v>
      </c>
      <c r="Z645" s="873">
        <f t="shared" si="300"/>
        <v>4</v>
      </c>
      <c r="AA645" s="873">
        <f t="shared" si="301"/>
        <v>9</v>
      </c>
      <c r="AB645" s="874">
        <f t="shared" si="302"/>
        <v>13.960871651185032</v>
      </c>
    </row>
    <row r="646" spans="1:28">
      <c r="A646" s="210">
        <f t="shared" si="303"/>
        <v>2</v>
      </c>
      <c r="B646" s="210">
        <f>$F$575</f>
        <v>7</v>
      </c>
      <c r="C646" s="210">
        <f t="shared" si="306"/>
        <v>4</v>
      </c>
      <c r="D646" s="210">
        <f t="shared" si="306"/>
        <v>35</v>
      </c>
      <c r="E646" s="237">
        <f t="shared" si="284"/>
        <v>1</v>
      </c>
      <c r="F646" s="1208">
        <f t="shared" si="285"/>
        <v>0.6</v>
      </c>
      <c r="G646" s="210">
        <f t="shared" si="283"/>
        <v>0.8</v>
      </c>
      <c r="I646" s="233">
        <f t="shared" si="286"/>
        <v>11.200000000000003</v>
      </c>
      <c r="J646" s="210">
        <f t="shared" si="287"/>
        <v>0.8</v>
      </c>
      <c r="L646" s="233">
        <f t="shared" si="288"/>
        <v>5.9200000000000017</v>
      </c>
      <c r="M646" s="220">
        <f t="shared" si="289"/>
        <v>0.8</v>
      </c>
      <c r="O646" s="873">
        <f t="shared" si="290"/>
        <v>24</v>
      </c>
      <c r="P646" s="873">
        <f t="shared" si="290"/>
        <v>24</v>
      </c>
      <c r="Q646" s="874">
        <f t="shared" si="291"/>
        <v>20.669999999999998</v>
      </c>
      <c r="R646" s="873">
        <f t="shared" si="292"/>
        <v>10</v>
      </c>
      <c r="S646" s="873">
        <f t="shared" si="293"/>
        <v>14</v>
      </c>
      <c r="T646" s="874">
        <f t="shared" si="294"/>
        <v>17.633411486304666</v>
      </c>
      <c r="U646" s="874">
        <f t="shared" si="295"/>
        <v>15.750000000000004</v>
      </c>
      <c r="V646" s="873">
        <f t="shared" si="296"/>
        <v>7</v>
      </c>
      <c r="W646" s="873">
        <f t="shared" si="297"/>
        <v>3</v>
      </c>
      <c r="X646" s="873">
        <f t="shared" si="298"/>
        <v>0</v>
      </c>
      <c r="Y646" s="873">
        <f t="shared" si="299"/>
        <v>1</v>
      </c>
      <c r="Z646" s="873">
        <f t="shared" si="300"/>
        <v>4</v>
      </c>
      <c r="AA646" s="873">
        <f t="shared" si="301"/>
        <v>9</v>
      </c>
      <c r="AB646" s="874">
        <f t="shared" si="302"/>
        <v>13.960871651185032</v>
      </c>
    </row>
    <row r="647" spans="1:28">
      <c r="A647" s="210">
        <f t="shared" si="303"/>
        <v>2</v>
      </c>
      <c r="B647" s="210">
        <f>$F$569</f>
        <v>1</v>
      </c>
      <c r="C647" s="210">
        <f t="shared" si="306"/>
        <v>5</v>
      </c>
      <c r="D647" s="210">
        <f t="shared" si="306"/>
        <v>36</v>
      </c>
      <c r="E647" s="237">
        <f t="shared" si="284"/>
        <v>1</v>
      </c>
      <c r="F647" s="1208">
        <f t="shared" si="285"/>
        <v>0.6</v>
      </c>
      <c r="G647" s="210">
        <f t="shared" si="283"/>
        <v>0.8</v>
      </c>
      <c r="I647" s="233">
        <f t="shared" si="286"/>
        <v>11.200000000000003</v>
      </c>
      <c r="J647" s="210">
        <f t="shared" si="287"/>
        <v>0.8</v>
      </c>
      <c r="L647" s="233">
        <f t="shared" si="288"/>
        <v>5.9200000000000017</v>
      </c>
      <c r="M647" s="220">
        <f t="shared" si="289"/>
        <v>0.8</v>
      </c>
      <c r="O647" s="873">
        <f t="shared" si="290"/>
        <v>24</v>
      </c>
      <c r="P647" s="873">
        <f t="shared" si="290"/>
        <v>24</v>
      </c>
      <c r="Q647" s="874">
        <f t="shared" si="291"/>
        <v>20.669999999999998</v>
      </c>
      <c r="R647" s="873">
        <f t="shared" si="292"/>
        <v>10</v>
      </c>
      <c r="S647" s="873">
        <f t="shared" si="293"/>
        <v>14</v>
      </c>
      <c r="T647" s="874">
        <f t="shared" si="294"/>
        <v>17.633411486304666</v>
      </c>
      <c r="U647" s="874">
        <f t="shared" si="295"/>
        <v>15.750000000000004</v>
      </c>
      <c r="V647" s="873">
        <f t="shared" si="296"/>
        <v>7</v>
      </c>
      <c r="W647" s="873">
        <f t="shared" si="297"/>
        <v>3</v>
      </c>
      <c r="X647" s="873">
        <f t="shared" si="298"/>
        <v>0</v>
      </c>
      <c r="Y647" s="873">
        <f t="shared" si="299"/>
        <v>1</v>
      </c>
      <c r="Z647" s="873">
        <f t="shared" si="300"/>
        <v>4</v>
      </c>
      <c r="AA647" s="873">
        <f t="shared" si="301"/>
        <v>9</v>
      </c>
      <c r="AB647" s="874">
        <f t="shared" si="302"/>
        <v>13.960871651185032</v>
      </c>
    </row>
    <row r="648" spans="1:28">
      <c r="A648" s="210">
        <f t="shared" si="303"/>
        <v>2</v>
      </c>
      <c r="B648" s="210">
        <f>$F$570</f>
        <v>2</v>
      </c>
      <c r="C648" s="210">
        <f t="shared" si="306"/>
        <v>6</v>
      </c>
      <c r="D648" s="210">
        <f t="shared" si="306"/>
        <v>37</v>
      </c>
      <c r="E648" s="237">
        <f t="shared" si="284"/>
        <v>1</v>
      </c>
      <c r="F648" s="1208">
        <f t="shared" si="285"/>
        <v>0.6</v>
      </c>
      <c r="G648" s="210">
        <f t="shared" si="283"/>
        <v>0.8</v>
      </c>
      <c r="I648" s="233">
        <f t="shared" si="286"/>
        <v>11.200000000000003</v>
      </c>
      <c r="J648" s="210">
        <f t="shared" si="287"/>
        <v>0.8</v>
      </c>
      <c r="L648" s="233">
        <f t="shared" si="288"/>
        <v>5.9200000000000017</v>
      </c>
      <c r="M648" s="220">
        <f t="shared" si="289"/>
        <v>0.8</v>
      </c>
      <c r="O648" s="873">
        <f t="shared" si="290"/>
        <v>24</v>
      </c>
      <c r="P648" s="873">
        <f t="shared" si="290"/>
        <v>24</v>
      </c>
      <c r="Q648" s="874">
        <f t="shared" si="291"/>
        <v>20.669999999999998</v>
      </c>
      <c r="R648" s="873">
        <f t="shared" si="292"/>
        <v>10</v>
      </c>
      <c r="S648" s="873">
        <f t="shared" si="293"/>
        <v>14</v>
      </c>
      <c r="T648" s="874">
        <f t="shared" si="294"/>
        <v>17.633411486304666</v>
      </c>
      <c r="U648" s="874">
        <f t="shared" si="295"/>
        <v>15.750000000000004</v>
      </c>
      <c r="V648" s="873">
        <f t="shared" si="296"/>
        <v>7</v>
      </c>
      <c r="W648" s="873">
        <f t="shared" si="297"/>
        <v>3</v>
      </c>
      <c r="X648" s="873">
        <f t="shared" si="298"/>
        <v>0</v>
      </c>
      <c r="Y648" s="873">
        <f t="shared" si="299"/>
        <v>1</v>
      </c>
      <c r="Z648" s="873">
        <f t="shared" si="300"/>
        <v>4</v>
      </c>
      <c r="AA648" s="873">
        <f t="shared" si="301"/>
        <v>9</v>
      </c>
      <c r="AB648" s="874">
        <f t="shared" si="302"/>
        <v>13.960871651185032</v>
      </c>
    </row>
    <row r="649" spans="1:28">
      <c r="A649" s="210">
        <f t="shared" si="303"/>
        <v>2</v>
      </c>
      <c r="B649" s="210">
        <f>$F$571</f>
        <v>3</v>
      </c>
      <c r="C649" s="210">
        <f t="shared" si="306"/>
        <v>7</v>
      </c>
      <c r="D649" s="210">
        <f t="shared" si="306"/>
        <v>38</v>
      </c>
      <c r="E649" s="237">
        <f t="shared" si="284"/>
        <v>1</v>
      </c>
      <c r="F649" s="1208">
        <f t="shared" si="285"/>
        <v>0.6</v>
      </c>
      <c r="G649" s="210">
        <f t="shared" si="283"/>
        <v>0.8</v>
      </c>
      <c r="I649" s="233">
        <f t="shared" si="286"/>
        <v>11.200000000000003</v>
      </c>
      <c r="J649" s="210">
        <f t="shared" si="287"/>
        <v>0.8</v>
      </c>
      <c r="L649" s="233">
        <f t="shared" si="288"/>
        <v>5.9200000000000017</v>
      </c>
      <c r="M649" s="220">
        <f t="shared" si="289"/>
        <v>0.8</v>
      </c>
      <c r="O649" s="873">
        <f t="shared" si="290"/>
        <v>24</v>
      </c>
      <c r="P649" s="873">
        <f t="shared" si="290"/>
        <v>24</v>
      </c>
      <c r="Q649" s="874">
        <f t="shared" si="291"/>
        <v>20.669999999999998</v>
      </c>
      <c r="R649" s="873">
        <f t="shared" si="292"/>
        <v>10</v>
      </c>
      <c r="S649" s="873">
        <f t="shared" si="293"/>
        <v>14</v>
      </c>
      <c r="T649" s="874">
        <f t="shared" si="294"/>
        <v>17.633411486304666</v>
      </c>
      <c r="U649" s="874">
        <f t="shared" si="295"/>
        <v>15.750000000000004</v>
      </c>
      <c r="V649" s="873">
        <f t="shared" si="296"/>
        <v>7</v>
      </c>
      <c r="W649" s="873">
        <f t="shared" si="297"/>
        <v>3</v>
      </c>
      <c r="X649" s="873">
        <f t="shared" si="298"/>
        <v>0</v>
      </c>
      <c r="Y649" s="873">
        <f t="shared" si="299"/>
        <v>1</v>
      </c>
      <c r="Z649" s="873">
        <f t="shared" si="300"/>
        <v>4</v>
      </c>
      <c r="AA649" s="873">
        <f t="shared" si="301"/>
        <v>9</v>
      </c>
      <c r="AB649" s="874">
        <f t="shared" si="302"/>
        <v>13.960871651185032</v>
      </c>
    </row>
    <row r="650" spans="1:28">
      <c r="A650" s="210">
        <f t="shared" si="303"/>
        <v>2</v>
      </c>
      <c r="B650" s="210">
        <f>$F$572</f>
        <v>4</v>
      </c>
      <c r="C650" s="210">
        <f t="shared" si="306"/>
        <v>8</v>
      </c>
      <c r="D650" s="210">
        <f t="shared" si="306"/>
        <v>39</v>
      </c>
      <c r="E650" s="237">
        <f t="shared" si="284"/>
        <v>1</v>
      </c>
      <c r="F650" s="1208">
        <f t="shared" si="285"/>
        <v>0.6</v>
      </c>
      <c r="G650" s="210">
        <f t="shared" si="283"/>
        <v>0.8</v>
      </c>
      <c r="I650" s="233">
        <f t="shared" si="286"/>
        <v>11.200000000000003</v>
      </c>
      <c r="J650" s="210">
        <f t="shared" si="287"/>
        <v>0.8</v>
      </c>
      <c r="L650" s="233">
        <f t="shared" si="288"/>
        <v>5.9200000000000017</v>
      </c>
      <c r="M650" s="220">
        <f t="shared" si="289"/>
        <v>0.8</v>
      </c>
      <c r="O650" s="873">
        <f t="shared" si="290"/>
        <v>24</v>
      </c>
      <c r="P650" s="873">
        <f t="shared" si="290"/>
        <v>24</v>
      </c>
      <c r="Q650" s="874">
        <f t="shared" si="291"/>
        <v>20.669999999999998</v>
      </c>
      <c r="R650" s="873">
        <f t="shared" si="292"/>
        <v>10</v>
      </c>
      <c r="S650" s="873">
        <f t="shared" si="293"/>
        <v>14</v>
      </c>
      <c r="T650" s="874">
        <f t="shared" si="294"/>
        <v>17.633411486304666</v>
      </c>
      <c r="U650" s="874">
        <f t="shared" si="295"/>
        <v>15.750000000000004</v>
      </c>
      <c r="V650" s="873">
        <f t="shared" si="296"/>
        <v>7</v>
      </c>
      <c r="W650" s="873">
        <f t="shared" si="297"/>
        <v>3</v>
      </c>
      <c r="X650" s="873">
        <f t="shared" si="298"/>
        <v>0</v>
      </c>
      <c r="Y650" s="873">
        <f t="shared" si="299"/>
        <v>1</v>
      </c>
      <c r="Z650" s="873">
        <f t="shared" si="300"/>
        <v>4</v>
      </c>
      <c r="AA650" s="873">
        <f t="shared" si="301"/>
        <v>9</v>
      </c>
      <c r="AB650" s="874">
        <f t="shared" si="302"/>
        <v>13.960871651185032</v>
      </c>
    </row>
    <row r="651" spans="1:28">
      <c r="A651" s="210">
        <f t="shared" si="303"/>
        <v>2</v>
      </c>
      <c r="B651" s="210">
        <f>$F$573</f>
        <v>5</v>
      </c>
      <c r="C651" s="210">
        <f t="shared" si="306"/>
        <v>9</v>
      </c>
      <c r="D651" s="210">
        <f t="shared" si="306"/>
        <v>40</v>
      </c>
      <c r="E651" s="237">
        <f t="shared" si="284"/>
        <v>1</v>
      </c>
      <c r="F651" s="1208">
        <f t="shared" si="285"/>
        <v>0.6</v>
      </c>
      <c r="G651" s="210">
        <f t="shared" si="283"/>
        <v>0.8</v>
      </c>
      <c r="I651" s="233">
        <f t="shared" si="286"/>
        <v>11.200000000000003</v>
      </c>
      <c r="J651" s="210">
        <f t="shared" si="287"/>
        <v>0.8</v>
      </c>
      <c r="L651" s="233">
        <f t="shared" si="288"/>
        <v>5.9200000000000017</v>
      </c>
      <c r="M651" s="220">
        <f t="shared" si="289"/>
        <v>0.8</v>
      </c>
      <c r="O651" s="873">
        <f t="shared" si="290"/>
        <v>24</v>
      </c>
      <c r="P651" s="873">
        <f t="shared" si="290"/>
        <v>24</v>
      </c>
      <c r="Q651" s="874">
        <f t="shared" si="291"/>
        <v>20.669999999999998</v>
      </c>
      <c r="R651" s="873">
        <f t="shared" si="292"/>
        <v>10</v>
      </c>
      <c r="S651" s="873">
        <f t="shared" si="293"/>
        <v>14</v>
      </c>
      <c r="T651" s="874">
        <f t="shared" si="294"/>
        <v>17.633411486304666</v>
      </c>
      <c r="U651" s="874">
        <f t="shared" si="295"/>
        <v>15.750000000000004</v>
      </c>
      <c r="V651" s="873">
        <f t="shared" si="296"/>
        <v>7</v>
      </c>
      <c r="W651" s="873">
        <f t="shared" si="297"/>
        <v>3</v>
      </c>
      <c r="X651" s="873">
        <f t="shared" si="298"/>
        <v>0</v>
      </c>
      <c r="Y651" s="873">
        <f t="shared" si="299"/>
        <v>1</v>
      </c>
      <c r="Z651" s="873">
        <f t="shared" si="300"/>
        <v>4</v>
      </c>
      <c r="AA651" s="873">
        <f t="shared" si="301"/>
        <v>9</v>
      </c>
      <c r="AB651" s="874">
        <f t="shared" si="302"/>
        <v>13.960871651185032</v>
      </c>
    </row>
    <row r="652" spans="1:28">
      <c r="A652" s="210">
        <f t="shared" si="303"/>
        <v>2</v>
      </c>
      <c r="B652" s="210">
        <f>$F$574</f>
        <v>6</v>
      </c>
      <c r="C652" s="210">
        <f t="shared" si="306"/>
        <v>10</v>
      </c>
      <c r="D652" s="210">
        <f t="shared" si="306"/>
        <v>41</v>
      </c>
      <c r="E652" s="237">
        <f t="shared" si="284"/>
        <v>1</v>
      </c>
      <c r="F652" s="1208">
        <f t="shared" si="285"/>
        <v>0.6</v>
      </c>
      <c r="G652" s="210">
        <f t="shared" si="283"/>
        <v>0.8</v>
      </c>
      <c r="I652" s="233">
        <f t="shared" si="286"/>
        <v>11.200000000000003</v>
      </c>
      <c r="J652" s="210">
        <f t="shared" si="287"/>
        <v>0.8</v>
      </c>
      <c r="L652" s="233">
        <f t="shared" si="288"/>
        <v>5.9200000000000017</v>
      </c>
      <c r="M652" s="220">
        <f t="shared" si="289"/>
        <v>0.8</v>
      </c>
      <c r="O652" s="873">
        <f t="shared" si="290"/>
        <v>24</v>
      </c>
      <c r="P652" s="873">
        <f t="shared" si="290"/>
        <v>24</v>
      </c>
      <c r="Q652" s="874">
        <f t="shared" si="291"/>
        <v>20.669999999999998</v>
      </c>
      <c r="R652" s="873">
        <f t="shared" si="292"/>
        <v>10</v>
      </c>
      <c r="S652" s="873">
        <f t="shared" si="293"/>
        <v>14</v>
      </c>
      <c r="T652" s="874">
        <f t="shared" si="294"/>
        <v>17.633411486304666</v>
      </c>
      <c r="U652" s="874">
        <f t="shared" si="295"/>
        <v>15.750000000000004</v>
      </c>
      <c r="V652" s="873">
        <f t="shared" si="296"/>
        <v>7</v>
      </c>
      <c r="W652" s="873">
        <f t="shared" si="297"/>
        <v>3</v>
      </c>
      <c r="X652" s="873">
        <f t="shared" si="298"/>
        <v>0</v>
      </c>
      <c r="Y652" s="873">
        <f t="shared" si="299"/>
        <v>1</v>
      </c>
      <c r="Z652" s="873">
        <f t="shared" si="300"/>
        <v>4</v>
      </c>
      <c r="AA652" s="873">
        <f t="shared" si="301"/>
        <v>9</v>
      </c>
      <c r="AB652" s="874">
        <f t="shared" si="302"/>
        <v>13.960871651185032</v>
      </c>
    </row>
    <row r="653" spans="1:28">
      <c r="A653" s="210">
        <f t="shared" si="303"/>
        <v>2</v>
      </c>
      <c r="B653" s="210">
        <f>$F$575</f>
        <v>7</v>
      </c>
      <c r="C653" s="210">
        <f t="shared" si="306"/>
        <v>11</v>
      </c>
      <c r="D653" s="210">
        <f t="shared" si="306"/>
        <v>42</v>
      </c>
      <c r="E653" s="237">
        <f t="shared" si="284"/>
        <v>1</v>
      </c>
      <c r="F653" s="1208">
        <f t="shared" si="285"/>
        <v>0.6</v>
      </c>
      <c r="G653" s="210">
        <f t="shared" si="283"/>
        <v>0.8</v>
      </c>
      <c r="I653" s="233">
        <f t="shared" si="286"/>
        <v>11.200000000000003</v>
      </c>
      <c r="J653" s="210">
        <f t="shared" si="287"/>
        <v>0.8</v>
      </c>
      <c r="L653" s="233">
        <f t="shared" si="288"/>
        <v>5.9200000000000017</v>
      </c>
      <c r="M653" s="220">
        <f t="shared" si="289"/>
        <v>0.8</v>
      </c>
      <c r="O653" s="873">
        <f t="shared" si="290"/>
        <v>24</v>
      </c>
      <c r="P653" s="873">
        <f t="shared" si="290"/>
        <v>24</v>
      </c>
      <c r="Q653" s="874">
        <f t="shared" si="291"/>
        <v>20.669999999999998</v>
      </c>
      <c r="R653" s="873">
        <f t="shared" si="292"/>
        <v>10</v>
      </c>
      <c r="S653" s="873">
        <f t="shared" si="293"/>
        <v>14</v>
      </c>
      <c r="T653" s="874">
        <f t="shared" si="294"/>
        <v>17.633411486304666</v>
      </c>
      <c r="U653" s="874">
        <f t="shared" si="295"/>
        <v>15.750000000000004</v>
      </c>
      <c r="V653" s="873">
        <f t="shared" si="296"/>
        <v>7</v>
      </c>
      <c r="W653" s="873">
        <f t="shared" si="297"/>
        <v>3</v>
      </c>
      <c r="X653" s="873">
        <f t="shared" si="298"/>
        <v>0</v>
      </c>
      <c r="Y653" s="873">
        <f t="shared" si="299"/>
        <v>1</v>
      </c>
      <c r="Z653" s="873">
        <f t="shared" si="300"/>
        <v>4</v>
      </c>
      <c r="AA653" s="873">
        <f t="shared" si="301"/>
        <v>9</v>
      </c>
      <c r="AB653" s="874">
        <f t="shared" si="302"/>
        <v>13.960871651185032</v>
      </c>
    </row>
    <row r="654" spans="1:28">
      <c r="A654" s="210">
        <f t="shared" si="303"/>
        <v>2</v>
      </c>
      <c r="B654" s="210">
        <f>$F$569</f>
        <v>1</v>
      </c>
      <c r="C654" s="210">
        <f t="shared" si="306"/>
        <v>12</v>
      </c>
      <c r="D654" s="210">
        <f t="shared" si="306"/>
        <v>43</v>
      </c>
      <c r="E654" s="237">
        <f t="shared" si="284"/>
        <v>1</v>
      </c>
      <c r="F654" s="1208">
        <f t="shared" si="285"/>
        <v>0.6</v>
      </c>
      <c r="G654" s="210">
        <f t="shared" si="283"/>
        <v>0.8</v>
      </c>
      <c r="I654" s="233">
        <f t="shared" si="286"/>
        <v>11.200000000000003</v>
      </c>
      <c r="J654" s="210">
        <f t="shared" si="287"/>
        <v>0.8</v>
      </c>
      <c r="L654" s="233">
        <f t="shared" si="288"/>
        <v>5.9200000000000017</v>
      </c>
      <c r="M654" s="220">
        <f t="shared" si="289"/>
        <v>0.8</v>
      </c>
      <c r="O654" s="873">
        <f t="shared" si="290"/>
        <v>24</v>
      </c>
      <c r="P654" s="873">
        <f t="shared" si="290"/>
        <v>24</v>
      </c>
      <c r="Q654" s="874">
        <f t="shared" si="291"/>
        <v>20.669999999999998</v>
      </c>
      <c r="R654" s="873">
        <f t="shared" si="292"/>
        <v>10</v>
      </c>
      <c r="S654" s="873">
        <f t="shared" si="293"/>
        <v>14</v>
      </c>
      <c r="T654" s="874">
        <f t="shared" si="294"/>
        <v>17.633411486304666</v>
      </c>
      <c r="U654" s="874">
        <f t="shared" si="295"/>
        <v>15.750000000000004</v>
      </c>
      <c r="V654" s="873">
        <f t="shared" si="296"/>
        <v>7</v>
      </c>
      <c r="W654" s="873">
        <f t="shared" si="297"/>
        <v>3</v>
      </c>
      <c r="X654" s="873">
        <f t="shared" si="298"/>
        <v>0</v>
      </c>
      <c r="Y654" s="873">
        <f t="shared" si="299"/>
        <v>1</v>
      </c>
      <c r="Z654" s="873">
        <f t="shared" si="300"/>
        <v>4</v>
      </c>
      <c r="AA654" s="873">
        <f t="shared" si="301"/>
        <v>9</v>
      </c>
      <c r="AB654" s="874">
        <f t="shared" si="302"/>
        <v>13.960871651185032</v>
      </c>
    </row>
    <row r="655" spans="1:28">
      <c r="A655" s="210">
        <f t="shared" si="303"/>
        <v>2</v>
      </c>
      <c r="B655" s="210">
        <f>$F$570</f>
        <v>2</v>
      </c>
      <c r="C655" s="210">
        <f t="shared" si="306"/>
        <v>13</v>
      </c>
      <c r="D655" s="210">
        <f t="shared" si="306"/>
        <v>44</v>
      </c>
      <c r="E655" s="237">
        <f t="shared" si="284"/>
        <v>1</v>
      </c>
      <c r="F655" s="1208">
        <f t="shared" si="285"/>
        <v>0.6</v>
      </c>
      <c r="G655" s="210">
        <f t="shared" si="283"/>
        <v>0.8</v>
      </c>
      <c r="I655" s="233">
        <f t="shared" si="286"/>
        <v>11.200000000000003</v>
      </c>
      <c r="J655" s="210">
        <f t="shared" si="287"/>
        <v>0.8</v>
      </c>
      <c r="L655" s="233">
        <f t="shared" si="288"/>
        <v>5.9200000000000017</v>
      </c>
      <c r="M655" s="220">
        <f t="shared" si="289"/>
        <v>0.8</v>
      </c>
      <c r="O655" s="873">
        <f t="shared" si="290"/>
        <v>24</v>
      </c>
      <c r="P655" s="873">
        <f t="shared" si="290"/>
        <v>24</v>
      </c>
      <c r="Q655" s="874">
        <f t="shared" si="291"/>
        <v>20.669999999999998</v>
      </c>
      <c r="R655" s="873">
        <f t="shared" si="292"/>
        <v>10</v>
      </c>
      <c r="S655" s="873">
        <f t="shared" si="293"/>
        <v>14</v>
      </c>
      <c r="T655" s="874">
        <f t="shared" si="294"/>
        <v>17.633411486304666</v>
      </c>
      <c r="U655" s="874">
        <f t="shared" si="295"/>
        <v>15.750000000000004</v>
      </c>
      <c r="V655" s="873">
        <f t="shared" si="296"/>
        <v>7</v>
      </c>
      <c r="W655" s="873">
        <f t="shared" si="297"/>
        <v>3</v>
      </c>
      <c r="X655" s="873">
        <f t="shared" si="298"/>
        <v>0</v>
      </c>
      <c r="Y655" s="873">
        <f t="shared" si="299"/>
        <v>1</v>
      </c>
      <c r="Z655" s="873">
        <f t="shared" si="300"/>
        <v>4</v>
      </c>
      <c r="AA655" s="873">
        <f t="shared" si="301"/>
        <v>9</v>
      </c>
      <c r="AB655" s="874">
        <f t="shared" si="302"/>
        <v>13.960871651185032</v>
      </c>
    </row>
    <row r="656" spans="1:28">
      <c r="A656" s="210">
        <f t="shared" si="303"/>
        <v>2</v>
      </c>
      <c r="B656" s="210">
        <f>$F$571</f>
        <v>3</v>
      </c>
      <c r="C656" s="210">
        <f t="shared" si="306"/>
        <v>14</v>
      </c>
      <c r="D656" s="210">
        <f t="shared" si="306"/>
        <v>45</v>
      </c>
      <c r="E656" s="237">
        <f t="shared" si="284"/>
        <v>1</v>
      </c>
      <c r="F656" s="1208">
        <f t="shared" si="285"/>
        <v>0.6</v>
      </c>
      <c r="G656" s="210">
        <f t="shared" si="283"/>
        <v>0.8</v>
      </c>
      <c r="I656" s="233">
        <f t="shared" si="286"/>
        <v>11.200000000000003</v>
      </c>
      <c r="J656" s="210">
        <f t="shared" si="287"/>
        <v>0.8</v>
      </c>
      <c r="L656" s="233">
        <f t="shared" si="288"/>
        <v>5.9200000000000017</v>
      </c>
      <c r="M656" s="220">
        <f t="shared" si="289"/>
        <v>0.8</v>
      </c>
      <c r="O656" s="873">
        <f t="shared" si="290"/>
        <v>24</v>
      </c>
      <c r="P656" s="873">
        <f t="shared" si="290"/>
        <v>24</v>
      </c>
      <c r="Q656" s="874">
        <f t="shared" si="291"/>
        <v>20.669999999999998</v>
      </c>
      <c r="R656" s="873">
        <f t="shared" si="292"/>
        <v>10</v>
      </c>
      <c r="S656" s="873">
        <f t="shared" si="293"/>
        <v>14</v>
      </c>
      <c r="T656" s="874">
        <f t="shared" si="294"/>
        <v>17.633411486304666</v>
      </c>
      <c r="U656" s="874">
        <f t="shared" si="295"/>
        <v>15.750000000000004</v>
      </c>
      <c r="V656" s="873">
        <f t="shared" si="296"/>
        <v>7</v>
      </c>
      <c r="W656" s="873">
        <f t="shared" si="297"/>
        <v>3</v>
      </c>
      <c r="X656" s="873">
        <f t="shared" si="298"/>
        <v>0</v>
      </c>
      <c r="Y656" s="873">
        <f t="shared" si="299"/>
        <v>1</v>
      </c>
      <c r="Z656" s="873">
        <f t="shared" si="300"/>
        <v>4</v>
      </c>
      <c r="AA656" s="873">
        <f t="shared" si="301"/>
        <v>9</v>
      </c>
      <c r="AB656" s="874">
        <f t="shared" si="302"/>
        <v>13.960871651185032</v>
      </c>
    </row>
    <row r="657" spans="1:28">
      <c r="A657" s="210">
        <f t="shared" si="303"/>
        <v>2</v>
      </c>
      <c r="B657" s="210">
        <f>$F$572</f>
        <v>4</v>
      </c>
      <c r="C657" s="210">
        <f t="shared" si="306"/>
        <v>15</v>
      </c>
      <c r="D657" s="210">
        <f t="shared" si="306"/>
        <v>46</v>
      </c>
      <c r="E657" s="237">
        <f t="shared" si="284"/>
        <v>1</v>
      </c>
      <c r="F657" s="1208">
        <f t="shared" si="285"/>
        <v>0.6</v>
      </c>
      <c r="G657" s="210">
        <f t="shared" si="283"/>
        <v>0.8</v>
      </c>
      <c r="I657" s="233">
        <f t="shared" si="286"/>
        <v>11.200000000000003</v>
      </c>
      <c r="J657" s="210">
        <f t="shared" si="287"/>
        <v>0.8</v>
      </c>
      <c r="L657" s="233">
        <f t="shared" si="288"/>
        <v>5.9200000000000017</v>
      </c>
      <c r="M657" s="220">
        <f t="shared" si="289"/>
        <v>0.8</v>
      </c>
      <c r="O657" s="873">
        <f t="shared" si="290"/>
        <v>24</v>
      </c>
      <c r="P657" s="873">
        <f t="shared" si="290"/>
        <v>24</v>
      </c>
      <c r="Q657" s="874">
        <f t="shared" si="291"/>
        <v>20.669999999999998</v>
      </c>
      <c r="R657" s="873">
        <f t="shared" si="292"/>
        <v>10</v>
      </c>
      <c r="S657" s="873">
        <f t="shared" si="293"/>
        <v>14</v>
      </c>
      <c r="T657" s="874">
        <f t="shared" si="294"/>
        <v>17.633411486304666</v>
      </c>
      <c r="U657" s="874">
        <f t="shared" si="295"/>
        <v>15.750000000000004</v>
      </c>
      <c r="V657" s="873">
        <f t="shared" si="296"/>
        <v>7</v>
      </c>
      <c r="W657" s="873">
        <f t="shared" si="297"/>
        <v>3</v>
      </c>
      <c r="X657" s="873">
        <f t="shared" si="298"/>
        <v>0</v>
      </c>
      <c r="Y657" s="873">
        <f t="shared" si="299"/>
        <v>1</v>
      </c>
      <c r="Z657" s="873">
        <f t="shared" si="300"/>
        <v>4</v>
      </c>
      <c r="AA657" s="873">
        <f t="shared" si="301"/>
        <v>9</v>
      </c>
      <c r="AB657" s="874">
        <f t="shared" si="302"/>
        <v>13.960871651185032</v>
      </c>
    </row>
    <row r="658" spans="1:28">
      <c r="A658" s="210">
        <f t="shared" si="303"/>
        <v>2</v>
      </c>
      <c r="B658" s="210">
        <f>$F$573</f>
        <v>5</v>
      </c>
      <c r="C658" s="210">
        <f t="shared" si="306"/>
        <v>16</v>
      </c>
      <c r="D658" s="210">
        <f t="shared" si="306"/>
        <v>47</v>
      </c>
      <c r="E658" s="237">
        <f t="shared" si="284"/>
        <v>1</v>
      </c>
      <c r="F658" s="1208">
        <f t="shared" si="285"/>
        <v>0.6</v>
      </c>
      <c r="G658" s="210">
        <f t="shared" si="283"/>
        <v>0.8</v>
      </c>
      <c r="I658" s="233">
        <f t="shared" si="286"/>
        <v>11.200000000000003</v>
      </c>
      <c r="J658" s="210">
        <f t="shared" si="287"/>
        <v>0.8</v>
      </c>
      <c r="L658" s="233">
        <f t="shared" si="288"/>
        <v>5.9200000000000017</v>
      </c>
      <c r="M658" s="220">
        <f t="shared" si="289"/>
        <v>0.8</v>
      </c>
      <c r="O658" s="873">
        <f t="shared" si="290"/>
        <v>24</v>
      </c>
      <c r="P658" s="873">
        <f t="shared" si="290"/>
        <v>24</v>
      </c>
      <c r="Q658" s="874">
        <f t="shared" si="291"/>
        <v>20.669999999999998</v>
      </c>
      <c r="R658" s="873">
        <f t="shared" si="292"/>
        <v>10</v>
      </c>
      <c r="S658" s="873">
        <f t="shared" si="293"/>
        <v>14</v>
      </c>
      <c r="T658" s="874">
        <f t="shared" si="294"/>
        <v>17.633411486304666</v>
      </c>
      <c r="U658" s="874">
        <f t="shared" si="295"/>
        <v>15.750000000000004</v>
      </c>
      <c r="V658" s="873">
        <f t="shared" si="296"/>
        <v>7</v>
      </c>
      <c r="W658" s="873">
        <f t="shared" si="297"/>
        <v>3</v>
      </c>
      <c r="X658" s="873">
        <f t="shared" si="298"/>
        <v>0</v>
      </c>
      <c r="Y658" s="873">
        <f t="shared" si="299"/>
        <v>1</v>
      </c>
      <c r="Z658" s="873">
        <f t="shared" si="300"/>
        <v>4</v>
      </c>
      <c r="AA658" s="873">
        <f t="shared" si="301"/>
        <v>9</v>
      </c>
      <c r="AB658" s="874">
        <f t="shared" si="302"/>
        <v>13.960871651185032</v>
      </c>
    </row>
    <row r="659" spans="1:28">
      <c r="A659" s="210">
        <f t="shared" si="303"/>
        <v>2</v>
      </c>
      <c r="B659" s="210">
        <f>$F$574</f>
        <v>6</v>
      </c>
      <c r="C659" s="210">
        <f t="shared" si="306"/>
        <v>17</v>
      </c>
      <c r="D659" s="210">
        <f t="shared" si="306"/>
        <v>48</v>
      </c>
      <c r="E659" s="237">
        <f t="shared" si="284"/>
        <v>1</v>
      </c>
      <c r="F659" s="1208">
        <f t="shared" si="285"/>
        <v>0.6</v>
      </c>
      <c r="G659" s="210">
        <f t="shared" si="283"/>
        <v>0.8</v>
      </c>
      <c r="I659" s="233">
        <f t="shared" si="286"/>
        <v>11.200000000000003</v>
      </c>
      <c r="J659" s="210">
        <f t="shared" si="287"/>
        <v>0.8</v>
      </c>
      <c r="L659" s="233">
        <f t="shared" si="288"/>
        <v>5.9200000000000017</v>
      </c>
      <c r="M659" s="220">
        <f t="shared" si="289"/>
        <v>0.8</v>
      </c>
      <c r="O659" s="873">
        <f t="shared" si="290"/>
        <v>24</v>
      </c>
      <c r="P659" s="873">
        <f t="shared" si="290"/>
        <v>24</v>
      </c>
      <c r="Q659" s="874">
        <f t="shared" si="291"/>
        <v>20.669999999999998</v>
      </c>
      <c r="R659" s="873">
        <f t="shared" si="292"/>
        <v>10</v>
      </c>
      <c r="S659" s="873">
        <f t="shared" si="293"/>
        <v>14</v>
      </c>
      <c r="T659" s="874">
        <f t="shared" si="294"/>
        <v>17.633411486304666</v>
      </c>
      <c r="U659" s="874">
        <f t="shared" si="295"/>
        <v>15.750000000000004</v>
      </c>
      <c r="V659" s="873">
        <f t="shared" si="296"/>
        <v>7</v>
      </c>
      <c r="W659" s="873">
        <f t="shared" si="297"/>
        <v>3</v>
      </c>
      <c r="X659" s="873">
        <f t="shared" si="298"/>
        <v>0</v>
      </c>
      <c r="Y659" s="873">
        <f t="shared" si="299"/>
        <v>1</v>
      </c>
      <c r="Z659" s="873">
        <f t="shared" si="300"/>
        <v>4</v>
      </c>
      <c r="AA659" s="873">
        <f t="shared" si="301"/>
        <v>9</v>
      </c>
      <c r="AB659" s="874">
        <f t="shared" si="302"/>
        <v>13.960871651185032</v>
      </c>
    </row>
    <row r="660" spans="1:28">
      <c r="A660" s="210">
        <f t="shared" si="303"/>
        <v>2</v>
      </c>
      <c r="B660" s="210">
        <f>$F$575</f>
        <v>7</v>
      </c>
      <c r="C660" s="210">
        <f t="shared" si="306"/>
        <v>18</v>
      </c>
      <c r="D660" s="210">
        <f t="shared" si="306"/>
        <v>49</v>
      </c>
      <c r="E660" s="237">
        <f t="shared" si="284"/>
        <v>1</v>
      </c>
      <c r="F660" s="1208">
        <f t="shared" si="285"/>
        <v>0.6</v>
      </c>
      <c r="G660" s="210">
        <f t="shared" si="283"/>
        <v>0.8</v>
      </c>
      <c r="I660" s="233">
        <f t="shared" si="286"/>
        <v>11.200000000000003</v>
      </c>
      <c r="J660" s="210">
        <f t="shared" si="287"/>
        <v>0.8</v>
      </c>
      <c r="L660" s="233">
        <f t="shared" si="288"/>
        <v>5.9200000000000017</v>
      </c>
      <c r="M660" s="220">
        <f t="shared" si="289"/>
        <v>0.8</v>
      </c>
      <c r="O660" s="873">
        <f t="shared" si="290"/>
        <v>24</v>
      </c>
      <c r="P660" s="873">
        <f t="shared" si="290"/>
        <v>24</v>
      </c>
      <c r="Q660" s="874">
        <f t="shared" si="291"/>
        <v>20.669999999999998</v>
      </c>
      <c r="R660" s="873">
        <f t="shared" si="292"/>
        <v>10</v>
      </c>
      <c r="S660" s="873">
        <f t="shared" si="293"/>
        <v>14</v>
      </c>
      <c r="T660" s="874">
        <f t="shared" si="294"/>
        <v>17.633411486304666</v>
      </c>
      <c r="U660" s="874">
        <f t="shared" si="295"/>
        <v>15.750000000000004</v>
      </c>
      <c r="V660" s="873">
        <f t="shared" si="296"/>
        <v>7</v>
      </c>
      <c r="W660" s="873">
        <f t="shared" si="297"/>
        <v>3</v>
      </c>
      <c r="X660" s="873">
        <f t="shared" si="298"/>
        <v>0</v>
      </c>
      <c r="Y660" s="873">
        <f t="shared" si="299"/>
        <v>1</v>
      </c>
      <c r="Z660" s="873">
        <f t="shared" si="300"/>
        <v>4</v>
      </c>
      <c r="AA660" s="873">
        <f t="shared" si="301"/>
        <v>9</v>
      </c>
      <c r="AB660" s="874">
        <f t="shared" si="302"/>
        <v>13.960871651185032</v>
      </c>
    </row>
    <row r="661" spans="1:28">
      <c r="A661" s="210">
        <f t="shared" si="303"/>
        <v>2</v>
      </c>
      <c r="B661" s="210">
        <f>$F$569</f>
        <v>1</v>
      </c>
      <c r="C661" s="210">
        <f t="shared" ref="C661:D676" si="307">C660+1</f>
        <v>19</v>
      </c>
      <c r="D661" s="210">
        <f t="shared" si="307"/>
        <v>50</v>
      </c>
      <c r="E661" s="237">
        <f t="shared" si="284"/>
        <v>1</v>
      </c>
      <c r="F661" s="1208">
        <f t="shared" si="285"/>
        <v>0.6</v>
      </c>
      <c r="G661" s="210">
        <f t="shared" si="283"/>
        <v>0.8</v>
      </c>
      <c r="I661" s="233">
        <f t="shared" si="286"/>
        <v>11.200000000000003</v>
      </c>
      <c r="J661" s="210">
        <f t="shared" si="287"/>
        <v>0.8</v>
      </c>
      <c r="L661" s="233">
        <f t="shared" si="288"/>
        <v>5.9200000000000017</v>
      </c>
      <c r="M661" s="220">
        <f t="shared" si="289"/>
        <v>0.8</v>
      </c>
      <c r="O661" s="873">
        <f t="shared" si="290"/>
        <v>24</v>
      </c>
      <c r="P661" s="873">
        <f t="shared" si="290"/>
        <v>24</v>
      </c>
      <c r="Q661" s="874">
        <f t="shared" si="291"/>
        <v>20.669999999999998</v>
      </c>
      <c r="R661" s="873">
        <f t="shared" si="292"/>
        <v>10</v>
      </c>
      <c r="S661" s="873">
        <f t="shared" si="293"/>
        <v>14</v>
      </c>
      <c r="T661" s="874">
        <f t="shared" si="294"/>
        <v>17.633411486304666</v>
      </c>
      <c r="U661" s="874">
        <f t="shared" si="295"/>
        <v>15.750000000000004</v>
      </c>
      <c r="V661" s="873">
        <f t="shared" si="296"/>
        <v>7</v>
      </c>
      <c r="W661" s="873">
        <f t="shared" si="297"/>
        <v>3</v>
      </c>
      <c r="X661" s="873">
        <f t="shared" si="298"/>
        <v>0</v>
      </c>
      <c r="Y661" s="873">
        <f t="shared" si="299"/>
        <v>1</v>
      </c>
      <c r="Z661" s="873">
        <f t="shared" si="300"/>
        <v>4</v>
      </c>
      <c r="AA661" s="873">
        <f t="shared" si="301"/>
        <v>9</v>
      </c>
      <c r="AB661" s="874">
        <f t="shared" si="302"/>
        <v>13.960871651185032</v>
      </c>
    </row>
    <row r="662" spans="1:28">
      <c r="A662" s="210">
        <f t="shared" si="303"/>
        <v>2</v>
      </c>
      <c r="B662" s="210">
        <f>$F$570</f>
        <v>2</v>
      </c>
      <c r="C662" s="210">
        <f t="shared" si="307"/>
        <v>20</v>
      </c>
      <c r="D662" s="210">
        <f t="shared" si="307"/>
        <v>51</v>
      </c>
      <c r="E662" s="237">
        <f t="shared" si="284"/>
        <v>1</v>
      </c>
      <c r="F662" s="1208">
        <f t="shared" si="285"/>
        <v>0.6</v>
      </c>
      <c r="G662" s="210">
        <f t="shared" si="283"/>
        <v>0.8</v>
      </c>
      <c r="I662" s="233">
        <f t="shared" si="286"/>
        <v>11.200000000000003</v>
      </c>
      <c r="J662" s="210">
        <f t="shared" si="287"/>
        <v>0.8</v>
      </c>
      <c r="L662" s="233">
        <f t="shared" si="288"/>
        <v>5.9200000000000017</v>
      </c>
      <c r="M662" s="220">
        <f t="shared" si="289"/>
        <v>0.8</v>
      </c>
      <c r="O662" s="873">
        <f t="shared" si="290"/>
        <v>24</v>
      </c>
      <c r="P662" s="873">
        <f t="shared" si="290"/>
        <v>24</v>
      </c>
      <c r="Q662" s="874">
        <f t="shared" si="291"/>
        <v>20.669999999999998</v>
      </c>
      <c r="R662" s="873">
        <f t="shared" si="292"/>
        <v>10</v>
      </c>
      <c r="S662" s="873">
        <f t="shared" si="293"/>
        <v>14</v>
      </c>
      <c r="T662" s="874">
        <f t="shared" si="294"/>
        <v>17.633411486304666</v>
      </c>
      <c r="U662" s="874">
        <f t="shared" si="295"/>
        <v>15.750000000000004</v>
      </c>
      <c r="V662" s="873">
        <f t="shared" si="296"/>
        <v>7</v>
      </c>
      <c r="W662" s="873">
        <f t="shared" si="297"/>
        <v>3</v>
      </c>
      <c r="X662" s="873">
        <f t="shared" si="298"/>
        <v>0</v>
      </c>
      <c r="Y662" s="873">
        <f t="shared" si="299"/>
        <v>1</v>
      </c>
      <c r="Z662" s="873">
        <f t="shared" si="300"/>
        <v>4</v>
      </c>
      <c r="AA662" s="873">
        <f t="shared" si="301"/>
        <v>9</v>
      </c>
      <c r="AB662" s="874">
        <f t="shared" si="302"/>
        <v>13.960871651185032</v>
      </c>
    </row>
    <row r="663" spans="1:28">
      <c r="A663" s="210">
        <f t="shared" si="303"/>
        <v>2</v>
      </c>
      <c r="B663" s="210">
        <f>$F$571</f>
        <v>3</v>
      </c>
      <c r="C663" s="210">
        <f t="shared" si="307"/>
        <v>21</v>
      </c>
      <c r="D663" s="210">
        <f t="shared" si="307"/>
        <v>52</v>
      </c>
      <c r="E663" s="237">
        <f t="shared" si="284"/>
        <v>1</v>
      </c>
      <c r="F663" s="1208">
        <f t="shared" si="285"/>
        <v>0.6</v>
      </c>
      <c r="G663" s="210">
        <f t="shared" si="283"/>
        <v>0.8</v>
      </c>
      <c r="I663" s="233">
        <f t="shared" si="286"/>
        <v>11.200000000000003</v>
      </c>
      <c r="J663" s="210">
        <f t="shared" si="287"/>
        <v>0.8</v>
      </c>
      <c r="L663" s="233">
        <f t="shared" si="288"/>
        <v>5.9200000000000017</v>
      </c>
      <c r="M663" s="220">
        <f t="shared" si="289"/>
        <v>0.8</v>
      </c>
      <c r="O663" s="873">
        <f t="shared" si="290"/>
        <v>24</v>
      </c>
      <c r="P663" s="873">
        <f t="shared" si="290"/>
        <v>24</v>
      </c>
      <c r="Q663" s="874">
        <f t="shared" si="291"/>
        <v>20.669999999999998</v>
      </c>
      <c r="R663" s="873">
        <f t="shared" si="292"/>
        <v>10</v>
      </c>
      <c r="S663" s="873">
        <f t="shared" si="293"/>
        <v>14</v>
      </c>
      <c r="T663" s="874">
        <f t="shared" si="294"/>
        <v>17.633411486304666</v>
      </c>
      <c r="U663" s="874">
        <f t="shared" si="295"/>
        <v>15.750000000000004</v>
      </c>
      <c r="V663" s="873">
        <f t="shared" si="296"/>
        <v>7</v>
      </c>
      <c r="W663" s="873">
        <f t="shared" si="297"/>
        <v>3</v>
      </c>
      <c r="X663" s="873">
        <f t="shared" si="298"/>
        <v>0</v>
      </c>
      <c r="Y663" s="873">
        <f t="shared" si="299"/>
        <v>1</v>
      </c>
      <c r="Z663" s="873">
        <f t="shared" si="300"/>
        <v>4</v>
      </c>
      <c r="AA663" s="873">
        <f t="shared" si="301"/>
        <v>9</v>
      </c>
      <c r="AB663" s="874">
        <f t="shared" si="302"/>
        <v>13.960871651185032</v>
      </c>
    </row>
    <row r="664" spans="1:28">
      <c r="A664" s="210">
        <f t="shared" si="303"/>
        <v>2</v>
      </c>
      <c r="B664" s="210">
        <f>$F$572</f>
        <v>4</v>
      </c>
      <c r="C664" s="210">
        <f t="shared" si="307"/>
        <v>22</v>
      </c>
      <c r="D664" s="210">
        <f t="shared" si="307"/>
        <v>53</v>
      </c>
      <c r="E664" s="237">
        <f t="shared" si="284"/>
        <v>1</v>
      </c>
      <c r="F664" s="1208">
        <f t="shared" si="285"/>
        <v>0.6</v>
      </c>
      <c r="G664" s="210">
        <f t="shared" si="283"/>
        <v>0.8</v>
      </c>
      <c r="I664" s="233">
        <f t="shared" si="286"/>
        <v>11.200000000000003</v>
      </c>
      <c r="J664" s="210">
        <f t="shared" si="287"/>
        <v>0.8</v>
      </c>
      <c r="L664" s="233">
        <f t="shared" si="288"/>
        <v>5.9200000000000017</v>
      </c>
      <c r="M664" s="220">
        <f t="shared" si="289"/>
        <v>0.8</v>
      </c>
      <c r="O664" s="873">
        <f t="shared" si="290"/>
        <v>24</v>
      </c>
      <c r="P664" s="873">
        <f t="shared" si="290"/>
        <v>24</v>
      </c>
      <c r="Q664" s="874">
        <f t="shared" si="291"/>
        <v>20.669999999999998</v>
      </c>
      <c r="R664" s="873">
        <f t="shared" si="292"/>
        <v>10</v>
      </c>
      <c r="S664" s="873">
        <f t="shared" si="293"/>
        <v>14</v>
      </c>
      <c r="T664" s="874">
        <f t="shared" si="294"/>
        <v>17.633411486304666</v>
      </c>
      <c r="U664" s="874">
        <f t="shared" si="295"/>
        <v>15.750000000000004</v>
      </c>
      <c r="V664" s="873">
        <f t="shared" si="296"/>
        <v>7</v>
      </c>
      <c r="W664" s="873">
        <f t="shared" si="297"/>
        <v>3</v>
      </c>
      <c r="X664" s="873">
        <f t="shared" si="298"/>
        <v>0</v>
      </c>
      <c r="Y664" s="873">
        <f t="shared" si="299"/>
        <v>1</v>
      </c>
      <c r="Z664" s="873">
        <f t="shared" si="300"/>
        <v>4</v>
      </c>
      <c r="AA664" s="873">
        <f t="shared" si="301"/>
        <v>9</v>
      </c>
      <c r="AB664" s="874">
        <f t="shared" si="302"/>
        <v>13.960871651185032</v>
      </c>
    </row>
    <row r="665" spans="1:28">
      <c r="A665" s="210">
        <f t="shared" si="303"/>
        <v>2</v>
      </c>
      <c r="B665" s="210">
        <f>$F$573</f>
        <v>5</v>
      </c>
      <c r="C665" s="210">
        <f t="shared" si="307"/>
        <v>23</v>
      </c>
      <c r="D665" s="210">
        <f t="shared" si="307"/>
        <v>54</v>
      </c>
      <c r="E665" s="237">
        <f t="shared" si="284"/>
        <v>1</v>
      </c>
      <c r="F665" s="1208">
        <f t="shared" si="285"/>
        <v>0.6</v>
      </c>
      <c r="G665" s="210">
        <f t="shared" si="283"/>
        <v>0.8</v>
      </c>
      <c r="I665" s="233">
        <f t="shared" si="286"/>
        <v>11.200000000000003</v>
      </c>
      <c r="J665" s="210">
        <f t="shared" si="287"/>
        <v>0.8</v>
      </c>
      <c r="L665" s="233">
        <f t="shared" si="288"/>
        <v>5.9200000000000017</v>
      </c>
      <c r="M665" s="220">
        <f t="shared" si="289"/>
        <v>0.8</v>
      </c>
      <c r="O665" s="873">
        <f t="shared" si="290"/>
        <v>24</v>
      </c>
      <c r="P665" s="873">
        <f t="shared" si="290"/>
        <v>24</v>
      </c>
      <c r="Q665" s="874">
        <f t="shared" si="291"/>
        <v>20.669999999999998</v>
      </c>
      <c r="R665" s="873">
        <f t="shared" si="292"/>
        <v>10</v>
      </c>
      <c r="S665" s="873">
        <f t="shared" si="293"/>
        <v>14</v>
      </c>
      <c r="T665" s="874">
        <f t="shared" si="294"/>
        <v>17.633411486304666</v>
      </c>
      <c r="U665" s="874">
        <f t="shared" si="295"/>
        <v>15.750000000000004</v>
      </c>
      <c r="V665" s="873">
        <f t="shared" si="296"/>
        <v>7</v>
      </c>
      <c r="W665" s="873">
        <f t="shared" si="297"/>
        <v>3</v>
      </c>
      <c r="X665" s="873">
        <f t="shared" si="298"/>
        <v>0</v>
      </c>
      <c r="Y665" s="873">
        <f t="shared" si="299"/>
        <v>1</v>
      </c>
      <c r="Z665" s="873">
        <f t="shared" si="300"/>
        <v>4</v>
      </c>
      <c r="AA665" s="873">
        <f t="shared" si="301"/>
        <v>9</v>
      </c>
      <c r="AB665" s="874">
        <f t="shared" si="302"/>
        <v>13.960871651185032</v>
      </c>
    </row>
    <row r="666" spans="1:28">
      <c r="A666" s="210">
        <f t="shared" si="303"/>
        <v>2</v>
      </c>
      <c r="B666" s="210">
        <f>$F$574</f>
        <v>6</v>
      </c>
      <c r="C666" s="210">
        <f t="shared" si="307"/>
        <v>24</v>
      </c>
      <c r="D666" s="210">
        <f t="shared" si="307"/>
        <v>55</v>
      </c>
      <c r="E666" s="237">
        <f t="shared" si="284"/>
        <v>1</v>
      </c>
      <c r="F666" s="1208">
        <f t="shared" si="285"/>
        <v>0.6</v>
      </c>
      <c r="G666" s="210">
        <f t="shared" si="283"/>
        <v>0.8</v>
      </c>
      <c r="I666" s="233">
        <f t="shared" si="286"/>
        <v>11.200000000000003</v>
      </c>
      <c r="J666" s="210">
        <f t="shared" si="287"/>
        <v>0.8</v>
      </c>
      <c r="L666" s="233">
        <f t="shared" si="288"/>
        <v>5.9200000000000017</v>
      </c>
      <c r="M666" s="220">
        <f t="shared" si="289"/>
        <v>0.8</v>
      </c>
      <c r="O666" s="873">
        <f t="shared" si="290"/>
        <v>24</v>
      </c>
      <c r="P666" s="873">
        <f t="shared" si="290"/>
        <v>24</v>
      </c>
      <c r="Q666" s="874">
        <f t="shared" si="291"/>
        <v>20.669999999999998</v>
      </c>
      <c r="R666" s="873">
        <f t="shared" si="292"/>
        <v>10</v>
      </c>
      <c r="S666" s="873">
        <f t="shared" si="293"/>
        <v>14</v>
      </c>
      <c r="T666" s="874">
        <f t="shared" si="294"/>
        <v>17.633411486304666</v>
      </c>
      <c r="U666" s="874">
        <f t="shared" si="295"/>
        <v>15.750000000000004</v>
      </c>
      <c r="V666" s="873">
        <f t="shared" si="296"/>
        <v>7</v>
      </c>
      <c r="W666" s="873">
        <f t="shared" si="297"/>
        <v>3</v>
      </c>
      <c r="X666" s="873">
        <f t="shared" si="298"/>
        <v>0</v>
      </c>
      <c r="Y666" s="873">
        <f t="shared" si="299"/>
        <v>1</v>
      </c>
      <c r="Z666" s="873">
        <f t="shared" si="300"/>
        <v>4</v>
      </c>
      <c r="AA666" s="873">
        <f t="shared" si="301"/>
        <v>9</v>
      </c>
      <c r="AB666" s="874">
        <f t="shared" si="302"/>
        <v>13.960871651185032</v>
      </c>
    </row>
    <row r="667" spans="1:28">
      <c r="A667" s="210">
        <f t="shared" si="303"/>
        <v>2</v>
      </c>
      <c r="B667" s="210">
        <f>$F$575</f>
        <v>7</v>
      </c>
      <c r="C667" s="210">
        <f t="shared" si="307"/>
        <v>25</v>
      </c>
      <c r="D667" s="210">
        <f t="shared" si="307"/>
        <v>56</v>
      </c>
      <c r="E667" s="237">
        <f t="shared" si="284"/>
        <v>1</v>
      </c>
      <c r="F667" s="1208">
        <f t="shared" si="285"/>
        <v>0.6</v>
      </c>
      <c r="G667" s="210">
        <f t="shared" si="283"/>
        <v>0.8</v>
      </c>
      <c r="I667" s="233">
        <f t="shared" si="286"/>
        <v>11.200000000000003</v>
      </c>
      <c r="J667" s="210">
        <f t="shared" si="287"/>
        <v>0.8</v>
      </c>
      <c r="L667" s="233">
        <f t="shared" si="288"/>
        <v>5.9200000000000017</v>
      </c>
      <c r="M667" s="220">
        <f t="shared" si="289"/>
        <v>0.8</v>
      </c>
      <c r="O667" s="873">
        <f t="shared" si="290"/>
        <v>24</v>
      </c>
      <c r="P667" s="873">
        <f t="shared" si="290"/>
        <v>24</v>
      </c>
      <c r="Q667" s="874">
        <f t="shared" si="291"/>
        <v>20.669999999999998</v>
      </c>
      <c r="R667" s="873">
        <f t="shared" si="292"/>
        <v>10</v>
      </c>
      <c r="S667" s="873">
        <f t="shared" si="293"/>
        <v>14</v>
      </c>
      <c r="T667" s="874">
        <f t="shared" si="294"/>
        <v>17.633411486304666</v>
      </c>
      <c r="U667" s="874">
        <f t="shared" si="295"/>
        <v>15.750000000000004</v>
      </c>
      <c r="V667" s="873">
        <f t="shared" si="296"/>
        <v>7</v>
      </c>
      <c r="W667" s="873">
        <f t="shared" si="297"/>
        <v>3</v>
      </c>
      <c r="X667" s="873">
        <f t="shared" si="298"/>
        <v>0</v>
      </c>
      <c r="Y667" s="873">
        <f t="shared" si="299"/>
        <v>1</v>
      </c>
      <c r="Z667" s="873">
        <f t="shared" si="300"/>
        <v>4</v>
      </c>
      <c r="AA667" s="873">
        <f t="shared" si="301"/>
        <v>9</v>
      </c>
      <c r="AB667" s="874">
        <f t="shared" si="302"/>
        <v>13.960871651185032</v>
      </c>
    </row>
    <row r="668" spans="1:28">
      <c r="A668" s="210">
        <f t="shared" si="303"/>
        <v>2</v>
      </c>
      <c r="B668" s="210">
        <f>$F$569</f>
        <v>1</v>
      </c>
      <c r="C668" s="210">
        <f t="shared" si="307"/>
        <v>26</v>
      </c>
      <c r="D668" s="210">
        <f t="shared" si="307"/>
        <v>57</v>
      </c>
      <c r="E668" s="237">
        <f t="shared" si="284"/>
        <v>1</v>
      </c>
      <c r="F668" s="1208">
        <f t="shared" si="285"/>
        <v>0.6</v>
      </c>
      <c r="G668" s="210">
        <f t="shared" si="283"/>
        <v>0.8</v>
      </c>
      <c r="I668" s="233">
        <f t="shared" si="286"/>
        <v>11.200000000000003</v>
      </c>
      <c r="J668" s="210">
        <f t="shared" si="287"/>
        <v>0.8</v>
      </c>
      <c r="L668" s="233">
        <f t="shared" si="288"/>
        <v>5.9200000000000017</v>
      </c>
      <c r="M668" s="220">
        <f t="shared" si="289"/>
        <v>0.8</v>
      </c>
      <c r="O668" s="873">
        <f t="shared" si="290"/>
        <v>24</v>
      </c>
      <c r="P668" s="873">
        <f t="shared" si="290"/>
        <v>24</v>
      </c>
      <c r="Q668" s="874">
        <f t="shared" si="291"/>
        <v>20.669999999999998</v>
      </c>
      <c r="R668" s="873">
        <f t="shared" si="292"/>
        <v>10</v>
      </c>
      <c r="S668" s="873">
        <f t="shared" si="293"/>
        <v>14</v>
      </c>
      <c r="T668" s="874">
        <f t="shared" si="294"/>
        <v>17.633411486304666</v>
      </c>
      <c r="U668" s="874">
        <f t="shared" si="295"/>
        <v>15.750000000000004</v>
      </c>
      <c r="V668" s="873">
        <f t="shared" si="296"/>
        <v>7</v>
      </c>
      <c r="W668" s="873">
        <f t="shared" si="297"/>
        <v>3</v>
      </c>
      <c r="X668" s="873">
        <f t="shared" si="298"/>
        <v>0</v>
      </c>
      <c r="Y668" s="873">
        <f t="shared" si="299"/>
        <v>1</v>
      </c>
      <c r="Z668" s="873">
        <f t="shared" si="300"/>
        <v>4</v>
      </c>
      <c r="AA668" s="873">
        <f t="shared" si="301"/>
        <v>9</v>
      </c>
      <c r="AB668" s="874">
        <f t="shared" si="302"/>
        <v>13.960871651185032</v>
      </c>
    </row>
    <row r="669" spans="1:28">
      <c r="A669" s="210">
        <f t="shared" si="303"/>
        <v>2</v>
      </c>
      <c r="B669" s="210">
        <f>$F$570</f>
        <v>2</v>
      </c>
      <c r="C669" s="210">
        <f t="shared" si="307"/>
        <v>27</v>
      </c>
      <c r="D669" s="210">
        <f t="shared" si="307"/>
        <v>58</v>
      </c>
      <c r="E669" s="237">
        <f t="shared" si="284"/>
        <v>1</v>
      </c>
      <c r="F669" s="1208">
        <f t="shared" si="285"/>
        <v>0.6</v>
      </c>
      <c r="G669" s="210">
        <f t="shared" si="283"/>
        <v>0.8</v>
      </c>
      <c r="I669" s="233">
        <f t="shared" si="286"/>
        <v>11.200000000000003</v>
      </c>
      <c r="J669" s="210">
        <f t="shared" si="287"/>
        <v>0.8</v>
      </c>
      <c r="L669" s="233">
        <f t="shared" si="288"/>
        <v>5.9200000000000017</v>
      </c>
      <c r="M669" s="220">
        <f t="shared" si="289"/>
        <v>0.8</v>
      </c>
      <c r="O669" s="873">
        <f t="shared" si="290"/>
        <v>24</v>
      </c>
      <c r="P669" s="873">
        <f t="shared" si="290"/>
        <v>24</v>
      </c>
      <c r="Q669" s="874">
        <f t="shared" si="291"/>
        <v>20.669999999999998</v>
      </c>
      <c r="R669" s="873">
        <f t="shared" si="292"/>
        <v>10</v>
      </c>
      <c r="S669" s="873">
        <f t="shared" si="293"/>
        <v>14</v>
      </c>
      <c r="T669" s="874">
        <f t="shared" si="294"/>
        <v>17.633411486304666</v>
      </c>
      <c r="U669" s="874">
        <f t="shared" si="295"/>
        <v>15.750000000000004</v>
      </c>
      <c r="V669" s="873">
        <f t="shared" si="296"/>
        <v>7</v>
      </c>
      <c r="W669" s="873">
        <f t="shared" si="297"/>
        <v>3</v>
      </c>
      <c r="X669" s="873">
        <f t="shared" si="298"/>
        <v>0</v>
      </c>
      <c r="Y669" s="873">
        <f t="shared" si="299"/>
        <v>1</v>
      </c>
      <c r="Z669" s="873">
        <f t="shared" si="300"/>
        <v>4</v>
      </c>
      <c r="AA669" s="873">
        <f t="shared" si="301"/>
        <v>9</v>
      </c>
      <c r="AB669" s="874">
        <f t="shared" si="302"/>
        <v>13.960871651185032</v>
      </c>
    </row>
    <row r="670" spans="1:28">
      <c r="A670" s="210">
        <f t="shared" si="303"/>
        <v>2</v>
      </c>
      <c r="B670" s="210">
        <f>$F$571</f>
        <v>3</v>
      </c>
      <c r="C670" s="210">
        <f t="shared" si="307"/>
        <v>28</v>
      </c>
      <c r="D670" s="210">
        <f t="shared" si="307"/>
        <v>59</v>
      </c>
      <c r="E670" s="237">
        <f t="shared" si="284"/>
        <v>1</v>
      </c>
      <c r="F670" s="1208">
        <f t="shared" si="285"/>
        <v>0.6</v>
      </c>
      <c r="G670" s="210">
        <f t="shared" si="283"/>
        <v>0.8</v>
      </c>
      <c r="I670" s="233">
        <f t="shared" si="286"/>
        <v>11.200000000000003</v>
      </c>
      <c r="J670" s="210">
        <f t="shared" si="287"/>
        <v>0.8</v>
      </c>
      <c r="L670" s="233">
        <f t="shared" si="288"/>
        <v>5.9200000000000017</v>
      </c>
      <c r="M670" s="220">
        <f t="shared" si="289"/>
        <v>0.8</v>
      </c>
      <c r="O670" s="873">
        <f t="shared" si="290"/>
        <v>24</v>
      </c>
      <c r="P670" s="873">
        <f t="shared" si="290"/>
        <v>24</v>
      </c>
      <c r="Q670" s="874">
        <f t="shared" si="291"/>
        <v>20.669999999999998</v>
      </c>
      <c r="R670" s="873">
        <f t="shared" si="292"/>
        <v>10</v>
      </c>
      <c r="S670" s="873">
        <f t="shared" si="293"/>
        <v>14</v>
      </c>
      <c r="T670" s="874">
        <f t="shared" si="294"/>
        <v>17.633411486304666</v>
      </c>
      <c r="U670" s="874">
        <f t="shared" si="295"/>
        <v>15.750000000000004</v>
      </c>
      <c r="V670" s="873">
        <f t="shared" si="296"/>
        <v>7</v>
      </c>
      <c r="W670" s="873">
        <f t="shared" si="297"/>
        <v>3</v>
      </c>
      <c r="X670" s="873">
        <f t="shared" si="298"/>
        <v>0</v>
      </c>
      <c r="Y670" s="873">
        <f t="shared" si="299"/>
        <v>1</v>
      </c>
      <c r="Z670" s="873">
        <f t="shared" si="300"/>
        <v>4</v>
      </c>
      <c r="AA670" s="873">
        <f t="shared" si="301"/>
        <v>9</v>
      </c>
      <c r="AB670" s="874">
        <f t="shared" si="302"/>
        <v>13.960871651185032</v>
      </c>
    </row>
    <row r="671" spans="1:28">
      <c r="A671" s="210">
        <v>3</v>
      </c>
      <c r="B671" s="210">
        <f>$F$572</f>
        <v>4</v>
      </c>
      <c r="C671" s="210">
        <v>1</v>
      </c>
      <c r="D671" s="210">
        <f t="shared" si="307"/>
        <v>60</v>
      </c>
      <c r="E671" s="237">
        <f t="shared" si="284"/>
        <v>1</v>
      </c>
      <c r="F671" s="1208">
        <f t="shared" si="285"/>
        <v>1</v>
      </c>
      <c r="G671" s="210">
        <f t="shared" si="283"/>
        <v>0.8</v>
      </c>
      <c r="I671" s="233">
        <f t="shared" si="286"/>
        <v>11.200000000000003</v>
      </c>
      <c r="J671" s="210">
        <f t="shared" si="287"/>
        <v>0.8</v>
      </c>
      <c r="L671" s="233">
        <f t="shared" si="288"/>
        <v>5.9200000000000017</v>
      </c>
      <c r="M671" s="220">
        <f t="shared" si="289"/>
        <v>0.8</v>
      </c>
      <c r="O671" s="873">
        <f t="shared" si="290"/>
        <v>24</v>
      </c>
      <c r="P671" s="873">
        <f t="shared" si="290"/>
        <v>24</v>
      </c>
      <c r="Q671" s="874">
        <f t="shared" si="291"/>
        <v>20.669999999999998</v>
      </c>
      <c r="R671" s="873">
        <f t="shared" si="292"/>
        <v>10</v>
      </c>
      <c r="S671" s="873">
        <f t="shared" si="293"/>
        <v>14</v>
      </c>
      <c r="T671" s="874">
        <f t="shared" si="294"/>
        <v>17.633411486304666</v>
      </c>
      <c r="U671" s="874">
        <f t="shared" si="295"/>
        <v>15.750000000000004</v>
      </c>
      <c r="V671" s="873">
        <f t="shared" si="296"/>
        <v>7</v>
      </c>
      <c r="W671" s="873">
        <f t="shared" si="297"/>
        <v>3</v>
      </c>
      <c r="X671" s="873">
        <f t="shared" si="298"/>
        <v>0</v>
      </c>
      <c r="Y671" s="873">
        <f t="shared" si="299"/>
        <v>1</v>
      </c>
      <c r="Z671" s="873">
        <f t="shared" si="300"/>
        <v>4</v>
      </c>
      <c r="AA671" s="873">
        <f t="shared" si="301"/>
        <v>9</v>
      </c>
      <c r="AB671" s="874">
        <f t="shared" si="302"/>
        <v>13.960871651185032</v>
      </c>
    </row>
    <row r="672" spans="1:28">
      <c r="A672" s="210">
        <f t="shared" si="303"/>
        <v>3</v>
      </c>
      <c r="B672" s="210">
        <f>$F$573</f>
        <v>5</v>
      </c>
      <c r="C672" s="210">
        <f t="shared" si="307"/>
        <v>2</v>
      </c>
      <c r="D672" s="210">
        <f t="shared" si="307"/>
        <v>61</v>
      </c>
      <c r="E672" s="237">
        <f t="shared" si="284"/>
        <v>1</v>
      </c>
      <c r="F672" s="1208">
        <f t="shared" si="285"/>
        <v>1</v>
      </c>
      <c r="G672" s="210">
        <f t="shared" si="283"/>
        <v>0.8</v>
      </c>
      <c r="I672" s="233">
        <f t="shared" si="286"/>
        <v>11.200000000000003</v>
      </c>
      <c r="J672" s="210">
        <f t="shared" si="287"/>
        <v>0.8</v>
      </c>
      <c r="L672" s="233">
        <f t="shared" si="288"/>
        <v>5.9200000000000017</v>
      </c>
      <c r="M672" s="220">
        <f t="shared" si="289"/>
        <v>0.8</v>
      </c>
      <c r="O672" s="873">
        <f t="shared" si="290"/>
        <v>24</v>
      </c>
      <c r="P672" s="873">
        <f t="shared" si="290"/>
        <v>24</v>
      </c>
      <c r="Q672" s="874">
        <f t="shared" si="291"/>
        <v>20.669999999999998</v>
      </c>
      <c r="R672" s="873">
        <f t="shared" si="292"/>
        <v>10</v>
      </c>
      <c r="S672" s="873">
        <f t="shared" si="293"/>
        <v>14</v>
      </c>
      <c r="T672" s="874">
        <f t="shared" si="294"/>
        <v>17.633411486304666</v>
      </c>
      <c r="U672" s="874">
        <f t="shared" si="295"/>
        <v>15.750000000000004</v>
      </c>
      <c r="V672" s="873">
        <f t="shared" si="296"/>
        <v>7</v>
      </c>
      <c r="W672" s="873">
        <f t="shared" si="297"/>
        <v>3</v>
      </c>
      <c r="X672" s="873">
        <f t="shared" si="298"/>
        <v>0</v>
      </c>
      <c r="Y672" s="873">
        <f t="shared" si="299"/>
        <v>1</v>
      </c>
      <c r="Z672" s="873">
        <f t="shared" si="300"/>
        <v>4</v>
      </c>
      <c r="AA672" s="873">
        <f t="shared" si="301"/>
        <v>9</v>
      </c>
      <c r="AB672" s="874">
        <f t="shared" si="302"/>
        <v>13.960871651185032</v>
      </c>
    </row>
    <row r="673" spans="1:28">
      <c r="A673" s="210">
        <f t="shared" si="303"/>
        <v>3</v>
      </c>
      <c r="B673" s="210">
        <f>$F$574</f>
        <v>6</v>
      </c>
      <c r="C673" s="210">
        <f t="shared" si="307"/>
        <v>3</v>
      </c>
      <c r="D673" s="210">
        <f t="shared" si="307"/>
        <v>62</v>
      </c>
      <c r="E673" s="237">
        <f t="shared" si="284"/>
        <v>1</v>
      </c>
      <c r="F673" s="1208">
        <f t="shared" si="285"/>
        <v>1</v>
      </c>
      <c r="G673" s="210">
        <f t="shared" si="283"/>
        <v>0.8</v>
      </c>
      <c r="I673" s="233">
        <f t="shared" si="286"/>
        <v>11.200000000000003</v>
      </c>
      <c r="J673" s="210">
        <f t="shared" si="287"/>
        <v>0.8</v>
      </c>
      <c r="L673" s="233">
        <f t="shared" si="288"/>
        <v>5.9200000000000017</v>
      </c>
      <c r="M673" s="220">
        <f t="shared" si="289"/>
        <v>0.8</v>
      </c>
      <c r="O673" s="873">
        <f t="shared" si="290"/>
        <v>24</v>
      </c>
      <c r="P673" s="873">
        <f t="shared" si="290"/>
        <v>24</v>
      </c>
      <c r="Q673" s="874">
        <f t="shared" si="291"/>
        <v>20.669999999999998</v>
      </c>
      <c r="R673" s="873">
        <f t="shared" si="292"/>
        <v>10</v>
      </c>
      <c r="S673" s="873">
        <f t="shared" si="293"/>
        <v>14</v>
      </c>
      <c r="T673" s="874">
        <f t="shared" si="294"/>
        <v>17.633411486304666</v>
      </c>
      <c r="U673" s="874">
        <f t="shared" si="295"/>
        <v>15.750000000000004</v>
      </c>
      <c r="V673" s="873">
        <f t="shared" si="296"/>
        <v>7</v>
      </c>
      <c r="W673" s="873">
        <f t="shared" si="297"/>
        <v>3</v>
      </c>
      <c r="X673" s="873">
        <f t="shared" si="298"/>
        <v>0</v>
      </c>
      <c r="Y673" s="873">
        <f t="shared" si="299"/>
        <v>1</v>
      </c>
      <c r="Z673" s="873">
        <f t="shared" si="300"/>
        <v>4</v>
      </c>
      <c r="AA673" s="873">
        <f t="shared" si="301"/>
        <v>9</v>
      </c>
      <c r="AB673" s="874">
        <f t="shared" si="302"/>
        <v>13.960871651185032</v>
      </c>
    </row>
    <row r="674" spans="1:28">
      <c r="A674" s="210">
        <f t="shared" si="303"/>
        <v>3</v>
      </c>
      <c r="B674" s="210">
        <f>$F$575</f>
        <v>7</v>
      </c>
      <c r="C674" s="210">
        <f t="shared" si="307"/>
        <v>4</v>
      </c>
      <c r="D674" s="210">
        <f t="shared" si="307"/>
        <v>63</v>
      </c>
      <c r="E674" s="237">
        <f t="shared" si="284"/>
        <v>1</v>
      </c>
      <c r="F674" s="1208">
        <f t="shared" si="285"/>
        <v>1</v>
      </c>
      <c r="G674" s="210">
        <f t="shared" si="283"/>
        <v>0.8</v>
      </c>
      <c r="I674" s="233">
        <f t="shared" si="286"/>
        <v>11.200000000000003</v>
      </c>
      <c r="J674" s="210">
        <f t="shared" si="287"/>
        <v>0.8</v>
      </c>
      <c r="L674" s="233">
        <f t="shared" si="288"/>
        <v>5.9200000000000017</v>
      </c>
      <c r="M674" s="220">
        <f t="shared" si="289"/>
        <v>0.8</v>
      </c>
      <c r="O674" s="873">
        <f t="shared" si="290"/>
        <v>24</v>
      </c>
      <c r="P674" s="873">
        <f t="shared" si="290"/>
        <v>24</v>
      </c>
      <c r="Q674" s="874">
        <f t="shared" si="291"/>
        <v>20.669999999999998</v>
      </c>
      <c r="R674" s="873">
        <f t="shared" si="292"/>
        <v>10</v>
      </c>
      <c r="S674" s="873">
        <f t="shared" si="293"/>
        <v>14</v>
      </c>
      <c r="T674" s="874">
        <f t="shared" si="294"/>
        <v>17.633411486304666</v>
      </c>
      <c r="U674" s="874">
        <f t="shared" si="295"/>
        <v>15.750000000000004</v>
      </c>
      <c r="V674" s="873">
        <f t="shared" si="296"/>
        <v>7</v>
      </c>
      <c r="W674" s="873">
        <f t="shared" si="297"/>
        <v>3</v>
      </c>
      <c r="X674" s="873">
        <f t="shared" si="298"/>
        <v>0</v>
      </c>
      <c r="Y674" s="873">
        <f t="shared" si="299"/>
        <v>1</v>
      </c>
      <c r="Z674" s="873">
        <f t="shared" si="300"/>
        <v>4</v>
      </c>
      <c r="AA674" s="873">
        <f t="shared" si="301"/>
        <v>9</v>
      </c>
      <c r="AB674" s="874">
        <f t="shared" si="302"/>
        <v>13.960871651185032</v>
      </c>
    </row>
    <row r="675" spans="1:28">
      <c r="A675" s="210">
        <f t="shared" si="303"/>
        <v>3</v>
      </c>
      <c r="B675" s="210">
        <f>$F$569</f>
        <v>1</v>
      </c>
      <c r="C675" s="210">
        <f t="shared" si="307"/>
        <v>5</v>
      </c>
      <c r="D675" s="210">
        <f t="shared" si="307"/>
        <v>64</v>
      </c>
      <c r="E675" s="237">
        <f t="shared" si="284"/>
        <v>1</v>
      </c>
      <c r="F675" s="1208">
        <f t="shared" si="285"/>
        <v>1</v>
      </c>
      <c r="G675" s="210">
        <f t="shared" si="283"/>
        <v>0.8</v>
      </c>
      <c r="I675" s="233">
        <f t="shared" si="286"/>
        <v>11.200000000000003</v>
      </c>
      <c r="J675" s="210">
        <f t="shared" si="287"/>
        <v>0.8</v>
      </c>
      <c r="L675" s="233">
        <f t="shared" si="288"/>
        <v>5.9200000000000017</v>
      </c>
      <c r="M675" s="220">
        <f t="shared" si="289"/>
        <v>0.8</v>
      </c>
      <c r="O675" s="873">
        <f t="shared" si="290"/>
        <v>24</v>
      </c>
      <c r="P675" s="873">
        <f t="shared" si="290"/>
        <v>24</v>
      </c>
      <c r="Q675" s="874">
        <f t="shared" si="291"/>
        <v>20.669999999999998</v>
      </c>
      <c r="R675" s="873">
        <f t="shared" si="292"/>
        <v>10</v>
      </c>
      <c r="S675" s="873">
        <f t="shared" si="293"/>
        <v>14</v>
      </c>
      <c r="T675" s="874">
        <f t="shared" si="294"/>
        <v>17.633411486304666</v>
      </c>
      <c r="U675" s="874">
        <f t="shared" si="295"/>
        <v>15.750000000000004</v>
      </c>
      <c r="V675" s="873">
        <f t="shared" si="296"/>
        <v>7</v>
      </c>
      <c r="W675" s="873">
        <f t="shared" si="297"/>
        <v>3</v>
      </c>
      <c r="X675" s="873">
        <f t="shared" si="298"/>
        <v>0</v>
      </c>
      <c r="Y675" s="873">
        <f t="shared" si="299"/>
        <v>1</v>
      </c>
      <c r="Z675" s="873">
        <f t="shared" si="300"/>
        <v>4</v>
      </c>
      <c r="AA675" s="873">
        <f t="shared" si="301"/>
        <v>9</v>
      </c>
      <c r="AB675" s="874">
        <f t="shared" si="302"/>
        <v>13.960871651185032</v>
      </c>
    </row>
    <row r="676" spans="1:28">
      <c r="A676" s="210">
        <f t="shared" si="303"/>
        <v>3</v>
      </c>
      <c r="B676" s="210">
        <f>$F$570</f>
        <v>2</v>
      </c>
      <c r="C676" s="210">
        <f t="shared" si="307"/>
        <v>6</v>
      </c>
      <c r="D676" s="210">
        <f t="shared" si="307"/>
        <v>65</v>
      </c>
      <c r="E676" s="237">
        <f t="shared" si="284"/>
        <v>1</v>
      </c>
      <c r="F676" s="1208">
        <f t="shared" ref="F676:F739" si="308">INDEX($C$569:$C$580,A676)</f>
        <v>1</v>
      </c>
      <c r="G676" s="210">
        <f t="shared" ref="G676:G739" si="309">INDEX($D$569:$D$580,A676)</f>
        <v>0.8</v>
      </c>
      <c r="I676" s="233">
        <f t="shared" si="286"/>
        <v>11.200000000000003</v>
      </c>
      <c r="J676" s="210">
        <f t="shared" si="287"/>
        <v>0.8</v>
      </c>
      <c r="L676" s="233">
        <f t="shared" si="288"/>
        <v>5.9200000000000017</v>
      </c>
      <c r="M676" s="220">
        <f t="shared" si="289"/>
        <v>0.8</v>
      </c>
      <c r="O676" s="873">
        <f t="shared" si="290"/>
        <v>24</v>
      </c>
      <c r="P676" s="873">
        <f t="shared" si="290"/>
        <v>24</v>
      </c>
      <c r="Q676" s="874">
        <f t="shared" si="291"/>
        <v>20.669999999999998</v>
      </c>
      <c r="R676" s="873">
        <f t="shared" si="292"/>
        <v>10</v>
      </c>
      <c r="S676" s="873">
        <f t="shared" si="293"/>
        <v>14</v>
      </c>
      <c r="T676" s="874">
        <f t="shared" si="294"/>
        <v>17.633411486304666</v>
      </c>
      <c r="U676" s="874">
        <f t="shared" si="295"/>
        <v>15.750000000000004</v>
      </c>
      <c r="V676" s="873">
        <f t="shared" si="296"/>
        <v>7</v>
      </c>
      <c r="W676" s="873">
        <f t="shared" si="297"/>
        <v>3</v>
      </c>
      <c r="X676" s="873">
        <f t="shared" si="298"/>
        <v>0</v>
      </c>
      <c r="Y676" s="873">
        <f t="shared" si="299"/>
        <v>1</v>
      </c>
      <c r="Z676" s="873">
        <f t="shared" si="300"/>
        <v>4</v>
      </c>
      <c r="AA676" s="873">
        <f t="shared" si="301"/>
        <v>9</v>
      </c>
      <c r="AB676" s="874">
        <f t="shared" si="302"/>
        <v>13.960871651185032</v>
      </c>
    </row>
    <row r="677" spans="1:28">
      <c r="A677" s="210">
        <f t="shared" si="303"/>
        <v>3</v>
      </c>
      <c r="B677" s="210">
        <f>$F$571</f>
        <v>3</v>
      </c>
      <c r="C677" s="210">
        <f t="shared" ref="C677:D692" si="310">C676+1</f>
        <v>7</v>
      </c>
      <c r="D677" s="210">
        <f t="shared" si="310"/>
        <v>66</v>
      </c>
      <c r="E677" s="237">
        <f t="shared" ref="E677:E740" si="311">INDEX($H$569:$H$575,B677)</f>
        <v>1</v>
      </c>
      <c r="F677" s="1208">
        <f t="shared" si="308"/>
        <v>1</v>
      </c>
      <c r="G677" s="210">
        <f t="shared" si="309"/>
        <v>0.8</v>
      </c>
      <c r="I677" s="233">
        <f t="shared" ref="I677:I740" si="312">$E677*$B$62*G677</f>
        <v>11.200000000000003</v>
      </c>
      <c r="J677" s="210">
        <f t="shared" ref="J677:J740" si="313">$E677*MAX($B$63:$B$86)*G677</f>
        <v>0.8</v>
      </c>
      <c r="L677" s="233">
        <f t="shared" ref="L677:L740" si="314">IF(E677=1, $D$62*G677,$E$62*G677)</f>
        <v>5.9200000000000017</v>
      </c>
      <c r="M677" s="220">
        <f t="shared" ref="M677:M740" si="315">IF(E677=1,MAX($D$63:$D$86)*G677,MAX($E$63:$E$86)*G677)</f>
        <v>0.8</v>
      </c>
      <c r="O677" s="873">
        <f t="shared" ref="O677:P740" si="316">$E677*$F$62*IF($G677=0,0,1)</f>
        <v>24</v>
      </c>
      <c r="P677" s="873">
        <f t="shared" si="316"/>
        <v>24</v>
      </c>
      <c r="Q677" s="874">
        <f t="shared" ref="Q677:Q740" si="317">$E677*$G$62*IF($G677=0,0,1)</f>
        <v>20.669999999999998</v>
      </c>
      <c r="R677" s="873">
        <f t="shared" ref="R677:R740" si="318">(O677-S677)*IF($G677=0,0,1)</f>
        <v>10</v>
      </c>
      <c r="S677" s="873">
        <f t="shared" ref="S677:S740" si="319">IF(E677=0,0,COUNTIF(G$63:G$86,1))*IF($G677=0,0,1)</f>
        <v>14</v>
      </c>
      <c r="T677" s="874">
        <f t="shared" ref="T677:T740" si="320">$E677*$H$62*IF($G677=0,0,1)</f>
        <v>17.633411486304666</v>
      </c>
      <c r="U677" s="874">
        <f t="shared" ref="U677:U740" si="321">$E677*$I$62*IF($G677=0,0,1)</f>
        <v>15.750000000000004</v>
      </c>
      <c r="V677" s="873">
        <f t="shared" ref="V677:V740" si="322">IF($E677=0,0,COUNTIF($I$63:$I$86,0.25))*IF($G677=0,0,1)</f>
        <v>7</v>
      </c>
      <c r="W677" s="873">
        <f t="shared" ref="W677:W740" si="323">IF($E677=0,0,COUNTIF($I$63:$I$86,0.4))*IF($G677=0,0,1)</f>
        <v>3</v>
      </c>
      <c r="X677" s="873">
        <f t="shared" ref="X677:X740" si="324">IF($E677=0,0,COUNTIF($I$63:$I$86,0.5))*IF($G677=0,0,1)</f>
        <v>0</v>
      </c>
      <c r="Y677" s="873">
        <f t="shared" ref="Y677:Y740" si="325">IF($E677=0,0,COUNTIF($I$63:$I$86,0.6))*IF($G677=0,0,1)</f>
        <v>1</v>
      </c>
      <c r="Z677" s="873">
        <f t="shared" ref="Z677:Z740" si="326">IF($E677=0,0,COUNTIF($I$63:$I$86,0.8))*IF($G677=0,0,1)</f>
        <v>4</v>
      </c>
      <c r="AA677" s="873">
        <f t="shared" ref="AA677:AA740" si="327">IF($E677=0,0,COUNTIF($I$63:$I$86,1))*IF($G677=0,0,1)</f>
        <v>9</v>
      </c>
      <c r="AB677" s="874">
        <f t="shared" ref="AB677:AB740" si="328">$E677*$J$62*IF($G677=0,0,1)</f>
        <v>13.960871651185032</v>
      </c>
    </row>
    <row r="678" spans="1:28">
      <c r="A678" s="210">
        <f t="shared" ref="A678:A741" si="329">A677</f>
        <v>3</v>
      </c>
      <c r="B678" s="210">
        <f>$F$572</f>
        <v>4</v>
      </c>
      <c r="C678" s="210">
        <f t="shared" si="310"/>
        <v>8</v>
      </c>
      <c r="D678" s="210">
        <f t="shared" si="310"/>
        <v>67</v>
      </c>
      <c r="E678" s="237">
        <f t="shared" si="311"/>
        <v>1</v>
      </c>
      <c r="F678" s="1208">
        <f t="shared" si="308"/>
        <v>1</v>
      </c>
      <c r="G678" s="210">
        <f t="shared" si="309"/>
        <v>0.8</v>
      </c>
      <c r="I678" s="233">
        <f t="shared" si="312"/>
        <v>11.200000000000003</v>
      </c>
      <c r="J678" s="210">
        <f t="shared" si="313"/>
        <v>0.8</v>
      </c>
      <c r="L678" s="233">
        <f t="shared" si="314"/>
        <v>5.9200000000000017</v>
      </c>
      <c r="M678" s="220">
        <f t="shared" si="315"/>
        <v>0.8</v>
      </c>
      <c r="O678" s="873">
        <f t="shared" si="316"/>
        <v>24</v>
      </c>
      <c r="P678" s="873">
        <f t="shared" si="316"/>
        <v>24</v>
      </c>
      <c r="Q678" s="874">
        <f t="shared" si="317"/>
        <v>20.669999999999998</v>
      </c>
      <c r="R678" s="873">
        <f t="shared" si="318"/>
        <v>10</v>
      </c>
      <c r="S678" s="873">
        <f t="shared" si="319"/>
        <v>14</v>
      </c>
      <c r="T678" s="874">
        <f t="shared" si="320"/>
        <v>17.633411486304666</v>
      </c>
      <c r="U678" s="874">
        <f t="shared" si="321"/>
        <v>15.750000000000004</v>
      </c>
      <c r="V678" s="873">
        <f t="shared" si="322"/>
        <v>7</v>
      </c>
      <c r="W678" s="873">
        <f t="shared" si="323"/>
        <v>3</v>
      </c>
      <c r="X678" s="873">
        <f t="shared" si="324"/>
        <v>0</v>
      </c>
      <c r="Y678" s="873">
        <f t="shared" si="325"/>
        <v>1</v>
      </c>
      <c r="Z678" s="873">
        <f t="shared" si="326"/>
        <v>4</v>
      </c>
      <c r="AA678" s="873">
        <f t="shared" si="327"/>
        <v>9</v>
      </c>
      <c r="AB678" s="874">
        <f t="shared" si="328"/>
        <v>13.960871651185032</v>
      </c>
    </row>
    <row r="679" spans="1:28">
      <c r="A679" s="210">
        <f t="shared" si="329"/>
        <v>3</v>
      </c>
      <c r="B679" s="210">
        <f>$F$573</f>
        <v>5</v>
      </c>
      <c r="C679" s="210">
        <f t="shared" si="310"/>
        <v>9</v>
      </c>
      <c r="D679" s="210">
        <f t="shared" si="310"/>
        <v>68</v>
      </c>
      <c r="E679" s="237">
        <f t="shared" si="311"/>
        <v>1</v>
      </c>
      <c r="F679" s="1208">
        <f t="shared" si="308"/>
        <v>1</v>
      </c>
      <c r="G679" s="210">
        <f t="shared" si="309"/>
        <v>0.8</v>
      </c>
      <c r="I679" s="233">
        <f t="shared" si="312"/>
        <v>11.200000000000003</v>
      </c>
      <c r="J679" s="210">
        <f t="shared" si="313"/>
        <v>0.8</v>
      </c>
      <c r="L679" s="233">
        <f t="shared" si="314"/>
        <v>5.9200000000000017</v>
      </c>
      <c r="M679" s="220">
        <f t="shared" si="315"/>
        <v>0.8</v>
      </c>
      <c r="O679" s="873">
        <f t="shared" si="316"/>
        <v>24</v>
      </c>
      <c r="P679" s="873">
        <f t="shared" si="316"/>
        <v>24</v>
      </c>
      <c r="Q679" s="874">
        <f t="shared" si="317"/>
        <v>20.669999999999998</v>
      </c>
      <c r="R679" s="873">
        <f t="shared" si="318"/>
        <v>10</v>
      </c>
      <c r="S679" s="873">
        <f t="shared" si="319"/>
        <v>14</v>
      </c>
      <c r="T679" s="874">
        <f t="shared" si="320"/>
        <v>17.633411486304666</v>
      </c>
      <c r="U679" s="874">
        <f t="shared" si="321"/>
        <v>15.750000000000004</v>
      </c>
      <c r="V679" s="873">
        <f t="shared" si="322"/>
        <v>7</v>
      </c>
      <c r="W679" s="873">
        <f t="shared" si="323"/>
        <v>3</v>
      </c>
      <c r="X679" s="873">
        <f t="shared" si="324"/>
        <v>0</v>
      </c>
      <c r="Y679" s="873">
        <f t="shared" si="325"/>
        <v>1</v>
      </c>
      <c r="Z679" s="873">
        <f t="shared" si="326"/>
        <v>4</v>
      </c>
      <c r="AA679" s="873">
        <f t="shared" si="327"/>
        <v>9</v>
      </c>
      <c r="AB679" s="874">
        <f t="shared" si="328"/>
        <v>13.960871651185032</v>
      </c>
    </row>
    <row r="680" spans="1:28">
      <c r="A680" s="210">
        <f t="shared" si="329"/>
        <v>3</v>
      </c>
      <c r="B680" s="210">
        <f>$F$574</f>
        <v>6</v>
      </c>
      <c r="C680" s="210">
        <f t="shared" si="310"/>
        <v>10</v>
      </c>
      <c r="D680" s="210">
        <f t="shared" si="310"/>
        <v>69</v>
      </c>
      <c r="E680" s="237">
        <f t="shared" si="311"/>
        <v>1</v>
      </c>
      <c r="F680" s="1208">
        <f t="shared" si="308"/>
        <v>1</v>
      </c>
      <c r="G680" s="210">
        <f t="shared" si="309"/>
        <v>0.8</v>
      </c>
      <c r="I680" s="233">
        <f t="shared" si="312"/>
        <v>11.200000000000003</v>
      </c>
      <c r="J680" s="210">
        <f t="shared" si="313"/>
        <v>0.8</v>
      </c>
      <c r="L680" s="233">
        <f t="shared" si="314"/>
        <v>5.9200000000000017</v>
      </c>
      <c r="M680" s="220">
        <f t="shared" si="315"/>
        <v>0.8</v>
      </c>
      <c r="O680" s="873">
        <f t="shared" si="316"/>
        <v>24</v>
      </c>
      <c r="P680" s="873">
        <f t="shared" si="316"/>
        <v>24</v>
      </c>
      <c r="Q680" s="874">
        <f t="shared" si="317"/>
        <v>20.669999999999998</v>
      </c>
      <c r="R680" s="873">
        <f t="shared" si="318"/>
        <v>10</v>
      </c>
      <c r="S680" s="873">
        <f t="shared" si="319"/>
        <v>14</v>
      </c>
      <c r="T680" s="874">
        <f t="shared" si="320"/>
        <v>17.633411486304666</v>
      </c>
      <c r="U680" s="874">
        <f t="shared" si="321"/>
        <v>15.750000000000004</v>
      </c>
      <c r="V680" s="873">
        <f t="shared" si="322"/>
        <v>7</v>
      </c>
      <c r="W680" s="873">
        <f t="shared" si="323"/>
        <v>3</v>
      </c>
      <c r="X680" s="873">
        <f t="shared" si="324"/>
        <v>0</v>
      </c>
      <c r="Y680" s="873">
        <f t="shared" si="325"/>
        <v>1</v>
      </c>
      <c r="Z680" s="873">
        <f t="shared" si="326"/>
        <v>4</v>
      </c>
      <c r="AA680" s="873">
        <f t="shared" si="327"/>
        <v>9</v>
      </c>
      <c r="AB680" s="874">
        <f t="shared" si="328"/>
        <v>13.960871651185032</v>
      </c>
    </row>
    <row r="681" spans="1:28">
      <c r="A681" s="210">
        <f t="shared" si="329"/>
        <v>3</v>
      </c>
      <c r="B681" s="210">
        <f>$F$575</f>
        <v>7</v>
      </c>
      <c r="C681" s="210">
        <f t="shared" si="310"/>
        <v>11</v>
      </c>
      <c r="D681" s="210">
        <f t="shared" si="310"/>
        <v>70</v>
      </c>
      <c r="E681" s="237">
        <f t="shared" si="311"/>
        <v>1</v>
      </c>
      <c r="F681" s="1208">
        <f t="shared" si="308"/>
        <v>1</v>
      </c>
      <c r="G681" s="210">
        <f t="shared" si="309"/>
        <v>0.8</v>
      </c>
      <c r="I681" s="233">
        <f t="shared" si="312"/>
        <v>11.200000000000003</v>
      </c>
      <c r="J681" s="210">
        <f t="shared" si="313"/>
        <v>0.8</v>
      </c>
      <c r="L681" s="233">
        <f t="shared" si="314"/>
        <v>5.9200000000000017</v>
      </c>
      <c r="M681" s="220">
        <f t="shared" si="315"/>
        <v>0.8</v>
      </c>
      <c r="O681" s="873">
        <f t="shared" si="316"/>
        <v>24</v>
      </c>
      <c r="P681" s="873">
        <f t="shared" si="316"/>
        <v>24</v>
      </c>
      <c r="Q681" s="874">
        <f t="shared" si="317"/>
        <v>20.669999999999998</v>
      </c>
      <c r="R681" s="873">
        <f t="shared" si="318"/>
        <v>10</v>
      </c>
      <c r="S681" s="873">
        <f t="shared" si="319"/>
        <v>14</v>
      </c>
      <c r="T681" s="874">
        <f t="shared" si="320"/>
        <v>17.633411486304666</v>
      </c>
      <c r="U681" s="874">
        <f t="shared" si="321"/>
        <v>15.750000000000004</v>
      </c>
      <c r="V681" s="873">
        <f t="shared" si="322"/>
        <v>7</v>
      </c>
      <c r="W681" s="873">
        <f t="shared" si="323"/>
        <v>3</v>
      </c>
      <c r="X681" s="873">
        <f t="shared" si="324"/>
        <v>0</v>
      </c>
      <c r="Y681" s="873">
        <f t="shared" si="325"/>
        <v>1</v>
      </c>
      <c r="Z681" s="873">
        <f t="shared" si="326"/>
        <v>4</v>
      </c>
      <c r="AA681" s="873">
        <f t="shared" si="327"/>
        <v>9</v>
      </c>
      <c r="AB681" s="874">
        <f t="shared" si="328"/>
        <v>13.960871651185032</v>
      </c>
    </row>
    <row r="682" spans="1:28">
      <c r="A682" s="210">
        <f t="shared" si="329"/>
        <v>3</v>
      </c>
      <c r="B682" s="210">
        <f>$F$569</f>
        <v>1</v>
      </c>
      <c r="C682" s="210">
        <f t="shared" si="310"/>
        <v>12</v>
      </c>
      <c r="D682" s="210">
        <f t="shared" si="310"/>
        <v>71</v>
      </c>
      <c r="E682" s="237">
        <f t="shared" si="311"/>
        <v>1</v>
      </c>
      <c r="F682" s="1208">
        <f t="shared" si="308"/>
        <v>1</v>
      </c>
      <c r="G682" s="210">
        <f t="shared" si="309"/>
        <v>0.8</v>
      </c>
      <c r="I682" s="233">
        <f t="shared" si="312"/>
        <v>11.200000000000003</v>
      </c>
      <c r="J682" s="210">
        <f t="shared" si="313"/>
        <v>0.8</v>
      </c>
      <c r="L682" s="233">
        <f t="shared" si="314"/>
        <v>5.9200000000000017</v>
      </c>
      <c r="M682" s="220">
        <f t="shared" si="315"/>
        <v>0.8</v>
      </c>
      <c r="O682" s="873">
        <f t="shared" si="316"/>
        <v>24</v>
      </c>
      <c r="P682" s="873">
        <f t="shared" si="316"/>
        <v>24</v>
      </c>
      <c r="Q682" s="874">
        <f t="shared" si="317"/>
        <v>20.669999999999998</v>
      </c>
      <c r="R682" s="873">
        <f t="shared" si="318"/>
        <v>10</v>
      </c>
      <c r="S682" s="873">
        <f t="shared" si="319"/>
        <v>14</v>
      </c>
      <c r="T682" s="874">
        <f t="shared" si="320"/>
        <v>17.633411486304666</v>
      </c>
      <c r="U682" s="874">
        <f t="shared" si="321"/>
        <v>15.750000000000004</v>
      </c>
      <c r="V682" s="873">
        <f t="shared" si="322"/>
        <v>7</v>
      </c>
      <c r="W682" s="873">
        <f t="shared" si="323"/>
        <v>3</v>
      </c>
      <c r="X682" s="873">
        <f t="shared" si="324"/>
        <v>0</v>
      </c>
      <c r="Y682" s="873">
        <f t="shared" si="325"/>
        <v>1</v>
      </c>
      <c r="Z682" s="873">
        <f t="shared" si="326"/>
        <v>4</v>
      </c>
      <c r="AA682" s="873">
        <f t="shared" si="327"/>
        <v>9</v>
      </c>
      <c r="AB682" s="874">
        <f t="shared" si="328"/>
        <v>13.960871651185032</v>
      </c>
    </row>
    <row r="683" spans="1:28">
      <c r="A683" s="210">
        <f t="shared" si="329"/>
        <v>3</v>
      </c>
      <c r="B683" s="210">
        <f>$F$570</f>
        <v>2</v>
      </c>
      <c r="C683" s="210">
        <f t="shared" si="310"/>
        <v>13</v>
      </c>
      <c r="D683" s="210">
        <f t="shared" si="310"/>
        <v>72</v>
      </c>
      <c r="E683" s="237">
        <f t="shared" si="311"/>
        <v>1</v>
      </c>
      <c r="F683" s="1208">
        <f t="shared" si="308"/>
        <v>1</v>
      </c>
      <c r="G683" s="210">
        <f t="shared" si="309"/>
        <v>0.8</v>
      </c>
      <c r="I683" s="233">
        <f t="shared" si="312"/>
        <v>11.200000000000003</v>
      </c>
      <c r="J683" s="210">
        <f t="shared" si="313"/>
        <v>0.8</v>
      </c>
      <c r="L683" s="233">
        <f t="shared" si="314"/>
        <v>5.9200000000000017</v>
      </c>
      <c r="M683" s="220">
        <f t="shared" si="315"/>
        <v>0.8</v>
      </c>
      <c r="O683" s="873">
        <f t="shared" si="316"/>
        <v>24</v>
      </c>
      <c r="P683" s="873">
        <f t="shared" si="316"/>
        <v>24</v>
      </c>
      <c r="Q683" s="874">
        <f t="shared" si="317"/>
        <v>20.669999999999998</v>
      </c>
      <c r="R683" s="873">
        <f t="shared" si="318"/>
        <v>10</v>
      </c>
      <c r="S683" s="873">
        <f t="shared" si="319"/>
        <v>14</v>
      </c>
      <c r="T683" s="874">
        <f t="shared" si="320"/>
        <v>17.633411486304666</v>
      </c>
      <c r="U683" s="874">
        <f t="shared" si="321"/>
        <v>15.750000000000004</v>
      </c>
      <c r="V683" s="873">
        <f t="shared" si="322"/>
        <v>7</v>
      </c>
      <c r="W683" s="873">
        <f t="shared" si="323"/>
        <v>3</v>
      </c>
      <c r="X683" s="873">
        <f t="shared" si="324"/>
        <v>0</v>
      </c>
      <c r="Y683" s="873">
        <f t="shared" si="325"/>
        <v>1</v>
      </c>
      <c r="Z683" s="873">
        <f t="shared" si="326"/>
        <v>4</v>
      </c>
      <c r="AA683" s="873">
        <f t="shared" si="327"/>
        <v>9</v>
      </c>
      <c r="AB683" s="874">
        <f t="shared" si="328"/>
        <v>13.960871651185032</v>
      </c>
    </row>
    <row r="684" spans="1:28">
      <c r="A684" s="210">
        <f t="shared" si="329"/>
        <v>3</v>
      </c>
      <c r="B684" s="210">
        <f>$F$571</f>
        <v>3</v>
      </c>
      <c r="C684" s="210">
        <f t="shared" si="310"/>
        <v>14</v>
      </c>
      <c r="D684" s="210">
        <f t="shared" si="310"/>
        <v>73</v>
      </c>
      <c r="E684" s="237">
        <f t="shared" si="311"/>
        <v>1</v>
      </c>
      <c r="F684" s="1208">
        <f t="shared" si="308"/>
        <v>1</v>
      </c>
      <c r="G684" s="210">
        <f t="shared" si="309"/>
        <v>0.8</v>
      </c>
      <c r="I684" s="233">
        <f t="shared" si="312"/>
        <v>11.200000000000003</v>
      </c>
      <c r="J684" s="210">
        <f t="shared" si="313"/>
        <v>0.8</v>
      </c>
      <c r="L684" s="233">
        <f t="shared" si="314"/>
        <v>5.9200000000000017</v>
      </c>
      <c r="M684" s="220">
        <f t="shared" si="315"/>
        <v>0.8</v>
      </c>
      <c r="O684" s="873">
        <f t="shared" si="316"/>
        <v>24</v>
      </c>
      <c r="P684" s="873">
        <f t="shared" si="316"/>
        <v>24</v>
      </c>
      <c r="Q684" s="874">
        <f t="shared" si="317"/>
        <v>20.669999999999998</v>
      </c>
      <c r="R684" s="873">
        <f t="shared" si="318"/>
        <v>10</v>
      </c>
      <c r="S684" s="873">
        <f t="shared" si="319"/>
        <v>14</v>
      </c>
      <c r="T684" s="874">
        <f t="shared" si="320"/>
        <v>17.633411486304666</v>
      </c>
      <c r="U684" s="874">
        <f t="shared" si="321"/>
        <v>15.750000000000004</v>
      </c>
      <c r="V684" s="873">
        <f t="shared" si="322"/>
        <v>7</v>
      </c>
      <c r="W684" s="873">
        <f t="shared" si="323"/>
        <v>3</v>
      </c>
      <c r="X684" s="873">
        <f t="shared" si="324"/>
        <v>0</v>
      </c>
      <c r="Y684" s="873">
        <f t="shared" si="325"/>
        <v>1</v>
      </c>
      <c r="Z684" s="873">
        <f t="shared" si="326"/>
        <v>4</v>
      </c>
      <c r="AA684" s="873">
        <f t="shared" si="327"/>
        <v>9</v>
      </c>
      <c r="AB684" s="874">
        <f t="shared" si="328"/>
        <v>13.960871651185032</v>
      </c>
    </row>
    <row r="685" spans="1:28">
      <c r="A685" s="210">
        <f t="shared" si="329"/>
        <v>3</v>
      </c>
      <c r="B685" s="210">
        <f>$F$572</f>
        <v>4</v>
      </c>
      <c r="C685" s="210">
        <f t="shared" si="310"/>
        <v>15</v>
      </c>
      <c r="D685" s="210">
        <f t="shared" si="310"/>
        <v>74</v>
      </c>
      <c r="E685" s="237">
        <f t="shared" si="311"/>
        <v>1</v>
      </c>
      <c r="F685" s="1208">
        <f t="shared" si="308"/>
        <v>1</v>
      </c>
      <c r="G685" s="210">
        <f t="shared" si="309"/>
        <v>0.8</v>
      </c>
      <c r="I685" s="233">
        <f t="shared" si="312"/>
        <v>11.200000000000003</v>
      </c>
      <c r="J685" s="210">
        <f t="shared" si="313"/>
        <v>0.8</v>
      </c>
      <c r="L685" s="233">
        <f t="shared" si="314"/>
        <v>5.9200000000000017</v>
      </c>
      <c r="M685" s="220">
        <f t="shared" si="315"/>
        <v>0.8</v>
      </c>
      <c r="O685" s="873">
        <f t="shared" si="316"/>
        <v>24</v>
      </c>
      <c r="P685" s="873">
        <f t="shared" si="316"/>
        <v>24</v>
      </c>
      <c r="Q685" s="874">
        <f t="shared" si="317"/>
        <v>20.669999999999998</v>
      </c>
      <c r="R685" s="873">
        <f t="shared" si="318"/>
        <v>10</v>
      </c>
      <c r="S685" s="873">
        <f t="shared" si="319"/>
        <v>14</v>
      </c>
      <c r="T685" s="874">
        <f t="shared" si="320"/>
        <v>17.633411486304666</v>
      </c>
      <c r="U685" s="874">
        <f t="shared" si="321"/>
        <v>15.750000000000004</v>
      </c>
      <c r="V685" s="873">
        <f t="shared" si="322"/>
        <v>7</v>
      </c>
      <c r="W685" s="873">
        <f t="shared" si="323"/>
        <v>3</v>
      </c>
      <c r="X685" s="873">
        <f t="shared" si="324"/>
        <v>0</v>
      </c>
      <c r="Y685" s="873">
        <f t="shared" si="325"/>
        <v>1</v>
      </c>
      <c r="Z685" s="873">
        <f t="shared" si="326"/>
        <v>4</v>
      </c>
      <c r="AA685" s="873">
        <f t="shared" si="327"/>
        <v>9</v>
      </c>
      <c r="AB685" s="874">
        <f t="shared" si="328"/>
        <v>13.960871651185032</v>
      </c>
    </row>
    <row r="686" spans="1:28">
      <c r="A686" s="210">
        <f t="shared" si="329"/>
        <v>3</v>
      </c>
      <c r="B686" s="210">
        <f>$F$573</f>
        <v>5</v>
      </c>
      <c r="C686" s="210">
        <f t="shared" si="310"/>
        <v>16</v>
      </c>
      <c r="D686" s="210">
        <f t="shared" si="310"/>
        <v>75</v>
      </c>
      <c r="E686" s="237">
        <f t="shared" si="311"/>
        <v>1</v>
      </c>
      <c r="F686" s="1208">
        <f t="shared" si="308"/>
        <v>1</v>
      </c>
      <c r="G686" s="210">
        <f t="shared" si="309"/>
        <v>0.8</v>
      </c>
      <c r="I686" s="233">
        <f t="shared" si="312"/>
        <v>11.200000000000003</v>
      </c>
      <c r="J686" s="210">
        <f t="shared" si="313"/>
        <v>0.8</v>
      </c>
      <c r="L686" s="233">
        <f t="shared" si="314"/>
        <v>5.9200000000000017</v>
      </c>
      <c r="M686" s="220">
        <f t="shared" si="315"/>
        <v>0.8</v>
      </c>
      <c r="O686" s="873">
        <f t="shared" si="316"/>
        <v>24</v>
      </c>
      <c r="P686" s="873">
        <f t="shared" si="316"/>
        <v>24</v>
      </c>
      <c r="Q686" s="874">
        <f t="shared" si="317"/>
        <v>20.669999999999998</v>
      </c>
      <c r="R686" s="873">
        <f t="shared" si="318"/>
        <v>10</v>
      </c>
      <c r="S686" s="873">
        <f t="shared" si="319"/>
        <v>14</v>
      </c>
      <c r="T686" s="874">
        <f t="shared" si="320"/>
        <v>17.633411486304666</v>
      </c>
      <c r="U686" s="874">
        <f t="shared" si="321"/>
        <v>15.750000000000004</v>
      </c>
      <c r="V686" s="873">
        <f t="shared" si="322"/>
        <v>7</v>
      </c>
      <c r="W686" s="873">
        <f t="shared" si="323"/>
        <v>3</v>
      </c>
      <c r="X686" s="873">
        <f t="shared" si="324"/>
        <v>0</v>
      </c>
      <c r="Y686" s="873">
        <f t="shared" si="325"/>
        <v>1</v>
      </c>
      <c r="Z686" s="873">
        <f t="shared" si="326"/>
        <v>4</v>
      </c>
      <c r="AA686" s="873">
        <f t="shared" si="327"/>
        <v>9</v>
      </c>
      <c r="AB686" s="874">
        <f t="shared" si="328"/>
        <v>13.960871651185032</v>
      </c>
    </row>
    <row r="687" spans="1:28">
      <c r="A687" s="210">
        <f t="shared" si="329"/>
        <v>3</v>
      </c>
      <c r="B687" s="210">
        <f>$F$574</f>
        <v>6</v>
      </c>
      <c r="C687" s="210">
        <f t="shared" si="310"/>
        <v>17</v>
      </c>
      <c r="D687" s="210">
        <f t="shared" si="310"/>
        <v>76</v>
      </c>
      <c r="E687" s="237">
        <f t="shared" si="311"/>
        <v>1</v>
      </c>
      <c r="F687" s="1208">
        <f t="shared" si="308"/>
        <v>1</v>
      </c>
      <c r="G687" s="210">
        <f t="shared" si="309"/>
        <v>0.8</v>
      </c>
      <c r="I687" s="233">
        <f t="shared" si="312"/>
        <v>11.200000000000003</v>
      </c>
      <c r="J687" s="210">
        <f t="shared" si="313"/>
        <v>0.8</v>
      </c>
      <c r="L687" s="233">
        <f t="shared" si="314"/>
        <v>5.9200000000000017</v>
      </c>
      <c r="M687" s="220">
        <f t="shared" si="315"/>
        <v>0.8</v>
      </c>
      <c r="O687" s="873">
        <f t="shared" si="316"/>
        <v>24</v>
      </c>
      <c r="P687" s="873">
        <f t="shared" si="316"/>
        <v>24</v>
      </c>
      <c r="Q687" s="874">
        <f t="shared" si="317"/>
        <v>20.669999999999998</v>
      </c>
      <c r="R687" s="873">
        <f t="shared" si="318"/>
        <v>10</v>
      </c>
      <c r="S687" s="873">
        <f t="shared" si="319"/>
        <v>14</v>
      </c>
      <c r="T687" s="874">
        <f t="shared" si="320"/>
        <v>17.633411486304666</v>
      </c>
      <c r="U687" s="874">
        <f t="shared" si="321"/>
        <v>15.750000000000004</v>
      </c>
      <c r="V687" s="873">
        <f t="shared" si="322"/>
        <v>7</v>
      </c>
      <c r="W687" s="873">
        <f t="shared" si="323"/>
        <v>3</v>
      </c>
      <c r="X687" s="873">
        <f t="shared" si="324"/>
        <v>0</v>
      </c>
      <c r="Y687" s="873">
        <f t="shared" si="325"/>
        <v>1</v>
      </c>
      <c r="Z687" s="873">
        <f t="shared" si="326"/>
        <v>4</v>
      </c>
      <c r="AA687" s="873">
        <f t="shared" si="327"/>
        <v>9</v>
      </c>
      <c r="AB687" s="874">
        <f t="shared" si="328"/>
        <v>13.960871651185032</v>
      </c>
    </row>
    <row r="688" spans="1:28">
      <c r="A688" s="210">
        <f t="shared" si="329"/>
        <v>3</v>
      </c>
      <c r="B688" s="210">
        <f>$F$575</f>
        <v>7</v>
      </c>
      <c r="C688" s="210">
        <f t="shared" si="310"/>
        <v>18</v>
      </c>
      <c r="D688" s="210">
        <f t="shared" si="310"/>
        <v>77</v>
      </c>
      <c r="E688" s="237">
        <f t="shared" si="311"/>
        <v>1</v>
      </c>
      <c r="F688" s="1208">
        <f t="shared" si="308"/>
        <v>1</v>
      </c>
      <c r="G688" s="210">
        <f t="shared" si="309"/>
        <v>0.8</v>
      </c>
      <c r="I688" s="233">
        <f t="shared" si="312"/>
        <v>11.200000000000003</v>
      </c>
      <c r="J688" s="210">
        <f t="shared" si="313"/>
        <v>0.8</v>
      </c>
      <c r="L688" s="233">
        <f t="shared" si="314"/>
        <v>5.9200000000000017</v>
      </c>
      <c r="M688" s="220">
        <f t="shared" si="315"/>
        <v>0.8</v>
      </c>
      <c r="O688" s="873">
        <f t="shared" si="316"/>
        <v>24</v>
      </c>
      <c r="P688" s="873">
        <f t="shared" si="316"/>
        <v>24</v>
      </c>
      <c r="Q688" s="874">
        <f t="shared" si="317"/>
        <v>20.669999999999998</v>
      </c>
      <c r="R688" s="873">
        <f t="shared" si="318"/>
        <v>10</v>
      </c>
      <c r="S688" s="873">
        <f t="shared" si="319"/>
        <v>14</v>
      </c>
      <c r="T688" s="874">
        <f t="shared" si="320"/>
        <v>17.633411486304666</v>
      </c>
      <c r="U688" s="874">
        <f t="shared" si="321"/>
        <v>15.750000000000004</v>
      </c>
      <c r="V688" s="873">
        <f t="shared" si="322"/>
        <v>7</v>
      </c>
      <c r="W688" s="873">
        <f t="shared" si="323"/>
        <v>3</v>
      </c>
      <c r="X688" s="873">
        <f t="shared" si="324"/>
        <v>0</v>
      </c>
      <c r="Y688" s="873">
        <f t="shared" si="325"/>
        <v>1</v>
      </c>
      <c r="Z688" s="873">
        <f t="shared" si="326"/>
        <v>4</v>
      </c>
      <c r="AA688" s="873">
        <f t="shared" si="327"/>
        <v>9</v>
      </c>
      <c r="AB688" s="874">
        <f t="shared" si="328"/>
        <v>13.960871651185032</v>
      </c>
    </row>
    <row r="689" spans="1:28">
      <c r="A689" s="210">
        <f t="shared" si="329"/>
        <v>3</v>
      </c>
      <c r="B689" s="210">
        <f>$F$569</f>
        <v>1</v>
      </c>
      <c r="C689" s="210">
        <f t="shared" si="310"/>
        <v>19</v>
      </c>
      <c r="D689" s="210">
        <f t="shared" si="310"/>
        <v>78</v>
      </c>
      <c r="E689" s="237">
        <f t="shared" si="311"/>
        <v>1</v>
      </c>
      <c r="F689" s="1208">
        <f t="shared" si="308"/>
        <v>1</v>
      </c>
      <c r="G689" s="210">
        <f t="shared" si="309"/>
        <v>0.8</v>
      </c>
      <c r="I689" s="233">
        <f t="shared" si="312"/>
        <v>11.200000000000003</v>
      </c>
      <c r="J689" s="210">
        <f t="shared" si="313"/>
        <v>0.8</v>
      </c>
      <c r="L689" s="233">
        <f t="shared" si="314"/>
        <v>5.9200000000000017</v>
      </c>
      <c r="M689" s="220">
        <f t="shared" si="315"/>
        <v>0.8</v>
      </c>
      <c r="O689" s="873">
        <f t="shared" si="316"/>
        <v>24</v>
      </c>
      <c r="P689" s="873">
        <f t="shared" si="316"/>
        <v>24</v>
      </c>
      <c r="Q689" s="874">
        <f t="shared" si="317"/>
        <v>20.669999999999998</v>
      </c>
      <c r="R689" s="873">
        <f t="shared" si="318"/>
        <v>10</v>
      </c>
      <c r="S689" s="873">
        <f t="shared" si="319"/>
        <v>14</v>
      </c>
      <c r="T689" s="874">
        <f t="shared" si="320"/>
        <v>17.633411486304666</v>
      </c>
      <c r="U689" s="874">
        <f t="shared" si="321"/>
        <v>15.750000000000004</v>
      </c>
      <c r="V689" s="873">
        <f t="shared" si="322"/>
        <v>7</v>
      </c>
      <c r="W689" s="873">
        <f t="shared" si="323"/>
        <v>3</v>
      </c>
      <c r="X689" s="873">
        <f t="shared" si="324"/>
        <v>0</v>
      </c>
      <c r="Y689" s="873">
        <f t="shared" si="325"/>
        <v>1</v>
      </c>
      <c r="Z689" s="873">
        <f t="shared" si="326"/>
        <v>4</v>
      </c>
      <c r="AA689" s="873">
        <f t="shared" si="327"/>
        <v>9</v>
      </c>
      <c r="AB689" s="874">
        <f t="shared" si="328"/>
        <v>13.960871651185032</v>
      </c>
    </row>
    <row r="690" spans="1:28">
      <c r="A690" s="210">
        <f t="shared" si="329"/>
        <v>3</v>
      </c>
      <c r="B690" s="210">
        <f>$F$570</f>
        <v>2</v>
      </c>
      <c r="C690" s="210">
        <f t="shared" si="310"/>
        <v>20</v>
      </c>
      <c r="D690" s="210">
        <f t="shared" si="310"/>
        <v>79</v>
      </c>
      <c r="E690" s="237">
        <f t="shared" si="311"/>
        <v>1</v>
      </c>
      <c r="F690" s="1208">
        <f t="shared" si="308"/>
        <v>1</v>
      </c>
      <c r="G690" s="210">
        <f t="shared" si="309"/>
        <v>0.8</v>
      </c>
      <c r="I690" s="233">
        <f t="shared" si="312"/>
        <v>11.200000000000003</v>
      </c>
      <c r="J690" s="210">
        <f t="shared" si="313"/>
        <v>0.8</v>
      </c>
      <c r="L690" s="233">
        <f t="shared" si="314"/>
        <v>5.9200000000000017</v>
      </c>
      <c r="M690" s="220">
        <f t="shared" si="315"/>
        <v>0.8</v>
      </c>
      <c r="O690" s="873">
        <f t="shared" si="316"/>
        <v>24</v>
      </c>
      <c r="P690" s="873">
        <f t="shared" si="316"/>
        <v>24</v>
      </c>
      <c r="Q690" s="874">
        <f t="shared" si="317"/>
        <v>20.669999999999998</v>
      </c>
      <c r="R690" s="873">
        <f t="shared" si="318"/>
        <v>10</v>
      </c>
      <c r="S690" s="873">
        <f t="shared" si="319"/>
        <v>14</v>
      </c>
      <c r="T690" s="874">
        <f t="shared" si="320"/>
        <v>17.633411486304666</v>
      </c>
      <c r="U690" s="874">
        <f t="shared" si="321"/>
        <v>15.750000000000004</v>
      </c>
      <c r="V690" s="873">
        <f t="shared" si="322"/>
        <v>7</v>
      </c>
      <c r="W690" s="873">
        <f t="shared" si="323"/>
        <v>3</v>
      </c>
      <c r="X690" s="873">
        <f t="shared" si="324"/>
        <v>0</v>
      </c>
      <c r="Y690" s="873">
        <f t="shared" si="325"/>
        <v>1</v>
      </c>
      <c r="Z690" s="873">
        <f t="shared" si="326"/>
        <v>4</v>
      </c>
      <c r="AA690" s="873">
        <f t="shared" si="327"/>
        <v>9</v>
      </c>
      <c r="AB690" s="874">
        <f t="shared" si="328"/>
        <v>13.960871651185032</v>
      </c>
    </row>
    <row r="691" spans="1:28">
      <c r="A691" s="210">
        <f t="shared" si="329"/>
        <v>3</v>
      </c>
      <c r="B691" s="210">
        <f>$F$571</f>
        <v>3</v>
      </c>
      <c r="C691" s="210">
        <f t="shared" si="310"/>
        <v>21</v>
      </c>
      <c r="D691" s="210">
        <f t="shared" si="310"/>
        <v>80</v>
      </c>
      <c r="E691" s="237">
        <f t="shared" si="311"/>
        <v>1</v>
      </c>
      <c r="F691" s="1208">
        <f t="shared" si="308"/>
        <v>1</v>
      </c>
      <c r="G691" s="210">
        <f t="shared" si="309"/>
        <v>0.8</v>
      </c>
      <c r="I691" s="233">
        <f t="shared" si="312"/>
        <v>11.200000000000003</v>
      </c>
      <c r="J691" s="210">
        <f t="shared" si="313"/>
        <v>0.8</v>
      </c>
      <c r="L691" s="233">
        <f t="shared" si="314"/>
        <v>5.9200000000000017</v>
      </c>
      <c r="M691" s="220">
        <f t="shared" si="315"/>
        <v>0.8</v>
      </c>
      <c r="O691" s="873">
        <f t="shared" si="316"/>
        <v>24</v>
      </c>
      <c r="P691" s="873">
        <f t="shared" si="316"/>
        <v>24</v>
      </c>
      <c r="Q691" s="874">
        <f t="shared" si="317"/>
        <v>20.669999999999998</v>
      </c>
      <c r="R691" s="873">
        <f t="shared" si="318"/>
        <v>10</v>
      </c>
      <c r="S691" s="873">
        <f t="shared" si="319"/>
        <v>14</v>
      </c>
      <c r="T691" s="874">
        <f t="shared" si="320"/>
        <v>17.633411486304666</v>
      </c>
      <c r="U691" s="874">
        <f t="shared" si="321"/>
        <v>15.750000000000004</v>
      </c>
      <c r="V691" s="873">
        <f t="shared" si="322"/>
        <v>7</v>
      </c>
      <c r="W691" s="873">
        <f t="shared" si="323"/>
        <v>3</v>
      </c>
      <c r="X691" s="873">
        <f t="shared" si="324"/>
        <v>0</v>
      </c>
      <c r="Y691" s="873">
        <f t="shared" si="325"/>
        <v>1</v>
      </c>
      <c r="Z691" s="873">
        <f t="shared" si="326"/>
        <v>4</v>
      </c>
      <c r="AA691" s="873">
        <f t="shared" si="327"/>
        <v>9</v>
      </c>
      <c r="AB691" s="874">
        <f t="shared" si="328"/>
        <v>13.960871651185032</v>
      </c>
    </row>
    <row r="692" spans="1:28">
      <c r="A692" s="210">
        <f t="shared" si="329"/>
        <v>3</v>
      </c>
      <c r="B692" s="210">
        <f>$F$572</f>
        <v>4</v>
      </c>
      <c r="C692" s="210">
        <f t="shared" si="310"/>
        <v>22</v>
      </c>
      <c r="D692" s="210">
        <f t="shared" si="310"/>
        <v>81</v>
      </c>
      <c r="E692" s="237">
        <f t="shared" si="311"/>
        <v>1</v>
      </c>
      <c r="F692" s="1208">
        <f t="shared" si="308"/>
        <v>1</v>
      </c>
      <c r="G692" s="210">
        <f t="shared" si="309"/>
        <v>0.8</v>
      </c>
      <c r="I692" s="233">
        <f t="shared" si="312"/>
        <v>11.200000000000003</v>
      </c>
      <c r="J692" s="210">
        <f t="shared" si="313"/>
        <v>0.8</v>
      </c>
      <c r="L692" s="233">
        <f t="shared" si="314"/>
        <v>5.9200000000000017</v>
      </c>
      <c r="M692" s="220">
        <f t="shared" si="315"/>
        <v>0.8</v>
      </c>
      <c r="O692" s="873">
        <f t="shared" si="316"/>
        <v>24</v>
      </c>
      <c r="P692" s="873">
        <f t="shared" si="316"/>
        <v>24</v>
      </c>
      <c r="Q692" s="874">
        <f t="shared" si="317"/>
        <v>20.669999999999998</v>
      </c>
      <c r="R692" s="873">
        <f t="shared" si="318"/>
        <v>10</v>
      </c>
      <c r="S692" s="873">
        <f t="shared" si="319"/>
        <v>14</v>
      </c>
      <c r="T692" s="874">
        <f t="shared" si="320"/>
        <v>17.633411486304666</v>
      </c>
      <c r="U692" s="874">
        <f t="shared" si="321"/>
        <v>15.750000000000004</v>
      </c>
      <c r="V692" s="873">
        <f t="shared" si="322"/>
        <v>7</v>
      </c>
      <c r="W692" s="873">
        <f t="shared" si="323"/>
        <v>3</v>
      </c>
      <c r="X692" s="873">
        <f t="shared" si="324"/>
        <v>0</v>
      </c>
      <c r="Y692" s="873">
        <f t="shared" si="325"/>
        <v>1</v>
      </c>
      <c r="Z692" s="873">
        <f t="shared" si="326"/>
        <v>4</v>
      </c>
      <c r="AA692" s="873">
        <f t="shared" si="327"/>
        <v>9</v>
      </c>
      <c r="AB692" s="874">
        <f t="shared" si="328"/>
        <v>13.960871651185032</v>
      </c>
    </row>
    <row r="693" spans="1:28">
      <c r="A693" s="210">
        <f t="shared" si="329"/>
        <v>3</v>
      </c>
      <c r="B693" s="210">
        <f>$F$573</f>
        <v>5</v>
      </c>
      <c r="C693" s="210">
        <f t="shared" ref="C693:D708" si="330">C692+1</f>
        <v>23</v>
      </c>
      <c r="D693" s="210">
        <f t="shared" si="330"/>
        <v>82</v>
      </c>
      <c r="E693" s="237">
        <f t="shared" si="311"/>
        <v>1</v>
      </c>
      <c r="F693" s="1208">
        <f t="shared" si="308"/>
        <v>1</v>
      </c>
      <c r="G693" s="210">
        <f t="shared" si="309"/>
        <v>0.8</v>
      </c>
      <c r="I693" s="233">
        <f t="shared" si="312"/>
        <v>11.200000000000003</v>
      </c>
      <c r="J693" s="210">
        <f t="shared" si="313"/>
        <v>0.8</v>
      </c>
      <c r="L693" s="233">
        <f t="shared" si="314"/>
        <v>5.9200000000000017</v>
      </c>
      <c r="M693" s="220">
        <f t="shared" si="315"/>
        <v>0.8</v>
      </c>
      <c r="O693" s="873">
        <f t="shared" si="316"/>
        <v>24</v>
      </c>
      <c r="P693" s="873">
        <f t="shared" si="316"/>
        <v>24</v>
      </c>
      <c r="Q693" s="874">
        <f t="shared" si="317"/>
        <v>20.669999999999998</v>
      </c>
      <c r="R693" s="873">
        <f t="shared" si="318"/>
        <v>10</v>
      </c>
      <c r="S693" s="873">
        <f t="shared" si="319"/>
        <v>14</v>
      </c>
      <c r="T693" s="874">
        <f t="shared" si="320"/>
        <v>17.633411486304666</v>
      </c>
      <c r="U693" s="874">
        <f t="shared" si="321"/>
        <v>15.750000000000004</v>
      </c>
      <c r="V693" s="873">
        <f t="shared" si="322"/>
        <v>7</v>
      </c>
      <c r="W693" s="873">
        <f t="shared" si="323"/>
        <v>3</v>
      </c>
      <c r="X693" s="873">
        <f t="shared" si="324"/>
        <v>0</v>
      </c>
      <c r="Y693" s="873">
        <f t="shared" si="325"/>
        <v>1</v>
      </c>
      <c r="Z693" s="873">
        <f t="shared" si="326"/>
        <v>4</v>
      </c>
      <c r="AA693" s="873">
        <f t="shared" si="327"/>
        <v>9</v>
      </c>
      <c r="AB693" s="874">
        <f t="shared" si="328"/>
        <v>13.960871651185032</v>
      </c>
    </row>
    <row r="694" spans="1:28">
      <c r="A694" s="210">
        <f t="shared" si="329"/>
        <v>3</v>
      </c>
      <c r="B694" s="210">
        <f>$F$574</f>
        <v>6</v>
      </c>
      <c r="C694" s="210">
        <f t="shared" si="330"/>
        <v>24</v>
      </c>
      <c r="D694" s="210">
        <f t="shared" si="330"/>
        <v>83</v>
      </c>
      <c r="E694" s="237">
        <f t="shared" si="311"/>
        <v>1</v>
      </c>
      <c r="F694" s="1208">
        <f t="shared" si="308"/>
        <v>1</v>
      </c>
      <c r="G694" s="210">
        <f t="shared" si="309"/>
        <v>0.8</v>
      </c>
      <c r="I694" s="233">
        <f t="shared" si="312"/>
        <v>11.200000000000003</v>
      </c>
      <c r="J694" s="210">
        <f t="shared" si="313"/>
        <v>0.8</v>
      </c>
      <c r="L694" s="233">
        <f t="shared" si="314"/>
        <v>5.9200000000000017</v>
      </c>
      <c r="M694" s="220">
        <f t="shared" si="315"/>
        <v>0.8</v>
      </c>
      <c r="O694" s="873">
        <f t="shared" si="316"/>
        <v>24</v>
      </c>
      <c r="P694" s="873">
        <f t="shared" si="316"/>
        <v>24</v>
      </c>
      <c r="Q694" s="874">
        <f t="shared" si="317"/>
        <v>20.669999999999998</v>
      </c>
      <c r="R694" s="873">
        <f t="shared" si="318"/>
        <v>10</v>
      </c>
      <c r="S694" s="873">
        <f t="shared" si="319"/>
        <v>14</v>
      </c>
      <c r="T694" s="874">
        <f t="shared" si="320"/>
        <v>17.633411486304666</v>
      </c>
      <c r="U694" s="874">
        <f t="shared" si="321"/>
        <v>15.750000000000004</v>
      </c>
      <c r="V694" s="873">
        <f t="shared" si="322"/>
        <v>7</v>
      </c>
      <c r="W694" s="873">
        <f t="shared" si="323"/>
        <v>3</v>
      </c>
      <c r="X694" s="873">
        <f t="shared" si="324"/>
        <v>0</v>
      </c>
      <c r="Y694" s="873">
        <f t="shared" si="325"/>
        <v>1</v>
      </c>
      <c r="Z694" s="873">
        <f t="shared" si="326"/>
        <v>4</v>
      </c>
      <c r="AA694" s="873">
        <f t="shared" si="327"/>
        <v>9</v>
      </c>
      <c r="AB694" s="874">
        <f t="shared" si="328"/>
        <v>13.960871651185032</v>
      </c>
    </row>
    <row r="695" spans="1:28">
      <c r="A695" s="210">
        <f t="shared" si="329"/>
        <v>3</v>
      </c>
      <c r="B695" s="210">
        <f>$F$575</f>
        <v>7</v>
      </c>
      <c r="C695" s="210">
        <f t="shared" si="330"/>
        <v>25</v>
      </c>
      <c r="D695" s="210">
        <f t="shared" si="330"/>
        <v>84</v>
      </c>
      <c r="E695" s="237">
        <f t="shared" si="311"/>
        <v>1</v>
      </c>
      <c r="F695" s="1208">
        <f t="shared" si="308"/>
        <v>1</v>
      </c>
      <c r="G695" s="210">
        <f t="shared" si="309"/>
        <v>0.8</v>
      </c>
      <c r="I695" s="233">
        <f t="shared" si="312"/>
        <v>11.200000000000003</v>
      </c>
      <c r="J695" s="210">
        <f t="shared" si="313"/>
        <v>0.8</v>
      </c>
      <c r="L695" s="233">
        <f t="shared" si="314"/>
        <v>5.9200000000000017</v>
      </c>
      <c r="M695" s="220">
        <f t="shared" si="315"/>
        <v>0.8</v>
      </c>
      <c r="O695" s="873">
        <f t="shared" si="316"/>
        <v>24</v>
      </c>
      <c r="P695" s="873">
        <f t="shared" si="316"/>
        <v>24</v>
      </c>
      <c r="Q695" s="874">
        <f t="shared" si="317"/>
        <v>20.669999999999998</v>
      </c>
      <c r="R695" s="873">
        <f t="shared" si="318"/>
        <v>10</v>
      </c>
      <c r="S695" s="873">
        <f t="shared" si="319"/>
        <v>14</v>
      </c>
      <c r="T695" s="874">
        <f t="shared" si="320"/>
        <v>17.633411486304666</v>
      </c>
      <c r="U695" s="874">
        <f t="shared" si="321"/>
        <v>15.750000000000004</v>
      </c>
      <c r="V695" s="873">
        <f t="shared" si="322"/>
        <v>7</v>
      </c>
      <c r="W695" s="873">
        <f t="shared" si="323"/>
        <v>3</v>
      </c>
      <c r="X695" s="873">
        <f t="shared" si="324"/>
        <v>0</v>
      </c>
      <c r="Y695" s="873">
        <f t="shared" si="325"/>
        <v>1</v>
      </c>
      <c r="Z695" s="873">
        <f t="shared" si="326"/>
        <v>4</v>
      </c>
      <c r="AA695" s="873">
        <f t="shared" si="327"/>
        <v>9</v>
      </c>
      <c r="AB695" s="874">
        <f t="shared" si="328"/>
        <v>13.960871651185032</v>
      </c>
    </row>
    <row r="696" spans="1:28">
      <c r="A696" s="210">
        <f t="shared" si="329"/>
        <v>3</v>
      </c>
      <c r="B696" s="210">
        <f>$F$569</f>
        <v>1</v>
      </c>
      <c r="C696" s="210">
        <f t="shared" si="330"/>
        <v>26</v>
      </c>
      <c r="D696" s="210">
        <f t="shared" si="330"/>
        <v>85</v>
      </c>
      <c r="E696" s="237">
        <f t="shared" si="311"/>
        <v>1</v>
      </c>
      <c r="F696" s="1208">
        <f t="shared" si="308"/>
        <v>1</v>
      </c>
      <c r="G696" s="210">
        <f t="shared" si="309"/>
        <v>0.8</v>
      </c>
      <c r="I696" s="233">
        <f t="shared" si="312"/>
        <v>11.200000000000003</v>
      </c>
      <c r="J696" s="210">
        <f t="shared" si="313"/>
        <v>0.8</v>
      </c>
      <c r="L696" s="233">
        <f t="shared" si="314"/>
        <v>5.9200000000000017</v>
      </c>
      <c r="M696" s="220">
        <f t="shared" si="315"/>
        <v>0.8</v>
      </c>
      <c r="O696" s="873">
        <f t="shared" si="316"/>
        <v>24</v>
      </c>
      <c r="P696" s="873">
        <f t="shared" si="316"/>
        <v>24</v>
      </c>
      <c r="Q696" s="874">
        <f t="shared" si="317"/>
        <v>20.669999999999998</v>
      </c>
      <c r="R696" s="873">
        <f t="shared" si="318"/>
        <v>10</v>
      </c>
      <c r="S696" s="873">
        <f t="shared" si="319"/>
        <v>14</v>
      </c>
      <c r="T696" s="874">
        <f t="shared" si="320"/>
        <v>17.633411486304666</v>
      </c>
      <c r="U696" s="874">
        <f t="shared" si="321"/>
        <v>15.750000000000004</v>
      </c>
      <c r="V696" s="873">
        <f t="shared" si="322"/>
        <v>7</v>
      </c>
      <c r="W696" s="873">
        <f t="shared" si="323"/>
        <v>3</v>
      </c>
      <c r="X696" s="873">
        <f t="shared" si="324"/>
        <v>0</v>
      </c>
      <c r="Y696" s="873">
        <f t="shared" si="325"/>
        <v>1</v>
      </c>
      <c r="Z696" s="873">
        <f t="shared" si="326"/>
        <v>4</v>
      </c>
      <c r="AA696" s="873">
        <f t="shared" si="327"/>
        <v>9</v>
      </c>
      <c r="AB696" s="874">
        <f t="shared" si="328"/>
        <v>13.960871651185032</v>
      </c>
    </row>
    <row r="697" spans="1:28">
      <c r="A697" s="210">
        <f t="shared" si="329"/>
        <v>3</v>
      </c>
      <c r="B697" s="210">
        <f>$F$570</f>
        <v>2</v>
      </c>
      <c r="C697" s="210">
        <f t="shared" si="330"/>
        <v>27</v>
      </c>
      <c r="D697" s="210">
        <f t="shared" si="330"/>
        <v>86</v>
      </c>
      <c r="E697" s="237">
        <f t="shared" si="311"/>
        <v>1</v>
      </c>
      <c r="F697" s="1208">
        <f t="shared" si="308"/>
        <v>1</v>
      </c>
      <c r="G697" s="210">
        <f t="shared" si="309"/>
        <v>0.8</v>
      </c>
      <c r="I697" s="233">
        <f t="shared" si="312"/>
        <v>11.200000000000003</v>
      </c>
      <c r="J697" s="210">
        <f t="shared" si="313"/>
        <v>0.8</v>
      </c>
      <c r="L697" s="233">
        <f t="shared" si="314"/>
        <v>5.9200000000000017</v>
      </c>
      <c r="M697" s="220">
        <f t="shared" si="315"/>
        <v>0.8</v>
      </c>
      <c r="O697" s="873">
        <f t="shared" si="316"/>
        <v>24</v>
      </c>
      <c r="P697" s="873">
        <f t="shared" si="316"/>
        <v>24</v>
      </c>
      <c r="Q697" s="874">
        <f t="shared" si="317"/>
        <v>20.669999999999998</v>
      </c>
      <c r="R697" s="873">
        <f t="shared" si="318"/>
        <v>10</v>
      </c>
      <c r="S697" s="873">
        <f t="shared" si="319"/>
        <v>14</v>
      </c>
      <c r="T697" s="874">
        <f t="shared" si="320"/>
        <v>17.633411486304666</v>
      </c>
      <c r="U697" s="874">
        <f t="shared" si="321"/>
        <v>15.750000000000004</v>
      </c>
      <c r="V697" s="873">
        <f t="shared" si="322"/>
        <v>7</v>
      </c>
      <c r="W697" s="873">
        <f t="shared" si="323"/>
        <v>3</v>
      </c>
      <c r="X697" s="873">
        <f t="shared" si="324"/>
        <v>0</v>
      </c>
      <c r="Y697" s="873">
        <f t="shared" si="325"/>
        <v>1</v>
      </c>
      <c r="Z697" s="873">
        <f t="shared" si="326"/>
        <v>4</v>
      </c>
      <c r="AA697" s="873">
        <f t="shared" si="327"/>
        <v>9</v>
      </c>
      <c r="AB697" s="874">
        <f t="shared" si="328"/>
        <v>13.960871651185032</v>
      </c>
    </row>
    <row r="698" spans="1:28">
      <c r="A698" s="210">
        <f t="shared" si="329"/>
        <v>3</v>
      </c>
      <c r="B698" s="210">
        <f>$F$571</f>
        <v>3</v>
      </c>
      <c r="C698" s="210">
        <f t="shared" si="330"/>
        <v>28</v>
      </c>
      <c r="D698" s="210">
        <f t="shared" si="330"/>
        <v>87</v>
      </c>
      <c r="E698" s="237">
        <f t="shared" si="311"/>
        <v>1</v>
      </c>
      <c r="F698" s="1208">
        <f t="shared" si="308"/>
        <v>1</v>
      </c>
      <c r="G698" s="210">
        <f t="shared" si="309"/>
        <v>0.8</v>
      </c>
      <c r="I698" s="233">
        <f t="shared" si="312"/>
        <v>11.200000000000003</v>
      </c>
      <c r="J698" s="210">
        <f t="shared" si="313"/>
        <v>0.8</v>
      </c>
      <c r="L698" s="233">
        <f t="shared" si="314"/>
        <v>5.9200000000000017</v>
      </c>
      <c r="M698" s="220">
        <f t="shared" si="315"/>
        <v>0.8</v>
      </c>
      <c r="O698" s="873">
        <f t="shared" si="316"/>
        <v>24</v>
      </c>
      <c r="P698" s="873">
        <f t="shared" si="316"/>
        <v>24</v>
      </c>
      <c r="Q698" s="874">
        <f t="shared" si="317"/>
        <v>20.669999999999998</v>
      </c>
      <c r="R698" s="873">
        <f t="shared" si="318"/>
        <v>10</v>
      </c>
      <c r="S698" s="873">
        <f t="shared" si="319"/>
        <v>14</v>
      </c>
      <c r="T698" s="874">
        <f t="shared" si="320"/>
        <v>17.633411486304666</v>
      </c>
      <c r="U698" s="874">
        <f t="shared" si="321"/>
        <v>15.750000000000004</v>
      </c>
      <c r="V698" s="873">
        <f t="shared" si="322"/>
        <v>7</v>
      </c>
      <c r="W698" s="873">
        <f t="shared" si="323"/>
        <v>3</v>
      </c>
      <c r="X698" s="873">
        <f t="shared" si="324"/>
        <v>0</v>
      </c>
      <c r="Y698" s="873">
        <f t="shared" si="325"/>
        <v>1</v>
      </c>
      <c r="Z698" s="873">
        <f t="shared" si="326"/>
        <v>4</v>
      </c>
      <c r="AA698" s="873">
        <f t="shared" si="327"/>
        <v>9</v>
      </c>
      <c r="AB698" s="874">
        <f t="shared" si="328"/>
        <v>13.960871651185032</v>
      </c>
    </row>
    <row r="699" spans="1:28">
      <c r="A699" s="210">
        <f t="shared" si="329"/>
        <v>3</v>
      </c>
      <c r="B699" s="210">
        <f>$F$572</f>
        <v>4</v>
      </c>
      <c r="C699" s="210">
        <f t="shared" si="330"/>
        <v>29</v>
      </c>
      <c r="D699" s="210">
        <f t="shared" si="330"/>
        <v>88</v>
      </c>
      <c r="E699" s="237">
        <f t="shared" si="311"/>
        <v>1</v>
      </c>
      <c r="F699" s="1208">
        <f t="shared" si="308"/>
        <v>1</v>
      </c>
      <c r="G699" s="210">
        <f t="shared" si="309"/>
        <v>0.8</v>
      </c>
      <c r="I699" s="233">
        <f t="shared" si="312"/>
        <v>11.200000000000003</v>
      </c>
      <c r="J699" s="210">
        <f t="shared" si="313"/>
        <v>0.8</v>
      </c>
      <c r="L699" s="233">
        <f t="shared" si="314"/>
        <v>5.9200000000000017</v>
      </c>
      <c r="M699" s="220">
        <f t="shared" si="315"/>
        <v>0.8</v>
      </c>
      <c r="O699" s="873">
        <f t="shared" si="316"/>
        <v>24</v>
      </c>
      <c r="P699" s="873">
        <f t="shared" si="316"/>
        <v>24</v>
      </c>
      <c r="Q699" s="874">
        <f t="shared" si="317"/>
        <v>20.669999999999998</v>
      </c>
      <c r="R699" s="873">
        <f t="shared" si="318"/>
        <v>10</v>
      </c>
      <c r="S699" s="873">
        <f t="shared" si="319"/>
        <v>14</v>
      </c>
      <c r="T699" s="874">
        <f t="shared" si="320"/>
        <v>17.633411486304666</v>
      </c>
      <c r="U699" s="874">
        <f t="shared" si="321"/>
        <v>15.750000000000004</v>
      </c>
      <c r="V699" s="873">
        <f t="shared" si="322"/>
        <v>7</v>
      </c>
      <c r="W699" s="873">
        <f t="shared" si="323"/>
        <v>3</v>
      </c>
      <c r="X699" s="873">
        <f t="shared" si="324"/>
        <v>0</v>
      </c>
      <c r="Y699" s="873">
        <f t="shared" si="325"/>
        <v>1</v>
      </c>
      <c r="Z699" s="873">
        <f t="shared" si="326"/>
        <v>4</v>
      </c>
      <c r="AA699" s="873">
        <f t="shared" si="327"/>
        <v>9</v>
      </c>
      <c r="AB699" s="874">
        <f t="shared" si="328"/>
        <v>13.960871651185032</v>
      </c>
    </row>
    <row r="700" spans="1:28">
      <c r="A700" s="210">
        <f t="shared" si="329"/>
        <v>3</v>
      </c>
      <c r="B700" s="210">
        <f>$F$573</f>
        <v>5</v>
      </c>
      <c r="C700" s="210">
        <f t="shared" si="330"/>
        <v>30</v>
      </c>
      <c r="D700" s="210">
        <f t="shared" si="330"/>
        <v>89</v>
      </c>
      <c r="E700" s="237">
        <f t="shared" si="311"/>
        <v>1</v>
      </c>
      <c r="F700" s="1208">
        <f t="shared" si="308"/>
        <v>1</v>
      </c>
      <c r="G700" s="210">
        <f t="shared" si="309"/>
        <v>0.8</v>
      </c>
      <c r="I700" s="233">
        <f t="shared" si="312"/>
        <v>11.200000000000003</v>
      </c>
      <c r="J700" s="210">
        <f t="shared" si="313"/>
        <v>0.8</v>
      </c>
      <c r="L700" s="233">
        <f t="shared" si="314"/>
        <v>5.9200000000000017</v>
      </c>
      <c r="M700" s="220">
        <f t="shared" si="315"/>
        <v>0.8</v>
      </c>
      <c r="O700" s="873">
        <f t="shared" si="316"/>
        <v>24</v>
      </c>
      <c r="P700" s="873">
        <f t="shared" si="316"/>
        <v>24</v>
      </c>
      <c r="Q700" s="874">
        <f t="shared" si="317"/>
        <v>20.669999999999998</v>
      </c>
      <c r="R700" s="873">
        <f t="shared" si="318"/>
        <v>10</v>
      </c>
      <c r="S700" s="873">
        <f t="shared" si="319"/>
        <v>14</v>
      </c>
      <c r="T700" s="874">
        <f t="shared" si="320"/>
        <v>17.633411486304666</v>
      </c>
      <c r="U700" s="874">
        <f t="shared" si="321"/>
        <v>15.750000000000004</v>
      </c>
      <c r="V700" s="873">
        <f t="shared" si="322"/>
        <v>7</v>
      </c>
      <c r="W700" s="873">
        <f t="shared" si="323"/>
        <v>3</v>
      </c>
      <c r="X700" s="873">
        <f t="shared" si="324"/>
        <v>0</v>
      </c>
      <c r="Y700" s="873">
        <f t="shared" si="325"/>
        <v>1</v>
      </c>
      <c r="Z700" s="873">
        <f t="shared" si="326"/>
        <v>4</v>
      </c>
      <c r="AA700" s="873">
        <f t="shared" si="327"/>
        <v>9</v>
      </c>
      <c r="AB700" s="874">
        <f t="shared" si="328"/>
        <v>13.960871651185032</v>
      </c>
    </row>
    <row r="701" spans="1:28">
      <c r="A701" s="210">
        <f t="shared" si="329"/>
        <v>3</v>
      </c>
      <c r="B701" s="210">
        <f>$F$574</f>
        <v>6</v>
      </c>
      <c r="C701" s="210">
        <f t="shared" si="330"/>
        <v>31</v>
      </c>
      <c r="D701" s="210">
        <f t="shared" si="330"/>
        <v>90</v>
      </c>
      <c r="E701" s="237">
        <f t="shared" si="311"/>
        <v>1</v>
      </c>
      <c r="F701" s="1208">
        <f t="shared" si="308"/>
        <v>1</v>
      </c>
      <c r="G701" s="210">
        <f t="shared" si="309"/>
        <v>0.8</v>
      </c>
      <c r="I701" s="233">
        <f t="shared" si="312"/>
        <v>11.200000000000003</v>
      </c>
      <c r="J701" s="210">
        <f t="shared" si="313"/>
        <v>0.8</v>
      </c>
      <c r="L701" s="233">
        <f t="shared" si="314"/>
        <v>5.9200000000000017</v>
      </c>
      <c r="M701" s="220">
        <f t="shared" si="315"/>
        <v>0.8</v>
      </c>
      <c r="O701" s="873">
        <f t="shared" si="316"/>
        <v>24</v>
      </c>
      <c r="P701" s="873">
        <f t="shared" si="316"/>
        <v>24</v>
      </c>
      <c r="Q701" s="874">
        <f t="shared" si="317"/>
        <v>20.669999999999998</v>
      </c>
      <c r="R701" s="873">
        <f t="shared" si="318"/>
        <v>10</v>
      </c>
      <c r="S701" s="873">
        <f t="shared" si="319"/>
        <v>14</v>
      </c>
      <c r="T701" s="874">
        <f t="shared" si="320"/>
        <v>17.633411486304666</v>
      </c>
      <c r="U701" s="874">
        <f t="shared" si="321"/>
        <v>15.750000000000004</v>
      </c>
      <c r="V701" s="873">
        <f t="shared" si="322"/>
        <v>7</v>
      </c>
      <c r="W701" s="873">
        <f t="shared" si="323"/>
        <v>3</v>
      </c>
      <c r="X701" s="873">
        <f t="shared" si="324"/>
        <v>0</v>
      </c>
      <c r="Y701" s="873">
        <f t="shared" si="325"/>
        <v>1</v>
      </c>
      <c r="Z701" s="873">
        <f t="shared" si="326"/>
        <v>4</v>
      </c>
      <c r="AA701" s="873">
        <f t="shared" si="327"/>
        <v>9</v>
      </c>
      <c r="AB701" s="874">
        <f t="shared" si="328"/>
        <v>13.960871651185032</v>
      </c>
    </row>
    <row r="702" spans="1:28">
      <c r="A702" s="210">
        <v>4</v>
      </c>
      <c r="B702" s="210">
        <f>$F$575</f>
        <v>7</v>
      </c>
      <c r="C702" s="210">
        <v>1</v>
      </c>
      <c r="D702" s="210">
        <f t="shared" si="330"/>
        <v>91</v>
      </c>
      <c r="E702" s="237">
        <f t="shared" si="311"/>
        <v>1</v>
      </c>
      <c r="F702" s="1208">
        <f t="shared" si="308"/>
        <v>0.8</v>
      </c>
      <c r="G702" s="210">
        <f t="shared" si="309"/>
        <v>0.8</v>
      </c>
      <c r="I702" s="233">
        <f t="shared" si="312"/>
        <v>11.200000000000003</v>
      </c>
      <c r="J702" s="210">
        <f t="shared" si="313"/>
        <v>0.8</v>
      </c>
      <c r="L702" s="233">
        <f t="shared" si="314"/>
        <v>5.9200000000000017</v>
      </c>
      <c r="M702" s="220">
        <f t="shared" si="315"/>
        <v>0.8</v>
      </c>
      <c r="O702" s="873">
        <f t="shared" si="316"/>
        <v>24</v>
      </c>
      <c r="P702" s="873">
        <f t="shared" si="316"/>
        <v>24</v>
      </c>
      <c r="Q702" s="874">
        <f t="shared" si="317"/>
        <v>20.669999999999998</v>
      </c>
      <c r="R702" s="873">
        <f t="shared" si="318"/>
        <v>10</v>
      </c>
      <c r="S702" s="873">
        <f t="shared" si="319"/>
        <v>14</v>
      </c>
      <c r="T702" s="874">
        <f t="shared" si="320"/>
        <v>17.633411486304666</v>
      </c>
      <c r="U702" s="874">
        <f t="shared" si="321"/>
        <v>15.750000000000004</v>
      </c>
      <c r="V702" s="873">
        <f t="shared" si="322"/>
        <v>7</v>
      </c>
      <c r="W702" s="873">
        <f t="shared" si="323"/>
        <v>3</v>
      </c>
      <c r="X702" s="873">
        <f t="shared" si="324"/>
        <v>0</v>
      </c>
      <c r="Y702" s="873">
        <f t="shared" si="325"/>
        <v>1</v>
      </c>
      <c r="Z702" s="873">
        <f t="shared" si="326"/>
        <v>4</v>
      </c>
      <c r="AA702" s="873">
        <f t="shared" si="327"/>
        <v>9</v>
      </c>
      <c r="AB702" s="874">
        <f t="shared" si="328"/>
        <v>13.960871651185032</v>
      </c>
    </row>
    <row r="703" spans="1:28">
      <c r="A703" s="210">
        <f t="shared" si="329"/>
        <v>4</v>
      </c>
      <c r="B703" s="210">
        <f>$F$569</f>
        <v>1</v>
      </c>
      <c r="C703" s="210">
        <f t="shared" si="330"/>
        <v>2</v>
      </c>
      <c r="D703" s="210">
        <f t="shared" si="330"/>
        <v>92</v>
      </c>
      <c r="E703" s="237">
        <f t="shared" si="311"/>
        <v>1</v>
      </c>
      <c r="F703" s="1208">
        <f t="shared" si="308"/>
        <v>0.8</v>
      </c>
      <c r="G703" s="210">
        <f t="shared" si="309"/>
        <v>0.8</v>
      </c>
      <c r="I703" s="233">
        <f t="shared" si="312"/>
        <v>11.200000000000003</v>
      </c>
      <c r="J703" s="210">
        <f t="shared" si="313"/>
        <v>0.8</v>
      </c>
      <c r="L703" s="233">
        <f t="shared" si="314"/>
        <v>5.9200000000000017</v>
      </c>
      <c r="M703" s="220">
        <f t="shared" si="315"/>
        <v>0.8</v>
      </c>
      <c r="O703" s="873">
        <f t="shared" si="316"/>
        <v>24</v>
      </c>
      <c r="P703" s="873">
        <f t="shared" si="316"/>
        <v>24</v>
      </c>
      <c r="Q703" s="874">
        <f t="shared" si="317"/>
        <v>20.669999999999998</v>
      </c>
      <c r="R703" s="873">
        <f t="shared" si="318"/>
        <v>10</v>
      </c>
      <c r="S703" s="873">
        <f t="shared" si="319"/>
        <v>14</v>
      </c>
      <c r="T703" s="874">
        <f t="shared" si="320"/>
        <v>17.633411486304666</v>
      </c>
      <c r="U703" s="874">
        <f t="shared" si="321"/>
        <v>15.750000000000004</v>
      </c>
      <c r="V703" s="873">
        <f t="shared" si="322"/>
        <v>7</v>
      </c>
      <c r="W703" s="873">
        <f t="shared" si="323"/>
        <v>3</v>
      </c>
      <c r="X703" s="873">
        <f t="shared" si="324"/>
        <v>0</v>
      </c>
      <c r="Y703" s="873">
        <f t="shared" si="325"/>
        <v>1</v>
      </c>
      <c r="Z703" s="873">
        <f t="shared" si="326"/>
        <v>4</v>
      </c>
      <c r="AA703" s="873">
        <f t="shared" si="327"/>
        <v>9</v>
      </c>
      <c r="AB703" s="874">
        <f t="shared" si="328"/>
        <v>13.960871651185032</v>
      </c>
    </row>
    <row r="704" spans="1:28">
      <c r="A704" s="210">
        <f t="shared" si="329"/>
        <v>4</v>
      </c>
      <c r="B704" s="210">
        <f>$F$570</f>
        <v>2</v>
      </c>
      <c r="C704" s="210">
        <f t="shared" si="330"/>
        <v>3</v>
      </c>
      <c r="D704" s="210">
        <f t="shared" si="330"/>
        <v>93</v>
      </c>
      <c r="E704" s="237">
        <f t="shared" si="311"/>
        <v>1</v>
      </c>
      <c r="F704" s="1208">
        <f t="shared" si="308"/>
        <v>0.8</v>
      </c>
      <c r="G704" s="210">
        <f t="shared" si="309"/>
        <v>0.8</v>
      </c>
      <c r="I704" s="233">
        <f t="shared" si="312"/>
        <v>11.200000000000003</v>
      </c>
      <c r="J704" s="210">
        <f t="shared" si="313"/>
        <v>0.8</v>
      </c>
      <c r="L704" s="233">
        <f t="shared" si="314"/>
        <v>5.9200000000000017</v>
      </c>
      <c r="M704" s="220">
        <f t="shared" si="315"/>
        <v>0.8</v>
      </c>
      <c r="O704" s="873">
        <f t="shared" si="316"/>
        <v>24</v>
      </c>
      <c r="P704" s="873">
        <f t="shared" si="316"/>
        <v>24</v>
      </c>
      <c r="Q704" s="874">
        <f t="shared" si="317"/>
        <v>20.669999999999998</v>
      </c>
      <c r="R704" s="873">
        <f t="shared" si="318"/>
        <v>10</v>
      </c>
      <c r="S704" s="873">
        <f t="shared" si="319"/>
        <v>14</v>
      </c>
      <c r="T704" s="874">
        <f t="shared" si="320"/>
        <v>17.633411486304666</v>
      </c>
      <c r="U704" s="874">
        <f t="shared" si="321"/>
        <v>15.750000000000004</v>
      </c>
      <c r="V704" s="873">
        <f t="shared" si="322"/>
        <v>7</v>
      </c>
      <c r="W704" s="873">
        <f t="shared" si="323"/>
        <v>3</v>
      </c>
      <c r="X704" s="873">
        <f t="shared" si="324"/>
        <v>0</v>
      </c>
      <c r="Y704" s="873">
        <f t="shared" si="325"/>
        <v>1</v>
      </c>
      <c r="Z704" s="873">
        <f t="shared" si="326"/>
        <v>4</v>
      </c>
      <c r="AA704" s="873">
        <f t="shared" si="327"/>
        <v>9</v>
      </c>
      <c r="AB704" s="874">
        <f t="shared" si="328"/>
        <v>13.960871651185032</v>
      </c>
    </row>
    <row r="705" spans="1:28">
      <c r="A705" s="210">
        <f t="shared" si="329"/>
        <v>4</v>
      </c>
      <c r="B705" s="210">
        <f>$F$571</f>
        <v>3</v>
      </c>
      <c r="C705" s="210">
        <f t="shared" si="330"/>
        <v>4</v>
      </c>
      <c r="D705" s="210">
        <f t="shared" si="330"/>
        <v>94</v>
      </c>
      <c r="E705" s="237">
        <f t="shared" si="311"/>
        <v>1</v>
      </c>
      <c r="F705" s="1208">
        <f t="shared" si="308"/>
        <v>0.8</v>
      </c>
      <c r="G705" s="210">
        <f t="shared" si="309"/>
        <v>0.8</v>
      </c>
      <c r="I705" s="233">
        <f t="shared" si="312"/>
        <v>11.200000000000003</v>
      </c>
      <c r="J705" s="210">
        <f t="shared" si="313"/>
        <v>0.8</v>
      </c>
      <c r="L705" s="233">
        <f t="shared" si="314"/>
        <v>5.9200000000000017</v>
      </c>
      <c r="M705" s="220">
        <f t="shared" si="315"/>
        <v>0.8</v>
      </c>
      <c r="O705" s="873">
        <f t="shared" si="316"/>
        <v>24</v>
      </c>
      <c r="P705" s="873">
        <f t="shared" si="316"/>
        <v>24</v>
      </c>
      <c r="Q705" s="874">
        <f t="shared" si="317"/>
        <v>20.669999999999998</v>
      </c>
      <c r="R705" s="873">
        <f t="shared" si="318"/>
        <v>10</v>
      </c>
      <c r="S705" s="873">
        <f t="shared" si="319"/>
        <v>14</v>
      </c>
      <c r="T705" s="874">
        <f t="shared" si="320"/>
        <v>17.633411486304666</v>
      </c>
      <c r="U705" s="874">
        <f t="shared" si="321"/>
        <v>15.750000000000004</v>
      </c>
      <c r="V705" s="873">
        <f t="shared" si="322"/>
        <v>7</v>
      </c>
      <c r="W705" s="873">
        <f t="shared" si="323"/>
        <v>3</v>
      </c>
      <c r="X705" s="873">
        <f t="shared" si="324"/>
        <v>0</v>
      </c>
      <c r="Y705" s="873">
        <f t="shared" si="325"/>
        <v>1</v>
      </c>
      <c r="Z705" s="873">
        <f t="shared" si="326"/>
        <v>4</v>
      </c>
      <c r="AA705" s="873">
        <f t="shared" si="327"/>
        <v>9</v>
      </c>
      <c r="AB705" s="874">
        <f t="shared" si="328"/>
        <v>13.960871651185032</v>
      </c>
    </row>
    <row r="706" spans="1:28">
      <c r="A706" s="210">
        <f t="shared" si="329"/>
        <v>4</v>
      </c>
      <c r="B706" s="210">
        <f>$F$572</f>
        <v>4</v>
      </c>
      <c r="C706" s="210">
        <f t="shared" si="330"/>
        <v>5</v>
      </c>
      <c r="D706" s="210">
        <f t="shared" si="330"/>
        <v>95</v>
      </c>
      <c r="E706" s="237">
        <f t="shared" si="311"/>
        <v>1</v>
      </c>
      <c r="F706" s="1208">
        <f t="shared" si="308"/>
        <v>0.8</v>
      </c>
      <c r="G706" s="210">
        <f t="shared" si="309"/>
        <v>0.8</v>
      </c>
      <c r="I706" s="233">
        <f t="shared" si="312"/>
        <v>11.200000000000003</v>
      </c>
      <c r="J706" s="210">
        <f t="shared" si="313"/>
        <v>0.8</v>
      </c>
      <c r="L706" s="233">
        <f t="shared" si="314"/>
        <v>5.9200000000000017</v>
      </c>
      <c r="M706" s="220">
        <f t="shared" si="315"/>
        <v>0.8</v>
      </c>
      <c r="O706" s="873">
        <f t="shared" si="316"/>
        <v>24</v>
      </c>
      <c r="P706" s="873">
        <f t="shared" si="316"/>
        <v>24</v>
      </c>
      <c r="Q706" s="874">
        <f t="shared" si="317"/>
        <v>20.669999999999998</v>
      </c>
      <c r="R706" s="873">
        <f t="shared" si="318"/>
        <v>10</v>
      </c>
      <c r="S706" s="873">
        <f t="shared" si="319"/>
        <v>14</v>
      </c>
      <c r="T706" s="874">
        <f t="shared" si="320"/>
        <v>17.633411486304666</v>
      </c>
      <c r="U706" s="874">
        <f t="shared" si="321"/>
        <v>15.750000000000004</v>
      </c>
      <c r="V706" s="873">
        <f t="shared" si="322"/>
        <v>7</v>
      </c>
      <c r="W706" s="873">
        <f t="shared" si="323"/>
        <v>3</v>
      </c>
      <c r="X706" s="873">
        <f t="shared" si="324"/>
        <v>0</v>
      </c>
      <c r="Y706" s="873">
        <f t="shared" si="325"/>
        <v>1</v>
      </c>
      <c r="Z706" s="873">
        <f t="shared" si="326"/>
        <v>4</v>
      </c>
      <c r="AA706" s="873">
        <f t="shared" si="327"/>
        <v>9</v>
      </c>
      <c r="AB706" s="874">
        <f t="shared" si="328"/>
        <v>13.960871651185032</v>
      </c>
    </row>
    <row r="707" spans="1:28">
      <c r="A707" s="210">
        <f t="shared" si="329"/>
        <v>4</v>
      </c>
      <c r="B707" s="210">
        <f>$F$573</f>
        <v>5</v>
      </c>
      <c r="C707" s="210">
        <f t="shared" si="330"/>
        <v>6</v>
      </c>
      <c r="D707" s="210">
        <f t="shared" si="330"/>
        <v>96</v>
      </c>
      <c r="E707" s="237">
        <f t="shared" si="311"/>
        <v>1</v>
      </c>
      <c r="F707" s="1208">
        <f t="shared" si="308"/>
        <v>0.8</v>
      </c>
      <c r="G707" s="210">
        <f t="shared" si="309"/>
        <v>0.8</v>
      </c>
      <c r="I707" s="233">
        <f t="shared" si="312"/>
        <v>11.200000000000003</v>
      </c>
      <c r="J707" s="210">
        <f t="shared" si="313"/>
        <v>0.8</v>
      </c>
      <c r="L707" s="233">
        <f t="shared" si="314"/>
        <v>5.9200000000000017</v>
      </c>
      <c r="M707" s="220">
        <f t="shared" si="315"/>
        <v>0.8</v>
      </c>
      <c r="O707" s="873">
        <f t="shared" si="316"/>
        <v>24</v>
      </c>
      <c r="P707" s="873">
        <f t="shared" si="316"/>
        <v>24</v>
      </c>
      <c r="Q707" s="874">
        <f t="shared" si="317"/>
        <v>20.669999999999998</v>
      </c>
      <c r="R707" s="873">
        <f t="shared" si="318"/>
        <v>10</v>
      </c>
      <c r="S707" s="873">
        <f t="shared" si="319"/>
        <v>14</v>
      </c>
      <c r="T707" s="874">
        <f t="shared" si="320"/>
        <v>17.633411486304666</v>
      </c>
      <c r="U707" s="874">
        <f t="shared" si="321"/>
        <v>15.750000000000004</v>
      </c>
      <c r="V707" s="873">
        <f t="shared" si="322"/>
        <v>7</v>
      </c>
      <c r="W707" s="873">
        <f t="shared" si="323"/>
        <v>3</v>
      </c>
      <c r="X707" s="873">
        <f t="shared" si="324"/>
        <v>0</v>
      </c>
      <c r="Y707" s="873">
        <f t="shared" si="325"/>
        <v>1</v>
      </c>
      <c r="Z707" s="873">
        <f t="shared" si="326"/>
        <v>4</v>
      </c>
      <c r="AA707" s="873">
        <f t="shared" si="327"/>
        <v>9</v>
      </c>
      <c r="AB707" s="874">
        <f t="shared" si="328"/>
        <v>13.960871651185032</v>
      </c>
    </row>
    <row r="708" spans="1:28">
      <c r="A708" s="210">
        <f t="shared" si="329"/>
        <v>4</v>
      </c>
      <c r="B708" s="210">
        <f>$F$574</f>
        <v>6</v>
      </c>
      <c r="C708" s="210">
        <f t="shared" si="330"/>
        <v>7</v>
      </c>
      <c r="D708" s="210">
        <f t="shared" si="330"/>
        <v>97</v>
      </c>
      <c r="E708" s="237">
        <f t="shared" si="311"/>
        <v>1</v>
      </c>
      <c r="F708" s="1208">
        <f t="shared" si="308"/>
        <v>0.8</v>
      </c>
      <c r="G708" s="210">
        <f t="shared" si="309"/>
        <v>0.8</v>
      </c>
      <c r="I708" s="233">
        <f t="shared" si="312"/>
        <v>11.200000000000003</v>
      </c>
      <c r="J708" s="210">
        <f t="shared" si="313"/>
        <v>0.8</v>
      </c>
      <c r="L708" s="233">
        <f t="shared" si="314"/>
        <v>5.9200000000000017</v>
      </c>
      <c r="M708" s="220">
        <f t="shared" si="315"/>
        <v>0.8</v>
      </c>
      <c r="O708" s="873">
        <f t="shared" si="316"/>
        <v>24</v>
      </c>
      <c r="P708" s="873">
        <f t="shared" si="316"/>
        <v>24</v>
      </c>
      <c r="Q708" s="874">
        <f t="shared" si="317"/>
        <v>20.669999999999998</v>
      </c>
      <c r="R708" s="873">
        <f t="shared" si="318"/>
        <v>10</v>
      </c>
      <c r="S708" s="873">
        <f t="shared" si="319"/>
        <v>14</v>
      </c>
      <c r="T708" s="874">
        <f t="shared" si="320"/>
        <v>17.633411486304666</v>
      </c>
      <c r="U708" s="874">
        <f t="shared" si="321"/>
        <v>15.750000000000004</v>
      </c>
      <c r="V708" s="873">
        <f t="shared" si="322"/>
        <v>7</v>
      </c>
      <c r="W708" s="873">
        <f t="shared" si="323"/>
        <v>3</v>
      </c>
      <c r="X708" s="873">
        <f t="shared" si="324"/>
        <v>0</v>
      </c>
      <c r="Y708" s="873">
        <f t="shared" si="325"/>
        <v>1</v>
      </c>
      <c r="Z708" s="873">
        <f t="shared" si="326"/>
        <v>4</v>
      </c>
      <c r="AA708" s="873">
        <f t="shared" si="327"/>
        <v>9</v>
      </c>
      <c r="AB708" s="874">
        <f t="shared" si="328"/>
        <v>13.960871651185032</v>
      </c>
    </row>
    <row r="709" spans="1:28">
      <c r="A709" s="210">
        <f t="shared" si="329"/>
        <v>4</v>
      </c>
      <c r="B709" s="210">
        <f>$F$575</f>
        <v>7</v>
      </c>
      <c r="C709" s="210">
        <f t="shared" ref="C709:D724" si="331">C708+1</f>
        <v>8</v>
      </c>
      <c r="D709" s="210">
        <f t="shared" si="331"/>
        <v>98</v>
      </c>
      <c r="E709" s="237">
        <f t="shared" si="311"/>
        <v>1</v>
      </c>
      <c r="F709" s="1208">
        <f t="shared" si="308"/>
        <v>0.8</v>
      </c>
      <c r="G709" s="210">
        <f t="shared" si="309"/>
        <v>0.8</v>
      </c>
      <c r="I709" s="233">
        <f t="shared" si="312"/>
        <v>11.200000000000003</v>
      </c>
      <c r="J709" s="210">
        <f t="shared" si="313"/>
        <v>0.8</v>
      </c>
      <c r="L709" s="233">
        <f t="shared" si="314"/>
        <v>5.9200000000000017</v>
      </c>
      <c r="M709" s="220">
        <f t="shared" si="315"/>
        <v>0.8</v>
      </c>
      <c r="O709" s="873">
        <f t="shared" si="316"/>
        <v>24</v>
      </c>
      <c r="P709" s="873">
        <f t="shared" si="316"/>
        <v>24</v>
      </c>
      <c r="Q709" s="874">
        <f t="shared" si="317"/>
        <v>20.669999999999998</v>
      </c>
      <c r="R709" s="873">
        <f t="shared" si="318"/>
        <v>10</v>
      </c>
      <c r="S709" s="873">
        <f t="shared" si="319"/>
        <v>14</v>
      </c>
      <c r="T709" s="874">
        <f t="shared" si="320"/>
        <v>17.633411486304666</v>
      </c>
      <c r="U709" s="874">
        <f t="shared" si="321"/>
        <v>15.750000000000004</v>
      </c>
      <c r="V709" s="873">
        <f t="shared" si="322"/>
        <v>7</v>
      </c>
      <c r="W709" s="873">
        <f t="shared" si="323"/>
        <v>3</v>
      </c>
      <c r="X709" s="873">
        <f t="shared" si="324"/>
        <v>0</v>
      </c>
      <c r="Y709" s="873">
        <f t="shared" si="325"/>
        <v>1</v>
      </c>
      <c r="Z709" s="873">
        <f t="shared" si="326"/>
        <v>4</v>
      </c>
      <c r="AA709" s="873">
        <f t="shared" si="327"/>
        <v>9</v>
      </c>
      <c r="AB709" s="874">
        <f t="shared" si="328"/>
        <v>13.960871651185032</v>
      </c>
    </row>
    <row r="710" spans="1:28">
      <c r="A710" s="210">
        <f t="shared" si="329"/>
        <v>4</v>
      </c>
      <c r="B710" s="210">
        <f>$F$569</f>
        <v>1</v>
      </c>
      <c r="C710" s="210">
        <f t="shared" si="331"/>
        <v>9</v>
      </c>
      <c r="D710" s="210">
        <f t="shared" si="331"/>
        <v>99</v>
      </c>
      <c r="E710" s="237">
        <f t="shared" si="311"/>
        <v>1</v>
      </c>
      <c r="F710" s="1208">
        <f t="shared" si="308"/>
        <v>0.8</v>
      </c>
      <c r="G710" s="210">
        <f t="shared" si="309"/>
        <v>0.8</v>
      </c>
      <c r="I710" s="233">
        <f t="shared" si="312"/>
        <v>11.200000000000003</v>
      </c>
      <c r="J710" s="210">
        <f t="shared" si="313"/>
        <v>0.8</v>
      </c>
      <c r="L710" s="233">
        <f t="shared" si="314"/>
        <v>5.9200000000000017</v>
      </c>
      <c r="M710" s="220">
        <f t="shared" si="315"/>
        <v>0.8</v>
      </c>
      <c r="O710" s="873">
        <f t="shared" si="316"/>
        <v>24</v>
      </c>
      <c r="P710" s="873">
        <f t="shared" si="316"/>
        <v>24</v>
      </c>
      <c r="Q710" s="874">
        <f t="shared" si="317"/>
        <v>20.669999999999998</v>
      </c>
      <c r="R710" s="873">
        <f t="shared" si="318"/>
        <v>10</v>
      </c>
      <c r="S710" s="873">
        <f t="shared" si="319"/>
        <v>14</v>
      </c>
      <c r="T710" s="874">
        <f t="shared" si="320"/>
        <v>17.633411486304666</v>
      </c>
      <c r="U710" s="874">
        <f t="shared" si="321"/>
        <v>15.750000000000004</v>
      </c>
      <c r="V710" s="873">
        <f t="shared" si="322"/>
        <v>7</v>
      </c>
      <c r="W710" s="873">
        <f t="shared" si="323"/>
        <v>3</v>
      </c>
      <c r="X710" s="873">
        <f t="shared" si="324"/>
        <v>0</v>
      </c>
      <c r="Y710" s="873">
        <f t="shared" si="325"/>
        <v>1</v>
      </c>
      <c r="Z710" s="873">
        <f t="shared" si="326"/>
        <v>4</v>
      </c>
      <c r="AA710" s="873">
        <f t="shared" si="327"/>
        <v>9</v>
      </c>
      <c r="AB710" s="874">
        <f t="shared" si="328"/>
        <v>13.960871651185032</v>
      </c>
    </row>
    <row r="711" spans="1:28">
      <c r="A711" s="210">
        <f t="shared" si="329"/>
        <v>4</v>
      </c>
      <c r="B711" s="210">
        <f>$F$570</f>
        <v>2</v>
      </c>
      <c r="C711" s="210">
        <f t="shared" si="331"/>
        <v>10</v>
      </c>
      <c r="D711" s="210">
        <f t="shared" si="331"/>
        <v>100</v>
      </c>
      <c r="E711" s="237">
        <f t="shared" si="311"/>
        <v>1</v>
      </c>
      <c r="F711" s="1208">
        <f t="shared" si="308"/>
        <v>0.8</v>
      </c>
      <c r="G711" s="210">
        <f t="shared" si="309"/>
        <v>0.8</v>
      </c>
      <c r="I711" s="233">
        <f t="shared" si="312"/>
        <v>11.200000000000003</v>
      </c>
      <c r="J711" s="210">
        <f t="shared" si="313"/>
        <v>0.8</v>
      </c>
      <c r="L711" s="233">
        <f t="shared" si="314"/>
        <v>5.9200000000000017</v>
      </c>
      <c r="M711" s="220">
        <f t="shared" si="315"/>
        <v>0.8</v>
      </c>
      <c r="O711" s="873">
        <f t="shared" si="316"/>
        <v>24</v>
      </c>
      <c r="P711" s="873">
        <f t="shared" si="316"/>
        <v>24</v>
      </c>
      <c r="Q711" s="874">
        <f t="shared" si="317"/>
        <v>20.669999999999998</v>
      </c>
      <c r="R711" s="873">
        <f t="shared" si="318"/>
        <v>10</v>
      </c>
      <c r="S711" s="873">
        <f t="shared" si="319"/>
        <v>14</v>
      </c>
      <c r="T711" s="874">
        <f t="shared" si="320"/>
        <v>17.633411486304666</v>
      </c>
      <c r="U711" s="874">
        <f t="shared" si="321"/>
        <v>15.750000000000004</v>
      </c>
      <c r="V711" s="873">
        <f t="shared" si="322"/>
        <v>7</v>
      </c>
      <c r="W711" s="873">
        <f t="shared" si="323"/>
        <v>3</v>
      </c>
      <c r="X711" s="873">
        <f t="shared" si="324"/>
        <v>0</v>
      </c>
      <c r="Y711" s="873">
        <f t="shared" si="325"/>
        <v>1</v>
      </c>
      <c r="Z711" s="873">
        <f t="shared" si="326"/>
        <v>4</v>
      </c>
      <c r="AA711" s="873">
        <f t="shared" si="327"/>
        <v>9</v>
      </c>
      <c r="AB711" s="874">
        <f t="shared" si="328"/>
        <v>13.960871651185032</v>
      </c>
    </row>
    <row r="712" spans="1:28">
      <c r="A712" s="210">
        <f t="shared" si="329"/>
        <v>4</v>
      </c>
      <c r="B712" s="210">
        <f>$F$571</f>
        <v>3</v>
      </c>
      <c r="C712" s="210">
        <f t="shared" si="331"/>
        <v>11</v>
      </c>
      <c r="D712" s="210">
        <f t="shared" si="331"/>
        <v>101</v>
      </c>
      <c r="E712" s="237">
        <f t="shared" si="311"/>
        <v>1</v>
      </c>
      <c r="F712" s="1208">
        <f t="shared" si="308"/>
        <v>0.8</v>
      </c>
      <c r="G712" s="210">
        <f t="shared" si="309"/>
        <v>0.8</v>
      </c>
      <c r="I712" s="233">
        <f t="shared" si="312"/>
        <v>11.200000000000003</v>
      </c>
      <c r="J712" s="210">
        <f t="shared" si="313"/>
        <v>0.8</v>
      </c>
      <c r="L712" s="233">
        <f t="shared" si="314"/>
        <v>5.9200000000000017</v>
      </c>
      <c r="M712" s="220">
        <f t="shared" si="315"/>
        <v>0.8</v>
      </c>
      <c r="O712" s="873">
        <f t="shared" si="316"/>
        <v>24</v>
      </c>
      <c r="P712" s="873">
        <f t="shared" si="316"/>
        <v>24</v>
      </c>
      <c r="Q712" s="874">
        <f t="shared" si="317"/>
        <v>20.669999999999998</v>
      </c>
      <c r="R712" s="873">
        <f t="shared" si="318"/>
        <v>10</v>
      </c>
      <c r="S712" s="873">
        <f t="shared" si="319"/>
        <v>14</v>
      </c>
      <c r="T712" s="874">
        <f t="shared" si="320"/>
        <v>17.633411486304666</v>
      </c>
      <c r="U712" s="874">
        <f t="shared" si="321"/>
        <v>15.750000000000004</v>
      </c>
      <c r="V712" s="873">
        <f t="shared" si="322"/>
        <v>7</v>
      </c>
      <c r="W712" s="873">
        <f t="shared" si="323"/>
        <v>3</v>
      </c>
      <c r="X712" s="873">
        <f t="shared" si="324"/>
        <v>0</v>
      </c>
      <c r="Y712" s="873">
        <f t="shared" si="325"/>
        <v>1</v>
      </c>
      <c r="Z712" s="873">
        <f t="shared" si="326"/>
        <v>4</v>
      </c>
      <c r="AA712" s="873">
        <f t="shared" si="327"/>
        <v>9</v>
      </c>
      <c r="AB712" s="874">
        <f t="shared" si="328"/>
        <v>13.960871651185032</v>
      </c>
    </row>
    <row r="713" spans="1:28">
      <c r="A713" s="210">
        <f t="shared" si="329"/>
        <v>4</v>
      </c>
      <c r="B713" s="210">
        <f>$F$572</f>
        <v>4</v>
      </c>
      <c r="C713" s="210">
        <f t="shared" si="331"/>
        <v>12</v>
      </c>
      <c r="D713" s="210">
        <f t="shared" si="331"/>
        <v>102</v>
      </c>
      <c r="E713" s="237">
        <f t="shared" si="311"/>
        <v>1</v>
      </c>
      <c r="F713" s="1208">
        <f t="shared" si="308"/>
        <v>0.8</v>
      </c>
      <c r="G713" s="210">
        <f t="shared" si="309"/>
        <v>0.8</v>
      </c>
      <c r="I713" s="233">
        <f t="shared" si="312"/>
        <v>11.200000000000003</v>
      </c>
      <c r="J713" s="210">
        <f t="shared" si="313"/>
        <v>0.8</v>
      </c>
      <c r="L713" s="233">
        <f t="shared" si="314"/>
        <v>5.9200000000000017</v>
      </c>
      <c r="M713" s="220">
        <f t="shared" si="315"/>
        <v>0.8</v>
      </c>
      <c r="O713" s="873">
        <f t="shared" si="316"/>
        <v>24</v>
      </c>
      <c r="P713" s="873">
        <f t="shared" si="316"/>
        <v>24</v>
      </c>
      <c r="Q713" s="874">
        <f t="shared" si="317"/>
        <v>20.669999999999998</v>
      </c>
      <c r="R713" s="873">
        <f t="shared" si="318"/>
        <v>10</v>
      </c>
      <c r="S713" s="873">
        <f t="shared" si="319"/>
        <v>14</v>
      </c>
      <c r="T713" s="874">
        <f t="shared" si="320"/>
        <v>17.633411486304666</v>
      </c>
      <c r="U713" s="874">
        <f t="shared" si="321"/>
        <v>15.750000000000004</v>
      </c>
      <c r="V713" s="873">
        <f t="shared" si="322"/>
        <v>7</v>
      </c>
      <c r="W713" s="873">
        <f t="shared" si="323"/>
        <v>3</v>
      </c>
      <c r="X713" s="873">
        <f t="shared" si="324"/>
        <v>0</v>
      </c>
      <c r="Y713" s="873">
        <f t="shared" si="325"/>
        <v>1</v>
      </c>
      <c r="Z713" s="873">
        <f t="shared" si="326"/>
        <v>4</v>
      </c>
      <c r="AA713" s="873">
        <f t="shared" si="327"/>
        <v>9</v>
      </c>
      <c r="AB713" s="874">
        <f t="shared" si="328"/>
        <v>13.960871651185032</v>
      </c>
    </row>
    <row r="714" spans="1:28">
      <c r="A714" s="210">
        <f t="shared" si="329"/>
        <v>4</v>
      </c>
      <c r="B714" s="210">
        <f>$F$573</f>
        <v>5</v>
      </c>
      <c r="C714" s="210">
        <f t="shared" si="331"/>
        <v>13</v>
      </c>
      <c r="D714" s="210">
        <f t="shared" si="331"/>
        <v>103</v>
      </c>
      <c r="E714" s="237">
        <f t="shared" si="311"/>
        <v>1</v>
      </c>
      <c r="F714" s="1208">
        <f t="shared" si="308"/>
        <v>0.8</v>
      </c>
      <c r="G714" s="210">
        <f t="shared" si="309"/>
        <v>0.8</v>
      </c>
      <c r="I714" s="233">
        <f t="shared" si="312"/>
        <v>11.200000000000003</v>
      </c>
      <c r="J714" s="210">
        <f t="shared" si="313"/>
        <v>0.8</v>
      </c>
      <c r="L714" s="233">
        <f t="shared" si="314"/>
        <v>5.9200000000000017</v>
      </c>
      <c r="M714" s="220">
        <f t="shared" si="315"/>
        <v>0.8</v>
      </c>
      <c r="O714" s="873">
        <f t="shared" si="316"/>
        <v>24</v>
      </c>
      <c r="P714" s="873">
        <f t="shared" si="316"/>
        <v>24</v>
      </c>
      <c r="Q714" s="874">
        <f t="shared" si="317"/>
        <v>20.669999999999998</v>
      </c>
      <c r="R714" s="873">
        <f t="shared" si="318"/>
        <v>10</v>
      </c>
      <c r="S714" s="873">
        <f t="shared" si="319"/>
        <v>14</v>
      </c>
      <c r="T714" s="874">
        <f t="shared" si="320"/>
        <v>17.633411486304666</v>
      </c>
      <c r="U714" s="874">
        <f t="shared" si="321"/>
        <v>15.750000000000004</v>
      </c>
      <c r="V714" s="873">
        <f t="shared" si="322"/>
        <v>7</v>
      </c>
      <c r="W714" s="873">
        <f t="shared" si="323"/>
        <v>3</v>
      </c>
      <c r="X714" s="873">
        <f t="shared" si="324"/>
        <v>0</v>
      </c>
      <c r="Y714" s="873">
        <f t="shared" si="325"/>
        <v>1</v>
      </c>
      <c r="Z714" s="873">
        <f t="shared" si="326"/>
        <v>4</v>
      </c>
      <c r="AA714" s="873">
        <f t="shared" si="327"/>
        <v>9</v>
      </c>
      <c r="AB714" s="874">
        <f t="shared" si="328"/>
        <v>13.960871651185032</v>
      </c>
    </row>
    <row r="715" spans="1:28">
      <c r="A715" s="210">
        <f t="shared" si="329"/>
        <v>4</v>
      </c>
      <c r="B715" s="210">
        <f>$F$574</f>
        <v>6</v>
      </c>
      <c r="C715" s="210">
        <f t="shared" si="331"/>
        <v>14</v>
      </c>
      <c r="D715" s="210">
        <f t="shared" si="331"/>
        <v>104</v>
      </c>
      <c r="E715" s="237">
        <f t="shared" si="311"/>
        <v>1</v>
      </c>
      <c r="F715" s="1208">
        <f t="shared" si="308"/>
        <v>0.8</v>
      </c>
      <c r="G715" s="210">
        <f t="shared" si="309"/>
        <v>0.8</v>
      </c>
      <c r="I715" s="233">
        <f t="shared" si="312"/>
        <v>11.200000000000003</v>
      </c>
      <c r="J715" s="210">
        <f t="shared" si="313"/>
        <v>0.8</v>
      </c>
      <c r="L715" s="233">
        <f t="shared" si="314"/>
        <v>5.9200000000000017</v>
      </c>
      <c r="M715" s="220">
        <f t="shared" si="315"/>
        <v>0.8</v>
      </c>
      <c r="O715" s="873">
        <f t="shared" si="316"/>
        <v>24</v>
      </c>
      <c r="P715" s="873">
        <f t="shared" si="316"/>
        <v>24</v>
      </c>
      <c r="Q715" s="874">
        <f t="shared" si="317"/>
        <v>20.669999999999998</v>
      </c>
      <c r="R715" s="873">
        <f t="shared" si="318"/>
        <v>10</v>
      </c>
      <c r="S715" s="873">
        <f t="shared" si="319"/>
        <v>14</v>
      </c>
      <c r="T715" s="874">
        <f t="shared" si="320"/>
        <v>17.633411486304666</v>
      </c>
      <c r="U715" s="874">
        <f t="shared" si="321"/>
        <v>15.750000000000004</v>
      </c>
      <c r="V715" s="873">
        <f t="shared" si="322"/>
        <v>7</v>
      </c>
      <c r="W715" s="873">
        <f t="shared" si="323"/>
        <v>3</v>
      </c>
      <c r="X715" s="873">
        <f t="shared" si="324"/>
        <v>0</v>
      </c>
      <c r="Y715" s="873">
        <f t="shared" si="325"/>
        <v>1</v>
      </c>
      <c r="Z715" s="873">
        <f t="shared" si="326"/>
        <v>4</v>
      </c>
      <c r="AA715" s="873">
        <f t="shared" si="327"/>
        <v>9</v>
      </c>
      <c r="AB715" s="874">
        <f t="shared" si="328"/>
        <v>13.960871651185032</v>
      </c>
    </row>
    <row r="716" spans="1:28">
      <c r="A716" s="210">
        <f t="shared" si="329"/>
        <v>4</v>
      </c>
      <c r="B716" s="210">
        <f>$F$575</f>
        <v>7</v>
      </c>
      <c r="C716" s="210">
        <f t="shared" si="331"/>
        <v>15</v>
      </c>
      <c r="D716" s="210">
        <f t="shared" si="331"/>
        <v>105</v>
      </c>
      <c r="E716" s="237">
        <f t="shared" si="311"/>
        <v>1</v>
      </c>
      <c r="F716" s="1208">
        <f t="shared" si="308"/>
        <v>0.8</v>
      </c>
      <c r="G716" s="210">
        <f t="shared" si="309"/>
        <v>0.8</v>
      </c>
      <c r="I716" s="233">
        <f t="shared" si="312"/>
        <v>11.200000000000003</v>
      </c>
      <c r="J716" s="210">
        <f t="shared" si="313"/>
        <v>0.8</v>
      </c>
      <c r="L716" s="233">
        <f t="shared" si="314"/>
        <v>5.9200000000000017</v>
      </c>
      <c r="M716" s="220">
        <f t="shared" si="315"/>
        <v>0.8</v>
      </c>
      <c r="O716" s="873">
        <f t="shared" si="316"/>
        <v>24</v>
      </c>
      <c r="P716" s="873">
        <f t="shared" si="316"/>
        <v>24</v>
      </c>
      <c r="Q716" s="874">
        <f t="shared" si="317"/>
        <v>20.669999999999998</v>
      </c>
      <c r="R716" s="873">
        <f t="shared" si="318"/>
        <v>10</v>
      </c>
      <c r="S716" s="873">
        <f t="shared" si="319"/>
        <v>14</v>
      </c>
      <c r="T716" s="874">
        <f t="shared" si="320"/>
        <v>17.633411486304666</v>
      </c>
      <c r="U716" s="874">
        <f t="shared" si="321"/>
        <v>15.750000000000004</v>
      </c>
      <c r="V716" s="873">
        <f t="shared" si="322"/>
        <v>7</v>
      </c>
      <c r="W716" s="873">
        <f t="shared" si="323"/>
        <v>3</v>
      </c>
      <c r="X716" s="873">
        <f t="shared" si="324"/>
        <v>0</v>
      </c>
      <c r="Y716" s="873">
        <f t="shared" si="325"/>
        <v>1</v>
      </c>
      <c r="Z716" s="873">
        <f t="shared" si="326"/>
        <v>4</v>
      </c>
      <c r="AA716" s="873">
        <f t="shared" si="327"/>
        <v>9</v>
      </c>
      <c r="AB716" s="874">
        <f t="shared" si="328"/>
        <v>13.960871651185032</v>
      </c>
    </row>
    <row r="717" spans="1:28">
      <c r="A717" s="210">
        <f t="shared" si="329"/>
        <v>4</v>
      </c>
      <c r="B717" s="210">
        <f>$F$569</f>
        <v>1</v>
      </c>
      <c r="C717" s="210">
        <f t="shared" si="331"/>
        <v>16</v>
      </c>
      <c r="D717" s="210">
        <f t="shared" si="331"/>
        <v>106</v>
      </c>
      <c r="E717" s="237">
        <f t="shared" si="311"/>
        <v>1</v>
      </c>
      <c r="F717" s="1208">
        <f t="shared" si="308"/>
        <v>0.8</v>
      </c>
      <c r="G717" s="210">
        <f t="shared" si="309"/>
        <v>0.8</v>
      </c>
      <c r="I717" s="233">
        <f t="shared" si="312"/>
        <v>11.200000000000003</v>
      </c>
      <c r="J717" s="210">
        <f t="shared" si="313"/>
        <v>0.8</v>
      </c>
      <c r="L717" s="233">
        <f t="shared" si="314"/>
        <v>5.9200000000000017</v>
      </c>
      <c r="M717" s="220">
        <f t="shared" si="315"/>
        <v>0.8</v>
      </c>
      <c r="O717" s="873">
        <f t="shared" si="316"/>
        <v>24</v>
      </c>
      <c r="P717" s="873">
        <f t="shared" si="316"/>
        <v>24</v>
      </c>
      <c r="Q717" s="874">
        <f t="shared" si="317"/>
        <v>20.669999999999998</v>
      </c>
      <c r="R717" s="873">
        <f t="shared" si="318"/>
        <v>10</v>
      </c>
      <c r="S717" s="873">
        <f t="shared" si="319"/>
        <v>14</v>
      </c>
      <c r="T717" s="874">
        <f t="shared" si="320"/>
        <v>17.633411486304666</v>
      </c>
      <c r="U717" s="874">
        <f t="shared" si="321"/>
        <v>15.750000000000004</v>
      </c>
      <c r="V717" s="873">
        <f t="shared" si="322"/>
        <v>7</v>
      </c>
      <c r="W717" s="873">
        <f t="shared" si="323"/>
        <v>3</v>
      </c>
      <c r="X717" s="873">
        <f t="shared" si="324"/>
        <v>0</v>
      </c>
      <c r="Y717" s="873">
        <f t="shared" si="325"/>
        <v>1</v>
      </c>
      <c r="Z717" s="873">
        <f t="shared" si="326"/>
        <v>4</v>
      </c>
      <c r="AA717" s="873">
        <f t="shared" si="327"/>
        <v>9</v>
      </c>
      <c r="AB717" s="874">
        <f t="shared" si="328"/>
        <v>13.960871651185032</v>
      </c>
    </row>
    <row r="718" spans="1:28">
      <c r="A718" s="210">
        <f t="shared" si="329"/>
        <v>4</v>
      </c>
      <c r="B718" s="210">
        <f>$F$570</f>
        <v>2</v>
      </c>
      <c r="C718" s="210">
        <f t="shared" si="331"/>
        <v>17</v>
      </c>
      <c r="D718" s="210">
        <f t="shared" si="331"/>
        <v>107</v>
      </c>
      <c r="E718" s="237">
        <f t="shared" si="311"/>
        <v>1</v>
      </c>
      <c r="F718" s="1208">
        <f t="shared" si="308"/>
        <v>0.8</v>
      </c>
      <c r="G718" s="210">
        <f t="shared" si="309"/>
        <v>0.8</v>
      </c>
      <c r="I718" s="233">
        <f t="shared" si="312"/>
        <v>11.200000000000003</v>
      </c>
      <c r="J718" s="210">
        <f t="shared" si="313"/>
        <v>0.8</v>
      </c>
      <c r="L718" s="233">
        <f t="shared" si="314"/>
        <v>5.9200000000000017</v>
      </c>
      <c r="M718" s="220">
        <f t="shared" si="315"/>
        <v>0.8</v>
      </c>
      <c r="O718" s="873">
        <f t="shared" si="316"/>
        <v>24</v>
      </c>
      <c r="P718" s="873">
        <f t="shared" si="316"/>
        <v>24</v>
      </c>
      <c r="Q718" s="874">
        <f t="shared" si="317"/>
        <v>20.669999999999998</v>
      </c>
      <c r="R718" s="873">
        <f t="shared" si="318"/>
        <v>10</v>
      </c>
      <c r="S718" s="873">
        <f t="shared" si="319"/>
        <v>14</v>
      </c>
      <c r="T718" s="874">
        <f t="shared" si="320"/>
        <v>17.633411486304666</v>
      </c>
      <c r="U718" s="874">
        <f t="shared" si="321"/>
        <v>15.750000000000004</v>
      </c>
      <c r="V718" s="873">
        <f t="shared" si="322"/>
        <v>7</v>
      </c>
      <c r="W718" s="873">
        <f t="shared" si="323"/>
        <v>3</v>
      </c>
      <c r="X718" s="873">
        <f t="shared" si="324"/>
        <v>0</v>
      </c>
      <c r="Y718" s="873">
        <f t="shared" si="325"/>
        <v>1</v>
      </c>
      <c r="Z718" s="873">
        <f t="shared" si="326"/>
        <v>4</v>
      </c>
      <c r="AA718" s="873">
        <f t="shared" si="327"/>
        <v>9</v>
      </c>
      <c r="AB718" s="874">
        <f t="shared" si="328"/>
        <v>13.960871651185032</v>
      </c>
    </row>
    <row r="719" spans="1:28">
      <c r="A719" s="210">
        <f t="shared" si="329"/>
        <v>4</v>
      </c>
      <c r="B719" s="210">
        <f>$F$571</f>
        <v>3</v>
      </c>
      <c r="C719" s="210">
        <f t="shared" si="331"/>
        <v>18</v>
      </c>
      <c r="D719" s="210">
        <f t="shared" si="331"/>
        <v>108</v>
      </c>
      <c r="E719" s="237">
        <f t="shared" si="311"/>
        <v>1</v>
      </c>
      <c r="F719" s="1208">
        <f t="shared" si="308"/>
        <v>0.8</v>
      </c>
      <c r="G719" s="210">
        <f t="shared" si="309"/>
        <v>0.8</v>
      </c>
      <c r="I719" s="233">
        <f t="shared" si="312"/>
        <v>11.200000000000003</v>
      </c>
      <c r="J719" s="210">
        <f t="shared" si="313"/>
        <v>0.8</v>
      </c>
      <c r="L719" s="233">
        <f t="shared" si="314"/>
        <v>5.9200000000000017</v>
      </c>
      <c r="M719" s="220">
        <f t="shared" si="315"/>
        <v>0.8</v>
      </c>
      <c r="O719" s="873">
        <f t="shared" si="316"/>
        <v>24</v>
      </c>
      <c r="P719" s="873">
        <f t="shared" si="316"/>
        <v>24</v>
      </c>
      <c r="Q719" s="874">
        <f t="shared" si="317"/>
        <v>20.669999999999998</v>
      </c>
      <c r="R719" s="873">
        <f t="shared" si="318"/>
        <v>10</v>
      </c>
      <c r="S719" s="873">
        <f t="shared" si="319"/>
        <v>14</v>
      </c>
      <c r="T719" s="874">
        <f t="shared" si="320"/>
        <v>17.633411486304666</v>
      </c>
      <c r="U719" s="874">
        <f t="shared" si="321"/>
        <v>15.750000000000004</v>
      </c>
      <c r="V719" s="873">
        <f t="shared" si="322"/>
        <v>7</v>
      </c>
      <c r="W719" s="873">
        <f t="shared" si="323"/>
        <v>3</v>
      </c>
      <c r="X719" s="873">
        <f t="shared" si="324"/>
        <v>0</v>
      </c>
      <c r="Y719" s="873">
        <f t="shared" si="325"/>
        <v>1</v>
      </c>
      <c r="Z719" s="873">
        <f t="shared" si="326"/>
        <v>4</v>
      </c>
      <c r="AA719" s="873">
        <f t="shared" si="327"/>
        <v>9</v>
      </c>
      <c r="AB719" s="874">
        <f t="shared" si="328"/>
        <v>13.960871651185032</v>
      </c>
    </row>
    <row r="720" spans="1:28">
      <c r="A720" s="210">
        <f t="shared" si="329"/>
        <v>4</v>
      </c>
      <c r="B720" s="210">
        <f>$F$572</f>
        <v>4</v>
      </c>
      <c r="C720" s="210">
        <f t="shared" si="331"/>
        <v>19</v>
      </c>
      <c r="D720" s="210">
        <f t="shared" si="331"/>
        <v>109</v>
      </c>
      <c r="E720" s="237">
        <f t="shared" si="311"/>
        <v>1</v>
      </c>
      <c r="F720" s="1208">
        <f t="shared" si="308"/>
        <v>0.8</v>
      </c>
      <c r="G720" s="210">
        <f t="shared" si="309"/>
        <v>0.8</v>
      </c>
      <c r="I720" s="233">
        <f t="shared" si="312"/>
        <v>11.200000000000003</v>
      </c>
      <c r="J720" s="210">
        <f t="shared" si="313"/>
        <v>0.8</v>
      </c>
      <c r="L720" s="233">
        <f t="shared" si="314"/>
        <v>5.9200000000000017</v>
      </c>
      <c r="M720" s="220">
        <f t="shared" si="315"/>
        <v>0.8</v>
      </c>
      <c r="O720" s="873">
        <f t="shared" si="316"/>
        <v>24</v>
      </c>
      <c r="P720" s="873">
        <f t="shared" si="316"/>
        <v>24</v>
      </c>
      <c r="Q720" s="874">
        <f t="shared" si="317"/>
        <v>20.669999999999998</v>
      </c>
      <c r="R720" s="873">
        <f t="shared" si="318"/>
        <v>10</v>
      </c>
      <c r="S720" s="873">
        <f t="shared" si="319"/>
        <v>14</v>
      </c>
      <c r="T720" s="874">
        <f t="shared" si="320"/>
        <v>17.633411486304666</v>
      </c>
      <c r="U720" s="874">
        <f t="shared" si="321"/>
        <v>15.750000000000004</v>
      </c>
      <c r="V720" s="873">
        <f t="shared" si="322"/>
        <v>7</v>
      </c>
      <c r="W720" s="873">
        <f t="shared" si="323"/>
        <v>3</v>
      </c>
      <c r="X720" s="873">
        <f t="shared" si="324"/>
        <v>0</v>
      </c>
      <c r="Y720" s="873">
        <f t="shared" si="325"/>
        <v>1</v>
      </c>
      <c r="Z720" s="873">
        <f t="shared" si="326"/>
        <v>4</v>
      </c>
      <c r="AA720" s="873">
        <f t="shared" si="327"/>
        <v>9</v>
      </c>
      <c r="AB720" s="874">
        <f t="shared" si="328"/>
        <v>13.960871651185032</v>
      </c>
    </row>
    <row r="721" spans="1:28">
      <c r="A721" s="210">
        <f t="shared" si="329"/>
        <v>4</v>
      </c>
      <c r="B721" s="210">
        <f>$F$573</f>
        <v>5</v>
      </c>
      <c r="C721" s="210">
        <f t="shared" si="331"/>
        <v>20</v>
      </c>
      <c r="D721" s="210">
        <f t="shared" si="331"/>
        <v>110</v>
      </c>
      <c r="E721" s="237">
        <f t="shared" si="311"/>
        <v>1</v>
      </c>
      <c r="F721" s="1208">
        <f t="shared" si="308"/>
        <v>0.8</v>
      </c>
      <c r="G721" s="210">
        <f t="shared" si="309"/>
        <v>0.8</v>
      </c>
      <c r="I721" s="233">
        <f t="shared" si="312"/>
        <v>11.200000000000003</v>
      </c>
      <c r="J721" s="210">
        <f t="shared" si="313"/>
        <v>0.8</v>
      </c>
      <c r="L721" s="233">
        <f t="shared" si="314"/>
        <v>5.9200000000000017</v>
      </c>
      <c r="M721" s="220">
        <f t="shared" si="315"/>
        <v>0.8</v>
      </c>
      <c r="O721" s="873">
        <f t="shared" si="316"/>
        <v>24</v>
      </c>
      <c r="P721" s="873">
        <f t="shared" si="316"/>
        <v>24</v>
      </c>
      <c r="Q721" s="874">
        <f t="shared" si="317"/>
        <v>20.669999999999998</v>
      </c>
      <c r="R721" s="873">
        <f t="shared" si="318"/>
        <v>10</v>
      </c>
      <c r="S721" s="873">
        <f t="shared" si="319"/>
        <v>14</v>
      </c>
      <c r="T721" s="874">
        <f t="shared" si="320"/>
        <v>17.633411486304666</v>
      </c>
      <c r="U721" s="874">
        <f t="shared" si="321"/>
        <v>15.750000000000004</v>
      </c>
      <c r="V721" s="873">
        <f t="shared" si="322"/>
        <v>7</v>
      </c>
      <c r="W721" s="873">
        <f t="shared" si="323"/>
        <v>3</v>
      </c>
      <c r="X721" s="873">
        <f t="shared" si="324"/>
        <v>0</v>
      </c>
      <c r="Y721" s="873">
        <f t="shared" si="325"/>
        <v>1</v>
      </c>
      <c r="Z721" s="873">
        <f t="shared" si="326"/>
        <v>4</v>
      </c>
      <c r="AA721" s="873">
        <f t="shared" si="327"/>
        <v>9</v>
      </c>
      <c r="AB721" s="874">
        <f t="shared" si="328"/>
        <v>13.960871651185032</v>
      </c>
    </row>
    <row r="722" spans="1:28">
      <c r="A722" s="210">
        <f t="shared" si="329"/>
        <v>4</v>
      </c>
      <c r="B722" s="210">
        <f>$F$574</f>
        <v>6</v>
      </c>
      <c r="C722" s="210">
        <f t="shared" si="331"/>
        <v>21</v>
      </c>
      <c r="D722" s="210">
        <f t="shared" si="331"/>
        <v>111</v>
      </c>
      <c r="E722" s="237">
        <f t="shared" si="311"/>
        <v>1</v>
      </c>
      <c r="F722" s="1208">
        <f t="shared" si="308"/>
        <v>0.8</v>
      </c>
      <c r="G722" s="210">
        <f t="shared" si="309"/>
        <v>0.8</v>
      </c>
      <c r="I722" s="233">
        <f t="shared" si="312"/>
        <v>11.200000000000003</v>
      </c>
      <c r="J722" s="210">
        <f t="shared" si="313"/>
        <v>0.8</v>
      </c>
      <c r="L722" s="233">
        <f t="shared" si="314"/>
        <v>5.9200000000000017</v>
      </c>
      <c r="M722" s="220">
        <f t="shared" si="315"/>
        <v>0.8</v>
      </c>
      <c r="O722" s="873">
        <f t="shared" si="316"/>
        <v>24</v>
      </c>
      <c r="P722" s="873">
        <f t="shared" si="316"/>
        <v>24</v>
      </c>
      <c r="Q722" s="874">
        <f t="shared" si="317"/>
        <v>20.669999999999998</v>
      </c>
      <c r="R722" s="873">
        <f t="shared" si="318"/>
        <v>10</v>
      </c>
      <c r="S722" s="873">
        <f t="shared" si="319"/>
        <v>14</v>
      </c>
      <c r="T722" s="874">
        <f t="shared" si="320"/>
        <v>17.633411486304666</v>
      </c>
      <c r="U722" s="874">
        <f t="shared" si="321"/>
        <v>15.750000000000004</v>
      </c>
      <c r="V722" s="873">
        <f t="shared" si="322"/>
        <v>7</v>
      </c>
      <c r="W722" s="873">
        <f t="shared" si="323"/>
        <v>3</v>
      </c>
      <c r="X722" s="873">
        <f t="shared" si="324"/>
        <v>0</v>
      </c>
      <c r="Y722" s="873">
        <f t="shared" si="325"/>
        <v>1</v>
      </c>
      <c r="Z722" s="873">
        <f t="shared" si="326"/>
        <v>4</v>
      </c>
      <c r="AA722" s="873">
        <f t="shared" si="327"/>
        <v>9</v>
      </c>
      <c r="AB722" s="874">
        <f t="shared" si="328"/>
        <v>13.960871651185032</v>
      </c>
    </row>
    <row r="723" spans="1:28">
      <c r="A723" s="210">
        <f t="shared" si="329"/>
        <v>4</v>
      </c>
      <c r="B723" s="210">
        <f>$F$575</f>
        <v>7</v>
      </c>
      <c r="C723" s="210">
        <f t="shared" si="331"/>
        <v>22</v>
      </c>
      <c r="D723" s="210">
        <f t="shared" si="331"/>
        <v>112</v>
      </c>
      <c r="E723" s="237">
        <f t="shared" si="311"/>
        <v>1</v>
      </c>
      <c r="F723" s="1208">
        <f t="shared" si="308"/>
        <v>0.8</v>
      </c>
      <c r="G723" s="210">
        <f t="shared" si="309"/>
        <v>0.8</v>
      </c>
      <c r="I723" s="233">
        <f t="shared" si="312"/>
        <v>11.200000000000003</v>
      </c>
      <c r="J723" s="210">
        <f t="shared" si="313"/>
        <v>0.8</v>
      </c>
      <c r="L723" s="233">
        <f t="shared" si="314"/>
        <v>5.9200000000000017</v>
      </c>
      <c r="M723" s="220">
        <f t="shared" si="315"/>
        <v>0.8</v>
      </c>
      <c r="O723" s="873">
        <f t="shared" si="316"/>
        <v>24</v>
      </c>
      <c r="P723" s="873">
        <f t="shared" si="316"/>
        <v>24</v>
      </c>
      <c r="Q723" s="874">
        <f t="shared" si="317"/>
        <v>20.669999999999998</v>
      </c>
      <c r="R723" s="873">
        <f t="shared" si="318"/>
        <v>10</v>
      </c>
      <c r="S723" s="873">
        <f t="shared" si="319"/>
        <v>14</v>
      </c>
      <c r="T723" s="874">
        <f t="shared" si="320"/>
        <v>17.633411486304666</v>
      </c>
      <c r="U723" s="874">
        <f t="shared" si="321"/>
        <v>15.750000000000004</v>
      </c>
      <c r="V723" s="873">
        <f t="shared" si="322"/>
        <v>7</v>
      </c>
      <c r="W723" s="873">
        <f t="shared" si="323"/>
        <v>3</v>
      </c>
      <c r="X723" s="873">
        <f t="shared" si="324"/>
        <v>0</v>
      </c>
      <c r="Y723" s="873">
        <f t="shared" si="325"/>
        <v>1</v>
      </c>
      <c r="Z723" s="873">
        <f t="shared" si="326"/>
        <v>4</v>
      </c>
      <c r="AA723" s="873">
        <f t="shared" si="327"/>
        <v>9</v>
      </c>
      <c r="AB723" s="874">
        <f t="shared" si="328"/>
        <v>13.960871651185032</v>
      </c>
    </row>
    <row r="724" spans="1:28">
      <c r="A724" s="210">
        <f t="shared" si="329"/>
        <v>4</v>
      </c>
      <c r="B724" s="210">
        <f>$F$569</f>
        <v>1</v>
      </c>
      <c r="C724" s="210">
        <f t="shared" si="331"/>
        <v>23</v>
      </c>
      <c r="D724" s="210">
        <f t="shared" si="331"/>
        <v>113</v>
      </c>
      <c r="E724" s="237">
        <f t="shared" si="311"/>
        <v>1</v>
      </c>
      <c r="F724" s="1208">
        <f t="shared" si="308"/>
        <v>0.8</v>
      </c>
      <c r="G724" s="210">
        <f t="shared" si="309"/>
        <v>0.8</v>
      </c>
      <c r="I724" s="233">
        <f t="shared" si="312"/>
        <v>11.200000000000003</v>
      </c>
      <c r="J724" s="210">
        <f t="shared" si="313"/>
        <v>0.8</v>
      </c>
      <c r="L724" s="233">
        <f t="shared" si="314"/>
        <v>5.9200000000000017</v>
      </c>
      <c r="M724" s="220">
        <f t="shared" si="315"/>
        <v>0.8</v>
      </c>
      <c r="O724" s="873">
        <f t="shared" si="316"/>
        <v>24</v>
      </c>
      <c r="P724" s="873">
        <f t="shared" si="316"/>
        <v>24</v>
      </c>
      <c r="Q724" s="874">
        <f t="shared" si="317"/>
        <v>20.669999999999998</v>
      </c>
      <c r="R724" s="873">
        <f t="shared" si="318"/>
        <v>10</v>
      </c>
      <c r="S724" s="873">
        <f t="shared" si="319"/>
        <v>14</v>
      </c>
      <c r="T724" s="874">
        <f t="shared" si="320"/>
        <v>17.633411486304666</v>
      </c>
      <c r="U724" s="874">
        <f t="shared" si="321"/>
        <v>15.750000000000004</v>
      </c>
      <c r="V724" s="873">
        <f t="shared" si="322"/>
        <v>7</v>
      </c>
      <c r="W724" s="873">
        <f t="shared" si="323"/>
        <v>3</v>
      </c>
      <c r="X724" s="873">
        <f t="shared" si="324"/>
        <v>0</v>
      </c>
      <c r="Y724" s="873">
        <f t="shared" si="325"/>
        <v>1</v>
      </c>
      <c r="Z724" s="873">
        <f t="shared" si="326"/>
        <v>4</v>
      </c>
      <c r="AA724" s="873">
        <f t="shared" si="327"/>
        <v>9</v>
      </c>
      <c r="AB724" s="874">
        <f t="shared" si="328"/>
        <v>13.960871651185032</v>
      </c>
    </row>
    <row r="725" spans="1:28">
      <c r="A725" s="210">
        <f t="shared" si="329"/>
        <v>4</v>
      </c>
      <c r="B725" s="210">
        <f>$F$570</f>
        <v>2</v>
      </c>
      <c r="C725" s="210">
        <f t="shared" ref="C725:D740" si="332">C724+1</f>
        <v>24</v>
      </c>
      <c r="D725" s="210">
        <f t="shared" si="332"/>
        <v>114</v>
      </c>
      <c r="E725" s="237">
        <f t="shared" si="311"/>
        <v>1</v>
      </c>
      <c r="F725" s="1208">
        <f t="shared" si="308"/>
        <v>0.8</v>
      </c>
      <c r="G725" s="210">
        <f t="shared" si="309"/>
        <v>0.8</v>
      </c>
      <c r="I725" s="233">
        <f t="shared" si="312"/>
        <v>11.200000000000003</v>
      </c>
      <c r="J725" s="210">
        <f t="shared" si="313"/>
        <v>0.8</v>
      </c>
      <c r="L725" s="233">
        <f t="shared" si="314"/>
        <v>5.9200000000000017</v>
      </c>
      <c r="M725" s="220">
        <f t="shared" si="315"/>
        <v>0.8</v>
      </c>
      <c r="O725" s="873">
        <f t="shared" si="316"/>
        <v>24</v>
      </c>
      <c r="P725" s="873">
        <f t="shared" si="316"/>
        <v>24</v>
      </c>
      <c r="Q725" s="874">
        <f t="shared" si="317"/>
        <v>20.669999999999998</v>
      </c>
      <c r="R725" s="873">
        <f t="shared" si="318"/>
        <v>10</v>
      </c>
      <c r="S725" s="873">
        <f t="shared" si="319"/>
        <v>14</v>
      </c>
      <c r="T725" s="874">
        <f t="shared" si="320"/>
        <v>17.633411486304666</v>
      </c>
      <c r="U725" s="874">
        <f t="shared" si="321"/>
        <v>15.750000000000004</v>
      </c>
      <c r="V725" s="873">
        <f t="shared" si="322"/>
        <v>7</v>
      </c>
      <c r="W725" s="873">
        <f t="shared" si="323"/>
        <v>3</v>
      </c>
      <c r="X725" s="873">
        <f t="shared" si="324"/>
        <v>0</v>
      </c>
      <c r="Y725" s="873">
        <f t="shared" si="325"/>
        <v>1</v>
      </c>
      <c r="Z725" s="873">
        <f t="shared" si="326"/>
        <v>4</v>
      </c>
      <c r="AA725" s="873">
        <f t="shared" si="327"/>
        <v>9</v>
      </c>
      <c r="AB725" s="874">
        <f t="shared" si="328"/>
        <v>13.960871651185032</v>
      </c>
    </row>
    <row r="726" spans="1:28">
      <c r="A726" s="210">
        <f t="shared" si="329"/>
        <v>4</v>
      </c>
      <c r="B726" s="210">
        <f>$F$571</f>
        <v>3</v>
      </c>
      <c r="C726" s="210">
        <f t="shared" si="332"/>
        <v>25</v>
      </c>
      <c r="D726" s="210">
        <f t="shared" si="332"/>
        <v>115</v>
      </c>
      <c r="E726" s="237">
        <f t="shared" si="311"/>
        <v>1</v>
      </c>
      <c r="F726" s="1208">
        <f t="shared" si="308"/>
        <v>0.8</v>
      </c>
      <c r="G726" s="210">
        <f t="shared" si="309"/>
        <v>0.8</v>
      </c>
      <c r="I726" s="233">
        <f t="shared" si="312"/>
        <v>11.200000000000003</v>
      </c>
      <c r="J726" s="210">
        <f t="shared" si="313"/>
        <v>0.8</v>
      </c>
      <c r="L726" s="233">
        <f t="shared" si="314"/>
        <v>5.9200000000000017</v>
      </c>
      <c r="M726" s="220">
        <f t="shared" si="315"/>
        <v>0.8</v>
      </c>
      <c r="O726" s="873">
        <f t="shared" si="316"/>
        <v>24</v>
      </c>
      <c r="P726" s="873">
        <f t="shared" si="316"/>
        <v>24</v>
      </c>
      <c r="Q726" s="874">
        <f t="shared" si="317"/>
        <v>20.669999999999998</v>
      </c>
      <c r="R726" s="873">
        <f t="shared" si="318"/>
        <v>10</v>
      </c>
      <c r="S726" s="873">
        <f t="shared" si="319"/>
        <v>14</v>
      </c>
      <c r="T726" s="874">
        <f t="shared" si="320"/>
        <v>17.633411486304666</v>
      </c>
      <c r="U726" s="874">
        <f t="shared" si="321"/>
        <v>15.750000000000004</v>
      </c>
      <c r="V726" s="873">
        <f t="shared" si="322"/>
        <v>7</v>
      </c>
      <c r="W726" s="873">
        <f t="shared" si="323"/>
        <v>3</v>
      </c>
      <c r="X726" s="873">
        <f t="shared" si="324"/>
        <v>0</v>
      </c>
      <c r="Y726" s="873">
        <f t="shared" si="325"/>
        <v>1</v>
      </c>
      <c r="Z726" s="873">
        <f t="shared" si="326"/>
        <v>4</v>
      </c>
      <c r="AA726" s="873">
        <f t="shared" si="327"/>
        <v>9</v>
      </c>
      <c r="AB726" s="874">
        <f t="shared" si="328"/>
        <v>13.960871651185032</v>
      </c>
    </row>
    <row r="727" spans="1:28">
      <c r="A727" s="210">
        <f t="shared" si="329"/>
        <v>4</v>
      </c>
      <c r="B727" s="210">
        <f>$F$572</f>
        <v>4</v>
      </c>
      <c r="C727" s="210">
        <f t="shared" si="332"/>
        <v>26</v>
      </c>
      <c r="D727" s="210">
        <f t="shared" si="332"/>
        <v>116</v>
      </c>
      <c r="E727" s="237">
        <f t="shared" si="311"/>
        <v>1</v>
      </c>
      <c r="F727" s="1208">
        <f t="shared" si="308"/>
        <v>0.8</v>
      </c>
      <c r="G727" s="210">
        <f t="shared" si="309"/>
        <v>0.8</v>
      </c>
      <c r="I727" s="233">
        <f t="shared" si="312"/>
        <v>11.200000000000003</v>
      </c>
      <c r="J727" s="210">
        <f t="shared" si="313"/>
        <v>0.8</v>
      </c>
      <c r="L727" s="233">
        <f t="shared" si="314"/>
        <v>5.9200000000000017</v>
      </c>
      <c r="M727" s="220">
        <f t="shared" si="315"/>
        <v>0.8</v>
      </c>
      <c r="O727" s="873">
        <f t="shared" si="316"/>
        <v>24</v>
      </c>
      <c r="P727" s="873">
        <f t="shared" si="316"/>
        <v>24</v>
      </c>
      <c r="Q727" s="874">
        <f t="shared" si="317"/>
        <v>20.669999999999998</v>
      </c>
      <c r="R727" s="873">
        <f t="shared" si="318"/>
        <v>10</v>
      </c>
      <c r="S727" s="873">
        <f t="shared" si="319"/>
        <v>14</v>
      </c>
      <c r="T727" s="874">
        <f t="shared" si="320"/>
        <v>17.633411486304666</v>
      </c>
      <c r="U727" s="874">
        <f t="shared" si="321"/>
        <v>15.750000000000004</v>
      </c>
      <c r="V727" s="873">
        <f t="shared" si="322"/>
        <v>7</v>
      </c>
      <c r="W727" s="873">
        <f t="shared" si="323"/>
        <v>3</v>
      </c>
      <c r="X727" s="873">
        <f t="shared" si="324"/>
        <v>0</v>
      </c>
      <c r="Y727" s="873">
        <f t="shared" si="325"/>
        <v>1</v>
      </c>
      <c r="Z727" s="873">
        <f t="shared" si="326"/>
        <v>4</v>
      </c>
      <c r="AA727" s="873">
        <f t="shared" si="327"/>
        <v>9</v>
      </c>
      <c r="AB727" s="874">
        <f t="shared" si="328"/>
        <v>13.960871651185032</v>
      </c>
    </row>
    <row r="728" spans="1:28">
      <c r="A728" s="210">
        <f t="shared" si="329"/>
        <v>4</v>
      </c>
      <c r="B728" s="210">
        <f>$F$573</f>
        <v>5</v>
      </c>
      <c r="C728" s="210">
        <f t="shared" si="332"/>
        <v>27</v>
      </c>
      <c r="D728" s="210">
        <f t="shared" si="332"/>
        <v>117</v>
      </c>
      <c r="E728" s="237">
        <f t="shared" si="311"/>
        <v>1</v>
      </c>
      <c r="F728" s="1208">
        <f t="shared" si="308"/>
        <v>0.8</v>
      </c>
      <c r="G728" s="210">
        <f t="shared" si="309"/>
        <v>0.8</v>
      </c>
      <c r="I728" s="233">
        <f t="shared" si="312"/>
        <v>11.200000000000003</v>
      </c>
      <c r="J728" s="210">
        <f t="shared" si="313"/>
        <v>0.8</v>
      </c>
      <c r="L728" s="233">
        <f t="shared" si="314"/>
        <v>5.9200000000000017</v>
      </c>
      <c r="M728" s="220">
        <f t="shared" si="315"/>
        <v>0.8</v>
      </c>
      <c r="O728" s="873">
        <f t="shared" si="316"/>
        <v>24</v>
      </c>
      <c r="P728" s="873">
        <f t="shared" si="316"/>
        <v>24</v>
      </c>
      <c r="Q728" s="874">
        <f t="shared" si="317"/>
        <v>20.669999999999998</v>
      </c>
      <c r="R728" s="873">
        <f t="shared" si="318"/>
        <v>10</v>
      </c>
      <c r="S728" s="873">
        <f t="shared" si="319"/>
        <v>14</v>
      </c>
      <c r="T728" s="874">
        <f t="shared" si="320"/>
        <v>17.633411486304666</v>
      </c>
      <c r="U728" s="874">
        <f t="shared" si="321"/>
        <v>15.750000000000004</v>
      </c>
      <c r="V728" s="873">
        <f t="shared" si="322"/>
        <v>7</v>
      </c>
      <c r="W728" s="873">
        <f t="shared" si="323"/>
        <v>3</v>
      </c>
      <c r="X728" s="873">
        <f t="shared" si="324"/>
        <v>0</v>
      </c>
      <c r="Y728" s="873">
        <f t="shared" si="325"/>
        <v>1</v>
      </c>
      <c r="Z728" s="873">
        <f t="shared" si="326"/>
        <v>4</v>
      </c>
      <c r="AA728" s="873">
        <f t="shared" si="327"/>
        <v>9</v>
      </c>
      <c r="AB728" s="874">
        <f t="shared" si="328"/>
        <v>13.960871651185032</v>
      </c>
    </row>
    <row r="729" spans="1:28">
      <c r="A729" s="210">
        <f t="shared" si="329"/>
        <v>4</v>
      </c>
      <c r="B729" s="210">
        <f>$F$574</f>
        <v>6</v>
      </c>
      <c r="C729" s="210">
        <f t="shared" si="332"/>
        <v>28</v>
      </c>
      <c r="D729" s="210">
        <f t="shared" si="332"/>
        <v>118</v>
      </c>
      <c r="E729" s="237">
        <f t="shared" si="311"/>
        <v>1</v>
      </c>
      <c r="F729" s="1208">
        <f t="shared" si="308"/>
        <v>0.8</v>
      </c>
      <c r="G729" s="210">
        <f t="shared" si="309"/>
        <v>0.8</v>
      </c>
      <c r="I729" s="233">
        <f t="shared" si="312"/>
        <v>11.200000000000003</v>
      </c>
      <c r="J729" s="210">
        <f t="shared" si="313"/>
        <v>0.8</v>
      </c>
      <c r="L729" s="233">
        <f t="shared" si="314"/>
        <v>5.9200000000000017</v>
      </c>
      <c r="M729" s="220">
        <f t="shared" si="315"/>
        <v>0.8</v>
      </c>
      <c r="O729" s="873">
        <f t="shared" si="316"/>
        <v>24</v>
      </c>
      <c r="P729" s="873">
        <f t="shared" si="316"/>
        <v>24</v>
      </c>
      <c r="Q729" s="874">
        <f t="shared" si="317"/>
        <v>20.669999999999998</v>
      </c>
      <c r="R729" s="873">
        <f t="shared" si="318"/>
        <v>10</v>
      </c>
      <c r="S729" s="873">
        <f t="shared" si="319"/>
        <v>14</v>
      </c>
      <c r="T729" s="874">
        <f t="shared" si="320"/>
        <v>17.633411486304666</v>
      </c>
      <c r="U729" s="874">
        <f t="shared" si="321"/>
        <v>15.750000000000004</v>
      </c>
      <c r="V729" s="873">
        <f t="shared" si="322"/>
        <v>7</v>
      </c>
      <c r="W729" s="873">
        <f t="shared" si="323"/>
        <v>3</v>
      </c>
      <c r="X729" s="873">
        <f t="shared" si="324"/>
        <v>0</v>
      </c>
      <c r="Y729" s="873">
        <f t="shared" si="325"/>
        <v>1</v>
      </c>
      <c r="Z729" s="873">
        <f t="shared" si="326"/>
        <v>4</v>
      </c>
      <c r="AA729" s="873">
        <f t="shared" si="327"/>
        <v>9</v>
      </c>
      <c r="AB729" s="874">
        <f t="shared" si="328"/>
        <v>13.960871651185032</v>
      </c>
    </row>
    <row r="730" spans="1:28">
      <c r="A730" s="210">
        <f t="shared" si="329"/>
        <v>4</v>
      </c>
      <c r="B730" s="210">
        <f>$F$575</f>
        <v>7</v>
      </c>
      <c r="C730" s="210">
        <f t="shared" si="332"/>
        <v>29</v>
      </c>
      <c r="D730" s="210">
        <f t="shared" si="332"/>
        <v>119</v>
      </c>
      <c r="E730" s="237">
        <f t="shared" si="311"/>
        <v>1</v>
      </c>
      <c r="F730" s="1208">
        <f t="shared" si="308"/>
        <v>0.8</v>
      </c>
      <c r="G730" s="210">
        <f t="shared" si="309"/>
        <v>0.8</v>
      </c>
      <c r="I730" s="233">
        <f t="shared" si="312"/>
        <v>11.200000000000003</v>
      </c>
      <c r="J730" s="210">
        <f t="shared" si="313"/>
        <v>0.8</v>
      </c>
      <c r="L730" s="233">
        <f t="shared" si="314"/>
        <v>5.9200000000000017</v>
      </c>
      <c r="M730" s="220">
        <f t="shared" si="315"/>
        <v>0.8</v>
      </c>
      <c r="O730" s="873">
        <f t="shared" si="316"/>
        <v>24</v>
      </c>
      <c r="P730" s="873">
        <f t="shared" si="316"/>
        <v>24</v>
      </c>
      <c r="Q730" s="874">
        <f t="shared" si="317"/>
        <v>20.669999999999998</v>
      </c>
      <c r="R730" s="873">
        <f t="shared" si="318"/>
        <v>10</v>
      </c>
      <c r="S730" s="873">
        <f t="shared" si="319"/>
        <v>14</v>
      </c>
      <c r="T730" s="874">
        <f t="shared" si="320"/>
        <v>17.633411486304666</v>
      </c>
      <c r="U730" s="874">
        <f t="shared" si="321"/>
        <v>15.750000000000004</v>
      </c>
      <c r="V730" s="873">
        <f t="shared" si="322"/>
        <v>7</v>
      </c>
      <c r="W730" s="873">
        <f t="shared" si="323"/>
        <v>3</v>
      </c>
      <c r="X730" s="873">
        <f t="shared" si="324"/>
        <v>0</v>
      </c>
      <c r="Y730" s="873">
        <f t="shared" si="325"/>
        <v>1</v>
      </c>
      <c r="Z730" s="873">
        <f t="shared" si="326"/>
        <v>4</v>
      </c>
      <c r="AA730" s="873">
        <f t="shared" si="327"/>
        <v>9</v>
      </c>
      <c r="AB730" s="874">
        <f t="shared" si="328"/>
        <v>13.960871651185032</v>
      </c>
    </row>
    <row r="731" spans="1:28">
      <c r="A731" s="210">
        <f t="shared" si="329"/>
        <v>4</v>
      </c>
      <c r="B731" s="210">
        <f>$F$569</f>
        <v>1</v>
      </c>
      <c r="C731" s="210">
        <f t="shared" si="332"/>
        <v>30</v>
      </c>
      <c r="D731" s="210">
        <f t="shared" si="332"/>
        <v>120</v>
      </c>
      <c r="E731" s="237">
        <f t="shared" si="311"/>
        <v>1</v>
      </c>
      <c r="F731" s="1208">
        <f t="shared" si="308"/>
        <v>0.8</v>
      </c>
      <c r="G731" s="210">
        <f t="shared" si="309"/>
        <v>0.8</v>
      </c>
      <c r="I731" s="233">
        <f t="shared" si="312"/>
        <v>11.200000000000003</v>
      </c>
      <c r="J731" s="210">
        <f t="shared" si="313"/>
        <v>0.8</v>
      </c>
      <c r="L731" s="233">
        <f t="shared" si="314"/>
        <v>5.9200000000000017</v>
      </c>
      <c r="M731" s="220">
        <f t="shared" si="315"/>
        <v>0.8</v>
      </c>
      <c r="O731" s="873">
        <f t="shared" si="316"/>
        <v>24</v>
      </c>
      <c r="P731" s="873">
        <f t="shared" si="316"/>
        <v>24</v>
      </c>
      <c r="Q731" s="874">
        <f t="shared" si="317"/>
        <v>20.669999999999998</v>
      </c>
      <c r="R731" s="873">
        <f t="shared" si="318"/>
        <v>10</v>
      </c>
      <c r="S731" s="873">
        <f t="shared" si="319"/>
        <v>14</v>
      </c>
      <c r="T731" s="874">
        <f t="shared" si="320"/>
        <v>17.633411486304666</v>
      </c>
      <c r="U731" s="874">
        <f t="shared" si="321"/>
        <v>15.750000000000004</v>
      </c>
      <c r="V731" s="873">
        <f t="shared" si="322"/>
        <v>7</v>
      </c>
      <c r="W731" s="873">
        <f t="shared" si="323"/>
        <v>3</v>
      </c>
      <c r="X731" s="873">
        <f t="shared" si="324"/>
        <v>0</v>
      </c>
      <c r="Y731" s="873">
        <f t="shared" si="325"/>
        <v>1</v>
      </c>
      <c r="Z731" s="873">
        <f t="shared" si="326"/>
        <v>4</v>
      </c>
      <c r="AA731" s="873">
        <f t="shared" si="327"/>
        <v>9</v>
      </c>
      <c r="AB731" s="874">
        <f t="shared" si="328"/>
        <v>13.960871651185032</v>
      </c>
    </row>
    <row r="732" spans="1:28">
      <c r="A732" s="210">
        <v>5</v>
      </c>
      <c r="B732" s="210">
        <f>$F$570</f>
        <v>2</v>
      </c>
      <c r="C732" s="210">
        <v>1</v>
      </c>
      <c r="D732" s="210">
        <f t="shared" si="332"/>
        <v>121</v>
      </c>
      <c r="E732" s="237">
        <f t="shared" si="311"/>
        <v>1</v>
      </c>
      <c r="F732" s="1208">
        <f t="shared" si="308"/>
        <v>0.6</v>
      </c>
      <c r="G732" s="210">
        <f t="shared" si="309"/>
        <v>0.8</v>
      </c>
      <c r="I732" s="233">
        <f t="shared" si="312"/>
        <v>11.200000000000003</v>
      </c>
      <c r="J732" s="210">
        <f t="shared" si="313"/>
        <v>0.8</v>
      </c>
      <c r="L732" s="233">
        <f t="shared" si="314"/>
        <v>5.9200000000000017</v>
      </c>
      <c r="M732" s="220">
        <f t="shared" si="315"/>
        <v>0.8</v>
      </c>
      <c r="O732" s="873">
        <f t="shared" si="316"/>
        <v>24</v>
      </c>
      <c r="P732" s="873">
        <f t="shared" si="316"/>
        <v>24</v>
      </c>
      <c r="Q732" s="874">
        <f t="shared" si="317"/>
        <v>20.669999999999998</v>
      </c>
      <c r="R732" s="873">
        <f t="shared" si="318"/>
        <v>10</v>
      </c>
      <c r="S732" s="873">
        <f t="shared" si="319"/>
        <v>14</v>
      </c>
      <c r="T732" s="874">
        <f t="shared" si="320"/>
        <v>17.633411486304666</v>
      </c>
      <c r="U732" s="874">
        <f t="shared" si="321"/>
        <v>15.750000000000004</v>
      </c>
      <c r="V732" s="873">
        <f t="shared" si="322"/>
        <v>7</v>
      </c>
      <c r="W732" s="873">
        <f t="shared" si="323"/>
        <v>3</v>
      </c>
      <c r="X732" s="873">
        <f t="shared" si="324"/>
        <v>0</v>
      </c>
      <c r="Y732" s="873">
        <f t="shared" si="325"/>
        <v>1</v>
      </c>
      <c r="Z732" s="873">
        <f t="shared" si="326"/>
        <v>4</v>
      </c>
      <c r="AA732" s="873">
        <f t="shared" si="327"/>
        <v>9</v>
      </c>
      <c r="AB732" s="874">
        <f t="shared" si="328"/>
        <v>13.960871651185032</v>
      </c>
    </row>
    <row r="733" spans="1:28">
      <c r="A733" s="210">
        <f t="shared" si="329"/>
        <v>5</v>
      </c>
      <c r="B733" s="210">
        <f>$F$571</f>
        <v>3</v>
      </c>
      <c r="C733" s="210">
        <f t="shared" si="332"/>
        <v>2</v>
      </c>
      <c r="D733" s="210">
        <f t="shared" si="332"/>
        <v>122</v>
      </c>
      <c r="E733" s="237">
        <f t="shared" si="311"/>
        <v>1</v>
      </c>
      <c r="F733" s="1208">
        <f t="shared" si="308"/>
        <v>0.6</v>
      </c>
      <c r="G733" s="210">
        <f t="shared" si="309"/>
        <v>0.8</v>
      </c>
      <c r="I733" s="233">
        <f t="shared" si="312"/>
        <v>11.200000000000003</v>
      </c>
      <c r="J733" s="210">
        <f t="shared" si="313"/>
        <v>0.8</v>
      </c>
      <c r="L733" s="233">
        <f t="shared" si="314"/>
        <v>5.9200000000000017</v>
      </c>
      <c r="M733" s="220">
        <f t="shared" si="315"/>
        <v>0.8</v>
      </c>
      <c r="O733" s="873">
        <f t="shared" si="316"/>
        <v>24</v>
      </c>
      <c r="P733" s="873">
        <f t="shared" si="316"/>
        <v>24</v>
      </c>
      <c r="Q733" s="874">
        <f t="shared" si="317"/>
        <v>20.669999999999998</v>
      </c>
      <c r="R733" s="873">
        <f t="shared" si="318"/>
        <v>10</v>
      </c>
      <c r="S733" s="873">
        <f t="shared" si="319"/>
        <v>14</v>
      </c>
      <c r="T733" s="874">
        <f t="shared" si="320"/>
        <v>17.633411486304666</v>
      </c>
      <c r="U733" s="874">
        <f t="shared" si="321"/>
        <v>15.750000000000004</v>
      </c>
      <c r="V733" s="873">
        <f t="shared" si="322"/>
        <v>7</v>
      </c>
      <c r="W733" s="873">
        <f t="shared" si="323"/>
        <v>3</v>
      </c>
      <c r="X733" s="873">
        <f t="shared" si="324"/>
        <v>0</v>
      </c>
      <c r="Y733" s="873">
        <f t="shared" si="325"/>
        <v>1</v>
      </c>
      <c r="Z733" s="873">
        <f t="shared" si="326"/>
        <v>4</v>
      </c>
      <c r="AA733" s="873">
        <f t="shared" si="327"/>
        <v>9</v>
      </c>
      <c r="AB733" s="874">
        <f t="shared" si="328"/>
        <v>13.960871651185032</v>
      </c>
    </row>
    <row r="734" spans="1:28">
      <c r="A734" s="210">
        <f t="shared" si="329"/>
        <v>5</v>
      </c>
      <c r="B734" s="210">
        <f>$F$572</f>
        <v>4</v>
      </c>
      <c r="C734" s="210">
        <f t="shared" si="332"/>
        <v>3</v>
      </c>
      <c r="D734" s="210">
        <f t="shared" si="332"/>
        <v>123</v>
      </c>
      <c r="E734" s="237">
        <f t="shared" si="311"/>
        <v>1</v>
      </c>
      <c r="F734" s="1208">
        <f t="shared" si="308"/>
        <v>0.6</v>
      </c>
      <c r="G734" s="210">
        <f t="shared" si="309"/>
        <v>0.8</v>
      </c>
      <c r="I734" s="233">
        <f t="shared" si="312"/>
        <v>11.200000000000003</v>
      </c>
      <c r="J734" s="210">
        <f t="shared" si="313"/>
        <v>0.8</v>
      </c>
      <c r="L734" s="233">
        <f t="shared" si="314"/>
        <v>5.9200000000000017</v>
      </c>
      <c r="M734" s="220">
        <f t="shared" si="315"/>
        <v>0.8</v>
      </c>
      <c r="O734" s="873">
        <f t="shared" si="316"/>
        <v>24</v>
      </c>
      <c r="P734" s="873">
        <f t="shared" si="316"/>
        <v>24</v>
      </c>
      <c r="Q734" s="874">
        <f t="shared" si="317"/>
        <v>20.669999999999998</v>
      </c>
      <c r="R734" s="873">
        <f t="shared" si="318"/>
        <v>10</v>
      </c>
      <c r="S734" s="873">
        <f t="shared" si="319"/>
        <v>14</v>
      </c>
      <c r="T734" s="874">
        <f t="shared" si="320"/>
        <v>17.633411486304666</v>
      </c>
      <c r="U734" s="874">
        <f t="shared" si="321"/>
        <v>15.750000000000004</v>
      </c>
      <c r="V734" s="873">
        <f t="shared" si="322"/>
        <v>7</v>
      </c>
      <c r="W734" s="873">
        <f t="shared" si="323"/>
        <v>3</v>
      </c>
      <c r="X734" s="873">
        <f t="shared" si="324"/>
        <v>0</v>
      </c>
      <c r="Y734" s="873">
        <f t="shared" si="325"/>
        <v>1</v>
      </c>
      <c r="Z734" s="873">
        <f t="shared" si="326"/>
        <v>4</v>
      </c>
      <c r="AA734" s="873">
        <f t="shared" si="327"/>
        <v>9</v>
      </c>
      <c r="AB734" s="874">
        <f t="shared" si="328"/>
        <v>13.960871651185032</v>
      </c>
    </row>
    <row r="735" spans="1:28">
      <c r="A735" s="210">
        <f t="shared" si="329"/>
        <v>5</v>
      </c>
      <c r="B735" s="210">
        <f>$F$573</f>
        <v>5</v>
      </c>
      <c r="C735" s="210">
        <f t="shared" si="332"/>
        <v>4</v>
      </c>
      <c r="D735" s="210">
        <f t="shared" si="332"/>
        <v>124</v>
      </c>
      <c r="E735" s="237">
        <f t="shared" si="311"/>
        <v>1</v>
      </c>
      <c r="F735" s="1208">
        <f t="shared" si="308"/>
        <v>0.6</v>
      </c>
      <c r="G735" s="210">
        <f t="shared" si="309"/>
        <v>0.8</v>
      </c>
      <c r="I735" s="233">
        <f t="shared" si="312"/>
        <v>11.200000000000003</v>
      </c>
      <c r="J735" s="210">
        <f t="shared" si="313"/>
        <v>0.8</v>
      </c>
      <c r="L735" s="233">
        <f t="shared" si="314"/>
        <v>5.9200000000000017</v>
      </c>
      <c r="M735" s="220">
        <f t="shared" si="315"/>
        <v>0.8</v>
      </c>
      <c r="O735" s="873">
        <f t="shared" si="316"/>
        <v>24</v>
      </c>
      <c r="P735" s="873">
        <f t="shared" si="316"/>
        <v>24</v>
      </c>
      <c r="Q735" s="874">
        <f t="shared" si="317"/>
        <v>20.669999999999998</v>
      </c>
      <c r="R735" s="873">
        <f t="shared" si="318"/>
        <v>10</v>
      </c>
      <c r="S735" s="873">
        <f t="shared" si="319"/>
        <v>14</v>
      </c>
      <c r="T735" s="874">
        <f t="shared" si="320"/>
        <v>17.633411486304666</v>
      </c>
      <c r="U735" s="874">
        <f t="shared" si="321"/>
        <v>15.750000000000004</v>
      </c>
      <c r="V735" s="873">
        <f t="shared" si="322"/>
        <v>7</v>
      </c>
      <c r="W735" s="873">
        <f t="shared" si="323"/>
        <v>3</v>
      </c>
      <c r="X735" s="873">
        <f t="shared" si="324"/>
        <v>0</v>
      </c>
      <c r="Y735" s="873">
        <f t="shared" si="325"/>
        <v>1</v>
      </c>
      <c r="Z735" s="873">
        <f t="shared" si="326"/>
        <v>4</v>
      </c>
      <c r="AA735" s="873">
        <f t="shared" si="327"/>
        <v>9</v>
      </c>
      <c r="AB735" s="874">
        <f t="shared" si="328"/>
        <v>13.960871651185032</v>
      </c>
    </row>
    <row r="736" spans="1:28">
      <c r="A736" s="210">
        <f t="shared" si="329"/>
        <v>5</v>
      </c>
      <c r="B736" s="210">
        <f>$F$574</f>
        <v>6</v>
      </c>
      <c r="C736" s="210">
        <f t="shared" si="332"/>
        <v>5</v>
      </c>
      <c r="D736" s="210">
        <f t="shared" si="332"/>
        <v>125</v>
      </c>
      <c r="E736" s="237">
        <f t="shared" si="311"/>
        <v>1</v>
      </c>
      <c r="F736" s="1208">
        <f t="shared" si="308"/>
        <v>0.6</v>
      </c>
      <c r="G736" s="210">
        <f t="shared" si="309"/>
        <v>0.8</v>
      </c>
      <c r="I736" s="233">
        <f t="shared" si="312"/>
        <v>11.200000000000003</v>
      </c>
      <c r="J736" s="210">
        <f t="shared" si="313"/>
        <v>0.8</v>
      </c>
      <c r="L736" s="233">
        <f t="shared" si="314"/>
        <v>5.9200000000000017</v>
      </c>
      <c r="M736" s="220">
        <f t="shared" si="315"/>
        <v>0.8</v>
      </c>
      <c r="O736" s="873">
        <f t="shared" si="316"/>
        <v>24</v>
      </c>
      <c r="P736" s="873">
        <f t="shared" si="316"/>
        <v>24</v>
      </c>
      <c r="Q736" s="874">
        <f t="shared" si="317"/>
        <v>20.669999999999998</v>
      </c>
      <c r="R736" s="873">
        <f t="shared" si="318"/>
        <v>10</v>
      </c>
      <c r="S736" s="873">
        <f t="shared" si="319"/>
        <v>14</v>
      </c>
      <c r="T736" s="874">
        <f t="shared" si="320"/>
        <v>17.633411486304666</v>
      </c>
      <c r="U736" s="874">
        <f t="shared" si="321"/>
        <v>15.750000000000004</v>
      </c>
      <c r="V736" s="873">
        <f t="shared" si="322"/>
        <v>7</v>
      </c>
      <c r="W736" s="873">
        <f t="shared" si="323"/>
        <v>3</v>
      </c>
      <c r="X736" s="873">
        <f t="shared" si="324"/>
        <v>0</v>
      </c>
      <c r="Y736" s="873">
        <f t="shared" si="325"/>
        <v>1</v>
      </c>
      <c r="Z736" s="873">
        <f t="shared" si="326"/>
        <v>4</v>
      </c>
      <c r="AA736" s="873">
        <f t="shared" si="327"/>
        <v>9</v>
      </c>
      <c r="AB736" s="874">
        <f t="shared" si="328"/>
        <v>13.960871651185032</v>
      </c>
    </row>
    <row r="737" spans="1:28">
      <c r="A737" s="210">
        <f t="shared" si="329"/>
        <v>5</v>
      </c>
      <c r="B737" s="210">
        <f>$F$575</f>
        <v>7</v>
      </c>
      <c r="C737" s="210">
        <f t="shared" si="332"/>
        <v>6</v>
      </c>
      <c r="D737" s="210">
        <f t="shared" si="332"/>
        <v>126</v>
      </c>
      <c r="E737" s="237">
        <f t="shared" si="311"/>
        <v>1</v>
      </c>
      <c r="F737" s="1208">
        <f t="shared" si="308"/>
        <v>0.6</v>
      </c>
      <c r="G737" s="210">
        <f t="shared" si="309"/>
        <v>0.8</v>
      </c>
      <c r="I737" s="233">
        <f t="shared" si="312"/>
        <v>11.200000000000003</v>
      </c>
      <c r="J737" s="210">
        <f t="shared" si="313"/>
        <v>0.8</v>
      </c>
      <c r="L737" s="233">
        <f t="shared" si="314"/>
        <v>5.9200000000000017</v>
      </c>
      <c r="M737" s="220">
        <f t="shared" si="315"/>
        <v>0.8</v>
      </c>
      <c r="O737" s="873">
        <f t="shared" si="316"/>
        <v>24</v>
      </c>
      <c r="P737" s="873">
        <f t="shared" si="316"/>
        <v>24</v>
      </c>
      <c r="Q737" s="874">
        <f t="shared" si="317"/>
        <v>20.669999999999998</v>
      </c>
      <c r="R737" s="873">
        <f t="shared" si="318"/>
        <v>10</v>
      </c>
      <c r="S737" s="873">
        <f t="shared" si="319"/>
        <v>14</v>
      </c>
      <c r="T737" s="874">
        <f t="shared" si="320"/>
        <v>17.633411486304666</v>
      </c>
      <c r="U737" s="874">
        <f t="shared" si="321"/>
        <v>15.750000000000004</v>
      </c>
      <c r="V737" s="873">
        <f t="shared" si="322"/>
        <v>7</v>
      </c>
      <c r="W737" s="873">
        <f t="shared" si="323"/>
        <v>3</v>
      </c>
      <c r="X737" s="873">
        <f t="shared" si="324"/>
        <v>0</v>
      </c>
      <c r="Y737" s="873">
        <f t="shared" si="325"/>
        <v>1</v>
      </c>
      <c r="Z737" s="873">
        <f t="shared" si="326"/>
        <v>4</v>
      </c>
      <c r="AA737" s="873">
        <f t="shared" si="327"/>
        <v>9</v>
      </c>
      <c r="AB737" s="874">
        <f t="shared" si="328"/>
        <v>13.960871651185032</v>
      </c>
    </row>
    <row r="738" spans="1:28">
      <c r="A738" s="210">
        <f t="shared" si="329"/>
        <v>5</v>
      </c>
      <c r="B738" s="210">
        <f>$F$569</f>
        <v>1</v>
      </c>
      <c r="C738" s="210">
        <f t="shared" si="332"/>
        <v>7</v>
      </c>
      <c r="D738" s="210">
        <f t="shared" si="332"/>
        <v>127</v>
      </c>
      <c r="E738" s="237">
        <f t="shared" si="311"/>
        <v>1</v>
      </c>
      <c r="F738" s="1208">
        <f t="shared" si="308"/>
        <v>0.6</v>
      </c>
      <c r="G738" s="210">
        <f t="shared" si="309"/>
        <v>0.8</v>
      </c>
      <c r="I738" s="233">
        <f t="shared" si="312"/>
        <v>11.200000000000003</v>
      </c>
      <c r="J738" s="210">
        <f t="shared" si="313"/>
        <v>0.8</v>
      </c>
      <c r="L738" s="233">
        <f t="shared" si="314"/>
        <v>5.9200000000000017</v>
      </c>
      <c r="M738" s="220">
        <f t="shared" si="315"/>
        <v>0.8</v>
      </c>
      <c r="O738" s="873">
        <f t="shared" si="316"/>
        <v>24</v>
      </c>
      <c r="P738" s="873">
        <f t="shared" si="316"/>
        <v>24</v>
      </c>
      <c r="Q738" s="874">
        <f t="shared" si="317"/>
        <v>20.669999999999998</v>
      </c>
      <c r="R738" s="873">
        <f t="shared" si="318"/>
        <v>10</v>
      </c>
      <c r="S738" s="873">
        <f t="shared" si="319"/>
        <v>14</v>
      </c>
      <c r="T738" s="874">
        <f t="shared" si="320"/>
        <v>17.633411486304666</v>
      </c>
      <c r="U738" s="874">
        <f t="shared" si="321"/>
        <v>15.750000000000004</v>
      </c>
      <c r="V738" s="873">
        <f t="shared" si="322"/>
        <v>7</v>
      </c>
      <c r="W738" s="873">
        <f t="shared" si="323"/>
        <v>3</v>
      </c>
      <c r="X738" s="873">
        <f t="shared" si="324"/>
        <v>0</v>
      </c>
      <c r="Y738" s="873">
        <f t="shared" si="325"/>
        <v>1</v>
      </c>
      <c r="Z738" s="873">
        <f t="shared" si="326"/>
        <v>4</v>
      </c>
      <c r="AA738" s="873">
        <f t="shared" si="327"/>
        <v>9</v>
      </c>
      <c r="AB738" s="874">
        <f t="shared" si="328"/>
        <v>13.960871651185032</v>
      </c>
    </row>
    <row r="739" spans="1:28">
      <c r="A739" s="210">
        <f t="shared" si="329"/>
        <v>5</v>
      </c>
      <c r="B739" s="210">
        <f>$F$570</f>
        <v>2</v>
      </c>
      <c r="C739" s="210">
        <f t="shared" si="332"/>
        <v>8</v>
      </c>
      <c r="D739" s="210">
        <f t="shared" si="332"/>
        <v>128</v>
      </c>
      <c r="E739" s="237">
        <f t="shared" si="311"/>
        <v>1</v>
      </c>
      <c r="F739" s="1208">
        <f t="shared" si="308"/>
        <v>0.6</v>
      </c>
      <c r="G739" s="210">
        <f t="shared" si="309"/>
        <v>0.8</v>
      </c>
      <c r="I739" s="233">
        <f t="shared" si="312"/>
        <v>11.200000000000003</v>
      </c>
      <c r="J739" s="210">
        <f t="shared" si="313"/>
        <v>0.8</v>
      </c>
      <c r="L739" s="233">
        <f t="shared" si="314"/>
        <v>5.9200000000000017</v>
      </c>
      <c r="M739" s="220">
        <f t="shared" si="315"/>
        <v>0.8</v>
      </c>
      <c r="O739" s="873">
        <f t="shared" si="316"/>
        <v>24</v>
      </c>
      <c r="P739" s="873">
        <f t="shared" si="316"/>
        <v>24</v>
      </c>
      <c r="Q739" s="874">
        <f t="shared" si="317"/>
        <v>20.669999999999998</v>
      </c>
      <c r="R739" s="873">
        <f t="shared" si="318"/>
        <v>10</v>
      </c>
      <c r="S739" s="873">
        <f t="shared" si="319"/>
        <v>14</v>
      </c>
      <c r="T739" s="874">
        <f t="shared" si="320"/>
        <v>17.633411486304666</v>
      </c>
      <c r="U739" s="874">
        <f t="shared" si="321"/>
        <v>15.750000000000004</v>
      </c>
      <c r="V739" s="873">
        <f t="shared" si="322"/>
        <v>7</v>
      </c>
      <c r="W739" s="873">
        <f t="shared" si="323"/>
        <v>3</v>
      </c>
      <c r="X739" s="873">
        <f t="shared" si="324"/>
        <v>0</v>
      </c>
      <c r="Y739" s="873">
        <f t="shared" si="325"/>
        <v>1</v>
      </c>
      <c r="Z739" s="873">
        <f t="shared" si="326"/>
        <v>4</v>
      </c>
      <c r="AA739" s="873">
        <f t="shared" si="327"/>
        <v>9</v>
      </c>
      <c r="AB739" s="874">
        <f t="shared" si="328"/>
        <v>13.960871651185032</v>
      </c>
    </row>
    <row r="740" spans="1:28">
      <c r="A740" s="210">
        <f t="shared" si="329"/>
        <v>5</v>
      </c>
      <c r="B740" s="210">
        <f>$F$571</f>
        <v>3</v>
      </c>
      <c r="C740" s="210">
        <f t="shared" si="332"/>
        <v>9</v>
      </c>
      <c r="D740" s="210">
        <f t="shared" si="332"/>
        <v>129</v>
      </c>
      <c r="E740" s="237">
        <f t="shared" si="311"/>
        <v>1</v>
      </c>
      <c r="F740" s="1208">
        <f t="shared" ref="F740:F803" si="333">INDEX($C$569:$C$580,A740)</f>
        <v>0.6</v>
      </c>
      <c r="G740" s="210">
        <f t="shared" ref="G740:G803" si="334">INDEX($D$569:$D$580,A740)</f>
        <v>0.8</v>
      </c>
      <c r="I740" s="233">
        <f t="shared" si="312"/>
        <v>11.200000000000003</v>
      </c>
      <c r="J740" s="210">
        <f t="shared" si="313"/>
        <v>0.8</v>
      </c>
      <c r="L740" s="233">
        <f t="shared" si="314"/>
        <v>5.9200000000000017</v>
      </c>
      <c r="M740" s="220">
        <f t="shared" si="315"/>
        <v>0.8</v>
      </c>
      <c r="O740" s="873">
        <f t="shared" si="316"/>
        <v>24</v>
      </c>
      <c r="P740" s="873">
        <f t="shared" si="316"/>
        <v>24</v>
      </c>
      <c r="Q740" s="874">
        <f t="shared" si="317"/>
        <v>20.669999999999998</v>
      </c>
      <c r="R740" s="873">
        <f t="shared" si="318"/>
        <v>10</v>
      </c>
      <c r="S740" s="873">
        <f t="shared" si="319"/>
        <v>14</v>
      </c>
      <c r="T740" s="874">
        <f t="shared" si="320"/>
        <v>17.633411486304666</v>
      </c>
      <c r="U740" s="874">
        <f t="shared" si="321"/>
        <v>15.750000000000004</v>
      </c>
      <c r="V740" s="873">
        <f t="shared" si="322"/>
        <v>7</v>
      </c>
      <c r="W740" s="873">
        <f t="shared" si="323"/>
        <v>3</v>
      </c>
      <c r="X740" s="873">
        <f t="shared" si="324"/>
        <v>0</v>
      </c>
      <c r="Y740" s="873">
        <f t="shared" si="325"/>
        <v>1</v>
      </c>
      <c r="Z740" s="873">
        <f t="shared" si="326"/>
        <v>4</v>
      </c>
      <c r="AA740" s="873">
        <f t="shared" si="327"/>
        <v>9</v>
      </c>
      <c r="AB740" s="874">
        <f t="shared" si="328"/>
        <v>13.960871651185032</v>
      </c>
    </row>
    <row r="741" spans="1:28">
      <c r="A741" s="210">
        <f t="shared" si="329"/>
        <v>5</v>
      </c>
      <c r="B741" s="210">
        <f>$F$572</f>
        <v>4</v>
      </c>
      <c r="C741" s="210">
        <f t="shared" ref="C741:D756" si="335">C740+1</f>
        <v>10</v>
      </c>
      <c r="D741" s="210">
        <f t="shared" si="335"/>
        <v>130</v>
      </c>
      <c r="E741" s="237">
        <f t="shared" ref="E741:E804" si="336">INDEX($H$569:$H$575,B741)</f>
        <v>1</v>
      </c>
      <c r="F741" s="1208">
        <f t="shared" si="333"/>
        <v>0.6</v>
      </c>
      <c r="G741" s="210">
        <f t="shared" si="334"/>
        <v>0.8</v>
      </c>
      <c r="I741" s="233">
        <f t="shared" ref="I741:I804" si="337">$E741*$B$62*G741</f>
        <v>11.200000000000003</v>
      </c>
      <c r="J741" s="210">
        <f t="shared" ref="J741:J804" si="338">$E741*MAX($B$63:$B$86)*G741</f>
        <v>0.8</v>
      </c>
      <c r="L741" s="233">
        <f t="shared" ref="L741:L804" si="339">IF(E741=1, $D$62*G741,$E$62*G741)</f>
        <v>5.9200000000000017</v>
      </c>
      <c r="M741" s="220">
        <f t="shared" ref="M741:M804" si="340">IF(E741=1,MAX($D$63:$D$86)*G741,MAX($E$63:$E$86)*G741)</f>
        <v>0.8</v>
      </c>
      <c r="O741" s="873">
        <f t="shared" ref="O741:P804" si="341">$E741*$F$62*IF($G741=0,0,1)</f>
        <v>24</v>
      </c>
      <c r="P741" s="873">
        <f t="shared" si="341"/>
        <v>24</v>
      </c>
      <c r="Q741" s="874">
        <f t="shared" ref="Q741:Q804" si="342">$E741*$G$62*IF($G741=0,0,1)</f>
        <v>20.669999999999998</v>
      </c>
      <c r="R741" s="873">
        <f t="shared" ref="R741:R804" si="343">(O741-S741)*IF($G741=0,0,1)</f>
        <v>10</v>
      </c>
      <c r="S741" s="873">
        <f t="shared" ref="S741:S804" si="344">IF(E741=0,0,COUNTIF(G$63:G$86,1))*IF($G741=0,0,1)</f>
        <v>14</v>
      </c>
      <c r="T741" s="874">
        <f t="shared" ref="T741:T804" si="345">$E741*$H$62*IF($G741=0,0,1)</f>
        <v>17.633411486304666</v>
      </c>
      <c r="U741" s="874">
        <f t="shared" ref="U741:U804" si="346">$E741*$I$62*IF($G741=0,0,1)</f>
        <v>15.750000000000004</v>
      </c>
      <c r="V741" s="873">
        <f t="shared" ref="V741:V804" si="347">IF($E741=0,0,COUNTIF($I$63:$I$86,0.25))*IF($G741=0,0,1)</f>
        <v>7</v>
      </c>
      <c r="W741" s="873">
        <f t="shared" ref="W741:W804" si="348">IF($E741=0,0,COUNTIF($I$63:$I$86,0.4))*IF($G741=0,0,1)</f>
        <v>3</v>
      </c>
      <c r="X741" s="873">
        <f t="shared" ref="X741:X804" si="349">IF($E741=0,0,COUNTIF($I$63:$I$86,0.5))*IF($G741=0,0,1)</f>
        <v>0</v>
      </c>
      <c r="Y741" s="873">
        <f t="shared" ref="Y741:Y804" si="350">IF($E741=0,0,COUNTIF($I$63:$I$86,0.6))*IF($G741=0,0,1)</f>
        <v>1</v>
      </c>
      <c r="Z741" s="873">
        <f t="shared" ref="Z741:Z804" si="351">IF($E741=0,0,COUNTIF($I$63:$I$86,0.8))*IF($G741=0,0,1)</f>
        <v>4</v>
      </c>
      <c r="AA741" s="873">
        <f t="shared" ref="AA741:AA804" si="352">IF($E741=0,0,COUNTIF($I$63:$I$86,1))*IF($G741=0,0,1)</f>
        <v>9</v>
      </c>
      <c r="AB741" s="874">
        <f t="shared" ref="AB741:AB804" si="353">$E741*$J$62*IF($G741=0,0,1)</f>
        <v>13.960871651185032</v>
      </c>
    </row>
    <row r="742" spans="1:28">
      <c r="A742" s="210">
        <f t="shared" ref="A742:A805" si="354">A741</f>
        <v>5</v>
      </c>
      <c r="B742" s="210">
        <f>$F$573</f>
        <v>5</v>
      </c>
      <c r="C742" s="210">
        <f t="shared" si="335"/>
        <v>11</v>
      </c>
      <c r="D742" s="210">
        <f t="shared" si="335"/>
        <v>131</v>
      </c>
      <c r="E742" s="237">
        <f t="shared" si="336"/>
        <v>1</v>
      </c>
      <c r="F742" s="1208">
        <f t="shared" si="333"/>
        <v>0.6</v>
      </c>
      <c r="G742" s="210">
        <f t="shared" si="334"/>
        <v>0.8</v>
      </c>
      <c r="I742" s="233">
        <f t="shared" si="337"/>
        <v>11.200000000000003</v>
      </c>
      <c r="J742" s="210">
        <f t="shared" si="338"/>
        <v>0.8</v>
      </c>
      <c r="L742" s="233">
        <f t="shared" si="339"/>
        <v>5.9200000000000017</v>
      </c>
      <c r="M742" s="220">
        <f t="shared" si="340"/>
        <v>0.8</v>
      </c>
      <c r="O742" s="873">
        <f t="shared" si="341"/>
        <v>24</v>
      </c>
      <c r="P742" s="873">
        <f t="shared" si="341"/>
        <v>24</v>
      </c>
      <c r="Q742" s="874">
        <f t="shared" si="342"/>
        <v>20.669999999999998</v>
      </c>
      <c r="R742" s="873">
        <f t="shared" si="343"/>
        <v>10</v>
      </c>
      <c r="S742" s="873">
        <f t="shared" si="344"/>
        <v>14</v>
      </c>
      <c r="T742" s="874">
        <f t="shared" si="345"/>
        <v>17.633411486304666</v>
      </c>
      <c r="U742" s="874">
        <f t="shared" si="346"/>
        <v>15.750000000000004</v>
      </c>
      <c r="V742" s="873">
        <f t="shared" si="347"/>
        <v>7</v>
      </c>
      <c r="W742" s="873">
        <f t="shared" si="348"/>
        <v>3</v>
      </c>
      <c r="X742" s="873">
        <f t="shared" si="349"/>
        <v>0</v>
      </c>
      <c r="Y742" s="873">
        <f t="shared" si="350"/>
        <v>1</v>
      </c>
      <c r="Z742" s="873">
        <f t="shared" si="351"/>
        <v>4</v>
      </c>
      <c r="AA742" s="873">
        <f t="shared" si="352"/>
        <v>9</v>
      </c>
      <c r="AB742" s="874">
        <f t="shared" si="353"/>
        <v>13.960871651185032</v>
      </c>
    </row>
    <row r="743" spans="1:28">
      <c r="A743" s="210">
        <f t="shared" si="354"/>
        <v>5</v>
      </c>
      <c r="B743" s="210">
        <f>$F$574</f>
        <v>6</v>
      </c>
      <c r="C743" s="210">
        <f t="shared" si="335"/>
        <v>12</v>
      </c>
      <c r="D743" s="210">
        <f t="shared" si="335"/>
        <v>132</v>
      </c>
      <c r="E743" s="237">
        <f t="shared" si="336"/>
        <v>1</v>
      </c>
      <c r="F743" s="1208">
        <f t="shared" si="333"/>
        <v>0.6</v>
      </c>
      <c r="G743" s="210">
        <f t="shared" si="334"/>
        <v>0.8</v>
      </c>
      <c r="I743" s="233">
        <f t="shared" si="337"/>
        <v>11.200000000000003</v>
      </c>
      <c r="J743" s="210">
        <f t="shared" si="338"/>
        <v>0.8</v>
      </c>
      <c r="L743" s="233">
        <f t="shared" si="339"/>
        <v>5.9200000000000017</v>
      </c>
      <c r="M743" s="220">
        <f t="shared" si="340"/>
        <v>0.8</v>
      </c>
      <c r="O743" s="873">
        <f t="shared" si="341"/>
        <v>24</v>
      </c>
      <c r="P743" s="873">
        <f t="shared" si="341"/>
        <v>24</v>
      </c>
      <c r="Q743" s="874">
        <f t="shared" si="342"/>
        <v>20.669999999999998</v>
      </c>
      <c r="R743" s="873">
        <f t="shared" si="343"/>
        <v>10</v>
      </c>
      <c r="S743" s="873">
        <f t="shared" si="344"/>
        <v>14</v>
      </c>
      <c r="T743" s="874">
        <f t="shared" si="345"/>
        <v>17.633411486304666</v>
      </c>
      <c r="U743" s="874">
        <f t="shared" si="346"/>
        <v>15.750000000000004</v>
      </c>
      <c r="V743" s="873">
        <f t="shared" si="347"/>
        <v>7</v>
      </c>
      <c r="W743" s="873">
        <f t="shared" si="348"/>
        <v>3</v>
      </c>
      <c r="X743" s="873">
        <f t="shared" si="349"/>
        <v>0</v>
      </c>
      <c r="Y743" s="873">
        <f t="shared" si="350"/>
        <v>1</v>
      </c>
      <c r="Z743" s="873">
        <f t="shared" si="351"/>
        <v>4</v>
      </c>
      <c r="AA743" s="873">
        <f t="shared" si="352"/>
        <v>9</v>
      </c>
      <c r="AB743" s="874">
        <f t="shared" si="353"/>
        <v>13.960871651185032</v>
      </c>
    </row>
    <row r="744" spans="1:28">
      <c r="A744" s="210">
        <f t="shared" si="354"/>
        <v>5</v>
      </c>
      <c r="B744" s="210">
        <f>$F$575</f>
        <v>7</v>
      </c>
      <c r="C744" s="210">
        <f t="shared" si="335"/>
        <v>13</v>
      </c>
      <c r="D744" s="210">
        <f t="shared" si="335"/>
        <v>133</v>
      </c>
      <c r="E744" s="237">
        <f t="shared" si="336"/>
        <v>1</v>
      </c>
      <c r="F744" s="1208">
        <f t="shared" si="333"/>
        <v>0.6</v>
      </c>
      <c r="G744" s="210">
        <f t="shared" si="334"/>
        <v>0.8</v>
      </c>
      <c r="I744" s="233">
        <f t="shared" si="337"/>
        <v>11.200000000000003</v>
      </c>
      <c r="J744" s="210">
        <f t="shared" si="338"/>
        <v>0.8</v>
      </c>
      <c r="L744" s="233">
        <f t="shared" si="339"/>
        <v>5.9200000000000017</v>
      </c>
      <c r="M744" s="220">
        <f t="shared" si="340"/>
        <v>0.8</v>
      </c>
      <c r="O744" s="873">
        <f t="shared" si="341"/>
        <v>24</v>
      </c>
      <c r="P744" s="873">
        <f t="shared" si="341"/>
        <v>24</v>
      </c>
      <c r="Q744" s="874">
        <f t="shared" si="342"/>
        <v>20.669999999999998</v>
      </c>
      <c r="R744" s="873">
        <f t="shared" si="343"/>
        <v>10</v>
      </c>
      <c r="S744" s="873">
        <f t="shared" si="344"/>
        <v>14</v>
      </c>
      <c r="T744" s="874">
        <f t="shared" si="345"/>
        <v>17.633411486304666</v>
      </c>
      <c r="U744" s="874">
        <f t="shared" si="346"/>
        <v>15.750000000000004</v>
      </c>
      <c r="V744" s="873">
        <f t="shared" si="347"/>
        <v>7</v>
      </c>
      <c r="W744" s="873">
        <f t="shared" si="348"/>
        <v>3</v>
      </c>
      <c r="X744" s="873">
        <f t="shared" si="349"/>
        <v>0</v>
      </c>
      <c r="Y744" s="873">
        <f t="shared" si="350"/>
        <v>1</v>
      </c>
      <c r="Z744" s="873">
        <f t="shared" si="351"/>
        <v>4</v>
      </c>
      <c r="AA744" s="873">
        <f t="shared" si="352"/>
        <v>9</v>
      </c>
      <c r="AB744" s="874">
        <f t="shared" si="353"/>
        <v>13.960871651185032</v>
      </c>
    </row>
    <row r="745" spans="1:28">
      <c r="A745" s="210">
        <f t="shared" si="354"/>
        <v>5</v>
      </c>
      <c r="B745" s="210">
        <f>$F$569</f>
        <v>1</v>
      </c>
      <c r="C745" s="210">
        <f t="shared" si="335"/>
        <v>14</v>
      </c>
      <c r="D745" s="210">
        <f t="shared" si="335"/>
        <v>134</v>
      </c>
      <c r="E745" s="237">
        <f t="shared" si="336"/>
        <v>1</v>
      </c>
      <c r="F745" s="1208">
        <f t="shared" si="333"/>
        <v>0.6</v>
      </c>
      <c r="G745" s="210">
        <f t="shared" si="334"/>
        <v>0.8</v>
      </c>
      <c r="I745" s="233">
        <f t="shared" si="337"/>
        <v>11.200000000000003</v>
      </c>
      <c r="J745" s="210">
        <f t="shared" si="338"/>
        <v>0.8</v>
      </c>
      <c r="L745" s="233">
        <f t="shared" si="339"/>
        <v>5.9200000000000017</v>
      </c>
      <c r="M745" s="220">
        <f t="shared" si="340"/>
        <v>0.8</v>
      </c>
      <c r="O745" s="873">
        <f t="shared" si="341"/>
        <v>24</v>
      </c>
      <c r="P745" s="873">
        <f t="shared" si="341"/>
        <v>24</v>
      </c>
      <c r="Q745" s="874">
        <f t="shared" si="342"/>
        <v>20.669999999999998</v>
      </c>
      <c r="R745" s="873">
        <f t="shared" si="343"/>
        <v>10</v>
      </c>
      <c r="S745" s="873">
        <f t="shared" si="344"/>
        <v>14</v>
      </c>
      <c r="T745" s="874">
        <f t="shared" si="345"/>
        <v>17.633411486304666</v>
      </c>
      <c r="U745" s="874">
        <f t="shared" si="346"/>
        <v>15.750000000000004</v>
      </c>
      <c r="V745" s="873">
        <f t="shared" si="347"/>
        <v>7</v>
      </c>
      <c r="W745" s="873">
        <f t="shared" si="348"/>
        <v>3</v>
      </c>
      <c r="X745" s="873">
        <f t="shared" si="349"/>
        <v>0</v>
      </c>
      <c r="Y745" s="873">
        <f t="shared" si="350"/>
        <v>1</v>
      </c>
      <c r="Z745" s="873">
        <f t="shared" si="351"/>
        <v>4</v>
      </c>
      <c r="AA745" s="873">
        <f t="shared" si="352"/>
        <v>9</v>
      </c>
      <c r="AB745" s="874">
        <f t="shared" si="353"/>
        <v>13.960871651185032</v>
      </c>
    </row>
    <row r="746" spans="1:28">
      <c r="A746" s="210">
        <f t="shared" si="354"/>
        <v>5</v>
      </c>
      <c r="B746" s="210">
        <f>$F$570</f>
        <v>2</v>
      </c>
      <c r="C746" s="210">
        <f t="shared" si="335"/>
        <v>15</v>
      </c>
      <c r="D746" s="210">
        <f t="shared" si="335"/>
        <v>135</v>
      </c>
      <c r="E746" s="237">
        <f t="shared" si="336"/>
        <v>1</v>
      </c>
      <c r="F746" s="1208">
        <f t="shared" si="333"/>
        <v>0.6</v>
      </c>
      <c r="G746" s="210">
        <f t="shared" si="334"/>
        <v>0.8</v>
      </c>
      <c r="I746" s="233">
        <f t="shared" si="337"/>
        <v>11.200000000000003</v>
      </c>
      <c r="J746" s="210">
        <f t="shared" si="338"/>
        <v>0.8</v>
      </c>
      <c r="L746" s="233">
        <f t="shared" si="339"/>
        <v>5.9200000000000017</v>
      </c>
      <c r="M746" s="220">
        <f t="shared" si="340"/>
        <v>0.8</v>
      </c>
      <c r="O746" s="873">
        <f t="shared" si="341"/>
        <v>24</v>
      </c>
      <c r="P746" s="873">
        <f t="shared" si="341"/>
        <v>24</v>
      </c>
      <c r="Q746" s="874">
        <f t="shared" si="342"/>
        <v>20.669999999999998</v>
      </c>
      <c r="R746" s="873">
        <f t="shared" si="343"/>
        <v>10</v>
      </c>
      <c r="S746" s="873">
        <f t="shared" si="344"/>
        <v>14</v>
      </c>
      <c r="T746" s="874">
        <f t="shared" si="345"/>
        <v>17.633411486304666</v>
      </c>
      <c r="U746" s="874">
        <f t="shared" si="346"/>
        <v>15.750000000000004</v>
      </c>
      <c r="V746" s="873">
        <f t="shared" si="347"/>
        <v>7</v>
      </c>
      <c r="W746" s="873">
        <f t="shared" si="348"/>
        <v>3</v>
      </c>
      <c r="X746" s="873">
        <f t="shared" si="349"/>
        <v>0</v>
      </c>
      <c r="Y746" s="873">
        <f t="shared" si="350"/>
        <v>1</v>
      </c>
      <c r="Z746" s="873">
        <f t="shared" si="351"/>
        <v>4</v>
      </c>
      <c r="AA746" s="873">
        <f t="shared" si="352"/>
        <v>9</v>
      </c>
      <c r="AB746" s="874">
        <f t="shared" si="353"/>
        <v>13.960871651185032</v>
      </c>
    </row>
    <row r="747" spans="1:28">
      <c r="A747" s="210">
        <f t="shared" si="354"/>
        <v>5</v>
      </c>
      <c r="B747" s="210">
        <f>$F$571</f>
        <v>3</v>
      </c>
      <c r="C747" s="210">
        <f t="shared" si="335"/>
        <v>16</v>
      </c>
      <c r="D747" s="210">
        <f t="shared" si="335"/>
        <v>136</v>
      </c>
      <c r="E747" s="237">
        <f t="shared" si="336"/>
        <v>1</v>
      </c>
      <c r="F747" s="1208">
        <f t="shared" si="333"/>
        <v>0.6</v>
      </c>
      <c r="G747" s="210">
        <f t="shared" si="334"/>
        <v>0.8</v>
      </c>
      <c r="I747" s="233">
        <f t="shared" si="337"/>
        <v>11.200000000000003</v>
      </c>
      <c r="J747" s="210">
        <f t="shared" si="338"/>
        <v>0.8</v>
      </c>
      <c r="L747" s="233">
        <f t="shared" si="339"/>
        <v>5.9200000000000017</v>
      </c>
      <c r="M747" s="220">
        <f t="shared" si="340"/>
        <v>0.8</v>
      </c>
      <c r="O747" s="873">
        <f t="shared" si="341"/>
        <v>24</v>
      </c>
      <c r="P747" s="873">
        <f t="shared" si="341"/>
        <v>24</v>
      </c>
      <c r="Q747" s="874">
        <f t="shared" si="342"/>
        <v>20.669999999999998</v>
      </c>
      <c r="R747" s="873">
        <f t="shared" si="343"/>
        <v>10</v>
      </c>
      <c r="S747" s="873">
        <f t="shared" si="344"/>
        <v>14</v>
      </c>
      <c r="T747" s="874">
        <f t="shared" si="345"/>
        <v>17.633411486304666</v>
      </c>
      <c r="U747" s="874">
        <f t="shared" si="346"/>
        <v>15.750000000000004</v>
      </c>
      <c r="V747" s="873">
        <f t="shared" si="347"/>
        <v>7</v>
      </c>
      <c r="W747" s="873">
        <f t="shared" si="348"/>
        <v>3</v>
      </c>
      <c r="X747" s="873">
        <f t="shared" si="349"/>
        <v>0</v>
      </c>
      <c r="Y747" s="873">
        <f t="shared" si="350"/>
        <v>1</v>
      </c>
      <c r="Z747" s="873">
        <f t="shared" si="351"/>
        <v>4</v>
      </c>
      <c r="AA747" s="873">
        <f t="shared" si="352"/>
        <v>9</v>
      </c>
      <c r="AB747" s="874">
        <f t="shared" si="353"/>
        <v>13.960871651185032</v>
      </c>
    </row>
    <row r="748" spans="1:28">
      <c r="A748" s="210">
        <f t="shared" si="354"/>
        <v>5</v>
      </c>
      <c r="B748" s="210">
        <f>$F$572</f>
        <v>4</v>
      </c>
      <c r="C748" s="210">
        <f t="shared" si="335"/>
        <v>17</v>
      </c>
      <c r="D748" s="210">
        <f t="shared" si="335"/>
        <v>137</v>
      </c>
      <c r="E748" s="237">
        <f t="shared" si="336"/>
        <v>1</v>
      </c>
      <c r="F748" s="1208">
        <f t="shared" si="333"/>
        <v>0.6</v>
      </c>
      <c r="G748" s="210">
        <f t="shared" si="334"/>
        <v>0.8</v>
      </c>
      <c r="I748" s="233">
        <f t="shared" si="337"/>
        <v>11.200000000000003</v>
      </c>
      <c r="J748" s="210">
        <f t="shared" si="338"/>
        <v>0.8</v>
      </c>
      <c r="L748" s="233">
        <f t="shared" si="339"/>
        <v>5.9200000000000017</v>
      </c>
      <c r="M748" s="220">
        <f t="shared" si="340"/>
        <v>0.8</v>
      </c>
      <c r="O748" s="873">
        <f t="shared" si="341"/>
        <v>24</v>
      </c>
      <c r="P748" s="873">
        <f t="shared" si="341"/>
        <v>24</v>
      </c>
      <c r="Q748" s="874">
        <f t="shared" si="342"/>
        <v>20.669999999999998</v>
      </c>
      <c r="R748" s="873">
        <f t="shared" si="343"/>
        <v>10</v>
      </c>
      <c r="S748" s="873">
        <f t="shared" si="344"/>
        <v>14</v>
      </c>
      <c r="T748" s="874">
        <f t="shared" si="345"/>
        <v>17.633411486304666</v>
      </c>
      <c r="U748" s="874">
        <f t="shared" si="346"/>
        <v>15.750000000000004</v>
      </c>
      <c r="V748" s="873">
        <f t="shared" si="347"/>
        <v>7</v>
      </c>
      <c r="W748" s="873">
        <f t="shared" si="348"/>
        <v>3</v>
      </c>
      <c r="X748" s="873">
        <f t="shared" si="349"/>
        <v>0</v>
      </c>
      <c r="Y748" s="873">
        <f t="shared" si="350"/>
        <v>1</v>
      </c>
      <c r="Z748" s="873">
        <f t="shared" si="351"/>
        <v>4</v>
      </c>
      <c r="AA748" s="873">
        <f t="shared" si="352"/>
        <v>9</v>
      </c>
      <c r="AB748" s="874">
        <f t="shared" si="353"/>
        <v>13.960871651185032</v>
      </c>
    </row>
    <row r="749" spans="1:28">
      <c r="A749" s="210">
        <f t="shared" si="354"/>
        <v>5</v>
      </c>
      <c r="B749" s="210">
        <f>$F$573</f>
        <v>5</v>
      </c>
      <c r="C749" s="210">
        <f t="shared" si="335"/>
        <v>18</v>
      </c>
      <c r="D749" s="210">
        <f t="shared" si="335"/>
        <v>138</v>
      </c>
      <c r="E749" s="237">
        <f t="shared" si="336"/>
        <v>1</v>
      </c>
      <c r="F749" s="1208">
        <f t="shared" si="333"/>
        <v>0.6</v>
      </c>
      <c r="G749" s="210">
        <f t="shared" si="334"/>
        <v>0.8</v>
      </c>
      <c r="I749" s="233">
        <f t="shared" si="337"/>
        <v>11.200000000000003</v>
      </c>
      <c r="J749" s="210">
        <f t="shared" si="338"/>
        <v>0.8</v>
      </c>
      <c r="L749" s="233">
        <f t="shared" si="339"/>
        <v>5.9200000000000017</v>
      </c>
      <c r="M749" s="220">
        <f t="shared" si="340"/>
        <v>0.8</v>
      </c>
      <c r="O749" s="873">
        <f t="shared" si="341"/>
        <v>24</v>
      </c>
      <c r="P749" s="873">
        <f t="shared" si="341"/>
        <v>24</v>
      </c>
      <c r="Q749" s="874">
        <f t="shared" si="342"/>
        <v>20.669999999999998</v>
      </c>
      <c r="R749" s="873">
        <f t="shared" si="343"/>
        <v>10</v>
      </c>
      <c r="S749" s="873">
        <f t="shared" si="344"/>
        <v>14</v>
      </c>
      <c r="T749" s="874">
        <f t="shared" si="345"/>
        <v>17.633411486304666</v>
      </c>
      <c r="U749" s="874">
        <f t="shared" si="346"/>
        <v>15.750000000000004</v>
      </c>
      <c r="V749" s="873">
        <f t="shared" si="347"/>
        <v>7</v>
      </c>
      <c r="W749" s="873">
        <f t="shared" si="348"/>
        <v>3</v>
      </c>
      <c r="X749" s="873">
        <f t="shared" si="349"/>
        <v>0</v>
      </c>
      <c r="Y749" s="873">
        <f t="shared" si="350"/>
        <v>1</v>
      </c>
      <c r="Z749" s="873">
        <f t="shared" si="351"/>
        <v>4</v>
      </c>
      <c r="AA749" s="873">
        <f t="shared" si="352"/>
        <v>9</v>
      </c>
      <c r="AB749" s="874">
        <f t="shared" si="353"/>
        <v>13.960871651185032</v>
      </c>
    </row>
    <row r="750" spans="1:28">
      <c r="A750" s="210">
        <f t="shared" si="354"/>
        <v>5</v>
      </c>
      <c r="B750" s="210">
        <f>$F$574</f>
        <v>6</v>
      </c>
      <c r="C750" s="210">
        <f t="shared" si="335"/>
        <v>19</v>
      </c>
      <c r="D750" s="210">
        <f t="shared" si="335"/>
        <v>139</v>
      </c>
      <c r="E750" s="237">
        <f t="shared" si="336"/>
        <v>1</v>
      </c>
      <c r="F750" s="1208">
        <f t="shared" si="333"/>
        <v>0.6</v>
      </c>
      <c r="G750" s="210">
        <f t="shared" si="334"/>
        <v>0.8</v>
      </c>
      <c r="I750" s="233">
        <f t="shared" si="337"/>
        <v>11.200000000000003</v>
      </c>
      <c r="J750" s="210">
        <f t="shared" si="338"/>
        <v>0.8</v>
      </c>
      <c r="L750" s="233">
        <f t="shared" si="339"/>
        <v>5.9200000000000017</v>
      </c>
      <c r="M750" s="220">
        <f t="shared" si="340"/>
        <v>0.8</v>
      </c>
      <c r="O750" s="873">
        <f t="shared" si="341"/>
        <v>24</v>
      </c>
      <c r="P750" s="873">
        <f t="shared" si="341"/>
        <v>24</v>
      </c>
      <c r="Q750" s="874">
        <f t="shared" si="342"/>
        <v>20.669999999999998</v>
      </c>
      <c r="R750" s="873">
        <f t="shared" si="343"/>
        <v>10</v>
      </c>
      <c r="S750" s="873">
        <f t="shared" si="344"/>
        <v>14</v>
      </c>
      <c r="T750" s="874">
        <f t="shared" si="345"/>
        <v>17.633411486304666</v>
      </c>
      <c r="U750" s="874">
        <f t="shared" si="346"/>
        <v>15.750000000000004</v>
      </c>
      <c r="V750" s="873">
        <f t="shared" si="347"/>
        <v>7</v>
      </c>
      <c r="W750" s="873">
        <f t="shared" si="348"/>
        <v>3</v>
      </c>
      <c r="X750" s="873">
        <f t="shared" si="349"/>
        <v>0</v>
      </c>
      <c r="Y750" s="873">
        <f t="shared" si="350"/>
        <v>1</v>
      </c>
      <c r="Z750" s="873">
        <f t="shared" si="351"/>
        <v>4</v>
      </c>
      <c r="AA750" s="873">
        <f t="shared" si="352"/>
        <v>9</v>
      </c>
      <c r="AB750" s="874">
        <f t="shared" si="353"/>
        <v>13.960871651185032</v>
      </c>
    </row>
    <row r="751" spans="1:28">
      <c r="A751" s="210">
        <f t="shared" si="354"/>
        <v>5</v>
      </c>
      <c r="B751" s="210">
        <f>$F$575</f>
        <v>7</v>
      </c>
      <c r="C751" s="210">
        <f t="shared" si="335"/>
        <v>20</v>
      </c>
      <c r="D751" s="210">
        <f t="shared" si="335"/>
        <v>140</v>
      </c>
      <c r="E751" s="237">
        <f t="shared" si="336"/>
        <v>1</v>
      </c>
      <c r="F751" s="1208">
        <f t="shared" si="333"/>
        <v>0.6</v>
      </c>
      <c r="G751" s="210">
        <f t="shared" si="334"/>
        <v>0.8</v>
      </c>
      <c r="I751" s="233">
        <f t="shared" si="337"/>
        <v>11.200000000000003</v>
      </c>
      <c r="J751" s="210">
        <f t="shared" si="338"/>
        <v>0.8</v>
      </c>
      <c r="L751" s="233">
        <f t="shared" si="339"/>
        <v>5.9200000000000017</v>
      </c>
      <c r="M751" s="220">
        <f t="shared" si="340"/>
        <v>0.8</v>
      </c>
      <c r="O751" s="873">
        <f t="shared" si="341"/>
        <v>24</v>
      </c>
      <c r="P751" s="873">
        <f t="shared" si="341"/>
        <v>24</v>
      </c>
      <c r="Q751" s="874">
        <f t="shared" si="342"/>
        <v>20.669999999999998</v>
      </c>
      <c r="R751" s="873">
        <f t="shared" si="343"/>
        <v>10</v>
      </c>
      <c r="S751" s="873">
        <f t="shared" si="344"/>
        <v>14</v>
      </c>
      <c r="T751" s="874">
        <f t="shared" si="345"/>
        <v>17.633411486304666</v>
      </c>
      <c r="U751" s="874">
        <f t="shared" si="346"/>
        <v>15.750000000000004</v>
      </c>
      <c r="V751" s="873">
        <f t="shared" si="347"/>
        <v>7</v>
      </c>
      <c r="W751" s="873">
        <f t="shared" si="348"/>
        <v>3</v>
      </c>
      <c r="X751" s="873">
        <f t="shared" si="349"/>
        <v>0</v>
      </c>
      <c r="Y751" s="873">
        <f t="shared" si="350"/>
        <v>1</v>
      </c>
      <c r="Z751" s="873">
        <f t="shared" si="351"/>
        <v>4</v>
      </c>
      <c r="AA751" s="873">
        <f t="shared" si="352"/>
        <v>9</v>
      </c>
      <c r="AB751" s="874">
        <f t="shared" si="353"/>
        <v>13.960871651185032</v>
      </c>
    </row>
    <row r="752" spans="1:28">
      <c r="A752" s="210">
        <f t="shared" si="354"/>
        <v>5</v>
      </c>
      <c r="B752" s="210">
        <f>$F$569</f>
        <v>1</v>
      </c>
      <c r="C752" s="210">
        <f t="shared" si="335"/>
        <v>21</v>
      </c>
      <c r="D752" s="210">
        <f t="shared" si="335"/>
        <v>141</v>
      </c>
      <c r="E752" s="237">
        <f t="shared" si="336"/>
        <v>1</v>
      </c>
      <c r="F752" s="1208">
        <f t="shared" si="333"/>
        <v>0.6</v>
      </c>
      <c r="G752" s="210">
        <f t="shared" si="334"/>
        <v>0.8</v>
      </c>
      <c r="I752" s="233">
        <f t="shared" si="337"/>
        <v>11.200000000000003</v>
      </c>
      <c r="J752" s="210">
        <f t="shared" si="338"/>
        <v>0.8</v>
      </c>
      <c r="L752" s="233">
        <f t="shared" si="339"/>
        <v>5.9200000000000017</v>
      </c>
      <c r="M752" s="220">
        <f t="shared" si="340"/>
        <v>0.8</v>
      </c>
      <c r="O752" s="873">
        <f t="shared" si="341"/>
        <v>24</v>
      </c>
      <c r="P752" s="873">
        <f t="shared" si="341"/>
        <v>24</v>
      </c>
      <c r="Q752" s="874">
        <f t="shared" si="342"/>
        <v>20.669999999999998</v>
      </c>
      <c r="R752" s="873">
        <f t="shared" si="343"/>
        <v>10</v>
      </c>
      <c r="S752" s="873">
        <f t="shared" si="344"/>
        <v>14</v>
      </c>
      <c r="T752" s="874">
        <f t="shared" si="345"/>
        <v>17.633411486304666</v>
      </c>
      <c r="U752" s="874">
        <f t="shared" si="346"/>
        <v>15.750000000000004</v>
      </c>
      <c r="V752" s="873">
        <f t="shared" si="347"/>
        <v>7</v>
      </c>
      <c r="W752" s="873">
        <f t="shared" si="348"/>
        <v>3</v>
      </c>
      <c r="X752" s="873">
        <f t="shared" si="349"/>
        <v>0</v>
      </c>
      <c r="Y752" s="873">
        <f t="shared" si="350"/>
        <v>1</v>
      </c>
      <c r="Z752" s="873">
        <f t="shared" si="351"/>
        <v>4</v>
      </c>
      <c r="AA752" s="873">
        <f t="shared" si="352"/>
        <v>9</v>
      </c>
      <c r="AB752" s="874">
        <f t="shared" si="353"/>
        <v>13.960871651185032</v>
      </c>
    </row>
    <row r="753" spans="1:28">
      <c r="A753" s="210">
        <f t="shared" si="354"/>
        <v>5</v>
      </c>
      <c r="B753" s="210">
        <f>$F$570</f>
        <v>2</v>
      </c>
      <c r="C753" s="210">
        <f t="shared" si="335"/>
        <v>22</v>
      </c>
      <c r="D753" s="210">
        <f t="shared" si="335"/>
        <v>142</v>
      </c>
      <c r="E753" s="237">
        <f t="shared" si="336"/>
        <v>1</v>
      </c>
      <c r="F753" s="1208">
        <f t="shared" si="333"/>
        <v>0.6</v>
      </c>
      <c r="G753" s="210">
        <f t="shared" si="334"/>
        <v>0.8</v>
      </c>
      <c r="I753" s="233">
        <f t="shared" si="337"/>
        <v>11.200000000000003</v>
      </c>
      <c r="J753" s="210">
        <f t="shared" si="338"/>
        <v>0.8</v>
      </c>
      <c r="L753" s="233">
        <f t="shared" si="339"/>
        <v>5.9200000000000017</v>
      </c>
      <c r="M753" s="220">
        <f t="shared" si="340"/>
        <v>0.8</v>
      </c>
      <c r="O753" s="873">
        <f t="shared" si="341"/>
        <v>24</v>
      </c>
      <c r="P753" s="873">
        <f t="shared" si="341"/>
        <v>24</v>
      </c>
      <c r="Q753" s="874">
        <f t="shared" si="342"/>
        <v>20.669999999999998</v>
      </c>
      <c r="R753" s="873">
        <f t="shared" si="343"/>
        <v>10</v>
      </c>
      <c r="S753" s="873">
        <f t="shared" si="344"/>
        <v>14</v>
      </c>
      <c r="T753" s="874">
        <f t="shared" si="345"/>
        <v>17.633411486304666</v>
      </c>
      <c r="U753" s="874">
        <f t="shared" si="346"/>
        <v>15.750000000000004</v>
      </c>
      <c r="V753" s="873">
        <f t="shared" si="347"/>
        <v>7</v>
      </c>
      <c r="W753" s="873">
        <f t="shared" si="348"/>
        <v>3</v>
      </c>
      <c r="X753" s="873">
        <f t="shared" si="349"/>
        <v>0</v>
      </c>
      <c r="Y753" s="873">
        <f t="shared" si="350"/>
        <v>1</v>
      </c>
      <c r="Z753" s="873">
        <f t="shared" si="351"/>
        <v>4</v>
      </c>
      <c r="AA753" s="873">
        <f t="shared" si="352"/>
        <v>9</v>
      </c>
      <c r="AB753" s="874">
        <f t="shared" si="353"/>
        <v>13.960871651185032</v>
      </c>
    </row>
    <row r="754" spans="1:28">
      <c r="A754" s="210">
        <f t="shared" si="354"/>
        <v>5</v>
      </c>
      <c r="B754" s="210">
        <f>$F$571</f>
        <v>3</v>
      </c>
      <c r="C754" s="210">
        <f t="shared" si="335"/>
        <v>23</v>
      </c>
      <c r="D754" s="210">
        <f t="shared" si="335"/>
        <v>143</v>
      </c>
      <c r="E754" s="237">
        <f t="shared" si="336"/>
        <v>1</v>
      </c>
      <c r="F754" s="1208">
        <f t="shared" si="333"/>
        <v>0.6</v>
      </c>
      <c r="G754" s="210">
        <f t="shared" si="334"/>
        <v>0.8</v>
      </c>
      <c r="I754" s="233">
        <f t="shared" si="337"/>
        <v>11.200000000000003</v>
      </c>
      <c r="J754" s="210">
        <f t="shared" si="338"/>
        <v>0.8</v>
      </c>
      <c r="L754" s="233">
        <f t="shared" si="339"/>
        <v>5.9200000000000017</v>
      </c>
      <c r="M754" s="220">
        <f t="shared" si="340"/>
        <v>0.8</v>
      </c>
      <c r="O754" s="873">
        <f t="shared" si="341"/>
        <v>24</v>
      </c>
      <c r="P754" s="873">
        <f t="shared" si="341"/>
        <v>24</v>
      </c>
      <c r="Q754" s="874">
        <f t="shared" si="342"/>
        <v>20.669999999999998</v>
      </c>
      <c r="R754" s="873">
        <f t="shared" si="343"/>
        <v>10</v>
      </c>
      <c r="S754" s="873">
        <f t="shared" si="344"/>
        <v>14</v>
      </c>
      <c r="T754" s="874">
        <f t="shared" si="345"/>
        <v>17.633411486304666</v>
      </c>
      <c r="U754" s="874">
        <f t="shared" si="346"/>
        <v>15.750000000000004</v>
      </c>
      <c r="V754" s="873">
        <f t="shared" si="347"/>
        <v>7</v>
      </c>
      <c r="W754" s="873">
        <f t="shared" si="348"/>
        <v>3</v>
      </c>
      <c r="X754" s="873">
        <f t="shared" si="349"/>
        <v>0</v>
      </c>
      <c r="Y754" s="873">
        <f t="shared" si="350"/>
        <v>1</v>
      </c>
      <c r="Z754" s="873">
        <f t="shared" si="351"/>
        <v>4</v>
      </c>
      <c r="AA754" s="873">
        <f t="shared" si="352"/>
        <v>9</v>
      </c>
      <c r="AB754" s="874">
        <f t="shared" si="353"/>
        <v>13.960871651185032</v>
      </c>
    </row>
    <row r="755" spans="1:28">
      <c r="A755" s="210">
        <f t="shared" si="354"/>
        <v>5</v>
      </c>
      <c r="B755" s="210">
        <f>$F$572</f>
        <v>4</v>
      </c>
      <c r="C755" s="210">
        <f t="shared" si="335"/>
        <v>24</v>
      </c>
      <c r="D755" s="210">
        <f t="shared" si="335"/>
        <v>144</v>
      </c>
      <c r="E755" s="237">
        <f t="shared" si="336"/>
        <v>1</v>
      </c>
      <c r="F755" s="1208">
        <f t="shared" si="333"/>
        <v>0.6</v>
      </c>
      <c r="G755" s="210">
        <f t="shared" si="334"/>
        <v>0.8</v>
      </c>
      <c r="I755" s="233">
        <f t="shared" si="337"/>
        <v>11.200000000000003</v>
      </c>
      <c r="J755" s="210">
        <f t="shared" si="338"/>
        <v>0.8</v>
      </c>
      <c r="L755" s="233">
        <f t="shared" si="339"/>
        <v>5.9200000000000017</v>
      </c>
      <c r="M755" s="220">
        <f t="shared" si="340"/>
        <v>0.8</v>
      </c>
      <c r="O755" s="873">
        <f t="shared" si="341"/>
        <v>24</v>
      </c>
      <c r="P755" s="873">
        <f t="shared" si="341"/>
        <v>24</v>
      </c>
      <c r="Q755" s="874">
        <f t="shared" si="342"/>
        <v>20.669999999999998</v>
      </c>
      <c r="R755" s="873">
        <f t="shared" si="343"/>
        <v>10</v>
      </c>
      <c r="S755" s="873">
        <f t="shared" si="344"/>
        <v>14</v>
      </c>
      <c r="T755" s="874">
        <f t="shared" si="345"/>
        <v>17.633411486304666</v>
      </c>
      <c r="U755" s="874">
        <f t="shared" si="346"/>
        <v>15.750000000000004</v>
      </c>
      <c r="V755" s="873">
        <f t="shared" si="347"/>
        <v>7</v>
      </c>
      <c r="W755" s="873">
        <f t="shared" si="348"/>
        <v>3</v>
      </c>
      <c r="X755" s="873">
        <f t="shared" si="349"/>
        <v>0</v>
      </c>
      <c r="Y755" s="873">
        <f t="shared" si="350"/>
        <v>1</v>
      </c>
      <c r="Z755" s="873">
        <f t="shared" si="351"/>
        <v>4</v>
      </c>
      <c r="AA755" s="873">
        <f t="shared" si="352"/>
        <v>9</v>
      </c>
      <c r="AB755" s="874">
        <f t="shared" si="353"/>
        <v>13.960871651185032</v>
      </c>
    </row>
    <row r="756" spans="1:28">
      <c r="A756" s="210">
        <f t="shared" si="354"/>
        <v>5</v>
      </c>
      <c r="B756" s="210">
        <f>$F$573</f>
        <v>5</v>
      </c>
      <c r="C756" s="210">
        <f t="shared" si="335"/>
        <v>25</v>
      </c>
      <c r="D756" s="210">
        <f t="shared" si="335"/>
        <v>145</v>
      </c>
      <c r="E756" s="237">
        <f t="shared" si="336"/>
        <v>1</v>
      </c>
      <c r="F756" s="1208">
        <f t="shared" si="333"/>
        <v>0.6</v>
      </c>
      <c r="G756" s="210">
        <f t="shared" si="334"/>
        <v>0.8</v>
      </c>
      <c r="I756" s="233">
        <f t="shared" si="337"/>
        <v>11.200000000000003</v>
      </c>
      <c r="J756" s="210">
        <f t="shared" si="338"/>
        <v>0.8</v>
      </c>
      <c r="L756" s="233">
        <f t="shared" si="339"/>
        <v>5.9200000000000017</v>
      </c>
      <c r="M756" s="220">
        <f t="shared" si="340"/>
        <v>0.8</v>
      </c>
      <c r="O756" s="873">
        <f t="shared" si="341"/>
        <v>24</v>
      </c>
      <c r="P756" s="873">
        <f t="shared" si="341"/>
        <v>24</v>
      </c>
      <c r="Q756" s="874">
        <f t="shared" si="342"/>
        <v>20.669999999999998</v>
      </c>
      <c r="R756" s="873">
        <f t="shared" si="343"/>
        <v>10</v>
      </c>
      <c r="S756" s="873">
        <f t="shared" si="344"/>
        <v>14</v>
      </c>
      <c r="T756" s="874">
        <f t="shared" si="345"/>
        <v>17.633411486304666</v>
      </c>
      <c r="U756" s="874">
        <f t="shared" si="346"/>
        <v>15.750000000000004</v>
      </c>
      <c r="V756" s="873">
        <f t="shared" si="347"/>
        <v>7</v>
      </c>
      <c r="W756" s="873">
        <f t="shared" si="348"/>
        <v>3</v>
      </c>
      <c r="X756" s="873">
        <f t="shared" si="349"/>
        <v>0</v>
      </c>
      <c r="Y756" s="873">
        <f t="shared" si="350"/>
        <v>1</v>
      </c>
      <c r="Z756" s="873">
        <f t="shared" si="351"/>
        <v>4</v>
      </c>
      <c r="AA756" s="873">
        <f t="shared" si="352"/>
        <v>9</v>
      </c>
      <c r="AB756" s="874">
        <f t="shared" si="353"/>
        <v>13.960871651185032</v>
      </c>
    </row>
    <row r="757" spans="1:28">
      <c r="A757" s="210">
        <f t="shared" si="354"/>
        <v>5</v>
      </c>
      <c r="B757" s="210">
        <f>$F$574</f>
        <v>6</v>
      </c>
      <c r="C757" s="210">
        <f t="shared" ref="C757:D772" si="355">C756+1</f>
        <v>26</v>
      </c>
      <c r="D757" s="210">
        <f t="shared" si="355"/>
        <v>146</v>
      </c>
      <c r="E757" s="237">
        <f t="shared" si="336"/>
        <v>1</v>
      </c>
      <c r="F757" s="1208">
        <f t="shared" si="333"/>
        <v>0.6</v>
      </c>
      <c r="G757" s="210">
        <f t="shared" si="334"/>
        <v>0.8</v>
      </c>
      <c r="I757" s="233">
        <f t="shared" si="337"/>
        <v>11.200000000000003</v>
      </c>
      <c r="J757" s="210">
        <f t="shared" si="338"/>
        <v>0.8</v>
      </c>
      <c r="L757" s="233">
        <f t="shared" si="339"/>
        <v>5.9200000000000017</v>
      </c>
      <c r="M757" s="220">
        <f t="shared" si="340"/>
        <v>0.8</v>
      </c>
      <c r="O757" s="873">
        <f t="shared" si="341"/>
        <v>24</v>
      </c>
      <c r="P757" s="873">
        <f t="shared" si="341"/>
        <v>24</v>
      </c>
      <c r="Q757" s="874">
        <f t="shared" si="342"/>
        <v>20.669999999999998</v>
      </c>
      <c r="R757" s="873">
        <f t="shared" si="343"/>
        <v>10</v>
      </c>
      <c r="S757" s="873">
        <f t="shared" si="344"/>
        <v>14</v>
      </c>
      <c r="T757" s="874">
        <f t="shared" si="345"/>
        <v>17.633411486304666</v>
      </c>
      <c r="U757" s="874">
        <f t="shared" si="346"/>
        <v>15.750000000000004</v>
      </c>
      <c r="V757" s="873">
        <f t="shared" si="347"/>
        <v>7</v>
      </c>
      <c r="W757" s="873">
        <f t="shared" si="348"/>
        <v>3</v>
      </c>
      <c r="X757" s="873">
        <f t="shared" si="349"/>
        <v>0</v>
      </c>
      <c r="Y757" s="873">
        <f t="shared" si="350"/>
        <v>1</v>
      </c>
      <c r="Z757" s="873">
        <f t="shared" si="351"/>
        <v>4</v>
      </c>
      <c r="AA757" s="873">
        <f t="shared" si="352"/>
        <v>9</v>
      </c>
      <c r="AB757" s="874">
        <f t="shared" si="353"/>
        <v>13.960871651185032</v>
      </c>
    </row>
    <row r="758" spans="1:28">
      <c r="A758" s="210">
        <f t="shared" si="354"/>
        <v>5</v>
      </c>
      <c r="B758" s="210">
        <f>$F$575</f>
        <v>7</v>
      </c>
      <c r="C758" s="210">
        <f t="shared" si="355"/>
        <v>27</v>
      </c>
      <c r="D758" s="210">
        <f t="shared" si="355"/>
        <v>147</v>
      </c>
      <c r="E758" s="237">
        <f t="shared" si="336"/>
        <v>1</v>
      </c>
      <c r="F758" s="1208">
        <f t="shared" si="333"/>
        <v>0.6</v>
      </c>
      <c r="G758" s="210">
        <f t="shared" si="334"/>
        <v>0.8</v>
      </c>
      <c r="I758" s="233">
        <f t="shared" si="337"/>
        <v>11.200000000000003</v>
      </c>
      <c r="J758" s="210">
        <f t="shared" si="338"/>
        <v>0.8</v>
      </c>
      <c r="L758" s="233">
        <f t="shared" si="339"/>
        <v>5.9200000000000017</v>
      </c>
      <c r="M758" s="220">
        <f t="shared" si="340"/>
        <v>0.8</v>
      </c>
      <c r="O758" s="873">
        <f t="shared" si="341"/>
        <v>24</v>
      </c>
      <c r="P758" s="873">
        <f t="shared" si="341"/>
        <v>24</v>
      </c>
      <c r="Q758" s="874">
        <f t="shared" si="342"/>
        <v>20.669999999999998</v>
      </c>
      <c r="R758" s="873">
        <f t="shared" si="343"/>
        <v>10</v>
      </c>
      <c r="S758" s="873">
        <f t="shared" si="344"/>
        <v>14</v>
      </c>
      <c r="T758" s="874">
        <f t="shared" si="345"/>
        <v>17.633411486304666</v>
      </c>
      <c r="U758" s="874">
        <f t="shared" si="346"/>
        <v>15.750000000000004</v>
      </c>
      <c r="V758" s="873">
        <f t="shared" si="347"/>
        <v>7</v>
      </c>
      <c r="W758" s="873">
        <f t="shared" si="348"/>
        <v>3</v>
      </c>
      <c r="X758" s="873">
        <f t="shared" si="349"/>
        <v>0</v>
      </c>
      <c r="Y758" s="873">
        <f t="shared" si="350"/>
        <v>1</v>
      </c>
      <c r="Z758" s="873">
        <f t="shared" si="351"/>
        <v>4</v>
      </c>
      <c r="AA758" s="873">
        <f t="shared" si="352"/>
        <v>9</v>
      </c>
      <c r="AB758" s="874">
        <f t="shared" si="353"/>
        <v>13.960871651185032</v>
      </c>
    </row>
    <row r="759" spans="1:28">
      <c r="A759" s="210">
        <f t="shared" si="354"/>
        <v>5</v>
      </c>
      <c r="B759" s="210">
        <f>$F$569</f>
        <v>1</v>
      </c>
      <c r="C759" s="210">
        <f t="shared" si="355"/>
        <v>28</v>
      </c>
      <c r="D759" s="210">
        <f t="shared" si="355"/>
        <v>148</v>
      </c>
      <c r="E759" s="237">
        <f t="shared" si="336"/>
        <v>1</v>
      </c>
      <c r="F759" s="1208">
        <f t="shared" si="333"/>
        <v>0.6</v>
      </c>
      <c r="G759" s="210">
        <f t="shared" si="334"/>
        <v>0.8</v>
      </c>
      <c r="I759" s="233">
        <f t="shared" si="337"/>
        <v>11.200000000000003</v>
      </c>
      <c r="J759" s="210">
        <f t="shared" si="338"/>
        <v>0.8</v>
      </c>
      <c r="L759" s="233">
        <f t="shared" si="339"/>
        <v>5.9200000000000017</v>
      </c>
      <c r="M759" s="220">
        <f t="shared" si="340"/>
        <v>0.8</v>
      </c>
      <c r="O759" s="873">
        <f t="shared" si="341"/>
        <v>24</v>
      </c>
      <c r="P759" s="873">
        <f t="shared" si="341"/>
        <v>24</v>
      </c>
      <c r="Q759" s="874">
        <f t="shared" si="342"/>
        <v>20.669999999999998</v>
      </c>
      <c r="R759" s="873">
        <f t="shared" si="343"/>
        <v>10</v>
      </c>
      <c r="S759" s="873">
        <f t="shared" si="344"/>
        <v>14</v>
      </c>
      <c r="T759" s="874">
        <f t="shared" si="345"/>
        <v>17.633411486304666</v>
      </c>
      <c r="U759" s="874">
        <f t="shared" si="346"/>
        <v>15.750000000000004</v>
      </c>
      <c r="V759" s="873">
        <f t="shared" si="347"/>
        <v>7</v>
      </c>
      <c r="W759" s="873">
        <f t="shared" si="348"/>
        <v>3</v>
      </c>
      <c r="X759" s="873">
        <f t="shared" si="349"/>
        <v>0</v>
      </c>
      <c r="Y759" s="873">
        <f t="shared" si="350"/>
        <v>1</v>
      </c>
      <c r="Z759" s="873">
        <f t="shared" si="351"/>
        <v>4</v>
      </c>
      <c r="AA759" s="873">
        <f t="shared" si="352"/>
        <v>9</v>
      </c>
      <c r="AB759" s="874">
        <f t="shared" si="353"/>
        <v>13.960871651185032</v>
      </c>
    </row>
    <row r="760" spans="1:28">
      <c r="A760" s="210">
        <f t="shared" si="354"/>
        <v>5</v>
      </c>
      <c r="B760" s="210">
        <f>$F$570</f>
        <v>2</v>
      </c>
      <c r="C760" s="210">
        <f t="shared" si="355"/>
        <v>29</v>
      </c>
      <c r="D760" s="210">
        <f t="shared" si="355"/>
        <v>149</v>
      </c>
      <c r="E760" s="237">
        <f t="shared" si="336"/>
        <v>1</v>
      </c>
      <c r="F760" s="1208">
        <f t="shared" si="333"/>
        <v>0.6</v>
      </c>
      <c r="G760" s="210">
        <f t="shared" si="334"/>
        <v>0.8</v>
      </c>
      <c r="I760" s="233">
        <f t="shared" si="337"/>
        <v>11.200000000000003</v>
      </c>
      <c r="J760" s="210">
        <f t="shared" si="338"/>
        <v>0.8</v>
      </c>
      <c r="L760" s="233">
        <f t="shared" si="339"/>
        <v>5.9200000000000017</v>
      </c>
      <c r="M760" s="220">
        <f t="shared" si="340"/>
        <v>0.8</v>
      </c>
      <c r="O760" s="873">
        <f t="shared" si="341"/>
        <v>24</v>
      </c>
      <c r="P760" s="873">
        <f t="shared" si="341"/>
        <v>24</v>
      </c>
      <c r="Q760" s="874">
        <f t="shared" si="342"/>
        <v>20.669999999999998</v>
      </c>
      <c r="R760" s="873">
        <f t="shared" si="343"/>
        <v>10</v>
      </c>
      <c r="S760" s="873">
        <f t="shared" si="344"/>
        <v>14</v>
      </c>
      <c r="T760" s="874">
        <f t="shared" si="345"/>
        <v>17.633411486304666</v>
      </c>
      <c r="U760" s="874">
        <f t="shared" si="346"/>
        <v>15.750000000000004</v>
      </c>
      <c r="V760" s="873">
        <f t="shared" si="347"/>
        <v>7</v>
      </c>
      <c r="W760" s="873">
        <f t="shared" si="348"/>
        <v>3</v>
      </c>
      <c r="X760" s="873">
        <f t="shared" si="349"/>
        <v>0</v>
      </c>
      <c r="Y760" s="873">
        <f t="shared" si="350"/>
        <v>1</v>
      </c>
      <c r="Z760" s="873">
        <f t="shared" si="351"/>
        <v>4</v>
      </c>
      <c r="AA760" s="873">
        <f t="shared" si="352"/>
        <v>9</v>
      </c>
      <c r="AB760" s="874">
        <f t="shared" si="353"/>
        <v>13.960871651185032</v>
      </c>
    </row>
    <row r="761" spans="1:28">
      <c r="A761" s="210">
        <f t="shared" si="354"/>
        <v>5</v>
      </c>
      <c r="B761" s="210">
        <f>$F$571</f>
        <v>3</v>
      </c>
      <c r="C761" s="210">
        <f t="shared" si="355"/>
        <v>30</v>
      </c>
      <c r="D761" s="210">
        <f t="shared" si="355"/>
        <v>150</v>
      </c>
      <c r="E761" s="237">
        <f t="shared" si="336"/>
        <v>1</v>
      </c>
      <c r="F761" s="1208">
        <f t="shared" si="333"/>
        <v>0.6</v>
      </c>
      <c r="G761" s="210">
        <f t="shared" si="334"/>
        <v>0.8</v>
      </c>
      <c r="I761" s="233">
        <f t="shared" si="337"/>
        <v>11.200000000000003</v>
      </c>
      <c r="J761" s="210">
        <f t="shared" si="338"/>
        <v>0.8</v>
      </c>
      <c r="L761" s="233">
        <f t="shared" si="339"/>
        <v>5.9200000000000017</v>
      </c>
      <c r="M761" s="220">
        <f t="shared" si="340"/>
        <v>0.8</v>
      </c>
      <c r="O761" s="873">
        <f t="shared" si="341"/>
        <v>24</v>
      </c>
      <c r="P761" s="873">
        <f t="shared" si="341"/>
        <v>24</v>
      </c>
      <c r="Q761" s="874">
        <f t="shared" si="342"/>
        <v>20.669999999999998</v>
      </c>
      <c r="R761" s="873">
        <f t="shared" si="343"/>
        <v>10</v>
      </c>
      <c r="S761" s="873">
        <f t="shared" si="344"/>
        <v>14</v>
      </c>
      <c r="T761" s="874">
        <f t="shared" si="345"/>
        <v>17.633411486304666</v>
      </c>
      <c r="U761" s="874">
        <f t="shared" si="346"/>
        <v>15.750000000000004</v>
      </c>
      <c r="V761" s="873">
        <f t="shared" si="347"/>
        <v>7</v>
      </c>
      <c r="W761" s="873">
        <f t="shared" si="348"/>
        <v>3</v>
      </c>
      <c r="X761" s="873">
        <f t="shared" si="349"/>
        <v>0</v>
      </c>
      <c r="Y761" s="873">
        <f t="shared" si="350"/>
        <v>1</v>
      </c>
      <c r="Z761" s="873">
        <f t="shared" si="351"/>
        <v>4</v>
      </c>
      <c r="AA761" s="873">
        <f t="shared" si="352"/>
        <v>9</v>
      </c>
      <c r="AB761" s="874">
        <f t="shared" si="353"/>
        <v>13.960871651185032</v>
      </c>
    </row>
    <row r="762" spans="1:28">
      <c r="A762" s="210">
        <f t="shared" si="354"/>
        <v>5</v>
      </c>
      <c r="B762" s="210">
        <f>$F$572</f>
        <v>4</v>
      </c>
      <c r="C762" s="210">
        <f t="shared" si="355"/>
        <v>31</v>
      </c>
      <c r="D762" s="210">
        <f t="shared" si="355"/>
        <v>151</v>
      </c>
      <c r="E762" s="237">
        <f t="shared" si="336"/>
        <v>1</v>
      </c>
      <c r="F762" s="1208">
        <f t="shared" si="333"/>
        <v>0.6</v>
      </c>
      <c r="G762" s="210">
        <f t="shared" si="334"/>
        <v>0.8</v>
      </c>
      <c r="I762" s="233">
        <f t="shared" si="337"/>
        <v>11.200000000000003</v>
      </c>
      <c r="J762" s="210">
        <f t="shared" si="338"/>
        <v>0.8</v>
      </c>
      <c r="L762" s="233">
        <f t="shared" si="339"/>
        <v>5.9200000000000017</v>
      </c>
      <c r="M762" s="220">
        <f t="shared" si="340"/>
        <v>0.8</v>
      </c>
      <c r="O762" s="873">
        <f t="shared" si="341"/>
        <v>24</v>
      </c>
      <c r="P762" s="873">
        <f t="shared" si="341"/>
        <v>24</v>
      </c>
      <c r="Q762" s="874">
        <f t="shared" si="342"/>
        <v>20.669999999999998</v>
      </c>
      <c r="R762" s="873">
        <f t="shared" si="343"/>
        <v>10</v>
      </c>
      <c r="S762" s="873">
        <f t="shared" si="344"/>
        <v>14</v>
      </c>
      <c r="T762" s="874">
        <f t="shared" si="345"/>
        <v>17.633411486304666</v>
      </c>
      <c r="U762" s="874">
        <f t="shared" si="346"/>
        <v>15.750000000000004</v>
      </c>
      <c r="V762" s="873">
        <f t="shared" si="347"/>
        <v>7</v>
      </c>
      <c r="W762" s="873">
        <f t="shared" si="348"/>
        <v>3</v>
      </c>
      <c r="X762" s="873">
        <f t="shared" si="349"/>
        <v>0</v>
      </c>
      <c r="Y762" s="873">
        <f t="shared" si="350"/>
        <v>1</v>
      </c>
      <c r="Z762" s="873">
        <f t="shared" si="351"/>
        <v>4</v>
      </c>
      <c r="AA762" s="873">
        <f t="shared" si="352"/>
        <v>9</v>
      </c>
      <c r="AB762" s="874">
        <f t="shared" si="353"/>
        <v>13.960871651185032</v>
      </c>
    </row>
    <row r="763" spans="1:28">
      <c r="A763" s="210">
        <v>6</v>
      </c>
      <c r="B763" s="210">
        <f>$F$573</f>
        <v>5</v>
      </c>
      <c r="C763" s="210">
        <v>1</v>
      </c>
      <c r="D763" s="210">
        <f t="shared" si="355"/>
        <v>152</v>
      </c>
      <c r="E763" s="237">
        <f t="shared" si="336"/>
        <v>1</v>
      </c>
      <c r="F763" s="1208">
        <f t="shared" si="333"/>
        <v>1</v>
      </c>
      <c r="G763" s="210">
        <f t="shared" si="334"/>
        <v>0.8</v>
      </c>
      <c r="I763" s="233">
        <f t="shared" si="337"/>
        <v>11.200000000000003</v>
      </c>
      <c r="J763" s="210">
        <f t="shared" si="338"/>
        <v>0.8</v>
      </c>
      <c r="L763" s="233">
        <f t="shared" si="339"/>
        <v>5.9200000000000017</v>
      </c>
      <c r="M763" s="220">
        <f t="shared" si="340"/>
        <v>0.8</v>
      </c>
      <c r="O763" s="873">
        <f t="shared" si="341"/>
        <v>24</v>
      </c>
      <c r="P763" s="873">
        <f t="shared" si="341"/>
        <v>24</v>
      </c>
      <c r="Q763" s="874">
        <f t="shared" si="342"/>
        <v>20.669999999999998</v>
      </c>
      <c r="R763" s="873">
        <f t="shared" si="343"/>
        <v>10</v>
      </c>
      <c r="S763" s="873">
        <f t="shared" si="344"/>
        <v>14</v>
      </c>
      <c r="T763" s="874">
        <f t="shared" si="345"/>
        <v>17.633411486304666</v>
      </c>
      <c r="U763" s="874">
        <f t="shared" si="346"/>
        <v>15.750000000000004</v>
      </c>
      <c r="V763" s="873">
        <f t="shared" si="347"/>
        <v>7</v>
      </c>
      <c r="W763" s="873">
        <f t="shared" si="348"/>
        <v>3</v>
      </c>
      <c r="X763" s="873">
        <f t="shared" si="349"/>
        <v>0</v>
      </c>
      <c r="Y763" s="873">
        <f t="shared" si="350"/>
        <v>1</v>
      </c>
      <c r="Z763" s="873">
        <f t="shared" si="351"/>
        <v>4</v>
      </c>
      <c r="AA763" s="873">
        <f t="shared" si="352"/>
        <v>9</v>
      </c>
      <c r="AB763" s="874">
        <f t="shared" si="353"/>
        <v>13.960871651185032</v>
      </c>
    </row>
    <row r="764" spans="1:28">
      <c r="A764" s="210">
        <f t="shared" si="354"/>
        <v>6</v>
      </c>
      <c r="B764" s="210">
        <f>$F$574</f>
        <v>6</v>
      </c>
      <c r="C764" s="210">
        <f t="shared" si="355"/>
        <v>2</v>
      </c>
      <c r="D764" s="210">
        <f t="shared" si="355"/>
        <v>153</v>
      </c>
      <c r="E764" s="237">
        <f t="shared" si="336"/>
        <v>1</v>
      </c>
      <c r="F764" s="1208">
        <f t="shared" si="333"/>
        <v>1</v>
      </c>
      <c r="G764" s="210">
        <f t="shared" si="334"/>
        <v>0.8</v>
      </c>
      <c r="I764" s="233">
        <f t="shared" si="337"/>
        <v>11.200000000000003</v>
      </c>
      <c r="J764" s="210">
        <f t="shared" si="338"/>
        <v>0.8</v>
      </c>
      <c r="L764" s="233">
        <f t="shared" si="339"/>
        <v>5.9200000000000017</v>
      </c>
      <c r="M764" s="220">
        <f t="shared" si="340"/>
        <v>0.8</v>
      </c>
      <c r="O764" s="873">
        <f t="shared" si="341"/>
        <v>24</v>
      </c>
      <c r="P764" s="873">
        <f t="shared" si="341"/>
        <v>24</v>
      </c>
      <c r="Q764" s="874">
        <f t="shared" si="342"/>
        <v>20.669999999999998</v>
      </c>
      <c r="R764" s="873">
        <f t="shared" si="343"/>
        <v>10</v>
      </c>
      <c r="S764" s="873">
        <f t="shared" si="344"/>
        <v>14</v>
      </c>
      <c r="T764" s="874">
        <f t="shared" si="345"/>
        <v>17.633411486304666</v>
      </c>
      <c r="U764" s="874">
        <f t="shared" si="346"/>
        <v>15.750000000000004</v>
      </c>
      <c r="V764" s="873">
        <f t="shared" si="347"/>
        <v>7</v>
      </c>
      <c r="W764" s="873">
        <f t="shared" si="348"/>
        <v>3</v>
      </c>
      <c r="X764" s="873">
        <f t="shared" si="349"/>
        <v>0</v>
      </c>
      <c r="Y764" s="873">
        <f t="shared" si="350"/>
        <v>1</v>
      </c>
      <c r="Z764" s="873">
        <f t="shared" si="351"/>
        <v>4</v>
      </c>
      <c r="AA764" s="873">
        <f t="shared" si="352"/>
        <v>9</v>
      </c>
      <c r="AB764" s="874">
        <f t="shared" si="353"/>
        <v>13.960871651185032</v>
      </c>
    </row>
    <row r="765" spans="1:28">
      <c r="A765" s="210">
        <f t="shared" si="354"/>
        <v>6</v>
      </c>
      <c r="B765" s="210">
        <f>$F$575</f>
        <v>7</v>
      </c>
      <c r="C765" s="210">
        <f t="shared" si="355"/>
        <v>3</v>
      </c>
      <c r="D765" s="210">
        <f t="shared" si="355"/>
        <v>154</v>
      </c>
      <c r="E765" s="237">
        <f t="shared" si="336"/>
        <v>1</v>
      </c>
      <c r="F765" s="1208">
        <f t="shared" si="333"/>
        <v>1</v>
      </c>
      <c r="G765" s="210">
        <f t="shared" si="334"/>
        <v>0.8</v>
      </c>
      <c r="I765" s="233">
        <f t="shared" si="337"/>
        <v>11.200000000000003</v>
      </c>
      <c r="J765" s="210">
        <f t="shared" si="338"/>
        <v>0.8</v>
      </c>
      <c r="L765" s="233">
        <f t="shared" si="339"/>
        <v>5.9200000000000017</v>
      </c>
      <c r="M765" s="220">
        <f t="shared" si="340"/>
        <v>0.8</v>
      </c>
      <c r="O765" s="873">
        <f t="shared" si="341"/>
        <v>24</v>
      </c>
      <c r="P765" s="873">
        <f t="shared" si="341"/>
        <v>24</v>
      </c>
      <c r="Q765" s="874">
        <f t="shared" si="342"/>
        <v>20.669999999999998</v>
      </c>
      <c r="R765" s="873">
        <f t="shared" si="343"/>
        <v>10</v>
      </c>
      <c r="S765" s="873">
        <f t="shared" si="344"/>
        <v>14</v>
      </c>
      <c r="T765" s="874">
        <f t="shared" si="345"/>
        <v>17.633411486304666</v>
      </c>
      <c r="U765" s="874">
        <f t="shared" si="346"/>
        <v>15.750000000000004</v>
      </c>
      <c r="V765" s="873">
        <f t="shared" si="347"/>
        <v>7</v>
      </c>
      <c r="W765" s="873">
        <f t="shared" si="348"/>
        <v>3</v>
      </c>
      <c r="X765" s="873">
        <f t="shared" si="349"/>
        <v>0</v>
      </c>
      <c r="Y765" s="873">
        <f t="shared" si="350"/>
        <v>1</v>
      </c>
      <c r="Z765" s="873">
        <f t="shared" si="351"/>
        <v>4</v>
      </c>
      <c r="AA765" s="873">
        <f t="shared" si="352"/>
        <v>9</v>
      </c>
      <c r="AB765" s="874">
        <f t="shared" si="353"/>
        <v>13.960871651185032</v>
      </c>
    </row>
    <row r="766" spans="1:28">
      <c r="A766" s="210">
        <f t="shared" si="354"/>
        <v>6</v>
      </c>
      <c r="B766" s="210">
        <f>$F$569</f>
        <v>1</v>
      </c>
      <c r="C766" s="210">
        <f t="shared" si="355"/>
        <v>4</v>
      </c>
      <c r="D766" s="210">
        <f t="shared" si="355"/>
        <v>155</v>
      </c>
      <c r="E766" s="237">
        <f t="shared" si="336"/>
        <v>1</v>
      </c>
      <c r="F766" s="1208">
        <f t="shared" si="333"/>
        <v>1</v>
      </c>
      <c r="G766" s="210">
        <f t="shared" si="334"/>
        <v>0.8</v>
      </c>
      <c r="I766" s="233">
        <f t="shared" si="337"/>
        <v>11.200000000000003</v>
      </c>
      <c r="J766" s="210">
        <f t="shared" si="338"/>
        <v>0.8</v>
      </c>
      <c r="L766" s="233">
        <f t="shared" si="339"/>
        <v>5.9200000000000017</v>
      </c>
      <c r="M766" s="220">
        <f t="shared" si="340"/>
        <v>0.8</v>
      </c>
      <c r="O766" s="873">
        <f t="shared" si="341"/>
        <v>24</v>
      </c>
      <c r="P766" s="873">
        <f t="shared" si="341"/>
        <v>24</v>
      </c>
      <c r="Q766" s="874">
        <f t="shared" si="342"/>
        <v>20.669999999999998</v>
      </c>
      <c r="R766" s="873">
        <f t="shared" si="343"/>
        <v>10</v>
      </c>
      <c r="S766" s="873">
        <f t="shared" si="344"/>
        <v>14</v>
      </c>
      <c r="T766" s="874">
        <f t="shared" si="345"/>
        <v>17.633411486304666</v>
      </c>
      <c r="U766" s="874">
        <f t="shared" si="346"/>
        <v>15.750000000000004</v>
      </c>
      <c r="V766" s="873">
        <f t="shared" si="347"/>
        <v>7</v>
      </c>
      <c r="W766" s="873">
        <f t="shared" si="348"/>
        <v>3</v>
      </c>
      <c r="X766" s="873">
        <f t="shared" si="349"/>
        <v>0</v>
      </c>
      <c r="Y766" s="873">
        <f t="shared" si="350"/>
        <v>1</v>
      </c>
      <c r="Z766" s="873">
        <f t="shared" si="351"/>
        <v>4</v>
      </c>
      <c r="AA766" s="873">
        <f t="shared" si="352"/>
        <v>9</v>
      </c>
      <c r="AB766" s="874">
        <f t="shared" si="353"/>
        <v>13.960871651185032</v>
      </c>
    </row>
    <row r="767" spans="1:28">
      <c r="A767" s="210">
        <f t="shared" si="354"/>
        <v>6</v>
      </c>
      <c r="B767" s="210">
        <f>$F$570</f>
        <v>2</v>
      </c>
      <c r="C767" s="210">
        <f t="shared" si="355"/>
        <v>5</v>
      </c>
      <c r="D767" s="210">
        <f t="shared" si="355"/>
        <v>156</v>
      </c>
      <c r="E767" s="237">
        <f t="shared" si="336"/>
        <v>1</v>
      </c>
      <c r="F767" s="1208">
        <f t="shared" si="333"/>
        <v>1</v>
      </c>
      <c r="G767" s="210">
        <f t="shared" si="334"/>
        <v>0.8</v>
      </c>
      <c r="I767" s="233">
        <f t="shared" si="337"/>
        <v>11.200000000000003</v>
      </c>
      <c r="J767" s="210">
        <f t="shared" si="338"/>
        <v>0.8</v>
      </c>
      <c r="L767" s="233">
        <f t="shared" si="339"/>
        <v>5.9200000000000017</v>
      </c>
      <c r="M767" s="220">
        <f t="shared" si="340"/>
        <v>0.8</v>
      </c>
      <c r="O767" s="873">
        <f t="shared" si="341"/>
        <v>24</v>
      </c>
      <c r="P767" s="873">
        <f t="shared" si="341"/>
        <v>24</v>
      </c>
      <c r="Q767" s="874">
        <f t="shared" si="342"/>
        <v>20.669999999999998</v>
      </c>
      <c r="R767" s="873">
        <f t="shared" si="343"/>
        <v>10</v>
      </c>
      <c r="S767" s="873">
        <f t="shared" si="344"/>
        <v>14</v>
      </c>
      <c r="T767" s="874">
        <f t="shared" si="345"/>
        <v>17.633411486304666</v>
      </c>
      <c r="U767" s="874">
        <f t="shared" si="346"/>
        <v>15.750000000000004</v>
      </c>
      <c r="V767" s="873">
        <f t="shared" si="347"/>
        <v>7</v>
      </c>
      <c r="W767" s="873">
        <f t="shared" si="348"/>
        <v>3</v>
      </c>
      <c r="X767" s="873">
        <f t="shared" si="349"/>
        <v>0</v>
      </c>
      <c r="Y767" s="873">
        <f t="shared" si="350"/>
        <v>1</v>
      </c>
      <c r="Z767" s="873">
        <f t="shared" si="351"/>
        <v>4</v>
      </c>
      <c r="AA767" s="873">
        <f t="shared" si="352"/>
        <v>9</v>
      </c>
      <c r="AB767" s="874">
        <f t="shared" si="353"/>
        <v>13.960871651185032</v>
      </c>
    </row>
    <row r="768" spans="1:28">
      <c r="A768" s="210">
        <f t="shared" si="354"/>
        <v>6</v>
      </c>
      <c r="B768" s="210">
        <f>$F$571</f>
        <v>3</v>
      </c>
      <c r="C768" s="210">
        <f t="shared" si="355"/>
        <v>6</v>
      </c>
      <c r="D768" s="210">
        <f t="shared" si="355"/>
        <v>157</v>
      </c>
      <c r="E768" s="237">
        <f t="shared" si="336"/>
        <v>1</v>
      </c>
      <c r="F768" s="1208">
        <f t="shared" si="333"/>
        <v>1</v>
      </c>
      <c r="G768" s="210">
        <f t="shared" si="334"/>
        <v>0.8</v>
      </c>
      <c r="I768" s="233">
        <f t="shared" si="337"/>
        <v>11.200000000000003</v>
      </c>
      <c r="J768" s="210">
        <f t="shared" si="338"/>
        <v>0.8</v>
      </c>
      <c r="L768" s="233">
        <f t="shared" si="339"/>
        <v>5.9200000000000017</v>
      </c>
      <c r="M768" s="220">
        <f t="shared" si="340"/>
        <v>0.8</v>
      </c>
      <c r="O768" s="873">
        <f t="shared" si="341"/>
        <v>24</v>
      </c>
      <c r="P768" s="873">
        <f t="shared" si="341"/>
        <v>24</v>
      </c>
      <c r="Q768" s="874">
        <f t="shared" si="342"/>
        <v>20.669999999999998</v>
      </c>
      <c r="R768" s="873">
        <f t="shared" si="343"/>
        <v>10</v>
      </c>
      <c r="S768" s="873">
        <f t="shared" si="344"/>
        <v>14</v>
      </c>
      <c r="T768" s="874">
        <f t="shared" si="345"/>
        <v>17.633411486304666</v>
      </c>
      <c r="U768" s="874">
        <f t="shared" si="346"/>
        <v>15.750000000000004</v>
      </c>
      <c r="V768" s="873">
        <f t="shared" si="347"/>
        <v>7</v>
      </c>
      <c r="W768" s="873">
        <f t="shared" si="348"/>
        <v>3</v>
      </c>
      <c r="X768" s="873">
        <f t="shared" si="349"/>
        <v>0</v>
      </c>
      <c r="Y768" s="873">
        <f t="shared" si="350"/>
        <v>1</v>
      </c>
      <c r="Z768" s="873">
        <f t="shared" si="351"/>
        <v>4</v>
      </c>
      <c r="AA768" s="873">
        <f t="shared" si="352"/>
        <v>9</v>
      </c>
      <c r="AB768" s="874">
        <f t="shared" si="353"/>
        <v>13.960871651185032</v>
      </c>
    </row>
    <row r="769" spans="1:28">
      <c r="A769" s="210">
        <f t="shared" si="354"/>
        <v>6</v>
      </c>
      <c r="B769" s="210">
        <f>$F$572</f>
        <v>4</v>
      </c>
      <c r="C769" s="210">
        <f t="shared" si="355"/>
        <v>7</v>
      </c>
      <c r="D769" s="210">
        <f t="shared" si="355"/>
        <v>158</v>
      </c>
      <c r="E769" s="237">
        <f t="shared" si="336"/>
        <v>1</v>
      </c>
      <c r="F769" s="1208">
        <f t="shared" si="333"/>
        <v>1</v>
      </c>
      <c r="G769" s="210">
        <f t="shared" si="334"/>
        <v>0.8</v>
      </c>
      <c r="I769" s="233">
        <f t="shared" si="337"/>
        <v>11.200000000000003</v>
      </c>
      <c r="J769" s="210">
        <f t="shared" si="338"/>
        <v>0.8</v>
      </c>
      <c r="L769" s="233">
        <f t="shared" si="339"/>
        <v>5.9200000000000017</v>
      </c>
      <c r="M769" s="220">
        <f t="shared" si="340"/>
        <v>0.8</v>
      </c>
      <c r="O769" s="873">
        <f t="shared" si="341"/>
        <v>24</v>
      </c>
      <c r="P769" s="873">
        <f t="shared" si="341"/>
        <v>24</v>
      </c>
      <c r="Q769" s="874">
        <f t="shared" si="342"/>
        <v>20.669999999999998</v>
      </c>
      <c r="R769" s="873">
        <f t="shared" si="343"/>
        <v>10</v>
      </c>
      <c r="S769" s="873">
        <f t="shared" si="344"/>
        <v>14</v>
      </c>
      <c r="T769" s="874">
        <f t="shared" si="345"/>
        <v>17.633411486304666</v>
      </c>
      <c r="U769" s="874">
        <f t="shared" si="346"/>
        <v>15.750000000000004</v>
      </c>
      <c r="V769" s="873">
        <f t="shared" si="347"/>
        <v>7</v>
      </c>
      <c r="W769" s="873">
        <f t="shared" si="348"/>
        <v>3</v>
      </c>
      <c r="X769" s="873">
        <f t="shared" si="349"/>
        <v>0</v>
      </c>
      <c r="Y769" s="873">
        <f t="shared" si="350"/>
        <v>1</v>
      </c>
      <c r="Z769" s="873">
        <f t="shared" si="351"/>
        <v>4</v>
      </c>
      <c r="AA769" s="873">
        <f t="shared" si="352"/>
        <v>9</v>
      </c>
      <c r="AB769" s="874">
        <f t="shared" si="353"/>
        <v>13.960871651185032</v>
      </c>
    </row>
    <row r="770" spans="1:28">
      <c r="A770" s="210">
        <f t="shared" si="354"/>
        <v>6</v>
      </c>
      <c r="B770" s="210">
        <f>$F$573</f>
        <v>5</v>
      </c>
      <c r="C770" s="210">
        <f t="shared" si="355"/>
        <v>8</v>
      </c>
      <c r="D770" s="210">
        <f t="shared" si="355"/>
        <v>159</v>
      </c>
      <c r="E770" s="237">
        <f t="shared" si="336"/>
        <v>1</v>
      </c>
      <c r="F770" s="1208">
        <f t="shared" si="333"/>
        <v>1</v>
      </c>
      <c r="G770" s="210">
        <f t="shared" si="334"/>
        <v>0.8</v>
      </c>
      <c r="I770" s="233">
        <f t="shared" si="337"/>
        <v>11.200000000000003</v>
      </c>
      <c r="J770" s="210">
        <f t="shared" si="338"/>
        <v>0.8</v>
      </c>
      <c r="L770" s="233">
        <f t="shared" si="339"/>
        <v>5.9200000000000017</v>
      </c>
      <c r="M770" s="220">
        <f t="shared" si="340"/>
        <v>0.8</v>
      </c>
      <c r="O770" s="873">
        <f t="shared" si="341"/>
        <v>24</v>
      </c>
      <c r="P770" s="873">
        <f t="shared" si="341"/>
        <v>24</v>
      </c>
      <c r="Q770" s="874">
        <f t="shared" si="342"/>
        <v>20.669999999999998</v>
      </c>
      <c r="R770" s="873">
        <f t="shared" si="343"/>
        <v>10</v>
      </c>
      <c r="S770" s="873">
        <f t="shared" si="344"/>
        <v>14</v>
      </c>
      <c r="T770" s="874">
        <f t="shared" si="345"/>
        <v>17.633411486304666</v>
      </c>
      <c r="U770" s="874">
        <f t="shared" si="346"/>
        <v>15.750000000000004</v>
      </c>
      <c r="V770" s="873">
        <f t="shared" si="347"/>
        <v>7</v>
      </c>
      <c r="W770" s="873">
        <f t="shared" si="348"/>
        <v>3</v>
      </c>
      <c r="X770" s="873">
        <f t="shared" si="349"/>
        <v>0</v>
      </c>
      <c r="Y770" s="873">
        <f t="shared" si="350"/>
        <v>1</v>
      </c>
      <c r="Z770" s="873">
        <f t="shared" si="351"/>
        <v>4</v>
      </c>
      <c r="AA770" s="873">
        <f t="shared" si="352"/>
        <v>9</v>
      </c>
      <c r="AB770" s="874">
        <f t="shared" si="353"/>
        <v>13.960871651185032</v>
      </c>
    </row>
    <row r="771" spans="1:28">
      <c r="A771" s="210">
        <f t="shared" si="354"/>
        <v>6</v>
      </c>
      <c r="B771" s="210">
        <f>$F$574</f>
        <v>6</v>
      </c>
      <c r="C771" s="210">
        <f t="shared" si="355"/>
        <v>9</v>
      </c>
      <c r="D771" s="210">
        <f t="shared" si="355"/>
        <v>160</v>
      </c>
      <c r="E771" s="237">
        <f t="shared" si="336"/>
        <v>1</v>
      </c>
      <c r="F771" s="1208">
        <f t="shared" si="333"/>
        <v>1</v>
      </c>
      <c r="G771" s="210">
        <f t="shared" si="334"/>
        <v>0.8</v>
      </c>
      <c r="I771" s="233">
        <f t="shared" si="337"/>
        <v>11.200000000000003</v>
      </c>
      <c r="J771" s="210">
        <f t="shared" si="338"/>
        <v>0.8</v>
      </c>
      <c r="L771" s="233">
        <f t="shared" si="339"/>
        <v>5.9200000000000017</v>
      </c>
      <c r="M771" s="220">
        <f t="shared" si="340"/>
        <v>0.8</v>
      </c>
      <c r="O771" s="873">
        <f t="shared" si="341"/>
        <v>24</v>
      </c>
      <c r="P771" s="873">
        <f t="shared" si="341"/>
        <v>24</v>
      </c>
      <c r="Q771" s="874">
        <f t="shared" si="342"/>
        <v>20.669999999999998</v>
      </c>
      <c r="R771" s="873">
        <f t="shared" si="343"/>
        <v>10</v>
      </c>
      <c r="S771" s="873">
        <f t="shared" si="344"/>
        <v>14</v>
      </c>
      <c r="T771" s="874">
        <f t="shared" si="345"/>
        <v>17.633411486304666</v>
      </c>
      <c r="U771" s="874">
        <f t="shared" si="346"/>
        <v>15.750000000000004</v>
      </c>
      <c r="V771" s="873">
        <f t="shared" si="347"/>
        <v>7</v>
      </c>
      <c r="W771" s="873">
        <f t="shared" si="348"/>
        <v>3</v>
      </c>
      <c r="X771" s="873">
        <f t="shared" si="349"/>
        <v>0</v>
      </c>
      <c r="Y771" s="873">
        <f t="shared" si="350"/>
        <v>1</v>
      </c>
      <c r="Z771" s="873">
        <f t="shared" si="351"/>
        <v>4</v>
      </c>
      <c r="AA771" s="873">
        <f t="shared" si="352"/>
        <v>9</v>
      </c>
      <c r="AB771" s="874">
        <f t="shared" si="353"/>
        <v>13.960871651185032</v>
      </c>
    </row>
    <row r="772" spans="1:28">
      <c r="A772" s="210">
        <f t="shared" si="354"/>
        <v>6</v>
      </c>
      <c r="B772" s="210">
        <f>$F$575</f>
        <v>7</v>
      </c>
      <c r="C772" s="210">
        <f t="shared" si="355"/>
        <v>10</v>
      </c>
      <c r="D772" s="210">
        <f t="shared" si="355"/>
        <v>161</v>
      </c>
      <c r="E772" s="237">
        <f t="shared" si="336"/>
        <v>1</v>
      </c>
      <c r="F772" s="1208">
        <f t="shared" si="333"/>
        <v>1</v>
      </c>
      <c r="G772" s="210">
        <f t="shared" si="334"/>
        <v>0.8</v>
      </c>
      <c r="I772" s="233">
        <f t="shared" si="337"/>
        <v>11.200000000000003</v>
      </c>
      <c r="J772" s="210">
        <f t="shared" si="338"/>
        <v>0.8</v>
      </c>
      <c r="L772" s="233">
        <f t="shared" si="339"/>
        <v>5.9200000000000017</v>
      </c>
      <c r="M772" s="220">
        <f t="shared" si="340"/>
        <v>0.8</v>
      </c>
      <c r="O772" s="873">
        <f t="shared" si="341"/>
        <v>24</v>
      </c>
      <c r="P772" s="873">
        <f t="shared" si="341"/>
        <v>24</v>
      </c>
      <c r="Q772" s="874">
        <f t="shared" si="342"/>
        <v>20.669999999999998</v>
      </c>
      <c r="R772" s="873">
        <f t="shared" si="343"/>
        <v>10</v>
      </c>
      <c r="S772" s="873">
        <f t="shared" si="344"/>
        <v>14</v>
      </c>
      <c r="T772" s="874">
        <f t="shared" si="345"/>
        <v>17.633411486304666</v>
      </c>
      <c r="U772" s="874">
        <f t="shared" si="346"/>
        <v>15.750000000000004</v>
      </c>
      <c r="V772" s="873">
        <f t="shared" si="347"/>
        <v>7</v>
      </c>
      <c r="W772" s="873">
        <f t="shared" si="348"/>
        <v>3</v>
      </c>
      <c r="X772" s="873">
        <f t="shared" si="349"/>
        <v>0</v>
      </c>
      <c r="Y772" s="873">
        <f t="shared" si="350"/>
        <v>1</v>
      </c>
      <c r="Z772" s="873">
        <f t="shared" si="351"/>
        <v>4</v>
      </c>
      <c r="AA772" s="873">
        <f t="shared" si="352"/>
        <v>9</v>
      </c>
      <c r="AB772" s="874">
        <f t="shared" si="353"/>
        <v>13.960871651185032</v>
      </c>
    </row>
    <row r="773" spans="1:28">
      <c r="A773" s="210">
        <f t="shared" si="354"/>
        <v>6</v>
      </c>
      <c r="B773" s="210">
        <f>$F$569</f>
        <v>1</v>
      </c>
      <c r="C773" s="210">
        <f t="shared" ref="C773:D788" si="356">C772+1</f>
        <v>11</v>
      </c>
      <c r="D773" s="210">
        <f t="shared" si="356"/>
        <v>162</v>
      </c>
      <c r="E773" s="237">
        <f t="shared" si="336"/>
        <v>1</v>
      </c>
      <c r="F773" s="1208">
        <f t="shared" si="333"/>
        <v>1</v>
      </c>
      <c r="G773" s="210">
        <f t="shared" si="334"/>
        <v>0.8</v>
      </c>
      <c r="I773" s="233">
        <f t="shared" si="337"/>
        <v>11.200000000000003</v>
      </c>
      <c r="J773" s="210">
        <f t="shared" si="338"/>
        <v>0.8</v>
      </c>
      <c r="L773" s="233">
        <f t="shared" si="339"/>
        <v>5.9200000000000017</v>
      </c>
      <c r="M773" s="220">
        <f t="shared" si="340"/>
        <v>0.8</v>
      </c>
      <c r="O773" s="873">
        <f t="shared" si="341"/>
        <v>24</v>
      </c>
      <c r="P773" s="873">
        <f t="shared" si="341"/>
        <v>24</v>
      </c>
      <c r="Q773" s="874">
        <f t="shared" si="342"/>
        <v>20.669999999999998</v>
      </c>
      <c r="R773" s="873">
        <f t="shared" si="343"/>
        <v>10</v>
      </c>
      <c r="S773" s="873">
        <f t="shared" si="344"/>
        <v>14</v>
      </c>
      <c r="T773" s="874">
        <f t="shared" si="345"/>
        <v>17.633411486304666</v>
      </c>
      <c r="U773" s="874">
        <f t="shared" si="346"/>
        <v>15.750000000000004</v>
      </c>
      <c r="V773" s="873">
        <f t="shared" si="347"/>
        <v>7</v>
      </c>
      <c r="W773" s="873">
        <f t="shared" si="348"/>
        <v>3</v>
      </c>
      <c r="X773" s="873">
        <f t="shared" si="349"/>
        <v>0</v>
      </c>
      <c r="Y773" s="873">
        <f t="shared" si="350"/>
        <v>1</v>
      </c>
      <c r="Z773" s="873">
        <f t="shared" si="351"/>
        <v>4</v>
      </c>
      <c r="AA773" s="873">
        <f t="shared" si="352"/>
        <v>9</v>
      </c>
      <c r="AB773" s="874">
        <f t="shared" si="353"/>
        <v>13.960871651185032</v>
      </c>
    </row>
    <row r="774" spans="1:28">
      <c r="A774" s="210">
        <f t="shared" si="354"/>
        <v>6</v>
      </c>
      <c r="B774" s="210">
        <f>$F$570</f>
        <v>2</v>
      </c>
      <c r="C774" s="210">
        <f t="shared" si="356"/>
        <v>12</v>
      </c>
      <c r="D774" s="210">
        <f t="shared" si="356"/>
        <v>163</v>
      </c>
      <c r="E774" s="237">
        <f t="shared" si="336"/>
        <v>1</v>
      </c>
      <c r="F774" s="1208">
        <f t="shared" si="333"/>
        <v>1</v>
      </c>
      <c r="G774" s="210">
        <f t="shared" si="334"/>
        <v>0.8</v>
      </c>
      <c r="I774" s="233">
        <f t="shared" si="337"/>
        <v>11.200000000000003</v>
      </c>
      <c r="J774" s="210">
        <f t="shared" si="338"/>
        <v>0.8</v>
      </c>
      <c r="L774" s="233">
        <f t="shared" si="339"/>
        <v>5.9200000000000017</v>
      </c>
      <c r="M774" s="220">
        <f t="shared" si="340"/>
        <v>0.8</v>
      </c>
      <c r="O774" s="873">
        <f t="shared" si="341"/>
        <v>24</v>
      </c>
      <c r="P774" s="873">
        <f t="shared" si="341"/>
        <v>24</v>
      </c>
      <c r="Q774" s="874">
        <f t="shared" si="342"/>
        <v>20.669999999999998</v>
      </c>
      <c r="R774" s="873">
        <f t="shared" si="343"/>
        <v>10</v>
      </c>
      <c r="S774" s="873">
        <f t="shared" si="344"/>
        <v>14</v>
      </c>
      <c r="T774" s="874">
        <f t="shared" si="345"/>
        <v>17.633411486304666</v>
      </c>
      <c r="U774" s="874">
        <f t="shared" si="346"/>
        <v>15.750000000000004</v>
      </c>
      <c r="V774" s="873">
        <f t="shared" si="347"/>
        <v>7</v>
      </c>
      <c r="W774" s="873">
        <f t="shared" si="348"/>
        <v>3</v>
      </c>
      <c r="X774" s="873">
        <f t="shared" si="349"/>
        <v>0</v>
      </c>
      <c r="Y774" s="873">
        <f t="shared" si="350"/>
        <v>1</v>
      </c>
      <c r="Z774" s="873">
        <f t="shared" si="351"/>
        <v>4</v>
      </c>
      <c r="AA774" s="873">
        <f t="shared" si="352"/>
        <v>9</v>
      </c>
      <c r="AB774" s="874">
        <f t="shared" si="353"/>
        <v>13.960871651185032</v>
      </c>
    </row>
    <row r="775" spans="1:28">
      <c r="A775" s="210">
        <f t="shared" si="354"/>
        <v>6</v>
      </c>
      <c r="B775" s="210">
        <f>$F$571</f>
        <v>3</v>
      </c>
      <c r="C775" s="210">
        <f t="shared" si="356"/>
        <v>13</v>
      </c>
      <c r="D775" s="210">
        <f t="shared" si="356"/>
        <v>164</v>
      </c>
      <c r="E775" s="237">
        <f t="shared" si="336"/>
        <v>1</v>
      </c>
      <c r="F775" s="1208">
        <f t="shared" si="333"/>
        <v>1</v>
      </c>
      <c r="G775" s="210">
        <f t="shared" si="334"/>
        <v>0.8</v>
      </c>
      <c r="I775" s="233">
        <f t="shared" si="337"/>
        <v>11.200000000000003</v>
      </c>
      <c r="J775" s="210">
        <f t="shared" si="338"/>
        <v>0.8</v>
      </c>
      <c r="L775" s="233">
        <f t="shared" si="339"/>
        <v>5.9200000000000017</v>
      </c>
      <c r="M775" s="220">
        <f t="shared" si="340"/>
        <v>0.8</v>
      </c>
      <c r="O775" s="873">
        <f t="shared" si="341"/>
        <v>24</v>
      </c>
      <c r="P775" s="873">
        <f t="shared" si="341"/>
        <v>24</v>
      </c>
      <c r="Q775" s="874">
        <f t="shared" si="342"/>
        <v>20.669999999999998</v>
      </c>
      <c r="R775" s="873">
        <f t="shared" si="343"/>
        <v>10</v>
      </c>
      <c r="S775" s="873">
        <f t="shared" si="344"/>
        <v>14</v>
      </c>
      <c r="T775" s="874">
        <f t="shared" si="345"/>
        <v>17.633411486304666</v>
      </c>
      <c r="U775" s="874">
        <f t="shared" si="346"/>
        <v>15.750000000000004</v>
      </c>
      <c r="V775" s="873">
        <f t="shared" si="347"/>
        <v>7</v>
      </c>
      <c r="W775" s="873">
        <f t="shared" si="348"/>
        <v>3</v>
      </c>
      <c r="X775" s="873">
        <f t="shared" si="349"/>
        <v>0</v>
      </c>
      <c r="Y775" s="873">
        <f t="shared" si="350"/>
        <v>1</v>
      </c>
      <c r="Z775" s="873">
        <f t="shared" si="351"/>
        <v>4</v>
      </c>
      <c r="AA775" s="873">
        <f t="shared" si="352"/>
        <v>9</v>
      </c>
      <c r="AB775" s="874">
        <f t="shared" si="353"/>
        <v>13.960871651185032</v>
      </c>
    </row>
    <row r="776" spans="1:28">
      <c r="A776" s="210">
        <f t="shared" si="354"/>
        <v>6</v>
      </c>
      <c r="B776" s="210">
        <f>$F$572</f>
        <v>4</v>
      </c>
      <c r="C776" s="210">
        <f t="shared" si="356"/>
        <v>14</v>
      </c>
      <c r="D776" s="210">
        <f t="shared" si="356"/>
        <v>165</v>
      </c>
      <c r="E776" s="237">
        <f t="shared" si="336"/>
        <v>1</v>
      </c>
      <c r="F776" s="1208">
        <f t="shared" si="333"/>
        <v>1</v>
      </c>
      <c r="G776" s="210">
        <f t="shared" si="334"/>
        <v>0.8</v>
      </c>
      <c r="I776" s="233">
        <f t="shared" si="337"/>
        <v>11.200000000000003</v>
      </c>
      <c r="J776" s="210">
        <f t="shared" si="338"/>
        <v>0.8</v>
      </c>
      <c r="L776" s="233">
        <f t="shared" si="339"/>
        <v>5.9200000000000017</v>
      </c>
      <c r="M776" s="220">
        <f t="shared" si="340"/>
        <v>0.8</v>
      </c>
      <c r="O776" s="873">
        <f t="shared" si="341"/>
        <v>24</v>
      </c>
      <c r="P776" s="873">
        <f t="shared" si="341"/>
        <v>24</v>
      </c>
      <c r="Q776" s="874">
        <f t="shared" si="342"/>
        <v>20.669999999999998</v>
      </c>
      <c r="R776" s="873">
        <f t="shared" si="343"/>
        <v>10</v>
      </c>
      <c r="S776" s="873">
        <f t="shared" si="344"/>
        <v>14</v>
      </c>
      <c r="T776" s="874">
        <f t="shared" si="345"/>
        <v>17.633411486304666</v>
      </c>
      <c r="U776" s="874">
        <f t="shared" si="346"/>
        <v>15.750000000000004</v>
      </c>
      <c r="V776" s="873">
        <f t="shared" si="347"/>
        <v>7</v>
      </c>
      <c r="W776" s="873">
        <f t="shared" si="348"/>
        <v>3</v>
      </c>
      <c r="X776" s="873">
        <f t="shared" si="349"/>
        <v>0</v>
      </c>
      <c r="Y776" s="873">
        <f t="shared" si="350"/>
        <v>1</v>
      </c>
      <c r="Z776" s="873">
        <f t="shared" si="351"/>
        <v>4</v>
      </c>
      <c r="AA776" s="873">
        <f t="shared" si="352"/>
        <v>9</v>
      </c>
      <c r="AB776" s="874">
        <f t="shared" si="353"/>
        <v>13.960871651185032</v>
      </c>
    </row>
    <row r="777" spans="1:28">
      <c r="A777" s="210">
        <f t="shared" si="354"/>
        <v>6</v>
      </c>
      <c r="B777" s="210">
        <f>$F$573</f>
        <v>5</v>
      </c>
      <c r="C777" s="210">
        <f t="shared" si="356"/>
        <v>15</v>
      </c>
      <c r="D777" s="210">
        <f t="shared" si="356"/>
        <v>166</v>
      </c>
      <c r="E777" s="237">
        <f t="shared" si="336"/>
        <v>1</v>
      </c>
      <c r="F777" s="1208">
        <f t="shared" si="333"/>
        <v>1</v>
      </c>
      <c r="G777" s="210">
        <f t="shared" si="334"/>
        <v>0.8</v>
      </c>
      <c r="I777" s="233">
        <f t="shared" si="337"/>
        <v>11.200000000000003</v>
      </c>
      <c r="J777" s="210">
        <f t="shared" si="338"/>
        <v>0.8</v>
      </c>
      <c r="L777" s="233">
        <f t="shared" si="339"/>
        <v>5.9200000000000017</v>
      </c>
      <c r="M777" s="220">
        <f t="shared" si="340"/>
        <v>0.8</v>
      </c>
      <c r="O777" s="873">
        <f t="shared" si="341"/>
        <v>24</v>
      </c>
      <c r="P777" s="873">
        <f t="shared" si="341"/>
        <v>24</v>
      </c>
      <c r="Q777" s="874">
        <f t="shared" si="342"/>
        <v>20.669999999999998</v>
      </c>
      <c r="R777" s="873">
        <f t="shared" si="343"/>
        <v>10</v>
      </c>
      <c r="S777" s="873">
        <f t="shared" si="344"/>
        <v>14</v>
      </c>
      <c r="T777" s="874">
        <f t="shared" si="345"/>
        <v>17.633411486304666</v>
      </c>
      <c r="U777" s="874">
        <f t="shared" si="346"/>
        <v>15.750000000000004</v>
      </c>
      <c r="V777" s="873">
        <f t="shared" si="347"/>
        <v>7</v>
      </c>
      <c r="W777" s="873">
        <f t="shared" si="348"/>
        <v>3</v>
      </c>
      <c r="X777" s="873">
        <f t="shared" si="349"/>
        <v>0</v>
      </c>
      <c r="Y777" s="873">
        <f t="shared" si="350"/>
        <v>1</v>
      </c>
      <c r="Z777" s="873">
        <f t="shared" si="351"/>
        <v>4</v>
      </c>
      <c r="AA777" s="873">
        <f t="shared" si="352"/>
        <v>9</v>
      </c>
      <c r="AB777" s="874">
        <f t="shared" si="353"/>
        <v>13.960871651185032</v>
      </c>
    </row>
    <row r="778" spans="1:28">
      <c r="A778" s="210">
        <f t="shared" si="354"/>
        <v>6</v>
      </c>
      <c r="B778" s="210">
        <f>$F$574</f>
        <v>6</v>
      </c>
      <c r="C778" s="210">
        <f t="shared" si="356"/>
        <v>16</v>
      </c>
      <c r="D778" s="210">
        <f t="shared" si="356"/>
        <v>167</v>
      </c>
      <c r="E778" s="237">
        <f t="shared" si="336"/>
        <v>1</v>
      </c>
      <c r="F778" s="1208">
        <f t="shared" si="333"/>
        <v>1</v>
      </c>
      <c r="G778" s="210">
        <f t="shared" si="334"/>
        <v>0.8</v>
      </c>
      <c r="I778" s="233">
        <f t="shared" si="337"/>
        <v>11.200000000000003</v>
      </c>
      <c r="J778" s="210">
        <f t="shared" si="338"/>
        <v>0.8</v>
      </c>
      <c r="L778" s="233">
        <f t="shared" si="339"/>
        <v>5.9200000000000017</v>
      </c>
      <c r="M778" s="220">
        <f t="shared" si="340"/>
        <v>0.8</v>
      </c>
      <c r="O778" s="873">
        <f t="shared" si="341"/>
        <v>24</v>
      </c>
      <c r="P778" s="873">
        <f t="shared" si="341"/>
        <v>24</v>
      </c>
      <c r="Q778" s="874">
        <f t="shared" si="342"/>
        <v>20.669999999999998</v>
      </c>
      <c r="R778" s="873">
        <f t="shared" si="343"/>
        <v>10</v>
      </c>
      <c r="S778" s="873">
        <f t="shared" si="344"/>
        <v>14</v>
      </c>
      <c r="T778" s="874">
        <f t="shared" si="345"/>
        <v>17.633411486304666</v>
      </c>
      <c r="U778" s="874">
        <f t="shared" si="346"/>
        <v>15.750000000000004</v>
      </c>
      <c r="V778" s="873">
        <f t="shared" si="347"/>
        <v>7</v>
      </c>
      <c r="W778" s="873">
        <f t="shared" si="348"/>
        <v>3</v>
      </c>
      <c r="X778" s="873">
        <f t="shared" si="349"/>
        <v>0</v>
      </c>
      <c r="Y778" s="873">
        <f t="shared" si="350"/>
        <v>1</v>
      </c>
      <c r="Z778" s="873">
        <f t="shared" si="351"/>
        <v>4</v>
      </c>
      <c r="AA778" s="873">
        <f t="shared" si="352"/>
        <v>9</v>
      </c>
      <c r="AB778" s="874">
        <f t="shared" si="353"/>
        <v>13.960871651185032</v>
      </c>
    </row>
    <row r="779" spans="1:28">
      <c r="A779" s="210">
        <f t="shared" si="354"/>
        <v>6</v>
      </c>
      <c r="B779" s="210">
        <f>$F$575</f>
        <v>7</v>
      </c>
      <c r="C779" s="210">
        <f t="shared" si="356"/>
        <v>17</v>
      </c>
      <c r="D779" s="210">
        <f t="shared" si="356"/>
        <v>168</v>
      </c>
      <c r="E779" s="237">
        <f t="shared" si="336"/>
        <v>1</v>
      </c>
      <c r="F779" s="1208">
        <f t="shared" si="333"/>
        <v>1</v>
      </c>
      <c r="G779" s="210">
        <f t="shared" si="334"/>
        <v>0.8</v>
      </c>
      <c r="I779" s="233">
        <f t="shared" si="337"/>
        <v>11.200000000000003</v>
      </c>
      <c r="J779" s="210">
        <f t="shared" si="338"/>
        <v>0.8</v>
      </c>
      <c r="L779" s="233">
        <f t="shared" si="339"/>
        <v>5.9200000000000017</v>
      </c>
      <c r="M779" s="220">
        <f t="shared" si="340"/>
        <v>0.8</v>
      </c>
      <c r="O779" s="873">
        <f t="shared" si="341"/>
        <v>24</v>
      </c>
      <c r="P779" s="873">
        <f t="shared" si="341"/>
        <v>24</v>
      </c>
      <c r="Q779" s="874">
        <f t="shared" si="342"/>
        <v>20.669999999999998</v>
      </c>
      <c r="R779" s="873">
        <f t="shared" si="343"/>
        <v>10</v>
      </c>
      <c r="S779" s="873">
        <f t="shared" si="344"/>
        <v>14</v>
      </c>
      <c r="T779" s="874">
        <f t="shared" si="345"/>
        <v>17.633411486304666</v>
      </c>
      <c r="U779" s="874">
        <f t="shared" si="346"/>
        <v>15.750000000000004</v>
      </c>
      <c r="V779" s="873">
        <f t="shared" si="347"/>
        <v>7</v>
      </c>
      <c r="W779" s="873">
        <f t="shared" si="348"/>
        <v>3</v>
      </c>
      <c r="X779" s="873">
        <f t="shared" si="349"/>
        <v>0</v>
      </c>
      <c r="Y779" s="873">
        <f t="shared" si="350"/>
        <v>1</v>
      </c>
      <c r="Z779" s="873">
        <f t="shared" si="351"/>
        <v>4</v>
      </c>
      <c r="AA779" s="873">
        <f t="shared" si="352"/>
        <v>9</v>
      </c>
      <c r="AB779" s="874">
        <f t="shared" si="353"/>
        <v>13.960871651185032</v>
      </c>
    </row>
    <row r="780" spans="1:28">
      <c r="A780" s="210">
        <f t="shared" si="354"/>
        <v>6</v>
      </c>
      <c r="B780" s="210">
        <f>$F$569</f>
        <v>1</v>
      </c>
      <c r="C780" s="210">
        <f t="shared" si="356"/>
        <v>18</v>
      </c>
      <c r="D780" s="210">
        <f t="shared" si="356"/>
        <v>169</v>
      </c>
      <c r="E780" s="237">
        <f t="shared" si="336"/>
        <v>1</v>
      </c>
      <c r="F780" s="1208">
        <f t="shared" si="333"/>
        <v>1</v>
      </c>
      <c r="G780" s="210">
        <f t="shared" si="334"/>
        <v>0.8</v>
      </c>
      <c r="I780" s="233">
        <f t="shared" si="337"/>
        <v>11.200000000000003</v>
      </c>
      <c r="J780" s="210">
        <f t="shared" si="338"/>
        <v>0.8</v>
      </c>
      <c r="L780" s="233">
        <f t="shared" si="339"/>
        <v>5.9200000000000017</v>
      </c>
      <c r="M780" s="220">
        <f t="shared" si="340"/>
        <v>0.8</v>
      </c>
      <c r="O780" s="873">
        <f t="shared" si="341"/>
        <v>24</v>
      </c>
      <c r="P780" s="873">
        <f t="shared" si="341"/>
        <v>24</v>
      </c>
      <c r="Q780" s="874">
        <f t="shared" si="342"/>
        <v>20.669999999999998</v>
      </c>
      <c r="R780" s="873">
        <f t="shared" si="343"/>
        <v>10</v>
      </c>
      <c r="S780" s="873">
        <f t="shared" si="344"/>
        <v>14</v>
      </c>
      <c r="T780" s="874">
        <f t="shared" si="345"/>
        <v>17.633411486304666</v>
      </c>
      <c r="U780" s="874">
        <f t="shared" si="346"/>
        <v>15.750000000000004</v>
      </c>
      <c r="V780" s="873">
        <f t="shared" si="347"/>
        <v>7</v>
      </c>
      <c r="W780" s="873">
        <f t="shared" si="348"/>
        <v>3</v>
      </c>
      <c r="X780" s="873">
        <f t="shared" si="349"/>
        <v>0</v>
      </c>
      <c r="Y780" s="873">
        <f t="shared" si="350"/>
        <v>1</v>
      </c>
      <c r="Z780" s="873">
        <f t="shared" si="351"/>
        <v>4</v>
      </c>
      <c r="AA780" s="873">
        <f t="shared" si="352"/>
        <v>9</v>
      </c>
      <c r="AB780" s="874">
        <f t="shared" si="353"/>
        <v>13.960871651185032</v>
      </c>
    </row>
    <row r="781" spans="1:28">
      <c r="A781" s="210">
        <f t="shared" si="354"/>
        <v>6</v>
      </c>
      <c r="B781" s="210">
        <f>$F$570</f>
        <v>2</v>
      </c>
      <c r="C781" s="210">
        <f t="shared" si="356"/>
        <v>19</v>
      </c>
      <c r="D781" s="210">
        <f t="shared" si="356"/>
        <v>170</v>
      </c>
      <c r="E781" s="237">
        <f t="shared" si="336"/>
        <v>1</v>
      </c>
      <c r="F781" s="1208">
        <f t="shared" si="333"/>
        <v>1</v>
      </c>
      <c r="G781" s="210">
        <f t="shared" si="334"/>
        <v>0.8</v>
      </c>
      <c r="I781" s="233">
        <f t="shared" si="337"/>
        <v>11.200000000000003</v>
      </c>
      <c r="J781" s="210">
        <f t="shared" si="338"/>
        <v>0.8</v>
      </c>
      <c r="L781" s="233">
        <f t="shared" si="339"/>
        <v>5.9200000000000017</v>
      </c>
      <c r="M781" s="220">
        <f t="shared" si="340"/>
        <v>0.8</v>
      </c>
      <c r="O781" s="873">
        <f t="shared" si="341"/>
        <v>24</v>
      </c>
      <c r="P781" s="873">
        <f t="shared" si="341"/>
        <v>24</v>
      </c>
      <c r="Q781" s="874">
        <f t="shared" si="342"/>
        <v>20.669999999999998</v>
      </c>
      <c r="R781" s="873">
        <f t="shared" si="343"/>
        <v>10</v>
      </c>
      <c r="S781" s="873">
        <f t="shared" si="344"/>
        <v>14</v>
      </c>
      <c r="T781" s="874">
        <f t="shared" si="345"/>
        <v>17.633411486304666</v>
      </c>
      <c r="U781" s="874">
        <f t="shared" si="346"/>
        <v>15.750000000000004</v>
      </c>
      <c r="V781" s="873">
        <f t="shared" si="347"/>
        <v>7</v>
      </c>
      <c r="W781" s="873">
        <f t="shared" si="348"/>
        <v>3</v>
      </c>
      <c r="X781" s="873">
        <f t="shared" si="349"/>
        <v>0</v>
      </c>
      <c r="Y781" s="873">
        <f t="shared" si="350"/>
        <v>1</v>
      </c>
      <c r="Z781" s="873">
        <f t="shared" si="351"/>
        <v>4</v>
      </c>
      <c r="AA781" s="873">
        <f t="shared" si="352"/>
        <v>9</v>
      </c>
      <c r="AB781" s="874">
        <f t="shared" si="353"/>
        <v>13.960871651185032</v>
      </c>
    </row>
    <row r="782" spans="1:28">
      <c r="A782" s="210">
        <f t="shared" si="354"/>
        <v>6</v>
      </c>
      <c r="B782" s="210">
        <f>$F$571</f>
        <v>3</v>
      </c>
      <c r="C782" s="210">
        <f t="shared" si="356"/>
        <v>20</v>
      </c>
      <c r="D782" s="210">
        <f t="shared" si="356"/>
        <v>171</v>
      </c>
      <c r="E782" s="237">
        <f t="shared" si="336"/>
        <v>1</v>
      </c>
      <c r="F782" s="1208">
        <f t="shared" si="333"/>
        <v>1</v>
      </c>
      <c r="G782" s="210">
        <f t="shared" si="334"/>
        <v>0.8</v>
      </c>
      <c r="I782" s="233">
        <f t="shared" si="337"/>
        <v>11.200000000000003</v>
      </c>
      <c r="J782" s="210">
        <f t="shared" si="338"/>
        <v>0.8</v>
      </c>
      <c r="L782" s="233">
        <f t="shared" si="339"/>
        <v>5.9200000000000017</v>
      </c>
      <c r="M782" s="220">
        <f t="shared" si="340"/>
        <v>0.8</v>
      </c>
      <c r="O782" s="873">
        <f t="shared" si="341"/>
        <v>24</v>
      </c>
      <c r="P782" s="873">
        <f t="shared" si="341"/>
        <v>24</v>
      </c>
      <c r="Q782" s="874">
        <f t="shared" si="342"/>
        <v>20.669999999999998</v>
      </c>
      <c r="R782" s="873">
        <f t="shared" si="343"/>
        <v>10</v>
      </c>
      <c r="S782" s="873">
        <f t="shared" si="344"/>
        <v>14</v>
      </c>
      <c r="T782" s="874">
        <f t="shared" si="345"/>
        <v>17.633411486304666</v>
      </c>
      <c r="U782" s="874">
        <f t="shared" si="346"/>
        <v>15.750000000000004</v>
      </c>
      <c r="V782" s="873">
        <f t="shared" si="347"/>
        <v>7</v>
      </c>
      <c r="W782" s="873">
        <f t="shared" si="348"/>
        <v>3</v>
      </c>
      <c r="X782" s="873">
        <f t="shared" si="349"/>
        <v>0</v>
      </c>
      <c r="Y782" s="873">
        <f t="shared" si="350"/>
        <v>1</v>
      </c>
      <c r="Z782" s="873">
        <f t="shared" si="351"/>
        <v>4</v>
      </c>
      <c r="AA782" s="873">
        <f t="shared" si="352"/>
        <v>9</v>
      </c>
      <c r="AB782" s="874">
        <f t="shared" si="353"/>
        <v>13.960871651185032</v>
      </c>
    </row>
    <row r="783" spans="1:28">
      <c r="A783" s="210">
        <f t="shared" si="354"/>
        <v>6</v>
      </c>
      <c r="B783" s="210">
        <f>$F$572</f>
        <v>4</v>
      </c>
      <c r="C783" s="210">
        <f t="shared" si="356"/>
        <v>21</v>
      </c>
      <c r="D783" s="210">
        <f t="shared" si="356"/>
        <v>172</v>
      </c>
      <c r="E783" s="237">
        <f t="shared" si="336"/>
        <v>1</v>
      </c>
      <c r="F783" s="1208">
        <f t="shared" si="333"/>
        <v>1</v>
      </c>
      <c r="G783" s="210">
        <f t="shared" si="334"/>
        <v>0.8</v>
      </c>
      <c r="I783" s="233">
        <f t="shared" si="337"/>
        <v>11.200000000000003</v>
      </c>
      <c r="J783" s="210">
        <f t="shared" si="338"/>
        <v>0.8</v>
      </c>
      <c r="L783" s="233">
        <f t="shared" si="339"/>
        <v>5.9200000000000017</v>
      </c>
      <c r="M783" s="220">
        <f t="shared" si="340"/>
        <v>0.8</v>
      </c>
      <c r="O783" s="873">
        <f t="shared" si="341"/>
        <v>24</v>
      </c>
      <c r="P783" s="873">
        <f t="shared" si="341"/>
        <v>24</v>
      </c>
      <c r="Q783" s="874">
        <f t="shared" si="342"/>
        <v>20.669999999999998</v>
      </c>
      <c r="R783" s="873">
        <f t="shared" si="343"/>
        <v>10</v>
      </c>
      <c r="S783" s="873">
        <f t="shared" si="344"/>
        <v>14</v>
      </c>
      <c r="T783" s="874">
        <f t="shared" si="345"/>
        <v>17.633411486304666</v>
      </c>
      <c r="U783" s="874">
        <f t="shared" si="346"/>
        <v>15.750000000000004</v>
      </c>
      <c r="V783" s="873">
        <f t="shared" si="347"/>
        <v>7</v>
      </c>
      <c r="W783" s="873">
        <f t="shared" si="348"/>
        <v>3</v>
      </c>
      <c r="X783" s="873">
        <f t="shared" si="349"/>
        <v>0</v>
      </c>
      <c r="Y783" s="873">
        <f t="shared" si="350"/>
        <v>1</v>
      </c>
      <c r="Z783" s="873">
        <f t="shared" si="351"/>
        <v>4</v>
      </c>
      <c r="AA783" s="873">
        <f t="shared" si="352"/>
        <v>9</v>
      </c>
      <c r="AB783" s="874">
        <f t="shared" si="353"/>
        <v>13.960871651185032</v>
      </c>
    </row>
    <row r="784" spans="1:28">
      <c r="A784" s="210">
        <f t="shared" si="354"/>
        <v>6</v>
      </c>
      <c r="B784" s="210">
        <f>$F$573</f>
        <v>5</v>
      </c>
      <c r="C784" s="210">
        <f t="shared" si="356"/>
        <v>22</v>
      </c>
      <c r="D784" s="210">
        <f t="shared" si="356"/>
        <v>173</v>
      </c>
      <c r="E784" s="237">
        <f t="shared" si="336"/>
        <v>1</v>
      </c>
      <c r="F784" s="1208">
        <f t="shared" si="333"/>
        <v>1</v>
      </c>
      <c r="G784" s="210">
        <f t="shared" si="334"/>
        <v>0.8</v>
      </c>
      <c r="I784" s="233">
        <f t="shared" si="337"/>
        <v>11.200000000000003</v>
      </c>
      <c r="J784" s="210">
        <f t="shared" si="338"/>
        <v>0.8</v>
      </c>
      <c r="L784" s="233">
        <f t="shared" si="339"/>
        <v>5.9200000000000017</v>
      </c>
      <c r="M784" s="220">
        <f t="shared" si="340"/>
        <v>0.8</v>
      </c>
      <c r="O784" s="873">
        <f t="shared" si="341"/>
        <v>24</v>
      </c>
      <c r="P784" s="873">
        <f t="shared" si="341"/>
        <v>24</v>
      </c>
      <c r="Q784" s="874">
        <f t="shared" si="342"/>
        <v>20.669999999999998</v>
      </c>
      <c r="R784" s="873">
        <f t="shared" si="343"/>
        <v>10</v>
      </c>
      <c r="S784" s="873">
        <f t="shared" si="344"/>
        <v>14</v>
      </c>
      <c r="T784" s="874">
        <f t="shared" si="345"/>
        <v>17.633411486304666</v>
      </c>
      <c r="U784" s="874">
        <f t="shared" si="346"/>
        <v>15.750000000000004</v>
      </c>
      <c r="V784" s="873">
        <f t="shared" si="347"/>
        <v>7</v>
      </c>
      <c r="W784" s="873">
        <f t="shared" si="348"/>
        <v>3</v>
      </c>
      <c r="X784" s="873">
        <f t="shared" si="349"/>
        <v>0</v>
      </c>
      <c r="Y784" s="873">
        <f t="shared" si="350"/>
        <v>1</v>
      </c>
      <c r="Z784" s="873">
        <f t="shared" si="351"/>
        <v>4</v>
      </c>
      <c r="AA784" s="873">
        <f t="shared" si="352"/>
        <v>9</v>
      </c>
      <c r="AB784" s="874">
        <f t="shared" si="353"/>
        <v>13.960871651185032</v>
      </c>
    </row>
    <row r="785" spans="1:28">
      <c r="A785" s="210">
        <f t="shared" si="354"/>
        <v>6</v>
      </c>
      <c r="B785" s="210">
        <f>$F$574</f>
        <v>6</v>
      </c>
      <c r="C785" s="210">
        <f t="shared" si="356"/>
        <v>23</v>
      </c>
      <c r="D785" s="210">
        <f t="shared" si="356"/>
        <v>174</v>
      </c>
      <c r="E785" s="237">
        <f t="shared" si="336"/>
        <v>1</v>
      </c>
      <c r="F785" s="1208">
        <f t="shared" si="333"/>
        <v>1</v>
      </c>
      <c r="G785" s="210">
        <f t="shared" si="334"/>
        <v>0.8</v>
      </c>
      <c r="I785" s="233">
        <f t="shared" si="337"/>
        <v>11.200000000000003</v>
      </c>
      <c r="J785" s="210">
        <f t="shared" si="338"/>
        <v>0.8</v>
      </c>
      <c r="L785" s="233">
        <f t="shared" si="339"/>
        <v>5.9200000000000017</v>
      </c>
      <c r="M785" s="220">
        <f t="shared" si="340"/>
        <v>0.8</v>
      </c>
      <c r="O785" s="873">
        <f t="shared" si="341"/>
        <v>24</v>
      </c>
      <c r="P785" s="873">
        <f t="shared" si="341"/>
        <v>24</v>
      </c>
      <c r="Q785" s="874">
        <f t="shared" si="342"/>
        <v>20.669999999999998</v>
      </c>
      <c r="R785" s="873">
        <f t="shared" si="343"/>
        <v>10</v>
      </c>
      <c r="S785" s="873">
        <f t="shared" si="344"/>
        <v>14</v>
      </c>
      <c r="T785" s="874">
        <f t="shared" si="345"/>
        <v>17.633411486304666</v>
      </c>
      <c r="U785" s="874">
        <f t="shared" si="346"/>
        <v>15.750000000000004</v>
      </c>
      <c r="V785" s="873">
        <f t="shared" si="347"/>
        <v>7</v>
      </c>
      <c r="W785" s="873">
        <f t="shared" si="348"/>
        <v>3</v>
      </c>
      <c r="X785" s="873">
        <f t="shared" si="349"/>
        <v>0</v>
      </c>
      <c r="Y785" s="873">
        <f t="shared" si="350"/>
        <v>1</v>
      </c>
      <c r="Z785" s="873">
        <f t="shared" si="351"/>
        <v>4</v>
      </c>
      <c r="AA785" s="873">
        <f t="shared" si="352"/>
        <v>9</v>
      </c>
      <c r="AB785" s="874">
        <f t="shared" si="353"/>
        <v>13.960871651185032</v>
      </c>
    </row>
    <row r="786" spans="1:28">
      <c r="A786" s="210">
        <f t="shared" si="354"/>
        <v>6</v>
      </c>
      <c r="B786" s="210">
        <f>$F$575</f>
        <v>7</v>
      </c>
      <c r="C786" s="210">
        <f t="shared" si="356"/>
        <v>24</v>
      </c>
      <c r="D786" s="210">
        <f t="shared" si="356"/>
        <v>175</v>
      </c>
      <c r="E786" s="237">
        <f t="shared" si="336"/>
        <v>1</v>
      </c>
      <c r="F786" s="1208">
        <f t="shared" si="333"/>
        <v>1</v>
      </c>
      <c r="G786" s="210">
        <f t="shared" si="334"/>
        <v>0.8</v>
      </c>
      <c r="I786" s="233">
        <f t="shared" si="337"/>
        <v>11.200000000000003</v>
      </c>
      <c r="J786" s="210">
        <f t="shared" si="338"/>
        <v>0.8</v>
      </c>
      <c r="L786" s="233">
        <f t="shared" si="339"/>
        <v>5.9200000000000017</v>
      </c>
      <c r="M786" s="220">
        <f t="shared" si="340"/>
        <v>0.8</v>
      </c>
      <c r="O786" s="873">
        <f t="shared" si="341"/>
        <v>24</v>
      </c>
      <c r="P786" s="873">
        <f t="shared" si="341"/>
        <v>24</v>
      </c>
      <c r="Q786" s="874">
        <f t="shared" si="342"/>
        <v>20.669999999999998</v>
      </c>
      <c r="R786" s="873">
        <f t="shared" si="343"/>
        <v>10</v>
      </c>
      <c r="S786" s="873">
        <f t="shared" si="344"/>
        <v>14</v>
      </c>
      <c r="T786" s="874">
        <f t="shared" si="345"/>
        <v>17.633411486304666</v>
      </c>
      <c r="U786" s="874">
        <f t="shared" si="346"/>
        <v>15.750000000000004</v>
      </c>
      <c r="V786" s="873">
        <f t="shared" si="347"/>
        <v>7</v>
      </c>
      <c r="W786" s="873">
        <f t="shared" si="348"/>
        <v>3</v>
      </c>
      <c r="X786" s="873">
        <f t="shared" si="349"/>
        <v>0</v>
      </c>
      <c r="Y786" s="873">
        <f t="shared" si="350"/>
        <v>1</v>
      </c>
      <c r="Z786" s="873">
        <f t="shared" si="351"/>
        <v>4</v>
      </c>
      <c r="AA786" s="873">
        <f t="shared" si="352"/>
        <v>9</v>
      </c>
      <c r="AB786" s="874">
        <f t="shared" si="353"/>
        <v>13.960871651185032</v>
      </c>
    </row>
    <row r="787" spans="1:28">
      <c r="A787" s="210">
        <f t="shared" si="354"/>
        <v>6</v>
      </c>
      <c r="B787" s="210">
        <f>$F$569</f>
        <v>1</v>
      </c>
      <c r="C787" s="210">
        <f t="shared" si="356"/>
        <v>25</v>
      </c>
      <c r="D787" s="210">
        <f t="shared" si="356"/>
        <v>176</v>
      </c>
      <c r="E787" s="237">
        <f t="shared" si="336"/>
        <v>1</v>
      </c>
      <c r="F787" s="1208">
        <f t="shared" si="333"/>
        <v>1</v>
      </c>
      <c r="G787" s="210">
        <f t="shared" si="334"/>
        <v>0.8</v>
      </c>
      <c r="I787" s="233">
        <f t="shared" si="337"/>
        <v>11.200000000000003</v>
      </c>
      <c r="J787" s="210">
        <f t="shared" si="338"/>
        <v>0.8</v>
      </c>
      <c r="L787" s="233">
        <f t="shared" si="339"/>
        <v>5.9200000000000017</v>
      </c>
      <c r="M787" s="220">
        <f t="shared" si="340"/>
        <v>0.8</v>
      </c>
      <c r="O787" s="873">
        <f t="shared" si="341"/>
        <v>24</v>
      </c>
      <c r="P787" s="873">
        <f t="shared" si="341"/>
        <v>24</v>
      </c>
      <c r="Q787" s="874">
        <f t="shared" si="342"/>
        <v>20.669999999999998</v>
      </c>
      <c r="R787" s="873">
        <f t="shared" si="343"/>
        <v>10</v>
      </c>
      <c r="S787" s="873">
        <f t="shared" si="344"/>
        <v>14</v>
      </c>
      <c r="T787" s="874">
        <f t="shared" si="345"/>
        <v>17.633411486304666</v>
      </c>
      <c r="U787" s="874">
        <f t="shared" si="346"/>
        <v>15.750000000000004</v>
      </c>
      <c r="V787" s="873">
        <f t="shared" si="347"/>
        <v>7</v>
      </c>
      <c r="W787" s="873">
        <f t="shared" si="348"/>
        <v>3</v>
      </c>
      <c r="X787" s="873">
        <f t="shared" si="349"/>
        <v>0</v>
      </c>
      <c r="Y787" s="873">
        <f t="shared" si="350"/>
        <v>1</v>
      </c>
      <c r="Z787" s="873">
        <f t="shared" si="351"/>
        <v>4</v>
      </c>
      <c r="AA787" s="873">
        <f t="shared" si="352"/>
        <v>9</v>
      </c>
      <c r="AB787" s="874">
        <f t="shared" si="353"/>
        <v>13.960871651185032</v>
      </c>
    </row>
    <row r="788" spans="1:28">
      <c r="A788" s="210">
        <f t="shared" si="354"/>
        <v>6</v>
      </c>
      <c r="B788" s="210">
        <f>$F$570</f>
        <v>2</v>
      </c>
      <c r="C788" s="210">
        <f t="shared" si="356"/>
        <v>26</v>
      </c>
      <c r="D788" s="210">
        <f t="shared" si="356"/>
        <v>177</v>
      </c>
      <c r="E788" s="237">
        <f t="shared" si="336"/>
        <v>1</v>
      </c>
      <c r="F788" s="1208">
        <f t="shared" si="333"/>
        <v>1</v>
      </c>
      <c r="G788" s="210">
        <f t="shared" si="334"/>
        <v>0.8</v>
      </c>
      <c r="I788" s="233">
        <f t="shared" si="337"/>
        <v>11.200000000000003</v>
      </c>
      <c r="J788" s="210">
        <f t="shared" si="338"/>
        <v>0.8</v>
      </c>
      <c r="L788" s="233">
        <f t="shared" si="339"/>
        <v>5.9200000000000017</v>
      </c>
      <c r="M788" s="220">
        <f t="shared" si="340"/>
        <v>0.8</v>
      </c>
      <c r="O788" s="873">
        <f t="shared" si="341"/>
        <v>24</v>
      </c>
      <c r="P788" s="873">
        <f t="shared" si="341"/>
        <v>24</v>
      </c>
      <c r="Q788" s="874">
        <f t="shared" si="342"/>
        <v>20.669999999999998</v>
      </c>
      <c r="R788" s="873">
        <f t="shared" si="343"/>
        <v>10</v>
      </c>
      <c r="S788" s="873">
        <f t="shared" si="344"/>
        <v>14</v>
      </c>
      <c r="T788" s="874">
        <f t="shared" si="345"/>
        <v>17.633411486304666</v>
      </c>
      <c r="U788" s="874">
        <f t="shared" si="346"/>
        <v>15.750000000000004</v>
      </c>
      <c r="V788" s="873">
        <f t="shared" si="347"/>
        <v>7</v>
      </c>
      <c r="W788" s="873">
        <f t="shared" si="348"/>
        <v>3</v>
      </c>
      <c r="X788" s="873">
        <f t="shared" si="349"/>
        <v>0</v>
      </c>
      <c r="Y788" s="873">
        <f t="shared" si="350"/>
        <v>1</v>
      </c>
      <c r="Z788" s="873">
        <f t="shared" si="351"/>
        <v>4</v>
      </c>
      <c r="AA788" s="873">
        <f t="shared" si="352"/>
        <v>9</v>
      </c>
      <c r="AB788" s="874">
        <f t="shared" si="353"/>
        <v>13.960871651185032</v>
      </c>
    </row>
    <row r="789" spans="1:28">
      <c r="A789" s="210">
        <f t="shared" si="354"/>
        <v>6</v>
      </c>
      <c r="B789" s="210">
        <f>$F$571</f>
        <v>3</v>
      </c>
      <c r="C789" s="210">
        <f t="shared" ref="C789:D804" si="357">C788+1</f>
        <v>27</v>
      </c>
      <c r="D789" s="210">
        <f t="shared" si="357"/>
        <v>178</v>
      </c>
      <c r="E789" s="237">
        <f t="shared" si="336"/>
        <v>1</v>
      </c>
      <c r="F789" s="1208">
        <f t="shared" si="333"/>
        <v>1</v>
      </c>
      <c r="G789" s="210">
        <f t="shared" si="334"/>
        <v>0.8</v>
      </c>
      <c r="I789" s="233">
        <f t="shared" si="337"/>
        <v>11.200000000000003</v>
      </c>
      <c r="J789" s="210">
        <f t="shared" si="338"/>
        <v>0.8</v>
      </c>
      <c r="L789" s="233">
        <f t="shared" si="339"/>
        <v>5.9200000000000017</v>
      </c>
      <c r="M789" s="220">
        <f t="shared" si="340"/>
        <v>0.8</v>
      </c>
      <c r="O789" s="873">
        <f t="shared" si="341"/>
        <v>24</v>
      </c>
      <c r="P789" s="873">
        <f t="shared" si="341"/>
        <v>24</v>
      </c>
      <c r="Q789" s="874">
        <f t="shared" si="342"/>
        <v>20.669999999999998</v>
      </c>
      <c r="R789" s="873">
        <f t="shared" si="343"/>
        <v>10</v>
      </c>
      <c r="S789" s="873">
        <f t="shared" si="344"/>
        <v>14</v>
      </c>
      <c r="T789" s="874">
        <f t="shared" si="345"/>
        <v>17.633411486304666</v>
      </c>
      <c r="U789" s="874">
        <f t="shared" si="346"/>
        <v>15.750000000000004</v>
      </c>
      <c r="V789" s="873">
        <f t="shared" si="347"/>
        <v>7</v>
      </c>
      <c r="W789" s="873">
        <f t="shared" si="348"/>
        <v>3</v>
      </c>
      <c r="X789" s="873">
        <f t="shared" si="349"/>
        <v>0</v>
      </c>
      <c r="Y789" s="873">
        <f t="shared" si="350"/>
        <v>1</v>
      </c>
      <c r="Z789" s="873">
        <f t="shared" si="351"/>
        <v>4</v>
      </c>
      <c r="AA789" s="873">
        <f t="shared" si="352"/>
        <v>9</v>
      </c>
      <c r="AB789" s="874">
        <f t="shared" si="353"/>
        <v>13.960871651185032</v>
      </c>
    </row>
    <row r="790" spans="1:28">
      <c r="A790" s="210">
        <f t="shared" si="354"/>
        <v>6</v>
      </c>
      <c r="B790" s="210">
        <f>$F$572</f>
        <v>4</v>
      </c>
      <c r="C790" s="210">
        <f t="shared" si="357"/>
        <v>28</v>
      </c>
      <c r="D790" s="210">
        <f t="shared" si="357"/>
        <v>179</v>
      </c>
      <c r="E790" s="237">
        <f t="shared" si="336"/>
        <v>1</v>
      </c>
      <c r="F790" s="1208">
        <f t="shared" si="333"/>
        <v>1</v>
      </c>
      <c r="G790" s="210">
        <f t="shared" si="334"/>
        <v>0.8</v>
      </c>
      <c r="I790" s="233">
        <f t="shared" si="337"/>
        <v>11.200000000000003</v>
      </c>
      <c r="J790" s="210">
        <f t="shared" si="338"/>
        <v>0.8</v>
      </c>
      <c r="L790" s="233">
        <f t="shared" si="339"/>
        <v>5.9200000000000017</v>
      </c>
      <c r="M790" s="220">
        <f t="shared" si="340"/>
        <v>0.8</v>
      </c>
      <c r="O790" s="873">
        <f t="shared" si="341"/>
        <v>24</v>
      </c>
      <c r="P790" s="873">
        <f t="shared" si="341"/>
        <v>24</v>
      </c>
      <c r="Q790" s="874">
        <f t="shared" si="342"/>
        <v>20.669999999999998</v>
      </c>
      <c r="R790" s="873">
        <f t="shared" si="343"/>
        <v>10</v>
      </c>
      <c r="S790" s="873">
        <f t="shared" si="344"/>
        <v>14</v>
      </c>
      <c r="T790" s="874">
        <f t="shared" si="345"/>
        <v>17.633411486304666</v>
      </c>
      <c r="U790" s="874">
        <f t="shared" si="346"/>
        <v>15.750000000000004</v>
      </c>
      <c r="V790" s="873">
        <f t="shared" si="347"/>
        <v>7</v>
      </c>
      <c r="W790" s="873">
        <f t="shared" si="348"/>
        <v>3</v>
      </c>
      <c r="X790" s="873">
        <f t="shared" si="349"/>
        <v>0</v>
      </c>
      <c r="Y790" s="873">
        <f t="shared" si="350"/>
        <v>1</v>
      </c>
      <c r="Z790" s="873">
        <f t="shared" si="351"/>
        <v>4</v>
      </c>
      <c r="AA790" s="873">
        <f t="shared" si="352"/>
        <v>9</v>
      </c>
      <c r="AB790" s="874">
        <f t="shared" si="353"/>
        <v>13.960871651185032</v>
      </c>
    </row>
    <row r="791" spans="1:28">
      <c r="A791" s="210">
        <f t="shared" si="354"/>
        <v>6</v>
      </c>
      <c r="B791" s="210">
        <f>$F$573</f>
        <v>5</v>
      </c>
      <c r="C791" s="210">
        <f t="shared" si="357"/>
        <v>29</v>
      </c>
      <c r="D791" s="210">
        <f t="shared" si="357"/>
        <v>180</v>
      </c>
      <c r="E791" s="237">
        <f t="shared" si="336"/>
        <v>1</v>
      </c>
      <c r="F791" s="1208">
        <f t="shared" si="333"/>
        <v>1</v>
      </c>
      <c r="G791" s="210">
        <f t="shared" si="334"/>
        <v>0.8</v>
      </c>
      <c r="I791" s="233">
        <f t="shared" si="337"/>
        <v>11.200000000000003</v>
      </c>
      <c r="J791" s="210">
        <f t="shared" si="338"/>
        <v>0.8</v>
      </c>
      <c r="L791" s="233">
        <f t="shared" si="339"/>
        <v>5.9200000000000017</v>
      </c>
      <c r="M791" s="220">
        <f t="shared" si="340"/>
        <v>0.8</v>
      </c>
      <c r="O791" s="873">
        <f t="shared" si="341"/>
        <v>24</v>
      </c>
      <c r="P791" s="873">
        <f t="shared" si="341"/>
        <v>24</v>
      </c>
      <c r="Q791" s="874">
        <f t="shared" si="342"/>
        <v>20.669999999999998</v>
      </c>
      <c r="R791" s="873">
        <f t="shared" si="343"/>
        <v>10</v>
      </c>
      <c r="S791" s="873">
        <f t="shared" si="344"/>
        <v>14</v>
      </c>
      <c r="T791" s="874">
        <f t="shared" si="345"/>
        <v>17.633411486304666</v>
      </c>
      <c r="U791" s="874">
        <f t="shared" si="346"/>
        <v>15.750000000000004</v>
      </c>
      <c r="V791" s="873">
        <f t="shared" si="347"/>
        <v>7</v>
      </c>
      <c r="W791" s="873">
        <f t="shared" si="348"/>
        <v>3</v>
      </c>
      <c r="X791" s="873">
        <f t="shared" si="349"/>
        <v>0</v>
      </c>
      <c r="Y791" s="873">
        <f t="shared" si="350"/>
        <v>1</v>
      </c>
      <c r="Z791" s="873">
        <f t="shared" si="351"/>
        <v>4</v>
      </c>
      <c r="AA791" s="873">
        <f t="shared" si="352"/>
        <v>9</v>
      </c>
      <c r="AB791" s="874">
        <f t="shared" si="353"/>
        <v>13.960871651185032</v>
      </c>
    </row>
    <row r="792" spans="1:28">
      <c r="A792" s="210">
        <f t="shared" si="354"/>
        <v>6</v>
      </c>
      <c r="B792" s="210">
        <f>$F$574</f>
        <v>6</v>
      </c>
      <c r="C792" s="210">
        <f t="shared" si="357"/>
        <v>30</v>
      </c>
      <c r="D792" s="210">
        <f t="shared" si="357"/>
        <v>181</v>
      </c>
      <c r="E792" s="237">
        <f t="shared" si="336"/>
        <v>1</v>
      </c>
      <c r="F792" s="1208">
        <f t="shared" si="333"/>
        <v>1</v>
      </c>
      <c r="G792" s="210">
        <f t="shared" si="334"/>
        <v>0.8</v>
      </c>
      <c r="I792" s="233">
        <f t="shared" si="337"/>
        <v>11.200000000000003</v>
      </c>
      <c r="J792" s="210">
        <f t="shared" si="338"/>
        <v>0.8</v>
      </c>
      <c r="L792" s="233">
        <f t="shared" si="339"/>
        <v>5.9200000000000017</v>
      </c>
      <c r="M792" s="220">
        <f t="shared" si="340"/>
        <v>0.8</v>
      </c>
      <c r="O792" s="873">
        <f t="shared" si="341"/>
        <v>24</v>
      </c>
      <c r="P792" s="873">
        <f t="shared" si="341"/>
        <v>24</v>
      </c>
      <c r="Q792" s="874">
        <f t="shared" si="342"/>
        <v>20.669999999999998</v>
      </c>
      <c r="R792" s="873">
        <f t="shared" si="343"/>
        <v>10</v>
      </c>
      <c r="S792" s="873">
        <f t="shared" si="344"/>
        <v>14</v>
      </c>
      <c r="T792" s="874">
        <f t="shared" si="345"/>
        <v>17.633411486304666</v>
      </c>
      <c r="U792" s="874">
        <f t="shared" si="346"/>
        <v>15.750000000000004</v>
      </c>
      <c r="V792" s="873">
        <f t="shared" si="347"/>
        <v>7</v>
      </c>
      <c r="W792" s="873">
        <f t="shared" si="348"/>
        <v>3</v>
      </c>
      <c r="X792" s="873">
        <f t="shared" si="349"/>
        <v>0</v>
      </c>
      <c r="Y792" s="873">
        <f t="shared" si="350"/>
        <v>1</v>
      </c>
      <c r="Z792" s="873">
        <f t="shared" si="351"/>
        <v>4</v>
      </c>
      <c r="AA792" s="873">
        <f t="shared" si="352"/>
        <v>9</v>
      </c>
      <c r="AB792" s="874">
        <f t="shared" si="353"/>
        <v>13.960871651185032</v>
      </c>
    </row>
    <row r="793" spans="1:28">
      <c r="A793" s="210">
        <v>7</v>
      </c>
      <c r="B793" s="210">
        <f>$F$575</f>
        <v>7</v>
      </c>
      <c r="C793" s="210">
        <v>1</v>
      </c>
      <c r="D793" s="210">
        <f t="shared" si="357"/>
        <v>182</v>
      </c>
      <c r="E793" s="237">
        <f t="shared" si="336"/>
        <v>1</v>
      </c>
      <c r="F793" s="1208">
        <f t="shared" si="333"/>
        <v>0.6</v>
      </c>
      <c r="G793" s="210">
        <f t="shared" si="334"/>
        <v>0.8</v>
      </c>
      <c r="I793" s="233">
        <f t="shared" si="337"/>
        <v>11.200000000000003</v>
      </c>
      <c r="J793" s="210">
        <f t="shared" si="338"/>
        <v>0.8</v>
      </c>
      <c r="L793" s="233">
        <f t="shared" si="339"/>
        <v>5.9200000000000017</v>
      </c>
      <c r="M793" s="220">
        <f t="shared" si="340"/>
        <v>0.8</v>
      </c>
      <c r="O793" s="873">
        <f t="shared" si="341"/>
        <v>24</v>
      </c>
      <c r="P793" s="873">
        <f t="shared" si="341"/>
        <v>24</v>
      </c>
      <c r="Q793" s="874">
        <f t="shared" si="342"/>
        <v>20.669999999999998</v>
      </c>
      <c r="R793" s="873">
        <f t="shared" si="343"/>
        <v>10</v>
      </c>
      <c r="S793" s="873">
        <f t="shared" si="344"/>
        <v>14</v>
      </c>
      <c r="T793" s="874">
        <f t="shared" si="345"/>
        <v>17.633411486304666</v>
      </c>
      <c r="U793" s="874">
        <f t="shared" si="346"/>
        <v>15.750000000000004</v>
      </c>
      <c r="V793" s="873">
        <f t="shared" si="347"/>
        <v>7</v>
      </c>
      <c r="W793" s="873">
        <f t="shared" si="348"/>
        <v>3</v>
      </c>
      <c r="X793" s="873">
        <f t="shared" si="349"/>
        <v>0</v>
      </c>
      <c r="Y793" s="873">
        <f t="shared" si="350"/>
        <v>1</v>
      </c>
      <c r="Z793" s="873">
        <f t="shared" si="351"/>
        <v>4</v>
      </c>
      <c r="AA793" s="873">
        <f t="shared" si="352"/>
        <v>9</v>
      </c>
      <c r="AB793" s="874">
        <f t="shared" si="353"/>
        <v>13.960871651185032</v>
      </c>
    </row>
    <row r="794" spans="1:28">
      <c r="A794" s="210">
        <f t="shared" si="354"/>
        <v>7</v>
      </c>
      <c r="B794" s="210">
        <f>$F$569</f>
        <v>1</v>
      </c>
      <c r="C794" s="210">
        <f t="shared" si="357"/>
        <v>2</v>
      </c>
      <c r="D794" s="210">
        <f t="shared" si="357"/>
        <v>183</v>
      </c>
      <c r="E794" s="237">
        <f t="shared" si="336"/>
        <v>1</v>
      </c>
      <c r="F794" s="1208">
        <f t="shared" si="333"/>
        <v>0.6</v>
      </c>
      <c r="G794" s="210">
        <f t="shared" si="334"/>
        <v>0.8</v>
      </c>
      <c r="I794" s="233">
        <f t="shared" si="337"/>
        <v>11.200000000000003</v>
      </c>
      <c r="J794" s="210">
        <f t="shared" si="338"/>
        <v>0.8</v>
      </c>
      <c r="L794" s="233">
        <f t="shared" si="339"/>
        <v>5.9200000000000017</v>
      </c>
      <c r="M794" s="220">
        <f t="shared" si="340"/>
        <v>0.8</v>
      </c>
      <c r="O794" s="873">
        <f t="shared" si="341"/>
        <v>24</v>
      </c>
      <c r="P794" s="873">
        <f t="shared" si="341"/>
        <v>24</v>
      </c>
      <c r="Q794" s="874">
        <f t="shared" si="342"/>
        <v>20.669999999999998</v>
      </c>
      <c r="R794" s="873">
        <f t="shared" si="343"/>
        <v>10</v>
      </c>
      <c r="S794" s="873">
        <f t="shared" si="344"/>
        <v>14</v>
      </c>
      <c r="T794" s="874">
        <f t="shared" si="345"/>
        <v>17.633411486304666</v>
      </c>
      <c r="U794" s="874">
        <f t="shared" si="346"/>
        <v>15.750000000000004</v>
      </c>
      <c r="V794" s="873">
        <f t="shared" si="347"/>
        <v>7</v>
      </c>
      <c r="W794" s="873">
        <f t="shared" si="348"/>
        <v>3</v>
      </c>
      <c r="X794" s="873">
        <f t="shared" si="349"/>
        <v>0</v>
      </c>
      <c r="Y794" s="873">
        <f t="shared" si="350"/>
        <v>1</v>
      </c>
      <c r="Z794" s="873">
        <f t="shared" si="351"/>
        <v>4</v>
      </c>
      <c r="AA794" s="873">
        <f t="shared" si="352"/>
        <v>9</v>
      </c>
      <c r="AB794" s="874">
        <f t="shared" si="353"/>
        <v>13.960871651185032</v>
      </c>
    </row>
    <row r="795" spans="1:28">
      <c r="A795" s="210">
        <f t="shared" si="354"/>
        <v>7</v>
      </c>
      <c r="B795" s="210">
        <f>$F$570</f>
        <v>2</v>
      </c>
      <c r="C795" s="210">
        <f t="shared" si="357"/>
        <v>3</v>
      </c>
      <c r="D795" s="210">
        <f t="shared" si="357"/>
        <v>184</v>
      </c>
      <c r="E795" s="237">
        <f t="shared" si="336"/>
        <v>1</v>
      </c>
      <c r="F795" s="1208">
        <f t="shared" si="333"/>
        <v>0.6</v>
      </c>
      <c r="G795" s="210">
        <f t="shared" si="334"/>
        <v>0.8</v>
      </c>
      <c r="I795" s="233">
        <f t="shared" si="337"/>
        <v>11.200000000000003</v>
      </c>
      <c r="J795" s="210">
        <f t="shared" si="338"/>
        <v>0.8</v>
      </c>
      <c r="L795" s="233">
        <f t="shared" si="339"/>
        <v>5.9200000000000017</v>
      </c>
      <c r="M795" s="220">
        <f t="shared" si="340"/>
        <v>0.8</v>
      </c>
      <c r="O795" s="873">
        <f t="shared" si="341"/>
        <v>24</v>
      </c>
      <c r="P795" s="873">
        <f t="shared" si="341"/>
        <v>24</v>
      </c>
      <c r="Q795" s="874">
        <f t="shared" si="342"/>
        <v>20.669999999999998</v>
      </c>
      <c r="R795" s="873">
        <f t="shared" si="343"/>
        <v>10</v>
      </c>
      <c r="S795" s="873">
        <f t="shared" si="344"/>
        <v>14</v>
      </c>
      <c r="T795" s="874">
        <f t="shared" si="345"/>
        <v>17.633411486304666</v>
      </c>
      <c r="U795" s="874">
        <f t="shared" si="346"/>
        <v>15.750000000000004</v>
      </c>
      <c r="V795" s="873">
        <f t="shared" si="347"/>
        <v>7</v>
      </c>
      <c r="W795" s="873">
        <f t="shared" si="348"/>
        <v>3</v>
      </c>
      <c r="X795" s="873">
        <f t="shared" si="349"/>
        <v>0</v>
      </c>
      <c r="Y795" s="873">
        <f t="shared" si="350"/>
        <v>1</v>
      </c>
      <c r="Z795" s="873">
        <f t="shared" si="351"/>
        <v>4</v>
      </c>
      <c r="AA795" s="873">
        <f t="shared" si="352"/>
        <v>9</v>
      </c>
      <c r="AB795" s="874">
        <f t="shared" si="353"/>
        <v>13.960871651185032</v>
      </c>
    </row>
    <row r="796" spans="1:28">
      <c r="A796" s="210">
        <f t="shared" si="354"/>
        <v>7</v>
      </c>
      <c r="B796" s="210">
        <f>$F$571</f>
        <v>3</v>
      </c>
      <c r="C796" s="210">
        <f t="shared" si="357"/>
        <v>4</v>
      </c>
      <c r="D796" s="210">
        <f t="shared" si="357"/>
        <v>185</v>
      </c>
      <c r="E796" s="237">
        <f t="shared" si="336"/>
        <v>1</v>
      </c>
      <c r="F796" s="1208">
        <f t="shared" si="333"/>
        <v>0.6</v>
      </c>
      <c r="G796" s="210">
        <f t="shared" si="334"/>
        <v>0.8</v>
      </c>
      <c r="I796" s="233">
        <f t="shared" si="337"/>
        <v>11.200000000000003</v>
      </c>
      <c r="J796" s="210">
        <f t="shared" si="338"/>
        <v>0.8</v>
      </c>
      <c r="L796" s="233">
        <f t="shared" si="339"/>
        <v>5.9200000000000017</v>
      </c>
      <c r="M796" s="220">
        <f t="shared" si="340"/>
        <v>0.8</v>
      </c>
      <c r="O796" s="873">
        <f t="shared" si="341"/>
        <v>24</v>
      </c>
      <c r="P796" s="873">
        <f t="shared" si="341"/>
        <v>24</v>
      </c>
      <c r="Q796" s="874">
        <f t="shared" si="342"/>
        <v>20.669999999999998</v>
      </c>
      <c r="R796" s="873">
        <f t="shared" si="343"/>
        <v>10</v>
      </c>
      <c r="S796" s="873">
        <f t="shared" si="344"/>
        <v>14</v>
      </c>
      <c r="T796" s="874">
        <f t="shared" si="345"/>
        <v>17.633411486304666</v>
      </c>
      <c r="U796" s="874">
        <f t="shared" si="346"/>
        <v>15.750000000000004</v>
      </c>
      <c r="V796" s="873">
        <f t="shared" si="347"/>
        <v>7</v>
      </c>
      <c r="W796" s="873">
        <f t="shared" si="348"/>
        <v>3</v>
      </c>
      <c r="X796" s="873">
        <f t="shared" si="349"/>
        <v>0</v>
      </c>
      <c r="Y796" s="873">
        <f t="shared" si="350"/>
        <v>1</v>
      </c>
      <c r="Z796" s="873">
        <f t="shared" si="351"/>
        <v>4</v>
      </c>
      <c r="AA796" s="873">
        <f t="shared" si="352"/>
        <v>9</v>
      </c>
      <c r="AB796" s="874">
        <f t="shared" si="353"/>
        <v>13.960871651185032</v>
      </c>
    </row>
    <row r="797" spans="1:28">
      <c r="A797" s="210">
        <f t="shared" si="354"/>
        <v>7</v>
      </c>
      <c r="B797" s="210">
        <f>$F$572</f>
        <v>4</v>
      </c>
      <c r="C797" s="210">
        <f t="shared" si="357"/>
        <v>5</v>
      </c>
      <c r="D797" s="210">
        <f t="shared" si="357"/>
        <v>186</v>
      </c>
      <c r="E797" s="237">
        <f t="shared" si="336"/>
        <v>1</v>
      </c>
      <c r="F797" s="1208">
        <f t="shared" si="333"/>
        <v>0.6</v>
      </c>
      <c r="G797" s="210">
        <f t="shared" si="334"/>
        <v>0.8</v>
      </c>
      <c r="I797" s="233">
        <f t="shared" si="337"/>
        <v>11.200000000000003</v>
      </c>
      <c r="J797" s="210">
        <f t="shared" si="338"/>
        <v>0.8</v>
      </c>
      <c r="L797" s="233">
        <f t="shared" si="339"/>
        <v>5.9200000000000017</v>
      </c>
      <c r="M797" s="220">
        <f t="shared" si="340"/>
        <v>0.8</v>
      </c>
      <c r="O797" s="873">
        <f t="shared" si="341"/>
        <v>24</v>
      </c>
      <c r="P797" s="873">
        <f t="shared" si="341"/>
        <v>24</v>
      </c>
      <c r="Q797" s="874">
        <f t="shared" si="342"/>
        <v>20.669999999999998</v>
      </c>
      <c r="R797" s="873">
        <f t="shared" si="343"/>
        <v>10</v>
      </c>
      <c r="S797" s="873">
        <f t="shared" si="344"/>
        <v>14</v>
      </c>
      <c r="T797" s="874">
        <f t="shared" si="345"/>
        <v>17.633411486304666</v>
      </c>
      <c r="U797" s="874">
        <f t="shared" si="346"/>
        <v>15.750000000000004</v>
      </c>
      <c r="V797" s="873">
        <f t="shared" si="347"/>
        <v>7</v>
      </c>
      <c r="W797" s="873">
        <f t="shared" si="348"/>
        <v>3</v>
      </c>
      <c r="X797" s="873">
        <f t="shared" si="349"/>
        <v>0</v>
      </c>
      <c r="Y797" s="873">
        <f t="shared" si="350"/>
        <v>1</v>
      </c>
      <c r="Z797" s="873">
        <f t="shared" si="351"/>
        <v>4</v>
      </c>
      <c r="AA797" s="873">
        <f t="shared" si="352"/>
        <v>9</v>
      </c>
      <c r="AB797" s="874">
        <f t="shared" si="353"/>
        <v>13.960871651185032</v>
      </c>
    </row>
    <row r="798" spans="1:28">
      <c r="A798" s="210">
        <f t="shared" si="354"/>
        <v>7</v>
      </c>
      <c r="B798" s="210">
        <f>$F$573</f>
        <v>5</v>
      </c>
      <c r="C798" s="210">
        <f t="shared" si="357"/>
        <v>6</v>
      </c>
      <c r="D798" s="210">
        <f t="shared" si="357"/>
        <v>187</v>
      </c>
      <c r="E798" s="237">
        <f t="shared" si="336"/>
        <v>1</v>
      </c>
      <c r="F798" s="1208">
        <f t="shared" si="333"/>
        <v>0.6</v>
      </c>
      <c r="G798" s="210">
        <f t="shared" si="334"/>
        <v>0.8</v>
      </c>
      <c r="I798" s="233">
        <f t="shared" si="337"/>
        <v>11.200000000000003</v>
      </c>
      <c r="J798" s="210">
        <f t="shared" si="338"/>
        <v>0.8</v>
      </c>
      <c r="L798" s="233">
        <f t="shared" si="339"/>
        <v>5.9200000000000017</v>
      </c>
      <c r="M798" s="220">
        <f t="shared" si="340"/>
        <v>0.8</v>
      </c>
      <c r="O798" s="873">
        <f t="shared" si="341"/>
        <v>24</v>
      </c>
      <c r="P798" s="873">
        <f t="shared" si="341"/>
        <v>24</v>
      </c>
      <c r="Q798" s="874">
        <f t="shared" si="342"/>
        <v>20.669999999999998</v>
      </c>
      <c r="R798" s="873">
        <f t="shared" si="343"/>
        <v>10</v>
      </c>
      <c r="S798" s="873">
        <f t="shared" si="344"/>
        <v>14</v>
      </c>
      <c r="T798" s="874">
        <f t="shared" si="345"/>
        <v>17.633411486304666</v>
      </c>
      <c r="U798" s="874">
        <f t="shared" si="346"/>
        <v>15.750000000000004</v>
      </c>
      <c r="V798" s="873">
        <f t="shared" si="347"/>
        <v>7</v>
      </c>
      <c r="W798" s="873">
        <f t="shared" si="348"/>
        <v>3</v>
      </c>
      <c r="X798" s="873">
        <f t="shared" si="349"/>
        <v>0</v>
      </c>
      <c r="Y798" s="873">
        <f t="shared" si="350"/>
        <v>1</v>
      </c>
      <c r="Z798" s="873">
        <f t="shared" si="351"/>
        <v>4</v>
      </c>
      <c r="AA798" s="873">
        <f t="shared" si="352"/>
        <v>9</v>
      </c>
      <c r="AB798" s="874">
        <f t="shared" si="353"/>
        <v>13.960871651185032</v>
      </c>
    </row>
    <row r="799" spans="1:28">
      <c r="A799" s="210">
        <f t="shared" si="354"/>
        <v>7</v>
      </c>
      <c r="B799" s="210">
        <f>$F$574</f>
        <v>6</v>
      </c>
      <c r="C799" s="210">
        <f t="shared" si="357"/>
        <v>7</v>
      </c>
      <c r="D799" s="210">
        <f t="shared" si="357"/>
        <v>188</v>
      </c>
      <c r="E799" s="237">
        <f t="shared" si="336"/>
        <v>1</v>
      </c>
      <c r="F799" s="1208">
        <f t="shared" si="333"/>
        <v>0.6</v>
      </c>
      <c r="G799" s="210">
        <f t="shared" si="334"/>
        <v>0.8</v>
      </c>
      <c r="I799" s="233">
        <f t="shared" si="337"/>
        <v>11.200000000000003</v>
      </c>
      <c r="J799" s="210">
        <f t="shared" si="338"/>
        <v>0.8</v>
      </c>
      <c r="L799" s="233">
        <f t="shared" si="339"/>
        <v>5.9200000000000017</v>
      </c>
      <c r="M799" s="220">
        <f t="shared" si="340"/>
        <v>0.8</v>
      </c>
      <c r="O799" s="873">
        <f t="shared" si="341"/>
        <v>24</v>
      </c>
      <c r="P799" s="873">
        <f t="shared" si="341"/>
        <v>24</v>
      </c>
      <c r="Q799" s="874">
        <f t="shared" si="342"/>
        <v>20.669999999999998</v>
      </c>
      <c r="R799" s="873">
        <f t="shared" si="343"/>
        <v>10</v>
      </c>
      <c r="S799" s="873">
        <f t="shared" si="344"/>
        <v>14</v>
      </c>
      <c r="T799" s="874">
        <f t="shared" si="345"/>
        <v>17.633411486304666</v>
      </c>
      <c r="U799" s="874">
        <f t="shared" si="346"/>
        <v>15.750000000000004</v>
      </c>
      <c r="V799" s="873">
        <f t="shared" si="347"/>
        <v>7</v>
      </c>
      <c r="W799" s="873">
        <f t="shared" si="348"/>
        <v>3</v>
      </c>
      <c r="X799" s="873">
        <f t="shared" si="349"/>
        <v>0</v>
      </c>
      <c r="Y799" s="873">
        <f t="shared" si="350"/>
        <v>1</v>
      </c>
      <c r="Z799" s="873">
        <f t="shared" si="351"/>
        <v>4</v>
      </c>
      <c r="AA799" s="873">
        <f t="shared" si="352"/>
        <v>9</v>
      </c>
      <c r="AB799" s="874">
        <f t="shared" si="353"/>
        <v>13.960871651185032</v>
      </c>
    </row>
    <row r="800" spans="1:28">
      <c r="A800" s="210">
        <f t="shared" si="354"/>
        <v>7</v>
      </c>
      <c r="B800" s="210">
        <f>$F$575</f>
        <v>7</v>
      </c>
      <c r="C800" s="210">
        <f t="shared" si="357"/>
        <v>8</v>
      </c>
      <c r="D800" s="210">
        <f t="shared" si="357"/>
        <v>189</v>
      </c>
      <c r="E800" s="237">
        <f t="shared" si="336"/>
        <v>1</v>
      </c>
      <c r="F800" s="1208">
        <f t="shared" si="333"/>
        <v>0.6</v>
      </c>
      <c r="G800" s="210">
        <f t="shared" si="334"/>
        <v>0.8</v>
      </c>
      <c r="I800" s="233">
        <f t="shared" si="337"/>
        <v>11.200000000000003</v>
      </c>
      <c r="J800" s="210">
        <f t="shared" si="338"/>
        <v>0.8</v>
      </c>
      <c r="L800" s="233">
        <f t="shared" si="339"/>
        <v>5.9200000000000017</v>
      </c>
      <c r="M800" s="220">
        <f t="shared" si="340"/>
        <v>0.8</v>
      </c>
      <c r="O800" s="873">
        <f t="shared" si="341"/>
        <v>24</v>
      </c>
      <c r="P800" s="873">
        <f t="shared" si="341"/>
        <v>24</v>
      </c>
      <c r="Q800" s="874">
        <f t="shared" si="342"/>
        <v>20.669999999999998</v>
      </c>
      <c r="R800" s="873">
        <f t="shared" si="343"/>
        <v>10</v>
      </c>
      <c r="S800" s="873">
        <f t="shared" si="344"/>
        <v>14</v>
      </c>
      <c r="T800" s="874">
        <f t="shared" si="345"/>
        <v>17.633411486304666</v>
      </c>
      <c r="U800" s="874">
        <f t="shared" si="346"/>
        <v>15.750000000000004</v>
      </c>
      <c r="V800" s="873">
        <f t="shared" si="347"/>
        <v>7</v>
      </c>
      <c r="W800" s="873">
        <f t="shared" si="348"/>
        <v>3</v>
      </c>
      <c r="X800" s="873">
        <f t="shared" si="349"/>
        <v>0</v>
      </c>
      <c r="Y800" s="873">
        <f t="shared" si="350"/>
        <v>1</v>
      </c>
      <c r="Z800" s="873">
        <f t="shared" si="351"/>
        <v>4</v>
      </c>
      <c r="AA800" s="873">
        <f t="shared" si="352"/>
        <v>9</v>
      </c>
      <c r="AB800" s="874">
        <f t="shared" si="353"/>
        <v>13.960871651185032</v>
      </c>
    </row>
    <row r="801" spans="1:28">
      <c r="A801" s="210">
        <f t="shared" si="354"/>
        <v>7</v>
      </c>
      <c r="B801" s="210">
        <f>$F$569</f>
        <v>1</v>
      </c>
      <c r="C801" s="210">
        <f t="shared" si="357"/>
        <v>9</v>
      </c>
      <c r="D801" s="210">
        <f t="shared" si="357"/>
        <v>190</v>
      </c>
      <c r="E801" s="237">
        <f t="shared" si="336"/>
        <v>1</v>
      </c>
      <c r="F801" s="1208">
        <f t="shared" si="333"/>
        <v>0.6</v>
      </c>
      <c r="G801" s="210">
        <f t="shared" si="334"/>
        <v>0.8</v>
      </c>
      <c r="I801" s="233">
        <f t="shared" si="337"/>
        <v>11.200000000000003</v>
      </c>
      <c r="J801" s="210">
        <f t="shared" si="338"/>
        <v>0.8</v>
      </c>
      <c r="L801" s="233">
        <f t="shared" si="339"/>
        <v>5.9200000000000017</v>
      </c>
      <c r="M801" s="220">
        <f t="shared" si="340"/>
        <v>0.8</v>
      </c>
      <c r="O801" s="873">
        <f t="shared" si="341"/>
        <v>24</v>
      </c>
      <c r="P801" s="873">
        <f t="shared" si="341"/>
        <v>24</v>
      </c>
      <c r="Q801" s="874">
        <f t="shared" si="342"/>
        <v>20.669999999999998</v>
      </c>
      <c r="R801" s="873">
        <f t="shared" si="343"/>
        <v>10</v>
      </c>
      <c r="S801" s="873">
        <f t="shared" si="344"/>
        <v>14</v>
      </c>
      <c r="T801" s="874">
        <f t="shared" si="345"/>
        <v>17.633411486304666</v>
      </c>
      <c r="U801" s="874">
        <f t="shared" si="346"/>
        <v>15.750000000000004</v>
      </c>
      <c r="V801" s="873">
        <f t="shared" si="347"/>
        <v>7</v>
      </c>
      <c r="W801" s="873">
        <f t="shared" si="348"/>
        <v>3</v>
      </c>
      <c r="X801" s="873">
        <f t="shared" si="349"/>
        <v>0</v>
      </c>
      <c r="Y801" s="873">
        <f t="shared" si="350"/>
        <v>1</v>
      </c>
      <c r="Z801" s="873">
        <f t="shared" si="351"/>
        <v>4</v>
      </c>
      <c r="AA801" s="873">
        <f t="shared" si="352"/>
        <v>9</v>
      </c>
      <c r="AB801" s="874">
        <f t="shared" si="353"/>
        <v>13.960871651185032</v>
      </c>
    </row>
    <row r="802" spans="1:28">
      <c r="A802" s="210">
        <f t="shared" si="354"/>
        <v>7</v>
      </c>
      <c r="B802" s="210">
        <f>$F$570</f>
        <v>2</v>
      </c>
      <c r="C802" s="210">
        <f t="shared" si="357"/>
        <v>10</v>
      </c>
      <c r="D802" s="210">
        <f t="shared" si="357"/>
        <v>191</v>
      </c>
      <c r="E802" s="237">
        <f t="shared" si="336"/>
        <v>1</v>
      </c>
      <c r="F802" s="1208">
        <f t="shared" si="333"/>
        <v>0.6</v>
      </c>
      <c r="G802" s="210">
        <f t="shared" si="334"/>
        <v>0.8</v>
      </c>
      <c r="I802" s="233">
        <f t="shared" si="337"/>
        <v>11.200000000000003</v>
      </c>
      <c r="J802" s="210">
        <f t="shared" si="338"/>
        <v>0.8</v>
      </c>
      <c r="L802" s="233">
        <f t="shared" si="339"/>
        <v>5.9200000000000017</v>
      </c>
      <c r="M802" s="220">
        <f t="shared" si="340"/>
        <v>0.8</v>
      </c>
      <c r="O802" s="873">
        <f t="shared" si="341"/>
        <v>24</v>
      </c>
      <c r="P802" s="873">
        <f t="shared" si="341"/>
        <v>24</v>
      </c>
      <c r="Q802" s="874">
        <f t="shared" si="342"/>
        <v>20.669999999999998</v>
      </c>
      <c r="R802" s="873">
        <f t="shared" si="343"/>
        <v>10</v>
      </c>
      <c r="S802" s="873">
        <f t="shared" si="344"/>
        <v>14</v>
      </c>
      <c r="T802" s="874">
        <f t="shared" si="345"/>
        <v>17.633411486304666</v>
      </c>
      <c r="U802" s="874">
        <f t="shared" si="346"/>
        <v>15.750000000000004</v>
      </c>
      <c r="V802" s="873">
        <f t="shared" si="347"/>
        <v>7</v>
      </c>
      <c r="W802" s="873">
        <f t="shared" si="348"/>
        <v>3</v>
      </c>
      <c r="X802" s="873">
        <f t="shared" si="349"/>
        <v>0</v>
      </c>
      <c r="Y802" s="873">
        <f t="shared" si="350"/>
        <v>1</v>
      </c>
      <c r="Z802" s="873">
        <f t="shared" si="351"/>
        <v>4</v>
      </c>
      <c r="AA802" s="873">
        <f t="shared" si="352"/>
        <v>9</v>
      </c>
      <c r="AB802" s="874">
        <f t="shared" si="353"/>
        <v>13.960871651185032</v>
      </c>
    </row>
    <row r="803" spans="1:28">
      <c r="A803" s="210">
        <f t="shared" si="354"/>
        <v>7</v>
      </c>
      <c r="B803" s="210">
        <f>$F$571</f>
        <v>3</v>
      </c>
      <c r="C803" s="210">
        <f t="shared" si="357"/>
        <v>11</v>
      </c>
      <c r="D803" s="210">
        <f t="shared" si="357"/>
        <v>192</v>
      </c>
      <c r="E803" s="237">
        <f t="shared" si="336"/>
        <v>1</v>
      </c>
      <c r="F803" s="1208">
        <f t="shared" si="333"/>
        <v>0.6</v>
      </c>
      <c r="G803" s="210">
        <f t="shared" si="334"/>
        <v>0.8</v>
      </c>
      <c r="I803" s="233">
        <f t="shared" si="337"/>
        <v>11.200000000000003</v>
      </c>
      <c r="J803" s="210">
        <f t="shared" si="338"/>
        <v>0.8</v>
      </c>
      <c r="L803" s="233">
        <f t="shared" si="339"/>
        <v>5.9200000000000017</v>
      </c>
      <c r="M803" s="220">
        <f t="shared" si="340"/>
        <v>0.8</v>
      </c>
      <c r="O803" s="873">
        <f t="shared" si="341"/>
        <v>24</v>
      </c>
      <c r="P803" s="873">
        <f t="shared" si="341"/>
        <v>24</v>
      </c>
      <c r="Q803" s="874">
        <f t="shared" si="342"/>
        <v>20.669999999999998</v>
      </c>
      <c r="R803" s="873">
        <f t="shared" si="343"/>
        <v>10</v>
      </c>
      <c r="S803" s="873">
        <f t="shared" si="344"/>
        <v>14</v>
      </c>
      <c r="T803" s="874">
        <f t="shared" si="345"/>
        <v>17.633411486304666</v>
      </c>
      <c r="U803" s="874">
        <f t="shared" si="346"/>
        <v>15.750000000000004</v>
      </c>
      <c r="V803" s="873">
        <f t="shared" si="347"/>
        <v>7</v>
      </c>
      <c r="W803" s="873">
        <f t="shared" si="348"/>
        <v>3</v>
      </c>
      <c r="X803" s="873">
        <f t="shared" si="349"/>
        <v>0</v>
      </c>
      <c r="Y803" s="873">
        <f t="shared" si="350"/>
        <v>1</v>
      </c>
      <c r="Z803" s="873">
        <f t="shared" si="351"/>
        <v>4</v>
      </c>
      <c r="AA803" s="873">
        <f t="shared" si="352"/>
        <v>9</v>
      </c>
      <c r="AB803" s="874">
        <f t="shared" si="353"/>
        <v>13.960871651185032</v>
      </c>
    </row>
    <row r="804" spans="1:28">
      <c r="A804" s="210">
        <f t="shared" si="354"/>
        <v>7</v>
      </c>
      <c r="B804" s="210">
        <f>$F$572</f>
        <v>4</v>
      </c>
      <c r="C804" s="210">
        <f t="shared" si="357"/>
        <v>12</v>
      </c>
      <c r="D804" s="210">
        <f t="shared" si="357"/>
        <v>193</v>
      </c>
      <c r="E804" s="237">
        <f t="shared" si="336"/>
        <v>1</v>
      </c>
      <c r="F804" s="1208">
        <f t="shared" ref="F804:F867" si="358">INDEX($C$569:$C$580,A804)</f>
        <v>0.6</v>
      </c>
      <c r="G804" s="210">
        <f t="shared" ref="G804:G867" si="359">INDEX($D$569:$D$580,A804)</f>
        <v>0.8</v>
      </c>
      <c r="I804" s="233">
        <f t="shared" si="337"/>
        <v>11.200000000000003</v>
      </c>
      <c r="J804" s="210">
        <f t="shared" si="338"/>
        <v>0.8</v>
      </c>
      <c r="L804" s="233">
        <f t="shared" si="339"/>
        <v>5.9200000000000017</v>
      </c>
      <c r="M804" s="220">
        <f t="shared" si="340"/>
        <v>0.8</v>
      </c>
      <c r="O804" s="873">
        <f t="shared" si="341"/>
        <v>24</v>
      </c>
      <c r="P804" s="873">
        <f t="shared" si="341"/>
        <v>24</v>
      </c>
      <c r="Q804" s="874">
        <f t="shared" si="342"/>
        <v>20.669999999999998</v>
      </c>
      <c r="R804" s="873">
        <f t="shared" si="343"/>
        <v>10</v>
      </c>
      <c r="S804" s="873">
        <f t="shared" si="344"/>
        <v>14</v>
      </c>
      <c r="T804" s="874">
        <f t="shared" si="345"/>
        <v>17.633411486304666</v>
      </c>
      <c r="U804" s="874">
        <f t="shared" si="346"/>
        <v>15.750000000000004</v>
      </c>
      <c r="V804" s="873">
        <f t="shared" si="347"/>
        <v>7</v>
      </c>
      <c r="W804" s="873">
        <f t="shared" si="348"/>
        <v>3</v>
      </c>
      <c r="X804" s="873">
        <f t="shared" si="349"/>
        <v>0</v>
      </c>
      <c r="Y804" s="873">
        <f t="shared" si="350"/>
        <v>1</v>
      </c>
      <c r="Z804" s="873">
        <f t="shared" si="351"/>
        <v>4</v>
      </c>
      <c r="AA804" s="873">
        <f t="shared" si="352"/>
        <v>9</v>
      </c>
      <c r="AB804" s="874">
        <f t="shared" si="353"/>
        <v>13.960871651185032</v>
      </c>
    </row>
    <row r="805" spans="1:28">
      <c r="A805" s="210">
        <f t="shared" si="354"/>
        <v>7</v>
      </c>
      <c r="B805" s="210">
        <f>$F$573</f>
        <v>5</v>
      </c>
      <c r="C805" s="210">
        <f t="shared" ref="C805:D820" si="360">C804+1</f>
        <v>13</v>
      </c>
      <c r="D805" s="210">
        <f t="shared" si="360"/>
        <v>194</v>
      </c>
      <c r="E805" s="237">
        <f t="shared" ref="E805:E868" si="361">INDEX($H$569:$H$575,B805)</f>
        <v>1</v>
      </c>
      <c r="F805" s="1208">
        <f t="shared" si="358"/>
        <v>0.6</v>
      </c>
      <c r="G805" s="210">
        <f t="shared" si="359"/>
        <v>0.8</v>
      </c>
      <c r="I805" s="233">
        <f t="shared" ref="I805:I868" si="362">$E805*$B$62*G805</f>
        <v>11.200000000000003</v>
      </c>
      <c r="J805" s="210">
        <f t="shared" ref="J805:J868" si="363">$E805*MAX($B$63:$B$86)*G805</f>
        <v>0.8</v>
      </c>
      <c r="L805" s="233">
        <f t="shared" ref="L805:L868" si="364">IF(E805=1, $D$62*G805,$E$62*G805)</f>
        <v>5.9200000000000017</v>
      </c>
      <c r="M805" s="220">
        <f t="shared" ref="M805:M868" si="365">IF(E805=1,MAX($D$63:$D$86)*G805,MAX($E$63:$E$86)*G805)</f>
        <v>0.8</v>
      </c>
      <c r="O805" s="873">
        <f t="shared" ref="O805:P836" si="366">$E805*$F$62*IF($G805=0,0,1)</f>
        <v>24</v>
      </c>
      <c r="P805" s="873">
        <f t="shared" si="366"/>
        <v>24</v>
      </c>
      <c r="Q805" s="874">
        <f t="shared" ref="Q805:Q868" si="367">$E805*$G$62*IF($G805=0,0,1)</f>
        <v>20.669999999999998</v>
      </c>
      <c r="R805" s="873">
        <f t="shared" ref="R805:R868" si="368">(O805-S805)*IF($G805=0,0,1)</f>
        <v>10</v>
      </c>
      <c r="S805" s="873">
        <f t="shared" ref="S805:S868" si="369">IF(E805=0,0,COUNTIF(G$63:G$86,1))*IF($G805=0,0,1)</f>
        <v>14</v>
      </c>
      <c r="T805" s="874">
        <f t="shared" ref="T805:T868" si="370">$E805*$H$62*IF($G805=0,0,1)</f>
        <v>17.633411486304666</v>
      </c>
      <c r="U805" s="874">
        <f t="shared" ref="U805:U868" si="371">$E805*$I$62*IF($G805=0,0,1)</f>
        <v>15.750000000000004</v>
      </c>
      <c r="V805" s="873">
        <f t="shared" ref="V805:V868" si="372">IF($E805=0,0,COUNTIF($I$63:$I$86,0.25))*IF($G805=0,0,1)</f>
        <v>7</v>
      </c>
      <c r="W805" s="873">
        <f t="shared" ref="W805:W868" si="373">IF($E805=0,0,COUNTIF($I$63:$I$86,0.4))*IF($G805=0,0,1)</f>
        <v>3</v>
      </c>
      <c r="X805" s="873">
        <f t="shared" ref="X805:X868" si="374">IF($E805=0,0,COUNTIF($I$63:$I$86,0.5))*IF($G805=0,0,1)</f>
        <v>0</v>
      </c>
      <c r="Y805" s="873">
        <f t="shared" ref="Y805:Y868" si="375">IF($E805=0,0,COUNTIF($I$63:$I$86,0.6))*IF($G805=0,0,1)</f>
        <v>1</v>
      </c>
      <c r="Z805" s="873">
        <f t="shared" ref="Z805:Z868" si="376">IF($E805=0,0,COUNTIF($I$63:$I$86,0.8))*IF($G805=0,0,1)</f>
        <v>4</v>
      </c>
      <c r="AA805" s="873">
        <f t="shared" ref="AA805:AA868" si="377">IF($E805=0,0,COUNTIF($I$63:$I$86,1))*IF($G805=0,0,1)</f>
        <v>9</v>
      </c>
      <c r="AB805" s="874">
        <f t="shared" ref="AB805:AB868" si="378">$E805*$J$62*IF($G805=0,0,1)</f>
        <v>13.960871651185032</v>
      </c>
    </row>
    <row r="806" spans="1:28">
      <c r="A806" s="210">
        <f t="shared" ref="A806:A869" si="379">A805</f>
        <v>7</v>
      </c>
      <c r="B806" s="210">
        <f>$F$574</f>
        <v>6</v>
      </c>
      <c r="C806" s="210">
        <f t="shared" si="360"/>
        <v>14</v>
      </c>
      <c r="D806" s="210">
        <f t="shared" si="360"/>
        <v>195</v>
      </c>
      <c r="E806" s="237">
        <f t="shared" si="361"/>
        <v>1</v>
      </c>
      <c r="F806" s="1208">
        <f t="shared" si="358"/>
        <v>0.6</v>
      </c>
      <c r="G806" s="210">
        <f t="shared" si="359"/>
        <v>0.8</v>
      </c>
      <c r="I806" s="233">
        <f t="shared" si="362"/>
        <v>11.200000000000003</v>
      </c>
      <c r="J806" s="210">
        <f t="shared" si="363"/>
        <v>0.8</v>
      </c>
      <c r="L806" s="233">
        <f t="shared" si="364"/>
        <v>5.9200000000000017</v>
      </c>
      <c r="M806" s="220">
        <f t="shared" si="365"/>
        <v>0.8</v>
      </c>
      <c r="O806" s="873">
        <f t="shared" si="366"/>
        <v>24</v>
      </c>
      <c r="P806" s="873">
        <f t="shared" si="366"/>
        <v>24</v>
      </c>
      <c r="Q806" s="874">
        <f t="shared" si="367"/>
        <v>20.669999999999998</v>
      </c>
      <c r="R806" s="873">
        <f t="shared" si="368"/>
        <v>10</v>
      </c>
      <c r="S806" s="873">
        <f t="shared" si="369"/>
        <v>14</v>
      </c>
      <c r="T806" s="874">
        <f t="shared" si="370"/>
        <v>17.633411486304666</v>
      </c>
      <c r="U806" s="874">
        <f t="shared" si="371"/>
        <v>15.750000000000004</v>
      </c>
      <c r="V806" s="873">
        <f t="shared" si="372"/>
        <v>7</v>
      </c>
      <c r="W806" s="873">
        <f t="shared" si="373"/>
        <v>3</v>
      </c>
      <c r="X806" s="873">
        <f t="shared" si="374"/>
        <v>0</v>
      </c>
      <c r="Y806" s="873">
        <f t="shared" si="375"/>
        <v>1</v>
      </c>
      <c r="Z806" s="873">
        <f t="shared" si="376"/>
        <v>4</v>
      </c>
      <c r="AA806" s="873">
        <f t="shared" si="377"/>
        <v>9</v>
      </c>
      <c r="AB806" s="874">
        <f t="shared" si="378"/>
        <v>13.960871651185032</v>
      </c>
    </row>
    <row r="807" spans="1:28">
      <c r="A807" s="210">
        <f t="shared" si="379"/>
        <v>7</v>
      </c>
      <c r="B807" s="210">
        <f>$F$575</f>
        <v>7</v>
      </c>
      <c r="C807" s="210">
        <f t="shared" si="360"/>
        <v>15</v>
      </c>
      <c r="D807" s="210">
        <f t="shared" si="360"/>
        <v>196</v>
      </c>
      <c r="E807" s="237">
        <f t="shared" si="361"/>
        <v>1</v>
      </c>
      <c r="F807" s="1208">
        <f t="shared" si="358"/>
        <v>0.6</v>
      </c>
      <c r="G807" s="210">
        <f t="shared" si="359"/>
        <v>0.8</v>
      </c>
      <c r="I807" s="233">
        <f t="shared" si="362"/>
        <v>11.200000000000003</v>
      </c>
      <c r="J807" s="210">
        <f t="shared" si="363"/>
        <v>0.8</v>
      </c>
      <c r="L807" s="233">
        <f t="shared" si="364"/>
        <v>5.9200000000000017</v>
      </c>
      <c r="M807" s="220">
        <f t="shared" si="365"/>
        <v>0.8</v>
      </c>
      <c r="O807" s="873">
        <f t="shared" si="366"/>
        <v>24</v>
      </c>
      <c r="P807" s="873">
        <f t="shared" si="366"/>
        <v>24</v>
      </c>
      <c r="Q807" s="874">
        <f t="shared" si="367"/>
        <v>20.669999999999998</v>
      </c>
      <c r="R807" s="873">
        <f t="shared" si="368"/>
        <v>10</v>
      </c>
      <c r="S807" s="873">
        <f t="shared" si="369"/>
        <v>14</v>
      </c>
      <c r="T807" s="874">
        <f t="shared" si="370"/>
        <v>17.633411486304666</v>
      </c>
      <c r="U807" s="874">
        <f t="shared" si="371"/>
        <v>15.750000000000004</v>
      </c>
      <c r="V807" s="873">
        <f t="shared" si="372"/>
        <v>7</v>
      </c>
      <c r="W807" s="873">
        <f t="shared" si="373"/>
        <v>3</v>
      </c>
      <c r="X807" s="873">
        <f t="shared" si="374"/>
        <v>0</v>
      </c>
      <c r="Y807" s="873">
        <f t="shared" si="375"/>
        <v>1</v>
      </c>
      <c r="Z807" s="873">
        <f t="shared" si="376"/>
        <v>4</v>
      </c>
      <c r="AA807" s="873">
        <f t="shared" si="377"/>
        <v>9</v>
      </c>
      <c r="AB807" s="874">
        <f t="shared" si="378"/>
        <v>13.960871651185032</v>
      </c>
    </row>
    <row r="808" spans="1:28">
      <c r="A808" s="210">
        <f t="shared" si="379"/>
        <v>7</v>
      </c>
      <c r="B808" s="210">
        <f>$F$569</f>
        <v>1</v>
      </c>
      <c r="C808" s="210">
        <f t="shared" si="360"/>
        <v>16</v>
      </c>
      <c r="D808" s="210">
        <f t="shared" si="360"/>
        <v>197</v>
      </c>
      <c r="E808" s="237">
        <f t="shared" si="361"/>
        <v>1</v>
      </c>
      <c r="F808" s="1208">
        <f t="shared" si="358"/>
        <v>0.6</v>
      </c>
      <c r="G808" s="210">
        <f t="shared" si="359"/>
        <v>0.8</v>
      </c>
      <c r="I808" s="233">
        <f t="shared" si="362"/>
        <v>11.200000000000003</v>
      </c>
      <c r="J808" s="210">
        <f t="shared" si="363"/>
        <v>0.8</v>
      </c>
      <c r="L808" s="233">
        <f t="shared" si="364"/>
        <v>5.9200000000000017</v>
      </c>
      <c r="M808" s="220">
        <f t="shared" si="365"/>
        <v>0.8</v>
      </c>
      <c r="O808" s="873">
        <f t="shared" si="366"/>
        <v>24</v>
      </c>
      <c r="P808" s="873">
        <f t="shared" si="366"/>
        <v>24</v>
      </c>
      <c r="Q808" s="874">
        <f t="shared" si="367"/>
        <v>20.669999999999998</v>
      </c>
      <c r="R808" s="873">
        <f t="shared" si="368"/>
        <v>10</v>
      </c>
      <c r="S808" s="873">
        <f t="shared" si="369"/>
        <v>14</v>
      </c>
      <c r="T808" s="874">
        <f t="shared" si="370"/>
        <v>17.633411486304666</v>
      </c>
      <c r="U808" s="874">
        <f t="shared" si="371"/>
        <v>15.750000000000004</v>
      </c>
      <c r="V808" s="873">
        <f t="shared" si="372"/>
        <v>7</v>
      </c>
      <c r="W808" s="873">
        <f t="shared" si="373"/>
        <v>3</v>
      </c>
      <c r="X808" s="873">
        <f t="shared" si="374"/>
        <v>0</v>
      </c>
      <c r="Y808" s="873">
        <f t="shared" si="375"/>
        <v>1</v>
      </c>
      <c r="Z808" s="873">
        <f t="shared" si="376"/>
        <v>4</v>
      </c>
      <c r="AA808" s="873">
        <f t="shared" si="377"/>
        <v>9</v>
      </c>
      <c r="AB808" s="874">
        <f t="shared" si="378"/>
        <v>13.960871651185032</v>
      </c>
    </row>
    <row r="809" spans="1:28">
      <c r="A809" s="210">
        <f t="shared" si="379"/>
        <v>7</v>
      </c>
      <c r="B809" s="210">
        <f>$F$570</f>
        <v>2</v>
      </c>
      <c r="C809" s="210">
        <f t="shared" si="360"/>
        <v>17</v>
      </c>
      <c r="D809" s="210">
        <f t="shared" si="360"/>
        <v>198</v>
      </c>
      <c r="E809" s="237">
        <f t="shared" si="361"/>
        <v>1</v>
      </c>
      <c r="F809" s="1208">
        <f t="shared" si="358"/>
        <v>0.6</v>
      </c>
      <c r="G809" s="210">
        <f t="shared" si="359"/>
        <v>0.8</v>
      </c>
      <c r="I809" s="233">
        <f t="shared" si="362"/>
        <v>11.200000000000003</v>
      </c>
      <c r="J809" s="210">
        <f t="shared" si="363"/>
        <v>0.8</v>
      </c>
      <c r="L809" s="233">
        <f t="shared" si="364"/>
        <v>5.9200000000000017</v>
      </c>
      <c r="M809" s="220">
        <f t="shared" si="365"/>
        <v>0.8</v>
      </c>
      <c r="O809" s="873">
        <f t="shared" si="366"/>
        <v>24</v>
      </c>
      <c r="P809" s="873">
        <f t="shared" si="366"/>
        <v>24</v>
      </c>
      <c r="Q809" s="874">
        <f t="shared" si="367"/>
        <v>20.669999999999998</v>
      </c>
      <c r="R809" s="873">
        <f t="shared" si="368"/>
        <v>10</v>
      </c>
      <c r="S809" s="873">
        <f t="shared" si="369"/>
        <v>14</v>
      </c>
      <c r="T809" s="874">
        <f t="shared" si="370"/>
        <v>17.633411486304666</v>
      </c>
      <c r="U809" s="874">
        <f t="shared" si="371"/>
        <v>15.750000000000004</v>
      </c>
      <c r="V809" s="873">
        <f t="shared" si="372"/>
        <v>7</v>
      </c>
      <c r="W809" s="873">
        <f t="shared" si="373"/>
        <v>3</v>
      </c>
      <c r="X809" s="873">
        <f t="shared" si="374"/>
        <v>0</v>
      </c>
      <c r="Y809" s="873">
        <f t="shared" si="375"/>
        <v>1</v>
      </c>
      <c r="Z809" s="873">
        <f t="shared" si="376"/>
        <v>4</v>
      </c>
      <c r="AA809" s="873">
        <f t="shared" si="377"/>
        <v>9</v>
      </c>
      <c r="AB809" s="874">
        <f t="shared" si="378"/>
        <v>13.960871651185032</v>
      </c>
    </row>
    <row r="810" spans="1:28">
      <c r="A810" s="210">
        <f t="shared" si="379"/>
        <v>7</v>
      </c>
      <c r="B810" s="210">
        <f>$F$571</f>
        <v>3</v>
      </c>
      <c r="C810" s="210">
        <f t="shared" si="360"/>
        <v>18</v>
      </c>
      <c r="D810" s="210">
        <f t="shared" si="360"/>
        <v>199</v>
      </c>
      <c r="E810" s="237">
        <f t="shared" si="361"/>
        <v>1</v>
      </c>
      <c r="F810" s="1208">
        <f t="shared" si="358"/>
        <v>0.6</v>
      </c>
      <c r="G810" s="210">
        <f t="shared" si="359"/>
        <v>0.8</v>
      </c>
      <c r="I810" s="233">
        <f t="shared" si="362"/>
        <v>11.200000000000003</v>
      </c>
      <c r="J810" s="210">
        <f t="shared" si="363"/>
        <v>0.8</v>
      </c>
      <c r="L810" s="233">
        <f t="shared" si="364"/>
        <v>5.9200000000000017</v>
      </c>
      <c r="M810" s="220">
        <f t="shared" si="365"/>
        <v>0.8</v>
      </c>
      <c r="O810" s="873">
        <f t="shared" si="366"/>
        <v>24</v>
      </c>
      <c r="P810" s="873">
        <f t="shared" si="366"/>
        <v>24</v>
      </c>
      <c r="Q810" s="874">
        <f t="shared" si="367"/>
        <v>20.669999999999998</v>
      </c>
      <c r="R810" s="873">
        <f t="shared" si="368"/>
        <v>10</v>
      </c>
      <c r="S810" s="873">
        <f t="shared" si="369"/>
        <v>14</v>
      </c>
      <c r="T810" s="874">
        <f t="shared" si="370"/>
        <v>17.633411486304666</v>
      </c>
      <c r="U810" s="874">
        <f t="shared" si="371"/>
        <v>15.750000000000004</v>
      </c>
      <c r="V810" s="873">
        <f t="shared" si="372"/>
        <v>7</v>
      </c>
      <c r="W810" s="873">
        <f t="shared" si="373"/>
        <v>3</v>
      </c>
      <c r="X810" s="873">
        <f t="shared" si="374"/>
        <v>0</v>
      </c>
      <c r="Y810" s="873">
        <f t="shared" si="375"/>
        <v>1</v>
      </c>
      <c r="Z810" s="873">
        <f t="shared" si="376"/>
        <v>4</v>
      </c>
      <c r="AA810" s="873">
        <f t="shared" si="377"/>
        <v>9</v>
      </c>
      <c r="AB810" s="874">
        <f t="shared" si="378"/>
        <v>13.960871651185032</v>
      </c>
    </row>
    <row r="811" spans="1:28">
      <c r="A811" s="210">
        <f t="shared" si="379"/>
        <v>7</v>
      </c>
      <c r="B811" s="210">
        <f>$F$572</f>
        <v>4</v>
      </c>
      <c r="C811" s="210">
        <f t="shared" si="360"/>
        <v>19</v>
      </c>
      <c r="D811" s="210">
        <f t="shared" si="360"/>
        <v>200</v>
      </c>
      <c r="E811" s="237">
        <f t="shared" si="361"/>
        <v>1</v>
      </c>
      <c r="F811" s="1208">
        <f t="shared" si="358"/>
        <v>0.6</v>
      </c>
      <c r="G811" s="210">
        <f t="shared" si="359"/>
        <v>0.8</v>
      </c>
      <c r="I811" s="233">
        <f t="shared" si="362"/>
        <v>11.200000000000003</v>
      </c>
      <c r="J811" s="210">
        <f t="shared" si="363"/>
        <v>0.8</v>
      </c>
      <c r="L811" s="233">
        <f t="shared" si="364"/>
        <v>5.9200000000000017</v>
      </c>
      <c r="M811" s="220">
        <f t="shared" si="365"/>
        <v>0.8</v>
      </c>
      <c r="O811" s="873">
        <f t="shared" si="366"/>
        <v>24</v>
      </c>
      <c r="P811" s="873">
        <f t="shared" si="366"/>
        <v>24</v>
      </c>
      <c r="Q811" s="874">
        <f t="shared" si="367"/>
        <v>20.669999999999998</v>
      </c>
      <c r="R811" s="873">
        <f t="shared" si="368"/>
        <v>10</v>
      </c>
      <c r="S811" s="873">
        <f t="shared" si="369"/>
        <v>14</v>
      </c>
      <c r="T811" s="874">
        <f t="shared" si="370"/>
        <v>17.633411486304666</v>
      </c>
      <c r="U811" s="874">
        <f t="shared" si="371"/>
        <v>15.750000000000004</v>
      </c>
      <c r="V811" s="873">
        <f t="shared" si="372"/>
        <v>7</v>
      </c>
      <c r="W811" s="873">
        <f t="shared" si="373"/>
        <v>3</v>
      </c>
      <c r="X811" s="873">
        <f t="shared" si="374"/>
        <v>0</v>
      </c>
      <c r="Y811" s="873">
        <f t="shared" si="375"/>
        <v>1</v>
      </c>
      <c r="Z811" s="873">
        <f t="shared" si="376"/>
        <v>4</v>
      </c>
      <c r="AA811" s="873">
        <f t="shared" si="377"/>
        <v>9</v>
      </c>
      <c r="AB811" s="874">
        <f t="shared" si="378"/>
        <v>13.960871651185032</v>
      </c>
    </row>
    <row r="812" spans="1:28">
      <c r="A812" s="210">
        <f t="shared" si="379"/>
        <v>7</v>
      </c>
      <c r="B812" s="210">
        <f>$F$573</f>
        <v>5</v>
      </c>
      <c r="C812" s="210">
        <f t="shared" si="360"/>
        <v>20</v>
      </c>
      <c r="D812" s="210">
        <f t="shared" si="360"/>
        <v>201</v>
      </c>
      <c r="E812" s="237">
        <f t="shared" si="361"/>
        <v>1</v>
      </c>
      <c r="F812" s="1208">
        <f t="shared" si="358"/>
        <v>0.6</v>
      </c>
      <c r="G812" s="210">
        <f t="shared" si="359"/>
        <v>0.8</v>
      </c>
      <c r="I812" s="233">
        <f t="shared" si="362"/>
        <v>11.200000000000003</v>
      </c>
      <c r="J812" s="210">
        <f t="shared" si="363"/>
        <v>0.8</v>
      </c>
      <c r="L812" s="233">
        <f t="shared" si="364"/>
        <v>5.9200000000000017</v>
      </c>
      <c r="M812" s="220">
        <f t="shared" si="365"/>
        <v>0.8</v>
      </c>
      <c r="O812" s="873">
        <f t="shared" si="366"/>
        <v>24</v>
      </c>
      <c r="P812" s="873">
        <f t="shared" si="366"/>
        <v>24</v>
      </c>
      <c r="Q812" s="874">
        <f t="shared" si="367"/>
        <v>20.669999999999998</v>
      </c>
      <c r="R812" s="873">
        <f t="shared" si="368"/>
        <v>10</v>
      </c>
      <c r="S812" s="873">
        <f t="shared" si="369"/>
        <v>14</v>
      </c>
      <c r="T812" s="874">
        <f t="shared" si="370"/>
        <v>17.633411486304666</v>
      </c>
      <c r="U812" s="874">
        <f t="shared" si="371"/>
        <v>15.750000000000004</v>
      </c>
      <c r="V812" s="873">
        <f t="shared" si="372"/>
        <v>7</v>
      </c>
      <c r="W812" s="873">
        <f t="shared" si="373"/>
        <v>3</v>
      </c>
      <c r="X812" s="873">
        <f t="shared" si="374"/>
        <v>0</v>
      </c>
      <c r="Y812" s="873">
        <f t="shared" si="375"/>
        <v>1</v>
      </c>
      <c r="Z812" s="873">
        <f t="shared" si="376"/>
        <v>4</v>
      </c>
      <c r="AA812" s="873">
        <f t="shared" si="377"/>
        <v>9</v>
      </c>
      <c r="AB812" s="874">
        <f t="shared" si="378"/>
        <v>13.960871651185032</v>
      </c>
    </row>
    <row r="813" spans="1:28">
      <c r="A813" s="210">
        <f t="shared" si="379"/>
        <v>7</v>
      </c>
      <c r="B813" s="210">
        <f>$F$574</f>
        <v>6</v>
      </c>
      <c r="C813" s="210">
        <f t="shared" si="360"/>
        <v>21</v>
      </c>
      <c r="D813" s="210">
        <f t="shared" si="360"/>
        <v>202</v>
      </c>
      <c r="E813" s="237">
        <f t="shared" si="361"/>
        <v>1</v>
      </c>
      <c r="F813" s="1208">
        <f t="shared" si="358"/>
        <v>0.6</v>
      </c>
      <c r="G813" s="210">
        <f t="shared" si="359"/>
        <v>0.8</v>
      </c>
      <c r="I813" s="233">
        <f t="shared" si="362"/>
        <v>11.200000000000003</v>
      </c>
      <c r="J813" s="210">
        <f t="shared" si="363"/>
        <v>0.8</v>
      </c>
      <c r="L813" s="233">
        <f t="shared" si="364"/>
        <v>5.9200000000000017</v>
      </c>
      <c r="M813" s="220">
        <f t="shared" si="365"/>
        <v>0.8</v>
      </c>
      <c r="O813" s="873">
        <f t="shared" si="366"/>
        <v>24</v>
      </c>
      <c r="P813" s="873">
        <f t="shared" si="366"/>
        <v>24</v>
      </c>
      <c r="Q813" s="874">
        <f t="shared" si="367"/>
        <v>20.669999999999998</v>
      </c>
      <c r="R813" s="873">
        <f t="shared" si="368"/>
        <v>10</v>
      </c>
      <c r="S813" s="873">
        <f t="shared" si="369"/>
        <v>14</v>
      </c>
      <c r="T813" s="874">
        <f t="shared" si="370"/>
        <v>17.633411486304666</v>
      </c>
      <c r="U813" s="874">
        <f t="shared" si="371"/>
        <v>15.750000000000004</v>
      </c>
      <c r="V813" s="873">
        <f t="shared" si="372"/>
        <v>7</v>
      </c>
      <c r="W813" s="873">
        <f t="shared" si="373"/>
        <v>3</v>
      </c>
      <c r="X813" s="873">
        <f t="shared" si="374"/>
        <v>0</v>
      </c>
      <c r="Y813" s="873">
        <f t="shared" si="375"/>
        <v>1</v>
      </c>
      <c r="Z813" s="873">
        <f t="shared" si="376"/>
        <v>4</v>
      </c>
      <c r="AA813" s="873">
        <f t="shared" si="377"/>
        <v>9</v>
      </c>
      <c r="AB813" s="874">
        <f t="shared" si="378"/>
        <v>13.960871651185032</v>
      </c>
    </row>
    <row r="814" spans="1:28">
      <c r="A814" s="210">
        <f t="shared" si="379"/>
        <v>7</v>
      </c>
      <c r="B814" s="210">
        <f>$F$575</f>
        <v>7</v>
      </c>
      <c r="C814" s="210">
        <f t="shared" si="360"/>
        <v>22</v>
      </c>
      <c r="D814" s="210">
        <f t="shared" si="360"/>
        <v>203</v>
      </c>
      <c r="E814" s="237">
        <f t="shared" si="361"/>
        <v>1</v>
      </c>
      <c r="F814" s="1208">
        <f t="shared" si="358"/>
        <v>0.6</v>
      </c>
      <c r="G814" s="210">
        <f t="shared" si="359"/>
        <v>0.8</v>
      </c>
      <c r="I814" s="233">
        <f t="shared" si="362"/>
        <v>11.200000000000003</v>
      </c>
      <c r="J814" s="210">
        <f t="shared" si="363"/>
        <v>0.8</v>
      </c>
      <c r="L814" s="233">
        <f t="shared" si="364"/>
        <v>5.9200000000000017</v>
      </c>
      <c r="M814" s="220">
        <f t="shared" si="365"/>
        <v>0.8</v>
      </c>
      <c r="O814" s="873">
        <f t="shared" si="366"/>
        <v>24</v>
      </c>
      <c r="P814" s="873">
        <f t="shared" si="366"/>
        <v>24</v>
      </c>
      <c r="Q814" s="874">
        <f t="shared" si="367"/>
        <v>20.669999999999998</v>
      </c>
      <c r="R814" s="873">
        <f t="shared" si="368"/>
        <v>10</v>
      </c>
      <c r="S814" s="873">
        <f t="shared" si="369"/>
        <v>14</v>
      </c>
      <c r="T814" s="874">
        <f t="shared" si="370"/>
        <v>17.633411486304666</v>
      </c>
      <c r="U814" s="874">
        <f t="shared" si="371"/>
        <v>15.750000000000004</v>
      </c>
      <c r="V814" s="873">
        <f t="shared" si="372"/>
        <v>7</v>
      </c>
      <c r="W814" s="873">
        <f t="shared" si="373"/>
        <v>3</v>
      </c>
      <c r="X814" s="873">
        <f t="shared" si="374"/>
        <v>0</v>
      </c>
      <c r="Y814" s="873">
        <f t="shared" si="375"/>
        <v>1</v>
      </c>
      <c r="Z814" s="873">
        <f t="shared" si="376"/>
        <v>4</v>
      </c>
      <c r="AA814" s="873">
        <f t="shared" si="377"/>
        <v>9</v>
      </c>
      <c r="AB814" s="874">
        <f t="shared" si="378"/>
        <v>13.960871651185032</v>
      </c>
    </row>
    <row r="815" spans="1:28">
      <c r="A815" s="210">
        <f t="shared" si="379"/>
        <v>7</v>
      </c>
      <c r="B815" s="210">
        <f>$F$569</f>
        <v>1</v>
      </c>
      <c r="C815" s="210">
        <f t="shared" si="360"/>
        <v>23</v>
      </c>
      <c r="D815" s="210">
        <f t="shared" si="360"/>
        <v>204</v>
      </c>
      <c r="E815" s="237">
        <f t="shared" si="361"/>
        <v>1</v>
      </c>
      <c r="F815" s="1208">
        <f t="shared" si="358"/>
        <v>0.6</v>
      </c>
      <c r="G815" s="210">
        <f t="shared" si="359"/>
        <v>0.8</v>
      </c>
      <c r="I815" s="233">
        <f t="shared" si="362"/>
        <v>11.200000000000003</v>
      </c>
      <c r="J815" s="210">
        <f t="shared" si="363"/>
        <v>0.8</v>
      </c>
      <c r="L815" s="233">
        <f t="shared" si="364"/>
        <v>5.9200000000000017</v>
      </c>
      <c r="M815" s="220">
        <f t="shared" si="365"/>
        <v>0.8</v>
      </c>
      <c r="O815" s="873">
        <f t="shared" si="366"/>
        <v>24</v>
      </c>
      <c r="P815" s="873">
        <f t="shared" si="366"/>
        <v>24</v>
      </c>
      <c r="Q815" s="874">
        <f t="shared" si="367"/>
        <v>20.669999999999998</v>
      </c>
      <c r="R815" s="873">
        <f t="shared" si="368"/>
        <v>10</v>
      </c>
      <c r="S815" s="873">
        <f t="shared" si="369"/>
        <v>14</v>
      </c>
      <c r="T815" s="874">
        <f t="shared" si="370"/>
        <v>17.633411486304666</v>
      </c>
      <c r="U815" s="874">
        <f t="shared" si="371"/>
        <v>15.750000000000004</v>
      </c>
      <c r="V815" s="873">
        <f t="shared" si="372"/>
        <v>7</v>
      </c>
      <c r="W815" s="873">
        <f t="shared" si="373"/>
        <v>3</v>
      </c>
      <c r="X815" s="873">
        <f t="shared" si="374"/>
        <v>0</v>
      </c>
      <c r="Y815" s="873">
        <f t="shared" si="375"/>
        <v>1</v>
      </c>
      <c r="Z815" s="873">
        <f t="shared" si="376"/>
        <v>4</v>
      </c>
      <c r="AA815" s="873">
        <f t="shared" si="377"/>
        <v>9</v>
      </c>
      <c r="AB815" s="874">
        <f t="shared" si="378"/>
        <v>13.960871651185032</v>
      </c>
    </row>
    <row r="816" spans="1:28">
      <c r="A816" s="210">
        <f t="shared" si="379"/>
        <v>7</v>
      </c>
      <c r="B816" s="210">
        <f>$F$570</f>
        <v>2</v>
      </c>
      <c r="C816" s="210">
        <f t="shared" si="360"/>
        <v>24</v>
      </c>
      <c r="D816" s="210">
        <f t="shared" si="360"/>
        <v>205</v>
      </c>
      <c r="E816" s="237">
        <f t="shared" si="361"/>
        <v>1</v>
      </c>
      <c r="F816" s="1208">
        <f t="shared" si="358"/>
        <v>0.6</v>
      </c>
      <c r="G816" s="210">
        <f t="shared" si="359"/>
        <v>0.8</v>
      </c>
      <c r="I816" s="233">
        <f t="shared" si="362"/>
        <v>11.200000000000003</v>
      </c>
      <c r="J816" s="210">
        <f t="shared" si="363"/>
        <v>0.8</v>
      </c>
      <c r="L816" s="233">
        <f t="shared" si="364"/>
        <v>5.9200000000000017</v>
      </c>
      <c r="M816" s="220">
        <f t="shared" si="365"/>
        <v>0.8</v>
      </c>
      <c r="O816" s="873">
        <f t="shared" si="366"/>
        <v>24</v>
      </c>
      <c r="P816" s="873">
        <f t="shared" si="366"/>
        <v>24</v>
      </c>
      <c r="Q816" s="874">
        <f t="shared" si="367"/>
        <v>20.669999999999998</v>
      </c>
      <c r="R816" s="873">
        <f t="shared" si="368"/>
        <v>10</v>
      </c>
      <c r="S816" s="873">
        <f t="shared" si="369"/>
        <v>14</v>
      </c>
      <c r="T816" s="874">
        <f t="shared" si="370"/>
        <v>17.633411486304666</v>
      </c>
      <c r="U816" s="874">
        <f t="shared" si="371"/>
        <v>15.750000000000004</v>
      </c>
      <c r="V816" s="873">
        <f t="shared" si="372"/>
        <v>7</v>
      </c>
      <c r="W816" s="873">
        <f t="shared" si="373"/>
        <v>3</v>
      </c>
      <c r="X816" s="873">
        <f t="shared" si="374"/>
        <v>0</v>
      </c>
      <c r="Y816" s="873">
        <f t="shared" si="375"/>
        <v>1</v>
      </c>
      <c r="Z816" s="873">
        <f t="shared" si="376"/>
        <v>4</v>
      </c>
      <c r="AA816" s="873">
        <f t="shared" si="377"/>
        <v>9</v>
      </c>
      <c r="AB816" s="874">
        <f t="shared" si="378"/>
        <v>13.960871651185032</v>
      </c>
    </row>
    <row r="817" spans="1:28">
      <c r="A817" s="210">
        <f t="shared" si="379"/>
        <v>7</v>
      </c>
      <c r="B817" s="210">
        <f>$F$571</f>
        <v>3</v>
      </c>
      <c r="C817" s="210">
        <f t="shared" si="360"/>
        <v>25</v>
      </c>
      <c r="D817" s="210">
        <f t="shared" si="360"/>
        <v>206</v>
      </c>
      <c r="E817" s="237">
        <f t="shared" si="361"/>
        <v>1</v>
      </c>
      <c r="F817" s="1208">
        <f t="shared" si="358"/>
        <v>0.6</v>
      </c>
      <c r="G817" s="210">
        <f t="shared" si="359"/>
        <v>0.8</v>
      </c>
      <c r="I817" s="233">
        <f t="shared" si="362"/>
        <v>11.200000000000003</v>
      </c>
      <c r="J817" s="210">
        <f t="shared" si="363"/>
        <v>0.8</v>
      </c>
      <c r="L817" s="233">
        <f t="shared" si="364"/>
        <v>5.9200000000000017</v>
      </c>
      <c r="M817" s="220">
        <f t="shared" si="365"/>
        <v>0.8</v>
      </c>
      <c r="O817" s="873">
        <f t="shared" si="366"/>
        <v>24</v>
      </c>
      <c r="P817" s="873">
        <f t="shared" si="366"/>
        <v>24</v>
      </c>
      <c r="Q817" s="874">
        <f t="shared" si="367"/>
        <v>20.669999999999998</v>
      </c>
      <c r="R817" s="873">
        <f t="shared" si="368"/>
        <v>10</v>
      </c>
      <c r="S817" s="873">
        <f t="shared" si="369"/>
        <v>14</v>
      </c>
      <c r="T817" s="874">
        <f t="shared" si="370"/>
        <v>17.633411486304666</v>
      </c>
      <c r="U817" s="874">
        <f t="shared" si="371"/>
        <v>15.750000000000004</v>
      </c>
      <c r="V817" s="873">
        <f t="shared" si="372"/>
        <v>7</v>
      </c>
      <c r="W817" s="873">
        <f t="shared" si="373"/>
        <v>3</v>
      </c>
      <c r="X817" s="873">
        <f t="shared" si="374"/>
        <v>0</v>
      </c>
      <c r="Y817" s="873">
        <f t="shared" si="375"/>
        <v>1</v>
      </c>
      <c r="Z817" s="873">
        <f t="shared" si="376"/>
        <v>4</v>
      </c>
      <c r="AA817" s="873">
        <f t="shared" si="377"/>
        <v>9</v>
      </c>
      <c r="AB817" s="874">
        <f t="shared" si="378"/>
        <v>13.960871651185032</v>
      </c>
    </row>
    <row r="818" spans="1:28">
      <c r="A818" s="210">
        <f t="shared" si="379"/>
        <v>7</v>
      </c>
      <c r="B818" s="210">
        <f>$F$572</f>
        <v>4</v>
      </c>
      <c r="C818" s="210">
        <f t="shared" si="360"/>
        <v>26</v>
      </c>
      <c r="D818" s="210">
        <f t="shared" si="360"/>
        <v>207</v>
      </c>
      <c r="E818" s="237">
        <f t="shared" si="361"/>
        <v>1</v>
      </c>
      <c r="F818" s="1208">
        <f t="shared" si="358"/>
        <v>0.6</v>
      </c>
      <c r="G818" s="210">
        <f t="shared" si="359"/>
        <v>0.8</v>
      </c>
      <c r="I818" s="233">
        <f t="shared" si="362"/>
        <v>11.200000000000003</v>
      </c>
      <c r="J818" s="210">
        <f t="shared" si="363"/>
        <v>0.8</v>
      </c>
      <c r="L818" s="233">
        <f t="shared" si="364"/>
        <v>5.9200000000000017</v>
      </c>
      <c r="M818" s="220">
        <f t="shared" si="365"/>
        <v>0.8</v>
      </c>
      <c r="O818" s="873">
        <f t="shared" si="366"/>
        <v>24</v>
      </c>
      <c r="P818" s="873">
        <f t="shared" si="366"/>
        <v>24</v>
      </c>
      <c r="Q818" s="874">
        <f t="shared" si="367"/>
        <v>20.669999999999998</v>
      </c>
      <c r="R818" s="873">
        <f t="shared" si="368"/>
        <v>10</v>
      </c>
      <c r="S818" s="873">
        <f t="shared" si="369"/>
        <v>14</v>
      </c>
      <c r="T818" s="874">
        <f t="shared" si="370"/>
        <v>17.633411486304666</v>
      </c>
      <c r="U818" s="874">
        <f t="shared" si="371"/>
        <v>15.750000000000004</v>
      </c>
      <c r="V818" s="873">
        <f t="shared" si="372"/>
        <v>7</v>
      </c>
      <c r="W818" s="873">
        <f t="shared" si="373"/>
        <v>3</v>
      </c>
      <c r="X818" s="873">
        <f t="shared" si="374"/>
        <v>0</v>
      </c>
      <c r="Y818" s="873">
        <f t="shared" si="375"/>
        <v>1</v>
      </c>
      <c r="Z818" s="873">
        <f t="shared" si="376"/>
        <v>4</v>
      </c>
      <c r="AA818" s="873">
        <f t="shared" si="377"/>
        <v>9</v>
      </c>
      <c r="AB818" s="874">
        <f t="shared" si="378"/>
        <v>13.960871651185032</v>
      </c>
    </row>
    <row r="819" spans="1:28">
      <c r="A819" s="210">
        <f t="shared" si="379"/>
        <v>7</v>
      </c>
      <c r="B819" s="210">
        <f>$F$573</f>
        <v>5</v>
      </c>
      <c r="C819" s="210">
        <f t="shared" si="360"/>
        <v>27</v>
      </c>
      <c r="D819" s="210">
        <f t="shared" si="360"/>
        <v>208</v>
      </c>
      <c r="E819" s="237">
        <f t="shared" si="361"/>
        <v>1</v>
      </c>
      <c r="F819" s="1208">
        <f t="shared" si="358"/>
        <v>0.6</v>
      </c>
      <c r="G819" s="210">
        <f t="shared" si="359"/>
        <v>0.8</v>
      </c>
      <c r="I819" s="233">
        <f t="shared" si="362"/>
        <v>11.200000000000003</v>
      </c>
      <c r="J819" s="210">
        <f t="shared" si="363"/>
        <v>0.8</v>
      </c>
      <c r="L819" s="233">
        <f t="shared" si="364"/>
        <v>5.9200000000000017</v>
      </c>
      <c r="M819" s="220">
        <f t="shared" si="365"/>
        <v>0.8</v>
      </c>
      <c r="O819" s="873">
        <f t="shared" si="366"/>
        <v>24</v>
      </c>
      <c r="P819" s="873">
        <f t="shared" si="366"/>
        <v>24</v>
      </c>
      <c r="Q819" s="874">
        <f t="shared" si="367"/>
        <v>20.669999999999998</v>
      </c>
      <c r="R819" s="873">
        <f t="shared" si="368"/>
        <v>10</v>
      </c>
      <c r="S819" s="873">
        <f t="shared" si="369"/>
        <v>14</v>
      </c>
      <c r="T819" s="874">
        <f t="shared" si="370"/>
        <v>17.633411486304666</v>
      </c>
      <c r="U819" s="874">
        <f t="shared" si="371"/>
        <v>15.750000000000004</v>
      </c>
      <c r="V819" s="873">
        <f t="shared" si="372"/>
        <v>7</v>
      </c>
      <c r="W819" s="873">
        <f t="shared" si="373"/>
        <v>3</v>
      </c>
      <c r="X819" s="873">
        <f t="shared" si="374"/>
        <v>0</v>
      </c>
      <c r="Y819" s="873">
        <f t="shared" si="375"/>
        <v>1</v>
      </c>
      <c r="Z819" s="873">
        <f t="shared" si="376"/>
        <v>4</v>
      </c>
      <c r="AA819" s="873">
        <f t="shared" si="377"/>
        <v>9</v>
      </c>
      <c r="AB819" s="874">
        <f t="shared" si="378"/>
        <v>13.960871651185032</v>
      </c>
    </row>
    <row r="820" spans="1:28">
      <c r="A820" s="210">
        <f t="shared" si="379"/>
        <v>7</v>
      </c>
      <c r="B820" s="210">
        <f>$F$574</f>
        <v>6</v>
      </c>
      <c r="C820" s="210">
        <f t="shared" si="360"/>
        <v>28</v>
      </c>
      <c r="D820" s="210">
        <f t="shared" si="360"/>
        <v>209</v>
      </c>
      <c r="E820" s="237">
        <f t="shared" si="361"/>
        <v>1</v>
      </c>
      <c r="F820" s="1208">
        <f t="shared" si="358"/>
        <v>0.6</v>
      </c>
      <c r="G820" s="210">
        <f t="shared" si="359"/>
        <v>0.8</v>
      </c>
      <c r="I820" s="233">
        <f t="shared" si="362"/>
        <v>11.200000000000003</v>
      </c>
      <c r="J820" s="210">
        <f t="shared" si="363"/>
        <v>0.8</v>
      </c>
      <c r="L820" s="233">
        <f t="shared" si="364"/>
        <v>5.9200000000000017</v>
      </c>
      <c r="M820" s="220">
        <f t="shared" si="365"/>
        <v>0.8</v>
      </c>
      <c r="O820" s="873">
        <f t="shared" si="366"/>
        <v>24</v>
      </c>
      <c r="P820" s="873">
        <f t="shared" si="366"/>
        <v>24</v>
      </c>
      <c r="Q820" s="874">
        <f t="shared" si="367"/>
        <v>20.669999999999998</v>
      </c>
      <c r="R820" s="873">
        <f t="shared" si="368"/>
        <v>10</v>
      </c>
      <c r="S820" s="873">
        <f t="shared" si="369"/>
        <v>14</v>
      </c>
      <c r="T820" s="874">
        <f t="shared" si="370"/>
        <v>17.633411486304666</v>
      </c>
      <c r="U820" s="874">
        <f t="shared" si="371"/>
        <v>15.750000000000004</v>
      </c>
      <c r="V820" s="873">
        <f t="shared" si="372"/>
        <v>7</v>
      </c>
      <c r="W820" s="873">
        <f t="shared" si="373"/>
        <v>3</v>
      </c>
      <c r="X820" s="873">
        <f t="shared" si="374"/>
        <v>0</v>
      </c>
      <c r="Y820" s="873">
        <f t="shared" si="375"/>
        <v>1</v>
      </c>
      <c r="Z820" s="873">
        <f t="shared" si="376"/>
        <v>4</v>
      </c>
      <c r="AA820" s="873">
        <f t="shared" si="377"/>
        <v>9</v>
      </c>
      <c r="AB820" s="874">
        <f t="shared" si="378"/>
        <v>13.960871651185032</v>
      </c>
    </row>
    <row r="821" spans="1:28">
      <c r="A821" s="210">
        <f t="shared" si="379"/>
        <v>7</v>
      </c>
      <c r="B821" s="210">
        <f>$F$575</f>
        <v>7</v>
      </c>
      <c r="C821" s="210">
        <f t="shared" ref="C821:D836" si="380">C820+1</f>
        <v>29</v>
      </c>
      <c r="D821" s="210">
        <f t="shared" si="380"/>
        <v>210</v>
      </c>
      <c r="E821" s="237">
        <f t="shared" si="361"/>
        <v>1</v>
      </c>
      <c r="F821" s="1208">
        <f t="shared" si="358"/>
        <v>0.6</v>
      </c>
      <c r="G821" s="210">
        <f t="shared" si="359"/>
        <v>0.8</v>
      </c>
      <c r="I821" s="233">
        <f t="shared" si="362"/>
        <v>11.200000000000003</v>
      </c>
      <c r="J821" s="210">
        <f t="shared" si="363"/>
        <v>0.8</v>
      </c>
      <c r="L821" s="233">
        <f t="shared" si="364"/>
        <v>5.9200000000000017</v>
      </c>
      <c r="M821" s="220">
        <f t="shared" si="365"/>
        <v>0.8</v>
      </c>
      <c r="O821" s="873">
        <f t="shared" si="366"/>
        <v>24</v>
      </c>
      <c r="P821" s="873">
        <f t="shared" si="366"/>
        <v>24</v>
      </c>
      <c r="Q821" s="874">
        <f t="shared" si="367"/>
        <v>20.669999999999998</v>
      </c>
      <c r="R821" s="873">
        <f t="shared" si="368"/>
        <v>10</v>
      </c>
      <c r="S821" s="873">
        <f t="shared" si="369"/>
        <v>14</v>
      </c>
      <c r="T821" s="874">
        <f t="shared" si="370"/>
        <v>17.633411486304666</v>
      </c>
      <c r="U821" s="874">
        <f t="shared" si="371"/>
        <v>15.750000000000004</v>
      </c>
      <c r="V821" s="873">
        <f t="shared" si="372"/>
        <v>7</v>
      </c>
      <c r="W821" s="873">
        <f t="shared" si="373"/>
        <v>3</v>
      </c>
      <c r="X821" s="873">
        <f t="shared" si="374"/>
        <v>0</v>
      </c>
      <c r="Y821" s="873">
        <f t="shared" si="375"/>
        <v>1</v>
      </c>
      <c r="Z821" s="873">
        <f t="shared" si="376"/>
        <v>4</v>
      </c>
      <c r="AA821" s="873">
        <f t="shared" si="377"/>
        <v>9</v>
      </c>
      <c r="AB821" s="874">
        <f t="shared" si="378"/>
        <v>13.960871651185032</v>
      </c>
    </row>
    <row r="822" spans="1:28">
      <c r="A822" s="210">
        <f t="shared" si="379"/>
        <v>7</v>
      </c>
      <c r="B822" s="210">
        <f>$F$569</f>
        <v>1</v>
      </c>
      <c r="C822" s="210">
        <f t="shared" si="380"/>
        <v>30</v>
      </c>
      <c r="D822" s="210">
        <f t="shared" si="380"/>
        <v>211</v>
      </c>
      <c r="E822" s="237">
        <f t="shared" si="361"/>
        <v>1</v>
      </c>
      <c r="F822" s="1208">
        <f t="shared" si="358"/>
        <v>0.6</v>
      </c>
      <c r="G822" s="210">
        <f t="shared" si="359"/>
        <v>0.8</v>
      </c>
      <c r="I822" s="233">
        <f t="shared" si="362"/>
        <v>11.200000000000003</v>
      </c>
      <c r="J822" s="210">
        <f t="shared" si="363"/>
        <v>0.8</v>
      </c>
      <c r="L822" s="233">
        <f t="shared" si="364"/>
        <v>5.9200000000000017</v>
      </c>
      <c r="M822" s="220">
        <f t="shared" si="365"/>
        <v>0.8</v>
      </c>
      <c r="O822" s="873">
        <f t="shared" si="366"/>
        <v>24</v>
      </c>
      <c r="P822" s="873">
        <f t="shared" si="366"/>
        <v>24</v>
      </c>
      <c r="Q822" s="874">
        <f t="shared" si="367"/>
        <v>20.669999999999998</v>
      </c>
      <c r="R822" s="873">
        <f t="shared" si="368"/>
        <v>10</v>
      </c>
      <c r="S822" s="873">
        <f t="shared" si="369"/>
        <v>14</v>
      </c>
      <c r="T822" s="874">
        <f t="shared" si="370"/>
        <v>17.633411486304666</v>
      </c>
      <c r="U822" s="874">
        <f t="shared" si="371"/>
        <v>15.750000000000004</v>
      </c>
      <c r="V822" s="873">
        <f t="shared" si="372"/>
        <v>7</v>
      </c>
      <c r="W822" s="873">
        <f t="shared" si="373"/>
        <v>3</v>
      </c>
      <c r="X822" s="873">
        <f t="shared" si="374"/>
        <v>0</v>
      </c>
      <c r="Y822" s="873">
        <f t="shared" si="375"/>
        <v>1</v>
      </c>
      <c r="Z822" s="873">
        <f t="shared" si="376"/>
        <v>4</v>
      </c>
      <c r="AA822" s="873">
        <f t="shared" si="377"/>
        <v>9</v>
      </c>
      <c r="AB822" s="874">
        <f t="shared" si="378"/>
        <v>13.960871651185032</v>
      </c>
    </row>
    <row r="823" spans="1:28">
      <c r="A823" s="210">
        <f t="shared" si="379"/>
        <v>7</v>
      </c>
      <c r="B823" s="210">
        <f>$F$570</f>
        <v>2</v>
      </c>
      <c r="C823" s="210">
        <f t="shared" si="380"/>
        <v>31</v>
      </c>
      <c r="D823" s="210">
        <f t="shared" si="380"/>
        <v>212</v>
      </c>
      <c r="E823" s="237">
        <f t="shared" si="361"/>
        <v>1</v>
      </c>
      <c r="F823" s="1208">
        <f t="shared" si="358"/>
        <v>0.6</v>
      </c>
      <c r="G823" s="210">
        <f t="shared" si="359"/>
        <v>0.8</v>
      </c>
      <c r="I823" s="233">
        <f t="shared" si="362"/>
        <v>11.200000000000003</v>
      </c>
      <c r="J823" s="210">
        <f t="shared" si="363"/>
        <v>0.8</v>
      </c>
      <c r="L823" s="233">
        <f t="shared" si="364"/>
        <v>5.9200000000000017</v>
      </c>
      <c r="M823" s="220">
        <f t="shared" si="365"/>
        <v>0.8</v>
      </c>
      <c r="O823" s="873">
        <f t="shared" si="366"/>
        <v>24</v>
      </c>
      <c r="P823" s="873">
        <f t="shared" si="366"/>
        <v>24</v>
      </c>
      <c r="Q823" s="874">
        <f t="shared" si="367"/>
        <v>20.669999999999998</v>
      </c>
      <c r="R823" s="873">
        <f t="shared" si="368"/>
        <v>10</v>
      </c>
      <c r="S823" s="873">
        <f t="shared" si="369"/>
        <v>14</v>
      </c>
      <c r="T823" s="874">
        <f t="shared" si="370"/>
        <v>17.633411486304666</v>
      </c>
      <c r="U823" s="874">
        <f t="shared" si="371"/>
        <v>15.750000000000004</v>
      </c>
      <c r="V823" s="873">
        <f t="shared" si="372"/>
        <v>7</v>
      </c>
      <c r="W823" s="873">
        <f t="shared" si="373"/>
        <v>3</v>
      </c>
      <c r="X823" s="873">
        <f t="shared" si="374"/>
        <v>0</v>
      </c>
      <c r="Y823" s="873">
        <f t="shared" si="375"/>
        <v>1</v>
      </c>
      <c r="Z823" s="873">
        <f t="shared" si="376"/>
        <v>4</v>
      </c>
      <c r="AA823" s="873">
        <f t="shared" si="377"/>
        <v>9</v>
      </c>
      <c r="AB823" s="874">
        <f t="shared" si="378"/>
        <v>13.960871651185032</v>
      </c>
    </row>
    <row r="824" spans="1:28">
      <c r="A824" s="210">
        <v>8</v>
      </c>
      <c r="B824" s="210">
        <f>$F$571</f>
        <v>3</v>
      </c>
      <c r="C824" s="210">
        <v>1</v>
      </c>
      <c r="D824" s="210">
        <f t="shared" si="380"/>
        <v>213</v>
      </c>
      <c r="E824" s="237">
        <f t="shared" si="361"/>
        <v>1</v>
      </c>
      <c r="F824" s="1208">
        <f t="shared" si="358"/>
        <v>0.6</v>
      </c>
      <c r="G824" s="210">
        <f t="shared" si="359"/>
        <v>0.8</v>
      </c>
      <c r="I824" s="233">
        <f t="shared" si="362"/>
        <v>11.200000000000003</v>
      </c>
      <c r="J824" s="210">
        <f t="shared" si="363"/>
        <v>0.8</v>
      </c>
      <c r="L824" s="233">
        <f t="shared" si="364"/>
        <v>5.9200000000000017</v>
      </c>
      <c r="M824" s="220">
        <f t="shared" si="365"/>
        <v>0.8</v>
      </c>
      <c r="O824" s="873">
        <f t="shared" si="366"/>
        <v>24</v>
      </c>
      <c r="P824" s="873">
        <f t="shared" si="366"/>
        <v>24</v>
      </c>
      <c r="Q824" s="874">
        <f t="shared" si="367"/>
        <v>20.669999999999998</v>
      </c>
      <c r="R824" s="873">
        <f t="shared" si="368"/>
        <v>10</v>
      </c>
      <c r="S824" s="873">
        <f t="shared" si="369"/>
        <v>14</v>
      </c>
      <c r="T824" s="874">
        <f t="shared" si="370"/>
        <v>17.633411486304666</v>
      </c>
      <c r="U824" s="874">
        <f t="shared" si="371"/>
        <v>15.750000000000004</v>
      </c>
      <c r="V824" s="873">
        <f t="shared" si="372"/>
        <v>7</v>
      </c>
      <c r="W824" s="873">
        <f t="shared" si="373"/>
        <v>3</v>
      </c>
      <c r="X824" s="873">
        <f t="shared" si="374"/>
        <v>0</v>
      </c>
      <c r="Y824" s="873">
        <f t="shared" si="375"/>
        <v>1</v>
      </c>
      <c r="Z824" s="873">
        <f t="shared" si="376"/>
        <v>4</v>
      </c>
      <c r="AA824" s="873">
        <f t="shared" si="377"/>
        <v>9</v>
      </c>
      <c r="AB824" s="874">
        <f t="shared" si="378"/>
        <v>13.960871651185032</v>
      </c>
    </row>
    <row r="825" spans="1:28">
      <c r="A825" s="210">
        <f t="shared" si="379"/>
        <v>8</v>
      </c>
      <c r="B825" s="210">
        <f>$F$572</f>
        <v>4</v>
      </c>
      <c r="C825" s="210">
        <f t="shared" si="380"/>
        <v>2</v>
      </c>
      <c r="D825" s="210">
        <f t="shared" si="380"/>
        <v>214</v>
      </c>
      <c r="E825" s="237">
        <f t="shared" si="361"/>
        <v>1</v>
      </c>
      <c r="F825" s="1208">
        <f t="shared" si="358"/>
        <v>0.6</v>
      </c>
      <c r="G825" s="210">
        <f t="shared" si="359"/>
        <v>0.8</v>
      </c>
      <c r="I825" s="233">
        <f t="shared" si="362"/>
        <v>11.200000000000003</v>
      </c>
      <c r="J825" s="210">
        <f t="shared" si="363"/>
        <v>0.8</v>
      </c>
      <c r="L825" s="233">
        <f t="shared" si="364"/>
        <v>5.9200000000000017</v>
      </c>
      <c r="M825" s="220">
        <f t="shared" si="365"/>
        <v>0.8</v>
      </c>
      <c r="O825" s="873">
        <f t="shared" si="366"/>
        <v>24</v>
      </c>
      <c r="P825" s="873">
        <f t="shared" si="366"/>
        <v>24</v>
      </c>
      <c r="Q825" s="874">
        <f t="shared" si="367"/>
        <v>20.669999999999998</v>
      </c>
      <c r="R825" s="873">
        <f t="shared" si="368"/>
        <v>10</v>
      </c>
      <c r="S825" s="873">
        <f t="shared" si="369"/>
        <v>14</v>
      </c>
      <c r="T825" s="874">
        <f t="shared" si="370"/>
        <v>17.633411486304666</v>
      </c>
      <c r="U825" s="874">
        <f t="shared" si="371"/>
        <v>15.750000000000004</v>
      </c>
      <c r="V825" s="873">
        <f t="shared" si="372"/>
        <v>7</v>
      </c>
      <c r="W825" s="873">
        <f t="shared" si="373"/>
        <v>3</v>
      </c>
      <c r="X825" s="873">
        <f t="shared" si="374"/>
        <v>0</v>
      </c>
      <c r="Y825" s="873">
        <f t="shared" si="375"/>
        <v>1</v>
      </c>
      <c r="Z825" s="873">
        <f t="shared" si="376"/>
        <v>4</v>
      </c>
      <c r="AA825" s="873">
        <f t="shared" si="377"/>
        <v>9</v>
      </c>
      <c r="AB825" s="874">
        <f t="shared" si="378"/>
        <v>13.960871651185032</v>
      </c>
    </row>
    <row r="826" spans="1:28">
      <c r="A826" s="210">
        <f t="shared" si="379"/>
        <v>8</v>
      </c>
      <c r="B826" s="210">
        <f>$F$573</f>
        <v>5</v>
      </c>
      <c r="C826" s="210">
        <f t="shared" si="380"/>
        <v>3</v>
      </c>
      <c r="D826" s="210">
        <f t="shared" si="380"/>
        <v>215</v>
      </c>
      <c r="E826" s="237">
        <f t="shared" si="361"/>
        <v>1</v>
      </c>
      <c r="F826" s="1208">
        <f t="shared" si="358"/>
        <v>0.6</v>
      </c>
      <c r="G826" s="210">
        <f t="shared" si="359"/>
        <v>0.8</v>
      </c>
      <c r="I826" s="233">
        <f t="shared" si="362"/>
        <v>11.200000000000003</v>
      </c>
      <c r="J826" s="210">
        <f t="shared" si="363"/>
        <v>0.8</v>
      </c>
      <c r="L826" s="233">
        <f t="shared" si="364"/>
        <v>5.9200000000000017</v>
      </c>
      <c r="M826" s="220">
        <f t="shared" si="365"/>
        <v>0.8</v>
      </c>
      <c r="O826" s="873">
        <f t="shared" si="366"/>
        <v>24</v>
      </c>
      <c r="P826" s="873">
        <f t="shared" si="366"/>
        <v>24</v>
      </c>
      <c r="Q826" s="874">
        <f t="shared" si="367"/>
        <v>20.669999999999998</v>
      </c>
      <c r="R826" s="873">
        <f t="shared" si="368"/>
        <v>10</v>
      </c>
      <c r="S826" s="873">
        <f t="shared" si="369"/>
        <v>14</v>
      </c>
      <c r="T826" s="874">
        <f t="shared" si="370"/>
        <v>17.633411486304666</v>
      </c>
      <c r="U826" s="874">
        <f t="shared" si="371"/>
        <v>15.750000000000004</v>
      </c>
      <c r="V826" s="873">
        <f t="shared" si="372"/>
        <v>7</v>
      </c>
      <c r="W826" s="873">
        <f t="shared" si="373"/>
        <v>3</v>
      </c>
      <c r="X826" s="873">
        <f t="shared" si="374"/>
        <v>0</v>
      </c>
      <c r="Y826" s="873">
        <f t="shared" si="375"/>
        <v>1</v>
      </c>
      <c r="Z826" s="873">
        <f t="shared" si="376"/>
        <v>4</v>
      </c>
      <c r="AA826" s="873">
        <f t="shared" si="377"/>
        <v>9</v>
      </c>
      <c r="AB826" s="874">
        <f t="shared" si="378"/>
        <v>13.960871651185032</v>
      </c>
    </row>
    <row r="827" spans="1:28">
      <c r="A827" s="210">
        <f t="shared" si="379"/>
        <v>8</v>
      </c>
      <c r="B827" s="210">
        <f>$F$574</f>
        <v>6</v>
      </c>
      <c r="C827" s="210">
        <f t="shared" si="380"/>
        <v>4</v>
      </c>
      <c r="D827" s="210">
        <f t="shared" si="380"/>
        <v>216</v>
      </c>
      <c r="E827" s="237">
        <f t="shared" si="361"/>
        <v>1</v>
      </c>
      <c r="F827" s="1208">
        <f t="shared" si="358"/>
        <v>0.6</v>
      </c>
      <c r="G827" s="210">
        <f t="shared" si="359"/>
        <v>0.8</v>
      </c>
      <c r="I827" s="233">
        <f t="shared" si="362"/>
        <v>11.200000000000003</v>
      </c>
      <c r="J827" s="210">
        <f t="shared" si="363"/>
        <v>0.8</v>
      </c>
      <c r="L827" s="233">
        <f t="shared" si="364"/>
        <v>5.9200000000000017</v>
      </c>
      <c r="M827" s="220">
        <f t="shared" si="365"/>
        <v>0.8</v>
      </c>
      <c r="O827" s="873">
        <f t="shared" si="366"/>
        <v>24</v>
      </c>
      <c r="P827" s="873">
        <f t="shared" si="366"/>
        <v>24</v>
      </c>
      <c r="Q827" s="874">
        <f t="shared" si="367"/>
        <v>20.669999999999998</v>
      </c>
      <c r="R827" s="873">
        <f t="shared" si="368"/>
        <v>10</v>
      </c>
      <c r="S827" s="873">
        <f t="shared" si="369"/>
        <v>14</v>
      </c>
      <c r="T827" s="874">
        <f t="shared" si="370"/>
        <v>17.633411486304666</v>
      </c>
      <c r="U827" s="874">
        <f t="shared" si="371"/>
        <v>15.750000000000004</v>
      </c>
      <c r="V827" s="873">
        <f t="shared" si="372"/>
        <v>7</v>
      </c>
      <c r="W827" s="873">
        <f t="shared" si="373"/>
        <v>3</v>
      </c>
      <c r="X827" s="873">
        <f t="shared" si="374"/>
        <v>0</v>
      </c>
      <c r="Y827" s="873">
        <f t="shared" si="375"/>
        <v>1</v>
      </c>
      <c r="Z827" s="873">
        <f t="shared" si="376"/>
        <v>4</v>
      </c>
      <c r="AA827" s="873">
        <f t="shared" si="377"/>
        <v>9</v>
      </c>
      <c r="AB827" s="874">
        <f t="shared" si="378"/>
        <v>13.960871651185032</v>
      </c>
    </row>
    <row r="828" spans="1:28">
      <c r="A828" s="210">
        <f t="shared" si="379"/>
        <v>8</v>
      </c>
      <c r="B828" s="210">
        <f>$F$575</f>
        <v>7</v>
      </c>
      <c r="C828" s="210">
        <f t="shared" si="380"/>
        <v>5</v>
      </c>
      <c r="D828" s="210">
        <f t="shared" si="380"/>
        <v>217</v>
      </c>
      <c r="E828" s="237">
        <f t="shared" si="361"/>
        <v>1</v>
      </c>
      <c r="F828" s="1208">
        <f t="shared" si="358"/>
        <v>0.6</v>
      </c>
      <c r="G828" s="210">
        <f t="shared" si="359"/>
        <v>0.8</v>
      </c>
      <c r="I828" s="233">
        <f t="shared" si="362"/>
        <v>11.200000000000003</v>
      </c>
      <c r="J828" s="210">
        <f t="shared" si="363"/>
        <v>0.8</v>
      </c>
      <c r="L828" s="233">
        <f t="shared" si="364"/>
        <v>5.9200000000000017</v>
      </c>
      <c r="M828" s="220">
        <f t="shared" si="365"/>
        <v>0.8</v>
      </c>
      <c r="O828" s="873">
        <f t="shared" si="366"/>
        <v>24</v>
      </c>
      <c r="P828" s="873">
        <f t="shared" si="366"/>
        <v>24</v>
      </c>
      <c r="Q828" s="874">
        <f t="shared" si="367"/>
        <v>20.669999999999998</v>
      </c>
      <c r="R828" s="873">
        <f t="shared" si="368"/>
        <v>10</v>
      </c>
      <c r="S828" s="873">
        <f t="shared" si="369"/>
        <v>14</v>
      </c>
      <c r="T828" s="874">
        <f t="shared" si="370"/>
        <v>17.633411486304666</v>
      </c>
      <c r="U828" s="874">
        <f t="shared" si="371"/>
        <v>15.750000000000004</v>
      </c>
      <c r="V828" s="873">
        <f t="shared" si="372"/>
        <v>7</v>
      </c>
      <c r="W828" s="873">
        <f t="shared" si="373"/>
        <v>3</v>
      </c>
      <c r="X828" s="873">
        <f t="shared" si="374"/>
        <v>0</v>
      </c>
      <c r="Y828" s="873">
        <f t="shared" si="375"/>
        <v>1</v>
      </c>
      <c r="Z828" s="873">
        <f t="shared" si="376"/>
        <v>4</v>
      </c>
      <c r="AA828" s="873">
        <f t="shared" si="377"/>
        <v>9</v>
      </c>
      <c r="AB828" s="874">
        <f t="shared" si="378"/>
        <v>13.960871651185032</v>
      </c>
    </row>
    <row r="829" spans="1:28">
      <c r="A829" s="210">
        <f t="shared" si="379"/>
        <v>8</v>
      </c>
      <c r="B829" s="210">
        <f>$F$569</f>
        <v>1</v>
      </c>
      <c r="C829" s="210">
        <f t="shared" si="380"/>
        <v>6</v>
      </c>
      <c r="D829" s="210">
        <f t="shared" si="380"/>
        <v>218</v>
      </c>
      <c r="E829" s="237">
        <f t="shared" si="361"/>
        <v>1</v>
      </c>
      <c r="F829" s="1208">
        <f t="shared" si="358"/>
        <v>0.6</v>
      </c>
      <c r="G829" s="210">
        <f t="shared" si="359"/>
        <v>0.8</v>
      </c>
      <c r="I829" s="233">
        <f t="shared" si="362"/>
        <v>11.200000000000003</v>
      </c>
      <c r="J829" s="210">
        <f t="shared" si="363"/>
        <v>0.8</v>
      </c>
      <c r="L829" s="233">
        <f t="shared" si="364"/>
        <v>5.9200000000000017</v>
      </c>
      <c r="M829" s="220">
        <f t="shared" si="365"/>
        <v>0.8</v>
      </c>
      <c r="O829" s="873">
        <f t="shared" si="366"/>
        <v>24</v>
      </c>
      <c r="P829" s="873">
        <f t="shared" si="366"/>
        <v>24</v>
      </c>
      <c r="Q829" s="874">
        <f t="shared" si="367"/>
        <v>20.669999999999998</v>
      </c>
      <c r="R829" s="873">
        <f t="shared" si="368"/>
        <v>10</v>
      </c>
      <c r="S829" s="873">
        <f t="shared" si="369"/>
        <v>14</v>
      </c>
      <c r="T829" s="874">
        <f t="shared" si="370"/>
        <v>17.633411486304666</v>
      </c>
      <c r="U829" s="874">
        <f t="shared" si="371"/>
        <v>15.750000000000004</v>
      </c>
      <c r="V829" s="873">
        <f t="shared" si="372"/>
        <v>7</v>
      </c>
      <c r="W829" s="873">
        <f t="shared" si="373"/>
        <v>3</v>
      </c>
      <c r="X829" s="873">
        <f t="shared" si="374"/>
        <v>0</v>
      </c>
      <c r="Y829" s="873">
        <f t="shared" si="375"/>
        <v>1</v>
      </c>
      <c r="Z829" s="873">
        <f t="shared" si="376"/>
        <v>4</v>
      </c>
      <c r="AA829" s="873">
        <f t="shared" si="377"/>
        <v>9</v>
      </c>
      <c r="AB829" s="874">
        <f t="shared" si="378"/>
        <v>13.960871651185032</v>
      </c>
    </row>
    <row r="830" spans="1:28">
      <c r="A830" s="210">
        <f t="shared" si="379"/>
        <v>8</v>
      </c>
      <c r="B830" s="210">
        <f>$F$570</f>
        <v>2</v>
      </c>
      <c r="C830" s="210">
        <f t="shared" si="380"/>
        <v>7</v>
      </c>
      <c r="D830" s="210">
        <f t="shared" si="380"/>
        <v>219</v>
      </c>
      <c r="E830" s="237">
        <f t="shared" si="361"/>
        <v>1</v>
      </c>
      <c r="F830" s="1208">
        <f t="shared" si="358"/>
        <v>0.6</v>
      </c>
      <c r="G830" s="210">
        <f t="shared" si="359"/>
        <v>0.8</v>
      </c>
      <c r="I830" s="233">
        <f t="shared" si="362"/>
        <v>11.200000000000003</v>
      </c>
      <c r="J830" s="210">
        <f t="shared" si="363"/>
        <v>0.8</v>
      </c>
      <c r="L830" s="233">
        <f t="shared" si="364"/>
        <v>5.9200000000000017</v>
      </c>
      <c r="M830" s="220">
        <f t="shared" si="365"/>
        <v>0.8</v>
      </c>
      <c r="O830" s="873">
        <f t="shared" si="366"/>
        <v>24</v>
      </c>
      <c r="P830" s="873">
        <f t="shared" si="366"/>
        <v>24</v>
      </c>
      <c r="Q830" s="874">
        <f t="shared" si="367"/>
        <v>20.669999999999998</v>
      </c>
      <c r="R830" s="873">
        <f t="shared" si="368"/>
        <v>10</v>
      </c>
      <c r="S830" s="873">
        <f t="shared" si="369"/>
        <v>14</v>
      </c>
      <c r="T830" s="874">
        <f t="shared" si="370"/>
        <v>17.633411486304666</v>
      </c>
      <c r="U830" s="874">
        <f t="shared" si="371"/>
        <v>15.750000000000004</v>
      </c>
      <c r="V830" s="873">
        <f t="shared" si="372"/>
        <v>7</v>
      </c>
      <c r="W830" s="873">
        <f t="shared" si="373"/>
        <v>3</v>
      </c>
      <c r="X830" s="873">
        <f t="shared" si="374"/>
        <v>0</v>
      </c>
      <c r="Y830" s="873">
        <f t="shared" si="375"/>
        <v>1</v>
      </c>
      <c r="Z830" s="873">
        <f t="shared" si="376"/>
        <v>4</v>
      </c>
      <c r="AA830" s="873">
        <f t="shared" si="377"/>
        <v>9</v>
      </c>
      <c r="AB830" s="874">
        <f t="shared" si="378"/>
        <v>13.960871651185032</v>
      </c>
    </row>
    <row r="831" spans="1:28">
      <c r="A831" s="210">
        <f t="shared" si="379"/>
        <v>8</v>
      </c>
      <c r="B831" s="210">
        <f>$F$571</f>
        <v>3</v>
      </c>
      <c r="C831" s="210">
        <f t="shared" si="380"/>
        <v>8</v>
      </c>
      <c r="D831" s="210">
        <f t="shared" si="380"/>
        <v>220</v>
      </c>
      <c r="E831" s="237">
        <f t="shared" si="361"/>
        <v>1</v>
      </c>
      <c r="F831" s="1208">
        <f t="shared" si="358"/>
        <v>0.6</v>
      </c>
      <c r="G831" s="210">
        <f t="shared" si="359"/>
        <v>0.8</v>
      </c>
      <c r="I831" s="233">
        <f t="shared" si="362"/>
        <v>11.200000000000003</v>
      </c>
      <c r="J831" s="210">
        <f t="shared" si="363"/>
        <v>0.8</v>
      </c>
      <c r="L831" s="233">
        <f t="shared" si="364"/>
        <v>5.9200000000000017</v>
      </c>
      <c r="M831" s="220">
        <f t="shared" si="365"/>
        <v>0.8</v>
      </c>
      <c r="O831" s="873">
        <f t="shared" si="366"/>
        <v>24</v>
      </c>
      <c r="P831" s="873">
        <f t="shared" si="366"/>
        <v>24</v>
      </c>
      <c r="Q831" s="874">
        <f t="shared" si="367"/>
        <v>20.669999999999998</v>
      </c>
      <c r="R831" s="873">
        <f t="shared" si="368"/>
        <v>10</v>
      </c>
      <c r="S831" s="873">
        <f t="shared" si="369"/>
        <v>14</v>
      </c>
      <c r="T831" s="874">
        <f t="shared" si="370"/>
        <v>17.633411486304666</v>
      </c>
      <c r="U831" s="874">
        <f t="shared" si="371"/>
        <v>15.750000000000004</v>
      </c>
      <c r="V831" s="873">
        <f t="shared" si="372"/>
        <v>7</v>
      </c>
      <c r="W831" s="873">
        <f t="shared" si="373"/>
        <v>3</v>
      </c>
      <c r="X831" s="873">
        <f t="shared" si="374"/>
        <v>0</v>
      </c>
      <c r="Y831" s="873">
        <f t="shared" si="375"/>
        <v>1</v>
      </c>
      <c r="Z831" s="873">
        <f t="shared" si="376"/>
        <v>4</v>
      </c>
      <c r="AA831" s="873">
        <f t="shared" si="377"/>
        <v>9</v>
      </c>
      <c r="AB831" s="874">
        <f t="shared" si="378"/>
        <v>13.960871651185032</v>
      </c>
    </row>
    <row r="832" spans="1:28">
      <c r="A832" s="210">
        <f t="shared" si="379"/>
        <v>8</v>
      </c>
      <c r="B832" s="210">
        <f>$F$572</f>
        <v>4</v>
      </c>
      <c r="C832" s="210">
        <f t="shared" si="380"/>
        <v>9</v>
      </c>
      <c r="D832" s="210">
        <f t="shared" si="380"/>
        <v>221</v>
      </c>
      <c r="E832" s="237">
        <f t="shared" si="361"/>
        <v>1</v>
      </c>
      <c r="F832" s="1208">
        <f t="shared" si="358"/>
        <v>0.6</v>
      </c>
      <c r="G832" s="210">
        <f t="shared" si="359"/>
        <v>0.8</v>
      </c>
      <c r="I832" s="233">
        <f t="shared" si="362"/>
        <v>11.200000000000003</v>
      </c>
      <c r="J832" s="210">
        <f t="shared" si="363"/>
        <v>0.8</v>
      </c>
      <c r="L832" s="233">
        <f t="shared" si="364"/>
        <v>5.9200000000000017</v>
      </c>
      <c r="M832" s="220">
        <f t="shared" si="365"/>
        <v>0.8</v>
      </c>
      <c r="O832" s="873">
        <f t="shared" si="366"/>
        <v>24</v>
      </c>
      <c r="P832" s="873">
        <f t="shared" si="366"/>
        <v>24</v>
      </c>
      <c r="Q832" s="874">
        <f t="shared" si="367"/>
        <v>20.669999999999998</v>
      </c>
      <c r="R832" s="873">
        <f t="shared" si="368"/>
        <v>10</v>
      </c>
      <c r="S832" s="873">
        <f t="shared" si="369"/>
        <v>14</v>
      </c>
      <c r="T832" s="874">
        <f t="shared" si="370"/>
        <v>17.633411486304666</v>
      </c>
      <c r="U832" s="874">
        <f t="shared" si="371"/>
        <v>15.750000000000004</v>
      </c>
      <c r="V832" s="873">
        <f t="shared" si="372"/>
        <v>7</v>
      </c>
      <c r="W832" s="873">
        <f t="shared" si="373"/>
        <v>3</v>
      </c>
      <c r="X832" s="873">
        <f t="shared" si="374"/>
        <v>0</v>
      </c>
      <c r="Y832" s="873">
        <f t="shared" si="375"/>
        <v>1</v>
      </c>
      <c r="Z832" s="873">
        <f t="shared" si="376"/>
        <v>4</v>
      </c>
      <c r="AA832" s="873">
        <f t="shared" si="377"/>
        <v>9</v>
      </c>
      <c r="AB832" s="874">
        <f t="shared" si="378"/>
        <v>13.960871651185032</v>
      </c>
    </row>
    <row r="833" spans="1:28">
      <c r="A833" s="210">
        <f t="shared" si="379"/>
        <v>8</v>
      </c>
      <c r="B833" s="210">
        <f>$F$573</f>
        <v>5</v>
      </c>
      <c r="C833" s="210">
        <f t="shared" si="380"/>
        <v>10</v>
      </c>
      <c r="D833" s="210">
        <f t="shared" si="380"/>
        <v>222</v>
      </c>
      <c r="E833" s="237">
        <f t="shared" si="361"/>
        <v>1</v>
      </c>
      <c r="F833" s="1208">
        <f t="shared" si="358"/>
        <v>0.6</v>
      </c>
      <c r="G833" s="210">
        <f t="shared" si="359"/>
        <v>0.8</v>
      </c>
      <c r="I833" s="233">
        <f t="shared" si="362"/>
        <v>11.200000000000003</v>
      </c>
      <c r="J833" s="210">
        <f t="shared" si="363"/>
        <v>0.8</v>
      </c>
      <c r="L833" s="233">
        <f t="shared" si="364"/>
        <v>5.9200000000000017</v>
      </c>
      <c r="M833" s="220">
        <f t="shared" si="365"/>
        <v>0.8</v>
      </c>
      <c r="O833" s="873">
        <f t="shared" si="366"/>
        <v>24</v>
      </c>
      <c r="P833" s="873">
        <f t="shared" si="366"/>
        <v>24</v>
      </c>
      <c r="Q833" s="874">
        <f t="shared" si="367"/>
        <v>20.669999999999998</v>
      </c>
      <c r="R833" s="873">
        <f t="shared" si="368"/>
        <v>10</v>
      </c>
      <c r="S833" s="873">
        <f t="shared" si="369"/>
        <v>14</v>
      </c>
      <c r="T833" s="874">
        <f t="shared" si="370"/>
        <v>17.633411486304666</v>
      </c>
      <c r="U833" s="874">
        <f t="shared" si="371"/>
        <v>15.750000000000004</v>
      </c>
      <c r="V833" s="873">
        <f t="shared" si="372"/>
        <v>7</v>
      </c>
      <c r="W833" s="873">
        <f t="shared" si="373"/>
        <v>3</v>
      </c>
      <c r="X833" s="873">
        <f t="shared" si="374"/>
        <v>0</v>
      </c>
      <c r="Y833" s="873">
        <f t="shared" si="375"/>
        <v>1</v>
      </c>
      <c r="Z833" s="873">
        <f t="shared" si="376"/>
        <v>4</v>
      </c>
      <c r="AA833" s="873">
        <f t="shared" si="377"/>
        <v>9</v>
      </c>
      <c r="AB833" s="874">
        <f t="shared" si="378"/>
        <v>13.960871651185032</v>
      </c>
    </row>
    <row r="834" spans="1:28">
      <c r="A834" s="210">
        <f t="shared" si="379"/>
        <v>8</v>
      </c>
      <c r="B834" s="210">
        <f>$F$574</f>
        <v>6</v>
      </c>
      <c r="C834" s="210">
        <f t="shared" si="380"/>
        <v>11</v>
      </c>
      <c r="D834" s="210">
        <f t="shared" si="380"/>
        <v>223</v>
      </c>
      <c r="E834" s="237">
        <f t="shared" si="361"/>
        <v>1</v>
      </c>
      <c r="F834" s="1208">
        <f t="shared" si="358"/>
        <v>0.6</v>
      </c>
      <c r="G834" s="210">
        <f t="shared" si="359"/>
        <v>0.8</v>
      </c>
      <c r="I834" s="233">
        <f t="shared" si="362"/>
        <v>11.200000000000003</v>
      </c>
      <c r="J834" s="210">
        <f t="shared" si="363"/>
        <v>0.8</v>
      </c>
      <c r="L834" s="233">
        <f t="shared" si="364"/>
        <v>5.9200000000000017</v>
      </c>
      <c r="M834" s="220">
        <f t="shared" si="365"/>
        <v>0.8</v>
      </c>
      <c r="O834" s="873">
        <f t="shared" si="366"/>
        <v>24</v>
      </c>
      <c r="P834" s="873">
        <f t="shared" si="366"/>
        <v>24</v>
      </c>
      <c r="Q834" s="874">
        <f t="shared" si="367"/>
        <v>20.669999999999998</v>
      </c>
      <c r="R834" s="873">
        <f t="shared" si="368"/>
        <v>10</v>
      </c>
      <c r="S834" s="873">
        <f t="shared" si="369"/>
        <v>14</v>
      </c>
      <c r="T834" s="874">
        <f t="shared" si="370"/>
        <v>17.633411486304666</v>
      </c>
      <c r="U834" s="874">
        <f t="shared" si="371"/>
        <v>15.750000000000004</v>
      </c>
      <c r="V834" s="873">
        <f t="shared" si="372"/>
        <v>7</v>
      </c>
      <c r="W834" s="873">
        <f t="shared" si="373"/>
        <v>3</v>
      </c>
      <c r="X834" s="873">
        <f t="shared" si="374"/>
        <v>0</v>
      </c>
      <c r="Y834" s="873">
        <f t="shared" si="375"/>
        <v>1</v>
      </c>
      <c r="Z834" s="873">
        <f t="shared" si="376"/>
        <v>4</v>
      </c>
      <c r="AA834" s="873">
        <f t="shared" si="377"/>
        <v>9</v>
      </c>
      <c r="AB834" s="874">
        <f t="shared" si="378"/>
        <v>13.960871651185032</v>
      </c>
    </row>
    <row r="835" spans="1:28">
      <c r="A835" s="210">
        <f t="shared" si="379"/>
        <v>8</v>
      </c>
      <c r="B835" s="210">
        <f>$F$575</f>
        <v>7</v>
      </c>
      <c r="C835" s="210">
        <f t="shared" si="380"/>
        <v>12</v>
      </c>
      <c r="D835" s="210">
        <f t="shared" si="380"/>
        <v>224</v>
      </c>
      <c r="E835" s="237">
        <f t="shared" si="361"/>
        <v>1</v>
      </c>
      <c r="F835" s="1208">
        <f t="shared" si="358"/>
        <v>0.6</v>
      </c>
      <c r="G835" s="210">
        <f t="shared" si="359"/>
        <v>0.8</v>
      </c>
      <c r="I835" s="233">
        <f t="shared" si="362"/>
        <v>11.200000000000003</v>
      </c>
      <c r="J835" s="210">
        <f t="shared" si="363"/>
        <v>0.8</v>
      </c>
      <c r="L835" s="233">
        <f t="shared" si="364"/>
        <v>5.9200000000000017</v>
      </c>
      <c r="M835" s="220">
        <f t="shared" si="365"/>
        <v>0.8</v>
      </c>
      <c r="O835" s="873">
        <f t="shared" si="366"/>
        <v>24</v>
      </c>
      <c r="P835" s="873">
        <f t="shared" si="366"/>
        <v>24</v>
      </c>
      <c r="Q835" s="874">
        <f t="shared" si="367"/>
        <v>20.669999999999998</v>
      </c>
      <c r="R835" s="873">
        <f t="shared" si="368"/>
        <v>10</v>
      </c>
      <c r="S835" s="873">
        <f t="shared" si="369"/>
        <v>14</v>
      </c>
      <c r="T835" s="874">
        <f t="shared" si="370"/>
        <v>17.633411486304666</v>
      </c>
      <c r="U835" s="874">
        <f t="shared" si="371"/>
        <v>15.750000000000004</v>
      </c>
      <c r="V835" s="873">
        <f t="shared" si="372"/>
        <v>7</v>
      </c>
      <c r="W835" s="873">
        <f t="shared" si="373"/>
        <v>3</v>
      </c>
      <c r="X835" s="873">
        <f t="shared" si="374"/>
        <v>0</v>
      </c>
      <c r="Y835" s="873">
        <f t="shared" si="375"/>
        <v>1</v>
      </c>
      <c r="Z835" s="873">
        <f t="shared" si="376"/>
        <v>4</v>
      </c>
      <c r="AA835" s="873">
        <f t="shared" si="377"/>
        <v>9</v>
      </c>
      <c r="AB835" s="874">
        <f t="shared" si="378"/>
        <v>13.960871651185032</v>
      </c>
    </row>
    <row r="836" spans="1:28">
      <c r="A836" s="210">
        <f t="shared" si="379"/>
        <v>8</v>
      </c>
      <c r="B836" s="210">
        <f>$F$569</f>
        <v>1</v>
      </c>
      <c r="C836" s="210">
        <f t="shared" si="380"/>
        <v>13</v>
      </c>
      <c r="D836" s="210">
        <f t="shared" si="380"/>
        <v>225</v>
      </c>
      <c r="E836" s="237">
        <f t="shared" si="361"/>
        <v>1</v>
      </c>
      <c r="F836" s="1208">
        <f t="shared" si="358"/>
        <v>0.6</v>
      </c>
      <c r="G836" s="210">
        <f t="shared" si="359"/>
        <v>0.8</v>
      </c>
      <c r="I836" s="233">
        <f t="shared" si="362"/>
        <v>11.200000000000003</v>
      </c>
      <c r="J836" s="210">
        <f t="shared" si="363"/>
        <v>0.8</v>
      </c>
      <c r="L836" s="233">
        <f t="shared" si="364"/>
        <v>5.9200000000000017</v>
      </c>
      <c r="M836" s="220">
        <f t="shared" si="365"/>
        <v>0.8</v>
      </c>
      <c r="O836" s="873">
        <f t="shared" si="366"/>
        <v>24</v>
      </c>
      <c r="P836" s="873">
        <f t="shared" si="366"/>
        <v>24</v>
      </c>
      <c r="Q836" s="874">
        <f t="shared" si="367"/>
        <v>20.669999999999998</v>
      </c>
      <c r="R836" s="873">
        <f t="shared" si="368"/>
        <v>10</v>
      </c>
      <c r="S836" s="873">
        <f t="shared" si="369"/>
        <v>14</v>
      </c>
      <c r="T836" s="874">
        <f t="shared" si="370"/>
        <v>17.633411486304666</v>
      </c>
      <c r="U836" s="874">
        <f t="shared" si="371"/>
        <v>15.750000000000004</v>
      </c>
      <c r="V836" s="873">
        <f t="shared" si="372"/>
        <v>7</v>
      </c>
      <c r="W836" s="873">
        <f t="shared" si="373"/>
        <v>3</v>
      </c>
      <c r="X836" s="873">
        <f t="shared" si="374"/>
        <v>0</v>
      </c>
      <c r="Y836" s="873">
        <f t="shared" si="375"/>
        <v>1</v>
      </c>
      <c r="Z836" s="873">
        <f t="shared" si="376"/>
        <v>4</v>
      </c>
      <c r="AA836" s="873">
        <f t="shared" si="377"/>
        <v>9</v>
      </c>
      <c r="AB836" s="874">
        <f t="shared" si="378"/>
        <v>13.960871651185032</v>
      </c>
    </row>
    <row r="837" spans="1:28">
      <c r="A837" s="210">
        <f t="shared" si="379"/>
        <v>8</v>
      </c>
      <c r="B837" s="210">
        <f>$F$570</f>
        <v>2</v>
      </c>
      <c r="C837" s="210">
        <f t="shared" ref="C837:D852" si="381">C836+1</f>
        <v>14</v>
      </c>
      <c r="D837" s="210">
        <f t="shared" si="381"/>
        <v>226</v>
      </c>
      <c r="E837" s="237">
        <f t="shared" si="361"/>
        <v>1</v>
      </c>
      <c r="F837" s="1208">
        <f t="shared" si="358"/>
        <v>0.6</v>
      </c>
      <c r="G837" s="210">
        <f t="shared" si="359"/>
        <v>0.8</v>
      </c>
      <c r="I837" s="233">
        <f t="shared" si="362"/>
        <v>11.200000000000003</v>
      </c>
      <c r="J837" s="210">
        <f t="shared" si="363"/>
        <v>0.8</v>
      </c>
      <c r="L837" s="233">
        <f t="shared" si="364"/>
        <v>5.9200000000000017</v>
      </c>
      <c r="M837" s="220">
        <f t="shared" si="365"/>
        <v>0.8</v>
      </c>
      <c r="O837" s="873">
        <f t="shared" ref="O837:P868" si="382">$E837*$F$62*IF($G837=0,0,1)</f>
        <v>24</v>
      </c>
      <c r="P837" s="873">
        <f t="shared" si="382"/>
        <v>24</v>
      </c>
      <c r="Q837" s="874">
        <f t="shared" si="367"/>
        <v>20.669999999999998</v>
      </c>
      <c r="R837" s="873">
        <f t="shared" si="368"/>
        <v>10</v>
      </c>
      <c r="S837" s="873">
        <f t="shared" si="369"/>
        <v>14</v>
      </c>
      <c r="T837" s="874">
        <f t="shared" si="370"/>
        <v>17.633411486304666</v>
      </c>
      <c r="U837" s="874">
        <f t="shared" si="371"/>
        <v>15.750000000000004</v>
      </c>
      <c r="V837" s="873">
        <f t="shared" si="372"/>
        <v>7</v>
      </c>
      <c r="W837" s="873">
        <f t="shared" si="373"/>
        <v>3</v>
      </c>
      <c r="X837" s="873">
        <f t="shared" si="374"/>
        <v>0</v>
      </c>
      <c r="Y837" s="873">
        <f t="shared" si="375"/>
        <v>1</v>
      </c>
      <c r="Z837" s="873">
        <f t="shared" si="376"/>
        <v>4</v>
      </c>
      <c r="AA837" s="873">
        <f t="shared" si="377"/>
        <v>9</v>
      </c>
      <c r="AB837" s="874">
        <f t="shared" si="378"/>
        <v>13.960871651185032</v>
      </c>
    </row>
    <row r="838" spans="1:28">
      <c r="A838" s="210">
        <f t="shared" si="379"/>
        <v>8</v>
      </c>
      <c r="B838" s="210">
        <f>$F$571</f>
        <v>3</v>
      </c>
      <c r="C838" s="210">
        <f t="shared" si="381"/>
        <v>15</v>
      </c>
      <c r="D838" s="210">
        <f t="shared" si="381"/>
        <v>227</v>
      </c>
      <c r="E838" s="237">
        <f t="shared" si="361"/>
        <v>1</v>
      </c>
      <c r="F838" s="1208">
        <f t="shared" si="358"/>
        <v>0.6</v>
      </c>
      <c r="G838" s="210">
        <f t="shared" si="359"/>
        <v>0.8</v>
      </c>
      <c r="I838" s="233">
        <f t="shared" si="362"/>
        <v>11.200000000000003</v>
      </c>
      <c r="J838" s="210">
        <f t="shared" si="363"/>
        <v>0.8</v>
      </c>
      <c r="L838" s="233">
        <f t="shared" si="364"/>
        <v>5.9200000000000017</v>
      </c>
      <c r="M838" s="220">
        <f t="shared" si="365"/>
        <v>0.8</v>
      </c>
      <c r="O838" s="873">
        <f t="shared" si="382"/>
        <v>24</v>
      </c>
      <c r="P838" s="873">
        <f t="shared" si="382"/>
        <v>24</v>
      </c>
      <c r="Q838" s="874">
        <f t="shared" si="367"/>
        <v>20.669999999999998</v>
      </c>
      <c r="R838" s="873">
        <f t="shared" si="368"/>
        <v>10</v>
      </c>
      <c r="S838" s="873">
        <f t="shared" si="369"/>
        <v>14</v>
      </c>
      <c r="T838" s="874">
        <f t="shared" si="370"/>
        <v>17.633411486304666</v>
      </c>
      <c r="U838" s="874">
        <f t="shared" si="371"/>
        <v>15.750000000000004</v>
      </c>
      <c r="V838" s="873">
        <f t="shared" si="372"/>
        <v>7</v>
      </c>
      <c r="W838" s="873">
        <f t="shared" si="373"/>
        <v>3</v>
      </c>
      <c r="X838" s="873">
        <f t="shared" si="374"/>
        <v>0</v>
      </c>
      <c r="Y838" s="873">
        <f t="shared" si="375"/>
        <v>1</v>
      </c>
      <c r="Z838" s="873">
        <f t="shared" si="376"/>
        <v>4</v>
      </c>
      <c r="AA838" s="873">
        <f t="shared" si="377"/>
        <v>9</v>
      </c>
      <c r="AB838" s="874">
        <f t="shared" si="378"/>
        <v>13.960871651185032</v>
      </c>
    </row>
    <row r="839" spans="1:28">
      <c r="A839" s="210">
        <f t="shared" si="379"/>
        <v>8</v>
      </c>
      <c r="B839" s="210">
        <f>$F$572</f>
        <v>4</v>
      </c>
      <c r="C839" s="210">
        <f t="shared" si="381"/>
        <v>16</v>
      </c>
      <c r="D839" s="210">
        <f t="shared" si="381"/>
        <v>228</v>
      </c>
      <c r="E839" s="237">
        <f t="shared" si="361"/>
        <v>1</v>
      </c>
      <c r="F839" s="1208">
        <f t="shared" si="358"/>
        <v>0.6</v>
      </c>
      <c r="G839" s="210">
        <f t="shared" si="359"/>
        <v>0.8</v>
      </c>
      <c r="I839" s="233">
        <f t="shared" si="362"/>
        <v>11.200000000000003</v>
      </c>
      <c r="J839" s="210">
        <f t="shared" si="363"/>
        <v>0.8</v>
      </c>
      <c r="L839" s="233">
        <f t="shared" si="364"/>
        <v>5.9200000000000017</v>
      </c>
      <c r="M839" s="220">
        <f t="shared" si="365"/>
        <v>0.8</v>
      </c>
      <c r="O839" s="873">
        <f t="shared" si="382"/>
        <v>24</v>
      </c>
      <c r="P839" s="873">
        <f t="shared" si="382"/>
        <v>24</v>
      </c>
      <c r="Q839" s="874">
        <f t="shared" si="367"/>
        <v>20.669999999999998</v>
      </c>
      <c r="R839" s="873">
        <f t="shared" si="368"/>
        <v>10</v>
      </c>
      <c r="S839" s="873">
        <f t="shared" si="369"/>
        <v>14</v>
      </c>
      <c r="T839" s="874">
        <f t="shared" si="370"/>
        <v>17.633411486304666</v>
      </c>
      <c r="U839" s="874">
        <f t="shared" si="371"/>
        <v>15.750000000000004</v>
      </c>
      <c r="V839" s="873">
        <f t="shared" si="372"/>
        <v>7</v>
      </c>
      <c r="W839" s="873">
        <f t="shared" si="373"/>
        <v>3</v>
      </c>
      <c r="X839" s="873">
        <f t="shared" si="374"/>
        <v>0</v>
      </c>
      <c r="Y839" s="873">
        <f t="shared" si="375"/>
        <v>1</v>
      </c>
      <c r="Z839" s="873">
        <f t="shared" si="376"/>
        <v>4</v>
      </c>
      <c r="AA839" s="873">
        <f t="shared" si="377"/>
        <v>9</v>
      </c>
      <c r="AB839" s="874">
        <f t="shared" si="378"/>
        <v>13.960871651185032</v>
      </c>
    </row>
    <row r="840" spans="1:28">
      <c r="A840" s="210">
        <f t="shared" si="379"/>
        <v>8</v>
      </c>
      <c r="B840" s="210">
        <f>$F$573</f>
        <v>5</v>
      </c>
      <c r="C840" s="210">
        <f t="shared" si="381"/>
        <v>17</v>
      </c>
      <c r="D840" s="210">
        <f t="shared" si="381"/>
        <v>229</v>
      </c>
      <c r="E840" s="237">
        <f t="shared" si="361"/>
        <v>1</v>
      </c>
      <c r="F840" s="1208">
        <f t="shared" si="358"/>
        <v>0.6</v>
      </c>
      <c r="G840" s="210">
        <f t="shared" si="359"/>
        <v>0.8</v>
      </c>
      <c r="I840" s="233">
        <f t="shared" si="362"/>
        <v>11.200000000000003</v>
      </c>
      <c r="J840" s="210">
        <f t="shared" si="363"/>
        <v>0.8</v>
      </c>
      <c r="L840" s="233">
        <f t="shared" si="364"/>
        <v>5.9200000000000017</v>
      </c>
      <c r="M840" s="220">
        <f t="shared" si="365"/>
        <v>0.8</v>
      </c>
      <c r="O840" s="873">
        <f t="shared" si="382"/>
        <v>24</v>
      </c>
      <c r="P840" s="873">
        <f t="shared" si="382"/>
        <v>24</v>
      </c>
      <c r="Q840" s="874">
        <f t="shared" si="367"/>
        <v>20.669999999999998</v>
      </c>
      <c r="R840" s="873">
        <f t="shared" si="368"/>
        <v>10</v>
      </c>
      <c r="S840" s="873">
        <f t="shared" si="369"/>
        <v>14</v>
      </c>
      <c r="T840" s="874">
        <f t="shared" si="370"/>
        <v>17.633411486304666</v>
      </c>
      <c r="U840" s="874">
        <f t="shared" si="371"/>
        <v>15.750000000000004</v>
      </c>
      <c r="V840" s="873">
        <f t="shared" si="372"/>
        <v>7</v>
      </c>
      <c r="W840" s="873">
        <f t="shared" si="373"/>
        <v>3</v>
      </c>
      <c r="X840" s="873">
        <f t="shared" si="374"/>
        <v>0</v>
      </c>
      <c r="Y840" s="873">
        <f t="shared" si="375"/>
        <v>1</v>
      </c>
      <c r="Z840" s="873">
        <f t="shared" si="376"/>
        <v>4</v>
      </c>
      <c r="AA840" s="873">
        <f t="shared" si="377"/>
        <v>9</v>
      </c>
      <c r="AB840" s="874">
        <f t="shared" si="378"/>
        <v>13.960871651185032</v>
      </c>
    </row>
    <row r="841" spans="1:28">
      <c r="A841" s="210">
        <f t="shared" si="379"/>
        <v>8</v>
      </c>
      <c r="B841" s="210">
        <f>$F$574</f>
        <v>6</v>
      </c>
      <c r="C841" s="210">
        <f t="shared" si="381"/>
        <v>18</v>
      </c>
      <c r="D841" s="210">
        <f t="shared" si="381"/>
        <v>230</v>
      </c>
      <c r="E841" s="237">
        <f t="shared" si="361"/>
        <v>1</v>
      </c>
      <c r="F841" s="1208">
        <f t="shared" si="358"/>
        <v>0.6</v>
      </c>
      <c r="G841" s="210">
        <f t="shared" si="359"/>
        <v>0.8</v>
      </c>
      <c r="I841" s="233">
        <f t="shared" si="362"/>
        <v>11.200000000000003</v>
      </c>
      <c r="J841" s="210">
        <f t="shared" si="363"/>
        <v>0.8</v>
      </c>
      <c r="L841" s="233">
        <f t="shared" si="364"/>
        <v>5.9200000000000017</v>
      </c>
      <c r="M841" s="220">
        <f t="shared" si="365"/>
        <v>0.8</v>
      </c>
      <c r="O841" s="873">
        <f t="shared" si="382"/>
        <v>24</v>
      </c>
      <c r="P841" s="873">
        <f t="shared" si="382"/>
        <v>24</v>
      </c>
      <c r="Q841" s="874">
        <f t="shared" si="367"/>
        <v>20.669999999999998</v>
      </c>
      <c r="R841" s="873">
        <f t="shared" si="368"/>
        <v>10</v>
      </c>
      <c r="S841" s="873">
        <f t="shared" si="369"/>
        <v>14</v>
      </c>
      <c r="T841" s="874">
        <f t="shared" si="370"/>
        <v>17.633411486304666</v>
      </c>
      <c r="U841" s="874">
        <f t="shared" si="371"/>
        <v>15.750000000000004</v>
      </c>
      <c r="V841" s="873">
        <f t="shared" si="372"/>
        <v>7</v>
      </c>
      <c r="W841" s="873">
        <f t="shared" si="373"/>
        <v>3</v>
      </c>
      <c r="X841" s="873">
        <f t="shared" si="374"/>
        <v>0</v>
      </c>
      <c r="Y841" s="873">
        <f t="shared" si="375"/>
        <v>1</v>
      </c>
      <c r="Z841" s="873">
        <f t="shared" si="376"/>
        <v>4</v>
      </c>
      <c r="AA841" s="873">
        <f t="shared" si="377"/>
        <v>9</v>
      </c>
      <c r="AB841" s="874">
        <f t="shared" si="378"/>
        <v>13.960871651185032</v>
      </c>
    </row>
    <row r="842" spans="1:28">
      <c r="A842" s="210">
        <f t="shared" si="379"/>
        <v>8</v>
      </c>
      <c r="B842" s="210">
        <f>$F$575</f>
        <v>7</v>
      </c>
      <c r="C842" s="210">
        <f t="shared" si="381"/>
        <v>19</v>
      </c>
      <c r="D842" s="210">
        <f t="shared" si="381"/>
        <v>231</v>
      </c>
      <c r="E842" s="237">
        <f t="shared" si="361"/>
        <v>1</v>
      </c>
      <c r="F842" s="1208">
        <f t="shared" si="358"/>
        <v>0.6</v>
      </c>
      <c r="G842" s="210">
        <f t="shared" si="359"/>
        <v>0.8</v>
      </c>
      <c r="I842" s="233">
        <f t="shared" si="362"/>
        <v>11.200000000000003</v>
      </c>
      <c r="J842" s="210">
        <f t="shared" si="363"/>
        <v>0.8</v>
      </c>
      <c r="L842" s="233">
        <f t="shared" si="364"/>
        <v>5.9200000000000017</v>
      </c>
      <c r="M842" s="220">
        <f t="shared" si="365"/>
        <v>0.8</v>
      </c>
      <c r="O842" s="873">
        <f t="shared" si="382"/>
        <v>24</v>
      </c>
      <c r="P842" s="873">
        <f t="shared" si="382"/>
        <v>24</v>
      </c>
      <c r="Q842" s="874">
        <f t="shared" si="367"/>
        <v>20.669999999999998</v>
      </c>
      <c r="R842" s="873">
        <f t="shared" si="368"/>
        <v>10</v>
      </c>
      <c r="S842" s="873">
        <f t="shared" si="369"/>
        <v>14</v>
      </c>
      <c r="T842" s="874">
        <f t="shared" si="370"/>
        <v>17.633411486304666</v>
      </c>
      <c r="U842" s="874">
        <f t="shared" si="371"/>
        <v>15.750000000000004</v>
      </c>
      <c r="V842" s="873">
        <f t="shared" si="372"/>
        <v>7</v>
      </c>
      <c r="W842" s="873">
        <f t="shared" si="373"/>
        <v>3</v>
      </c>
      <c r="X842" s="873">
        <f t="shared" si="374"/>
        <v>0</v>
      </c>
      <c r="Y842" s="873">
        <f t="shared" si="375"/>
        <v>1</v>
      </c>
      <c r="Z842" s="873">
        <f t="shared" si="376"/>
        <v>4</v>
      </c>
      <c r="AA842" s="873">
        <f t="shared" si="377"/>
        <v>9</v>
      </c>
      <c r="AB842" s="874">
        <f t="shared" si="378"/>
        <v>13.960871651185032</v>
      </c>
    </row>
    <row r="843" spans="1:28">
      <c r="A843" s="210">
        <f t="shared" si="379"/>
        <v>8</v>
      </c>
      <c r="B843" s="210">
        <f>$F$569</f>
        <v>1</v>
      </c>
      <c r="C843" s="210">
        <f t="shared" si="381"/>
        <v>20</v>
      </c>
      <c r="D843" s="210">
        <f t="shared" si="381"/>
        <v>232</v>
      </c>
      <c r="E843" s="237">
        <f t="shared" si="361"/>
        <v>1</v>
      </c>
      <c r="F843" s="1208">
        <f t="shared" si="358"/>
        <v>0.6</v>
      </c>
      <c r="G843" s="210">
        <f t="shared" si="359"/>
        <v>0.8</v>
      </c>
      <c r="I843" s="233">
        <f t="shared" si="362"/>
        <v>11.200000000000003</v>
      </c>
      <c r="J843" s="210">
        <f t="shared" si="363"/>
        <v>0.8</v>
      </c>
      <c r="L843" s="233">
        <f t="shared" si="364"/>
        <v>5.9200000000000017</v>
      </c>
      <c r="M843" s="220">
        <f t="shared" si="365"/>
        <v>0.8</v>
      </c>
      <c r="O843" s="873">
        <f t="shared" si="382"/>
        <v>24</v>
      </c>
      <c r="P843" s="873">
        <f t="shared" si="382"/>
        <v>24</v>
      </c>
      <c r="Q843" s="874">
        <f t="shared" si="367"/>
        <v>20.669999999999998</v>
      </c>
      <c r="R843" s="873">
        <f t="shared" si="368"/>
        <v>10</v>
      </c>
      <c r="S843" s="873">
        <f t="shared" si="369"/>
        <v>14</v>
      </c>
      <c r="T843" s="874">
        <f t="shared" si="370"/>
        <v>17.633411486304666</v>
      </c>
      <c r="U843" s="874">
        <f t="shared" si="371"/>
        <v>15.750000000000004</v>
      </c>
      <c r="V843" s="873">
        <f t="shared" si="372"/>
        <v>7</v>
      </c>
      <c r="W843" s="873">
        <f t="shared" si="373"/>
        <v>3</v>
      </c>
      <c r="X843" s="873">
        <f t="shared" si="374"/>
        <v>0</v>
      </c>
      <c r="Y843" s="873">
        <f t="shared" si="375"/>
        <v>1</v>
      </c>
      <c r="Z843" s="873">
        <f t="shared" si="376"/>
        <v>4</v>
      </c>
      <c r="AA843" s="873">
        <f t="shared" si="377"/>
        <v>9</v>
      </c>
      <c r="AB843" s="874">
        <f t="shared" si="378"/>
        <v>13.960871651185032</v>
      </c>
    </row>
    <row r="844" spans="1:28">
      <c r="A844" s="210">
        <f t="shared" si="379"/>
        <v>8</v>
      </c>
      <c r="B844" s="210">
        <f>$F$570</f>
        <v>2</v>
      </c>
      <c r="C844" s="210">
        <f t="shared" si="381"/>
        <v>21</v>
      </c>
      <c r="D844" s="210">
        <f t="shared" si="381"/>
        <v>233</v>
      </c>
      <c r="E844" s="237">
        <f t="shared" si="361"/>
        <v>1</v>
      </c>
      <c r="F844" s="1208">
        <f t="shared" si="358"/>
        <v>0.6</v>
      </c>
      <c r="G844" s="210">
        <f t="shared" si="359"/>
        <v>0.8</v>
      </c>
      <c r="I844" s="233">
        <f t="shared" si="362"/>
        <v>11.200000000000003</v>
      </c>
      <c r="J844" s="210">
        <f t="shared" si="363"/>
        <v>0.8</v>
      </c>
      <c r="L844" s="233">
        <f t="shared" si="364"/>
        <v>5.9200000000000017</v>
      </c>
      <c r="M844" s="220">
        <f t="shared" si="365"/>
        <v>0.8</v>
      </c>
      <c r="O844" s="873">
        <f t="shared" si="382"/>
        <v>24</v>
      </c>
      <c r="P844" s="873">
        <f t="shared" si="382"/>
        <v>24</v>
      </c>
      <c r="Q844" s="874">
        <f t="shared" si="367"/>
        <v>20.669999999999998</v>
      </c>
      <c r="R844" s="873">
        <f t="shared" si="368"/>
        <v>10</v>
      </c>
      <c r="S844" s="873">
        <f t="shared" si="369"/>
        <v>14</v>
      </c>
      <c r="T844" s="874">
        <f t="shared" si="370"/>
        <v>17.633411486304666</v>
      </c>
      <c r="U844" s="874">
        <f t="shared" si="371"/>
        <v>15.750000000000004</v>
      </c>
      <c r="V844" s="873">
        <f t="shared" si="372"/>
        <v>7</v>
      </c>
      <c r="W844" s="873">
        <f t="shared" si="373"/>
        <v>3</v>
      </c>
      <c r="X844" s="873">
        <f t="shared" si="374"/>
        <v>0</v>
      </c>
      <c r="Y844" s="873">
        <f t="shared" si="375"/>
        <v>1</v>
      </c>
      <c r="Z844" s="873">
        <f t="shared" si="376"/>
        <v>4</v>
      </c>
      <c r="AA844" s="873">
        <f t="shared" si="377"/>
        <v>9</v>
      </c>
      <c r="AB844" s="874">
        <f t="shared" si="378"/>
        <v>13.960871651185032</v>
      </c>
    </row>
    <row r="845" spans="1:28">
      <c r="A845" s="210">
        <f t="shared" si="379"/>
        <v>8</v>
      </c>
      <c r="B845" s="210">
        <f>$F$571</f>
        <v>3</v>
      </c>
      <c r="C845" s="210">
        <f t="shared" si="381"/>
        <v>22</v>
      </c>
      <c r="D845" s="210">
        <f t="shared" si="381"/>
        <v>234</v>
      </c>
      <c r="E845" s="237">
        <f t="shared" si="361"/>
        <v>1</v>
      </c>
      <c r="F845" s="1208">
        <f t="shared" si="358"/>
        <v>0.6</v>
      </c>
      <c r="G845" s="210">
        <f t="shared" si="359"/>
        <v>0.8</v>
      </c>
      <c r="I845" s="233">
        <f t="shared" si="362"/>
        <v>11.200000000000003</v>
      </c>
      <c r="J845" s="210">
        <f t="shared" si="363"/>
        <v>0.8</v>
      </c>
      <c r="L845" s="233">
        <f t="shared" si="364"/>
        <v>5.9200000000000017</v>
      </c>
      <c r="M845" s="220">
        <f t="shared" si="365"/>
        <v>0.8</v>
      </c>
      <c r="O845" s="873">
        <f t="shared" si="382"/>
        <v>24</v>
      </c>
      <c r="P845" s="873">
        <f t="shared" si="382"/>
        <v>24</v>
      </c>
      <c r="Q845" s="874">
        <f t="shared" si="367"/>
        <v>20.669999999999998</v>
      </c>
      <c r="R845" s="873">
        <f t="shared" si="368"/>
        <v>10</v>
      </c>
      <c r="S845" s="873">
        <f t="shared" si="369"/>
        <v>14</v>
      </c>
      <c r="T845" s="874">
        <f t="shared" si="370"/>
        <v>17.633411486304666</v>
      </c>
      <c r="U845" s="874">
        <f t="shared" si="371"/>
        <v>15.750000000000004</v>
      </c>
      <c r="V845" s="873">
        <f t="shared" si="372"/>
        <v>7</v>
      </c>
      <c r="W845" s="873">
        <f t="shared" si="373"/>
        <v>3</v>
      </c>
      <c r="X845" s="873">
        <f t="shared" si="374"/>
        <v>0</v>
      </c>
      <c r="Y845" s="873">
        <f t="shared" si="375"/>
        <v>1</v>
      </c>
      <c r="Z845" s="873">
        <f t="shared" si="376"/>
        <v>4</v>
      </c>
      <c r="AA845" s="873">
        <f t="shared" si="377"/>
        <v>9</v>
      </c>
      <c r="AB845" s="874">
        <f t="shared" si="378"/>
        <v>13.960871651185032</v>
      </c>
    </row>
    <row r="846" spans="1:28">
      <c r="A846" s="210">
        <f t="shared" si="379"/>
        <v>8</v>
      </c>
      <c r="B846" s="210">
        <f>$F$572</f>
        <v>4</v>
      </c>
      <c r="C846" s="210">
        <f t="shared" si="381"/>
        <v>23</v>
      </c>
      <c r="D846" s="210">
        <f t="shared" si="381"/>
        <v>235</v>
      </c>
      <c r="E846" s="237">
        <f t="shared" si="361"/>
        <v>1</v>
      </c>
      <c r="F846" s="1208">
        <f t="shared" si="358"/>
        <v>0.6</v>
      </c>
      <c r="G846" s="210">
        <f t="shared" si="359"/>
        <v>0.8</v>
      </c>
      <c r="I846" s="233">
        <f t="shared" si="362"/>
        <v>11.200000000000003</v>
      </c>
      <c r="J846" s="210">
        <f t="shared" si="363"/>
        <v>0.8</v>
      </c>
      <c r="L846" s="233">
        <f t="shared" si="364"/>
        <v>5.9200000000000017</v>
      </c>
      <c r="M846" s="220">
        <f t="shared" si="365"/>
        <v>0.8</v>
      </c>
      <c r="O846" s="873">
        <f t="shared" si="382"/>
        <v>24</v>
      </c>
      <c r="P846" s="873">
        <f t="shared" si="382"/>
        <v>24</v>
      </c>
      <c r="Q846" s="874">
        <f t="shared" si="367"/>
        <v>20.669999999999998</v>
      </c>
      <c r="R846" s="873">
        <f t="shared" si="368"/>
        <v>10</v>
      </c>
      <c r="S846" s="873">
        <f t="shared" si="369"/>
        <v>14</v>
      </c>
      <c r="T846" s="874">
        <f t="shared" si="370"/>
        <v>17.633411486304666</v>
      </c>
      <c r="U846" s="874">
        <f t="shared" si="371"/>
        <v>15.750000000000004</v>
      </c>
      <c r="V846" s="873">
        <f t="shared" si="372"/>
        <v>7</v>
      </c>
      <c r="W846" s="873">
        <f t="shared" si="373"/>
        <v>3</v>
      </c>
      <c r="X846" s="873">
        <f t="shared" si="374"/>
        <v>0</v>
      </c>
      <c r="Y846" s="873">
        <f t="shared" si="375"/>
        <v>1</v>
      </c>
      <c r="Z846" s="873">
        <f t="shared" si="376"/>
        <v>4</v>
      </c>
      <c r="AA846" s="873">
        <f t="shared" si="377"/>
        <v>9</v>
      </c>
      <c r="AB846" s="874">
        <f t="shared" si="378"/>
        <v>13.960871651185032</v>
      </c>
    </row>
    <row r="847" spans="1:28">
      <c r="A847" s="210">
        <f t="shared" si="379"/>
        <v>8</v>
      </c>
      <c r="B847" s="210">
        <f>$F$573</f>
        <v>5</v>
      </c>
      <c r="C847" s="210">
        <f t="shared" si="381"/>
        <v>24</v>
      </c>
      <c r="D847" s="210">
        <f t="shared" si="381"/>
        <v>236</v>
      </c>
      <c r="E847" s="237">
        <f t="shared" si="361"/>
        <v>1</v>
      </c>
      <c r="F847" s="1208">
        <f t="shared" si="358"/>
        <v>0.6</v>
      </c>
      <c r="G847" s="210">
        <f t="shared" si="359"/>
        <v>0.8</v>
      </c>
      <c r="I847" s="233">
        <f t="shared" si="362"/>
        <v>11.200000000000003</v>
      </c>
      <c r="J847" s="210">
        <f t="shared" si="363"/>
        <v>0.8</v>
      </c>
      <c r="L847" s="233">
        <f t="shared" si="364"/>
        <v>5.9200000000000017</v>
      </c>
      <c r="M847" s="220">
        <f t="shared" si="365"/>
        <v>0.8</v>
      </c>
      <c r="O847" s="873">
        <f t="shared" si="382"/>
        <v>24</v>
      </c>
      <c r="P847" s="873">
        <f t="shared" si="382"/>
        <v>24</v>
      </c>
      <c r="Q847" s="874">
        <f t="shared" si="367"/>
        <v>20.669999999999998</v>
      </c>
      <c r="R847" s="873">
        <f t="shared" si="368"/>
        <v>10</v>
      </c>
      <c r="S847" s="873">
        <f t="shared" si="369"/>
        <v>14</v>
      </c>
      <c r="T847" s="874">
        <f t="shared" si="370"/>
        <v>17.633411486304666</v>
      </c>
      <c r="U847" s="874">
        <f t="shared" si="371"/>
        <v>15.750000000000004</v>
      </c>
      <c r="V847" s="873">
        <f t="shared" si="372"/>
        <v>7</v>
      </c>
      <c r="W847" s="873">
        <f t="shared" si="373"/>
        <v>3</v>
      </c>
      <c r="X847" s="873">
        <f t="shared" si="374"/>
        <v>0</v>
      </c>
      <c r="Y847" s="873">
        <f t="shared" si="375"/>
        <v>1</v>
      </c>
      <c r="Z847" s="873">
        <f t="shared" si="376"/>
        <v>4</v>
      </c>
      <c r="AA847" s="873">
        <f t="shared" si="377"/>
        <v>9</v>
      </c>
      <c r="AB847" s="874">
        <f t="shared" si="378"/>
        <v>13.960871651185032</v>
      </c>
    </row>
    <row r="848" spans="1:28">
      <c r="A848" s="210">
        <f t="shared" si="379"/>
        <v>8</v>
      </c>
      <c r="B848" s="210">
        <f>$F$574</f>
        <v>6</v>
      </c>
      <c r="C848" s="210">
        <f t="shared" si="381"/>
        <v>25</v>
      </c>
      <c r="D848" s="210">
        <f t="shared" si="381"/>
        <v>237</v>
      </c>
      <c r="E848" s="237">
        <f t="shared" si="361"/>
        <v>1</v>
      </c>
      <c r="F848" s="1208">
        <f t="shared" si="358"/>
        <v>0.6</v>
      </c>
      <c r="G848" s="210">
        <f t="shared" si="359"/>
        <v>0.8</v>
      </c>
      <c r="I848" s="233">
        <f t="shared" si="362"/>
        <v>11.200000000000003</v>
      </c>
      <c r="J848" s="210">
        <f t="shared" si="363"/>
        <v>0.8</v>
      </c>
      <c r="L848" s="233">
        <f t="shared" si="364"/>
        <v>5.9200000000000017</v>
      </c>
      <c r="M848" s="220">
        <f t="shared" si="365"/>
        <v>0.8</v>
      </c>
      <c r="O848" s="873">
        <f t="shared" si="382"/>
        <v>24</v>
      </c>
      <c r="P848" s="873">
        <f t="shared" si="382"/>
        <v>24</v>
      </c>
      <c r="Q848" s="874">
        <f t="shared" si="367"/>
        <v>20.669999999999998</v>
      </c>
      <c r="R848" s="873">
        <f t="shared" si="368"/>
        <v>10</v>
      </c>
      <c r="S848" s="873">
        <f t="shared" si="369"/>
        <v>14</v>
      </c>
      <c r="T848" s="874">
        <f t="shared" si="370"/>
        <v>17.633411486304666</v>
      </c>
      <c r="U848" s="874">
        <f t="shared" si="371"/>
        <v>15.750000000000004</v>
      </c>
      <c r="V848" s="873">
        <f t="shared" si="372"/>
        <v>7</v>
      </c>
      <c r="W848" s="873">
        <f t="shared" si="373"/>
        <v>3</v>
      </c>
      <c r="X848" s="873">
        <f t="shared" si="374"/>
        <v>0</v>
      </c>
      <c r="Y848" s="873">
        <f t="shared" si="375"/>
        <v>1</v>
      </c>
      <c r="Z848" s="873">
        <f t="shared" si="376"/>
        <v>4</v>
      </c>
      <c r="AA848" s="873">
        <f t="shared" si="377"/>
        <v>9</v>
      </c>
      <c r="AB848" s="874">
        <f t="shared" si="378"/>
        <v>13.960871651185032</v>
      </c>
    </row>
    <row r="849" spans="1:28">
      <c r="A849" s="210">
        <f t="shared" si="379"/>
        <v>8</v>
      </c>
      <c r="B849" s="210">
        <f>$F$575</f>
        <v>7</v>
      </c>
      <c r="C849" s="210">
        <f t="shared" si="381"/>
        <v>26</v>
      </c>
      <c r="D849" s="210">
        <f t="shared" si="381"/>
        <v>238</v>
      </c>
      <c r="E849" s="237">
        <f t="shared" si="361"/>
        <v>1</v>
      </c>
      <c r="F849" s="1208">
        <f t="shared" si="358"/>
        <v>0.6</v>
      </c>
      <c r="G849" s="210">
        <f t="shared" si="359"/>
        <v>0.8</v>
      </c>
      <c r="I849" s="233">
        <f t="shared" si="362"/>
        <v>11.200000000000003</v>
      </c>
      <c r="J849" s="210">
        <f t="shared" si="363"/>
        <v>0.8</v>
      </c>
      <c r="L849" s="233">
        <f t="shared" si="364"/>
        <v>5.9200000000000017</v>
      </c>
      <c r="M849" s="220">
        <f t="shared" si="365"/>
        <v>0.8</v>
      </c>
      <c r="O849" s="873">
        <f t="shared" si="382"/>
        <v>24</v>
      </c>
      <c r="P849" s="873">
        <f t="shared" si="382"/>
        <v>24</v>
      </c>
      <c r="Q849" s="874">
        <f t="shared" si="367"/>
        <v>20.669999999999998</v>
      </c>
      <c r="R849" s="873">
        <f t="shared" si="368"/>
        <v>10</v>
      </c>
      <c r="S849" s="873">
        <f t="shared" si="369"/>
        <v>14</v>
      </c>
      <c r="T849" s="874">
        <f t="shared" si="370"/>
        <v>17.633411486304666</v>
      </c>
      <c r="U849" s="874">
        <f t="shared" si="371"/>
        <v>15.750000000000004</v>
      </c>
      <c r="V849" s="873">
        <f t="shared" si="372"/>
        <v>7</v>
      </c>
      <c r="W849" s="873">
        <f t="shared" si="373"/>
        <v>3</v>
      </c>
      <c r="X849" s="873">
        <f t="shared" si="374"/>
        <v>0</v>
      </c>
      <c r="Y849" s="873">
        <f t="shared" si="375"/>
        <v>1</v>
      </c>
      <c r="Z849" s="873">
        <f t="shared" si="376"/>
        <v>4</v>
      </c>
      <c r="AA849" s="873">
        <f t="shared" si="377"/>
        <v>9</v>
      </c>
      <c r="AB849" s="874">
        <f t="shared" si="378"/>
        <v>13.960871651185032</v>
      </c>
    </row>
    <row r="850" spans="1:28">
      <c r="A850" s="210">
        <f t="shared" si="379"/>
        <v>8</v>
      </c>
      <c r="B850" s="210">
        <f>$F$569</f>
        <v>1</v>
      </c>
      <c r="C850" s="210">
        <f t="shared" si="381"/>
        <v>27</v>
      </c>
      <c r="D850" s="210">
        <f t="shared" si="381"/>
        <v>239</v>
      </c>
      <c r="E850" s="237">
        <f t="shared" si="361"/>
        <v>1</v>
      </c>
      <c r="F850" s="1208">
        <f t="shared" si="358"/>
        <v>0.6</v>
      </c>
      <c r="G850" s="210">
        <f t="shared" si="359"/>
        <v>0.8</v>
      </c>
      <c r="I850" s="233">
        <f t="shared" si="362"/>
        <v>11.200000000000003</v>
      </c>
      <c r="J850" s="210">
        <f t="shared" si="363"/>
        <v>0.8</v>
      </c>
      <c r="L850" s="233">
        <f t="shared" si="364"/>
        <v>5.9200000000000017</v>
      </c>
      <c r="M850" s="220">
        <f t="shared" si="365"/>
        <v>0.8</v>
      </c>
      <c r="O850" s="873">
        <f t="shared" si="382"/>
        <v>24</v>
      </c>
      <c r="P850" s="873">
        <f t="shared" si="382"/>
        <v>24</v>
      </c>
      <c r="Q850" s="874">
        <f t="shared" si="367"/>
        <v>20.669999999999998</v>
      </c>
      <c r="R850" s="873">
        <f t="shared" si="368"/>
        <v>10</v>
      </c>
      <c r="S850" s="873">
        <f t="shared" si="369"/>
        <v>14</v>
      </c>
      <c r="T850" s="874">
        <f t="shared" si="370"/>
        <v>17.633411486304666</v>
      </c>
      <c r="U850" s="874">
        <f t="shared" si="371"/>
        <v>15.750000000000004</v>
      </c>
      <c r="V850" s="873">
        <f t="shared" si="372"/>
        <v>7</v>
      </c>
      <c r="W850" s="873">
        <f t="shared" si="373"/>
        <v>3</v>
      </c>
      <c r="X850" s="873">
        <f t="shared" si="374"/>
        <v>0</v>
      </c>
      <c r="Y850" s="873">
        <f t="shared" si="375"/>
        <v>1</v>
      </c>
      <c r="Z850" s="873">
        <f t="shared" si="376"/>
        <v>4</v>
      </c>
      <c r="AA850" s="873">
        <f t="shared" si="377"/>
        <v>9</v>
      </c>
      <c r="AB850" s="874">
        <f t="shared" si="378"/>
        <v>13.960871651185032</v>
      </c>
    </row>
    <row r="851" spans="1:28">
      <c r="A851" s="210">
        <f t="shared" si="379"/>
        <v>8</v>
      </c>
      <c r="B851" s="210">
        <f>$F$570</f>
        <v>2</v>
      </c>
      <c r="C851" s="210">
        <f t="shared" si="381"/>
        <v>28</v>
      </c>
      <c r="D851" s="210">
        <f t="shared" si="381"/>
        <v>240</v>
      </c>
      <c r="E851" s="237">
        <f t="shared" si="361"/>
        <v>1</v>
      </c>
      <c r="F851" s="1208">
        <f t="shared" si="358"/>
        <v>0.6</v>
      </c>
      <c r="G851" s="210">
        <f t="shared" si="359"/>
        <v>0.8</v>
      </c>
      <c r="I851" s="233">
        <f t="shared" si="362"/>
        <v>11.200000000000003</v>
      </c>
      <c r="J851" s="210">
        <f t="shared" si="363"/>
        <v>0.8</v>
      </c>
      <c r="L851" s="233">
        <f t="shared" si="364"/>
        <v>5.9200000000000017</v>
      </c>
      <c r="M851" s="220">
        <f t="shared" si="365"/>
        <v>0.8</v>
      </c>
      <c r="O851" s="873">
        <f t="shared" si="382"/>
        <v>24</v>
      </c>
      <c r="P851" s="873">
        <f t="shared" si="382"/>
        <v>24</v>
      </c>
      <c r="Q851" s="874">
        <f t="shared" si="367"/>
        <v>20.669999999999998</v>
      </c>
      <c r="R851" s="873">
        <f t="shared" si="368"/>
        <v>10</v>
      </c>
      <c r="S851" s="873">
        <f t="shared" si="369"/>
        <v>14</v>
      </c>
      <c r="T851" s="874">
        <f t="shared" si="370"/>
        <v>17.633411486304666</v>
      </c>
      <c r="U851" s="874">
        <f t="shared" si="371"/>
        <v>15.750000000000004</v>
      </c>
      <c r="V851" s="873">
        <f t="shared" si="372"/>
        <v>7</v>
      </c>
      <c r="W851" s="873">
        <f t="shared" si="373"/>
        <v>3</v>
      </c>
      <c r="X851" s="873">
        <f t="shared" si="374"/>
        <v>0</v>
      </c>
      <c r="Y851" s="873">
        <f t="shared" si="375"/>
        <v>1</v>
      </c>
      <c r="Z851" s="873">
        <f t="shared" si="376"/>
        <v>4</v>
      </c>
      <c r="AA851" s="873">
        <f t="shared" si="377"/>
        <v>9</v>
      </c>
      <c r="AB851" s="874">
        <f t="shared" si="378"/>
        <v>13.960871651185032</v>
      </c>
    </row>
    <row r="852" spans="1:28">
      <c r="A852" s="210">
        <f t="shared" si="379"/>
        <v>8</v>
      </c>
      <c r="B852" s="210">
        <f>$F$571</f>
        <v>3</v>
      </c>
      <c r="C852" s="210">
        <f t="shared" si="381"/>
        <v>29</v>
      </c>
      <c r="D852" s="210">
        <f t="shared" si="381"/>
        <v>241</v>
      </c>
      <c r="E852" s="237">
        <f t="shared" si="361"/>
        <v>1</v>
      </c>
      <c r="F852" s="1208">
        <f t="shared" si="358"/>
        <v>0.6</v>
      </c>
      <c r="G852" s="210">
        <f t="shared" si="359"/>
        <v>0.8</v>
      </c>
      <c r="I852" s="233">
        <f t="shared" si="362"/>
        <v>11.200000000000003</v>
      </c>
      <c r="J852" s="210">
        <f t="shared" si="363"/>
        <v>0.8</v>
      </c>
      <c r="L852" s="233">
        <f t="shared" si="364"/>
        <v>5.9200000000000017</v>
      </c>
      <c r="M852" s="220">
        <f t="shared" si="365"/>
        <v>0.8</v>
      </c>
      <c r="O852" s="873">
        <f t="shared" si="382"/>
        <v>24</v>
      </c>
      <c r="P852" s="873">
        <f t="shared" si="382"/>
        <v>24</v>
      </c>
      <c r="Q852" s="874">
        <f t="shared" si="367"/>
        <v>20.669999999999998</v>
      </c>
      <c r="R852" s="873">
        <f t="shared" si="368"/>
        <v>10</v>
      </c>
      <c r="S852" s="873">
        <f t="shared" si="369"/>
        <v>14</v>
      </c>
      <c r="T852" s="874">
        <f t="shared" si="370"/>
        <v>17.633411486304666</v>
      </c>
      <c r="U852" s="874">
        <f t="shared" si="371"/>
        <v>15.750000000000004</v>
      </c>
      <c r="V852" s="873">
        <f t="shared" si="372"/>
        <v>7</v>
      </c>
      <c r="W852" s="873">
        <f t="shared" si="373"/>
        <v>3</v>
      </c>
      <c r="X852" s="873">
        <f t="shared" si="374"/>
        <v>0</v>
      </c>
      <c r="Y852" s="873">
        <f t="shared" si="375"/>
        <v>1</v>
      </c>
      <c r="Z852" s="873">
        <f t="shared" si="376"/>
        <v>4</v>
      </c>
      <c r="AA852" s="873">
        <f t="shared" si="377"/>
        <v>9</v>
      </c>
      <c r="AB852" s="874">
        <f t="shared" si="378"/>
        <v>13.960871651185032</v>
      </c>
    </row>
    <row r="853" spans="1:28">
      <c r="A853" s="210">
        <f t="shared" si="379"/>
        <v>8</v>
      </c>
      <c r="B853" s="210">
        <f>$F$572</f>
        <v>4</v>
      </c>
      <c r="C853" s="210">
        <f t="shared" ref="C853:D868" si="383">C852+1</f>
        <v>30</v>
      </c>
      <c r="D853" s="210">
        <f t="shared" si="383"/>
        <v>242</v>
      </c>
      <c r="E853" s="237">
        <f t="shared" si="361"/>
        <v>1</v>
      </c>
      <c r="F853" s="1208">
        <f t="shared" si="358"/>
        <v>0.6</v>
      </c>
      <c r="G853" s="210">
        <f t="shared" si="359"/>
        <v>0.8</v>
      </c>
      <c r="I853" s="233">
        <f t="shared" si="362"/>
        <v>11.200000000000003</v>
      </c>
      <c r="J853" s="210">
        <f t="shared" si="363"/>
        <v>0.8</v>
      </c>
      <c r="L853" s="233">
        <f t="shared" si="364"/>
        <v>5.9200000000000017</v>
      </c>
      <c r="M853" s="220">
        <f t="shared" si="365"/>
        <v>0.8</v>
      </c>
      <c r="O853" s="873">
        <f t="shared" si="382"/>
        <v>24</v>
      </c>
      <c r="P853" s="873">
        <f t="shared" si="382"/>
        <v>24</v>
      </c>
      <c r="Q853" s="874">
        <f t="shared" si="367"/>
        <v>20.669999999999998</v>
      </c>
      <c r="R853" s="873">
        <f t="shared" si="368"/>
        <v>10</v>
      </c>
      <c r="S853" s="873">
        <f t="shared" si="369"/>
        <v>14</v>
      </c>
      <c r="T853" s="874">
        <f t="shared" si="370"/>
        <v>17.633411486304666</v>
      </c>
      <c r="U853" s="874">
        <f t="shared" si="371"/>
        <v>15.750000000000004</v>
      </c>
      <c r="V853" s="873">
        <f t="shared" si="372"/>
        <v>7</v>
      </c>
      <c r="W853" s="873">
        <f t="shared" si="373"/>
        <v>3</v>
      </c>
      <c r="X853" s="873">
        <f t="shared" si="374"/>
        <v>0</v>
      </c>
      <c r="Y853" s="873">
        <f t="shared" si="375"/>
        <v>1</v>
      </c>
      <c r="Z853" s="873">
        <f t="shared" si="376"/>
        <v>4</v>
      </c>
      <c r="AA853" s="873">
        <f t="shared" si="377"/>
        <v>9</v>
      </c>
      <c r="AB853" s="874">
        <f t="shared" si="378"/>
        <v>13.960871651185032</v>
      </c>
    </row>
    <row r="854" spans="1:28">
      <c r="A854" s="210">
        <f t="shared" si="379"/>
        <v>8</v>
      </c>
      <c r="B854" s="210">
        <f>$F$573</f>
        <v>5</v>
      </c>
      <c r="C854" s="210">
        <f t="shared" si="383"/>
        <v>31</v>
      </c>
      <c r="D854" s="210">
        <f t="shared" si="383"/>
        <v>243</v>
      </c>
      <c r="E854" s="237">
        <f t="shared" si="361"/>
        <v>1</v>
      </c>
      <c r="F854" s="1208">
        <f t="shared" si="358"/>
        <v>0.6</v>
      </c>
      <c r="G854" s="210">
        <f t="shared" si="359"/>
        <v>0.8</v>
      </c>
      <c r="I854" s="233">
        <f t="shared" si="362"/>
        <v>11.200000000000003</v>
      </c>
      <c r="J854" s="210">
        <f t="shared" si="363"/>
        <v>0.8</v>
      </c>
      <c r="L854" s="233">
        <f t="shared" si="364"/>
        <v>5.9200000000000017</v>
      </c>
      <c r="M854" s="220">
        <f t="shared" si="365"/>
        <v>0.8</v>
      </c>
      <c r="O854" s="873">
        <f t="shared" si="382"/>
        <v>24</v>
      </c>
      <c r="P854" s="873">
        <f t="shared" si="382"/>
        <v>24</v>
      </c>
      <c r="Q854" s="874">
        <f t="shared" si="367"/>
        <v>20.669999999999998</v>
      </c>
      <c r="R854" s="873">
        <f t="shared" si="368"/>
        <v>10</v>
      </c>
      <c r="S854" s="873">
        <f t="shared" si="369"/>
        <v>14</v>
      </c>
      <c r="T854" s="874">
        <f t="shared" si="370"/>
        <v>17.633411486304666</v>
      </c>
      <c r="U854" s="874">
        <f t="shared" si="371"/>
        <v>15.750000000000004</v>
      </c>
      <c r="V854" s="873">
        <f t="shared" si="372"/>
        <v>7</v>
      </c>
      <c r="W854" s="873">
        <f t="shared" si="373"/>
        <v>3</v>
      </c>
      <c r="X854" s="873">
        <f t="shared" si="374"/>
        <v>0</v>
      </c>
      <c r="Y854" s="873">
        <f t="shared" si="375"/>
        <v>1</v>
      </c>
      <c r="Z854" s="873">
        <f t="shared" si="376"/>
        <v>4</v>
      </c>
      <c r="AA854" s="873">
        <f t="shared" si="377"/>
        <v>9</v>
      </c>
      <c r="AB854" s="874">
        <f t="shared" si="378"/>
        <v>13.960871651185032</v>
      </c>
    </row>
    <row r="855" spans="1:28">
      <c r="A855" s="210">
        <v>9</v>
      </c>
      <c r="B855" s="210">
        <f>$F$574</f>
        <v>6</v>
      </c>
      <c r="C855" s="210">
        <v>1</v>
      </c>
      <c r="D855" s="210">
        <f t="shared" si="383"/>
        <v>244</v>
      </c>
      <c r="E855" s="237">
        <f t="shared" si="361"/>
        <v>1</v>
      </c>
      <c r="F855" s="1208">
        <f t="shared" si="358"/>
        <v>1</v>
      </c>
      <c r="G855" s="210">
        <f t="shared" si="359"/>
        <v>0.8</v>
      </c>
      <c r="I855" s="233">
        <f t="shared" si="362"/>
        <v>11.200000000000003</v>
      </c>
      <c r="J855" s="210">
        <f t="shared" si="363"/>
        <v>0.8</v>
      </c>
      <c r="L855" s="233">
        <f t="shared" si="364"/>
        <v>5.9200000000000017</v>
      </c>
      <c r="M855" s="220">
        <f t="shared" si="365"/>
        <v>0.8</v>
      </c>
      <c r="O855" s="873">
        <f t="shared" si="382"/>
        <v>24</v>
      </c>
      <c r="P855" s="873">
        <f t="shared" si="382"/>
        <v>24</v>
      </c>
      <c r="Q855" s="874">
        <f t="shared" si="367"/>
        <v>20.669999999999998</v>
      </c>
      <c r="R855" s="873">
        <f t="shared" si="368"/>
        <v>10</v>
      </c>
      <c r="S855" s="873">
        <f t="shared" si="369"/>
        <v>14</v>
      </c>
      <c r="T855" s="874">
        <f t="shared" si="370"/>
        <v>17.633411486304666</v>
      </c>
      <c r="U855" s="874">
        <f t="shared" si="371"/>
        <v>15.750000000000004</v>
      </c>
      <c r="V855" s="873">
        <f t="shared" si="372"/>
        <v>7</v>
      </c>
      <c r="W855" s="873">
        <f t="shared" si="373"/>
        <v>3</v>
      </c>
      <c r="X855" s="873">
        <f t="shared" si="374"/>
        <v>0</v>
      </c>
      <c r="Y855" s="873">
        <f t="shared" si="375"/>
        <v>1</v>
      </c>
      <c r="Z855" s="873">
        <f t="shared" si="376"/>
        <v>4</v>
      </c>
      <c r="AA855" s="873">
        <f t="shared" si="377"/>
        <v>9</v>
      </c>
      <c r="AB855" s="874">
        <f t="shared" si="378"/>
        <v>13.960871651185032</v>
      </c>
    </row>
    <row r="856" spans="1:28">
      <c r="A856" s="210">
        <f t="shared" si="379"/>
        <v>9</v>
      </c>
      <c r="B856" s="210">
        <f>$F$575</f>
        <v>7</v>
      </c>
      <c r="C856" s="210">
        <f t="shared" si="383"/>
        <v>2</v>
      </c>
      <c r="D856" s="210">
        <f t="shared" si="383"/>
        <v>245</v>
      </c>
      <c r="E856" s="237">
        <f t="shared" si="361"/>
        <v>1</v>
      </c>
      <c r="F856" s="1208">
        <f t="shared" si="358"/>
        <v>1</v>
      </c>
      <c r="G856" s="210">
        <f t="shared" si="359"/>
        <v>0.8</v>
      </c>
      <c r="I856" s="233">
        <f t="shared" si="362"/>
        <v>11.200000000000003</v>
      </c>
      <c r="J856" s="210">
        <f t="shared" si="363"/>
        <v>0.8</v>
      </c>
      <c r="L856" s="233">
        <f t="shared" si="364"/>
        <v>5.9200000000000017</v>
      </c>
      <c r="M856" s="220">
        <f t="shared" si="365"/>
        <v>0.8</v>
      </c>
      <c r="O856" s="873">
        <f t="shared" si="382"/>
        <v>24</v>
      </c>
      <c r="P856" s="873">
        <f t="shared" si="382"/>
        <v>24</v>
      </c>
      <c r="Q856" s="874">
        <f t="shared" si="367"/>
        <v>20.669999999999998</v>
      </c>
      <c r="R856" s="873">
        <f t="shared" si="368"/>
        <v>10</v>
      </c>
      <c r="S856" s="873">
        <f t="shared" si="369"/>
        <v>14</v>
      </c>
      <c r="T856" s="874">
        <f t="shared" si="370"/>
        <v>17.633411486304666</v>
      </c>
      <c r="U856" s="874">
        <f t="shared" si="371"/>
        <v>15.750000000000004</v>
      </c>
      <c r="V856" s="873">
        <f t="shared" si="372"/>
        <v>7</v>
      </c>
      <c r="W856" s="873">
        <f t="shared" si="373"/>
        <v>3</v>
      </c>
      <c r="X856" s="873">
        <f t="shared" si="374"/>
        <v>0</v>
      </c>
      <c r="Y856" s="873">
        <f t="shared" si="375"/>
        <v>1</v>
      </c>
      <c r="Z856" s="873">
        <f t="shared" si="376"/>
        <v>4</v>
      </c>
      <c r="AA856" s="873">
        <f t="shared" si="377"/>
        <v>9</v>
      </c>
      <c r="AB856" s="874">
        <f t="shared" si="378"/>
        <v>13.960871651185032</v>
      </c>
    </row>
    <row r="857" spans="1:28">
      <c r="A857" s="210">
        <f t="shared" si="379"/>
        <v>9</v>
      </c>
      <c r="B857" s="210">
        <f>$F$569</f>
        <v>1</v>
      </c>
      <c r="C857" s="210">
        <f t="shared" si="383"/>
        <v>3</v>
      </c>
      <c r="D857" s="210">
        <f t="shared" si="383"/>
        <v>246</v>
      </c>
      <c r="E857" s="237">
        <f t="shared" si="361"/>
        <v>1</v>
      </c>
      <c r="F857" s="1208">
        <f t="shared" si="358"/>
        <v>1</v>
      </c>
      <c r="G857" s="210">
        <f t="shared" si="359"/>
        <v>0.8</v>
      </c>
      <c r="I857" s="233">
        <f t="shared" si="362"/>
        <v>11.200000000000003</v>
      </c>
      <c r="J857" s="210">
        <f t="shared" si="363"/>
        <v>0.8</v>
      </c>
      <c r="L857" s="233">
        <f t="shared" si="364"/>
        <v>5.9200000000000017</v>
      </c>
      <c r="M857" s="220">
        <f t="shared" si="365"/>
        <v>0.8</v>
      </c>
      <c r="O857" s="873">
        <f t="shared" si="382"/>
        <v>24</v>
      </c>
      <c r="P857" s="873">
        <f t="shared" si="382"/>
        <v>24</v>
      </c>
      <c r="Q857" s="874">
        <f t="shared" si="367"/>
        <v>20.669999999999998</v>
      </c>
      <c r="R857" s="873">
        <f t="shared" si="368"/>
        <v>10</v>
      </c>
      <c r="S857" s="873">
        <f t="shared" si="369"/>
        <v>14</v>
      </c>
      <c r="T857" s="874">
        <f t="shared" si="370"/>
        <v>17.633411486304666</v>
      </c>
      <c r="U857" s="874">
        <f t="shared" si="371"/>
        <v>15.750000000000004</v>
      </c>
      <c r="V857" s="873">
        <f t="shared" si="372"/>
        <v>7</v>
      </c>
      <c r="W857" s="873">
        <f t="shared" si="373"/>
        <v>3</v>
      </c>
      <c r="X857" s="873">
        <f t="shared" si="374"/>
        <v>0</v>
      </c>
      <c r="Y857" s="873">
        <f t="shared" si="375"/>
        <v>1</v>
      </c>
      <c r="Z857" s="873">
        <f t="shared" si="376"/>
        <v>4</v>
      </c>
      <c r="AA857" s="873">
        <f t="shared" si="377"/>
        <v>9</v>
      </c>
      <c r="AB857" s="874">
        <f t="shared" si="378"/>
        <v>13.960871651185032</v>
      </c>
    </row>
    <row r="858" spans="1:28">
      <c r="A858" s="210">
        <f t="shared" si="379"/>
        <v>9</v>
      </c>
      <c r="B858" s="210">
        <f>$F$570</f>
        <v>2</v>
      </c>
      <c r="C858" s="210">
        <f t="shared" si="383"/>
        <v>4</v>
      </c>
      <c r="D858" s="210">
        <f t="shared" si="383"/>
        <v>247</v>
      </c>
      <c r="E858" s="237">
        <f t="shared" si="361"/>
        <v>1</v>
      </c>
      <c r="F858" s="1208">
        <f t="shared" si="358"/>
        <v>1</v>
      </c>
      <c r="G858" s="210">
        <f t="shared" si="359"/>
        <v>0.8</v>
      </c>
      <c r="I858" s="233">
        <f t="shared" si="362"/>
        <v>11.200000000000003</v>
      </c>
      <c r="J858" s="210">
        <f t="shared" si="363"/>
        <v>0.8</v>
      </c>
      <c r="L858" s="233">
        <f t="shared" si="364"/>
        <v>5.9200000000000017</v>
      </c>
      <c r="M858" s="220">
        <f t="shared" si="365"/>
        <v>0.8</v>
      </c>
      <c r="O858" s="873">
        <f t="shared" si="382"/>
        <v>24</v>
      </c>
      <c r="P858" s="873">
        <f t="shared" si="382"/>
        <v>24</v>
      </c>
      <c r="Q858" s="874">
        <f t="shared" si="367"/>
        <v>20.669999999999998</v>
      </c>
      <c r="R858" s="873">
        <f t="shared" si="368"/>
        <v>10</v>
      </c>
      <c r="S858" s="873">
        <f t="shared" si="369"/>
        <v>14</v>
      </c>
      <c r="T858" s="874">
        <f t="shared" si="370"/>
        <v>17.633411486304666</v>
      </c>
      <c r="U858" s="874">
        <f t="shared" si="371"/>
        <v>15.750000000000004</v>
      </c>
      <c r="V858" s="873">
        <f t="shared" si="372"/>
        <v>7</v>
      </c>
      <c r="W858" s="873">
        <f t="shared" si="373"/>
        <v>3</v>
      </c>
      <c r="X858" s="873">
        <f t="shared" si="374"/>
        <v>0</v>
      </c>
      <c r="Y858" s="873">
        <f t="shared" si="375"/>
        <v>1</v>
      </c>
      <c r="Z858" s="873">
        <f t="shared" si="376"/>
        <v>4</v>
      </c>
      <c r="AA858" s="873">
        <f t="shared" si="377"/>
        <v>9</v>
      </c>
      <c r="AB858" s="874">
        <f t="shared" si="378"/>
        <v>13.960871651185032</v>
      </c>
    </row>
    <row r="859" spans="1:28">
      <c r="A859" s="210">
        <f t="shared" si="379"/>
        <v>9</v>
      </c>
      <c r="B859" s="210">
        <f>$F$571</f>
        <v>3</v>
      </c>
      <c r="C859" s="210">
        <f t="shared" si="383"/>
        <v>5</v>
      </c>
      <c r="D859" s="210">
        <f t="shared" si="383"/>
        <v>248</v>
      </c>
      <c r="E859" s="237">
        <f t="shared" si="361"/>
        <v>1</v>
      </c>
      <c r="F859" s="1208">
        <f t="shared" si="358"/>
        <v>1</v>
      </c>
      <c r="G859" s="210">
        <f t="shared" si="359"/>
        <v>0.8</v>
      </c>
      <c r="I859" s="233">
        <f t="shared" si="362"/>
        <v>11.200000000000003</v>
      </c>
      <c r="J859" s="210">
        <f t="shared" si="363"/>
        <v>0.8</v>
      </c>
      <c r="L859" s="233">
        <f t="shared" si="364"/>
        <v>5.9200000000000017</v>
      </c>
      <c r="M859" s="220">
        <f t="shared" si="365"/>
        <v>0.8</v>
      </c>
      <c r="O859" s="873">
        <f t="shared" si="382"/>
        <v>24</v>
      </c>
      <c r="P859" s="873">
        <f t="shared" si="382"/>
        <v>24</v>
      </c>
      <c r="Q859" s="874">
        <f t="shared" si="367"/>
        <v>20.669999999999998</v>
      </c>
      <c r="R859" s="873">
        <f t="shared" si="368"/>
        <v>10</v>
      </c>
      <c r="S859" s="873">
        <f t="shared" si="369"/>
        <v>14</v>
      </c>
      <c r="T859" s="874">
        <f t="shared" si="370"/>
        <v>17.633411486304666</v>
      </c>
      <c r="U859" s="874">
        <f t="shared" si="371"/>
        <v>15.750000000000004</v>
      </c>
      <c r="V859" s="873">
        <f t="shared" si="372"/>
        <v>7</v>
      </c>
      <c r="W859" s="873">
        <f t="shared" si="373"/>
        <v>3</v>
      </c>
      <c r="X859" s="873">
        <f t="shared" si="374"/>
        <v>0</v>
      </c>
      <c r="Y859" s="873">
        <f t="shared" si="375"/>
        <v>1</v>
      </c>
      <c r="Z859" s="873">
        <f t="shared" si="376"/>
        <v>4</v>
      </c>
      <c r="AA859" s="873">
        <f t="shared" si="377"/>
        <v>9</v>
      </c>
      <c r="AB859" s="874">
        <f t="shared" si="378"/>
        <v>13.960871651185032</v>
      </c>
    </row>
    <row r="860" spans="1:28">
      <c r="A860" s="210">
        <f t="shared" si="379"/>
        <v>9</v>
      </c>
      <c r="B860" s="210">
        <f>$F$572</f>
        <v>4</v>
      </c>
      <c r="C860" s="210">
        <f t="shared" si="383"/>
        <v>6</v>
      </c>
      <c r="D860" s="210">
        <f t="shared" si="383"/>
        <v>249</v>
      </c>
      <c r="E860" s="237">
        <f t="shared" si="361"/>
        <v>1</v>
      </c>
      <c r="F860" s="1208">
        <f t="shared" si="358"/>
        <v>1</v>
      </c>
      <c r="G860" s="210">
        <f t="shared" si="359"/>
        <v>0.8</v>
      </c>
      <c r="I860" s="233">
        <f t="shared" si="362"/>
        <v>11.200000000000003</v>
      </c>
      <c r="J860" s="210">
        <f t="shared" si="363"/>
        <v>0.8</v>
      </c>
      <c r="L860" s="233">
        <f t="shared" si="364"/>
        <v>5.9200000000000017</v>
      </c>
      <c r="M860" s="220">
        <f t="shared" si="365"/>
        <v>0.8</v>
      </c>
      <c r="O860" s="873">
        <f t="shared" si="382"/>
        <v>24</v>
      </c>
      <c r="P860" s="873">
        <f t="shared" si="382"/>
        <v>24</v>
      </c>
      <c r="Q860" s="874">
        <f t="shared" si="367"/>
        <v>20.669999999999998</v>
      </c>
      <c r="R860" s="873">
        <f t="shared" si="368"/>
        <v>10</v>
      </c>
      <c r="S860" s="873">
        <f t="shared" si="369"/>
        <v>14</v>
      </c>
      <c r="T860" s="874">
        <f t="shared" si="370"/>
        <v>17.633411486304666</v>
      </c>
      <c r="U860" s="874">
        <f t="shared" si="371"/>
        <v>15.750000000000004</v>
      </c>
      <c r="V860" s="873">
        <f t="shared" si="372"/>
        <v>7</v>
      </c>
      <c r="W860" s="873">
        <f t="shared" si="373"/>
        <v>3</v>
      </c>
      <c r="X860" s="873">
        <f t="shared" si="374"/>
        <v>0</v>
      </c>
      <c r="Y860" s="873">
        <f t="shared" si="375"/>
        <v>1</v>
      </c>
      <c r="Z860" s="873">
        <f t="shared" si="376"/>
        <v>4</v>
      </c>
      <c r="AA860" s="873">
        <f t="shared" si="377"/>
        <v>9</v>
      </c>
      <c r="AB860" s="874">
        <f t="shared" si="378"/>
        <v>13.960871651185032</v>
      </c>
    </row>
    <row r="861" spans="1:28">
      <c r="A861" s="210">
        <f t="shared" si="379"/>
        <v>9</v>
      </c>
      <c r="B861" s="210">
        <f>$F$573</f>
        <v>5</v>
      </c>
      <c r="C861" s="210">
        <f t="shared" si="383"/>
        <v>7</v>
      </c>
      <c r="D861" s="210">
        <f t="shared" si="383"/>
        <v>250</v>
      </c>
      <c r="E861" s="237">
        <f t="shared" si="361"/>
        <v>1</v>
      </c>
      <c r="F861" s="1208">
        <f t="shared" si="358"/>
        <v>1</v>
      </c>
      <c r="G861" s="210">
        <f t="shared" si="359"/>
        <v>0.8</v>
      </c>
      <c r="I861" s="233">
        <f t="shared" si="362"/>
        <v>11.200000000000003</v>
      </c>
      <c r="J861" s="210">
        <f t="shared" si="363"/>
        <v>0.8</v>
      </c>
      <c r="L861" s="233">
        <f t="shared" si="364"/>
        <v>5.9200000000000017</v>
      </c>
      <c r="M861" s="220">
        <f t="shared" si="365"/>
        <v>0.8</v>
      </c>
      <c r="O861" s="873">
        <f t="shared" si="382"/>
        <v>24</v>
      </c>
      <c r="P861" s="873">
        <f t="shared" si="382"/>
        <v>24</v>
      </c>
      <c r="Q861" s="874">
        <f t="shared" si="367"/>
        <v>20.669999999999998</v>
      </c>
      <c r="R861" s="873">
        <f t="shared" si="368"/>
        <v>10</v>
      </c>
      <c r="S861" s="873">
        <f t="shared" si="369"/>
        <v>14</v>
      </c>
      <c r="T861" s="874">
        <f t="shared" si="370"/>
        <v>17.633411486304666</v>
      </c>
      <c r="U861" s="874">
        <f t="shared" si="371"/>
        <v>15.750000000000004</v>
      </c>
      <c r="V861" s="873">
        <f t="shared" si="372"/>
        <v>7</v>
      </c>
      <c r="W861" s="873">
        <f t="shared" si="373"/>
        <v>3</v>
      </c>
      <c r="X861" s="873">
        <f t="shared" si="374"/>
        <v>0</v>
      </c>
      <c r="Y861" s="873">
        <f t="shared" si="375"/>
        <v>1</v>
      </c>
      <c r="Z861" s="873">
        <f t="shared" si="376"/>
        <v>4</v>
      </c>
      <c r="AA861" s="873">
        <f t="shared" si="377"/>
        <v>9</v>
      </c>
      <c r="AB861" s="874">
        <f t="shared" si="378"/>
        <v>13.960871651185032</v>
      </c>
    </row>
    <row r="862" spans="1:28">
      <c r="A862" s="210">
        <f t="shared" si="379"/>
        <v>9</v>
      </c>
      <c r="B862" s="210">
        <f>$F$574</f>
        <v>6</v>
      </c>
      <c r="C862" s="210">
        <f t="shared" si="383"/>
        <v>8</v>
      </c>
      <c r="D862" s="210">
        <f t="shared" si="383"/>
        <v>251</v>
      </c>
      <c r="E862" s="237">
        <f t="shared" si="361"/>
        <v>1</v>
      </c>
      <c r="F862" s="1208">
        <f t="shared" si="358"/>
        <v>1</v>
      </c>
      <c r="G862" s="210">
        <f t="shared" si="359"/>
        <v>0.8</v>
      </c>
      <c r="I862" s="233">
        <f t="shared" si="362"/>
        <v>11.200000000000003</v>
      </c>
      <c r="J862" s="210">
        <f t="shared" si="363"/>
        <v>0.8</v>
      </c>
      <c r="L862" s="233">
        <f t="shared" si="364"/>
        <v>5.9200000000000017</v>
      </c>
      <c r="M862" s="220">
        <f t="shared" si="365"/>
        <v>0.8</v>
      </c>
      <c r="O862" s="873">
        <f t="shared" si="382"/>
        <v>24</v>
      </c>
      <c r="P862" s="873">
        <f t="shared" si="382"/>
        <v>24</v>
      </c>
      <c r="Q862" s="874">
        <f t="shared" si="367"/>
        <v>20.669999999999998</v>
      </c>
      <c r="R862" s="873">
        <f t="shared" si="368"/>
        <v>10</v>
      </c>
      <c r="S862" s="873">
        <f t="shared" si="369"/>
        <v>14</v>
      </c>
      <c r="T862" s="874">
        <f t="shared" si="370"/>
        <v>17.633411486304666</v>
      </c>
      <c r="U862" s="874">
        <f t="shared" si="371"/>
        <v>15.750000000000004</v>
      </c>
      <c r="V862" s="873">
        <f t="shared" si="372"/>
        <v>7</v>
      </c>
      <c r="W862" s="873">
        <f t="shared" si="373"/>
        <v>3</v>
      </c>
      <c r="X862" s="873">
        <f t="shared" si="374"/>
        <v>0</v>
      </c>
      <c r="Y862" s="873">
        <f t="shared" si="375"/>
        <v>1</v>
      </c>
      <c r="Z862" s="873">
        <f t="shared" si="376"/>
        <v>4</v>
      </c>
      <c r="AA862" s="873">
        <f t="shared" si="377"/>
        <v>9</v>
      </c>
      <c r="AB862" s="874">
        <f t="shared" si="378"/>
        <v>13.960871651185032</v>
      </c>
    </row>
    <row r="863" spans="1:28">
      <c r="A863" s="210">
        <f t="shared" si="379"/>
        <v>9</v>
      </c>
      <c r="B863" s="210">
        <f>$F$575</f>
        <v>7</v>
      </c>
      <c r="C863" s="210">
        <f t="shared" si="383"/>
        <v>9</v>
      </c>
      <c r="D863" s="210">
        <f t="shared" si="383"/>
        <v>252</v>
      </c>
      <c r="E863" s="237">
        <f t="shared" si="361"/>
        <v>1</v>
      </c>
      <c r="F863" s="1208">
        <f t="shared" si="358"/>
        <v>1</v>
      </c>
      <c r="G863" s="210">
        <f t="shared" si="359"/>
        <v>0.8</v>
      </c>
      <c r="I863" s="233">
        <f t="shared" si="362"/>
        <v>11.200000000000003</v>
      </c>
      <c r="J863" s="210">
        <f t="shared" si="363"/>
        <v>0.8</v>
      </c>
      <c r="L863" s="233">
        <f t="shared" si="364"/>
        <v>5.9200000000000017</v>
      </c>
      <c r="M863" s="220">
        <f t="shared" si="365"/>
        <v>0.8</v>
      </c>
      <c r="O863" s="873">
        <f t="shared" si="382"/>
        <v>24</v>
      </c>
      <c r="P863" s="873">
        <f t="shared" si="382"/>
        <v>24</v>
      </c>
      <c r="Q863" s="874">
        <f t="shared" si="367"/>
        <v>20.669999999999998</v>
      </c>
      <c r="R863" s="873">
        <f t="shared" si="368"/>
        <v>10</v>
      </c>
      <c r="S863" s="873">
        <f t="shared" si="369"/>
        <v>14</v>
      </c>
      <c r="T863" s="874">
        <f t="shared" si="370"/>
        <v>17.633411486304666</v>
      </c>
      <c r="U863" s="874">
        <f t="shared" si="371"/>
        <v>15.750000000000004</v>
      </c>
      <c r="V863" s="873">
        <f t="shared" si="372"/>
        <v>7</v>
      </c>
      <c r="W863" s="873">
        <f t="shared" si="373"/>
        <v>3</v>
      </c>
      <c r="X863" s="873">
        <f t="shared" si="374"/>
        <v>0</v>
      </c>
      <c r="Y863" s="873">
        <f t="shared" si="375"/>
        <v>1</v>
      </c>
      <c r="Z863" s="873">
        <f t="shared" si="376"/>
        <v>4</v>
      </c>
      <c r="AA863" s="873">
        <f t="shared" si="377"/>
        <v>9</v>
      </c>
      <c r="AB863" s="874">
        <f t="shared" si="378"/>
        <v>13.960871651185032</v>
      </c>
    </row>
    <row r="864" spans="1:28">
      <c r="A864" s="210">
        <f t="shared" si="379"/>
        <v>9</v>
      </c>
      <c r="B864" s="210">
        <f>$F$569</f>
        <v>1</v>
      </c>
      <c r="C864" s="210">
        <f t="shared" si="383"/>
        <v>10</v>
      </c>
      <c r="D864" s="210">
        <f t="shared" si="383"/>
        <v>253</v>
      </c>
      <c r="E864" s="237">
        <f t="shared" si="361"/>
        <v>1</v>
      </c>
      <c r="F864" s="1208">
        <f t="shared" si="358"/>
        <v>1</v>
      </c>
      <c r="G864" s="210">
        <f t="shared" si="359"/>
        <v>0.8</v>
      </c>
      <c r="I864" s="233">
        <f t="shared" si="362"/>
        <v>11.200000000000003</v>
      </c>
      <c r="J864" s="210">
        <f t="shared" si="363"/>
        <v>0.8</v>
      </c>
      <c r="L864" s="233">
        <f t="shared" si="364"/>
        <v>5.9200000000000017</v>
      </c>
      <c r="M864" s="220">
        <f t="shared" si="365"/>
        <v>0.8</v>
      </c>
      <c r="O864" s="873">
        <f t="shared" si="382"/>
        <v>24</v>
      </c>
      <c r="P864" s="873">
        <f t="shared" si="382"/>
        <v>24</v>
      </c>
      <c r="Q864" s="874">
        <f t="shared" si="367"/>
        <v>20.669999999999998</v>
      </c>
      <c r="R864" s="873">
        <f t="shared" si="368"/>
        <v>10</v>
      </c>
      <c r="S864" s="873">
        <f t="shared" si="369"/>
        <v>14</v>
      </c>
      <c r="T864" s="874">
        <f t="shared" si="370"/>
        <v>17.633411486304666</v>
      </c>
      <c r="U864" s="874">
        <f t="shared" si="371"/>
        <v>15.750000000000004</v>
      </c>
      <c r="V864" s="873">
        <f t="shared" si="372"/>
        <v>7</v>
      </c>
      <c r="W864" s="873">
        <f t="shared" si="373"/>
        <v>3</v>
      </c>
      <c r="X864" s="873">
        <f t="shared" si="374"/>
        <v>0</v>
      </c>
      <c r="Y864" s="873">
        <f t="shared" si="375"/>
        <v>1</v>
      </c>
      <c r="Z864" s="873">
        <f t="shared" si="376"/>
        <v>4</v>
      </c>
      <c r="AA864" s="873">
        <f t="shared" si="377"/>
        <v>9</v>
      </c>
      <c r="AB864" s="874">
        <f t="shared" si="378"/>
        <v>13.960871651185032</v>
      </c>
    </row>
    <row r="865" spans="1:28">
      <c r="A865" s="210">
        <f t="shared" si="379"/>
        <v>9</v>
      </c>
      <c r="B865" s="210">
        <f>$F$570</f>
        <v>2</v>
      </c>
      <c r="C865" s="210">
        <f t="shared" si="383"/>
        <v>11</v>
      </c>
      <c r="D865" s="210">
        <f t="shared" si="383"/>
        <v>254</v>
      </c>
      <c r="E865" s="237">
        <f t="shared" si="361"/>
        <v>1</v>
      </c>
      <c r="F865" s="1208">
        <f t="shared" si="358"/>
        <v>1</v>
      </c>
      <c r="G865" s="210">
        <f t="shared" si="359"/>
        <v>0.8</v>
      </c>
      <c r="I865" s="233">
        <f t="shared" si="362"/>
        <v>11.200000000000003</v>
      </c>
      <c r="J865" s="210">
        <f t="shared" si="363"/>
        <v>0.8</v>
      </c>
      <c r="L865" s="233">
        <f t="shared" si="364"/>
        <v>5.9200000000000017</v>
      </c>
      <c r="M865" s="220">
        <f t="shared" si="365"/>
        <v>0.8</v>
      </c>
      <c r="O865" s="873">
        <f t="shared" si="382"/>
        <v>24</v>
      </c>
      <c r="P865" s="873">
        <f t="shared" si="382"/>
        <v>24</v>
      </c>
      <c r="Q865" s="874">
        <f t="shared" si="367"/>
        <v>20.669999999999998</v>
      </c>
      <c r="R865" s="873">
        <f t="shared" si="368"/>
        <v>10</v>
      </c>
      <c r="S865" s="873">
        <f t="shared" si="369"/>
        <v>14</v>
      </c>
      <c r="T865" s="874">
        <f t="shared" si="370"/>
        <v>17.633411486304666</v>
      </c>
      <c r="U865" s="874">
        <f t="shared" si="371"/>
        <v>15.750000000000004</v>
      </c>
      <c r="V865" s="873">
        <f t="shared" si="372"/>
        <v>7</v>
      </c>
      <c r="W865" s="873">
        <f t="shared" si="373"/>
        <v>3</v>
      </c>
      <c r="X865" s="873">
        <f t="shared" si="374"/>
        <v>0</v>
      </c>
      <c r="Y865" s="873">
        <f t="shared" si="375"/>
        <v>1</v>
      </c>
      <c r="Z865" s="873">
        <f t="shared" si="376"/>
        <v>4</v>
      </c>
      <c r="AA865" s="873">
        <f t="shared" si="377"/>
        <v>9</v>
      </c>
      <c r="AB865" s="874">
        <f t="shared" si="378"/>
        <v>13.960871651185032</v>
      </c>
    </row>
    <row r="866" spans="1:28">
      <c r="A866" s="210">
        <f t="shared" si="379"/>
        <v>9</v>
      </c>
      <c r="B866" s="210">
        <f>$F$571</f>
        <v>3</v>
      </c>
      <c r="C866" s="210">
        <f t="shared" si="383"/>
        <v>12</v>
      </c>
      <c r="D866" s="210">
        <f t="shared" si="383"/>
        <v>255</v>
      </c>
      <c r="E866" s="237">
        <f t="shared" si="361"/>
        <v>1</v>
      </c>
      <c r="F866" s="1208">
        <f t="shared" si="358"/>
        <v>1</v>
      </c>
      <c r="G866" s="210">
        <f t="shared" si="359"/>
        <v>0.8</v>
      </c>
      <c r="I866" s="233">
        <f t="shared" si="362"/>
        <v>11.200000000000003</v>
      </c>
      <c r="J866" s="210">
        <f t="shared" si="363"/>
        <v>0.8</v>
      </c>
      <c r="L866" s="233">
        <f t="shared" si="364"/>
        <v>5.9200000000000017</v>
      </c>
      <c r="M866" s="220">
        <f t="shared" si="365"/>
        <v>0.8</v>
      </c>
      <c r="O866" s="873">
        <f t="shared" si="382"/>
        <v>24</v>
      </c>
      <c r="P866" s="873">
        <f t="shared" si="382"/>
        <v>24</v>
      </c>
      <c r="Q866" s="874">
        <f t="shared" si="367"/>
        <v>20.669999999999998</v>
      </c>
      <c r="R866" s="873">
        <f t="shared" si="368"/>
        <v>10</v>
      </c>
      <c r="S866" s="873">
        <f t="shared" si="369"/>
        <v>14</v>
      </c>
      <c r="T866" s="874">
        <f t="shared" si="370"/>
        <v>17.633411486304666</v>
      </c>
      <c r="U866" s="874">
        <f t="shared" si="371"/>
        <v>15.750000000000004</v>
      </c>
      <c r="V866" s="873">
        <f t="shared" si="372"/>
        <v>7</v>
      </c>
      <c r="W866" s="873">
        <f t="shared" si="373"/>
        <v>3</v>
      </c>
      <c r="X866" s="873">
        <f t="shared" si="374"/>
        <v>0</v>
      </c>
      <c r="Y866" s="873">
        <f t="shared" si="375"/>
        <v>1</v>
      </c>
      <c r="Z866" s="873">
        <f t="shared" si="376"/>
        <v>4</v>
      </c>
      <c r="AA866" s="873">
        <f t="shared" si="377"/>
        <v>9</v>
      </c>
      <c r="AB866" s="874">
        <f t="shared" si="378"/>
        <v>13.960871651185032</v>
      </c>
    </row>
    <row r="867" spans="1:28">
      <c r="A867" s="210">
        <f t="shared" si="379"/>
        <v>9</v>
      </c>
      <c r="B867" s="210">
        <f>$F$572</f>
        <v>4</v>
      </c>
      <c r="C867" s="210">
        <f t="shared" si="383"/>
        <v>13</v>
      </c>
      <c r="D867" s="210">
        <f t="shared" si="383"/>
        <v>256</v>
      </c>
      <c r="E867" s="237">
        <f t="shared" si="361"/>
        <v>1</v>
      </c>
      <c r="F867" s="1208">
        <f t="shared" si="358"/>
        <v>1</v>
      </c>
      <c r="G867" s="210">
        <f t="shared" si="359"/>
        <v>0.8</v>
      </c>
      <c r="I867" s="233">
        <f t="shared" si="362"/>
        <v>11.200000000000003</v>
      </c>
      <c r="J867" s="210">
        <f t="shared" si="363"/>
        <v>0.8</v>
      </c>
      <c r="L867" s="233">
        <f t="shared" si="364"/>
        <v>5.9200000000000017</v>
      </c>
      <c r="M867" s="220">
        <f t="shared" si="365"/>
        <v>0.8</v>
      </c>
      <c r="O867" s="873">
        <f t="shared" si="382"/>
        <v>24</v>
      </c>
      <c r="P867" s="873">
        <f t="shared" si="382"/>
        <v>24</v>
      </c>
      <c r="Q867" s="874">
        <f t="shared" si="367"/>
        <v>20.669999999999998</v>
      </c>
      <c r="R867" s="873">
        <f t="shared" si="368"/>
        <v>10</v>
      </c>
      <c r="S867" s="873">
        <f t="shared" si="369"/>
        <v>14</v>
      </c>
      <c r="T867" s="874">
        <f t="shared" si="370"/>
        <v>17.633411486304666</v>
      </c>
      <c r="U867" s="874">
        <f t="shared" si="371"/>
        <v>15.750000000000004</v>
      </c>
      <c r="V867" s="873">
        <f t="shared" si="372"/>
        <v>7</v>
      </c>
      <c r="W867" s="873">
        <f t="shared" si="373"/>
        <v>3</v>
      </c>
      <c r="X867" s="873">
        <f t="shared" si="374"/>
        <v>0</v>
      </c>
      <c r="Y867" s="873">
        <f t="shared" si="375"/>
        <v>1</v>
      </c>
      <c r="Z867" s="873">
        <f t="shared" si="376"/>
        <v>4</v>
      </c>
      <c r="AA867" s="873">
        <f t="shared" si="377"/>
        <v>9</v>
      </c>
      <c r="AB867" s="874">
        <f t="shared" si="378"/>
        <v>13.960871651185032</v>
      </c>
    </row>
    <row r="868" spans="1:28">
      <c r="A868" s="210">
        <f t="shared" si="379"/>
        <v>9</v>
      </c>
      <c r="B868" s="210">
        <f>$F$573</f>
        <v>5</v>
      </c>
      <c r="C868" s="210">
        <f t="shared" si="383"/>
        <v>14</v>
      </c>
      <c r="D868" s="210">
        <f t="shared" si="383"/>
        <v>257</v>
      </c>
      <c r="E868" s="237">
        <f t="shared" si="361"/>
        <v>1</v>
      </c>
      <c r="F868" s="1208">
        <f t="shared" ref="F868:F931" si="384">INDEX($C$569:$C$580,A868)</f>
        <v>1</v>
      </c>
      <c r="G868" s="210">
        <f t="shared" ref="G868:G931" si="385">INDEX($D$569:$D$580,A868)</f>
        <v>0.8</v>
      </c>
      <c r="I868" s="233">
        <f t="shared" si="362"/>
        <v>11.200000000000003</v>
      </c>
      <c r="J868" s="210">
        <f t="shared" si="363"/>
        <v>0.8</v>
      </c>
      <c r="L868" s="233">
        <f t="shared" si="364"/>
        <v>5.9200000000000017</v>
      </c>
      <c r="M868" s="220">
        <f t="shared" si="365"/>
        <v>0.8</v>
      </c>
      <c r="O868" s="873">
        <f t="shared" si="382"/>
        <v>24</v>
      </c>
      <c r="P868" s="873">
        <f t="shared" si="382"/>
        <v>24</v>
      </c>
      <c r="Q868" s="874">
        <f t="shared" si="367"/>
        <v>20.669999999999998</v>
      </c>
      <c r="R868" s="873">
        <f t="shared" si="368"/>
        <v>10</v>
      </c>
      <c r="S868" s="873">
        <f t="shared" si="369"/>
        <v>14</v>
      </c>
      <c r="T868" s="874">
        <f t="shared" si="370"/>
        <v>17.633411486304666</v>
      </c>
      <c r="U868" s="874">
        <f t="shared" si="371"/>
        <v>15.750000000000004</v>
      </c>
      <c r="V868" s="873">
        <f t="shared" si="372"/>
        <v>7</v>
      </c>
      <c r="W868" s="873">
        <f t="shared" si="373"/>
        <v>3</v>
      </c>
      <c r="X868" s="873">
        <f t="shared" si="374"/>
        <v>0</v>
      </c>
      <c r="Y868" s="873">
        <f t="shared" si="375"/>
        <v>1</v>
      </c>
      <c r="Z868" s="873">
        <f t="shared" si="376"/>
        <v>4</v>
      </c>
      <c r="AA868" s="873">
        <f t="shared" si="377"/>
        <v>9</v>
      </c>
      <c r="AB868" s="874">
        <f t="shared" si="378"/>
        <v>13.960871651185032</v>
      </c>
    </row>
    <row r="869" spans="1:28">
      <c r="A869" s="210">
        <f t="shared" si="379"/>
        <v>9</v>
      </c>
      <c r="B869" s="210">
        <f>$F$574</f>
        <v>6</v>
      </c>
      <c r="C869" s="210">
        <f t="shared" ref="C869:D884" si="386">C868+1</f>
        <v>15</v>
      </c>
      <c r="D869" s="210">
        <f t="shared" si="386"/>
        <v>258</v>
      </c>
      <c r="E869" s="237">
        <f t="shared" ref="E869:E932" si="387">INDEX($H$569:$H$575,B869)</f>
        <v>1</v>
      </c>
      <c r="F869" s="1208">
        <f t="shared" si="384"/>
        <v>1</v>
      </c>
      <c r="G869" s="210">
        <f t="shared" si="385"/>
        <v>0.8</v>
      </c>
      <c r="I869" s="233">
        <f t="shared" ref="I869:I932" si="388">$E869*$B$62*G869</f>
        <v>11.200000000000003</v>
      </c>
      <c r="J869" s="210">
        <f t="shared" ref="J869:J932" si="389">$E869*MAX($B$63:$B$86)*G869</f>
        <v>0.8</v>
      </c>
      <c r="L869" s="233">
        <f t="shared" ref="L869:L932" si="390">IF(E869=1, $D$62*G869,$E$62*G869)</f>
        <v>5.9200000000000017</v>
      </c>
      <c r="M869" s="220">
        <f t="shared" ref="M869:M932" si="391">IF(E869=1,MAX($D$63:$D$86)*G869,MAX($E$63:$E$86)*G869)</f>
        <v>0.8</v>
      </c>
      <c r="O869" s="873">
        <f t="shared" ref="O869:P900" si="392">$E869*$F$62*IF($G869=0,0,1)</f>
        <v>24</v>
      </c>
      <c r="P869" s="873">
        <f t="shared" si="392"/>
        <v>24</v>
      </c>
      <c r="Q869" s="874">
        <f t="shared" ref="Q869:Q932" si="393">$E869*$G$62*IF($G869=0,0,1)</f>
        <v>20.669999999999998</v>
      </c>
      <c r="R869" s="873">
        <f t="shared" ref="R869:R932" si="394">(O869-S869)*IF($G869=0,0,1)</f>
        <v>10</v>
      </c>
      <c r="S869" s="873">
        <f t="shared" ref="S869:S932" si="395">IF(E869=0,0,COUNTIF(G$63:G$86,1))*IF($G869=0,0,1)</f>
        <v>14</v>
      </c>
      <c r="T869" s="874">
        <f t="shared" ref="T869:T932" si="396">$E869*$H$62*IF($G869=0,0,1)</f>
        <v>17.633411486304666</v>
      </c>
      <c r="U869" s="874">
        <f t="shared" ref="U869:U932" si="397">$E869*$I$62*IF($G869=0,0,1)</f>
        <v>15.750000000000004</v>
      </c>
      <c r="V869" s="873">
        <f t="shared" ref="V869:V932" si="398">IF($E869=0,0,COUNTIF($I$63:$I$86,0.25))*IF($G869=0,0,1)</f>
        <v>7</v>
      </c>
      <c r="W869" s="873">
        <f t="shared" ref="W869:W932" si="399">IF($E869=0,0,COUNTIF($I$63:$I$86,0.4))*IF($G869=0,0,1)</f>
        <v>3</v>
      </c>
      <c r="X869" s="873">
        <f t="shared" ref="X869:X932" si="400">IF($E869=0,0,COUNTIF($I$63:$I$86,0.5))*IF($G869=0,0,1)</f>
        <v>0</v>
      </c>
      <c r="Y869" s="873">
        <f t="shared" ref="Y869:Y932" si="401">IF($E869=0,0,COUNTIF($I$63:$I$86,0.6))*IF($G869=0,0,1)</f>
        <v>1</v>
      </c>
      <c r="Z869" s="873">
        <f t="shared" ref="Z869:Z932" si="402">IF($E869=0,0,COUNTIF($I$63:$I$86,0.8))*IF($G869=0,0,1)</f>
        <v>4</v>
      </c>
      <c r="AA869" s="873">
        <f t="shared" ref="AA869:AA932" si="403">IF($E869=0,0,COUNTIF($I$63:$I$86,1))*IF($G869=0,0,1)</f>
        <v>9</v>
      </c>
      <c r="AB869" s="874">
        <f t="shared" ref="AB869:AB932" si="404">$E869*$J$62*IF($G869=0,0,1)</f>
        <v>13.960871651185032</v>
      </c>
    </row>
    <row r="870" spans="1:28">
      <c r="A870" s="210">
        <f t="shared" ref="A870:A933" si="405">A869</f>
        <v>9</v>
      </c>
      <c r="B870" s="210">
        <f>$F$575</f>
        <v>7</v>
      </c>
      <c r="C870" s="210">
        <f t="shared" si="386"/>
        <v>16</v>
      </c>
      <c r="D870" s="210">
        <f t="shared" si="386"/>
        <v>259</v>
      </c>
      <c r="E870" s="237">
        <f t="shared" si="387"/>
        <v>1</v>
      </c>
      <c r="F870" s="1208">
        <f t="shared" si="384"/>
        <v>1</v>
      </c>
      <c r="G870" s="210">
        <f t="shared" si="385"/>
        <v>0.8</v>
      </c>
      <c r="I870" s="233">
        <f t="shared" si="388"/>
        <v>11.200000000000003</v>
      </c>
      <c r="J870" s="210">
        <f t="shared" si="389"/>
        <v>0.8</v>
      </c>
      <c r="L870" s="233">
        <f t="shared" si="390"/>
        <v>5.9200000000000017</v>
      </c>
      <c r="M870" s="220">
        <f t="shared" si="391"/>
        <v>0.8</v>
      </c>
      <c r="O870" s="873">
        <f t="shared" si="392"/>
        <v>24</v>
      </c>
      <c r="P870" s="873">
        <f t="shared" si="392"/>
        <v>24</v>
      </c>
      <c r="Q870" s="874">
        <f t="shared" si="393"/>
        <v>20.669999999999998</v>
      </c>
      <c r="R870" s="873">
        <f t="shared" si="394"/>
        <v>10</v>
      </c>
      <c r="S870" s="873">
        <f t="shared" si="395"/>
        <v>14</v>
      </c>
      <c r="T870" s="874">
        <f t="shared" si="396"/>
        <v>17.633411486304666</v>
      </c>
      <c r="U870" s="874">
        <f t="shared" si="397"/>
        <v>15.750000000000004</v>
      </c>
      <c r="V870" s="873">
        <f t="shared" si="398"/>
        <v>7</v>
      </c>
      <c r="W870" s="873">
        <f t="shared" si="399"/>
        <v>3</v>
      </c>
      <c r="X870" s="873">
        <f t="shared" si="400"/>
        <v>0</v>
      </c>
      <c r="Y870" s="873">
        <f t="shared" si="401"/>
        <v>1</v>
      </c>
      <c r="Z870" s="873">
        <f t="shared" si="402"/>
        <v>4</v>
      </c>
      <c r="AA870" s="873">
        <f t="shared" si="403"/>
        <v>9</v>
      </c>
      <c r="AB870" s="874">
        <f t="shared" si="404"/>
        <v>13.960871651185032</v>
      </c>
    </row>
    <row r="871" spans="1:28">
      <c r="A871" s="210">
        <f t="shared" si="405"/>
        <v>9</v>
      </c>
      <c r="B871" s="210">
        <f>$F$569</f>
        <v>1</v>
      </c>
      <c r="C871" s="210">
        <f t="shared" si="386"/>
        <v>17</v>
      </c>
      <c r="D871" s="210">
        <f t="shared" si="386"/>
        <v>260</v>
      </c>
      <c r="E871" s="237">
        <f t="shared" si="387"/>
        <v>1</v>
      </c>
      <c r="F871" s="1208">
        <f t="shared" si="384"/>
        <v>1</v>
      </c>
      <c r="G871" s="210">
        <f t="shared" si="385"/>
        <v>0.8</v>
      </c>
      <c r="I871" s="233">
        <f t="shared" si="388"/>
        <v>11.200000000000003</v>
      </c>
      <c r="J871" s="210">
        <f t="shared" si="389"/>
        <v>0.8</v>
      </c>
      <c r="L871" s="233">
        <f t="shared" si="390"/>
        <v>5.9200000000000017</v>
      </c>
      <c r="M871" s="220">
        <f t="shared" si="391"/>
        <v>0.8</v>
      </c>
      <c r="O871" s="873">
        <f t="shared" si="392"/>
        <v>24</v>
      </c>
      <c r="P871" s="873">
        <f t="shared" si="392"/>
        <v>24</v>
      </c>
      <c r="Q871" s="874">
        <f t="shared" si="393"/>
        <v>20.669999999999998</v>
      </c>
      <c r="R871" s="873">
        <f t="shared" si="394"/>
        <v>10</v>
      </c>
      <c r="S871" s="873">
        <f t="shared" si="395"/>
        <v>14</v>
      </c>
      <c r="T871" s="874">
        <f t="shared" si="396"/>
        <v>17.633411486304666</v>
      </c>
      <c r="U871" s="874">
        <f t="shared" si="397"/>
        <v>15.750000000000004</v>
      </c>
      <c r="V871" s="873">
        <f t="shared" si="398"/>
        <v>7</v>
      </c>
      <c r="W871" s="873">
        <f t="shared" si="399"/>
        <v>3</v>
      </c>
      <c r="X871" s="873">
        <f t="shared" si="400"/>
        <v>0</v>
      </c>
      <c r="Y871" s="873">
        <f t="shared" si="401"/>
        <v>1</v>
      </c>
      <c r="Z871" s="873">
        <f t="shared" si="402"/>
        <v>4</v>
      </c>
      <c r="AA871" s="873">
        <f t="shared" si="403"/>
        <v>9</v>
      </c>
      <c r="AB871" s="874">
        <f t="shared" si="404"/>
        <v>13.960871651185032</v>
      </c>
    </row>
    <row r="872" spans="1:28">
      <c r="A872" s="210">
        <f t="shared" si="405"/>
        <v>9</v>
      </c>
      <c r="B872" s="210">
        <f>$F$570</f>
        <v>2</v>
      </c>
      <c r="C872" s="210">
        <f t="shared" si="386"/>
        <v>18</v>
      </c>
      <c r="D872" s="210">
        <f t="shared" si="386"/>
        <v>261</v>
      </c>
      <c r="E872" s="237">
        <f t="shared" si="387"/>
        <v>1</v>
      </c>
      <c r="F872" s="1208">
        <f t="shared" si="384"/>
        <v>1</v>
      </c>
      <c r="G872" s="210">
        <f t="shared" si="385"/>
        <v>0.8</v>
      </c>
      <c r="I872" s="233">
        <f t="shared" si="388"/>
        <v>11.200000000000003</v>
      </c>
      <c r="J872" s="210">
        <f t="shared" si="389"/>
        <v>0.8</v>
      </c>
      <c r="L872" s="233">
        <f t="shared" si="390"/>
        <v>5.9200000000000017</v>
      </c>
      <c r="M872" s="220">
        <f t="shared" si="391"/>
        <v>0.8</v>
      </c>
      <c r="O872" s="873">
        <f t="shared" si="392"/>
        <v>24</v>
      </c>
      <c r="P872" s="873">
        <f t="shared" si="392"/>
        <v>24</v>
      </c>
      <c r="Q872" s="874">
        <f t="shared" si="393"/>
        <v>20.669999999999998</v>
      </c>
      <c r="R872" s="873">
        <f t="shared" si="394"/>
        <v>10</v>
      </c>
      <c r="S872" s="873">
        <f t="shared" si="395"/>
        <v>14</v>
      </c>
      <c r="T872" s="874">
        <f t="shared" si="396"/>
        <v>17.633411486304666</v>
      </c>
      <c r="U872" s="874">
        <f t="shared" si="397"/>
        <v>15.750000000000004</v>
      </c>
      <c r="V872" s="873">
        <f t="shared" si="398"/>
        <v>7</v>
      </c>
      <c r="W872" s="873">
        <f t="shared" si="399"/>
        <v>3</v>
      </c>
      <c r="X872" s="873">
        <f t="shared" si="400"/>
        <v>0</v>
      </c>
      <c r="Y872" s="873">
        <f t="shared" si="401"/>
        <v>1</v>
      </c>
      <c r="Z872" s="873">
        <f t="shared" si="402"/>
        <v>4</v>
      </c>
      <c r="AA872" s="873">
        <f t="shared" si="403"/>
        <v>9</v>
      </c>
      <c r="AB872" s="874">
        <f t="shared" si="404"/>
        <v>13.960871651185032</v>
      </c>
    </row>
    <row r="873" spans="1:28">
      <c r="A873" s="210">
        <f t="shared" si="405"/>
        <v>9</v>
      </c>
      <c r="B873" s="210">
        <f>$F$571</f>
        <v>3</v>
      </c>
      <c r="C873" s="210">
        <f t="shared" si="386"/>
        <v>19</v>
      </c>
      <c r="D873" s="210">
        <f t="shared" si="386"/>
        <v>262</v>
      </c>
      <c r="E873" s="237">
        <f t="shared" si="387"/>
        <v>1</v>
      </c>
      <c r="F873" s="1208">
        <f t="shared" si="384"/>
        <v>1</v>
      </c>
      <c r="G873" s="210">
        <f t="shared" si="385"/>
        <v>0.8</v>
      </c>
      <c r="I873" s="233">
        <f t="shared" si="388"/>
        <v>11.200000000000003</v>
      </c>
      <c r="J873" s="210">
        <f t="shared" si="389"/>
        <v>0.8</v>
      </c>
      <c r="L873" s="233">
        <f t="shared" si="390"/>
        <v>5.9200000000000017</v>
      </c>
      <c r="M873" s="220">
        <f t="shared" si="391"/>
        <v>0.8</v>
      </c>
      <c r="O873" s="873">
        <f t="shared" si="392"/>
        <v>24</v>
      </c>
      <c r="P873" s="873">
        <f t="shared" si="392"/>
        <v>24</v>
      </c>
      <c r="Q873" s="874">
        <f t="shared" si="393"/>
        <v>20.669999999999998</v>
      </c>
      <c r="R873" s="873">
        <f t="shared" si="394"/>
        <v>10</v>
      </c>
      <c r="S873" s="873">
        <f t="shared" si="395"/>
        <v>14</v>
      </c>
      <c r="T873" s="874">
        <f t="shared" si="396"/>
        <v>17.633411486304666</v>
      </c>
      <c r="U873" s="874">
        <f t="shared" si="397"/>
        <v>15.750000000000004</v>
      </c>
      <c r="V873" s="873">
        <f t="shared" si="398"/>
        <v>7</v>
      </c>
      <c r="W873" s="873">
        <f t="shared" si="399"/>
        <v>3</v>
      </c>
      <c r="X873" s="873">
        <f t="shared" si="400"/>
        <v>0</v>
      </c>
      <c r="Y873" s="873">
        <f t="shared" si="401"/>
        <v>1</v>
      </c>
      <c r="Z873" s="873">
        <f t="shared" si="402"/>
        <v>4</v>
      </c>
      <c r="AA873" s="873">
        <f t="shared" si="403"/>
        <v>9</v>
      </c>
      <c r="AB873" s="874">
        <f t="shared" si="404"/>
        <v>13.960871651185032</v>
      </c>
    </row>
    <row r="874" spans="1:28">
      <c r="A874" s="210">
        <f t="shared" si="405"/>
        <v>9</v>
      </c>
      <c r="B874" s="210">
        <f>$F$572</f>
        <v>4</v>
      </c>
      <c r="C874" s="210">
        <f t="shared" si="386"/>
        <v>20</v>
      </c>
      <c r="D874" s="210">
        <f t="shared" si="386"/>
        <v>263</v>
      </c>
      <c r="E874" s="237">
        <f t="shared" si="387"/>
        <v>1</v>
      </c>
      <c r="F874" s="1208">
        <f t="shared" si="384"/>
        <v>1</v>
      </c>
      <c r="G874" s="210">
        <f t="shared" si="385"/>
        <v>0.8</v>
      </c>
      <c r="I874" s="233">
        <f t="shared" si="388"/>
        <v>11.200000000000003</v>
      </c>
      <c r="J874" s="210">
        <f t="shared" si="389"/>
        <v>0.8</v>
      </c>
      <c r="L874" s="233">
        <f t="shared" si="390"/>
        <v>5.9200000000000017</v>
      </c>
      <c r="M874" s="220">
        <f t="shared" si="391"/>
        <v>0.8</v>
      </c>
      <c r="O874" s="873">
        <f t="shared" si="392"/>
        <v>24</v>
      </c>
      <c r="P874" s="873">
        <f t="shared" si="392"/>
        <v>24</v>
      </c>
      <c r="Q874" s="874">
        <f t="shared" si="393"/>
        <v>20.669999999999998</v>
      </c>
      <c r="R874" s="873">
        <f t="shared" si="394"/>
        <v>10</v>
      </c>
      <c r="S874" s="873">
        <f t="shared" si="395"/>
        <v>14</v>
      </c>
      <c r="T874" s="874">
        <f t="shared" si="396"/>
        <v>17.633411486304666</v>
      </c>
      <c r="U874" s="874">
        <f t="shared" si="397"/>
        <v>15.750000000000004</v>
      </c>
      <c r="V874" s="873">
        <f t="shared" si="398"/>
        <v>7</v>
      </c>
      <c r="W874" s="873">
        <f t="shared" si="399"/>
        <v>3</v>
      </c>
      <c r="X874" s="873">
        <f t="shared" si="400"/>
        <v>0</v>
      </c>
      <c r="Y874" s="873">
        <f t="shared" si="401"/>
        <v>1</v>
      </c>
      <c r="Z874" s="873">
        <f t="shared" si="402"/>
        <v>4</v>
      </c>
      <c r="AA874" s="873">
        <f t="shared" si="403"/>
        <v>9</v>
      </c>
      <c r="AB874" s="874">
        <f t="shared" si="404"/>
        <v>13.960871651185032</v>
      </c>
    </row>
    <row r="875" spans="1:28">
      <c r="A875" s="210">
        <f t="shared" si="405"/>
        <v>9</v>
      </c>
      <c r="B875" s="210">
        <f>$F$573</f>
        <v>5</v>
      </c>
      <c r="C875" s="210">
        <f t="shared" si="386"/>
        <v>21</v>
      </c>
      <c r="D875" s="210">
        <f t="shared" si="386"/>
        <v>264</v>
      </c>
      <c r="E875" s="237">
        <f t="shared" si="387"/>
        <v>1</v>
      </c>
      <c r="F875" s="1208">
        <f t="shared" si="384"/>
        <v>1</v>
      </c>
      <c r="G875" s="210">
        <f t="shared" si="385"/>
        <v>0.8</v>
      </c>
      <c r="I875" s="233">
        <f t="shared" si="388"/>
        <v>11.200000000000003</v>
      </c>
      <c r="J875" s="210">
        <f t="shared" si="389"/>
        <v>0.8</v>
      </c>
      <c r="L875" s="233">
        <f t="shared" si="390"/>
        <v>5.9200000000000017</v>
      </c>
      <c r="M875" s="220">
        <f t="shared" si="391"/>
        <v>0.8</v>
      </c>
      <c r="O875" s="873">
        <f t="shared" si="392"/>
        <v>24</v>
      </c>
      <c r="P875" s="873">
        <f t="shared" si="392"/>
        <v>24</v>
      </c>
      <c r="Q875" s="874">
        <f t="shared" si="393"/>
        <v>20.669999999999998</v>
      </c>
      <c r="R875" s="873">
        <f t="shared" si="394"/>
        <v>10</v>
      </c>
      <c r="S875" s="873">
        <f t="shared" si="395"/>
        <v>14</v>
      </c>
      <c r="T875" s="874">
        <f t="shared" si="396"/>
        <v>17.633411486304666</v>
      </c>
      <c r="U875" s="874">
        <f t="shared" si="397"/>
        <v>15.750000000000004</v>
      </c>
      <c r="V875" s="873">
        <f t="shared" si="398"/>
        <v>7</v>
      </c>
      <c r="W875" s="873">
        <f t="shared" si="399"/>
        <v>3</v>
      </c>
      <c r="X875" s="873">
        <f t="shared" si="400"/>
        <v>0</v>
      </c>
      <c r="Y875" s="873">
        <f t="shared" si="401"/>
        <v>1</v>
      </c>
      <c r="Z875" s="873">
        <f t="shared" si="402"/>
        <v>4</v>
      </c>
      <c r="AA875" s="873">
        <f t="shared" si="403"/>
        <v>9</v>
      </c>
      <c r="AB875" s="874">
        <f t="shared" si="404"/>
        <v>13.960871651185032</v>
      </c>
    </row>
    <row r="876" spans="1:28">
      <c r="A876" s="210">
        <f t="shared" si="405"/>
        <v>9</v>
      </c>
      <c r="B876" s="210">
        <f>$F$574</f>
        <v>6</v>
      </c>
      <c r="C876" s="210">
        <f t="shared" si="386"/>
        <v>22</v>
      </c>
      <c r="D876" s="210">
        <f t="shared" si="386"/>
        <v>265</v>
      </c>
      <c r="E876" s="237">
        <f t="shared" si="387"/>
        <v>1</v>
      </c>
      <c r="F876" s="1208">
        <f t="shared" si="384"/>
        <v>1</v>
      </c>
      <c r="G876" s="210">
        <f t="shared" si="385"/>
        <v>0.8</v>
      </c>
      <c r="I876" s="233">
        <f t="shared" si="388"/>
        <v>11.200000000000003</v>
      </c>
      <c r="J876" s="210">
        <f t="shared" si="389"/>
        <v>0.8</v>
      </c>
      <c r="L876" s="233">
        <f t="shared" si="390"/>
        <v>5.9200000000000017</v>
      </c>
      <c r="M876" s="220">
        <f t="shared" si="391"/>
        <v>0.8</v>
      </c>
      <c r="O876" s="873">
        <f t="shared" si="392"/>
        <v>24</v>
      </c>
      <c r="P876" s="873">
        <f t="shared" si="392"/>
        <v>24</v>
      </c>
      <c r="Q876" s="874">
        <f t="shared" si="393"/>
        <v>20.669999999999998</v>
      </c>
      <c r="R876" s="873">
        <f t="shared" si="394"/>
        <v>10</v>
      </c>
      <c r="S876" s="873">
        <f t="shared" si="395"/>
        <v>14</v>
      </c>
      <c r="T876" s="874">
        <f t="shared" si="396"/>
        <v>17.633411486304666</v>
      </c>
      <c r="U876" s="874">
        <f t="shared" si="397"/>
        <v>15.750000000000004</v>
      </c>
      <c r="V876" s="873">
        <f t="shared" si="398"/>
        <v>7</v>
      </c>
      <c r="W876" s="873">
        <f t="shared" si="399"/>
        <v>3</v>
      </c>
      <c r="X876" s="873">
        <f t="shared" si="400"/>
        <v>0</v>
      </c>
      <c r="Y876" s="873">
        <f t="shared" si="401"/>
        <v>1</v>
      </c>
      <c r="Z876" s="873">
        <f t="shared" si="402"/>
        <v>4</v>
      </c>
      <c r="AA876" s="873">
        <f t="shared" si="403"/>
        <v>9</v>
      </c>
      <c r="AB876" s="874">
        <f t="shared" si="404"/>
        <v>13.960871651185032</v>
      </c>
    </row>
    <row r="877" spans="1:28">
      <c r="A877" s="210">
        <f t="shared" si="405"/>
        <v>9</v>
      </c>
      <c r="B877" s="210">
        <f>$F$575</f>
        <v>7</v>
      </c>
      <c r="C877" s="210">
        <f t="shared" si="386"/>
        <v>23</v>
      </c>
      <c r="D877" s="210">
        <f t="shared" si="386"/>
        <v>266</v>
      </c>
      <c r="E877" s="237">
        <f t="shared" si="387"/>
        <v>1</v>
      </c>
      <c r="F877" s="1208">
        <f t="shared" si="384"/>
        <v>1</v>
      </c>
      <c r="G877" s="210">
        <f t="shared" si="385"/>
        <v>0.8</v>
      </c>
      <c r="I877" s="233">
        <f t="shared" si="388"/>
        <v>11.200000000000003</v>
      </c>
      <c r="J877" s="210">
        <f t="shared" si="389"/>
        <v>0.8</v>
      </c>
      <c r="L877" s="233">
        <f t="shared" si="390"/>
        <v>5.9200000000000017</v>
      </c>
      <c r="M877" s="220">
        <f t="shared" si="391"/>
        <v>0.8</v>
      </c>
      <c r="O877" s="873">
        <f t="shared" si="392"/>
        <v>24</v>
      </c>
      <c r="P877" s="873">
        <f t="shared" si="392"/>
        <v>24</v>
      </c>
      <c r="Q877" s="874">
        <f t="shared" si="393"/>
        <v>20.669999999999998</v>
      </c>
      <c r="R877" s="873">
        <f t="shared" si="394"/>
        <v>10</v>
      </c>
      <c r="S877" s="873">
        <f t="shared" si="395"/>
        <v>14</v>
      </c>
      <c r="T877" s="874">
        <f t="shared" si="396"/>
        <v>17.633411486304666</v>
      </c>
      <c r="U877" s="874">
        <f t="shared" si="397"/>
        <v>15.750000000000004</v>
      </c>
      <c r="V877" s="873">
        <f t="shared" si="398"/>
        <v>7</v>
      </c>
      <c r="W877" s="873">
        <f t="shared" si="399"/>
        <v>3</v>
      </c>
      <c r="X877" s="873">
        <f t="shared" si="400"/>
        <v>0</v>
      </c>
      <c r="Y877" s="873">
        <f t="shared" si="401"/>
        <v>1</v>
      </c>
      <c r="Z877" s="873">
        <f t="shared" si="402"/>
        <v>4</v>
      </c>
      <c r="AA877" s="873">
        <f t="shared" si="403"/>
        <v>9</v>
      </c>
      <c r="AB877" s="874">
        <f t="shared" si="404"/>
        <v>13.960871651185032</v>
      </c>
    </row>
    <row r="878" spans="1:28">
      <c r="A878" s="210">
        <f t="shared" si="405"/>
        <v>9</v>
      </c>
      <c r="B878" s="210">
        <f>$F$569</f>
        <v>1</v>
      </c>
      <c r="C878" s="210">
        <f t="shared" si="386"/>
        <v>24</v>
      </c>
      <c r="D878" s="210">
        <f t="shared" si="386"/>
        <v>267</v>
      </c>
      <c r="E878" s="237">
        <f t="shared" si="387"/>
        <v>1</v>
      </c>
      <c r="F878" s="1208">
        <f t="shared" si="384"/>
        <v>1</v>
      </c>
      <c r="G878" s="210">
        <f t="shared" si="385"/>
        <v>0.8</v>
      </c>
      <c r="I878" s="233">
        <f t="shared" si="388"/>
        <v>11.200000000000003</v>
      </c>
      <c r="J878" s="210">
        <f t="shared" si="389"/>
        <v>0.8</v>
      </c>
      <c r="L878" s="233">
        <f t="shared" si="390"/>
        <v>5.9200000000000017</v>
      </c>
      <c r="M878" s="220">
        <f t="shared" si="391"/>
        <v>0.8</v>
      </c>
      <c r="O878" s="873">
        <f t="shared" si="392"/>
        <v>24</v>
      </c>
      <c r="P878" s="873">
        <f t="shared" si="392"/>
        <v>24</v>
      </c>
      <c r="Q878" s="874">
        <f t="shared" si="393"/>
        <v>20.669999999999998</v>
      </c>
      <c r="R878" s="873">
        <f t="shared" si="394"/>
        <v>10</v>
      </c>
      <c r="S878" s="873">
        <f t="shared" si="395"/>
        <v>14</v>
      </c>
      <c r="T878" s="874">
        <f t="shared" si="396"/>
        <v>17.633411486304666</v>
      </c>
      <c r="U878" s="874">
        <f t="shared" si="397"/>
        <v>15.750000000000004</v>
      </c>
      <c r="V878" s="873">
        <f t="shared" si="398"/>
        <v>7</v>
      </c>
      <c r="W878" s="873">
        <f t="shared" si="399"/>
        <v>3</v>
      </c>
      <c r="X878" s="873">
        <f t="shared" si="400"/>
        <v>0</v>
      </c>
      <c r="Y878" s="873">
        <f t="shared" si="401"/>
        <v>1</v>
      </c>
      <c r="Z878" s="873">
        <f t="shared" si="402"/>
        <v>4</v>
      </c>
      <c r="AA878" s="873">
        <f t="shared" si="403"/>
        <v>9</v>
      </c>
      <c r="AB878" s="874">
        <f t="shared" si="404"/>
        <v>13.960871651185032</v>
      </c>
    </row>
    <row r="879" spans="1:28">
      <c r="A879" s="210">
        <f t="shared" si="405"/>
        <v>9</v>
      </c>
      <c r="B879" s="210">
        <f>$F$570</f>
        <v>2</v>
      </c>
      <c r="C879" s="210">
        <f t="shared" si="386"/>
        <v>25</v>
      </c>
      <c r="D879" s="210">
        <f t="shared" si="386"/>
        <v>268</v>
      </c>
      <c r="E879" s="237">
        <f t="shared" si="387"/>
        <v>1</v>
      </c>
      <c r="F879" s="1208">
        <f t="shared" si="384"/>
        <v>1</v>
      </c>
      <c r="G879" s="210">
        <f t="shared" si="385"/>
        <v>0.8</v>
      </c>
      <c r="I879" s="233">
        <f t="shared" si="388"/>
        <v>11.200000000000003</v>
      </c>
      <c r="J879" s="210">
        <f t="shared" si="389"/>
        <v>0.8</v>
      </c>
      <c r="L879" s="233">
        <f t="shared" si="390"/>
        <v>5.9200000000000017</v>
      </c>
      <c r="M879" s="220">
        <f t="shared" si="391"/>
        <v>0.8</v>
      </c>
      <c r="O879" s="873">
        <f t="shared" si="392"/>
        <v>24</v>
      </c>
      <c r="P879" s="873">
        <f t="shared" si="392"/>
        <v>24</v>
      </c>
      <c r="Q879" s="874">
        <f t="shared" si="393"/>
        <v>20.669999999999998</v>
      </c>
      <c r="R879" s="873">
        <f t="shared" si="394"/>
        <v>10</v>
      </c>
      <c r="S879" s="873">
        <f t="shared" si="395"/>
        <v>14</v>
      </c>
      <c r="T879" s="874">
        <f t="shared" si="396"/>
        <v>17.633411486304666</v>
      </c>
      <c r="U879" s="874">
        <f t="shared" si="397"/>
        <v>15.750000000000004</v>
      </c>
      <c r="V879" s="873">
        <f t="shared" si="398"/>
        <v>7</v>
      </c>
      <c r="W879" s="873">
        <f t="shared" si="399"/>
        <v>3</v>
      </c>
      <c r="X879" s="873">
        <f t="shared" si="400"/>
        <v>0</v>
      </c>
      <c r="Y879" s="873">
        <f t="shared" si="401"/>
        <v>1</v>
      </c>
      <c r="Z879" s="873">
        <f t="shared" si="402"/>
        <v>4</v>
      </c>
      <c r="AA879" s="873">
        <f t="shared" si="403"/>
        <v>9</v>
      </c>
      <c r="AB879" s="874">
        <f t="shared" si="404"/>
        <v>13.960871651185032</v>
      </c>
    </row>
    <row r="880" spans="1:28">
      <c r="A880" s="210">
        <f t="shared" si="405"/>
        <v>9</v>
      </c>
      <c r="B880" s="210">
        <f>$F$571</f>
        <v>3</v>
      </c>
      <c r="C880" s="210">
        <f t="shared" si="386"/>
        <v>26</v>
      </c>
      <c r="D880" s="210">
        <f t="shared" si="386"/>
        <v>269</v>
      </c>
      <c r="E880" s="237">
        <f t="shared" si="387"/>
        <v>1</v>
      </c>
      <c r="F880" s="1208">
        <f t="shared" si="384"/>
        <v>1</v>
      </c>
      <c r="G880" s="210">
        <f t="shared" si="385"/>
        <v>0.8</v>
      </c>
      <c r="I880" s="233">
        <f t="shared" si="388"/>
        <v>11.200000000000003</v>
      </c>
      <c r="J880" s="210">
        <f t="shared" si="389"/>
        <v>0.8</v>
      </c>
      <c r="L880" s="233">
        <f t="shared" si="390"/>
        <v>5.9200000000000017</v>
      </c>
      <c r="M880" s="220">
        <f t="shared" si="391"/>
        <v>0.8</v>
      </c>
      <c r="O880" s="873">
        <f t="shared" si="392"/>
        <v>24</v>
      </c>
      <c r="P880" s="873">
        <f t="shared" si="392"/>
        <v>24</v>
      </c>
      <c r="Q880" s="874">
        <f t="shared" si="393"/>
        <v>20.669999999999998</v>
      </c>
      <c r="R880" s="873">
        <f t="shared" si="394"/>
        <v>10</v>
      </c>
      <c r="S880" s="873">
        <f t="shared" si="395"/>
        <v>14</v>
      </c>
      <c r="T880" s="874">
        <f t="shared" si="396"/>
        <v>17.633411486304666</v>
      </c>
      <c r="U880" s="874">
        <f t="shared" si="397"/>
        <v>15.750000000000004</v>
      </c>
      <c r="V880" s="873">
        <f t="shared" si="398"/>
        <v>7</v>
      </c>
      <c r="W880" s="873">
        <f t="shared" si="399"/>
        <v>3</v>
      </c>
      <c r="X880" s="873">
        <f t="shared" si="400"/>
        <v>0</v>
      </c>
      <c r="Y880" s="873">
        <f t="shared" si="401"/>
        <v>1</v>
      </c>
      <c r="Z880" s="873">
        <f t="shared" si="402"/>
        <v>4</v>
      </c>
      <c r="AA880" s="873">
        <f t="shared" si="403"/>
        <v>9</v>
      </c>
      <c r="AB880" s="874">
        <f t="shared" si="404"/>
        <v>13.960871651185032</v>
      </c>
    </row>
    <row r="881" spans="1:28">
      <c r="A881" s="210">
        <f t="shared" si="405"/>
        <v>9</v>
      </c>
      <c r="B881" s="210">
        <f>$F$572</f>
        <v>4</v>
      </c>
      <c r="C881" s="210">
        <f t="shared" si="386"/>
        <v>27</v>
      </c>
      <c r="D881" s="210">
        <f t="shared" si="386"/>
        <v>270</v>
      </c>
      <c r="E881" s="237">
        <f t="shared" si="387"/>
        <v>1</v>
      </c>
      <c r="F881" s="1208">
        <f t="shared" si="384"/>
        <v>1</v>
      </c>
      <c r="G881" s="210">
        <f t="shared" si="385"/>
        <v>0.8</v>
      </c>
      <c r="I881" s="233">
        <f t="shared" si="388"/>
        <v>11.200000000000003</v>
      </c>
      <c r="J881" s="210">
        <f t="shared" si="389"/>
        <v>0.8</v>
      </c>
      <c r="L881" s="233">
        <f t="shared" si="390"/>
        <v>5.9200000000000017</v>
      </c>
      <c r="M881" s="220">
        <f t="shared" si="391"/>
        <v>0.8</v>
      </c>
      <c r="O881" s="873">
        <f t="shared" si="392"/>
        <v>24</v>
      </c>
      <c r="P881" s="873">
        <f t="shared" si="392"/>
        <v>24</v>
      </c>
      <c r="Q881" s="874">
        <f t="shared" si="393"/>
        <v>20.669999999999998</v>
      </c>
      <c r="R881" s="873">
        <f t="shared" si="394"/>
        <v>10</v>
      </c>
      <c r="S881" s="873">
        <f t="shared" si="395"/>
        <v>14</v>
      </c>
      <c r="T881" s="874">
        <f t="shared" si="396"/>
        <v>17.633411486304666</v>
      </c>
      <c r="U881" s="874">
        <f t="shared" si="397"/>
        <v>15.750000000000004</v>
      </c>
      <c r="V881" s="873">
        <f t="shared" si="398"/>
        <v>7</v>
      </c>
      <c r="W881" s="873">
        <f t="shared" si="399"/>
        <v>3</v>
      </c>
      <c r="X881" s="873">
        <f t="shared" si="400"/>
        <v>0</v>
      </c>
      <c r="Y881" s="873">
        <f t="shared" si="401"/>
        <v>1</v>
      </c>
      <c r="Z881" s="873">
        <f t="shared" si="402"/>
        <v>4</v>
      </c>
      <c r="AA881" s="873">
        <f t="shared" si="403"/>
        <v>9</v>
      </c>
      <c r="AB881" s="874">
        <f t="shared" si="404"/>
        <v>13.960871651185032</v>
      </c>
    </row>
    <row r="882" spans="1:28">
      <c r="A882" s="210">
        <f t="shared" si="405"/>
        <v>9</v>
      </c>
      <c r="B882" s="210">
        <f>$F$573</f>
        <v>5</v>
      </c>
      <c r="C882" s="210">
        <f t="shared" si="386"/>
        <v>28</v>
      </c>
      <c r="D882" s="210">
        <f t="shared" si="386"/>
        <v>271</v>
      </c>
      <c r="E882" s="237">
        <f t="shared" si="387"/>
        <v>1</v>
      </c>
      <c r="F882" s="1208">
        <f t="shared" si="384"/>
        <v>1</v>
      </c>
      <c r="G882" s="210">
        <f t="shared" si="385"/>
        <v>0.8</v>
      </c>
      <c r="I882" s="233">
        <f t="shared" si="388"/>
        <v>11.200000000000003</v>
      </c>
      <c r="J882" s="210">
        <f t="shared" si="389"/>
        <v>0.8</v>
      </c>
      <c r="L882" s="233">
        <f t="shared" si="390"/>
        <v>5.9200000000000017</v>
      </c>
      <c r="M882" s="220">
        <f t="shared" si="391"/>
        <v>0.8</v>
      </c>
      <c r="O882" s="873">
        <f t="shared" si="392"/>
        <v>24</v>
      </c>
      <c r="P882" s="873">
        <f t="shared" si="392"/>
        <v>24</v>
      </c>
      <c r="Q882" s="874">
        <f t="shared" si="393"/>
        <v>20.669999999999998</v>
      </c>
      <c r="R882" s="873">
        <f t="shared" si="394"/>
        <v>10</v>
      </c>
      <c r="S882" s="873">
        <f t="shared" si="395"/>
        <v>14</v>
      </c>
      <c r="T882" s="874">
        <f t="shared" si="396"/>
        <v>17.633411486304666</v>
      </c>
      <c r="U882" s="874">
        <f t="shared" si="397"/>
        <v>15.750000000000004</v>
      </c>
      <c r="V882" s="873">
        <f t="shared" si="398"/>
        <v>7</v>
      </c>
      <c r="W882" s="873">
        <f t="shared" si="399"/>
        <v>3</v>
      </c>
      <c r="X882" s="873">
        <f t="shared" si="400"/>
        <v>0</v>
      </c>
      <c r="Y882" s="873">
        <f t="shared" si="401"/>
        <v>1</v>
      </c>
      <c r="Z882" s="873">
        <f t="shared" si="402"/>
        <v>4</v>
      </c>
      <c r="AA882" s="873">
        <f t="shared" si="403"/>
        <v>9</v>
      </c>
      <c r="AB882" s="874">
        <f t="shared" si="404"/>
        <v>13.960871651185032</v>
      </c>
    </row>
    <row r="883" spans="1:28">
      <c r="A883" s="210">
        <f t="shared" si="405"/>
        <v>9</v>
      </c>
      <c r="B883" s="210">
        <f>$F$574</f>
        <v>6</v>
      </c>
      <c r="C883" s="210">
        <f t="shared" si="386"/>
        <v>29</v>
      </c>
      <c r="D883" s="210">
        <f t="shared" si="386"/>
        <v>272</v>
      </c>
      <c r="E883" s="237">
        <f t="shared" si="387"/>
        <v>1</v>
      </c>
      <c r="F883" s="1208">
        <f t="shared" si="384"/>
        <v>1</v>
      </c>
      <c r="G883" s="210">
        <f t="shared" si="385"/>
        <v>0.8</v>
      </c>
      <c r="I883" s="233">
        <f t="shared" si="388"/>
        <v>11.200000000000003</v>
      </c>
      <c r="J883" s="210">
        <f t="shared" si="389"/>
        <v>0.8</v>
      </c>
      <c r="L883" s="233">
        <f t="shared" si="390"/>
        <v>5.9200000000000017</v>
      </c>
      <c r="M883" s="220">
        <f t="shared" si="391"/>
        <v>0.8</v>
      </c>
      <c r="O883" s="873">
        <f t="shared" si="392"/>
        <v>24</v>
      </c>
      <c r="P883" s="873">
        <f t="shared" si="392"/>
        <v>24</v>
      </c>
      <c r="Q883" s="874">
        <f t="shared" si="393"/>
        <v>20.669999999999998</v>
      </c>
      <c r="R883" s="873">
        <f t="shared" si="394"/>
        <v>10</v>
      </c>
      <c r="S883" s="873">
        <f t="shared" si="395"/>
        <v>14</v>
      </c>
      <c r="T883" s="874">
        <f t="shared" si="396"/>
        <v>17.633411486304666</v>
      </c>
      <c r="U883" s="874">
        <f t="shared" si="397"/>
        <v>15.750000000000004</v>
      </c>
      <c r="V883" s="873">
        <f t="shared" si="398"/>
        <v>7</v>
      </c>
      <c r="W883" s="873">
        <f t="shared" si="399"/>
        <v>3</v>
      </c>
      <c r="X883" s="873">
        <f t="shared" si="400"/>
        <v>0</v>
      </c>
      <c r="Y883" s="873">
        <f t="shared" si="401"/>
        <v>1</v>
      </c>
      <c r="Z883" s="873">
        <f t="shared" si="402"/>
        <v>4</v>
      </c>
      <c r="AA883" s="873">
        <f t="shared" si="403"/>
        <v>9</v>
      </c>
      <c r="AB883" s="874">
        <f t="shared" si="404"/>
        <v>13.960871651185032</v>
      </c>
    </row>
    <row r="884" spans="1:28">
      <c r="A884" s="210">
        <f t="shared" si="405"/>
        <v>9</v>
      </c>
      <c r="B884" s="210">
        <f>$F$575</f>
        <v>7</v>
      </c>
      <c r="C884" s="210">
        <f t="shared" si="386"/>
        <v>30</v>
      </c>
      <c r="D884" s="210">
        <f t="shared" si="386"/>
        <v>273</v>
      </c>
      <c r="E884" s="237">
        <f t="shared" si="387"/>
        <v>1</v>
      </c>
      <c r="F884" s="1208">
        <f t="shared" si="384"/>
        <v>1</v>
      </c>
      <c r="G884" s="210">
        <f t="shared" si="385"/>
        <v>0.8</v>
      </c>
      <c r="I884" s="233">
        <f t="shared" si="388"/>
        <v>11.200000000000003</v>
      </c>
      <c r="J884" s="210">
        <f t="shared" si="389"/>
        <v>0.8</v>
      </c>
      <c r="L884" s="233">
        <f t="shared" si="390"/>
        <v>5.9200000000000017</v>
      </c>
      <c r="M884" s="220">
        <f t="shared" si="391"/>
        <v>0.8</v>
      </c>
      <c r="O884" s="873">
        <f t="shared" si="392"/>
        <v>24</v>
      </c>
      <c r="P884" s="873">
        <f t="shared" si="392"/>
        <v>24</v>
      </c>
      <c r="Q884" s="874">
        <f t="shared" si="393"/>
        <v>20.669999999999998</v>
      </c>
      <c r="R884" s="873">
        <f t="shared" si="394"/>
        <v>10</v>
      </c>
      <c r="S884" s="873">
        <f t="shared" si="395"/>
        <v>14</v>
      </c>
      <c r="T884" s="874">
        <f t="shared" si="396"/>
        <v>17.633411486304666</v>
      </c>
      <c r="U884" s="874">
        <f t="shared" si="397"/>
        <v>15.750000000000004</v>
      </c>
      <c r="V884" s="873">
        <f t="shared" si="398"/>
        <v>7</v>
      </c>
      <c r="W884" s="873">
        <f t="shared" si="399"/>
        <v>3</v>
      </c>
      <c r="X884" s="873">
        <f t="shared" si="400"/>
        <v>0</v>
      </c>
      <c r="Y884" s="873">
        <f t="shared" si="401"/>
        <v>1</v>
      </c>
      <c r="Z884" s="873">
        <f t="shared" si="402"/>
        <v>4</v>
      </c>
      <c r="AA884" s="873">
        <f t="shared" si="403"/>
        <v>9</v>
      </c>
      <c r="AB884" s="874">
        <f t="shared" si="404"/>
        <v>13.960871651185032</v>
      </c>
    </row>
    <row r="885" spans="1:28">
      <c r="A885" s="210">
        <v>10</v>
      </c>
      <c r="B885" s="210">
        <f>$F$569</f>
        <v>1</v>
      </c>
      <c r="C885" s="210">
        <v>1</v>
      </c>
      <c r="D885" s="210">
        <f t="shared" ref="D885:D948" si="406">D884+1</f>
        <v>274</v>
      </c>
      <c r="E885" s="237">
        <f t="shared" si="387"/>
        <v>1</v>
      </c>
      <c r="F885" s="1208">
        <f t="shared" si="384"/>
        <v>0.8</v>
      </c>
      <c r="G885" s="210">
        <f t="shared" si="385"/>
        <v>0.8</v>
      </c>
      <c r="I885" s="233">
        <f t="shared" si="388"/>
        <v>11.200000000000003</v>
      </c>
      <c r="J885" s="210">
        <f t="shared" si="389"/>
        <v>0.8</v>
      </c>
      <c r="L885" s="233">
        <f t="shared" si="390"/>
        <v>5.9200000000000017</v>
      </c>
      <c r="M885" s="220">
        <f t="shared" si="391"/>
        <v>0.8</v>
      </c>
      <c r="O885" s="873">
        <f t="shared" si="392"/>
        <v>24</v>
      </c>
      <c r="P885" s="873">
        <f t="shared" si="392"/>
        <v>24</v>
      </c>
      <c r="Q885" s="874">
        <f t="shared" si="393"/>
        <v>20.669999999999998</v>
      </c>
      <c r="R885" s="873">
        <f t="shared" si="394"/>
        <v>10</v>
      </c>
      <c r="S885" s="873">
        <f t="shared" si="395"/>
        <v>14</v>
      </c>
      <c r="T885" s="874">
        <f t="shared" si="396"/>
        <v>17.633411486304666</v>
      </c>
      <c r="U885" s="874">
        <f t="shared" si="397"/>
        <v>15.750000000000004</v>
      </c>
      <c r="V885" s="873">
        <f t="shared" si="398"/>
        <v>7</v>
      </c>
      <c r="W885" s="873">
        <f t="shared" si="399"/>
        <v>3</v>
      </c>
      <c r="X885" s="873">
        <f t="shared" si="400"/>
        <v>0</v>
      </c>
      <c r="Y885" s="873">
        <f t="shared" si="401"/>
        <v>1</v>
      </c>
      <c r="Z885" s="873">
        <f t="shared" si="402"/>
        <v>4</v>
      </c>
      <c r="AA885" s="873">
        <f t="shared" si="403"/>
        <v>9</v>
      </c>
      <c r="AB885" s="874">
        <f t="shared" si="404"/>
        <v>13.960871651185032</v>
      </c>
    </row>
    <row r="886" spans="1:28">
      <c r="A886" s="210">
        <f t="shared" si="405"/>
        <v>10</v>
      </c>
      <c r="B886" s="210">
        <f>$F$570</f>
        <v>2</v>
      </c>
      <c r="C886" s="210">
        <f t="shared" ref="C886:C915" si="407">C885+1</f>
        <v>2</v>
      </c>
      <c r="D886" s="210">
        <f t="shared" si="406"/>
        <v>275</v>
      </c>
      <c r="E886" s="237">
        <f t="shared" si="387"/>
        <v>1</v>
      </c>
      <c r="F886" s="1208">
        <f t="shared" si="384"/>
        <v>0.8</v>
      </c>
      <c r="G886" s="210">
        <f t="shared" si="385"/>
        <v>0.8</v>
      </c>
      <c r="I886" s="233">
        <f t="shared" si="388"/>
        <v>11.200000000000003</v>
      </c>
      <c r="J886" s="210">
        <f t="shared" si="389"/>
        <v>0.8</v>
      </c>
      <c r="L886" s="233">
        <f t="shared" si="390"/>
        <v>5.9200000000000017</v>
      </c>
      <c r="M886" s="220">
        <f t="shared" si="391"/>
        <v>0.8</v>
      </c>
      <c r="O886" s="873">
        <f t="shared" si="392"/>
        <v>24</v>
      </c>
      <c r="P886" s="873">
        <f t="shared" si="392"/>
        <v>24</v>
      </c>
      <c r="Q886" s="874">
        <f t="shared" si="393"/>
        <v>20.669999999999998</v>
      </c>
      <c r="R886" s="873">
        <f t="shared" si="394"/>
        <v>10</v>
      </c>
      <c r="S886" s="873">
        <f t="shared" si="395"/>
        <v>14</v>
      </c>
      <c r="T886" s="874">
        <f t="shared" si="396"/>
        <v>17.633411486304666</v>
      </c>
      <c r="U886" s="874">
        <f t="shared" si="397"/>
        <v>15.750000000000004</v>
      </c>
      <c r="V886" s="873">
        <f t="shared" si="398"/>
        <v>7</v>
      </c>
      <c r="W886" s="873">
        <f t="shared" si="399"/>
        <v>3</v>
      </c>
      <c r="X886" s="873">
        <f t="shared" si="400"/>
        <v>0</v>
      </c>
      <c r="Y886" s="873">
        <f t="shared" si="401"/>
        <v>1</v>
      </c>
      <c r="Z886" s="873">
        <f t="shared" si="402"/>
        <v>4</v>
      </c>
      <c r="AA886" s="873">
        <f t="shared" si="403"/>
        <v>9</v>
      </c>
      <c r="AB886" s="874">
        <f t="shared" si="404"/>
        <v>13.960871651185032</v>
      </c>
    </row>
    <row r="887" spans="1:28">
      <c r="A887" s="210">
        <f t="shared" si="405"/>
        <v>10</v>
      </c>
      <c r="B887" s="210">
        <f>$F$571</f>
        <v>3</v>
      </c>
      <c r="C887" s="210">
        <f t="shared" si="407"/>
        <v>3</v>
      </c>
      <c r="D887" s="210">
        <f t="shared" si="406"/>
        <v>276</v>
      </c>
      <c r="E887" s="237">
        <f t="shared" si="387"/>
        <v>1</v>
      </c>
      <c r="F887" s="1208">
        <f t="shared" si="384"/>
        <v>0.8</v>
      </c>
      <c r="G887" s="210">
        <f t="shared" si="385"/>
        <v>0.8</v>
      </c>
      <c r="I887" s="233">
        <f t="shared" si="388"/>
        <v>11.200000000000003</v>
      </c>
      <c r="J887" s="210">
        <f t="shared" si="389"/>
        <v>0.8</v>
      </c>
      <c r="L887" s="233">
        <f t="shared" si="390"/>
        <v>5.9200000000000017</v>
      </c>
      <c r="M887" s="220">
        <f t="shared" si="391"/>
        <v>0.8</v>
      </c>
      <c r="O887" s="873">
        <f t="shared" si="392"/>
        <v>24</v>
      </c>
      <c r="P887" s="873">
        <f t="shared" si="392"/>
        <v>24</v>
      </c>
      <c r="Q887" s="874">
        <f t="shared" si="393"/>
        <v>20.669999999999998</v>
      </c>
      <c r="R887" s="873">
        <f t="shared" si="394"/>
        <v>10</v>
      </c>
      <c r="S887" s="873">
        <f t="shared" si="395"/>
        <v>14</v>
      </c>
      <c r="T887" s="874">
        <f t="shared" si="396"/>
        <v>17.633411486304666</v>
      </c>
      <c r="U887" s="874">
        <f t="shared" si="397"/>
        <v>15.750000000000004</v>
      </c>
      <c r="V887" s="873">
        <f t="shared" si="398"/>
        <v>7</v>
      </c>
      <c r="W887" s="873">
        <f t="shared" si="399"/>
        <v>3</v>
      </c>
      <c r="X887" s="873">
        <f t="shared" si="400"/>
        <v>0</v>
      </c>
      <c r="Y887" s="873">
        <f t="shared" si="401"/>
        <v>1</v>
      </c>
      <c r="Z887" s="873">
        <f t="shared" si="402"/>
        <v>4</v>
      </c>
      <c r="AA887" s="873">
        <f t="shared" si="403"/>
        <v>9</v>
      </c>
      <c r="AB887" s="874">
        <f t="shared" si="404"/>
        <v>13.960871651185032</v>
      </c>
    </row>
    <row r="888" spans="1:28">
      <c r="A888" s="210">
        <f t="shared" si="405"/>
        <v>10</v>
      </c>
      <c r="B888" s="210">
        <f>$F$572</f>
        <v>4</v>
      </c>
      <c r="C888" s="210">
        <f t="shared" si="407"/>
        <v>4</v>
      </c>
      <c r="D888" s="210">
        <f t="shared" si="406"/>
        <v>277</v>
      </c>
      <c r="E888" s="237">
        <f t="shared" si="387"/>
        <v>1</v>
      </c>
      <c r="F888" s="1208">
        <f t="shared" si="384"/>
        <v>0.8</v>
      </c>
      <c r="G888" s="210">
        <f t="shared" si="385"/>
        <v>0.8</v>
      </c>
      <c r="I888" s="233">
        <f t="shared" si="388"/>
        <v>11.200000000000003</v>
      </c>
      <c r="J888" s="210">
        <f t="shared" si="389"/>
        <v>0.8</v>
      </c>
      <c r="L888" s="233">
        <f t="shared" si="390"/>
        <v>5.9200000000000017</v>
      </c>
      <c r="M888" s="220">
        <f t="shared" si="391"/>
        <v>0.8</v>
      </c>
      <c r="O888" s="873">
        <f t="shared" si="392"/>
        <v>24</v>
      </c>
      <c r="P888" s="873">
        <f t="shared" si="392"/>
        <v>24</v>
      </c>
      <c r="Q888" s="874">
        <f t="shared" si="393"/>
        <v>20.669999999999998</v>
      </c>
      <c r="R888" s="873">
        <f t="shared" si="394"/>
        <v>10</v>
      </c>
      <c r="S888" s="873">
        <f t="shared" si="395"/>
        <v>14</v>
      </c>
      <c r="T888" s="874">
        <f t="shared" si="396"/>
        <v>17.633411486304666</v>
      </c>
      <c r="U888" s="874">
        <f t="shared" si="397"/>
        <v>15.750000000000004</v>
      </c>
      <c r="V888" s="873">
        <f t="shared" si="398"/>
        <v>7</v>
      </c>
      <c r="W888" s="873">
        <f t="shared" si="399"/>
        <v>3</v>
      </c>
      <c r="X888" s="873">
        <f t="shared" si="400"/>
        <v>0</v>
      </c>
      <c r="Y888" s="873">
        <f t="shared" si="401"/>
        <v>1</v>
      </c>
      <c r="Z888" s="873">
        <f t="shared" si="402"/>
        <v>4</v>
      </c>
      <c r="AA888" s="873">
        <f t="shared" si="403"/>
        <v>9</v>
      </c>
      <c r="AB888" s="874">
        <f t="shared" si="404"/>
        <v>13.960871651185032</v>
      </c>
    </row>
    <row r="889" spans="1:28">
      <c r="A889" s="210">
        <f t="shared" si="405"/>
        <v>10</v>
      </c>
      <c r="B889" s="210">
        <f>$F$573</f>
        <v>5</v>
      </c>
      <c r="C889" s="210">
        <f t="shared" si="407"/>
        <v>5</v>
      </c>
      <c r="D889" s="210">
        <f t="shared" si="406"/>
        <v>278</v>
      </c>
      <c r="E889" s="237">
        <f t="shared" si="387"/>
        <v>1</v>
      </c>
      <c r="F889" s="1208">
        <f t="shared" si="384"/>
        <v>0.8</v>
      </c>
      <c r="G889" s="210">
        <f t="shared" si="385"/>
        <v>0.8</v>
      </c>
      <c r="I889" s="233">
        <f t="shared" si="388"/>
        <v>11.200000000000003</v>
      </c>
      <c r="J889" s="210">
        <f t="shared" si="389"/>
        <v>0.8</v>
      </c>
      <c r="L889" s="233">
        <f t="shared" si="390"/>
        <v>5.9200000000000017</v>
      </c>
      <c r="M889" s="220">
        <f t="shared" si="391"/>
        <v>0.8</v>
      </c>
      <c r="O889" s="873">
        <f t="shared" si="392"/>
        <v>24</v>
      </c>
      <c r="P889" s="873">
        <f t="shared" si="392"/>
        <v>24</v>
      </c>
      <c r="Q889" s="874">
        <f t="shared" si="393"/>
        <v>20.669999999999998</v>
      </c>
      <c r="R889" s="873">
        <f t="shared" si="394"/>
        <v>10</v>
      </c>
      <c r="S889" s="873">
        <f t="shared" si="395"/>
        <v>14</v>
      </c>
      <c r="T889" s="874">
        <f t="shared" si="396"/>
        <v>17.633411486304666</v>
      </c>
      <c r="U889" s="874">
        <f t="shared" si="397"/>
        <v>15.750000000000004</v>
      </c>
      <c r="V889" s="873">
        <f t="shared" si="398"/>
        <v>7</v>
      </c>
      <c r="W889" s="873">
        <f t="shared" si="399"/>
        <v>3</v>
      </c>
      <c r="X889" s="873">
        <f t="shared" si="400"/>
        <v>0</v>
      </c>
      <c r="Y889" s="873">
        <f t="shared" si="401"/>
        <v>1</v>
      </c>
      <c r="Z889" s="873">
        <f t="shared" si="402"/>
        <v>4</v>
      </c>
      <c r="AA889" s="873">
        <f t="shared" si="403"/>
        <v>9</v>
      </c>
      <c r="AB889" s="874">
        <f t="shared" si="404"/>
        <v>13.960871651185032</v>
      </c>
    </row>
    <row r="890" spans="1:28">
      <c r="A890" s="210">
        <f t="shared" si="405"/>
        <v>10</v>
      </c>
      <c r="B890" s="210">
        <f>$F$574</f>
        <v>6</v>
      </c>
      <c r="C890" s="210">
        <f t="shared" si="407"/>
        <v>6</v>
      </c>
      <c r="D890" s="210">
        <f t="shared" si="406"/>
        <v>279</v>
      </c>
      <c r="E890" s="237">
        <f t="shared" si="387"/>
        <v>1</v>
      </c>
      <c r="F890" s="1208">
        <f t="shared" si="384"/>
        <v>0.8</v>
      </c>
      <c r="G890" s="210">
        <f t="shared" si="385"/>
        <v>0.8</v>
      </c>
      <c r="I890" s="233">
        <f t="shared" si="388"/>
        <v>11.200000000000003</v>
      </c>
      <c r="J890" s="210">
        <f t="shared" si="389"/>
        <v>0.8</v>
      </c>
      <c r="L890" s="233">
        <f t="shared" si="390"/>
        <v>5.9200000000000017</v>
      </c>
      <c r="M890" s="220">
        <f t="shared" si="391"/>
        <v>0.8</v>
      </c>
      <c r="O890" s="873">
        <f t="shared" si="392"/>
        <v>24</v>
      </c>
      <c r="P890" s="873">
        <f t="shared" si="392"/>
        <v>24</v>
      </c>
      <c r="Q890" s="874">
        <f t="shared" si="393"/>
        <v>20.669999999999998</v>
      </c>
      <c r="R890" s="873">
        <f t="shared" si="394"/>
        <v>10</v>
      </c>
      <c r="S890" s="873">
        <f t="shared" si="395"/>
        <v>14</v>
      </c>
      <c r="T890" s="874">
        <f t="shared" si="396"/>
        <v>17.633411486304666</v>
      </c>
      <c r="U890" s="874">
        <f t="shared" si="397"/>
        <v>15.750000000000004</v>
      </c>
      <c r="V890" s="873">
        <f t="shared" si="398"/>
        <v>7</v>
      </c>
      <c r="W890" s="873">
        <f t="shared" si="399"/>
        <v>3</v>
      </c>
      <c r="X890" s="873">
        <f t="shared" si="400"/>
        <v>0</v>
      </c>
      <c r="Y890" s="873">
        <f t="shared" si="401"/>
        <v>1</v>
      </c>
      <c r="Z890" s="873">
        <f t="shared" si="402"/>
        <v>4</v>
      </c>
      <c r="AA890" s="873">
        <f t="shared" si="403"/>
        <v>9</v>
      </c>
      <c r="AB890" s="874">
        <f t="shared" si="404"/>
        <v>13.960871651185032</v>
      </c>
    </row>
    <row r="891" spans="1:28">
      <c r="A891" s="210">
        <f t="shared" si="405"/>
        <v>10</v>
      </c>
      <c r="B891" s="210">
        <f>$F$575</f>
        <v>7</v>
      </c>
      <c r="C891" s="210">
        <f t="shared" si="407"/>
        <v>7</v>
      </c>
      <c r="D891" s="210">
        <f t="shared" si="406"/>
        <v>280</v>
      </c>
      <c r="E891" s="237">
        <f t="shared" si="387"/>
        <v>1</v>
      </c>
      <c r="F891" s="1208">
        <f t="shared" si="384"/>
        <v>0.8</v>
      </c>
      <c r="G891" s="210">
        <f t="shared" si="385"/>
        <v>0.8</v>
      </c>
      <c r="I891" s="233">
        <f t="shared" si="388"/>
        <v>11.200000000000003</v>
      </c>
      <c r="J891" s="210">
        <f t="shared" si="389"/>
        <v>0.8</v>
      </c>
      <c r="L891" s="233">
        <f t="shared" si="390"/>
        <v>5.9200000000000017</v>
      </c>
      <c r="M891" s="220">
        <f t="shared" si="391"/>
        <v>0.8</v>
      </c>
      <c r="O891" s="873">
        <f t="shared" si="392"/>
        <v>24</v>
      </c>
      <c r="P891" s="873">
        <f t="shared" si="392"/>
        <v>24</v>
      </c>
      <c r="Q891" s="874">
        <f t="shared" si="393"/>
        <v>20.669999999999998</v>
      </c>
      <c r="R891" s="873">
        <f t="shared" si="394"/>
        <v>10</v>
      </c>
      <c r="S891" s="873">
        <f t="shared" si="395"/>
        <v>14</v>
      </c>
      <c r="T891" s="874">
        <f t="shared" si="396"/>
        <v>17.633411486304666</v>
      </c>
      <c r="U891" s="874">
        <f t="shared" si="397"/>
        <v>15.750000000000004</v>
      </c>
      <c r="V891" s="873">
        <f t="shared" si="398"/>
        <v>7</v>
      </c>
      <c r="W891" s="873">
        <f t="shared" si="399"/>
        <v>3</v>
      </c>
      <c r="X891" s="873">
        <f t="shared" si="400"/>
        <v>0</v>
      </c>
      <c r="Y891" s="873">
        <f t="shared" si="401"/>
        <v>1</v>
      </c>
      <c r="Z891" s="873">
        <f t="shared" si="402"/>
        <v>4</v>
      </c>
      <c r="AA891" s="873">
        <f t="shared" si="403"/>
        <v>9</v>
      </c>
      <c r="AB891" s="874">
        <f t="shared" si="404"/>
        <v>13.960871651185032</v>
      </c>
    </row>
    <row r="892" spans="1:28">
      <c r="A892" s="210">
        <f t="shared" si="405"/>
        <v>10</v>
      </c>
      <c r="B892" s="210">
        <f>$F$569</f>
        <v>1</v>
      </c>
      <c r="C892" s="210">
        <f t="shared" si="407"/>
        <v>8</v>
      </c>
      <c r="D892" s="210">
        <f t="shared" si="406"/>
        <v>281</v>
      </c>
      <c r="E892" s="237">
        <f t="shared" si="387"/>
        <v>1</v>
      </c>
      <c r="F892" s="1208">
        <f t="shared" si="384"/>
        <v>0.8</v>
      </c>
      <c r="G892" s="210">
        <f t="shared" si="385"/>
        <v>0.8</v>
      </c>
      <c r="I892" s="233">
        <f t="shared" si="388"/>
        <v>11.200000000000003</v>
      </c>
      <c r="J892" s="210">
        <f t="shared" si="389"/>
        <v>0.8</v>
      </c>
      <c r="L892" s="233">
        <f t="shared" si="390"/>
        <v>5.9200000000000017</v>
      </c>
      <c r="M892" s="220">
        <f t="shared" si="391"/>
        <v>0.8</v>
      </c>
      <c r="O892" s="873">
        <f t="shared" si="392"/>
        <v>24</v>
      </c>
      <c r="P892" s="873">
        <f t="shared" si="392"/>
        <v>24</v>
      </c>
      <c r="Q892" s="874">
        <f t="shared" si="393"/>
        <v>20.669999999999998</v>
      </c>
      <c r="R892" s="873">
        <f t="shared" si="394"/>
        <v>10</v>
      </c>
      <c r="S892" s="873">
        <f t="shared" si="395"/>
        <v>14</v>
      </c>
      <c r="T892" s="874">
        <f t="shared" si="396"/>
        <v>17.633411486304666</v>
      </c>
      <c r="U892" s="874">
        <f t="shared" si="397"/>
        <v>15.750000000000004</v>
      </c>
      <c r="V892" s="873">
        <f t="shared" si="398"/>
        <v>7</v>
      </c>
      <c r="W892" s="873">
        <f t="shared" si="399"/>
        <v>3</v>
      </c>
      <c r="X892" s="873">
        <f t="shared" si="400"/>
        <v>0</v>
      </c>
      <c r="Y892" s="873">
        <f t="shared" si="401"/>
        <v>1</v>
      </c>
      <c r="Z892" s="873">
        <f t="shared" si="402"/>
        <v>4</v>
      </c>
      <c r="AA892" s="873">
        <f t="shared" si="403"/>
        <v>9</v>
      </c>
      <c r="AB892" s="874">
        <f t="shared" si="404"/>
        <v>13.960871651185032</v>
      </c>
    </row>
    <row r="893" spans="1:28">
      <c r="A893" s="210">
        <f t="shared" si="405"/>
        <v>10</v>
      </c>
      <c r="B893" s="210">
        <f>$F$570</f>
        <v>2</v>
      </c>
      <c r="C893" s="210">
        <f t="shared" si="407"/>
        <v>9</v>
      </c>
      <c r="D893" s="210">
        <f t="shared" si="406"/>
        <v>282</v>
      </c>
      <c r="E893" s="237">
        <f t="shared" si="387"/>
        <v>1</v>
      </c>
      <c r="F893" s="1208">
        <f t="shared" si="384"/>
        <v>0.8</v>
      </c>
      <c r="G893" s="210">
        <f t="shared" si="385"/>
        <v>0.8</v>
      </c>
      <c r="I893" s="233">
        <f t="shared" si="388"/>
        <v>11.200000000000003</v>
      </c>
      <c r="J893" s="210">
        <f t="shared" si="389"/>
        <v>0.8</v>
      </c>
      <c r="L893" s="233">
        <f t="shared" si="390"/>
        <v>5.9200000000000017</v>
      </c>
      <c r="M893" s="220">
        <f t="shared" si="391"/>
        <v>0.8</v>
      </c>
      <c r="O893" s="873">
        <f t="shared" si="392"/>
        <v>24</v>
      </c>
      <c r="P893" s="873">
        <f t="shared" si="392"/>
        <v>24</v>
      </c>
      <c r="Q893" s="874">
        <f t="shared" si="393"/>
        <v>20.669999999999998</v>
      </c>
      <c r="R893" s="873">
        <f t="shared" si="394"/>
        <v>10</v>
      </c>
      <c r="S893" s="873">
        <f t="shared" si="395"/>
        <v>14</v>
      </c>
      <c r="T893" s="874">
        <f t="shared" si="396"/>
        <v>17.633411486304666</v>
      </c>
      <c r="U893" s="874">
        <f t="shared" si="397"/>
        <v>15.750000000000004</v>
      </c>
      <c r="V893" s="873">
        <f t="shared" si="398"/>
        <v>7</v>
      </c>
      <c r="W893" s="873">
        <f t="shared" si="399"/>
        <v>3</v>
      </c>
      <c r="X893" s="873">
        <f t="shared" si="400"/>
        <v>0</v>
      </c>
      <c r="Y893" s="873">
        <f t="shared" si="401"/>
        <v>1</v>
      </c>
      <c r="Z893" s="873">
        <f t="shared" si="402"/>
        <v>4</v>
      </c>
      <c r="AA893" s="873">
        <f t="shared" si="403"/>
        <v>9</v>
      </c>
      <c r="AB893" s="874">
        <f t="shared" si="404"/>
        <v>13.960871651185032</v>
      </c>
    </row>
    <row r="894" spans="1:28">
      <c r="A894" s="210">
        <f t="shared" si="405"/>
        <v>10</v>
      </c>
      <c r="B894" s="210">
        <f>$F$571</f>
        <v>3</v>
      </c>
      <c r="C894" s="210">
        <f t="shared" si="407"/>
        <v>10</v>
      </c>
      <c r="D894" s="210">
        <f t="shared" si="406"/>
        <v>283</v>
      </c>
      <c r="E894" s="237">
        <f t="shared" si="387"/>
        <v>1</v>
      </c>
      <c r="F894" s="1208">
        <f t="shared" si="384"/>
        <v>0.8</v>
      </c>
      <c r="G894" s="210">
        <f t="shared" si="385"/>
        <v>0.8</v>
      </c>
      <c r="I894" s="233">
        <f t="shared" si="388"/>
        <v>11.200000000000003</v>
      </c>
      <c r="J894" s="210">
        <f t="shared" si="389"/>
        <v>0.8</v>
      </c>
      <c r="L894" s="233">
        <f t="shared" si="390"/>
        <v>5.9200000000000017</v>
      </c>
      <c r="M894" s="220">
        <f t="shared" si="391"/>
        <v>0.8</v>
      </c>
      <c r="O894" s="873">
        <f t="shared" si="392"/>
        <v>24</v>
      </c>
      <c r="P894" s="873">
        <f t="shared" si="392"/>
        <v>24</v>
      </c>
      <c r="Q894" s="874">
        <f t="shared" si="393"/>
        <v>20.669999999999998</v>
      </c>
      <c r="R894" s="873">
        <f t="shared" si="394"/>
        <v>10</v>
      </c>
      <c r="S894" s="873">
        <f t="shared" si="395"/>
        <v>14</v>
      </c>
      <c r="T894" s="874">
        <f t="shared" si="396"/>
        <v>17.633411486304666</v>
      </c>
      <c r="U894" s="874">
        <f t="shared" si="397"/>
        <v>15.750000000000004</v>
      </c>
      <c r="V894" s="873">
        <f t="shared" si="398"/>
        <v>7</v>
      </c>
      <c r="W894" s="873">
        <f t="shared" si="399"/>
        <v>3</v>
      </c>
      <c r="X894" s="873">
        <f t="shared" si="400"/>
        <v>0</v>
      </c>
      <c r="Y894" s="873">
        <f t="shared" si="401"/>
        <v>1</v>
      </c>
      <c r="Z894" s="873">
        <f t="shared" si="402"/>
        <v>4</v>
      </c>
      <c r="AA894" s="873">
        <f t="shared" si="403"/>
        <v>9</v>
      </c>
      <c r="AB894" s="874">
        <f t="shared" si="404"/>
        <v>13.960871651185032</v>
      </c>
    </row>
    <row r="895" spans="1:28">
      <c r="A895" s="210">
        <f t="shared" si="405"/>
        <v>10</v>
      </c>
      <c r="B895" s="210">
        <f>$F$572</f>
        <v>4</v>
      </c>
      <c r="C895" s="210">
        <f t="shared" si="407"/>
        <v>11</v>
      </c>
      <c r="D895" s="210">
        <f t="shared" si="406"/>
        <v>284</v>
      </c>
      <c r="E895" s="237">
        <f t="shared" si="387"/>
        <v>1</v>
      </c>
      <c r="F895" s="1208">
        <f t="shared" si="384"/>
        <v>0.8</v>
      </c>
      <c r="G895" s="210">
        <f t="shared" si="385"/>
        <v>0.8</v>
      </c>
      <c r="I895" s="233">
        <f t="shared" si="388"/>
        <v>11.200000000000003</v>
      </c>
      <c r="J895" s="210">
        <f t="shared" si="389"/>
        <v>0.8</v>
      </c>
      <c r="L895" s="233">
        <f t="shared" si="390"/>
        <v>5.9200000000000017</v>
      </c>
      <c r="M895" s="220">
        <f t="shared" si="391"/>
        <v>0.8</v>
      </c>
      <c r="O895" s="873">
        <f t="shared" si="392"/>
        <v>24</v>
      </c>
      <c r="P895" s="873">
        <f t="shared" si="392"/>
        <v>24</v>
      </c>
      <c r="Q895" s="874">
        <f t="shared" si="393"/>
        <v>20.669999999999998</v>
      </c>
      <c r="R895" s="873">
        <f t="shared" si="394"/>
        <v>10</v>
      </c>
      <c r="S895" s="873">
        <f t="shared" si="395"/>
        <v>14</v>
      </c>
      <c r="T895" s="874">
        <f t="shared" si="396"/>
        <v>17.633411486304666</v>
      </c>
      <c r="U895" s="874">
        <f t="shared" si="397"/>
        <v>15.750000000000004</v>
      </c>
      <c r="V895" s="873">
        <f t="shared" si="398"/>
        <v>7</v>
      </c>
      <c r="W895" s="873">
        <f t="shared" si="399"/>
        <v>3</v>
      </c>
      <c r="X895" s="873">
        <f t="shared" si="400"/>
        <v>0</v>
      </c>
      <c r="Y895" s="873">
        <f t="shared" si="401"/>
        <v>1</v>
      </c>
      <c r="Z895" s="873">
        <f t="shared" si="402"/>
        <v>4</v>
      </c>
      <c r="AA895" s="873">
        <f t="shared" si="403"/>
        <v>9</v>
      </c>
      <c r="AB895" s="874">
        <f t="shared" si="404"/>
        <v>13.960871651185032</v>
      </c>
    </row>
    <row r="896" spans="1:28">
      <c r="A896" s="210">
        <f t="shared" si="405"/>
        <v>10</v>
      </c>
      <c r="B896" s="210">
        <f>$F$573</f>
        <v>5</v>
      </c>
      <c r="C896" s="210">
        <f t="shared" si="407"/>
        <v>12</v>
      </c>
      <c r="D896" s="210">
        <f t="shared" si="406"/>
        <v>285</v>
      </c>
      <c r="E896" s="237">
        <f t="shared" si="387"/>
        <v>1</v>
      </c>
      <c r="F896" s="1208">
        <f t="shared" si="384"/>
        <v>0.8</v>
      </c>
      <c r="G896" s="210">
        <f t="shared" si="385"/>
        <v>0.8</v>
      </c>
      <c r="I896" s="233">
        <f t="shared" si="388"/>
        <v>11.200000000000003</v>
      </c>
      <c r="J896" s="210">
        <f t="shared" si="389"/>
        <v>0.8</v>
      </c>
      <c r="L896" s="233">
        <f t="shared" si="390"/>
        <v>5.9200000000000017</v>
      </c>
      <c r="M896" s="220">
        <f t="shared" si="391"/>
        <v>0.8</v>
      </c>
      <c r="O896" s="873">
        <f t="shared" si="392"/>
        <v>24</v>
      </c>
      <c r="P896" s="873">
        <f t="shared" si="392"/>
        <v>24</v>
      </c>
      <c r="Q896" s="874">
        <f t="shared" si="393"/>
        <v>20.669999999999998</v>
      </c>
      <c r="R896" s="873">
        <f t="shared" si="394"/>
        <v>10</v>
      </c>
      <c r="S896" s="873">
        <f t="shared" si="395"/>
        <v>14</v>
      </c>
      <c r="T896" s="874">
        <f t="shared" si="396"/>
        <v>17.633411486304666</v>
      </c>
      <c r="U896" s="874">
        <f t="shared" si="397"/>
        <v>15.750000000000004</v>
      </c>
      <c r="V896" s="873">
        <f t="shared" si="398"/>
        <v>7</v>
      </c>
      <c r="W896" s="873">
        <f t="shared" si="399"/>
        <v>3</v>
      </c>
      <c r="X896" s="873">
        <f t="shared" si="400"/>
        <v>0</v>
      </c>
      <c r="Y896" s="873">
        <f t="shared" si="401"/>
        <v>1</v>
      </c>
      <c r="Z896" s="873">
        <f t="shared" si="402"/>
        <v>4</v>
      </c>
      <c r="AA896" s="873">
        <f t="shared" si="403"/>
        <v>9</v>
      </c>
      <c r="AB896" s="874">
        <f t="shared" si="404"/>
        <v>13.960871651185032</v>
      </c>
    </row>
    <row r="897" spans="1:28">
      <c r="A897" s="210">
        <f t="shared" si="405"/>
        <v>10</v>
      </c>
      <c r="B897" s="210">
        <f>$F$574</f>
        <v>6</v>
      </c>
      <c r="C897" s="210">
        <f t="shared" si="407"/>
        <v>13</v>
      </c>
      <c r="D897" s="210">
        <f t="shared" si="406"/>
        <v>286</v>
      </c>
      <c r="E897" s="237">
        <f t="shared" si="387"/>
        <v>1</v>
      </c>
      <c r="F897" s="1208">
        <f t="shared" si="384"/>
        <v>0.8</v>
      </c>
      <c r="G897" s="210">
        <f t="shared" si="385"/>
        <v>0.8</v>
      </c>
      <c r="I897" s="233">
        <f t="shared" si="388"/>
        <v>11.200000000000003</v>
      </c>
      <c r="J897" s="210">
        <f t="shared" si="389"/>
        <v>0.8</v>
      </c>
      <c r="L897" s="233">
        <f t="shared" si="390"/>
        <v>5.9200000000000017</v>
      </c>
      <c r="M897" s="220">
        <f t="shared" si="391"/>
        <v>0.8</v>
      </c>
      <c r="O897" s="873">
        <f t="shared" si="392"/>
        <v>24</v>
      </c>
      <c r="P897" s="873">
        <f t="shared" si="392"/>
        <v>24</v>
      </c>
      <c r="Q897" s="874">
        <f t="shared" si="393"/>
        <v>20.669999999999998</v>
      </c>
      <c r="R897" s="873">
        <f t="shared" si="394"/>
        <v>10</v>
      </c>
      <c r="S897" s="873">
        <f t="shared" si="395"/>
        <v>14</v>
      </c>
      <c r="T897" s="874">
        <f t="shared" si="396"/>
        <v>17.633411486304666</v>
      </c>
      <c r="U897" s="874">
        <f t="shared" si="397"/>
        <v>15.750000000000004</v>
      </c>
      <c r="V897" s="873">
        <f t="shared" si="398"/>
        <v>7</v>
      </c>
      <c r="W897" s="873">
        <f t="shared" si="399"/>
        <v>3</v>
      </c>
      <c r="X897" s="873">
        <f t="shared" si="400"/>
        <v>0</v>
      </c>
      <c r="Y897" s="873">
        <f t="shared" si="401"/>
        <v>1</v>
      </c>
      <c r="Z897" s="873">
        <f t="shared" si="402"/>
        <v>4</v>
      </c>
      <c r="AA897" s="873">
        <f t="shared" si="403"/>
        <v>9</v>
      </c>
      <c r="AB897" s="874">
        <f t="shared" si="404"/>
        <v>13.960871651185032</v>
      </c>
    </row>
    <row r="898" spans="1:28">
      <c r="A898" s="210">
        <f t="shared" si="405"/>
        <v>10</v>
      </c>
      <c r="B898" s="210">
        <f>$F$575</f>
        <v>7</v>
      </c>
      <c r="C898" s="210">
        <f t="shared" si="407"/>
        <v>14</v>
      </c>
      <c r="D898" s="210">
        <f t="shared" si="406"/>
        <v>287</v>
      </c>
      <c r="E898" s="237">
        <f t="shared" si="387"/>
        <v>1</v>
      </c>
      <c r="F898" s="1208">
        <f t="shared" si="384"/>
        <v>0.8</v>
      </c>
      <c r="G898" s="210">
        <f t="shared" si="385"/>
        <v>0.8</v>
      </c>
      <c r="I898" s="233">
        <f t="shared" si="388"/>
        <v>11.200000000000003</v>
      </c>
      <c r="J898" s="210">
        <f t="shared" si="389"/>
        <v>0.8</v>
      </c>
      <c r="L898" s="233">
        <f t="shared" si="390"/>
        <v>5.9200000000000017</v>
      </c>
      <c r="M898" s="220">
        <f t="shared" si="391"/>
        <v>0.8</v>
      </c>
      <c r="O898" s="873">
        <f t="shared" si="392"/>
        <v>24</v>
      </c>
      <c r="P898" s="873">
        <f t="shared" si="392"/>
        <v>24</v>
      </c>
      <c r="Q898" s="874">
        <f t="shared" si="393"/>
        <v>20.669999999999998</v>
      </c>
      <c r="R898" s="873">
        <f t="shared" si="394"/>
        <v>10</v>
      </c>
      <c r="S898" s="873">
        <f t="shared" si="395"/>
        <v>14</v>
      </c>
      <c r="T898" s="874">
        <f t="shared" si="396"/>
        <v>17.633411486304666</v>
      </c>
      <c r="U898" s="874">
        <f t="shared" si="397"/>
        <v>15.750000000000004</v>
      </c>
      <c r="V898" s="873">
        <f t="shared" si="398"/>
        <v>7</v>
      </c>
      <c r="W898" s="873">
        <f t="shared" si="399"/>
        <v>3</v>
      </c>
      <c r="X898" s="873">
        <f t="shared" si="400"/>
        <v>0</v>
      </c>
      <c r="Y898" s="873">
        <f t="shared" si="401"/>
        <v>1</v>
      </c>
      <c r="Z898" s="873">
        <f t="shared" si="402"/>
        <v>4</v>
      </c>
      <c r="AA898" s="873">
        <f t="shared" si="403"/>
        <v>9</v>
      </c>
      <c r="AB898" s="874">
        <f t="shared" si="404"/>
        <v>13.960871651185032</v>
      </c>
    </row>
    <row r="899" spans="1:28">
      <c r="A899" s="210">
        <f t="shared" si="405"/>
        <v>10</v>
      </c>
      <c r="B899" s="210">
        <f>$F$569</f>
        <v>1</v>
      </c>
      <c r="C899" s="210">
        <f t="shared" si="407"/>
        <v>15</v>
      </c>
      <c r="D899" s="210">
        <f t="shared" si="406"/>
        <v>288</v>
      </c>
      <c r="E899" s="237">
        <f t="shared" si="387"/>
        <v>1</v>
      </c>
      <c r="F899" s="1208">
        <f t="shared" si="384"/>
        <v>0.8</v>
      </c>
      <c r="G899" s="210">
        <f t="shared" si="385"/>
        <v>0.8</v>
      </c>
      <c r="I899" s="233">
        <f t="shared" si="388"/>
        <v>11.200000000000003</v>
      </c>
      <c r="J899" s="210">
        <f t="shared" si="389"/>
        <v>0.8</v>
      </c>
      <c r="L899" s="233">
        <f t="shared" si="390"/>
        <v>5.9200000000000017</v>
      </c>
      <c r="M899" s="220">
        <f t="shared" si="391"/>
        <v>0.8</v>
      </c>
      <c r="O899" s="873">
        <f t="shared" si="392"/>
        <v>24</v>
      </c>
      <c r="P899" s="873">
        <f t="shared" si="392"/>
        <v>24</v>
      </c>
      <c r="Q899" s="874">
        <f t="shared" si="393"/>
        <v>20.669999999999998</v>
      </c>
      <c r="R899" s="873">
        <f t="shared" si="394"/>
        <v>10</v>
      </c>
      <c r="S899" s="873">
        <f t="shared" si="395"/>
        <v>14</v>
      </c>
      <c r="T899" s="874">
        <f t="shared" si="396"/>
        <v>17.633411486304666</v>
      </c>
      <c r="U899" s="874">
        <f t="shared" si="397"/>
        <v>15.750000000000004</v>
      </c>
      <c r="V899" s="873">
        <f t="shared" si="398"/>
        <v>7</v>
      </c>
      <c r="W899" s="873">
        <f t="shared" si="399"/>
        <v>3</v>
      </c>
      <c r="X899" s="873">
        <f t="shared" si="400"/>
        <v>0</v>
      </c>
      <c r="Y899" s="873">
        <f t="shared" si="401"/>
        <v>1</v>
      </c>
      <c r="Z899" s="873">
        <f t="shared" si="402"/>
        <v>4</v>
      </c>
      <c r="AA899" s="873">
        <f t="shared" si="403"/>
        <v>9</v>
      </c>
      <c r="AB899" s="874">
        <f t="shared" si="404"/>
        <v>13.960871651185032</v>
      </c>
    </row>
    <row r="900" spans="1:28">
      <c r="A900" s="210">
        <f t="shared" si="405"/>
        <v>10</v>
      </c>
      <c r="B900" s="210">
        <f>$F$570</f>
        <v>2</v>
      </c>
      <c r="C900" s="210">
        <f t="shared" si="407"/>
        <v>16</v>
      </c>
      <c r="D900" s="210">
        <f t="shared" si="406"/>
        <v>289</v>
      </c>
      <c r="E900" s="237">
        <f t="shared" si="387"/>
        <v>1</v>
      </c>
      <c r="F900" s="1208">
        <f t="shared" si="384"/>
        <v>0.8</v>
      </c>
      <c r="G900" s="210">
        <f t="shared" si="385"/>
        <v>0.8</v>
      </c>
      <c r="I900" s="233">
        <f t="shared" si="388"/>
        <v>11.200000000000003</v>
      </c>
      <c r="J900" s="210">
        <f t="shared" si="389"/>
        <v>0.8</v>
      </c>
      <c r="L900" s="233">
        <f t="shared" si="390"/>
        <v>5.9200000000000017</v>
      </c>
      <c r="M900" s="220">
        <f t="shared" si="391"/>
        <v>0.8</v>
      </c>
      <c r="O900" s="873">
        <f t="shared" si="392"/>
        <v>24</v>
      </c>
      <c r="P900" s="873">
        <f t="shared" si="392"/>
        <v>24</v>
      </c>
      <c r="Q900" s="874">
        <f t="shared" si="393"/>
        <v>20.669999999999998</v>
      </c>
      <c r="R900" s="873">
        <f t="shared" si="394"/>
        <v>10</v>
      </c>
      <c r="S900" s="873">
        <f t="shared" si="395"/>
        <v>14</v>
      </c>
      <c r="T900" s="874">
        <f t="shared" si="396"/>
        <v>17.633411486304666</v>
      </c>
      <c r="U900" s="874">
        <f t="shared" si="397"/>
        <v>15.750000000000004</v>
      </c>
      <c r="V900" s="873">
        <f t="shared" si="398"/>
        <v>7</v>
      </c>
      <c r="W900" s="873">
        <f t="shared" si="399"/>
        <v>3</v>
      </c>
      <c r="X900" s="873">
        <f t="shared" si="400"/>
        <v>0</v>
      </c>
      <c r="Y900" s="873">
        <f t="shared" si="401"/>
        <v>1</v>
      </c>
      <c r="Z900" s="873">
        <f t="shared" si="402"/>
        <v>4</v>
      </c>
      <c r="AA900" s="873">
        <f t="shared" si="403"/>
        <v>9</v>
      </c>
      <c r="AB900" s="874">
        <f t="shared" si="404"/>
        <v>13.960871651185032</v>
      </c>
    </row>
    <row r="901" spans="1:28">
      <c r="A901" s="210">
        <f t="shared" si="405"/>
        <v>10</v>
      </c>
      <c r="B901" s="210">
        <f>$F$571</f>
        <v>3</v>
      </c>
      <c r="C901" s="210">
        <f t="shared" si="407"/>
        <v>17</v>
      </c>
      <c r="D901" s="210">
        <f t="shared" si="406"/>
        <v>290</v>
      </c>
      <c r="E901" s="237">
        <f t="shared" si="387"/>
        <v>1</v>
      </c>
      <c r="F901" s="1208">
        <f t="shared" si="384"/>
        <v>0.8</v>
      </c>
      <c r="G901" s="210">
        <f t="shared" si="385"/>
        <v>0.8</v>
      </c>
      <c r="I901" s="233">
        <f t="shared" si="388"/>
        <v>11.200000000000003</v>
      </c>
      <c r="J901" s="210">
        <f t="shared" si="389"/>
        <v>0.8</v>
      </c>
      <c r="L901" s="233">
        <f t="shared" si="390"/>
        <v>5.9200000000000017</v>
      </c>
      <c r="M901" s="220">
        <f t="shared" si="391"/>
        <v>0.8</v>
      </c>
      <c r="O901" s="873">
        <f t="shared" ref="O901:P932" si="408">$E901*$F$62*IF($G901=0,0,1)</f>
        <v>24</v>
      </c>
      <c r="P901" s="873">
        <f t="shared" si="408"/>
        <v>24</v>
      </c>
      <c r="Q901" s="874">
        <f t="shared" si="393"/>
        <v>20.669999999999998</v>
      </c>
      <c r="R901" s="873">
        <f t="shared" si="394"/>
        <v>10</v>
      </c>
      <c r="S901" s="873">
        <f t="shared" si="395"/>
        <v>14</v>
      </c>
      <c r="T901" s="874">
        <f t="shared" si="396"/>
        <v>17.633411486304666</v>
      </c>
      <c r="U901" s="874">
        <f t="shared" si="397"/>
        <v>15.750000000000004</v>
      </c>
      <c r="V901" s="873">
        <f t="shared" si="398"/>
        <v>7</v>
      </c>
      <c r="W901" s="873">
        <f t="shared" si="399"/>
        <v>3</v>
      </c>
      <c r="X901" s="873">
        <f t="shared" si="400"/>
        <v>0</v>
      </c>
      <c r="Y901" s="873">
        <f t="shared" si="401"/>
        <v>1</v>
      </c>
      <c r="Z901" s="873">
        <f t="shared" si="402"/>
        <v>4</v>
      </c>
      <c r="AA901" s="873">
        <f t="shared" si="403"/>
        <v>9</v>
      </c>
      <c r="AB901" s="874">
        <f t="shared" si="404"/>
        <v>13.960871651185032</v>
      </c>
    </row>
    <row r="902" spans="1:28">
      <c r="A902" s="210">
        <f t="shared" si="405"/>
        <v>10</v>
      </c>
      <c r="B902" s="210">
        <f>$F$572</f>
        <v>4</v>
      </c>
      <c r="C902" s="210">
        <f t="shared" si="407"/>
        <v>18</v>
      </c>
      <c r="D902" s="210">
        <f t="shared" si="406"/>
        <v>291</v>
      </c>
      <c r="E902" s="237">
        <f t="shared" si="387"/>
        <v>1</v>
      </c>
      <c r="F902" s="1208">
        <f t="shared" si="384"/>
        <v>0.8</v>
      </c>
      <c r="G902" s="210">
        <f t="shared" si="385"/>
        <v>0.8</v>
      </c>
      <c r="I902" s="233">
        <f t="shared" si="388"/>
        <v>11.200000000000003</v>
      </c>
      <c r="J902" s="210">
        <f t="shared" si="389"/>
        <v>0.8</v>
      </c>
      <c r="L902" s="233">
        <f t="shared" si="390"/>
        <v>5.9200000000000017</v>
      </c>
      <c r="M902" s="220">
        <f t="shared" si="391"/>
        <v>0.8</v>
      </c>
      <c r="O902" s="873">
        <f t="shared" si="408"/>
        <v>24</v>
      </c>
      <c r="P902" s="873">
        <f t="shared" si="408"/>
        <v>24</v>
      </c>
      <c r="Q902" s="874">
        <f t="shared" si="393"/>
        <v>20.669999999999998</v>
      </c>
      <c r="R902" s="873">
        <f t="shared" si="394"/>
        <v>10</v>
      </c>
      <c r="S902" s="873">
        <f t="shared" si="395"/>
        <v>14</v>
      </c>
      <c r="T902" s="874">
        <f t="shared" si="396"/>
        <v>17.633411486304666</v>
      </c>
      <c r="U902" s="874">
        <f t="shared" si="397"/>
        <v>15.750000000000004</v>
      </c>
      <c r="V902" s="873">
        <f t="shared" si="398"/>
        <v>7</v>
      </c>
      <c r="W902" s="873">
        <f t="shared" si="399"/>
        <v>3</v>
      </c>
      <c r="X902" s="873">
        <f t="shared" si="400"/>
        <v>0</v>
      </c>
      <c r="Y902" s="873">
        <f t="shared" si="401"/>
        <v>1</v>
      </c>
      <c r="Z902" s="873">
        <f t="shared" si="402"/>
        <v>4</v>
      </c>
      <c r="AA902" s="873">
        <f t="shared" si="403"/>
        <v>9</v>
      </c>
      <c r="AB902" s="874">
        <f t="shared" si="404"/>
        <v>13.960871651185032</v>
      </c>
    </row>
    <row r="903" spans="1:28">
      <c r="A903" s="210">
        <f t="shared" si="405"/>
        <v>10</v>
      </c>
      <c r="B903" s="210">
        <f>$F$573</f>
        <v>5</v>
      </c>
      <c r="C903" s="210">
        <f t="shared" si="407"/>
        <v>19</v>
      </c>
      <c r="D903" s="210">
        <f t="shared" si="406"/>
        <v>292</v>
      </c>
      <c r="E903" s="237">
        <f t="shared" si="387"/>
        <v>1</v>
      </c>
      <c r="F903" s="1208">
        <f t="shared" si="384"/>
        <v>0.8</v>
      </c>
      <c r="G903" s="210">
        <f t="shared" si="385"/>
        <v>0.8</v>
      </c>
      <c r="I903" s="233">
        <f t="shared" si="388"/>
        <v>11.200000000000003</v>
      </c>
      <c r="J903" s="210">
        <f t="shared" si="389"/>
        <v>0.8</v>
      </c>
      <c r="L903" s="233">
        <f t="shared" si="390"/>
        <v>5.9200000000000017</v>
      </c>
      <c r="M903" s="220">
        <f t="shared" si="391"/>
        <v>0.8</v>
      </c>
      <c r="O903" s="873">
        <f t="shared" si="408"/>
        <v>24</v>
      </c>
      <c r="P903" s="873">
        <f t="shared" si="408"/>
        <v>24</v>
      </c>
      <c r="Q903" s="874">
        <f t="shared" si="393"/>
        <v>20.669999999999998</v>
      </c>
      <c r="R903" s="873">
        <f t="shared" si="394"/>
        <v>10</v>
      </c>
      <c r="S903" s="873">
        <f t="shared" si="395"/>
        <v>14</v>
      </c>
      <c r="T903" s="874">
        <f t="shared" si="396"/>
        <v>17.633411486304666</v>
      </c>
      <c r="U903" s="874">
        <f t="shared" si="397"/>
        <v>15.750000000000004</v>
      </c>
      <c r="V903" s="873">
        <f t="shared" si="398"/>
        <v>7</v>
      </c>
      <c r="W903" s="873">
        <f t="shared" si="399"/>
        <v>3</v>
      </c>
      <c r="X903" s="873">
        <f t="shared" si="400"/>
        <v>0</v>
      </c>
      <c r="Y903" s="873">
        <f t="shared" si="401"/>
        <v>1</v>
      </c>
      <c r="Z903" s="873">
        <f t="shared" si="402"/>
        <v>4</v>
      </c>
      <c r="AA903" s="873">
        <f t="shared" si="403"/>
        <v>9</v>
      </c>
      <c r="AB903" s="874">
        <f t="shared" si="404"/>
        <v>13.960871651185032</v>
      </c>
    </row>
    <row r="904" spans="1:28">
      <c r="A904" s="210">
        <f t="shared" si="405"/>
        <v>10</v>
      </c>
      <c r="B904" s="210">
        <f>$F$574</f>
        <v>6</v>
      </c>
      <c r="C904" s="210">
        <f t="shared" si="407"/>
        <v>20</v>
      </c>
      <c r="D904" s="210">
        <f t="shared" si="406"/>
        <v>293</v>
      </c>
      <c r="E904" s="237">
        <f t="shared" si="387"/>
        <v>1</v>
      </c>
      <c r="F904" s="1208">
        <f t="shared" si="384"/>
        <v>0.8</v>
      </c>
      <c r="G904" s="210">
        <f t="shared" si="385"/>
        <v>0.8</v>
      </c>
      <c r="I904" s="233">
        <f t="shared" si="388"/>
        <v>11.200000000000003</v>
      </c>
      <c r="J904" s="210">
        <f t="shared" si="389"/>
        <v>0.8</v>
      </c>
      <c r="L904" s="233">
        <f t="shared" si="390"/>
        <v>5.9200000000000017</v>
      </c>
      <c r="M904" s="220">
        <f t="shared" si="391"/>
        <v>0.8</v>
      </c>
      <c r="O904" s="873">
        <f t="shared" si="408"/>
        <v>24</v>
      </c>
      <c r="P904" s="873">
        <f t="shared" si="408"/>
        <v>24</v>
      </c>
      <c r="Q904" s="874">
        <f t="shared" si="393"/>
        <v>20.669999999999998</v>
      </c>
      <c r="R904" s="873">
        <f t="shared" si="394"/>
        <v>10</v>
      </c>
      <c r="S904" s="873">
        <f t="shared" si="395"/>
        <v>14</v>
      </c>
      <c r="T904" s="874">
        <f t="shared" si="396"/>
        <v>17.633411486304666</v>
      </c>
      <c r="U904" s="874">
        <f t="shared" si="397"/>
        <v>15.750000000000004</v>
      </c>
      <c r="V904" s="873">
        <f t="shared" si="398"/>
        <v>7</v>
      </c>
      <c r="W904" s="873">
        <f t="shared" si="399"/>
        <v>3</v>
      </c>
      <c r="X904" s="873">
        <f t="shared" si="400"/>
        <v>0</v>
      </c>
      <c r="Y904" s="873">
        <f t="shared" si="401"/>
        <v>1</v>
      </c>
      <c r="Z904" s="873">
        <f t="shared" si="402"/>
        <v>4</v>
      </c>
      <c r="AA904" s="873">
        <f t="shared" si="403"/>
        <v>9</v>
      </c>
      <c r="AB904" s="874">
        <f t="shared" si="404"/>
        <v>13.960871651185032</v>
      </c>
    </row>
    <row r="905" spans="1:28">
      <c r="A905" s="210">
        <f t="shared" si="405"/>
        <v>10</v>
      </c>
      <c r="B905" s="210">
        <f>$F$575</f>
        <v>7</v>
      </c>
      <c r="C905" s="210">
        <f t="shared" si="407"/>
        <v>21</v>
      </c>
      <c r="D905" s="210">
        <f t="shared" si="406"/>
        <v>294</v>
      </c>
      <c r="E905" s="237">
        <f t="shared" si="387"/>
        <v>1</v>
      </c>
      <c r="F905" s="1208">
        <f t="shared" si="384"/>
        <v>0.8</v>
      </c>
      <c r="G905" s="210">
        <f t="shared" si="385"/>
        <v>0.8</v>
      </c>
      <c r="I905" s="233">
        <f t="shared" si="388"/>
        <v>11.200000000000003</v>
      </c>
      <c r="J905" s="210">
        <f t="shared" si="389"/>
        <v>0.8</v>
      </c>
      <c r="L905" s="233">
        <f t="shared" si="390"/>
        <v>5.9200000000000017</v>
      </c>
      <c r="M905" s="220">
        <f t="shared" si="391"/>
        <v>0.8</v>
      </c>
      <c r="O905" s="873">
        <f t="shared" si="408"/>
        <v>24</v>
      </c>
      <c r="P905" s="873">
        <f t="shared" si="408"/>
        <v>24</v>
      </c>
      <c r="Q905" s="874">
        <f t="shared" si="393"/>
        <v>20.669999999999998</v>
      </c>
      <c r="R905" s="873">
        <f t="shared" si="394"/>
        <v>10</v>
      </c>
      <c r="S905" s="873">
        <f t="shared" si="395"/>
        <v>14</v>
      </c>
      <c r="T905" s="874">
        <f t="shared" si="396"/>
        <v>17.633411486304666</v>
      </c>
      <c r="U905" s="874">
        <f t="shared" si="397"/>
        <v>15.750000000000004</v>
      </c>
      <c r="V905" s="873">
        <f t="shared" si="398"/>
        <v>7</v>
      </c>
      <c r="W905" s="873">
        <f t="shared" si="399"/>
        <v>3</v>
      </c>
      <c r="X905" s="873">
        <f t="shared" si="400"/>
        <v>0</v>
      </c>
      <c r="Y905" s="873">
        <f t="shared" si="401"/>
        <v>1</v>
      </c>
      <c r="Z905" s="873">
        <f t="shared" si="402"/>
        <v>4</v>
      </c>
      <c r="AA905" s="873">
        <f t="shared" si="403"/>
        <v>9</v>
      </c>
      <c r="AB905" s="874">
        <f t="shared" si="404"/>
        <v>13.960871651185032</v>
      </c>
    </row>
    <row r="906" spans="1:28">
      <c r="A906" s="210">
        <f t="shared" si="405"/>
        <v>10</v>
      </c>
      <c r="B906" s="210">
        <f>$F$569</f>
        <v>1</v>
      </c>
      <c r="C906" s="210">
        <f t="shared" si="407"/>
        <v>22</v>
      </c>
      <c r="D906" s="210">
        <f t="shared" si="406"/>
        <v>295</v>
      </c>
      <c r="E906" s="237">
        <f t="shared" si="387"/>
        <v>1</v>
      </c>
      <c r="F906" s="1208">
        <f t="shared" si="384"/>
        <v>0.8</v>
      </c>
      <c r="G906" s="210">
        <f t="shared" si="385"/>
        <v>0.8</v>
      </c>
      <c r="I906" s="233">
        <f t="shared" si="388"/>
        <v>11.200000000000003</v>
      </c>
      <c r="J906" s="210">
        <f t="shared" si="389"/>
        <v>0.8</v>
      </c>
      <c r="L906" s="233">
        <f t="shared" si="390"/>
        <v>5.9200000000000017</v>
      </c>
      <c r="M906" s="220">
        <f t="shared" si="391"/>
        <v>0.8</v>
      </c>
      <c r="O906" s="873">
        <f t="shared" si="408"/>
        <v>24</v>
      </c>
      <c r="P906" s="873">
        <f t="shared" si="408"/>
        <v>24</v>
      </c>
      <c r="Q906" s="874">
        <f t="shared" si="393"/>
        <v>20.669999999999998</v>
      </c>
      <c r="R906" s="873">
        <f t="shared" si="394"/>
        <v>10</v>
      </c>
      <c r="S906" s="873">
        <f t="shared" si="395"/>
        <v>14</v>
      </c>
      <c r="T906" s="874">
        <f t="shared" si="396"/>
        <v>17.633411486304666</v>
      </c>
      <c r="U906" s="874">
        <f t="shared" si="397"/>
        <v>15.750000000000004</v>
      </c>
      <c r="V906" s="873">
        <f t="shared" si="398"/>
        <v>7</v>
      </c>
      <c r="W906" s="873">
        <f t="shared" si="399"/>
        <v>3</v>
      </c>
      <c r="X906" s="873">
        <f t="shared" si="400"/>
        <v>0</v>
      </c>
      <c r="Y906" s="873">
        <f t="shared" si="401"/>
        <v>1</v>
      </c>
      <c r="Z906" s="873">
        <f t="shared" si="402"/>
        <v>4</v>
      </c>
      <c r="AA906" s="873">
        <f t="shared" si="403"/>
        <v>9</v>
      </c>
      <c r="AB906" s="874">
        <f t="shared" si="404"/>
        <v>13.960871651185032</v>
      </c>
    </row>
    <row r="907" spans="1:28">
      <c r="A907" s="210">
        <f t="shared" si="405"/>
        <v>10</v>
      </c>
      <c r="B907" s="210">
        <f>$F$570</f>
        <v>2</v>
      </c>
      <c r="C907" s="210">
        <f t="shared" si="407"/>
        <v>23</v>
      </c>
      <c r="D907" s="210">
        <f t="shared" si="406"/>
        <v>296</v>
      </c>
      <c r="E907" s="237">
        <f t="shared" si="387"/>
        <v>1</v>
      </c>
      <c r="F907" s="1208">
        <f t="shared" si="384"/>
        <v>0.8</v>
      </c>
      <c r="G907" s="210">
        <f t="shared" si="385"/>
        <v>0.8</v>
      </c>
      <c r="I907" s="233">
        <f t="shared" si="388"/>
        <v>11.200000000000003</v>
      </c>
      <c r="J907" s="210">
        <f t="shared" si="389"/>
        <v>0.8</v>
      </c>
      <c r="L907" s="233">
        <f t="shared" si="390"/>
        <v>5.9200000000000017</v>
      </c>
      <c r="M907" s="220">
        <f t="shared" si="391"/>
        <v>0.8</v>
      </c>
      <c r="O907" s="873">
        <f t="shared" si="408"/>
        <v>24</v>
      </c>
      <c r="P907" s="873">
        <f t="shared" si="408"/>
        <v>24</v>
      </c>
      <c r="Q907" s="874">
        <f t="shared" si="393"/>
        <v>20.669999999999998</v>
      </c>
      <c r="R907" s="873">
        <f t="shared" si="394"/>
        <v>10</v>
      </c>
      <c r="S907" s="873">
        <f t="shared" si="395"/>
        <v>14</v>
      </c>
      <c r="T907" s="874">
        <f t="shared" si="396"/>
        <v>17.633411486304666</v>
      </c>
      <c r="U907" s="874">
        <f t="shared" si="397"/>
        <v>15.750000000000004</v>
      </c>
      <c r="V907" s="873">
        <f t="shared" si="398"/>
        <v>7</v>
      </c>
      <c r="W907" s="873">
        <f t="shared" si="399"/>
        <v>3</v>
      </c>
      <c r="X907" s="873">
        <f t="shared" si="400"/>
        <v>0</v>
      </c>
      <c r="Y907" s="873">
        <f t="shared" si="401"/>
        <v>1</v>
      </c>
      <c r="Z907" s="873">
        <f t="shared" si="402"/>
        <v>4</v>
      </c>
      <c r="AA907" s="873">
        <f t="shared" si="403"/>
        <v>9</v>
      </c>
      <c r="AB907" s="874">
        <f t="shared" si="404"/>
        <v>13.960871651185032</v>
      </c>
    </row>
    <row r="908" spans="1:28">
      <c r="A908" s="210">
        <f t="shared" si="405"/>
        <v>10</v>
      </c>
      <c r="B908" s="210">
        <f>$F$571</f>
        <v>3</v>
      </c>
      <c r="C908" s="210">
        <f t="shared" si="407"/>
        <v>24</v>
      </c>
      <c r="D908" s="210">
        <f t="shared" si="406"/>
        <v>297</v>
      </c>
      <c r="E908" s="237">
        <f t="shared" si="387"/>
        <v>1</v>
      </c>
      <c r="F908" s="1208">
        <f t="shared" si="384"/>
        <v>0.8</v>
      </c>
      <c r="G908" s="210">
        <f t="shared" si="385"/>
        <v>0.8</v>
      </c>
      <c r="I908" s="233">
        <f t="shared" si="388"/>
        <v>11.200000000000003</v>
      </c>
      <c r="J908" s="210">
        <f t="shared" si="389"/>
        <v>0.8</v>
      </c>
      <c r="L908" s="233">
        <f t="shared" si="390"/>
        <v>5.9200000000000017</v>
      </c>
      <c r="M908" s="220">
        <f t="shared" si="391"/>
        <v>0.8</v>
      </c>
      <c r="O908" s="873">
        <f t="shared" si="408"/>
        <v>24</v>
      </c>
      <c r="P908" s="873">
        <f t="shared" si="408"/>
        <v>24</v>
      </c>
      <c r="Q908" s="874">
        <f t="shared" si="393"/>
        <v>20.669999999999998</v>
      </c>
      <c r="R908" s="873">
        <f t="shared" si="394"/>
        <v>10</v>
      </c>
      <c r="S908" s="873">
        <f t="shared" si="395"/>
        <v>14</v>
      </c>
      <c r="T908" s="874">
        <f t="shared" si="396"/>
        <v>17.633411486304666</v>
      </c>
      <c r="U908" s="874">
        <f t="shared" si="397"/>
        <v>15.750000000000004</v>
      </c>
      <c r="V908" s="873">
        <f t="shared" si="398"/>
        <v>7</v>
      </c>
      <c r="W908" s="873">
        <f t="shared" si="399"/>
        <v>3</v>
      </c>
      <c r="X908" s="873">
        <f t="shared" si="400"/>
        <v>0</v>
      </c>
      <c r="Y908" s="873">
        <f t="shared" si="401"/>
        <v>1</v>
      </c>
      <c r="Z908" s="873">
        <f t="shared" si="402"/>
        <v>4</v>
      </c>
      <c r="AA908" s="873">
        <f t="shared" si="403"/>
        <v>9</v>
      </c>
      <c r="AB908" s="874">
        <f t="shared" si="404"/>
        <v>13.960871651185032</v>
      </c>
    </row>
    <row r="909" spans="1:28">
      <c r="A909" s="210">
        <f t="shared" si="405"/>
        <v>10</v>
      </c>
      <c r="B909" s="210">
        <f>$F$572</f>
        <v>4</v>
      </c>
      <c r="C909" s="210">
        <f t="shared" si="407"/>
        <v>25</v>
      </c>
      <c r="D909" s="210">
        <f t="shared" si="406"/>
        <v>298</v>
      </c>
      <c r="E909" s="237">
        <f t="shared" si="387"/>
        <v>1</v>
      </c>
      <c r="F909" s="1208">
        <f t="shared" si="384"/>
        <v>0.8</v>
      </c>
      <c r="G909" s="210">
        <f t="shared" si="385"/>
        <v>0.8</v>
      </c>
      <c r="I909" s="233">
        <f t="shared" si="388"/>
        <v>11.200000000000003</v>
      </c>
      <c r="J909" s="210">
        <f t="shared" si="389"/>
        <v>0.8</v>
      </c>
      <c r="L909" s="233">
        <f t="shared" si="390"/>
        <v>5.9200000000000017</v>
      </c>
      <c r="M909" s="220">
        <f t="shared" si="391"/>
        <v>0.8</v>
      </c>
      <c r="O909" s="873">
        <f t="shared" si="408"/>
        <v>24</v>
      </c>
      <c r="P909" s="873">
        <f t="shared" si="408"/>
        <v>24</v>
      </c>
      <c r="Q909" s="874">
        <f t="shared" si="393"/>
        <v>20.669999999999998</v>
      </c>
      <c r="R909" s="873">
        <f t="shared" si="394"/>
        <v>10</v>
      </c>
      <c r="S909" s="873">
        <f t="shared" si="395"/>
        <v>14</v>
      </c>
      <c r="T909" s="874">
        <f t="shared" si="396"/>
        <v>17.633411486304666</v>
      </c>
      <c r="U909" s="874">
        <f t="shared" si="397"/>
        <v>15.750000000000004</v>
      </c>
      <c r="V909" s="873">
        <f t="shared" si="398"/>
        <v>7</v>
      </c>
      <c r="W909" s="873">
        <f t="shared" si="399"/>
        <v>3</v>
      </c>
      <c r="X909" s="873">
        <f t="shared" si="400"/>
        <v>0</v>
      </c>
      <c r="Y909" s="873">
        <f t="shared" si="401"/>
        <v>1</v>
      </c>
      <c r="Z909" s="873">
        <f t="shared" si="402"/>
        <v>4</v>
      </c>
      <c r="AA909" s="873">
        <f t="shared" si="403"/>
        <v>9</v>
      </c>
      <c r="AB909" s="874">
        <f t="shared" si="404"/>
        <v>13.960871651185032</v>
      </c>
    </row>
    <row r="910" spans="1:28">
      <c r="A910" s="210">
        <f t="shared" si="405"/>
        <v>10</v>
      </c>
      <c r="B910" s="210">
        <f>$F$573</f>
        <v>5</v>
      </c>
      <c r="C910" s="210">
        <f t="shared" si="407"/>
        <v>26</v>
      </c>
      <c r="D910" s="210">
        <f t="shared" si="406"/>
        <v>299</v>
      </c>
      <c r="E910" s="237">
        <f t="shared" si="387"/>
        <v>1</v>
      </c>
      <c r="F910" s="1208">
        <f t="shared" si="384"/>
        <v>0.8</v>
      </c>
      <c r="G910" s="210">
        <f t="shared" si="385"/>
        <v>0.8</v>
      </c>
      <c r="I910" s="233">
        <f t="shared" si="388"/>
        <v>11.200000000000003</v>
      </c>
      <c r="J910" s="210">
        <f t="shared" si="389"/>
        <v>0.8</v>
      </c>
      <c r="L910" s="233">
        <f t="shared" si="390"/>
        <v>5.9200000000000017</v>
      </c>
      <c r="M910" s="220">
        <f t="shared" si="391"/>
        <v>0.8</v>
      </c>
      <c r="O910" s="873">
        <f t="shared" si="408"/>
        <v>24</v>
      </c>
      <c r="P910" s="873">
        <f t="shared" si="408"/>
        <v>24</v>
      </c>
      <c r="Q910" s="874">
        <f t="shared" si="393"/>
        <v>20.669999999999998</v>
      </c>
      <c r="R910" s="873">
        <f t="shared" si="394"/>
        <v>10</v>
      </c>
      <c r="S910" s="873">
        <f t="shared" si="395"/>
        <v>14</v>
      </c>
      <c r="T910" s="874">
        <f t="shared" si="396"/>
        <v>17.633411486304666</v>
      </c>
      <c r="U910" s="874">
        <f t="shared" si="397"/>
        <v>15.750000000000004</v>
      </c>
      <c r="V910" s="873">
        <f t="shared" si="398"/>
        <v>7</v>
      </c>
      <c r="W910" s="873">
        <f t="shared" si="399"/>
        <v>3</v>
      </c>
      <c r="X910" s="873">
        <f t="shared" si="400"/>
        <v>0</v>
      </c>
      <c r="Y910" s="873">
        <f t="shared" si="401"/>
        <v>1</v>
      </c>
      <c r="Z910" s="873">
        <f t="shared" si="402"/>
        <v>4</v>
      </c>
      <c r="AA910" s="873">
        <f t="shared" si="403"/>
        <v>9</v>
      </c>
      <c r="AB910" s="874">
        <f t="shared" si="404"/>
        <v>13.960871651185032</v>
      </c>
    </row>
    <row r="911" spans="1:28">
      <c r="A911" s="210">
        <f t="shared" si="405"/>
        <v>10</v>
      </c>
      <c r="B911" s="210">
        <f>$F$574</f>
        <v>6</v>
      </c>
      <c r="C911" s="210">
        <f t="shared" si="407"/>
        <v>27</v>
      </c>
      <c r="D911" s="210">
        <f t="shared" si="406"/>
        <v>300</v>
      </c>
      <c r="E911" s="237">
        <f t="shared" si="387"/>
        <v>1</v>
      </c>
      <c r="F911" s="1208">
        <f t="shared" si="384"/>
        <v>0.8</v>
      </c>
      <c r="G911" s="210">
        <f t="shared" si="385"/>
        <v>0.8</v>
      </c>
      <c r="I911" s="233">
        <f t="shared" si="388"/>
        <v>11.200000000000003</v>
      </c>
      <c r="J911" s="210">
        <f t="shared" si="389"/>
        <v>0.8</v>
      </c>
      <c r="L911" s="233">
        <f t="shared" si="390"/>
        <v>5.9200000000000017</v>
      </c>
      <c r="M911" s="220">
        <f t="shared" si="391"/>
        <v>0.8</v>
      </c>
      <c r="O911" s="873">
        <f t="shared" si="408"/>
        <v>24</v>
      </c>
      <c r="P911" s="873">
        <f t="shared" si="408"/>
        <v>24</v>
      </c>
      <c r="Q911" s="874">
        <f t="shared" si="393"/>
        <v>20.669999999999998</v>
      </c>
      <c r="R911" s="873">
        <f t="shared" si="394"/>
        <v>10</v>
      </c>
      <c r="S911" s="873">
        <f t="shared" si="395"/>
        <v>14</v>
      </c>
      <c r="T911" s="874">
        <f t="shared" si="396"/>
        <v>17.633411486304666</v>
      </c>
      <c r="U911" s="874">
        <f t="shared" si="397"/>
        <v>15.750000000000004</v>
      </c>
      <c r="V911" s="873">
        <f t="shared" si="398"/>
        <v>7</v>
      </c>
      <c r="W911" s="873">
        <f t="shared" si="399"/>
        <v>3</v>
      </c>
      <c r="X911" s="873">
        <f t="shared" si="400"/>
        <v>0</v>
      </c>
      <c r="Y911" s="873">
        <f t="shared" si="401"/>
        <v>1</v>
      </c>
      <c r="Z911" s="873">
        <f t="shared" si="402"/>
        <v>4</v>
      </c>
      <c r="AA911" s="873">
        <f t="shared" si="403"/>
        <v>9</v>
      </c>
      <c r="AB911" s="874">
        <f t="shared" si="404"/>
        <v>13.960871651185032</v>
      </c>
    </row>
    <row r="912" spans="1:28">
      <c r="A912" s="210">
        <f t="shared" si="405"/>
        <v>10</v>
      </c>
      <c r="B912" s="210">
        <f>$F$575</f>
        <v>7</v>
      </c>
      <c r="C912" s="210">
        <f t="shared" si="407"/>
        <v>28</v>
      </c>
      <c r="D912" s="210">
        <f t="shared" si="406"/>
        <v>301</v>
      </c>
      <c r="E912" s="237">
        <f t="shared" si="387"/>
        <v>1</v>
      </c>
      <c r="F912" s="1208">
        <f t="shared" si="384"/>
        <v>0.8</v>
      </c>
      <c r="G912" s="210">
        <f t="shared" si="385"/>
        <v>0.8</v>
      </c>
      <c r="I912" s="233">
        <f t="shared" si="388"/>
        <v>11.200000000000003</v>
      </c>
      <c r="J912" s="210">
        <f t="shared" si="389"/>
        <v>0.8</v>
      </c>
      <c r="L912" s="233">
        <f t="shared" si="390"/>
        <v>5.9200000000000017</v>
      </c>
      <c r="M912" s="220">
        <f t="shared" si="391"/>
        <v>0.8</v>
      </c>
      <c r="O912" s="873">
        <f t="shared" si="408"/>
        <v>24</v>
      </c>
      <c r="P912" s="873">
        <f t="shared" si="408"/>
        <v>24</v>
      </c>
      <c r="Q912" s="874">
        <f t="shared" si="393"/>
        <v>20.669999999999998</v>
      </c>
      <c r="R912" s="873">
        <f t="shared" si="394"/>
        <v>10</v>
      </c>
      <c r="S912" s="873">
        <f t="shared" si="395"/>
        <v>14</v>
      </c>
      <c r="T912" s="874">
        <f t="shared" si="396"/>
        <v>17.633411486304666</v>
      </c>
      <c r="U912" s="874">
        <f t="shared" si="397"/>
        <v>15.750000000000004</v>
      </c>
      <c r="V912" s="873">
        <f t="shared" si="398"/>
        <v>7</v>
      </c>
      <c r="W912" s="873">
        <f t="shared" si="399"/>
        <v>3</v>
      </c>
      <c r="X912" s="873">
        <f t="shared" si="400"/>
        <v>0</v>
      </c>
      <c r="Y912" s="873">
        <f t="shared" si="401"/>
        <v>1</v>
      </c>
      <c r="Z912" s="873">
        <f t="shared" si="402"/>
        <v>4</v>
      </c>
      <c r="AA912" s="873">
        <f t="shared" si="403"/>
        <v>9</v>
      </c>
      <c r="AB912" s="874">
        <f t="shared" si="404"/>
        <v>13.960871651185032</v>
      </c>
    </row>
    <row r="913" spans="1:28">
      <c r="A913" s="210">
        <f t="shared" si="405"/>
        <v>10</v>
      </c>
      <c r="B913" s="210">
        <f>$F$569</f>
        <v>1</v>
      </c>
      <c r="C913" s="210">
        <f t="shared" si="407"/>
        <v>29</v>
      </c>
      <c r="D913" s="210">
        <f t="shared" si="406"/>
        <v>302</v>
      </c>
      <c r="E913" s="237">
        <f t="shared" si="387"/>
        <v>1</v>
      </c>
      <c r="F913" s="1208">
        <f t="shared" si="384"/>
        <v>0.8</v>
      </c>
      <c r="G913" s="210">
        <f t="shared" si="385"/>
        <v>0.8</v>
      </c>
      <c r="I913" s="233">
        <f t="shared" si="388"/>
        <v>11.200000000000003</v>
      </c>
      <c r="J913" s="210">
        <f t="shared" si="389"/>
        <v>0.8</v>
      </c>
      <c r="L913" s="233">
        <f t="shared" si="390"/>
        <v>5.9200000000000017</v>
      </c>
      <c r="M913" s="220">
        <f t="shared" si="391"/>
        <v>0.8</v>
      </c>
      <c r="O913" s="873">
        <f t="shared" si="408"/>
        <v>24</v>
      </c>
      <c r="P913" s="873">
        <f t="shared" si="408"/>
        <v>24</v>
      </c>
      <c r="Q913" s="874">
        <f t="shared" si="393"/>
        <v>20.669999999999998</v>
      </c>
      <c r="R913" s="873">
        <f t="shared" si="394"/>
        <v>10</v>
      </c>
      <c r="S913" s="873">
        <f t="shared" si="395"/>
        <v>14</v>
      </c>
      <c r="T913" s="874">
        <f t="shared" si="396"/>
        <v>17.633411486304666</v>
      </c>
      <c r="U913" s="874">
        <f t="shared" si="397"/>
        <v>15.750000000000004</v>
      </c>
      <c r="V913" s="873">
        <f t="shared" si="398"/>
        <v>7</v>
      </c>
      <c r="W913" s="873">
        <f t="shared" si="399"/>
        <v>3</v>
      </c>
      <c r="X913" s="873">
        <f t="shared" si="400"/>
        <v>0</v>
      </c>
      <c r="Y913" s="873">
        <f t="shared" si="401"/>
        <v>1</v>
      </c>
      <c r="Z913" s="873">
        <f t="shared" si="402"/>
        <v>4</v>
      </c>
      <c r="AA913" s="873">
        <f t="shared" si="403"/>
        <v>9</v>
      </c>
      <c r="AB913" s="874">
        <f t="shared" si="404"/>
        <v>13.960871651185032</v>
      </c>
    </row>
    <row r="914" spans="1:28">
      <c r="A914" s="210">
        <f t="shared" si="405"/>
        <v>10</v>
      </c>
      <c r="B914" s="210">
        <f>$F$570</f>
        <v>2</v>
      </c>
      <c r="C914" s="210">
        <f t="shared" si="407"/>
        <v>30</v>
      </c>
      <c r="D914" s="210">
        <f t="shared" si="406"/>
        <v>303</v>
      </c>
      <c r="E914" s="237">
        <f t="shared" si="387"/>
        <v>1</v>
      </c>
      <c r="F914" s="1208">
        <f t="shared" si="384"/>
        <v>0.8</v>
      </c>
      <c r="G914" s="210">
        <f t="shared" si="385"/>
        <v>0.8</v>
      </c>
      <c r="I914" s="233">
        <f t="shared" si="388"/>
        <v>11.200000000000003</v>
      </c>
      <c r="J914" s="210">
        <f t="shared" si="389"/>
        <v>0.8</v>
      </c>
      <c r="L914" s="233">
        <f t="shared" si="390"/>
        <v>5.9200000000000017</v>
      </c>
      <c r="M914" s="220">
        <f t="shared" si="391"/>
        <v>0.8</v>
      </c>
      <c r="O914" s="873">
        <f t="shared" si="408"/>
        <v>24</v>
      </c>
      <c r="P914" s="873">
        <f t="shared" si="408"/>
        <v>24</v>
      </c>
      <c r="Q914" s="874">
        <f t="shared" si="393"/>
        <v>20.669999999999998</v>
      </c>
      <c r="R914" s="873">
        <f t="shared" si="394"/>
        <v>10</v>
      </c>
      <c r="S914" s="873">
        <f t="shared" si="395"/>
        <v>14</v>
      </c>
      <c r="T914" s="874">
        <f t="shared" si="396"/>
        <v>17.633411486304666</v>
      </c>
      <c r="U914" s="874">
        <f t="shared" si="397"/>
        <v>15.750000000000004</v>
      </c>
      <c r="V914" s="873">
        <f t="shared" si="398"/>
        <v>7</v>
      </c>
      <c r="W914" s="873">
        <f t="shared" si="399"/>
        <v>3</v>
      </c>
      <c r="X914" s="873">
        <f t="shared" si="400"/>
        <v>0</v>
      </c>
      <c r="Y914" s="873">
        <f t="shared" si="401"/>
        <v>1</v>
      </c>
      <c r="Z914" s="873">
        <f t="shared" si="402"/>
        <v>4</v>
      </c>
      <c r="AA914" s="873">
        <f t="shared" si="403"/>
        <v>9</v>
      </c>
      <c r="AB914" s="874">
        <f t="shared" si="404"/>
        <v>13.960871651185032</v>
      </c>
    </row>
    <row r="915" spans="1:28">
      <c r="A915" s="210">
        <f t="shared" si="405"/>
        <v>10</v>
      </c>
      <c r="B915" s="210">
        <f>$F$571</f>
        <v>3</v>
      </c>
      <c r="C915" s="210">
        <f t="shared" si="407"/>
        <v>31</v>
      </c>
      <c r="D915" s="210">
        <f t="shared" si="406"/>
        <v>304</v>
      </c>
      <c r="E915" s="237">
        <f t="shared" si="387"/>
        <v>1</v>
      </c>
      <c r="F915" s="1208">
        <f t="shared" si="384"/>
        <v>0.8</v>
      </c>
      <c r="G915" s="210">
        <f t="shared" si="385"/>
        <v>0.8</v>
      </c>
      <c r="I915" s="233">
        <f t="shared" si="388"/>
        <v>11.200000000000003</v>
      </c>
      <c r="J915" s="210">
        <f t="shared" si="389"/>
        <v>0.8</v>
      </c>
      <c r="L915" s="233">
        <f t="shared" si="390"/>
        <v>5.9200000000000017</v>
      </c>
      <c r="M915" s="220">
        <f t="shared" si="391"/>
        <v>0.8</v>
      </c>
      <c r="O915" s="873">
        <f t="shared" si="408"/>
        <v>24</v>
      </c>
      <c r="P915" s="873">
        <f t="shared" si="408"/>
        <v>24</v>
      </c>
      <c r="Q915" s="874">
        <f t="shared" si="393"/>
        <v>20.669999999999998</v>
      </c>
      <c r="R915" s="873">
        <f t="shared" si="394"/>
        <v>10</v>
      </c>
      <c r="S915" s="873">
        <f t="shared" si="395"/>
        <v>14</v>
      </c>
      <c r="T915" s="874">
        <f t="shared" si="396"/>
        <v>17.633411486304666</v>
      </c>
      <c r="U915" s="874">
        <f t="shared" si="397"/>
        <v>15.750000000000004</v>
      </c>
      <c r="V915" s="873">
        <f t="shared" si="398"/>
        <v>7</v>
      </c>
      <c r="W915" s="873">
        <f t="shared" si="399"/>
        <v>3</v>
      </c>
      <c r="X915" s="873">
        <f t="shared" si="400"/>
        <v>0</v>
      </c>
      <c r="Y915" s="873">
        <f t="shared" si="401"/>
        <v>1</v>
      </c>
      <c r="Z915" s="873">
        <f t="shared" si="402"/>
        <v>4</v>
      </c>
      <c r="AA915" s="873">
        <f t="shared" si="403"/>
        <v>9</v>
      </c>
      <c r="AB915" s="874">
        <f t="shared" si="404"/>
        <v>13.960871651185032</v>
      </c>
    </row>
    <row r="916" spans="1:28">
      <c r="A916" s="210">
        <v>11</v>
      </c>
      <c r="B916" s="210">
        <f>$F$572</f>
        <v>4</v>
      </c>
      <c r="C916" s="210">
        <v>1</v>
      </c>
      <c r="D916" s="210">
        <f t="shared" si="406"/>
        <v>305</v>
      </c>
      <c r="E916" s="237">
        <f t="shared" si="387"/>
        <v>1</v>
      </c>
      <c r="F916" s="1208">
        <f t="shared" si="384"/>
        <v>1</v>
      </c>
      <c r="G916" s="210">
        <f t="shared" si="385"/>
        <v>0.8</v>
      </c>
      <c r="I916" s="233">
        <f t="shared" si="388"/>
        <v>11.200000000000003</v>
      </c>
      <c r="J916" s="210">
        <f t="shared" si="389"/>
        <v>0.8</v>
      </c>
      <c r="L916" s="233">
        <f t="shared" si="390"/>
        <v>5.9200000000000017</v>
      </c>
      <c r="M916" s="220">
        <f t="shared" si="391"/>
        <v>0.8</v>
      </c>
      <c r="O916" s="873">
        <f t="shared" si="408"/>
        <v>24</v>
      </c>
      <c r="P916" s="873">
        <f t="shared" si="408"/>
        <v>24</v>
      </c>
      <c r="Q916" s="874">
        <f t="shared" si="393"/>
        <v>20.669999999999998</v>
      </c>
      <c r="R916" s="873">
        <f t="shared" si="394"/>
        <v>10</v>
      </c>
      <c r="S916" s="873">
        <f t="shared" si="395"/>
        <v>14</v>
      </c>
      <c r="T916" s="874">
        <f t="shared" si="396"/>
        <v>17.633411486304666</v>
      </c>
      <c r="U916" s="874">
        <f t="shared" si="397"/>
        <v>15.750000000000004</v>
      </c>
      <c r="V916" s="873">
        <f t="shared" si="398"/>
        <v>7</v>
      </c>
      <c r="W916" s="873">
        <f t="shared" si="399"/>
        <v>3</v>
      </c>
      <c r="X916" s="873">
        <f t="shared" si="400"/>
        <v>0</v>
      </c>
      <c r="Y916" s="873">
        <f t="shared" si="401"/>
        <v>1</v>
      </c>
      <c r="Z916" s="873">
        <f t="shared" si="402"/>
        <v>4</v>
      </c>
      <c r="AA916" s="873">
        <f t="shared" si="403"/>
        <v>9</v>
      </c>
      <c r="AB916" s="874">
        <f t="shared" si="404"/>
        <v>13.960871651185032</v>
      </c>
    </row>
    <row r="917" spans="1:28">
      <c r="A917" s="210">
        <f t="shared" si="405"/>
        <v>11</v>
      </c>
      <c r="B917" s="210">
        <f>$F$573</f>
        <v>5</v>
      </c>
      <c r="C917" s="210">
        <f t="shared" ref="C917:C945" si="409">C916+1</f>
        <v>2</v>
      </c>
      <c r="D917" s="210">
        <f t="shared" si="406"/>
        <v>306</v>
      </c>
      <c r="E917" s="237">
        <f t="shared" si="387"/>
        <v>1</v>
      </c>
      <c r="F917" s="1208">
        <f t="shared" si="384"/>
        <v>1</v>
      </c>
      <c r="G917" s="210">
        <f t="shared" si="385"/>
        <v>0.8</v>
      </c>
      <c r="I917" s="233">
        <f t="shared" si="388"/>
        <v>11.200000000000003</v>
      </c>
      <c r="J917" s="210">
        <f t="shared" si="389"/>
        <v>0.8</v>
      </c>
      <c r="L917" s="233">
        <f t="shared" si="390"/>
        <v>5.9200000000000017</v>
      </c>
      <c r="M917" s="220">
        <f t="shared" si="391"/>
        <v>0.8</v>
      </c>
      <c r="O917" s="873">
        <f t="shared" si="408"/>
        <v>24</v>
      </c>
      <c r="P917" s="873">
        <f t="shared" si="408"/>
        <v>24</v>
      </c>
      <c r="Q917" s="874">
        <f t="shared" si="393"/>
        <v>20.669999999999998</v>
      </c>
      <c r="R917" s="873">
        <f t="shared" si="394"/>
        <v>10</v>
      </c>
      <c r="S917" s="873">
        <f t="shared" si="395"/>
        <v>14</v>
      </c>
      <c r="T917" s="874">
        <f t="shared" si="396"/>
        <v>17.633411486304666</v>
      </c>
      <c r="U917" s="874">
        <f t="shared" si="397"/>
        <v>15.750000000000004</v>
      </c>
      <c r="V917" s="873">
        <f t="shared" si="398"/>
        <v>7</v>
      </c>
      <c r="W917" s="873">
        <f t="shared" si="399"/>
        <v>3</v>
      </c>
      <c r="X917" s="873">
        <f t="shared" si="400"/>
        <v>0</v>
      </c>
      <c r="Y917" s="873">
        <f t="shared" si="401"/>
        <v>1</v>
      </c>
      <c r="Z917" s="873">
        <f t="shared" si="402"/>
        <v>4</v>
      </c>
      <c r="AA917" s="873">
        <f t="shared" si="403"/>
        <v>9</v>
      </c>
      <c r="AB917" s="874">
        <f t="shared" si="404"/>
        <v>13.960871651185032</v>
      </c>
    </row>
    <row r="918" spans="1:28">
      <c r="A918" s="210">
        <f t="shared" si="405"/>
        <v>11</v>
      </c>
      <c r="B918" s="210">
        <f>$F$574</f>
        <v>6</v>
      </c>
      <c r="C918" s="210">
        <f t="shared" si="409"/>
        <v>3</v>
      </c>
      <c r="D918" s="210">
        <f t="shared" si="406"/>
        <v>307</v>
      </c>
      <c r="E918" s="237">
        <f t="shared" si="387"/>
        <v>1</v>
      </c>
      <c r="F918" s="1208">
        <f t="shared" si="384"/>
        <v>1</v>
      </c>
      <c r="G918" s="210">
        <f t="shared" si="385"/>
        <v>0.8</v>
      </c>
      <c r="I918" s="233">
        <f t="shared" si="388"/>
        <v>11.200000000000003</v>
      </c>
      <c r="J918" s="210">
        <f t="shared" si="389"/>
        <v>0.8</v>
      </c>
      <c r="L918" s="233">
        <f t="shared" si="390"/>
        <v>5.9200000000000017</v>
      </c>
      <c r="M918" s="220">
        <f t="shared" si="391"/>
        <v>0.8</v>
      </c>
      <c r="O918" s="873">
        <f t="shared" si="408"/>
        <v>24</v>
      </c>
      <c r="P918" s="873">
        <f t="shared" si="408"/>
        <v>24</v>
      </c>
      <c r="Q918" s="874">
        <f t="shared" si="393"/>
        <v>20.669999999999998</v>
      </c>
      <c r="R918" s="873">
        <f t="shared" si="394"/>
        <v>10</v>
      </c>
      <c r="S918" s="873">
        <f t="shared" si="395"/>
        <v>14</v>
      </c>
      <c r="T918" s="874">
        <f t="shared" si="396"/>
        <v>17.633411486304666</v>
      </c>
      <c r="U918" s="874">
        <f t="shared" si="397"/>
        <v>15.750000000000004</v>
      </c>
      <c r="V918" s="873">
        <f t="shared" si="398"/>
        <v>7</v>
      </c>
      <c r="W918" s="873">
        <f t="shared" si="399"/>
        <v>3</v>
      </c>
      <c r="X918" s="873">
        <f t="shared" si="400"/>
        <v>0</v>
      </c>
      <c r="Y918" s="873">
        <f t="shared" si="401"/>
        <v>1</v>
      </c>
      <c r="Z918" s="873">
        <f t="shared" si="402"/>
        <v>4</v>
      </c>
      <c r="AA918" s="873">
        <f t="shared" si="403"/>
        <v>9</v>
      </c>
      <c r="AB918" s="874">
        <f t="shared" si="404"/>
        <v>13.960871651185032</v>
      </c>
    </row>
    <row r="919" spans="1:28">
      <c r="A919" s="210">
        <f t="shared" si="405"/>
        <v>11</v>
      </c>
      <c r="B919" s="210">
        <f>$F$575</f>
        <v>7</v>
      </c>
      <c r="C919" s="210">
        <f t="shared" si="409"/>
        <v>4</v>
      </c>
      <c r="D919" s="210">
        <f t="shared" si="406"/>
        <v>308</v>
      </c>
      <c r="E919" s="237">
        <f t="shared" si="387"/>
        <v>1</v>
      </c>
      <c r="F919" s="1208">
        <f t="shared" si="384"/>
        <v>1</v>
      </c>
      <c r="G919" s="210">
        <f t="shared" si="385"/>
        <v>0.8</v>
      </c>
      <c r="I919" s="233">
        <f t="shared" si="388"/>
        <v>11.200000000000003</v>
      </c>
      <c r="J919" s="210">
        <f t="shared" si="389"/>
        <v>0.8</v>
      </c>
      <c r="L919" s="233">
        <f t="shared" si="390"/>
        <v>5.9200000000000017</v>
      </c>
      <c r="M919" s="220">
        <f t="shared" si="391"/>
        <v>0.8</v>
      </c>
      <c r="O919" s="873">
        <f t="shared" si="408"/>
        <v>24</v>
      </c>
      <c r="P919" s="873">
        <f t="shared" si="408"/>
        <v>24</v>
      </c>
      <c r="Q919" s="874">
        <f t="shared" si="393"/>
        <v>20.669999999999998</v>
      </c>
      <c r="R919" s="873">
        <f t="shared" si="394"/>
        <v>10</v>
      </c>
      <c r="S919" s="873">
        <f t="shared" si="395"/>
        <v>14</v>
      </c>
      <c r="T919" s="874">
        <f t="shared" si="396"/>
        <v>17.633411486304666</v>
      </c>
      <c r="U919" s="874">
        <f t="shared" si="397"/>
        <v>15.750000000000004</v>
      </c>
      <c r="V919" s="873">
        <f t="shared" si="398"/>
        <v>7</v>
      </c>
      <c r="W919" s="873">
        <f t="shared" si="399"/>
        <v>3</v>
      </c>
      <c r="X919" s="873">
        <f t="shared" si="400"/>
        <v>0</v>
      </c>
      <c r="Y919" s="873">
        <f t="shared" si="401"/>
        <v>1</v>
      </c>
      <c r="Z919" s="873">
        <f t="shared" si="402"/>
        <v>4</v>
      </c>
      <c r="AA919" s="873">
        <f t="shared" si="403"/>
        <v>9</v>
      </c>
      <c r="AB919" s="874">
        <f t="shared" si="404"/>
        <v>13.960871651185032</v>
      </c>
    </row>
    <row r="920" spans="1:28">
      <c r="A920" s="210">
        <f t="shared" si="405"/>
        <v>11</v>
      </c>
      <c r="B920" s="210">
        <f>$F$569</f>
        <v>1</v>
      </c>
      <c r="C920" s="210">
        <f t="shared" si="409"/>
        <v>5</v>
      </c>
      <c r="D920" s="210">
        <f t="shared" si="406"/>
        <v>309</v>
      </c>
      <c r="E920" s="237">
        <f t="shared" si="387"/>
        <v>1</v>
      </c>
      <c r="F920" s="1208">
        <f t="shared" si="384"/>
        <v>1</v>
      </c>
      <c r="G920" s="210">
        <f t="shared" si="385"/>
        <v>0.8</v>
      </c>
      <c r="I920" s="233">
        <f t="shared" si="388"/>
        <v>11.200000000000003</v>
      </c>
      <c r="J920" s="210">
        <f t="shared" si="389"/>
        <v>0.8</v>
      </c>
      <c r="L920" s="233">
        <f t="shared" si="390"/>
        <v>5.9200000000000017</v>
      </c>
      <c r="M920" s="220">
        <f t="shared" si="391"/>
        <v>0.8</v>
      </c>
      <c r="O920" s="873">
        <f t="shared" si="408"/>
        <v>24</v>
      </c>
      <c r="P920" s="873">
        <f t="shared" si="408"/>
        <v>24</v>
      </c>
      <c r="Q920" s="874">
        <f t="shared" si="393"/>
        <v>20.669999999999998</v>
      </c>
      <c r="R920" s="873">
        <f t="shared" si="394"/>
        <v>10</v>
      </c>
      <c r="S920" s="873">
        <f t="shared" si="395"/>
        <v>14</v>
      </c>
      <c r="T920" s="874">
        <f t="shared" si="396"/>
        <v>17.633411486304666</v>
      </c>
      <c r="U920" s="874">
        <f t="shared" si="397"/>
        <v>15.750000000000004</v>
      </c>
      <c r="V920" s="873">
        <f t="shared" si="398"/>
        <v>7</v>
      </c>
      <c r="W920" s="873">
        <f t="shared" si="399"/>
        <v>3</v>
      </c>
      <c r="X920" s="873">
        <f t="shared" si="400"/>
        <v>0</v>
      </c>
      <c r="Y920" s="873">
        <f t="shared" si="401"/>
        <v>1</v>
      </c>
      <c r="Z920" s="873">
        <f t="shared" si="402"/>
        <v>4</v>
      </c>
      <c r="AA920" s="873">
        <f t="shared" si="403"/>
        <v>9</v>
      </c>
      <c r="AB920" s="874">
        <f t="shared" si="404"/>
        <v>13.960871651185032</v>
      </c>
    </row>
    <row r="921" spans="1:28">
      <c r="A921" s="210">
        <f t="shared" si="405"/>
        <v>11</v>
      </c>
      <c r="B921" s="210">
        <f>$F$570</f>
        <v>2</v>
      </c>
      <c r="C921" s="210">
        <f t="shared" si="409"/>
        <v>6</v>
      </c>
      <c r="D921" s="210">
        <f t="shared" si="406"/>
        <v>310</v>
      </c>
      <c r="E921" s="237">
        <f t="shared" si="387"/>
        <v>1</v>
      </c>
      <c r="F921" s="1208">
        <f t="shared" si="384"/>
        <v>1</v>
      </c>
      <c r="G921" s="210">
        <f t="shared" si="385"/>
        <v>0.8</v>
      </c>
      <c r="I921" s="233">
        <f t="shared" si="388"/>
        <v>11.200000000000003</v>
      </c>
      <c r="J921" s="210">
        <f t="shared" si="389"/>
        <v>0.8</v>
      </c>
      <c r="L921" s="233">
        <f t="shared" si="390"/>
        <v>5.9200000000000017</v>
      </c>
      <c r="M921" s="220">
        <f t="shared" si="391"/>
        <v>0.8</v>
      </c>
      <c r="O921" s="873">
        <f t="shared" si="408"/>
        <v>24</v>
      </c>
      <c r="P921" s="873">
        <f t="shared" si="408"/>
        <v>24</v>
      </c>
      <c r="Q921" s="874">
        <f t="shared" si="393"/>
        <v>20.669999999999998</v>
      </c>
      <c r="R921" s="873">
        <f t="shared" si="394"/>
        <v>10</v>
      </c>
      <c r="S921" s="873">
        <f t="shared" si="395"/>
        <v>14</v>
      </c>
      <c r="T921" s="874">
        <f t="shared" si="396"/>
        <v>17.633411486304666</v>
      </c>
      <c r="U921" s="874">
        <f t="shared" si="397"/>
        <v>15.750000000000004</v>
      </c>
      <c r="V921" s="873">
        <f t="shared" si="398"/>
        <v>7</v>
      </c>
      <c r="W921" s="873">
        <f t="shared" si="399"/>
        <v>3</v>
      </c>
      <c r="X921" s="873">
        <f t="shared" si="400"/>
        <v>0</v>
      </c>
      <c r="Y921" s="873">
        <f t="shared" si="401"/>
        <v>1</v>
      </c>
      <c r="Z921" s="873">
        <f t="shared" si="402"/>
        <v>4</v>
      </c>
      <c r="AA921" s="873">
        <f t="shared" si="403"/>
        <v>9</v>
      </c>
      <c r="AB921" s="874">
        <f t="shared" si="404"/>
        <v>13.960871651185032</v>
      </c>
    </row>
    <row r="922" spans="1:28">
      <c r="A922" s="210">
        <f t="shared" si="405"/>
        <v>11</v>
      </c>
      <c r="B922" s="210">
        <f>$F$571</f>
        <v>3</v>
      </c>
      <c r="C922" s="210">
        <f t="shared" si="409"/>
        <v>7</v>
      </c>
      <c r="D922" s="210">
        <f t="shared" si="406"/>
        <v>311</v>
      </c>
      <c r="E922" s="237">
        <f t="shared" si="387"/>
        <v>1</v>
      </c>
      <c r="F922" s="1208">
        <f t="shared" si="384"/>
        <v>1</v>
      </c>
      <c r="G922" s="210">
        <f t="shared" si="385"/>
        <v>0.8</v>
      </c>
      <c r="I922" s="233">
        <f t="shared" si="388"/>
        <v>11.200000000000003</v>
      </c>
      <c r="J922" s="210">
        <f t="shared" si="389"/>
        <v>0.8</v>
      </c>
      <c r="L922" s="233">
        <f t="shared" si="390"/>
        <v>5.9200000000000017</v>
      </c>
      <c r="M922" s="220">
        <f t="shared" si="391"/>
        <v>0.8</v>
      </c>
      <c r="O922" s="873">
        <f t="shared" si="408"/>
        <v>24</v>
      </c>
      <c r="P922" s="873">
        <f t="shared" si="408"/>
        <v>24</v>
      </c>
      <c r="Q922" s="874">
        <f t="shared" si="393"/>
        <v>20.669999999999998</v>
      </c>
      <c r="R922" s="873">
        <f t="shared" si="394"/>
        <v>10</v>
      </c>
      <c r="S922" s="873">
        <f t="shared" si="395"/>
        <v>14</v>
      </c>
      <c r="T922" s="874">
        <f t="shared" si="396"/>
        <v>17.633411486304666</v>
      </c>
      <c r="U922" s="874">
        <f t="shared" si="397"/>
        <v>15.750000000000004</v>
      </c>
      <c r="V922" s="873">
        <f t="shared" si="398"/>
        <v>7</v>
      </c>
      <c r="W922" s="873">
        <f t="shared" si="399"/>
        <v>3</v>
      </c>
      <c r="X922" s="873">
        <f t="shared" si="400"/>
        <v>0</v>
      </c>
      <c r="Y922" s="873">
        <f t="shared" si="401"/>
        <v>1</v>
      </c>
      <c r="Z922" s="873">
        <f t="shared" si="402"/>
        <v>4</v>
      </c>
      <c r="AA922" s="873">
        <f t="shared" si="403"/>
        <v>9</v>
      </c>
      <c r="AB922" s="874">
        <f t="shared" si="404"/>
        <v>13.960871651185032</v>
      </c>
    </row>
    <row r="923" spans="1:28">
      <c r="A923" s="210">
        <f t="shared" si="405"/>
        <v>11</v>
      </c>
      <c r="B923" s="210">
        <f>$F$572</f>
        <v>4</v>
      </c>
      <c r="C923" s="210">
        <f t="shared" si="409"/>
        <v>8</v>
      </c>
      <c r="D923" s="210">
        <f t="shared" si="406"/>
        <v>312</v>
      </c>
      <c r="E923" s="237">
        <f t="shared" si="387"/>
        <v>1</v>
      </c>
      <c r="F923" s="1208">
        <f t="shared" si="384"/>
        <v>1</v>
      </c>
      <c r="G923" s="210">
        <f t="shared" si="385"/>
        <v>0.8</v>
      </c>
      <c r="I923" s="233">
        <f t="shared" si="388"/>
        <v>11.200000000000003</v>
      </c>
      <c r="J923" s="210">
        <f t="shared" si="389"/>
        <v>0.8</v>
      </c>
      <c r="L923" s="233">
        <f t="shared" si="390"/>
        <v>5.9200000000000017</v>
      </c>
      <c r="M923" s="220">
        <f t="shared" si="391"/>
        <v>0.8</v>
      </c>
      <c r="O923" s="873">
        <f t="shared" si="408"/>
        <v>24</v>
      </c>
      <c r="P923" s="873">
        <f t="shared" si="408"/>
        <v>24</v>
      </c>
      <c r="Q923" s="874">
        <f t="shared" si="393"/>
        <v>20.669999999999998</v>
      </c>
      <c r="R923" s="873">
        <f t="shared" si="394"/>
        <v>10</v>
      </c>
      <c r="S923" s="873">
        <f t="shared" si="395"/>
        <v>14</v>
      </c>
      <c r="T923" s="874">
        <f t="shared" si="396"/>
        <v>17.633411486304666</v>
      </c>
      <c r="U923" s="874">
        <f t="shared" si="397"/>
        <v>15.750000000000004</v>
      </c>
      <c r="V923" s="873">
        <f t="shared" si="398"/>
        <v>7</v>
      </c>
      <c r="W923" s="873">
        <f t="shared" si="399"/>
        <v>3</v>
      </c>
      <c r="X923" s="873">
        <f t="shared" si="400"/>
        <v>0</v>
      </c>
      <c r="Y923" s="873">
        <f t="shared" si="401"/>
        <v>1</v>
      </c>
      <c r="Z923" s="873">
        <f t="shared" si="402"/>
        <v>4</v>
      </c>
      <c r="AA923" s="873">
        <f t="shared" si="403"/>
        <v>9</v>
      </c>
      <c r="AB923" s="874">
        <f t="shared" si="404"/>
        <v>13.960871651185032</v>
      </c>
    </row>
    <row r="924" spans="1:28">
      <c r="A924" s="210">
        <f t="shared" si="405"/>
        <v>11</v>
      </c>
      <c r="B924" s="210">
        <f>$F$573</f>
        <v>5</v>
      </c>
      <c r="C924" s="210">
        <f t="shared" si="409"/>
        <v>9</v>
      </c>
      <c r="D924" s="210">
        <f t="shared" si="406"/>
        <v>313</v>
      </c>
      <c r="E924" s="237">
        <f t="shared" si="387"/>
        <v>1</v>
      </c>
      <c r="F924" s="1208">
        <f t="shared" si="384"/>
        <v>1</v>
      </c>
      <c r="G924" s="210">
        <f t="shared" si="385"/>
        <v>0.8</v>
      </c>
      <c r="I924" s="233">
        <f t="shared" si="388"/>
        <v>11.200000000000003</v>
      </c>
      <c r="J924" s="210">
        <f t="shared" si="389"/>
        <v>0.8</v>
      </c>
      <c r="L924" s="233">
        <f t="shared" si="390"/>
        <v>5.9200000000000017</v>
      </c>
      <c r="M924" s="220">
        <f t="shared" si="391"/>
        <v>0.8</v>
      </c>
      <c r="O924" s="873">
        <f t="shared" si="408"/>
        <v>24</v>
      </c>
      <c r="P924" s="873">
        <f t="shared" si="408"/>
        <v>24</v>
      </c>
      <c r="Q924" s="874">
        <f t="shared" si="393"/>
        <v>20.669999999999998</v>
      </c>
      <c r="R924" s="873">
        <f t="shared" si="394"/>
        <v>10</v>
      </c>
      <c r="S924" s="873">
        <f t="shared" si="395"/>
        <v>14</v>
      </c>
      <c r="T924" s="874">
        <f t="shared" si="396"/>
        <v>17.633411486304666</v>
      </c>
      <c r="U924" s="874">
        <f t="shared" si="397"/>
        <v>15.750000000000004</v>
      </c>
      <c r="V924" s="873">
        <f t="shared" si="398"/>
        <v>7</v>
      </c>
      <c r="W924" s="873">
        <f t="shared" si="399"/>
        <v>3</v>
      </c>
      <c r="X924" s="873">
        <f t="shared" si="400"/>
        <v>0</v>
      </c>
      <c r="Y924" s="873">
        <f t="shared" si="401"/>
        <v>1</v>
      </c>
      <c r="Z924" s="873">
        <f t="shared" si="402"/>
        <v>4</v>
      </c>
      <c r="AA924" s="873">
        <f t="shared" si="403"/>
        <v>9</v>
      </c>
      <c r="AB924" s="874">
        <f t="shared" si="404"/>
        <v>13.960871651185032</v>
      </c>
    </row>
    <row r="925" spans="1:28">
      <c r="A925" s="210">
        <f t="shared" si="405"/>
        <v>11</v>
      </c>
      <c r="B925" s="210">
        <f>$F$574</f>
        <v>6</v>
      </c>
      <c r="C925" s="210">
        <f t="shared" si="409"/>
        <v>10</v>
      </c>
      <c r="D925" s="210">
        <f t="shared" si="406"/>
        <v>314</v>
      </c>
      <c r="E925" s="237">
        <f t="shared" si="387"/>
        <v>1</v>
      </c>
      <c r="F925" s="1208">
        <f t="shared" si="384"/>
        <v>1</v>
      </c>
      <c r="G925" s="210">
        <f t="shared" si="385"/>
        <v>0.8</v>
      </c>
      <c r="I925" s="233">
        <f t="shared" si="388"/>
        <v>11.200000000000003</v>
      </c>
      <c r="J925" s="210">
        <f t="shared" si="389"/>
        <v>0.8</v>
      </c>
      <c r="L925" s="233">
        <f t="shared" si="390"/>
        <v>5.9200000000000017</v>
      </c>
      <c r="M925" s="220">
        <f t="shared" si="391"/>
        <v>0.8</v>
      </c>
      <c r="O925" s="873">
        <f t="shared" si="408"/>
        <v>24</v>
      </c>
      <c r="P925" s="873">
        <f t="shared" si="408"/>
        <v>24</v>
      </c>
      <c r="Q925" s="874">
        <f t="shared" si="393"/>
        <v>20.669999999999998</v>
      </c>
      <c r="R925" s="873">
        <f t="shared" si="394"/>
        <v>10</v>
      </c>
      <c r="S925" s="873">
        <f t="shared" si="395"/>
        <v>14</v>
      </c>
      <c r="T925" s="874">
        <f t="shared" si="396"/>
        <v>17.633411486304666</v>
      </c>
      <c r="U925" s="874">
        <f t="shared" si="397"/>
        <v>15.750000000000004</v>
      </c>
      <c r="V925" s="873">
        <f t="shared" si="398"/>
        <v>7</v>
      </c>
      <c r="W925" s="873">
        <f t="shared" si="399"/>
        <v>3</v>
      </c>
      <c r="X925" s="873">
        <f t="shared" si="400"/>
        <v>0</v>
      </c>
      <c r="Y925" s="873">
        <f t="shared" si="401"/>
        <v>1</v>
      </c>
      <c r="Z925" s="873">
        <f t="shared" si="402"/>
        <v>4</v>
      </c>
      <c r="AA925" s="873">
        <f t="shared" si="403"/>
        <v>9</v>
      </c>
      <c r="AB925" s="874">
        <f t="shared" si="404"/>
        <v>13.960871651185032</v>
      </c>
    </row>
    <row r="926" spans="1:28">
      <c r="A926" s="210">
        <f t="shared" si="405"/>
        <v>11</v>
      </c>
      <c r="B926" s="210">
        <f>$F$575</f>
        <v>7</v>
      </c>
      <c r="C926" s="210">
        <f t="shared" si="409"/>
        <v>11</v>
      </c>
      <c r="D926" s="210">
        <f t="shared" si="406"/>
        <v>315</v>
      </c>
      <c r="E926" s="237">
        <f t="shared" si="387"/>
        <v>1</v>
      </c>
      <c r="F926" s="1208">
        <f t="shared" si="384"/>
        <v>1</v>
      </c>
      <c r="G926" s="210">
        <f t="shared" si="385"/>
        <v>0.8</v>
      </c>
      <c r="I926" s="233">
        <f t="shared" si="388"/>
        <v>11.200000000000003</v>
      </c>
      <c r="J926" s="210">
        <f t="shared" si="389"/>
        <v>0.8</v>
      </c>
      <c r="L926" s="233">
        <f t="shared" si="390"/>
        <v>5.9200000000000017</v>
      </c>
      <c r="M926" s="220">
        <f t="shared" si="391"/>
        <v>0.8</v>
      </c>
      <c r="O926" s="873">
        <f t="shared" si="408"/>
        <v>24</v>
      </c>
      <c r="P926" s="873">
        <f t="shared" si="408"/>
        <v>24</v>
      </c>
      <c r="Q926" s="874">
        <f t="shared" si="393"/>
        <v>20.669999999999998</v>
      </c>
      <c r="R926" s="873">
        <f t="shared" si="394"/>
        <v>10</v>
      </c>
      <c r="S926" s="873">
        <f t="shared" si="395"/>
        <v>14</v>
      </c>
      <c r="T926" s="874">
        <f t="shared" si="396"/>
        <v>17.633411486304666</v>
      </c>
      <c r="U926" s="874">
        <f t="shared" si="397"/>
        <v>15.750000000000004</v>
      </c>
      <c r="V926" s="873">
        <f t="shared" si="398"/>
        <v>7</v>
      </c>
      <c r="W926" s="873">
        <f t="shared" si="399"/>
        <v>3</v>
      </c>
      <c r="X926" s="873">
        <f t="shared" si="400"/>
        <v>0</v>
      </c>
      <c r="Y926" s="873">
        <f t="shared" si="401"/>
        <v>1</v>
      </c>
      <c r="Z926" s="873">
        <f t="shared" si="402"/>
        <v>4</v>
      </c>
      <c r="AA926" s="873">
        <f t="shared" si="403"/>
        <v>9</v>
      </c>
      <c r="AB926" s="874">
        <f t="shared" si="404"/>
        <v>13.960871651185032</v>
      </c>
    </row>
    <row r="927" spans="1:28">
      <c r="A927" s="210">
        <f t="shared" si="405"/>
        <v>11</v>
      </c>
      <c r="B927" s="210">
        <f>$F$569</f>
        <v>1</v>
      </c>
      <c r="C927" s="210">
        <f t="shared" si="409"/>
        <v>12</v>
      </c>
      <c r="D927" s="210">
        <f t="shared" si="406"/>
        <v>316</v>
      </c>
      <c r="E927" s="237">
        <f t="shared" si="387"/>
        <v>1</v>
      </c>
      <c r="F927" s="1208">
        <f t="shared" si="384"/>
        <v>1</v>
      </c>
      <c r="G927" s="210">
        <f t="shared" si="385"/>
        <v>0.8</v>
      </c>
      <c r="I927" s="233">
        <f t="shared" si="388"/>
        <v>11.200000000000003</v>
      </c>
      <c r="J927" s="210">
        <f t="shared" si="389"/>
        <v>0.8</v>
      </c>
      <c r="L927" s="233">
        <f t="shared" si="390"/>
        <v>5.9200000000000017</v>
      </c>
      <c r="M927" s="220">
        <f t="shared" si="391"/>
        <v>0.8</v>
      </c>
      <c r="O927" s="873">
        <f t="shared" si="408"/>
        <v>24</v>
      </c>
      <c r="P927" s="873">
        <f t="shared" si="408"/>
        <v>24</v>
      </c>
      <c r="Q927" s="874">
        <f t="shared" si="393"/>
        <v>20.669999999999998</v>
      </c>
      <c r="R927" s="873">
        <f t="shared" si="394"/>
        <v>10</v>
      </c>
      <c r="S927" s="873">
        <f t="shared" si="395"/>
        <v>14</v>
      </c>
      <c r="T927" s="874">
        <f t="shared" si="396"/>
        <v>17.633411486304666</v>
      </c>
      <c r="U927" s="874">
        <f t="shared" si="397"/>
        <v>15.750000000000004</v>
      </c>
      <c r="V927" s="873">
        <f t="shared" si="398"/>
        <v>7</v>
      </c>
      <c r="W927" s="873">
        <f t="shared" si="399"/>
        <v>3</v>
      </c>
      <c r="X927" s="873">
        <f t="shared" si="400"/>
        <v>0</v>
      </c>
      <c r="Y927" s="873">
        <f t="shared" si="401"/>
        <v>1</v>
      </c>
      <c r="Z927" s="873">
        <f t="shared" si="402"/>
        <v>4</v>
      </c>
      <c r="AA927" s="873">
        <f t="shared" si="403"/>
        <v>9</v>
      </c>
      <c r="AB927" s="874">
        <f t="shared" si="404"/>
        <v>13.960871651185032</v>
      </c>
    </row>
    <row r="928" spans="1:28">
      <c r="A928" s="210">
        <f t="shared" si="405"/>
        <v>11</v>
      </c>
      <c r="B928" s="210">
        <f>$F$570</f>
        <v>2</v>
      </c>
      <c r="C928" s="210">
        <f t="shared" si="409"/>
        <v>13</v>
      </c>
      <c r="D928" s="210">
        <f t="shared" si="406"/>
        <v>317</v>
      </c>
      <c r="E928" s="237">
        <f t="shared" si="387"/>
        <v>1</v>
      </c>
      <c r="F928" s="1208">
        <f t="shared" si="384"/>
        <v>1</v>
      </c>
      <c r="G928" s="210">
        <f t="shared" si="385"/>
        <v>0.8</v>
      </c>
      <c r="I928" s="233">
        <f t="shared" si="388"/>
        <v>11.200000000000003</v>
      </c>
      <c r="J928" s="210">
        <f t="shared" si="389"/>
        <v>0.8</v>
      </c>
      <c r="L928" s="233">
        <f t="shared" si="390"/>
        <v>5.9200000000000017</v>
      </c>
      <c r="M928" s="220">
        <f t="shared" si="391"/>
        <v>0.8</v>
      </c>
      <c r="O928" s="873">
        <f t="shared" si="408"/>
        <v>24</v>
      </c>
      <c r="P928" s="873">
        <f t="shared" si="408"/>
        <v>24</v>
      </c>
      <c r="Q928" s="874">
        <f t="shared" si="393"/>
        <v>20.669999999999998</v>
      </c>
      <c r="R928" s="873">
        <f t="shared" si="394"/>
        <v>10</v>
      </c>
      <c r="S928" s="873">
        <f t="shared" si="395"/>
        <v>14</v>
      </c>
      <c r="T928" s="874">
        <f t="shared" si="396"/>
        <v>17.633411486304666</v>
      </c>
      <c r="U928" s="874">
        <f t="shared" si="397"/>
        <v>15.750000000000004</v>
      </c>
      <c r="V928" s="873">
        <f t="shared" si="398"/>
        <v>7</v>
      </c>
      <c r="W928" s="873">
        <f t="shared" si="399"/>
        <v>3</v>
      </c>
      <c r="X928" s="873">
        <f t="shared" si="400"/>
        <v>0</v>
      </c>
      <c r="Y928" s="873">
        <f t="shared" si="401"/>
        <v>1</v>
      </c>
      <c r="Z928" s="873">
        <f t="shared" si="402"/>
        <v>4</v>
      </c>
      <c r="AA928" s="873">
        <f t="shared" si="403"/>
        <v>9</v>
      </c>
      <c r="AB928" s="874">
        <f t="shared" si="404"/>
        <v>13.960871651185032</v>
      </c>
    </row>
    <row r="929" spans="1:28">
      <c r="A929" s="210">
        <f t="shared" si="405"/>
        <v>11</v>
      </c>
      <c r="B929" s="210">
        <f>$F$571</f>
        <v>3</v>
      </c>
      <c r="C929" s="210">
        <f t="shared" si="409"/>
        <v>14</v>
      </c>
      <c r="D929" s="210">
        <f t="shared" si="406"/>
        <v>318</v>
      </c>
      <c r="E929" s="237">
        <f t="shared" si="387"/>
        <v>1</v>
      </c>
      <c r="F929" s="1208">
        <f t="shared" si="384"/>
        <v>1</v>
      </c>
      <c r="G929" s="210">
        <f t="shared" si="385"/>
        <v>0.8</v>
      </c>
      <c r="I929" s="233">
        <f t="shared" si="388"/>
        <v>11.200000000000003</v>
      </c>
      <c r="J929" s="210">
        <f t="shared" si="389"/>
        <v>0.8</v>
      </c>
      <c r="L929" s="233">
        <f t="shared" si="390"/>
        <v>5.9200000000000017</v>
      </c>
      <c r="M929" s="220">
        <f t="shared" si="391"/>
        <v>0.8</v>
      </c>
      <c r="O929" s="873">
        <f t="shared" si="408"/>
        <v>24</v>
      </c>
      <c r="P929" s="873">
        <f t="shared" si="408"/>
        <v>24</v>
      </c>
      <c r="Q929" s="874">
        <f t="shared" si="393"/>
        <v>20.669999999999998</v>
      </c>
      <c r="R929" s="873">
        <f t="shared" si="394"/>
        <v>10</v>
      </c>
      <c r="S929" s="873">
        <f t="shared" si="395"/>
        <v>14</v>
      </c>
      <c r="T929" s="874">
        <f t="shared" si="396"/>
        <v>17.633411486304666</v>
      </c>
      <c r="U929" s="874">
        <f t="shared" si="397"/>
        <v>15.750000000000004</v>
      </c>
      <c r="V929" s="873">
        <f t="shared" si="398"/>
        <v>7</v>
      </c>
      <c r="W929" s="873">
        <f t="shared" si="399"/>
        <v>3</v>
      </c>
      <c r="X929" s="873">
        <f t="shared" si="400"/>
        <v>0</v>
      </c>
      <c r="Y929" s="873">
        <f t="shared" si="401"/>
        <v>1</v>
      </c>
      <c r="Z929" s="873">
        <f t="shared" si="402"/>
        <v>4</v>
      </c>
      <c r="AA929" s="873">
        <f t="shared" si="403"/>
        <v>9</v>
      </c>
      <c r="AB929" s="874">
        <f t="shared" si="404"/>
        <v>13.960871651185032</v>
      </c>
    </row>
    <row r="930" spans="1:28">
      <c r="A930" s="210">
        <f t="shared" si="405"/>
        <v>11</v>
      </c>
      <c r="B930" s="210">
        <f>$F$572</f>
        <v>4</v>
      </c>
      <c r="C930" s="210">
        <f t="shared" si="409"/>
        <v>15</v>
      </c>
      <c r="D930" s="210">
        <f t="shared" si="406"/>
        <v>319</v>
      </c>
      <c r="E930" s="237">
        <f t="shared" si="387"/>
        <v>1</v>
      </c>
      <c r="F930" s="1208">
        <f t="shared" si="384"/>
        <v>1</v>
      </c>
      <c r="G930" s="210">
        <f t="shared" si="385"/>
        <v>0.8</v>
      </c>
      <c r="I930" s="233">
        <f t="shared" si="388"/>
        <v>11.200000000000003</v>
      </c>
      <c r="J930" s="210">
        <f t="shared" si="389"/>
        <v>0.8</v>
      </c>
      <c r="L930" s="233">
        <f t="shared" si="390"/>
        <v>5.9200000000000017</v>
      </c>
      <c r="M930" s="220">
        <f t="shared" si="391"/>
        <v>0.8</v>
      </c>
      <c r="O930" s="873">
        <f t="shared" si="408"/>
        <v>24</v>
      </c>
      <c r="P930" s="873">
        <f t="shared" si="408"/>
        <v>24</v>
      </c>
      <c r="Q930" s="874">
        <f t="shared" si="393"/>
        <v>20.669999999999998</v>
      </c>
      <c r="R930" s="873">
        <f t="shared" si="394"/>
        <v>10</v>
      </c>
      <c r="S930" s="873">
        <f t="shared" si="395"/>
        <v>14</v>
      </c>
      <c r="T930" s="874">
        <f t="shared" si="396"/>
        <v>17.633411486304666</v>
      </c>
      <c r="U930" s="874">
        <f t="shared" si="397"/>
        <v>15.750000000000004</v>
      </c>
      <c r="V930" s="873">
        <f t="shared" si="398"/>
        <v>7</v>
      </c>
      <c r="W930" s="873">
        <f t="shared" si="399"/>
        <v>3</v>
      </c>
      <c r="X930" s="873">
        <f t="shared" si="400"/>
        <v>0</v>
      </c>
      <c r="Y930" s="873">
        <f t="shared" si="401"/>
        <v>1</v>
      </c>
      <c r="Z930" s="873">
        <f t="shared" si="402"/>
        <v>4</v>
      </c>
      <c r="AA930" s="873">
        <f t="shared" si="403"/>
        <v>9</v>
      </c>
      <c r="AB930" s="874">
        <f t="shared" si="404"/>
        <v>13.960871651185032</v>
      </c>
    </row>
    <row r="931" spans="1:28">
      <c r="A931" s="210">
        <f t="shared" si="405"/>
        <v>11</v>
      </c>
      <c r="B931" s="210">
        <f>$F$573</f>
        <v>5</v>
      </c>
      <c r="C931" s="210">
        <f t="shared" si="409"/>
        <v>16</v>
      </c>
      <c r="D931" s="210">
        <f t="shared" si="406"/>
        <v>320</v>
      </c>
      <c r="E931" s="237">
        <f t="shared" si="387"/>
        <v>1</v>
      </c>
      <c r="F931" s="1208">
        <f t="shared" si="384"/>
        <v>1</v>
      </c>
      <c r="G931" s="210">
        <f t="shared" si="385"/>
        <v>0.8</v>
      </c>
      <c r="I931" s="233">
        <f t="shared" si="388"/>
        <v>11.200000000000003</v>
      </c>
      <c r="J931" s="210">
        <f t="shared" si="389"/>
        <v>0.8</v>
      </c>
      <c r="L931" s="233">
        <f t="shared" si="390"/>
        <v>5.9200000000000017</v>
      </c>
      <c r="M931" s="220">
        <f t="shared" si="391"/>
        <v>0.8</v>
      </c>
      <c r="O931" s="873">
        <f t="shared" si="408"/>
        <v>24</v>
      </c>
      <c r="P931" s="873">
        <f t="shared" si="408"/>
        <v>24</v>
      </c>
      <c r="Q931" s="874">
        <f t="shared" si="393"/>
        <v>20.669999999999998</v>
      </c>
      <c r="R931" s="873">
        <f t="shared" si="394"/>
        <v>10</v>
      </c>
      <c r="S931" s="873">
        <f t="shared" si="395"/>
        <v>14</v>
      </c>
      <c r="T931" s="874">
        <f t="shared" si="396"/>
        <v>17.633411486304666</v>
      </c>
      <c r="U931" s="874">
        <f t="shared" si="397"/>
        <v>15.750000000000004</v>
      </c>
      <c r="V931" s="873">
        <f t="shared" si="398"/>
        <v>7</v>
      </c>
      <c r="W931" s="873">
        <f t="shared" si="399"/>
        <v>3</v>
      </c>
      <c r="X931" s="873">
        <f t="shared" si="400"/>
        <v>0</v>
      </c>
      <c r="Y931" s="873">
        <f t="shared" si="401"/>
        <v>1</v>
      </c>
      <c r="Z931" s="873">
        <f t="shared" si="402"/>
        <v>4</v>
      </c>
      <c r="AA931" s="873">
        <f t="shared" si="403"/>
        <v>9</v>
      </c>
      <c r="AB931" s="874">
        <f t="shared" si="404"/>
        <v>13.960871651185032</v>
      </c>
    </row>
    <row r="932" spans="1:28">
      <c r="A932" s="210">
        <f t="shared" si="405"/>
        <v>11</v>
      </c>
      <c r="B932" s="210">
        <f>$F$574</f>
        <v>6</v>
      </c>
      <c r="C932" s="210">
        <f t="shared" si="409"/>
        <v>17</v>
      </c>
      <c r="D932" s="210">
        <f t="shared" si="406"/>
        <v>321</v>
      </c>
      <c r="E932" s="237">
        <f t="shared" si="387"/>
        <v>1</v>
      </c>
      <c r="F932" s="1208">
        <f t="shared" ref="F932:F976" si="410">INDEX($C$569:$C$580,A932)</f>
        <v>1</v>
      </c>
      <c r="G932" s="210">
        <f t="shared" ref="G932:G976" si="411">INDEX($D$569:$D$580,A932)</f>
        <v>0.8</v>
      </c>
      <c r="I932" s="233">
        <f t="shared" si="388"/>
        <v>11.200000000000003</v>
      </c>
      <c r="J932" s="210">
        <f t="shared" si="389"/>
        <v>0.8</v>
      </c>
      <c r="L932" s="233">
        <f t="shared" si="390"/>
        <v>5.9200000000000017</v>
      </c>
      <c r="M932" s="220">
        <f t="shared" si="391"/>
        <v>0.8</v>
      </c>
      <c r="O932" s="873">
        <f t="shared" si="408"/>
        <v>24</v>
      </c>
      <c r="P932" s="873">
        <f t="shared" si="408"/>
        <v>24</v>
      </c>
      <c r="Q932" s="874">
        <f t="shared" si="393"/>
        <v>20.669999999999998</v>
      </c>
      <c r="R932" s="873">
        <f t="shared" si="394"/>
        <v>10</v>
      </c>
      <c r="S932" s="873">
        <f t="shared" si="395"/>
        <v>14</v>
      </c>
      <c r="T932" s="874">
        <f t="shared" si="396"/>
        <v>17.633411486304666</v>
      </c>
      <c r="U932" s="874">
        <f t="shared" si="397"/>
        <v>15.750000000000004</v>
      </c>
      <c r="V932" s="873">
        <f t="shared" si="398"/>
        <v>7</v>
      </c>
      <c r="W932" s="873">
        <f t="shared" si="399"/>
        <v>3</v>
      </c>
      <c r="X932" s="873">
        <f t="shared" si="400"/>
        <v>0</v>
      </c>
      <c r="Y932" s="873">
        <f t="shared" si="401"/>
        <v>1</v>
      </c>
      <c r="Z932" s="873">
        <f t="shared" si="402"/>
        <v>4</v>
      </c>
      <c r="AA932" s="873">
        <f t="shared" si="403"/>
        <v>9</v>
      </c>
      <c r="AB932" s="874">
        <f t="shared" si="404"/>
        <v>13.960871651185032</v>
      </c>
    </row>
    <row r="933" spans="1:28">
      <c r="A933" s="210">
        <f t="shared" si="405"/>
        <v>11</v>
      </c>
      <c r="B933" s="210">
        <f>$F$575</f>
        <v>7</v>
      </c>
      <c r="C933" s="210">
        <f t="shared" si="409"/>
        <v>18</v>
      </c>
      <c r="D933" s="210">
        <f t="shared" si="406"/>
        <v>322</v>
      </c>
      <c r="E933" s="237">
        <f t="shared" ref="E933:E976" si="412">INDEX($H$569:$H$575,B933)</f>
        <v>1</v>
      </c>
      <c r="F933" s="1208">
        <f t="shared" si="410"/>
        <v>1</v>
      </c>
      <c r="G933" s="210">
        <f t="shared" si="411"/>
        <v>0.8</v>
      </c>
      <c r="I933" s="233">
        <f t="shared" ref="I933:I976" si="413">$E933*$B$62*G933</f>
        <v>11.200000000000003</v>
      </c>
      <c r="J933" s="210">
        <f t="shared" ref="J933:J976" si="414">$E933*MAX($B$63:$B$86)*G933</f>
        <v>0.8</v>
      </c>
      <c r="L933" s="233">
        <f t="shared" ref="L933:L976" si="415">IF(E933=1, $D$62*G933,$E$62*G933)</f>
        <v>5.9200000000000017</v>
      </c>
      <c r="M933" s="220">
        <f t="shared" ref="M933:M976" si="416">IF(E933=1,MAX($D$63:$D$86)*G933,MAX($E$63:$E$86)*G933)</f>
        <v>0.8</v>
      </c>
      <c r="O933" s="873">
        <f t="shared" ref="O933:P976" si="417">$E933*$F$62*IF($G933=0,0,1)</f>
        <v>24</v>
      </c>
      <c r="P933" s="873">
        <f t="shared" si="417"/>
        <v>24</v>
      </c>
      <c r="Q933" s="874">
        <f t="shared" ref="Q933:Q976" si="418">$E933*$G$62*IF($G933=0,0,1)</f>
        <v>20.669999999999998</v>
      </c>
      <c r="R933" s="873">
        <f t="shared" ref="R933:R976" si="419">(O933-S933)*IF($G933=0,0,1)</f>
        <v>10</v>
      </c>
      <c r="S933" s="873">
        <f t="shared" ref="S933:S976" si="420">IF(E933=0,0,COUNTIF(G$63:G$86,1))*IF($G933=0,0,1)</f>
        <v>14</v>
      </c>
      <c r="T933" s="874">
        <f t="shared" ref="T933:T976" si="421">$E933*$H$62*IF($G933=0,0,1)</f>
        <v>17.633411486304666</v>
      </c>
      <c r="U933" s="874">
        <f t="shared" ref="U933:U976" si="422">$E933*$I$62*IF($G933=0,0,1)</f>
        <v>15.750000000000004</v>
      </c>
      <c r="V933" s="873">
        <f t="shared" ref="V933:V976" si="423">IF($E933=0,0,COUNTIF($I$63:$I$86,0.25))*IF($G933=0,0,1)</f>
        <v>7</v>
      </c>
      <c r="W933" s="873">
        <f t="shared" ref="W933:W976" si="424">IF($E933=0,0,COUNTIF($I$63:$I$86,0.4))*IF($G933=0,0,1)</f>
        <v>3</v>
      </c>
      <c r="X933" s="873">
        <f t="shared" ref="X933:X976" si="425">IF($E933=0,0,COUNTIF($I$63:$I$86,0.5))*IF($G933=0,0,1)</f>
        <v>0</v>
      </c>
      <c r="Y933" s="873">
        <f t="shared" ref="Y933:Y976" si="426">IF($E933=0,0,COUNTIF($I$63:$I$86,0.6))*IF($G933=0,0,1)</f>
        <v>1</v>
      </c>
      <c r="Z933" s="873">
        <f t="shared" ref="Z933:Z976" si="427">IF($E933=0,0,COUNTIF($I$63:$I$86,0.8))*IF($G933=0,0,1)</f>
        <v>4</v>
      </c>
      <c r="AA933" s="873">
        <f t="shared" ref="AA933:AA976" si="428">IF($E933=0,0,COUNTIF($I$63:$I$86,1))*IF($G933=0,0,1)</f>
        <v>9</v>
      </c>
      <c r="AB933" s="874">
        <f t="shared" ref="AB933:AB976" si="429">$E933*$J$62*IF($G933=0,0,1)</f>
        <v>13.960871651185032</v>
      </c>
    </row>
    <row r="934" spans="1:28">
      <c r="A934" s="210">
        <f t="shared" ref="A934:A976" si="430">A933</f>
        <v>11</v>
      </c>
      <c r="B934" s="210">
        <f>$F$569</f>
        <v>1</v>
      </c>
      <c r="C934" s="210">
        <f t="shared" si="409"/>
        <v>19</v>
      </c>
      <c r="D934" s="210">
        <f t="shared" si="406"/>
        <v>323</v>
      </c>
      <c r="E934" s="237">
        <f t="shared" si="412"/>
        <v>1</v>
      </c>
      <c r="F934" s="1208">
        <f t="shared" si="410"/>
        <v>1</v>
      </c>
      <c r="G934" s="210">
        <f t="shared" si="411"/>
        <v>0.8</v>
      </c>
      <c r="I934" s="233">
        <f t="shared" si="413"/>
        <v>11.200000000000003</v>
      </c>
      <c r="J934" s="210">
        <f t="shared" si="414"/>
        <v>0.8</v>
      </c>
      <c r="L934" s="233">
        <f t="shared" si="415"/>
        <v>5.9200000000000017</v>
      </c>
      <c r="M934" s="220">
        <f t="shared" si="416"/>
        <v>0.8</v>
      </c>
      <c r="O934" s="873">
        <f t="shared" si="417"/>
        <v>24</v>
      </c>
      <c r="P934" s="873">
        <f t="shared" si="417"/>
        <v>24</v>
      </c>
      <c r="Q934" s="874">
        <f t="shared" si="418"/>
        <v>20.669999999999998</v>
      </c>
      <c r="R934" s="873">
        <f t="shared" si="419"/>
        <v>10</v>
      </c>
      <c r="S934" s="873">
        <f t="shared" si="420"/>
        <v>14</v>
      </c>
      <c r="T934" s="874">
        <f t="shared" si="421"/>
        <v>17.633411486304666</v>
      </c>
      <c r="U934" s="874">
        <f t="shared" si="422"/>
        <v>15.750000000000004</v>
      </c>
      <c r="V934" s="873">
        <f t="shared" si="423"/>
        <v>7</v>
      </c>
      <c r="W934" s="873">
        <f t="shared" si="424"/>
        <v>3</v>
      </c>
      <c r="X934" s="873">
        <f t="shared" si="425"/>
        <v>0</v>
      </c>
      <c r="Y934" s="873">
        <f t="shared" si="426"/>
        <v>1</v>
      </c>
      <c r="Z934" s="873">
        <f t="shared" si="427"/>
        <v>4</v>
      </c>
      <c r="AA934" s="873">
        <f t="shared" si="428"/>
        <v>9</v>
      </c>
      <c r="AB934" s="874">
        <f t="shared" si="429"/>
        <v>13.960871651185032</v>
      </c>
    </row>
    <row r="935" spans="1:28">
      <c r="A935" s="210">
        <f t="shared" si="430"/>
        <v>11</v>
      </c>
      <c r="B935" s="210">
        <f>$F$570</f>
        <v>2</v>
      </c>
      <c r="C935" s="210">
        <f t="shared" si="409"/>
        <v>20</v>
      </c>
      <c r="D935" s="210">
        <f t="shared" si="406"/>
        <v>324</v>
      </c>
      <c r="E935" s="237">
        <f t="shared" si="412"/>
        <v>1</v>
      </c>
      <c r="F935" s="1208">
        <f t="shared" si="410"/>
        <v>1</v>
      </c>
      <c r="G935" s="210">
        <f t="shared" si="411"/>
        <v>0.8</v>
      </c>
      <c r="I935" s="233">
        <f t="shared" si="413"/>
        <v>11.200000000000003</v>
      </c>
      <c r="J935" s="210">
        <f t="shared" si="414"/>
        <v>0.8</v>
      </c>
      <c r="L935" s="233">
        <f t="shared" si="415"/>
        <v>5.9200000000000017</v>
      </c>
      <c r="M935" s="220">
        <f t="shared" si="416"/>
        <v>0.8</v>
      </c>
      <c r="O935" s="873">
        <f t="shared" si="417"/>
        <v>24</v>
      </c>
      <c r="P935" s="873">
        <f t="shared" si="417"/>
        <v>24</v>
      </c>
      <c r="Q935" s="874">
        <f t="shared" si="418"/>
        <v>20.669999999999998</v>
      </c>
      <c r="R935" s="873">
        <f t="shared" si="419"/>
        <v>10</v>
      </c>
      <c r="S935" s="873">
        <f t="shared" si="420"/>
        <v>14</v>
      </c>
      <c r="T935" s="874">
        <f t="shared" si="421"/>
        <v>17.633411486304666</v>
      </c>
      <c r="U935" s="874">
        <f t="shared" si="422"/>
        <v>15.750000000000004</v>
      </c>
      <c r="V935" s="873">
        <f t="shared" si="423"/>
        <v>7</v>
      </c>
      <c r="W935" s="873">
        <f t="shared" si="424"/>
        <v>3</v>
      </c>
      <c r="X935" s="873">
        <f t="shared" si="425"/>
        <v>0</v>
      </c>
      <c r="Y935" s="873">
        <f t="shared" si="426"/>
        <v>1</v>
      </c>
      <c r="Z935" s="873">
        <f t="shared" si="427"/>
        <v>4</v>
      </c>
      <c r="AA935" s="873">
        <f t="shared" si="428"/>
        <v>9</v>
      </c>
      <c r="AB935" s="874">
        <f t="shared" si="429"/>
        <v>13.960871651185032</v>
      </c>
    </row>
    <row r="936" spans="1:28">
      <c r="A936" s="210">
        <f t="shared" si="430"/>
        <v>11</v>
      </c>
      <c r="B936" s="210">
        <f>$F$571</f>
        <v>3</v>
      </c>
      <c r="C936" s="210">
        <f t="shared" si="409"/>
        <v>21</v>
      </c>
      <c r="D936" s="210">
        <f t="shared" si="406"/>
        <v>325</v>
      </c>
      <c r="E936" s="237">
        <f t="shared" si="412"/>
        <v>1</v>
      </c>
      <c r="F936" s="1208">
        <f t="shared" si="410"/>
        <v>1</v>
      </c>
      <c r="G936" s="210">
        <f t="shared" si="411"/>
        <v>0.8</v>
      </c>
      <c r="I936" s="233">
        <f t="shared" si="413"/>
        <v>11.200000000000003</v>
      </c>
      <c r="J936" s="210">
        <f t="shared" si="414"/>
        <v>0.8</v>
      </c>
      <c r="L936" s="233">
        <f t="shared" si="415"/>
        <v>5.9200000000000017</v>
      </c>
      <c r="M936" s="220">
        <f t="shared" si="416"/>
        <v>0.8</v>
      </c>
      <c r="O936" s="873">
        <f t="shared" si="417"/>
        <v>24</v>
      </c>
      <c r="P936" s="873">
        <f t="shared" si="417"/>
        <v>24</v>
      </c>
      <c r="Q936" s="874">
        <f t="shared" si="418"/>
        <v>20.669999999999998</v>
      </c>
      <c r="R936" s="873">
        <f t="shared" si="419"/>
        <v>10</v>
      </c>
      <c r="S936" s="873">
        <f t="shared" si="420"/>
        <v>14</v>
      </c>
      <c r="T936" s="874">
        <f t="shared" si="421"/>
        <v>17.633411486304666</v>
      </c>
      <c r="U936" s="874">
        <f t="shared" si="422"/>
        <v>15.750000000000004</v>
      </c>
      <c r="V936" s="873">
        <f t="shared" si="423"/>
        <v>7</v>
      </c>
      <c r="W936" s="873">
        <f t="shared" si="424"/>
        <v>3</v>
      </c>
      <c r="X936" s="873">
        <f t="shared" si="425"/>
        <v>0</v>
      </c>
      <c r="Y936" s="873">
        <f t="shared" si="426"/>
        <v>1</v>
      </c>
      <c r="Z936" s="873">
        <f t="shared" si="427"/>
        <v>4</v>
      </c>
      <c r="AA936" s="873">
        <f t="shared" si="428"/>
        <v>9</v>
      </c>
      <c r="AB936" s="874">
        <f t="shared" si="429"/>
        <v>13.960871651185032</v>
      </c>
    </row>
    <row r="937" spans="1:28">
      <c r="A937" s="210">
        <f t="shared" si="430"/>
        <v>11</v>
      </c>
      <c r="B937" s="210">
        <f>$F$572</f>
        <v>4</v>
      </c>
      <c r="C937" s="210">
        <f t="shared" si="409"/>
        <v>22</v>
      </c>
      <c r="D937" s="210">
        <f t="shared" si="406"/>
        <v>326</v>
      </c>
      <c r="E937" s="237">
        <f t="shared" si="412"/>
        <v>1</v>
      </c>
      <c r="F937" s="1208">
        <f t="shared" si="410"/>
        <v>1</v>
      </c>
      <c r="G937" s="210">
        <f t="shared" si="411"/>
        <v>0.8</v>
      </c>
      <c r="I937" s="233">
        <f t="shared" si="413"/>
        <v>11.200000000000003</v>
      </c>
      <c r="J937" s="210">
        <f t="shared" si="414"/>
        <v>0.8</v>
      </c>
      <c r="L937" s="233">
        <f t="shared" si="415"/>
        <v>5.9200000000000017</v>
      </c>
      <c r="M937" s="220">
        <f t="shared" si="416"/>
        <v>0.8</v>
      </c>
      <c r="O937" s="873">
        <f t="shared" si="417"/>
        <v>24</v>
      </c>
      <c r="P937" s="873">
        <f t="shared" si="417"/>
        <v>24</v>
      </c>
      <c r="Q937" s="874">
        <f t="shared" si="418"/>
        <v>20.669999999999998</v>
      </c>
      <c r="R937" s="873">
        <f t="shared" si="419"/>
        <v>10</v>
      </c>
      <c r="S937" s="873">
        <f t="shared" si="420"/>
        <v>14</v>
      </c>
      <c r="T937" s="874">
        <f t="shared" si="421"/>
        <v>17.633411486304666</v>
      </c>
      <c r="U937" s="874">
        <f t="shared" si="422"/>
        <v>15.750000000000004</v>
      </c>
      <c r="V937" s="873">
        <f t="shared" si="423"/>
        <v>7</v>
      </c>
      <c r="W937" s="873">
        <f t="shared" si="424"/>
        <v>3</v>
      </c>
      <c r="X937" s="873">
        <f t="shared" si="425"/>
        <v>0</v>
      </c>
      <c r="Y937" s="873">
        <f t="shared" si="426"/>
        <v>1</v>
      </c>
      <c r="Z937" s="873">
        <f t="shared" si="427"/>
        <v>4</v>
      </c>
      <c r="AA937" s="873">
        <f t="shared" si="428"/>
        <v>9</v>
      </c>
      <c r="AB937" s="874">
        <f t="shared" si="429"/>
        <v>13.960871651185032</v>
      </c>
    </row>
    <row r="938" spans="1:28">
      <c r="A938" s="210">
        <f t="shared" si="430"/>
        <v>11</v>
      </c>
      <c r="B938" s="210">
        <f>$F$573</f>
        <v>5</v>
      </c>
      <c r="C938" s="210">
        <f t="shared" si="409"/>
        <v>23</v>
      </c>
      <c r="D938" s="210">
        <f t="shared" si="406"/>
        <v>327</v>
      </c>
      <c r="E938" s="237">
        <f t="shared" si="412"/>
        <v>1</v>
      </c>
      <c r="F938" s="1208">
        <f t="shared" si="410"/>
        <v>1</v>
      </c>
      <c r="G938" s="210">
        <f t="shared" si="411"/>
        <v>0.8</v>
      </c>
      <c r="I938" s="233">
        <f t="shared" si="413"/>
        <v>11.200000000000003</v>
      </c>
      <c r="J938" s="210">
        <f t="shared" si="414"/>
        <v>0.8</v>
      </c>
      <c r="L938" s="233">
        <f t="shared" si="415"/>
        <v>5.9200000000000017</v>
      </c>
      <c r="M938" s="220">
        <f t="shared" si="416"/>
        <v>0.8</v>
      </c>
      <c r="O938" s="873">
        <f t="shared" si="417"/>
        <v>24</v>
      </c>
      <c r="P938" s="873">
        <f t="shared" si="417"/>
        <v>24</v>
      </c>
      <c r="Q938" s="874">
        <f t="shared" si="418"/>
        <v>20.669999999999998</v>
      </c>
      <c r="R938" s="873">
        <f t="shared" si="419"/>
        <v>10</v>
      </c>
      <c r="S938" s="873">
        <f t="shared" si="420"/>
        <v>14</v>
      </c>
      <c r="T938" s="874">
        <f t="shared" si="421"/>
        <v>17.633411486304666</v>
      </c>
      <c r="U938" s="874">
        <f t="shared" si="422"/>
        <v>15.750000000000004</v>
      </c>
      <c r="V938" s="873">
        <f t="shared" si="423"/>
        <v>7</v>
      </c>
      <c r="W938" s="873">
        <f t="shared" si="424"/>
        <v>3</v>
      </c>
      <c r="X938" s="873">
        <f t="shared" si="425"/>
        <v>0</v>
      </c>
      <c r="Y938" s="873">
        <f t="shared" si="426"/>
        <v>1</v>
      </c>
      <c r="Z938" s="873">
        <f t="shared" si="427"/>
        <v>4</v>
      </c>
      <c r="AA938" s="873">
        <f t="shared" si="428"/>
        <v>9</v>
      </c>
      <c r="AB938" s="874">
        <f t="shared" si="429"/>
        <v>13.960871651185032</v>
      </c>
    </row>
    <row r="939" spans="1:28">
      <c r="A939" s="210">
        <f t="shared" si="430"/>
        <v>11</v>
      </c>
      <c r="B939" s="210">
        <f>$F$574</f>
        <v>6</v>
      </c>
      <c r="C939" s="210">
        <f t="shared" si="409"/>
        <v>24</v>
      </c>
      <c r="D939" s="210">
        <f t="shared" si="406"/>
        <v>328</v>
      </c>
      <c r="E939" s="237">
        <f t="shared" si="412"/>
        <v>1</v>
      </c>
      <c r="F939" s="1208">
        <f t="shared" si="410"/>
        <v>1</v>
      </c>
      <c r="G939" s="210">
        <f t="shared" si="411"/>
        <v>0.8</v>
      </c>
      <c r="I939" s="233">
        <f t="shared" si="413"/>
        <v>11.200000000000003</v>
      </c>
      <c r="J939" s="210">
        <f t="shared" si="414"/>
        <v>0.8</v>
      </c>
      <c r="L939" s="233">
        <f t="shared" si="415"/>
        <v>5.9200000000000017</v>
      </c>
      <c r="M939" s="220">
        <f t="shared" si="416"/>
        <v>0.8</v>
      </c>
      <c r="O939" s="873">
        <f t="shared" si="417"/>
        <v>24</v>
      </c>
      <c r="P939" s="873">
        <f t="shared" si="417"/>
        <v>24</v>
      </c>
      <c r="Q939" s="874">
        <f t="shared" si="418"/>
        <v>20.669999999999998</v>
      </c>
      <c r="R939" s="873">
        <f t="shared" si="419"/>
        <v>10</v>
      </c>
      <c r="S939" s="873">
        <f t="shared" si="420"/>
        <v>14</v>
      </c>
      <c r="T939" s="874">
        <f t="shared" si="421"/>
        <v>17.633411486304666</v>
      </c>
      <c r="U939" s="874">
        <f t="shared" si="422"/>
        <v>15.750000000000004</v>
      </c>
      <c r="V939" s="873">
        <f t="shared" si="423"/>
        <v>7</v>
      </c>
      <c r="W939" s="873">
        <f t="shared" si="424"/>
        <v>3</v>
      </c>
      <c r="X939" s="873">
        <f t="shared" si="425"/>
        <v>0</v>
      </c>
      <c r="Y939" s="873">
        <f t="shared" si="426"/>
        <v>1</v>
      </c>
      <c r="Z939" s="873">
        <f t="shared" si="427"/>
        <v>4</v>
      </c>
      <c r="AA939" s="873">
        <f t="shared" si="428"/>
        <v>9</v>
      </c>
      <c r="AB939" s="874">
        <f t="shared" si="429"/>
        <v>13.960871651185032</v>
      </c>
    </row>
    <row r="940" spans="1:28">
      <c r="A940" s="210">
        <f t="shared" si="430"/>
        <v>11</v>
      </c>
      <c r="B940" s="210">
        <f>$F$575</f>
        <v>7</v>
      </c>
      <c r="C940" s="210">
        <f t="shared" si="409"/>
        <v>25</v>
      </c>
      <c r="D940" s="210">
        <f t="shared" si="406"/>
        <v>329</v>
      </c>
      <c r="E940" s="237">
        <f t="shared" si="412"/>
        <v>1</v>
      </c>
      <c r="F940" s="1208">
        <f t="shared" si="410"/>
        <v>1</v>
      </c>
      <c r="G940" s="210">
        <f t="shared" si="411"/>
        <v>0.8</v>
      </c>
      <c r="I940" s="233">
        <f t="shared" si="413"/>
        <v>11.200000000000003</v>
      </c>
      <c r="J940" s="210">
        <f t="shared" si="414"/>
        <v>0.8</v>
      </c>
      <c r="L940" s="233">
        <f t="shared" si="415"/>
        <v>5.9200000000000017</v>
      </c>
      <c r="M940" s="220">
        <f t="shared" si="416"/>
        <v>0.8</v>
      </c>
      <c r="O940" s="873">
        <f t="shared" si="417"/>
        <v>24</v>
      </c>
      <c r="P940" s="873">
        <f t="shared" si="417"/>
        <v>24</v>
      </c>
      <c r="Q940" s="874">
        <f t="shared" si="418"/>
        <v>20.669999999999998</v>
      </c>
      <c r="R940" s="873">
        <f t="shared" si="419"/>
        <v>10</v>
      </c>
      <c r="S940" s="873">
        <f t="shared" si="420"/>
        <v>14</v>
      </c>
      <c r="T940" s="874">
        <f t="shared" si="421"/>
        <v>17.633411486304666</v>
      </c>
      <c r="U940" s="874">
        <f t="shared" si="422"/>
        <v>15.750000000000004</v>
      </c>
      <c r="V940" s="873">
        <f t="shared" si="423"/>
        <v>7</v>
      </c>
      <c r="W940" s="873">
        <f t="shared" si="424"/>
        <v>3</v>
      </c>
      <c r="X940" s="873">
        <f t="shared" si="425"/>
        <v>0</v>
      </c>
      <c r="Y940" s="873">
        <f t="shared" si="426"/>
        <v>1</v>
      </c>
      <c r="Z940" s="873">
        <f t="shared" si="427"/>
        <v>4</v>
      </c>
      <c r="AA940" s="873">
        <f t="shared" si="428"/>
        <v>9</v>
      </c>
      <c r="AB940" s="874">
        <f t="shared" si="429"/>
        <v>13.960871651185032</v>
      </c>
    </row>
    <row r="941" spans="1:28">
      <c r="A941" s="210">
        <f t="shared" si="430"/>
        <v>11</v>
      </c>
      <c r="B941" s="210">
        <f>$F$569</f>
        <v>1</v>
      </c>
      <c r="C941" s="210">
        <f t="shared" si="409"/>
        <v>26</v>
      </c>
      <c r="D941" s="210">
        <f t="shared" si="406"/>
        <v>330</v>
      </c>
      <c r="E941" s="237">
        <f t="shared" si="412"/>
        <v>1</v>
      </c>
      <c r="F941" s="1208">
        <f t="shared" si="410"/>
        <v>1</v>
      </c>
      <c r="G941" s="210">
        <f t="shared" si="411"/>
        <v>0.8</v>
      </c>
      <c r="I941" s="233">
        <f t="shared" si="413"/>
        <v>11.200000000000003</v>
      </c>
      <c r="J941" s="210">
        <f t="shared" si="414"/>
        <v>0.8</v>
      </c>
      <c r="L941" s="233">
        <f t="shared" si="415"/>
        <v>5.9200000000000017</v>
      </c>
      <c r="M941" s="220">
        <f t="shared" si="416"/>
        <v>0.8</v>
      </c>
      <c r="O941" s="873">
        <f t="shared" si="417"/>
        <v>24</v>
      </c>
      <c r="P941" s="873">
        <f t="shared" si="417"/>
        <v>24</v>
      </c>
      <c r="Q941" s="874">
        <f t="shared" si="418"/>
        <v>20.669999999999998</v>
      </c>
      <c r="R941" s="873">
        <f t="shared" si="419"/>
        <v>10</v>
      </c>
      <c r="S941" s="873">
        <f t="shared" si="420"/>
        <v>14</v>
      </c>
      <c r="T941" s="874">
        <f t="shared" si="421"/>
        <v>17.633411486304666</v>
      </c>
      <c r="U941" s="874">
        <f t="shared" si="422"/>
        <v>15.750000000000004</v>
      </c>
      <c r="V941" s="873">
        <f t="shared" si="423"/>
        <v>7</v>
      </c>
      <c r="W941" s="873">
        <f t="shared" si="424"/>
        <v>3</v>
      </c>
      <c r="X941" s="873">
        <f t="shared" si="425"/>
        <v>0</v>
      </c>
      <c r="Y941" s="873">
        <f t="shared" si="426"/>
        <v>1</v>
      </c>
      <c r="Z941" s="873">
        <f t="shared" si="427"/>
        <v>4</v>
      </c>
      <c r="AA941" s="873">
        <f t="shared" si="428"/>
        <v>9</v>
      </c>
      <c r="AB941" s="874">
        <f t="shared" si="429"/>
        <v>13.960871651185032</v>
      </c>
    </row>
    <row r="942" spans="1:28">
      <c r="A942" s="210">
        <f t="shared" si="430"/>
        <v>11</v>
      </c>
      <c r="B942" s="210">
        <f>$F$570</f>
        <v>2</v>
      </c>
      <c r="C942" s="210">
        <f t="shared" si="409"/>
        <v>27</v>
      </c>
      <c r="D942" s="210">
        <f t="shared" si="406"/>
        <v>331</v>
      </c>
      <c r="E942" s="237">
        <f t="shared" si="412"/>
        <v>1</v>
      </c>
      <c r="F942" s="1208">
        <f t="shared" si="410"/>
        <v>1</v>
      </c>
      <c r="G942" s="210">
        <f t="shared" si="411"/>
        <v>0.8</v>
      </c>
      <c r="I942" s="233">
        <f t="shared" si="413"/>
        <v>11.200000000000003</v>
      </c>
      <c r="J942" s="210">
        <f t="shared" si="414"/>
        <v>0.8</v>
      </c>
      <c r="L942" s="233">
        <f t="shared" si="415"/>
        <v>5.9200000000000017</v>
      </c>
      <c r="M942" s="220">
        <f t="shared" si="416"/>
        <v>0.8</v>
      </c>
      <c r="O942" s="873">
        <f t="shared" si="417"/>
        <v>24</v>
      </c>
      <c r="P942" s="873">
        <f t="shared" si="417"/>
        <v>24</v>
      </c>
      <c r="Q942" s="874">
        <f t="shared" si="418"/>
        <v>20.669999999999998</v>
      </c>
      <c r="R942" s="873">
        <f t="shared" si="419"/>
        <v>10</v>
      </c>
      <c r="S942" s="873">
        <f t="shared" si="420"/>
        <v>14</v>
      </c>
      <c r="T942" s="874">
        <f t="shared" si="421"/>
        <v>17.633411486304666</v>
      </c>
      <c r="U942" s="874">
        <f t="shared" si="422"/>
        <v>15.750000000000004</v>
      </c>
      <c r="V942" s="873">
        <f t="shared" si="423"/>
        <v>7</v>
      </c>
      <c r="W942" s="873">
        <f t="shared" si="424"/>
        <v>3</v>
      </c>
      <c r="X942" s="873">
        <f t="shared" si="425"/>
        <v>0</v>
      </c>
      <c r="Y942" s="873">
        <f t="shared" si="426"/>
        <v>1</v>
      </c>
      <c r="Z942" s="873">
        <f t="shared" si="427"/>
        <v>4</v>
      </c>
      <c r="AA942" s="873">
        <f t="shared" si="428"/>
        <v>9</v>
      </c>
      <c r="AB942" s="874">
        <f t="shared" si="429"/>
        <v>13.960871651185032</v>
      </c>
    </row>
    <row r="943" spans="1:28">
      <c r="A943" s="210">
        <f t="shared" si="430"/>
        <v>11</v>
      </c>
      <c r="B943" s="210">
        <f>$F$571</f>
        <v>3</v>
      </c>
      <c r="C943" s="210">
        <f t="shared" si="409"/>
        <v>28</v>
      </c>
      <c r="D943" s="210">
        <f t="shared" si="406"/>
        <v>332</v>
      </c>
      <c r="E943" s="237">
        <f t="shared" si="412"/>
        <v>1</v>
      </c>
      <c r="F943" s="1208">
        <f t="shared" si="410"/>
        <v>1</v>
      </c>
      <c r="G943" s="210">
        <f t="shared" si="411"/>
        <v>0.8</v>
      </c>
      <c r="I943" s="233">
        <f t="shared" si="413"/>
        <v>11.200000000000003</v>
      </c>
      <c r="J943" s="210">
        <f t="shared" si="414"/>
        <v>0.8</v>
      </c>
      <c r="L943" s="233">
        <f t="shared" si="415"/>
        <v>5.9200000000000017</v>
      </c>
      <c r="M943" s="220">
        <f t="shared" si="416"/>
        <v>0.8</v>
      </c>
      <c r="O943" s="873">
        <f t="shared" si="417"/>
        <v>24</v>
      </c>
      <c r="P943" s="873">
        <f t="shared" si="417"/>
        <v>24</v>
      </c>
      <c r="Q943" s="874">
        <f t="shared" si="418"/>
        <v>20.669999999999998</v>
      </c>
      <c r="R943" s="873">
        <f t="shared" si="419"/>
        <v>10</v>
      </c>
      <c r="S943" s="873">
        <f t="shared" si="420"/>
        <v>14</v>
      </c>
      <c r="T943" s="874">
        <f t="shared" si="421"/>
        <v>17.633411486304666</v>
      </c>
      <c r="U943" s="874">
        <f t="shared" si="422"/>
        <v>15.750000000000004</v>
      </c>
      <c r="V943" s="873">
        <f t="shared" si="423"/>
        <v>7</v>
      </c>
      <c r="W943" s="873">
        <f t="shared" si="424"/>
        <v>3</v>
      </c>
      <c r="X943" s="873">
        <f t="shared" si="425"/>
        <v>0</v>
      </c>
      <c r="Y943" s="873">
        <f t="shared" si="426"/>
        <v>1</v>
      </c>
      <c r="Z943" s="873">
        <f t="shared" si="427"/>
        <v>4</v>
      </c>
      <c r="AA943" s="873">
        <f t="shared" si="428"/>
        <v>9</v>
      </c>
      <c r="AB943" s="874">
        <f t="shared" si="429"/>
        <v>13.960871651185032</v>
      </c>
    </row>
    <row r="944" spans="1:28">
      <c r="A944" s="210">
        <f t="shared" si="430"/>
        <v>11</v>
      </c>
      <c r="B944" s="210">
        <f>$F$572</f>
        <v>4</v>
      </c>
      <c r="C944" s="210">
        <f t="shared" si="409"/>
        <v>29</v>
      </c>
      <c r="D944" s="210">
        <f t="shared" si="406"/>
        <v>333</v>
      </c>
      <c r="E944" s="237">
        <f t="shared" si="412"/>
        <v>1</v>
      </c>
      <c r="F944" s="1208">
        <f t="shared" si="410"/>
        <v>1</v>
      </c>
      <c r="G944" s="210">
        <f t="shared" si="411"/>
        <v>0.8</v>
      </c>
      <c r="I944" s="233">
        <f t="shared" si="413"/>
        <v>11.200000000000003</v>
      </c>
      <c r="J944" s="210">
        <f t="shared" si="414"/>
        <v>0.8</v>
      </c>
      <c r="L944" s="233">
        <f t="shared" si="415"/>
        <v>5.9200000000000017</v>
      </c>
      <c r="M944" s="220">
        <f t="shared" si="416"/>
        <v>0.8</v>
      </c>
      <c r="O944" s="873">
        <f t="shared" si="417"/>
        <v>24</v>
      </c>
      <c r="P944" s="873">
        <f t="shared" si="417"/>
        <v>24</v>
      </c>
      <c r="Q944" s="874">
        <f t="shared" si="418"/>
        <v>20.669999999999998</v>
      </c>
      <c r="R944" s="873">
        <f t="shared" si="419"/>
        <v>10</v>
      </c>
      <c r="S944" s="873">
        <f t="shared" si="420"/>
        <v>14</v>
      </c>
      <c r="T944" s="874">
        <f t="shared" si="421"/>
        <v>17.633411486304666</v>
      </c>
      <c r="U944" s="874">
        <f t="shared" si="422"/>
        <v>15.750000000000004</v>
      </c>
      <c r="V944" s="873">
        <f t="shared" si="423"/>
        <v>7</v>
      </c>
      <c r="W944" s="873">
        <f t="shared" si="424"/>
        <v>3</v>
      </c>
      <c r="X944" s="873">
        <f t="shared" si="425"/>
        <v>0</v>
      </c>
      <c r="Y944" s="873">
        <f t="shared" si="426"/>
        <v>1</v>
      </c>
      <c r="Z944" s="873">
        <f t="shared" si="427"/>
        <v>4</v>
      </c>
      <c r="AA944" s="873">
        <f t="shared" si="428"/>
        <v>9</v>
      </c>
      <c r="AB944" s="874">
        <f t="shared" si="429"/>
        <v>13.960871651185032</v>
      </c>
    </row>
    <row r="945" spans="1:28">
      <c r="A945" s="210">
        <f t="shared" si="430"/>
        <v>11</v>
      </c>
      <c r="B945" s="210">
        <f>$F$573</f>
        <v>5</v>
      </c>
      <c r="C945" s="210">
        <f t="shared" si="409"/>
        <v>30</v>
      </c>
      <c r="D945" s="210">
        <f t="shared" si="406"/>
        <v>334</v>
      </c>
      <c r="E945" s="237">
        <f t="shared" si="412"/>
        <v>1</v>
      </c>
      <c r="F945" s="1208">
        <f t="shared" si="410"/>
        <v>1</v>
      </c>
      <c r="G945" s="210">
        <f t="shared" si="411"/>
        <v>0.8</v>
      </c>
      <c r="I945" s="233">
        <f t="shared" si="413"/>
        <v>11.200000000000003</v>
      </c>
      <c r="J945" s="210">
        <f t="shared" si="414"/>
        <v>0.8</v>
      </c>
      <c r="L945" s="233">
        <f t="shared" si="415"/>
        <v>5.9200000000000017</v>
      </c>
      <c r="M945" s="220">
        <f t="shared" si="416"/>
        <v>0.8</v>
      </c>
      <c r="O945" s="873">
        <f t="shared" si="417"/>
        <v>24</v>
      </c>
      <c r="P945" s="873">
        <f t="shared" si="417"/>
        <v>24</v>
      </c>
      <c r="Q945" s="874">
        <f t="shared" si="418"/>
        <v>20.669999999999998</v>
      </c>
      <c r="R945" s="873">
        <f t="shared" si="419"/>
        <v>10</v>
      </c>
      <c r="S945" s="873">
        <f t="shared" si="420"/>
        <v>14</v>
      </c>
      <c r="T945" s="874">
        <f t="shared" si="421"/>
        <v>17.633411486304666</v>
      </c>
      <c r="U945" s="874">
        <f t="shared" si="422"/>
        <v>15.750000000000004</v>
      </c>
      <c r="V945" s="873">
        <f t="shared" si="423"/>
        <v>7</v>
      </c>
      <c r="W945" s="873">
        <f t="shared" si="424"/>
        <v>3</v>
      </c>
      <c r="X945" s="873">
        <f t="shared" si="425"/>
        <v>0</v>
      </c>
      <c r="Y945" s="873">
        <f t="shared" si="426"/>
        <v>1</v>
      </c>
      <c r="Z945" s="873">
        <f t="shared" si="427"/>
        <v>4</v>
      </c>
      <c r="AA945" s="873">
        <f t="shared" si="428"/>
        <v>9</v>
      </c>
      <c r="AB945" s="874">
        <f t="shared" si="429"/>
        <v>13.960871651185032</v>
      </c>
    </row>
    <row r="946" spans="1:28">
      <c r="A946" s="210">
        <v>12</v>
      </c>
      <c r="B946" s="210">
        <f>$F$574</f>
        <v>6</v>
      </c>
      <c r="C946" s="210">
        <v>1</v>
      </c>
      <c r="D946" s="210">
        <f t="shared" si="406"/>
        <v>335</v>
      </c>
      <c r="E946" s="237">
        <f t="shared" si="412"/>
        <v>1</v>
      </c>
      <c r="F946" s="1208">
        <f t="shared" si="410"/>
        <v>0.6</v>
      </c>
      <c r="G946" s="210">
        <f t="shared" si="411"/>
        <v>0.8</v>
      </c>
      <c r="I946" s="233">
        <f t="shared" si="413"/>
        <v>11.200000000000003</v>
      </c>
      <c r="J946" s="210">
        <f t="shared" si="414"/>
        <v>0.8</v>
      </c>
      <c r="L946" s="233">
        <f t="shared" si="415"/>
        <v>5.9200000000000017</v>
      </c>
      <c r="M946" s="220">
        <f t="shared" si="416"/>
        <v>0.8</v>
      </c>
      <c r="O946" s="873">
        <f t="shared" si="417"/>
        <v>24</v>
      </c>
      <c r="P946" s="873">
        <f t="shared" si="417"/>
        <v>24</v>
      </c>
      <c r="Q946" s="874">
        <f t="shared" si="418"/>
        <v>20.669999999999998</v>
      </c>
      <c r="R946" s="873">
        <f t="shared" si="419"/>
        <v>10</v>
      </c>
      <c r="S946" s="873">
        <f t="shared" si="420"/>
        <v>14</v>
      </c>
      <c r="T946" s="874">
        <f t="shared" si="421"/>
        <v>17.633411486304666</v>
      </c>
      <c r="U946" s="874">
        <f t="shared" si="422"/>
        <v>15.750000000000004</v>
      </c>
      <c r="V946" s="873">
        <f t="shared" si="423"/>
        <v>7</v>
      </c>
      <c r="W946" s="873">
        <f t="shared" si="424"/>
        <v>3</v>
      </c>
      <c r="X946" s="873">
        <f t="shared" si="425"/>
        <v>0</v>
      </c>
      <c r="Y946" s="873">
        <f t="shared" si="426"/>
        <v>1</v>
      </c>
      <c r="Z946" s="873">
        <f t="shared" si="427"/>
        <v>4</v>
      </c>
      <c r="AA946" s="873">
        <f t="shared" si="428"/>
        <v>9</v>
      </c>
      <c r="AB946" s="874">
        <f t="shared" si="429"/>
        <v>13.960871651185032</v>
      </c>
    </row>
    <row r="947" spans="1:28">
      <c r="A947" s="210">
        <f t="shared" si="430"/>
        <v>12</v>
      </c>
      <c r="B947" s="210">
        <f>$F$575</f>
        <v>7</v>
      </c>
      <c r="C947" s="210">
        <f>C946+1</f>
        <v>2</v>
      </c>
      <c r="D947" s="210">
        <f t="shared" si="406"/>
        <v>336</v>
      </c>
      <c r="E947" s="237">
        <f t="shared" si="412"/>
        <v>1</v>
      </c>
      <c r="F947" s="1208">
        <f t="shared" si="410"/>
        <v>0.6</v>
      </c>
      <c r="G947" s="210">
        <f t="shared" si="411"/>
        <v>0.8</v>
      </c>
      <c r="I947" s="233">
        <f t="shared" si="413"/>
        <v>11.200000000000003</v>
      </c>
      <c r="J947" s="210">
        <f t="shared" si="414"/>
        <v>0.8</v>
      </c>
      <c r="L947" s="233">
        <f t="shared" si="415"/>
        <v>5.9200000000000017</v>
      </c>
      <c r="M947" s="220">
        <f t="shared" si="416"/>
        <v>0.8</v>
      </c>
      <c r="O947" s="873">
        <f t="shared" si="417"/>
        <v>24</v>
      </c>
      <c r="P947" s="873">
        <f t="shared" si="417"/>
        <v>24</v>
      </c>
      <c r="Q947" s="874">
        <f t="shared" si="418"/>
        <v>20.669999999999998</v>
      </c>
      <c r="R947" s="873">
        <f t="shared" si="419"/>
        <v>10</v>
      </c>
      <c r="S947" s="873">
        <f t="shared" si="420"/>
        <v>14</v>
      </c>
      <c r="T947" s="874">
        <f t="shared" si="421"/>
        <v>17.633411486304666</v>
      </c>
      <c r="U947" s="874">
        <f t="shared" si="422"/>
        <v>15.750000000000004</v>
      </c>
      <c r="V947" s="873">
        <f t="shared" si="423"/>
        <v>7</v>
      </c>
      <c r="W947" s="873">
        <f t="shared" si="424"/>
        <v>3</v>
      </c>
      <c r="X947" s="873">
        <f t="shared" si="425"/>
        <v>0</v>
      </c>
      <c r="Y947" s="873">
        <f t="shared" si="426"/>
        <v>1</v>
      </c>
      <c r="Z947" s="873">
        <f t="shared" si="427"/>
        <v>4</v>
      </c>
      <c r="AA947" s="873">
        <f t="shared" si="428"/>
        <v>9</v>
      </c>
      <c r="AB947" s="874">
        <f t="shared" si="429"/>
        <v>13.960871651185032</v>
      </c>
    </row>
    <row r="948" spans="1:28">
      <c r="A948" s="210">
        <f t="shared" si="430"/>
        <v>12</v>
      </c>
      <c r="B948" s="210">
        <f>$F$569</f>
        <v>1</v>
      </c>
      <c r="C948" s="210">
        <f>C947+1</f>
        <v>3</v>
      </c>
      <c r="D948" s="210">
        <f t="shared" si="406"/>
        <v>337</v>
      </c>
      <c r="E948" s="237">
        <f t="shared" si="412"/>
        <v>1</v>
      </c>
      <c r="F948" s="1208">
        <f t="shared" si="410"/>
        <v>0.6</v>
      </c>
      <c r="G948" s="210">
        <f t="shared" si="411"/>
        <v>0.8</v>
      </c>
      <c r="I948" s="233">
        <f t="shared" si="413"/>
        <v>11.200000000000003</v>
      </c>
      <c r="J948" s="210">
        <f t="shared" si="414"/>
        <v>0.8</v>
      </c>
      <c r="L948" s="233">
        <f t="shared" si="415"/>
        <v>5.9200000000000017</v>
      </c>
      <c r="M948" s="220">
        <f t="shared" si="416"/>
        <v>0.8</v>
      </c>
      <c r="O948" s="873">
        <f t="shared" si="417"/>
        <v>24</v>
      </c>
      <c r="P948" s="873">
        <f t="shared" si="417"/>
        <v>24</v>
      </c>
      <c r="Q948" s="874">
        <f t="shared" si="418"/>
        <v>20.669999999999998</v>
      </c>
      <c r="R948" s="873">
        <f t="shared" si="419"/>
        <v>10</v>
      </c>
      <c r="S948" s="873">
        <f t="shared" si="420"/>
        <v>14</v>
      </c>
      <c r="T948" s="874">
        <f t="shared" si="421"/>
        <v>17.633411486304666</v>
      </c>
      <c r="U948" s="874">
        <f t="shared" si="422"/>
        <v>15.750000000000004</v>
      </c>
      <c r="V948" s="873">
        <f t="shared" si="423"/>
        <v>7</v>
      </c>
      <c r="W948" s="873">
        <f t="shared" si="424"/>
        <v>3</v>
      </c>
      <c r="X948" s="873">
        <f t="shared" si="425"/>
        <v>0</v>
      </c>
      <c r="Y948" s="873">
        <f t="shared" si="426"/>
        <v>1</v>
      </c>
      <c r="Z948" s="873">
        <f t="shared" si="427"/>
        <v>4</v>
      </c>
      <c r="AA948" s="873">
        <f t="shared" si="428"/>
        <v>9</v>
      </c>
      <c r="AB948" s="874">
        <f t="shared" si="429"/>
        <v>13.960871651185032</v>
      </c>
    </row>
    <row r="949" spans="1:28">
      <c r="A949" s="210">
        <f t="shared" si="430"/>
        <v>12</v>
      </c>
      <c r="B949" s="210">
        <f>$F$570</f>
        <v>2</v>
      </c>
      <c r="C949" s="210">
        <f>C948+1</f>
        <v>4</v>
      </c>
      <c r="D949" s="210">
        <f>D948+1</f>
        <v>338</v>
      </c>
      <c r="E949" s="237">
        <f t="shared" si="412"/>
        <v>1</v>
      </c>
      <c r="F949" s="1208">
        <f t="shared" si="410"/>
        <v>0.6</v>
      </c>
      <c r="G949" s="210">
        <f t="shared" si="411"/>
        <v>0.8</v>
      </c>
      <c r="I949" s="233">
        <f t="shared" si="413"/>
        <v>11.200000000000003</v>
      </c>
      <c r="J949" s="210">
        <f t="shared" si="414"/>
        <v>0.8</v>
      </c>
      <c r="L949" s="233">
        <f t="shared" si="415"/>
        <v>5.9200000000000017</v>
      </c>
      <c r="M949" s="220">
        <f t="shared" si="416"/>
        <v>0.8</v>
      </c>
      <c r="O949" s="873">
        <f t="shared" si="417"/>
        <v>24</v>
      </c>
      <c r="P949" s="873">
        <f t="shared" si="417"/>
        <v>24</v>
      </c>
      <c r="Q949" s="874">
        <f t="shared" si="418"/>
        <v>20.669999999999998</v>
      </c>
      <c r="R949" s="873">
        <f t="shared" si="419"/>
        <v>10</v>
      </c>
      <c r="S949" s="873">
        <f t="shared" si="420"/>
        <v>14</v>
      </c>
      <c r="T949" s="874">
        <f t="shared" si="421"/>
        <v>17.633411486304666</v>
      </c>
      <c r="U949" s="874">
        <f t="shared" si="422"/>
        <v>15.750000000000004</v>
      </c>
      <c r="V949" s="873">
        <f t="shared" si="423"/>
        <v>7</v>
      </c>
      <c r="W949" s="873">
        <f t="shared" si="424"/>
        <v>3</v>
      </c>
      <c r="X949" s="873">
        <f t="shared" si="425"/>
        <v>0</v>
      </c>
      <c r="Y949" s="873">
        <f t="shared" si="426"/>
        <v>1</v>
      </c>
      <c r="Z949" s="873">
        <f t="shared" si="427"/>
        <v>4</v>
      </c>
      <c r="AA949" s="873">
        <f t="shared" si="428"/>
        <v>9</v>
      </c>
      <c r="AB949" s="874">
        <f t="shared" si="429"/>
        <v>13.960871651185032</v>
      </c>
    </row>
    <row r="950" spans="1:28">
      <c r="A950" s="210">
        <f t="shared" si="430"/>
        <v>12</v>
      </c>
      <c r="B950" s="210">
        <f>$F$571</f>
        <v>3</v>
      </c>
      <c r="C950" s="210">
        <f t="shared" ref="C950:D965" si="431">C949+1</f>
        <v>5</v>
      </c>
      <c r="D950" s="210">
        <f t="shared" si="431"/>
        <v>339</v>
      </c>
      <c r="E950" s="237">
        <f t="shared" si="412"/>
        <v>1</v>
      </c>
      <c r="F950" s="1208">
        <f t="shared" si="410"/>
        <v>0.6</v>
      </c>
      <c r="G950" s="210">
        <f t="shared" si="411"/>
        <v>0.8</v>
      </c>
      <c r="I950" s="233">
        <f t="shared" si="413"/>
        <v>11.200000000000003</v>
      </c>
      <c r="J950" s="210">
        <f t="shared" si="414"/>
        <v>0.8</v>
      </c>
      <c r="L950" s="233">
        <f t="shared" si="415"/>
        <v>5.9200000000000017</v>
      </c>
      <c r="M950" s="220">
        <f t="shared" si="416"/>
        <v>0.8</v>
      </c>
      <c r="O950" s="873">
        <f t="shared" si="417"/>
        <v>24</v>
      </c>
      <c r="P950" s="873">
        <f t="shared" si="417"/>
        <v>24</v>
      </c>
      <c r="Q950" s="874">
        <f t="shared" si="418"/>
        <v>20.669999999999998</v>
      </c>
      <c r="R950" s="873">
        <f t="shared" si="419"/>
        <v>10</v>
      </c>
      <c r="S950" s="873">
        <f t="shared" si="420"/>
        <v>14</v>
      </c>
      <c r="T950" s="874">
        <f t="shared" si="421"/>
        <v>17.633411486304666</v>
      </c>
      <c r="U950" s="874">
        <f t="shared" si="422"/>
        <v>15.750000000000004</v>
      </c>
      <c r="V950" s="873">
        <f t="shared" si="423"/>
        <v>7</v>
      </c>
      <c r="W950" s="873">
        <f t="shared" si="424"/>
        <v>3</v>
      </c>
      <c r="X950" s="873">
        <f t="shared" si="425"/>
        <v>0</v>
      </c>
      <c r="Y950" s="873">
        <f t="shared" si="426"/>
        <v>1</v>
      </c>
      <c r="Z950" s="873">
        <f t="shared" si="427"/>
        <v>4</v>
      </c>
      <c r="AA950" s="873">
        <f t="shared" si="428"/>
        <v>9</v>
      </c>
      <c r="AB950" s="874">
        <f t="shared" si="429"/>
        <v>13.960871651185032</v>
      </c>
    </row>
    <row r="951" spans="1:28">
      <c r="A951" s="210">
        <f t="shared" si="430"/>
        <v>12</v>
      </c>
      <c r="B951" s="210">
        <f>$F$572</f>
        <v>4</v>
      </c>
      <c r="C951" s="210">
        <f t="shared" si="431"/>
        <v>6</v>
      </c>
      <c r="D951" s="210">
        <f t="shared" si="431"/>
        <v>340</v>
      </c>
      <c r="E951" s="237">
        <f t="shared" si="412"/>
        <v>1</v>
      </c>
      <c r="F951" s="1208">
        <f t="shared" si="410"/>
        <v>0.6</v>
      </c>
      <c r="G951" s="210">
        <f t="shared" si="411"/>
        <v>0.8</v>
      </c>
      <c r="I951" s="233">
        <f t="shared" si="413"/>
        <v>11.200000000000003</v>
      </c>
      <c r="J951" s="210">
        <f t="shared" si="414"/>
        <v>0.8</v>
      </c>
      <c r="L951" s="233">
        <f t="shared" si="415"/>
        <v>5.9200000000000017</v>
      </c>
      <c r="M951" s="220">
        <f t="shared" si="416"/>
        <v>0.8</v>
      </c>
      <c r="O951" s="873">
        <f t="shared" si="417"/>
        <v>24</v>
      </c>
      <c r="P951" s="873">
        <f t="shared" si="417"/>
        <v>24</v>
      </c>
      <c r="Q951" s="874">
        <f t="shared" si="418"/>
        <v>20.669999999999998</v>
      </c>
      <c r="R951" s="873">
        <f t="shared" si="419"/>
        <v>10</v>
      </c>
      <c r="S951" s="873">
        <f t="shared" si="420"/>
        <v>14</v>
      </c>
      <c r="T951" s="874">
        <f t="shared" si="421"/>
        <v>17.633411486304666</v>
      </c>
      <c r="U951" s="874">
        <f t="shared" si="422"/>
        <v>15.750000000000004</v>
      </c>
      <c r="V951" s="873">
        <f t="shared" si="423"/>
        <v>7</v>
      </c>
      <c r="W951" s="873">
        <f t="shared" si="424"/>
        <v>3</v>
      </c>
      <c r="X951" s="873">
        <f t="shared" si="425"/>
        <v>0</v>
      </c>
      <c r="Y951" s="873">
        <f t="shared" si="426"/>
        <v>1</v>
      </c>
      <c r="Z951" s="873">
        <f t="shared" si="427"/>
        <v>4</v>
      </c>
      <c r="AA951" s="873">
        <f t="shared" si="428"/>
        <v>9</v>
      </c>
      <c r="AB951" s="874">
        <f t="shared" si="429"/>
        <v>13.960871651185032</v>
      </c>
    </row>
    <row r="952" spans="1:28">
      <c r="A952" s="210">
        <f t="shared" si="430"/>
        <v>12</v>
      </c>
      <c r="B952" s="210">
        <f>$F$573</f>
        <v>5</v>
      </c>
      <c r="C952" s="210">
        <f t="shared" si="431"/>
        <v>7</v>
      </c>
      <c r="D952" s="210">
        <f t="shared" si="431"/>
        <v>341</v>
      </c>
      <c r="E952" s="237">
        <f t="shared" si="412"/>
        <v>1</v>
      </c>
      <c r="F952" s="1208">
        <f t="shared" si="410"/>
        <v>0.6</v>
      </c>
      <c r="G952" s="210">
        <f t="shared" si="411"/>
        <v>0.8</v>
      </c>
      <c r="I952" s="233">
        <f t="shared" si="413"/>
        <v>11.200000000000003</v>
      </c>
      <c r="J952" s="210">
        <f t="shared" si="414"/>
        <v>0.8</v>
      </c>
      <c r="L952" s="233">
        <f t="shared" si="415"/>
        <v>5.9200000000000017</v>
      </c>
      <c r="M952" s="220">
        <f t="shared" si="416"/>
        <v>0.8</v>
      </c>
      <c r="O952" s="873">
        <f t="shared" si="417"/>
        <v>24</v>
      </c>
      <c r="P952" s="873">
        <f t="shared" si="417"/>
        <v>24</v>
      </c>
      <c r="Q952" s="874">
        <f t="shared" si="418"/>
        <v>20.669999999999998</v>
      </c>
      <c r="R952" s="873">
        <f t="shared" si="419"/>
        <v>10</v>
      </c>
      <c r="S952" s="873">
        <f t="shared" si="420"/>
        <v>14</v>
      </c>
      <c r="T952" s="874">
        <f t="shared" si="421"/>
        <v>17.633411486304666</v>
      </c>
      <c r="U952" s="874">
        <f t="shared" si="422"/>
        <v>15.750000000000004</v>
      </c>
      <c r="V952" s="873">
        <f t="shared" si="423"/>
        <v>7</v>
      </c>
      <c r="W952" s="873">
        <f t="shared" si="424"/>
        <v>3</v>
      </c>
      <c r="X952" s="873">
        <f t="shared" si="425"/>
        <v>0</v>
      </c>
      <c r="Y952" s="873">
        <f t="shared" si="426"/>
        <v>1</v>
      </c>
      <c r="Z952" s="873">
        <f t="shared" si="427"/>
        <v>4</v>
      </c>
      <c r="AA952" s="873">
        <f t="shared" si="428"/>
        <v>9</v>
      </c>
      <c r="AB952" s="874">
        <f t="shared" si="429"/>
        <v>13.960871651185032</v>
      </c>
    </row>
    <row r="953" spans="1:28">
      <c r="A953" s="210">
        <f t="shared" si="430"/>
        <v>12</v>
      </c>
      <c r="B953" s="210">
        <f>$F$574</f>
        <v>6</v>
      </c>
      <c r="C953" s="210">
        <f t="shared" si="431"/>
        <v>8</v>
      </c>
      <c r="D953" s="210">
        <f t="shared" si="431"/>
        <v>342</v>
      </c>
      <c r="E953" s="237">
        <f t="shared" si="412"/>
        <v>1</v>
      </c>
      <c r="F953" s="1208">
        <f t="shared" si="410"/>
        <v>0.6</v>
      </c>
      <c r="G953" s="210">
        <f t="shared" si="411"/>
        <v>0.8</v>
      </c>
      <c r="I953" s="233">
        <f t="shared" si="413"/>
        <v>11.200000000000003</v>
      </c>
      <c r="J953" s="210">
        <f t="shared" si="414"/>
        <v>0.8</v>
      </c>
      <c r="L953" s="233">
        <f t="shared" si="415"/>
        <v>5.9200000000000017</v>
      </c>
      <c r="M953" s="220">
        <f t="shared" si="416"/>
        <v>0.8</v>
      </c>
      <c r="O953" s="873">
        <f t="shared" si="417"/>
        <v>24</v>
      </c>
      <c r="P953" s="873">
        <f t="shared" si="417"/>
        <v>24</v>
      </c>
      <c r="Q953" s="874">
        <f t="shared" si="418"/>
        <v>20.669999999999998</v>
      </c>
      <c r="R953" s="873">
        <f t="shared" si="419"/>
        <v>10</v>
      </c>
      <c r="S953" s="873">
        <f t="shared" si="420"/>
        <v>14</v>
      </c>
      <c r="T953" s="874">
        <f t="shared" si="421"/>
        <v>17.633411486304666</v>
      </c>
      <c r="U953" s="874">
        <f t="shared" si="422"/>
        <v>15.750000000000004</v>
      </c>
      <c r="V953" s="873">
        <f t="shared" si="423"/>
        <v>7</v>
      </c>
      <c r="W953" s="873">
        <f t="shared" si="424"/>
        <v>3</v>
      </c>
      <c r="X953" s="873">
        <f t="shared" si="425"/>
        <v>0</v>
      </c>
      <c r="Y953" s="873">
        <f t="shared" si="426"/>
        <v>1</v>
      </c>
      <c r="Z953" s="873">
        <f t="shared" si="427"/>
        <v>4</v>
      </c>
      <c r="AA953" s="873">
        <f t="shared" si="428"/>
        <v>9</v>
      </c>
      <c r="AB953" s="874">
        <f t="shared" si="429"/>
        <v>13.960871651185032</v>
      </c>
    </row>
    <row r="954" spans="1:28">
      <c r="A954" s="210">
        <f t="shared" si="430"/>
        <v>12</v>
      </c>
      <c r="B954" s="210">
        <f>$F$575</f>
        <v>7</v>
      </c>
      <c r="C954" s="210">
        <f t="shared" si="431"/>
        <v>9</v>
      </c>
      <c r="D954" s="210">
        <f t="shared" si="431"/>
        <v>343</v>
      </c>
      <c r="E954" s="237">
        <f t="shared" si="412"/>
        <v>1</v>
      </c>
      <c r="F954" s="1208">
        <f t="shared" si="410"/>
        <v>0.6</v>
      </c>
      <c r="G954" s="210">
        <f t="shared" si="411"/>
        <v>0.8</v>
      </c>
      <c r="I954" s="233">
        <f t="shared" si="413"/>
        <v>11.200000000000003</v>
      </c>
      <c r="J954" s="210">
        <f t="shared" si="414"/>
        <v>0.8</v>
      </c>
      <c r="L954" s="233">
        <f t="shared" si="415"/>
        <v>5.9200000000000017</v>
      </c>
      <c r="M954" s="220">
        <f t="shared" si="416"/>
        <v>0.8</v>
      </c>
      <c r="O954" s="873">
        <f t="shared" si="417"/>
        <v>24</v>
      </c>
      <c r="P954" s="873">
        <f t="shared" si="417"/>
        <v>24</v>
      </c>
      <c r="Q954" s="874">
        <f t="shared" si="418"/>
        <v>20.669999999999998</v>
      </c>
      <c r="R954" s="873">
        <f t="shared" si="419"/>
        <v>10</v>
      </c>
      <c r="S954" s="873">
        <f t="shared" si="420"/>
        <v>14</v>
      </c>
      <c r="T954" s="874">
        <f t="shared" si="421"/>
        <v>17.633411486304666</v>
      </c>
      <c r="U954" s="874">
        <f t="shared" si="422"/>
        <v>15.750000000000004</v>
      </c>
      <c r="V954" s="873">
        <f t="shared" si="423"/>
        <v>7</v>
      </c>
      <c r="W954" s="873">
        <f t="shared" si="424"/>
        <v>3</v>
      </c>
      <c r="X954" s="873">
        <f t="shared" si="425"/>
        <v>0</v>
      </c>
      <c r="Y954" s="873">
        <f t="shared" si="426"/>
        <v>1</v>
      </c>
      <c r="Z954" s="873">
        <f t="shared" si="427"/>
        <v>4</v>
      </c>
      <c r="AA954" s="873">
        <f t="shared" si="428"/>
        <v>9</v>
      </c>
      <c r="AB954" s="874">
        <f t="shared" si="429"/>
        <v>13.960871651185032</v>
      </c>
    </row>
    <row r="955" spans="1:28">
      <c r="A955" s="210">
        <f t="shared" si="430"/>
        <v>12</v>
      </c>
      <c r="B955" s="210">
        <f>$F$569</f>
        <v>1</v>
      </c>
      <c r="C955" s="210">
        <f t="shared" si="431"/>
        <v>10</v>
      </c>
      <c r="D955" s="210">
        <f t="shared" si="431"/>
        <v>344</v>
      </c>
      <c r="E955" s="237">
        <f t="shared" si="412"/>
        <v>1</v>
      </c>
      <c r="F955" s="1208">
        <f t="shared" si="410"/>
        <v>0.6</v>
      </c>
      <c r="G955" s="210">
        <f t="shared" si="411"/>
        <v>0.8</v>
      </c>
      <c r="I955" s="233">
        <f t="shared" si="413"/>
        <v>11.200000000000003</v>
      </c>
      <c r="J955" s="210">
        <f t="shared" si="414"/>
        <v>0.8</v>
      </c>
      <c r="L955" s="233">
        <f t="shared" si="415"/>
        <v>5.9200000000000017</v>
      </c>
      <c r="M955" s="220">
        <f t="shared" si="416"/>
        <v>0.8</v>
      </c>
      <c r="O955" s="873">
        <f t="shared" si="417"/>
        <v>24</v>
      </c>
      <c r="P955" s="873">
        <f t="shared" si="417"/>
        <v>24</v>
      </c>
      <c r="Q955" s="874">
        <f t="shared" si="418"/>
        <v>20.669999999999998</v>
      </c>
      <c r="R955" s="873">
        <f t="shared" si="419"/>
        <v>10</v>
      </c>
      <c r="S955" s="873">
        <f t="shared" si="420"/>
        <v>14</v>
      </c>
      <c r="T955" s="874">
        <f t="shared" si="421"/>
        <v>17.633411486304666</v>
      </c>
      <c r="U955" s="874">
        <f t="shared" si="422"/>
        <v>15.750000000000004</v>
      </c>
      <c r="V955" s="873">
        <f t="shared" si="423"/>
        <v>7</v>
      </c>
      <c r="W955" s="873">
        <f t="shared" si="424"/>
        <v>3</v>
      </c>
      <c r="X955" s="873">
        <f t="shared" si="425"/>
        <v>0</v>
      </c>
      <c r="Y955" s="873">
        <f t="shared" si="426"/>
        <v>1</v>
      </c>
      <c r="Z955" s="873">
        <f t="shared" si="427"/>
        <v>4</v>
      </c>
      <c r="AA955" s="873">
        <f t="shared" si="428"/>
        <v>9</v>
      </c>
      <c r="AB955" s="874">
        <f t="shared" si="429"/>
        <v>13.960871651185032</v>
      </c>
    </row>
    <row r="956" spans="1:28">
      <c r="A956" s="210">
        <f t="shared" si="430"/>
        <v>12</v>
      </c>
      <c r="B956" s="210">
        <f>$F$570</f>
        <v>2</v>
      </c>
      <c r="C956" s="210">
        <f t="shared" si="431"/>
        <v>11</v>
      </c>
      <c r="D956" s="210">
        <f t="shared" si="431"/>
        <v>345</v>
      </c>
      <c r="E956" s="237">
        <f t="shared" si="412"/>
        <v>1</v>
      </c>
      <c r="F956" s="1208">
        <f t="shared" si="410"/>
        <v>0.6</v>
      </c>
      <c r="G956" s="210">
        <f t="shared" si="411"/>
        <v>0.8</v>
      </c>
      <c r="I956" s="233">
        <f t="shared" si="413"/>
        <v>11.200000000000003</v>
      </c>
      <c r="J956" s="210">
        <f t="shared" si="414"/>
        <v>0.8</v>
      </c>
      <c r="L956" s="233">
        <f t="shared" si="415"/>
        <v>5.9200000000000017</v>
      </c>
      <c r="M956" s="220">
        <f t="shared" si="416"/>
        <v>0.8</v>
      </c>
      <c r="O956" s="873">
        <f t="shared" si="417"/>
        <v>24</v>
      </c>
      <c r="P956" s="873">
        <f t="shared" si="417"/>
        <v>24</v>
      </c>
      <c r="Q956" s="874">
        <f t="shared" si="418"/>
        <v>20.669999999999998</v>
      </c>
      <c r="R956" s="873">
        <f t="shared" si="419"/>
        <v>10</v>
      </c>
      <c r="S956" s="873">
        <f t="shared" si="420"/>
        <v>14</v>
      </c>
      <c r="T956" s="874">
        <f t="shared" si="421"/>
        <v>17.633411486304666</v>
      </c>
      <c r="U956" s="874">
        <f t="shared" si="422"/>
        <v>15.750000000000004</v>
      </c>
      <c r="V956" s="873">
        <f t="shared" si="423"/>
        <v>7</v>
      </c>
      <c r="W956" s="873">
        <f t="shared" si="424"/>
        <v>3</v>
      </c>
      <c r="X956" s="873">
        <f t="shared" si="425"/>
        <v>0</v>
      </c>
      <c r="Y956" s="873">
        <f t="shared" si="426"/>
        <v>1</v>
      </c>
      <c r="Z956" s="873">
        <f t="shared" si="427"/>
        <v>4</v>
      </c>
      <c r="AA956" s="873">
        <f t="shared" si="428"/>
        <v>9</v>
      </c>
      <c r="AB956" s="874">
        <f t="shared" si="429"/>
        <v>13.960871651185032</v>
      </c>
    </row>
    <row r="957" spans="1:28">
      <c r="A957" s="210">
        <f t="shared" si="430"/>
        <v>12</v>
      </c>
      <c r="B957" s="210">
        <f>$F$571</f>
        <v>3</v>
      </c>
      <c r="C957" s="210">
        <f t="shared" si="431"/>
        <v>12</v>
      </c>
      <c r="D957" s="210">
        <f t="shared" si="431"/>
        <v>346</v>
      </c>
      <c r="E957" s="237">
        <f t="shared" si="412"/>
        <v>1</v>
      </c>
      <c r="F957" s="1208">
        <f t="shared" si="410"/>
        <v>0.6</v>
      </c>
      <c r="G957" s="210">
        <f t="shared" si="411"/>
        <v>0.8</v>
      </c>
      <c r="I957" s="233">
        <f t="shared" si="413"/>
        <v>11.200000000000003</v>
      </c>
      <c r="J957" s="210">
        <f t="shared" si="414"/>
        <v>0.8</v>
      </c>
      <c r="L957" s="233">
        <f t="shared" si="415"/>
        <v>5.9200000000000017</v>
      </c>
      <c r="M957" s="220">
        <f t="shared" si="416"/>
        <v>0.8</v>
      </c>
      <c r="O957" s="873">
        <f t="shared" si="417"/>
        <v>24</v>
      </c>
      <c r="P957" s="873">
        <f t="shared" si="417"/>
        <v>24</v>
      </c>
      <c r="Q957" s="874">
        <f t="shared" si="418"/>
        <v>20.669999999999998</v>
      </c>
      <c r="R957" s="873">
        <f t="shared" si="419"/>
        <v>10</v>
      </c>
      <c r="S957" s="873">
        <f t="shared" si="420"/>
        <v>14</v>
      </c>
      <c r="T957" s="874">
        <f t="shared" si="421"/>
        <v>17.633411486304666</v>
      </c>
      <c r="U957" s="874">
        <f t="shared" si="422"/>
        <v>15.750000000000004</v>
      </c>
      <c r="V957" s="873">
        <f t="shared" si="423"/>
        <v>7</v>
      </c>
      <c r="W957" s="873">
        <f t="shared" si="424"/>
        <v>3</v>
      </c>
      <c r="X957" s="873">
        <f t="shared" si="425"/>
        <v>0</v>
      </c>
      <c r="Y957" s="873">
        <f t="shared" si="426"/>
        <v>1</v>
      </c>
      <c r="Z957" s="873">
        <f t="shared" si="427"/>
        <v>4</v>
      </c>
      <c r="AA957" s="873">
        <f t="shared" si="428"/>
        <v>9</v>
      </c>
      <c r="AB957" s="874">
        <f t="shared" si="429"/>
        <v>13.960871651185032</v>
      </c>
    </row>
    <row r="958" spans="1:28">
      <c r="A958" s="210">
        <f t="shared" si="430"/>
        <v>12</v>
      </c>
      <c r="B958" s="210">
        <f>$F$572</f>
        <v>4</v>
      </c>
      <c r="C958" s="210">
        <f t="shared" si="431"/>
        <v>13</v>
      </c>
      <c r="D958" s="210">
        <f t="shared" si="431"/>
        <v>347</v>
      </c>
      <c r="E958" s="237">
        <f t="shared" si="412"/>
        <v>1</v>
      </c>
      <c r="F958" s="1208">
        <f t="shared" si="410"/>
        <v>0.6</v>
      </c>
      <c r="G958" s="210">
        <f t="shared" si="411"/>
        <v>0.8</v>
      </c>
      <c r="I958" s="233">
        <f t="shared" si="413"/>
        <v>11.200000000000003</v>
      </c>
      <c r="J958" s="210">
        <f t="shared" si="414"/>
        <v>0.8</v>
      </c>
      <c r="L958" s="233">
        <f t="shared" si="415"/>
        <v>5.9200000000000017</v>
      </c>
      <c r="M958" s="220">
        <f t="shared" si="416"/>
        <v>0.8</v>
      </c>
      <c r="O958" s="873">
        <f t="shared" si="417"/>
        <v>24</v>
      </c>
      <c r="P958" s="873">
        <f t="shared" si="417"/>
        <v>24</v>
      </c>
      <c r="Q958" s="874">
        <f t="shared" si="418"/>
        <v>20.669999999999998</v>
      </c>
      <c r="R958" s="873">
        <f t="shared" si="419"/>
        <v>10</v>
      </c>
      <c r="S958" s="873">
        <f t="shared" si="420"/>
        <v>14</v>
      </c>
      <c r="T958" s="874">
        <f t="shared" si="421"/>
        <v>17.633411486304666</v>
      </c>
      <c r="U958" s="874">
        <f t="shared" si="422"/>
        <v>15.750000000000004</v>
      </c>
      <c r="V958" s="873">
        <f t="shared" si="423"/>
        <v>7</v>
      </c>
      <c r="W958" s="873">
        <f t="shared" si="424"/>
        <v>3</v>
      </c>
      <c r="X958" s="873">
        <f t="shared" si="425"/>
        <v>0</v>
      </c>
      <c r="Y958" s="873">
        <f t="shared" si="426"/>
        <v>1</v>
      </c>
      <c r="Z958" s="873">
        <f t="shared" si="427"/>
        <v>4</v>
      </c>
      <c r="AA958" s="873">
        <f t="shared" si="428"/>
        <v>9</v>
      </c>
      <c r="AB958" s="874">
        <f t="shared" si="429"/>
        <v>13.960871651185032</v>
      </c>
    </row>
    <row r="959" spans="1:28">
      <c r="A959" s="210">
        <f t="shared" si="430"/>
        <v>12</v>
      </c>
      <c r="B959" s="210">
        <f>$F$573</f>
        <v>5</v>
      </c>
      <c r="C959" s="210">
        <f t="shared" si="431"/>
        <v>14</v>
      </c>
      <c r="D959" s="210">
        <f t="shared" si="431"/>
        <v>348</v>
      </c>
      <c r="E959" s="237">
        <f t="shared" si="412"/>
        <v>1</v>
      </c>
      <c r="F959" s="1208">
        <f t="shared" si="410"/>
        <v>0.6</v>
      </c>
      <c r="G959" s="210">
        <f t="shared" si="411"/>
        <v>0.8</v>
      </c>
      <c r="I959" s="233">
        <f t="shared" si="413"/>
        <v>11.200000000000003</v>
      </c>
      <c r="J959" s="210">
        <f t="shared" si="414"/>
        <v>0.8</v>
      </c>
      <c r="L959" s="233">
        <f t="shared" si="415"/>
        <v>5.9200000000000017</v>
      </c>
      <c r="M959" s="220">
        <f t="shared" si="416"/>
        <v>0.8</v>
      </c>
      <c r="O959" s="873">
        <f t="shared" si="417"/>
        <v>24</v>
      </c>
      <c r="P959" s="873">
        <f t="shared" si="417"/>
        <v>24</v>
      </c>
      <c r="Q959" s="874">
        <f t="shared" si="418"/>
        <v>20.669999999999998</v>
      </c>
      <c r="R959" s="873">
        <f t="shared" si="419"/>
        <v>10</v>
      </c>
      <c r="S959" s="873">
        <f t="shared" si="420"/>
        <v>14</v>
      </c>
      <c r="T959" s="874">
        <f t="shared" si="421"/>
        <v>17.633411486304666</v>
      </c>
      <c r="U959" s="874">
        <f t="shared" si="422"/>
        <v>15.750000000000004</v>
      </c>
      <c r="V959" s="873">
        <f t="shared" si="423"/>
        <v>7</v>
      </c>
      <c r="W959" s="873">
        <f t="shared" si="424"/>
        <v>3</v>
      </c>
      <c r="X959" s="873">
        <f t="shared" si="425"/>
        <v>0</v>
      </c>
      <c r="Y959" s="873">
        <f t="shared" si="426"/>
        <v>1</v>
      </c>
      <c r="Z959" s="873">
        <f t="shared" si="427"/>
        <v>4</v>
      </c>
      <c r="AA959" s="873">
        <f t="shared" si="428"/>
        <v>9</v>
      </c>
      <c r="AB959" s="874">
        <f t="shared" si="429"/>
        <v>13.960871651185032</v>
      </c>
    </row>
    <row r="960" spans="1:28">
      <c r="A960" s="210">
        <f t="shared" si="430"/>
        <v>12</v>
      </c>
      <c r="B960" s="210">
        <f>$F$574</f>
        <v>6</v>
      </c>
      <c r="C960" s="210">
        <f t="shared" si="431"/>
        <v>15</v>
      </c>
      <c r="D960" s="210">
        <f t="shared" si="431"/>
        <v>349</v>
      </c>
      <c r="E960" s="237">
        <f t="shared" si="412"/>
        <v>1</v>
      </c>
      <c r="F960" s="1208">
        <f t="shared" si="410"/>
        <v>0.6</v>
      </c>
      <c r="G960" s="210">
        <f t="shared" si="411"/>
        <v>0.8</v>
      </c>
      <c r="I960" s="233">
        <f t="shared" si="413"/>
        <v>11.200000000000003</v>
      </c>
      <c r="J960" s="210">
        <f t="shared" si="414"/>
        <v>0.8</v>
      </c>
      <c r="L960" s="233">
        <f t="shared" si="415"/>
        <v>5.9200000000000017</v>
      </c>
      <c r="M960" s="220">
        <f t="shared" si="416"/>
        <v>0.8</v>
      </c>
      <c r="O960" s="873">
        <f t="shared" si="417"/>
        <v>24</v>
      </c>
      <c r="P960" s="873">
        <f t="shared" si="417"/>
        <v>24</v>
      </c>
      <c r="Q960" s="874">
        <f t="shared" si="418"/>
        <v>20.669999999999998</v>
      </c>
      <c r="R960" s="873">
        <f t="shared" si="419"/>
        <v>10</v>
      </c>
      <c r="S960" s="873">
        <f t="shared" si="420"/>
        <v>14</v>
      </c>
      <c r="T960" s="874">
        <f t="shared" si="421"/>
        <v>17.633411486304666</v>
      </c>
      <c r="U960" s="874">
        <f t="shared" si="422"/>
        <v>15.750000000000004</v>
      </c>
      <c r="V960" s="873">
        <f t="shared" si="423"/>
        <v>7</v>
      </c>
      <c r="W960" s="873">
        <f t="shared" si="424"/>
        <v>3</v>
      </c>
      <c r="X960" s="873">
        <f t="shared" si="425"/>
        <v>0</v>
      </c>
      <c r="Y960" s="873">
        <f t="shared" si="426"/>
        <v>1</v>
      </c>
      <c r="Z960" s="873">
        <f t="shared" si="427"/>
        <v>4</v>
      </c>
      <c r="AA960" s="873">
        <f t="shared" si="428"/>
        <v>9</v>
      </c>
      <c r="AB960" s="874">
        <f t="shared" si="429"/>
        <v>13.960871651185032</v>
      </c>
    </row>
    <row r="961" spans="1:28">
      <c r="A961" s="210">
        <f t="shared" si="430"/>
        <v>12</v>
      </c>
      <c r="B961" s="210">
        <f>$F$575</f>
        <v>7</v>
      </c>
      <c r="C961" s="210">
        <f t="shared" si="431"/>
        <v>16</v>
      </c>
      <c r="D961" s="210">
        <f t="shared" si="431"/>
        <v>350</v>
      </c>
      <c r="E961" s="237">
        <f t="shared" si="412"/>
        <v>1</v>
      </c>
      <c r="F961" s="1208">
        <f t="shared" si="410"/>
        <v>0.6</v>
      </c>
      <c r="G961" s="210">
        <f t="shared" si="411"/>
        <v>0.8</v>
      </c>
      <c r="I961" s="233">
        <f t="shared" si="413"/>
        <v>11.200000000000003</v>
      </c>
      <c r="J961" s="210">
        <f t="shared" si="414"/>
        <v>0.8</v>
      </c>
      <c r="L961" s="233">
        <f t="shared" si="415"/>
        <v>5.9200000000000017</v>
      </c>
      <c r="M961" s="220">
        <f t="shared" si="416"/>
        <v>0.8</v>
      </c>
      <c r="O961" s="873">
        <f t="shared" si="417"/>
        <v>24</v>
      </c>
      <c r="P961" s="873">
        <f t="shared" si="417"/>
        <v>24</v>
      </c>
      <c r="Q961" s="874">
        <f t="shared" si="418"/>
        <v>20.669999999999998</v>
      </c>
      <c r="R961" s="873">
        <f t="shared" si="419"/>
        <v>10</v>
      </c>
      <c r="S961" s="873">
        <f t="shared" si="420"/>
        <v>14</v>
      </c>
      <c r="T961" s="874">
        <f t="shared" si="421"/>
        <v>17.633411486304666</v>
      </c>
      <c r="U961" s="874">
        <f t="shared" si="422"/>
        <v>15.750000000000004</v>
      </c>
      <c r="V961" s="873">
        <f t="shared" si="423"/>
        <v>7</v>
      </c>
      <c r="W961" s="873">
        <f t="shared" si="424"/>
        <v>3</v>
      </c>
      <c r="X961" s="873">
        <f t="shared" si="425"/>
        <v>0</v>
      </c>
      <c r="Y961" s="873">
        <f t="shared" si="426"/>
        <v>1</v>
      </c>
      <c r="Z961" s="873">
        <f t="shared" si="427"/>
        <v>4</v>
      </c>
      <c r="AA961" s="873">
        <f t="shared" si="428"/>
        <v>9</v>
      </c>
      <c r="AB961" s="874">
        <f t="shared" si="429"/>
        <v>13.960871651185032</v>
      </c>
    </row>
    <row r="962" spans="1:28">
      <c r="A962" s="210">
        <f t="shared" si="430"/>
        <v>12</v>
      </c>
      <c r="B962" s="210">
        <f>$F$569</f>
        <v>1</v>
      </c>
      <c r="C962" s="210">
        <f t="shared" si="431"/>
        <v>17</v>
      </c>
      <c r="D962" s="210">
        <f t="shared" si="431"/>
        <v>351</v>
      </c>
      <c r="E962" s="237">
        <f t="shared" si="412"/>
        <v>1</v>
      </c>
      <c r="F962" s="1208">
        <f t="shared" si="410"/>
        <v>0.6</v>
      </c>
      <c r="G962" s="210">
        <f t="shared" si="411"/>
        <v>0.8</v>
      </c>
      <c r="I962" s="233">
        <f t="shared" si="413"/>
        <v>11.200000000000003</v>
      </c>
      <c r="J962" s="210">
        <f t="shared" si="414"/>
        <v>0.8</v>
      </c>
      <c r="L962" s="233">
        <f t="shared" si="415"/>
        <v>5.9200000000000017</v>
      </c>
      <c r="M962" s="220">
        <f t="shared" si="416"/>
        <v>0.8</v>
      </c>
      <c r="O962" s="873">
        <f t="shared" si="417"/>
        <v>24</v>
      </c>
      <c r="P962" s="873">
        <f t="shared" si="417"/>
        <v>24</v>
      </c>
      <c r="Q962" s="874">
        <f t="shared" si="418"/>
        <v>20.669999999999998</v>
      </c>
      <c r="R962" s="873">
        <f t="shared" si="419"/>
        <v>10</v>
      </c>
      <c r="S962" s="873">
        <f t="shared" si="420"/>
        <v>14</v>
      </c>
      <c r="T962" s="874">
        <f t="shared" si="421"/>
        <v>17.633411486304666</v>
      </c>
      <c r="U962" s="874">
        <f t="shared" si="422"/>
        <v>15.750000000000004</v>
      </c>
      <c r="V962" s="873">
        <f t="shared" si="423"/>
        <v>7</v>
      </c>
      <c r="W962" s="873">
        <f t="shared" si="424"/>
        <v>3</v>
      </c>
      <c r="X962" s="873">
        <f t="shared" si="425"/>
        <v>0</v>
      </c>
      <c r="Y962" s="873">
        <f t="shared" si="426"/>
        <v>1</v>
      </c>
      <c r="Z962" s="873">
        <f t="shared" si="427"/>
        <v>4</v>
      </c>
      <c r="AA962" s="873">
        <f t="shared" si="428"/>
        <v>9</v>
      </c>
      <c r="AB962" s="874">
        <f t="shared" si="429"/>
        <v>13.960871651185032</v>
      </c>
    </row>
    <row r="963" spans="1:28">
      <c r="A963" s="210">
        <f t="shared" si="430"/>
        <v>12</v>
      </c>
      <c r="B963" s="210">
        <f>$F$570</f>
        <v>2</v>
      </c>
      <c r="C963" s="210">
        <f t="shared" si="431"/>
        <v>18</v>
      </c>
      <c r="D963" s="210">
        <f t="shared" si="431"/>
        <v>352</v>
      </c>
      <c r="E963" s="237">
        <f t="shared" si="412"/>
        <v>1</v>
      </c>
      <c r="F963" s="1208">
        <f t="shared" si="410"/>
        <v>0.6</v>
      </c>
      <c r="G963" s="210">
        <f t="shared" si="411"/>
        <v>0.8</v>
      </c>
      <c r="I963" s="233">
        <f t="shared" si="413"/>
        <v>11.200000000000003</v>
      </c>
      <c r="J963" s="210">
        <f t="shared" si="414"/>
        <v>0.8</v>
      </c>
      <c r="L963" s="233">
        <f t="shared" si="415"/>
        <v>5.9200000000000017</v>
      </c>
      <c r="M963" s="220">
        <f t="shared" si="416"/>
        <v>0.8</v>
      </c>
      <c r="O963" s="873">
        <f t="shared" si="417"/>
        <v>24</v>
      </c>
      <c r="P963" s="873">
        <f t="shared" si="417"/>
        <v>24</v>
      </c>
      <c r="Q963" s="874">
        <f t="shared" si="418"/>
        <v>20.669999999999998</v>
      </c>
      <c r="R963" s="873">
        <f t="shared" si="419"/>
        <v>10</v>
      </c>
      <c r="S963" s="873">
        <f t="shared" si="420"/>
        <v>14</v>
      </c>
      <c r="T963" s="874">
        <f t="shared" si="421"/>
        <v>17.633411486304666</v>
      </c>
      <c r="U963" s="874">
        <f t="shared" si="422"/>
        <v>15.750000000000004</v>
      </c>
      <c r="V963" s="873">
        <f t="shared" si="423"/>
        <v>7</v>
      </c>
      <c r="W963" s="873">
        <f t="shared" si="424"/>
        <v>3</v>
      </c>
      <c r="X963" s="873">
        <f t="shared" si="425"/>
        <v>0</v>
      </c>
      <c r="Y963" s="873">
        <f t="shared" si="426"/>
        <v>1</v>
      </c>
      <c r="Z963" s="873">
        <f t="shared" si="427"/>
        <v>4</v>
      </c>
      <c r="AA963" s="873">
        <f t="shared" si="428"/>
        <v>9</v>
      </c>
      <c r="AB963" s="874">
        <f t="shared" si="429"/>
        <v>13.960871651185032</v>
      </c>
    </row>
    <row r="964" spans="1:28">
      <c r="A964" s="210">
        <f t="shared" si="430"/>
        <v>12</v>
      </c>
      <c r="B964" s="210">
        <f>$F$571</f>
        <v>3</v>
      </c>
      <c r="C964" s="210">
        <f t="shared" si="431"/>
        <v>19</v>
      </c>
      <c r="D964" s="210">
        <f t="shared" si="431"/>
        <v>353</v>
      </c>
      <c r="E964" s="237">
        <f t="shared" si="412"/>
        <v>1</v>
      </c>
      <c r="F964" s="1208">
        <f t="shared" si="410"/>
        <v>0.6</v>
      </c>
      <c r="G964" s="210">
        <f t="shared" si="411"/>
        <v>0.8</v>
      </c>
      <c r="I964" s="233">
        <f t="shared" si="413"/>
        <v>11.200000000000003</v>
      </c>
      <c r="J964" s="210">
        <f t="shared" si="414"/>
        <v>0.8</v>
      </c>
      <c r="L964" s="233">
        <f t="shared" si="415"/>
        <v>5.9200000000000017</v>
      </c>
      <c r="M964" s="220">
        <f t="shared" si="416"/>
        <v>0.8</v>
      </c>
      <c r="O964" s="873">
        <f t="shared" si="417"/>
        <v>24</v>
      </c>
      <c r="P964" s="873">
        <f t="shared" si="417"/>
        <v>24</v>
      </c>
      <c r="Q964" s="874">
        <f t="shared" si="418"/>
        <v>20.669999999999998</v>
      </c>
      <c r="R964" s="873">
        <f t="shared" si="419"/>
        <v>10</v>
      </c>
      <c r="S964" s="873">
        <f t="shared" si="420"/>
        <v>14</v>
      </c>
      <c r="T964" s="874">
        <f t="shared" si="421"/>
        <v>17.633411486304666</v>
      </c>
      <c r="U964" s="874">
        <f t="shared" si="422"/>
        <v>15.750000000000004</v>
      </c>
      <c r="V964" s="873">
        <f t="shared" si="423"/>
        <v>7</v>
      </c>
      <c r="W964" s="873">
        <f t="shared" si="424"/>
        <v>3</v>
      </c>
      <c r="X964" s="873">
        <f t="shared" si="425"/>
        <v>0</v>
      </c>
      <c r="Y964" s="873">
        <f t="shared" si="426"/>
        <v>1</v>
      </c>
      <c r="Z964" s="873">
        <f t="shared" si="427"/>
        <v>4</v>
      </c>
      <c r="AA964" s="873">
        <f t="shared" si="428"/>
        <v>9</v>
      </c>
      <c r="AB964" s="874">
        <f t="shared" si="429"/>
        <v>13.960871651185032</v>
      </c>
    </row>
    <row r="965" spans="1:28">
      <c r="A965" s="210">
        <f t="shared" si="430"/>
        <v>12</v>
      </c>
      <c r="B965" s="210">
        <f>$F$572</f>
        <v>4</v>
      </c>
      <c r="C965" s="210">
        <f t="shared" si="431"/>
        <v>20</v>
      </c>
      <c r="D965" s="210">
        <f t="shared" si="431"/>
        <v>354</v>
      </c>
      <c r="E965" s="237">
        <f t="shared" si="412"/>
        <v>1</v>
      </c>
      <c r="F965" s="1208">
        <f t="shared" si="410"/>
        <v>0.6</v>
      </c>
      <c r="G965" s="210">
        <f t="shared" si="411"/>
        <v>0.8</v>
      </c>
      <c r="I965" s="233">
        <f t="shared" si="413"/>
        <v>11.200000000000003</v>
      </c>
      <c r="J965" s="210">
        <f t="shared" si="414"/>
        <v>0.8</v>
      </c>
      <c r="L965" s="233">
        <f t="shared" si="415"/>
        <v>5.9200000000000017</v>
      </c>
      <c r="M965" s="220">
        <f t="shared" si="416"/>
        <v>0.8</v>
      </c>
      <c r="O965" s="873">
        <f t="shared" si="417"/>
        <v>24</v>
      </c>
      <c r="P965" s="873">
        <f t="shared" si="417"/>
        <v>24</v>
      </c>
      <c r="Q965" s="874">
        <f t="shared" si="418"/>
        <v>20.669999999999998</v>
      </c>
      <c r="R965" s="873">
        <f t="shared" si="419"/>
        <v>10</v>
      </c>
      <c r="S965" s="873">
        <f t="shared" si="420"/>
        <v>14</v>
      </c>
      <c r="T965" s="874">
        <f t="shared" si="421"/>
        <v>17.633411486304666</v>
      </c>
      <c r="U965" s="874">
        <f t="shared" si="422"/>
        <v>15.750000000000004</v>
      </c>
      <c r="V965" s="873">
        <f t="shared" si="423"/>
        <v>7</v>
      </c>
      <c r="W965" s="873">
        <f t="shared" si="424"/>
        <v>3</v>
      </c>
      <c r="X965" s="873">
        <f t="shared" si="425"/>
        <v>0</v>
      </c>
      <c r="Y965" s="873">
        <f t="shared" si="426"/>
        <v>1</v>
      </c>
      <c r="Z965" s="873">
        <f t="shared" si="427"/>
        <v>4</v>
      </c>
      <c r="AA965" s="873">
        <f t="shared" si="428"/>
        <v>9</v>
      </c>
      <c r="AB965" s="874">
        <f t="shared" si="429"/>
        <v>13.960871651185032</v>
      </c>
    </row>
    <row r="966" spans="1:28">
      <c r="A966" s="210">
        <f t="shared" si="430"/>
        <v>12</v>
      </c>
      <c r="B966" s="210">
        <f>$F$573</f>
        <v>5</v>
      </c>
      <c r="C966" s="210">
        <f t="shared" ref="C966:D976" si="432">C965+1</f>
        <v>21</v>
      </c>
      <c r="D966" s="210">
        <f t="shared" si="432"/>
        <v>355</v>
      </c>
      <c r="E966" s="237">
        <f t="shared" si="412"/>
        <v>1</v>
      </c>
      <c r="F966" s="1208">
        <f t="shared" si="410"/>
        <v>0.6</v>
      </c>
      <c r="G966" s="210">
        <f t="shared" si="411"/>
        <v>0.8</v>
      </c>
      <c r="I966" s="233">
        <f t="shared" si="413"/>
        <v>11.200000000000003</v>
      </c>
      <c r="J966" s="210">
        <f t="shared" si="414"/>
        <v>0.8</v>
      </c>
      <c r="L966" s="233">
        <f t="shared" si="415"/>
        <v>5.9200000000000017</v>
      </c>
      <c r="M966" s="220">
        <f t="shared" si="416"/>
        <v>0.8</v>
      </c>
      <c r="O966" s="873">
        <f t="shared" si="417"/>
        <v>24</v>
      </c>
      <c r="P966" s="873">
        <f t="shared" si="417"/>
        <v>24</v>
      </c>
      <c r="Q966" s="874">
        <f t="shared" si="418"/>
        <v>20.669999999999998</v>
      </c>
      <c r="R966" s="873">
        <f t="shared" si="419"/>
        <v>10</v>
      </c>
      <c r="S966" s="873">
        <f t="shared" si="420"/>
        <v>14</v>
      </c>
      <c r="T966" s="874">
        <f t="shared" si="421"/>
        <v>17.633411486304666</v>
      </c>
      <c r="U966" s="874">
        <f t="shared" si="422"/>
        <v>15.750000000000004</v>
      </c>
      <c r="V966" s="873">
        <f t="shared" si="423"/>
        <v>7</v>
      </c>
      <c r="W966" s="873">
        <f t="shared" si="424"/>
        <v>3</v>
      </c>
      <c r="X966" s="873">
        <f t="shared" si="425"/>
        <v>0</v>
      </c>
      <c r="Y966" s="873">
        <f t="shared" si="426"/>
        <v>1</v>
      </c>
      <c r="Z966" s="873">
        <f t="shared" si="427"/>
        <v>4</v>
      </c>
      <c r="AA966" s="873">
        <f t="shared" si="428"/>
        <v>9</v>
      </c>
      <c r="AB966" s="874">
        <f t="shared" si="429"/>
        <v>13.960871651185032</v>
      </c>
    </row>
    <row r="967" spans="1:28">
      <c r="A967" s="210">
        <f t="shared" si="430"/>
        <v>12</v>
      </c>
      <c r="B967" s="210">
        <f>$F$574</f>
        <v>6</v>
      </c>
      <c r="C967" s="210">
        <f t="shared" si="432"/>
        <v>22</v>
      </c>
      <c r="D967" s="210">
        <f t="shared" si="432"/>
        <v>356</v>
      </c>
      <c r="E967" s="237">
        <f t="shared" si="412"/>
        <v>1</v>
      </c>
      <c r="F967" s="1208">
        <f t="shared" si="410"/>
        <v>0.6</v>
      </c>
      <c r="G967" s="210">
        <f t="shared" si="411"/>
        <v>0.8</v>
      </c>
      <c r="I967" s="233">
        <f t="shared" si="413"/>
        <v>11.200000000000003</v>
      </c>
      <c r="J967" s="210">
        <f t="shared" si="414"/>
        <v>0.8</v>
      </c>
      <c r="L967" s="233">
        <f t="shared" si="415"/>
        <v>5.9200000000000017</v>
      </c>
      <c r="M967" s="220">
        <f t="shared" si="416"/>
        <v>0.8</v>
      </c>
      <c r="O967" s="873">
        <f t="shared" si="417"/>
        <v>24</v>
      </c>
      <c r="P967" s="873">
        <f t="shared" si="417"/>
        <v>24</v>
      </c>
      <c r="Q967" s="874">
        <f t="shared" si="418"/>
        <v>20.669999999999998</v>
      </c>
      <c r="R967" s="873">
        <f t="shared" si="419"/>
        <v>10</v>
      </c>
      <c r="S967" s="873">
        <f t="shared" si="420"/>
        <v>14</v>
      </c>
      <c r="T967" s="874">
        <f t="shared" si="421"/>
        <v>17.633411486304666</v>
      </c>
      <c r="U967" s="874">
        <f t="shared" si="422"/>
        <v>15.750000000000004</v>
      </c>
      <c r="V967" s="873">
        <f t="shared" si="423"/>
        <v>7</v>
      </c>
      <c r="W967" s="873">
        <f t="shared" si="424"/>
        <v>3</v>
      </c>
      <c r="X967" s="873">
        <f t="shared" si="425"/>
        <v>0</v>
      </c>
      <c r="Y967" s="873">
        <f t="shared" si="426"/>
        <v>1</v>
      </c>
      <c r="Z967" s="873">
        <f t="shared" si="427"/>
        <v>4</v>
      </c>
      <c r="AA967" s="873">
        <f t="shared" si="428"/>
        <v>9</v>
      </c>
      <c r="AB967" s="874">
        <f t="shared" si="429"/>
        <v>13.960871651185032</v>
      </c>
    </row>
    <row r="968" spans="1:28">
      <c r="A968" s="210">
        <f t="shared" si="430"/>
        <v>12</v>
      </c>
      <c r="B968" s="210">
        <f>$F$575</f>
        <v>7</v>
      </c>
      <c r="C968" s="210">
        <f t="shared" si="432"/>
        <v>23</v>
      </c>
      <c r="D968" s="210">
        <f t="shared" si="432"/>
        <v>357</v>
      </c>
      <c r="E968" s="237">
        <f t="shared" si="412"/>
        <v>1</v>
      </c>
      <c r="F968" s="1208">
        <f t="shared" si="410"/>
        <v>0.6</v>
      </c>
      <c r="G968" s="210">
        <f t="shared" si="411"/>
        <v>0.8</v>
      </c>
      <c r="I968" s="233">
        <f t="shared" si="413"/>
        <v>11.200000000000003</v>
      </c>
      <c r="J968" s="210">
        <f t="shared" si="414"/>
        <v>0.8</v>
      </c>
      <c r="L968" s="233">
        <f t="shared" si="415"/>
        <v>5.9200000000000017</v>
      </c>
      <c r="M968" s="220">
        <f t="shared" si="416"/>
        <v>0.8</v>
      </c>
      <c r="O968" s="873">
        <f t="shared" si="417"/>
        <v>24</v>
      </c>
      <c r="P968" s="873">
        <f t="shared" si="417"/>
        <v>24</v>
      </c>
      <c r="Q968" s="874">
        <f t="shared" si="418"/>
        <v>20.669999999999998</v>
      </c>
      <c r="R968" s="873">
        <f t="shared" si="419"/>
        <v>10</v>
      </c>
      <c r="S968" s="873">
        <f t="shared" si="420"/>
        <v>14</v>
      </c>
      <c r="T968" s="874">
        <f t="shared" si="421"/>
        <v>17.633411486304666</v>
      </c>
      <c r="U968" s="874">
        <f t="shared" si="422"/>
        <v>15.750000000000004</v>
      </c>
      <c r="V968" s="873">
        <f t="shared" si="423"/>
        <v>7</v>
      </c>
      <c r="W968" s="873">
        <f t="shared" si="424"/>
        <v>3</v>
      </c>
      <c r="X968" s="873">
        <f t="shared" si="425"/>
        <v>0</v>
      </c>
      <c r="Y968" s="873">
        <f t="shared" si="426"/>
        <v>1</v>
      </c>
      <c r="Z968" s="873">
        <f t="shared" si="427"/>
        <v>4</v>
      </c>
      <c r="AA968" s="873">
        <f t="shared" si="428"/>
        <v>9</v>
      </c>
      <c r="AB968" s="874">
        <f t="shared" si="429"/>
        <v>13.960871651185032</v>
      </c>
    </row>
    <row r="969" spans="1:28">
      <c r="A969" s="210">
        <f t="shared" si="430"/>
        <v>12</v>
      </c>
      <c r="B969" s="210">
        <f>$F$569</f>
        <v>1</v>
      </c>
      <c r="C969" s="210">
        <f t="shared" si="432"/>
        <v>24</v>
      </c>
      <c r="D969" s="210">
        <f t="shared" si="432"/>
        <v>358</v>
      </c>
      <c r="E969" s="237">
        <f t="shared" si="412"/>
        <v>1</v>
      </c>
      <c r="F969" s="1208">
        <f t="shared" si="410"/>
        <v>0.6</v>
      </c>
      <c r="G969" s="210">
        <f t="shared" si="411"/>
        <v>0.8</v>
      </c>
      <c r="I969" s="233">
        <f t="shared" si="413"/>
        <v>11.200000000000003</v>
      </c>
      <c r="J969" s="210">
        <f t="shared" si="414"/>
        <v>0.8</v>
      </c>
      <c r="L969" s="233">
        <f t="shared" si="415"/>
        <v>5.9200000000000017</v>
      </c>
      <c r="M969" s="220">
        <f t="shared" si="416"/>
        <v>0.8</v>
      </c>
      <c r="O969" s="873">
        <f t="shared" si="417"/>
        <v>24</v>
      </c>
      <c r="P969" s="873">
        <f t="shared" si="417"/>
        <v>24</v>
      </c>
      <c r="Q969" s="874">
        <f t="shared" si="418"/>
        <v>20.669999999999998</v>
      </c>
      <c r="R969" s="873">
        <f t="shared" si="419"/>
        <v>10</v>
      </c>
      <c r="S969" s="873">
        <f t="shared" si="420"/>
        <v>14</v>
      </c>
      <c r="T969" s="874">
        <f t="shared" si="421"/>
        <v>17.633411486304666</v>
      </c>
      <c r="U969" s="874">
        <f t="shared" si="422"/>
        <v>15.750000000000004</v>
      </c>
      <c r="V969" s="873">
        <f t="shared" si="423"/>
        <v>7</v>
      </c>
      <c r="W969" s="873">
        <f t="shared" si="424"/>
        <v>3</v>
      </c>
      <c r="X969" s="873">
        <f t="shared" si="425"/>
        <v>0</v>
      </c>
      <c r="Y969" s="873">
        <f t="shared" si="426"/>
        <v>1</v>
      </c>
      <c r="Z969" s="873">
        <f t="shared" si="427"/>
        <v>4</v>
      </c>
      <c r="AA969" s="873">
        <f t="shared" si="428"/>
        <v>9</v>
      </c>
      <c r="AB969" s="874">
        <f t="shared" si="429"/>
        <v>13.960871651185032</v>
      </c>
    </row>
    <row r="970" spans="1:28">
      <c r="A970" s="210">
        <f t="shared" si="430"/>
        <v>12</v>
      </c>
      <c r="B970" s="210">
        <f>$F$570</f>
        <v>2</v>
      </c>
      <c r="C970" s="210">
        <f t="shared" si="432"/>
        <v>25</v>
      </c>
      <c r="D970" s="210">
        <f t="shared" si="432"/>
        <v>359</v>
      </c>
      <c r="E970" s="237">
        <f t="shared" si="412"/>
        <v>1</v>
      </c>
      <c r="F970" s="1208">
        <f t="shared" si="410"/>
        <v>0.6</v>
      </c>
      <c r="G970" s="210">
        <f t="shared" si="411"/>
        <v>0.8</v>
      </c>
      <c r="I970" s="233">
        <f t="shared" si="413"/>
        <v>11.200000000000003</v>
      </c>
      <c r="J970" s="210">
        <f t="shared" si="414"/>
        <v>0.8</v>
      </c>
      <c r="L970" s="233">
        <f t="shared" si="415"/>
        <v>5.9200000000000017</v>
      </c>
      <c r="M970" s="220">
        <f t="shared" si="416"/>
        <v>0.8</v>
      </c>
      <c r="O970" s="873">
        <f t="shared" si="417"/>
        <v>24</v>
      </c>
      <c r="P970" s="873">
        <f t="shared" si="417"/>
        <v>24</v>
      </c>
      <c r="Q970" s="874">
        <f t="shared" si="418"/>
        <v>20.669999999999998</v>
      </c>
      <c r="R970" s="873">
        <f t="shared" si="419"/>
        <v>10</v>
      </c>
      <c r="S970" s="873">
        <f t="shared" si="420"/>
        <v>14</v>
      </c>
      <c r="T970" s="874">
        <f t="shared" si="421"/>
        <v>17.633411486304666</v>
      </c>
      <c r="U970" s="874">
        <f t="shared" si="422"/>
        <v>15.750000000000004</v>
      </c>
      <c r="V970" s="873">
        <f t="shared" si="423"/>
        <v>7</v>
      </c>
      <c r="W970" s="873">
        <f t="shared" si="424"/>
        <v>3</v>
      </c>
      <c r="X970" s="873">
        <f t="shared" si="425"/>
        <v>0</v>
      </c>
      <c r="Y970" s="873">
        <f t="shared" si="426"/>
        <v>1</v>
      </c>
      <c r="Z970" s="873">
        <f t="shared" si="427"/>
        <v>4</v>
      </c>
      <c r="AA970" s="873">
        <f t="shared" si="428"/>
        <v>9</v>
      </c>
      <c r="AB970" s="874">
        <f t="shared" si="429"/>
        <v>13.960871651185032</v>
      </c>
    </row>
    <row r="971" spans="1:28">
      <c r="A971" s="210">
        <f t="shared" si="430"/>
        <v>12</v>
      </c>
      <c r="B971" s="210">
        <f>$F$571</f>
        <v>3</v>
      </c>
      <c r="C971" s="210">
        <f t="shared" si="432"/>
        <v>26</v>
      </c>
      <c r="D971" s="210">
        <f t="shared" si="432"/>
        <v>360</v>
      </c>
      <c r="E971" s="237">
        <f t="shared" si="412"/>
        <v>1</v>
      </c>
      <c r="F971" s="1208">
        <f t="shared" si="410"/>
        <v>0.6</v>
      </c>
      <c r="G971" s="210">
        <f t="shared" si="411"/>
        <v>0.8</v>
      </c>
      <c r="I971" s="233">
        <f t="shared" si="413"/>
        <v>11.200000000000003</v>
      </c>
      <c r="J971" s="210">
        <f t="shared" si="414"/>
        <v>0.8</v>
      </c>
      <c r="L971" s="233">
        <f t="shared" si="415"/>
        <v>5.9200000000000017</v>
      </c>
      <c r="M971" s="220">
        <f t="shared" si="416"/>
        <v>0.8</v>
      </c>
      <c r="O971" s="873">
        <f t="shared" si="417"/>
        <v>24</v>
      </c>
      <c r="P971" s="873">
        <f t="shared" si="417"/>
        <v>24</v>
      </c>
      <c r="Q971" s="874">
        <f t="shared" si="418"/>
        <v>20.669999999999998</v>
      </c>
      <c r="R971" s="873">
        <f t="shared" si="419"/>
        <v>10</v>
      </c>
      <c r="S971" s="873">
        <f t="shared" si="420"/>
        <v>14</v>
      </c>
      <c r="T971" s="874">
        <f t="shared" si="421"/>
        <v>17.633411486304666</v>
      </c>
      <c r="U971" s="874">
        <f t="shared" si="422"/>
        <v>15.750000000000004</v>
      </c>
      <c r="V971" s="873">
        <f t="shared" si="423"/>
        <v>7</v>
      </c>
      <c r="W971" s="873">
        <f t="shared" si="424"/>
        <v>3</v>
      </c>
      <c r="X971" s="873">
        <f t="shared" si="425"/>
        <v>0</v>
      </c>
      <c r="Y971" s="873">
        <f t="shared" si="426"/>
        <v>1</v>
      </c>
      <c r="Z971" s="873">
        <f t="shared" si="427"/>
        <v>4</v>
      </c>
      <c r="AA971" s="873">
        <f t="shared" si="428"/>
        <v>9</v>
      </c>
      <c r="AB971" s="874">
        <f t="shared" si="429"/>
        <v>13.960871651185032</v>
      </c>
    </row>
    <row r="972" spans="1:28">
      <c r="A972" s="210">
        <f t="shared" si="430"/>
        <v>12</v>
      </c>
      <c r="B972" s="210">
        <f>$F$572</f>
        <v>4</v>
      </c>
      <c r="C972" s="210">
        <f t="shared" si="432"/>
        <v>27</v>
      </c>
      <c r="D972" s="210">
        <f t="shared" si="432"/>
        <v>361</v>
      </c>
      <c r="E972" s="237">
        <f t="shared" si="412"/>
        <v>1</v>
      </c>
      <c r="F972" s="1208">
        <f t="shared" si="410"/>
        <v>0.6</v>
      </c>
      <c r="G972" s="210">
        <f t="shared" si="411"/>
        <v>0.8</v>
      </c>
      <c r="I972" s="233">
        <f t="shared" si="413"/>
        <v>11.200000000000003</v>
      </c>
      <c r="J972" s="210">
        <f t="shared" si="414"/>
        <v>0.8</v>
      </c>
      <c r="L972" s="233">
        <f t="shared" si="415"/>
        <v>5.9200000000000017</v>
      </c>
      <c r="M972" s="220">
        <f t="shared" si="416"/>
        <v>0.8</v>
      </c>
      <c r="O972" s="873">
        <f t="shared" si="417"/>
        <v>24</v>
      </c>
      <c r="P972" s="873">
        <f t="shared" si="417"/>
        <v>24</v>
      </c>
      <c r="Q972" s="874">
        <f t="shared" si="418"/>
        <v>20.669999999999998</v>
      </c>
      <c r="R972" s="873">
        <f t="shared" si="419"/>
        <v>10</v>
      </c>
      <c r="S972" s="873">
        <f t="shared" si="420"/>
        <v>14</v>
      </c>
      <c r="T972" s="874">
        <f t="shared" si="421"/>
        <v>17.633411486304666</v>
      </c>
      <c r="U972" s="874">
        <f t="shared" si="422"/>
        <v>15.750000000000004</v>
      </c>
      <c r="V972" s="873">
        <f t="shared" si="423"/>
        <v>7</v>
      </c>
      <c r="W972" s="873">
        <f t="shared" si="424"/>
        <v>3</v>
      </c>
      <c r="X972" s="873">
        <f t="shared" si="425"/>
        <v>0</v>
      </c>
      <c r="Y972" s="873">
        <f t="shared" si="426"/>
        <v>1</v>
      </c>
      <c r="Z972" s="873">
        <f t="shared" si="427"/>
        <v>4</v>
      </c>
      <c r="AA972" s="873">
        <f t="shared" si="428"/>
        <v>9</v>
      </c>
      <c r="AB972" s="874">
        <f t="shared" si="429"/>
        <v>13.960871651185032</v>
      </c>
    </row>
    <row r="973" spans="1:28">
      <c r="A973" s="210">
        <f t="shared" si="430"/>
        <v>12</v>
      </c>
      <c r="B973" s="210">
        <f>$F$573</f>
        <v>5</v>
      </c>
      <c r="C973" s="210">
        <f t="shared" si="432"/>
        <v>28</v>
      </c>
      <c r="D973" s="210">
        <f t="shared" si="432"/>
        <v>362</v>
      </c>
      <c r="E973" s="237">
        <f t="shared" si="412"/>
        <v>1</v>
      </c>
      <c r="F973" s="1208">
        <f t="shared" si="410"/>
        <v>0.6</v>
      </c>
      <c r="G973" s="210">
        <f t="shared" si="411"/>
        <v>0.8</v>
      </c>
      <c r="I973" s="233">
        <f t="shared" si="413"/>
        <v>11.200000000000003</v>
      </c>
      <c r="J973" s="210">
        <f t="shared" si="414"/>
        <v>0.8</v>
      </c>
      <c r="L973" s="233">
        <f t="shared" si="415"/>
        <v>5.9200000000000017</v>
      </c>
      <c r="M973" s="220">
        <f t="shared" si="416"/>
        <v>0.8</v>
      </c>
      <c r="O973" s="873">
        <f t="shared" si="417"/>
        <v>24</v>
      </c>
      <c r="P973" s="873">
        <f t="shared" si="417"/>
        <v>24</v>
      </c>
      <c r="Q973" s="874">
        <f t="shared" si="418"/>
        <v>20.669999999999998</v>
      </c>
      <c r="R973" s="873">
        <f t="shared" si="419"/>
        <v>10</v>
      </c>
      <c r="S973" s="873">
        <f t="shared" si="420"/>
        <v>14</v>
      </c>
      <c r="T973" s="874">
        <f t="shared" si="421"/>
        <v>17.633411486304666</v>
      </c>
      <c r="U973" s="874">
        <f t="shared" si="422"/>
        <v>15.750000000000004</v>
      </c>
      <c r="V973" s="873">
        <f t="shared" si="423"/>
        <v>7</v>
      </c>
      <c r="W973" s="873">
        <f t="shared" si="424"/>
        <v>3</v>
      </c>
      <c r="X973" s="873">
        <f t="shared" si="425"/>
        <v>0</v>
      </c>
      <c r="Y973" s="873">
        <f t="shared" si="426"/>
        <v>1</v>
      </c>
      <c r="Z973" s="873">
        <f t="shared" si="427"/>
        <v>4</v>
      </c>
      <c r="AA973" s="873">
        <f t="shared" si="428"/>
        <v>9</v>
      </c>
      <c r="AB973" s="874">
        <f t="shared" si="429"/>
        <v>13.960871651185032</v>
      </c>
    </row>
    <row r="974" spans="1:28">
      <c r="A974" s="210">
        <f t="shared" si="430"/>
        <v>12</v>
      </c>
      <c r="B974" s="210">
        <f>$F$574</f>
        <v>6</v>
      </c>
      <c r="C974" s="210">
        <f t="shared" si="432"/>
        <v>29</v>
      </c>
      <c r="D974" s="210">
        <f t="shared" si="432"/>
        <v>363</v>
      </c>
      <c r="E974" s="237">
        <f t="shared" si="412"/>
        <v>1</v>
      </c>
      <c r="F974" s="1208">
        <f t="shared" si="410"/>
        <v>0.6</v>
      </c>
      <c r="G974" s="210">
        <f t="shared" si="411"/>
        <v>0.8</v>
      </c>
      <c r="I974" s="233">
        <f t="shared" si="413"/>
        <v>11.200000000000003</v>
      </c>
      <c r="J974" s="210">
        <f t="shared" si="414"/>
        <v>0.8</v>
      </c>
      <c r="L974" s="233">
        <f t="shared" si="415"/>
        <v>5.9200000000000017</v>
      </c>
      <c r="M974" s="220">
        <f t="shared" si="416"/>
        <v>0.8</v>
      </c>
      <c r="O974" s="873">
        <f t="shared" si="417"/>
        <v>24</v>
      </c>
      <c r="P974" s="873">
        <f t="shared" si="417"/>
        <v>24</v>
      </c>
      <c r="Q974" s="874">
        <f t="shared" si="418"/>
        <v>20.669999999999998</v>
      </c>
      <c r="R974" s="873">
        <f t="shared" si="419"/>
        <v>10</v>
      </c>
      <c r="S974" s="873">
        <f t="shared" si="420"/>
        <v>14</v>
      </c>
      <c r="T974" s="874">
        <f t="shared" si="421"/>
        <v>17.633411486304666</v>
      </c>
      <c r="U974" s="874">
        <f t="shared" si="422"/>
        <v>15.750000000000004</v>
      </c>
      <c r="V974" s="873">
        <f t="shared" si="423"/>
        <v>7</v>
      </c>
      <c r="W974" s="873">
        <f t="shared" si="424"/>
        <v>3</v>
      </c>
      <c r="X974" s="873">
        <f t="shared" si="425"/>
        <v>0</v>
      </c>
      <c r="Y974" s="873">
        <f t="shared" si="426"/>
        <v>1</v>
      </c>
      <c r="Z974" s="873">
        <f t="shared" si="427"/>
        <v>4</v>
      </c>
      <c r="AA974" s="873">
        <f t="shared" si="428"/>
        <v>9</v>
      </c>
      <c r="AB974" s="874">
        <f t="shared" si="429"/>
        <v>13.960871651185032</v>
      </c>
    </row>
    <row r="975" spans="1:28">
      <c r="A975" s="210">
        <f t="shared" si="430"/>
        <v>12</v>
      </c>
      <c r="B975" s="210">
        <f>$F$575</f>
        <v>7</v>
      </c>
      <c r="C975" s="210">
        <f t="shared" si="432"/>
        <v>30</v>
      </c>
      <c r="D975" s="210">
        <f t="shared" si="432"/>
        <v>364</v>
      </c>
      <c r="E975" s="237">
        <f t="shared" si="412"/>
        <v>1</v>
      </c>
      <c r="F975" s="1208">
        <f t="shared" si="410"/>
        <v>0.6</v>
      </c>
      <c r="G975" s="210">
        <f t="shared" si="411"/>
        <v>0.8</v>
      </c>
      <c r="I975" s="233">
        <f t="shared" si="413"/>
        <v>11.200000000000003</v>
      </c>
      <c r="J975" s="210">
        <f t="shared" si="414"/>
        <v>0.8</v>
      </c>
      <c r="L975" s="233">
        <f t="shared" si="415"/>
        <v>5.9200000000000017</v>
      </c>
      <c r="M975" s="220">
        <f t="shared" si="416"/>
        <v>0.8</v>
      </c>
      <c r="O975" s="873">
        <f t="shared" si="417"/>
        <v>24</v>
      </c>
      <c r="P975" s="873">
        <f t="shared" si="417"/>
        <v>24</v>
      </c>
      <c r="Q975" s="874">
        <f t="shared" si="418"/>
        <v>20.669999999999998</v>
      </c>
      <c r="R975" s="873">
        <f t="shared" si="419"/>
        <v>10</v>
      </c>
      <c r="S975" s="873">
        <f t="shared" si="420"/>
        <v>14</v>
      </c>
      <c r="T975" s="874">
        <f t="shared" si="421"/>
        <v>17.633411486304666</v>
      </c>
      <c r="U975" s="874">
        <f t="shared" si="422"/>
        <v>15.750000000000004</v>
      </c>
      <c r="V975" s="873">
        <f t="shared" si="423"/>
        <v>7</v>
      </c>
      <c r="W975" s="873">
        <f t="shared" si="424"/>
        <v>3</v>
      </c>
      <c r="X975" s="873">
        <f t="shared" si="425"/>
        <v>0</v>
      </c>
      <c r="Y975" s="873">
        <f t="shared" si="426"/>
        <v>1</v>
      </c>
      <c r="Z975" s="873">
        <f t="shared" si="427"/>
        <v>4</v>
      </c>
      <c r="AA975" s="873">
        <f t="shared" si="428"/>
        <v>9</v>
      </c>
      <c r="AB975" s="874">
        <f t="shared" si="429"/>
        <v>13.960871651185032</v>
      </c>
    </row>
    <row r="976" spans="1:28">
      <c r="A976" s="210">
        <f t="shared" si="430"/>
        <v>12</v>
      </c>
      <c r="B976" s="210">
        <f>$F$569</f>
        <v>1</v>
      </c>
      <c r="C976" s="210">
        <f t="shared" si="432"/>
        <v>31</v>
      </c>
      <c r="D976" s="210">
        <f t="shared" si="432"/>
        <v>365</v>
      </c>
      <c r="E976" s="237">
        <f t="shared" si="412"/>
        <v>1</v>
      </c>
      <c r="F976" s="1208">
        <f t="shared" si="410"/>
        <v>0.6</v>
      </c>
      <c r="G976" s="210">
        <f t="shared" si="411"/>
        <v>0.8</v>
      </c>
      <c r="I976" s="233">
        <f t="shared" si="413"/>
        <v>11.200000000000003</v>
      </c>
      <c r="J976" s="210">
        <f t="shared" si="414"/>
        <v>0.8</v>
      </c>
      <c r="L976" s="233">
        <f t="shared" si="415"/>
        <v>5.9200000000000017</v>
      </c>
      <c r="M976" s="220">
        <f t="shared" si="416"/>
        <v>0.8</v>
      </c>
      <c r="O976" s="873">
        <f t="shared" si="417"/>
        <v>24</v>
      </c>
      <c r="P976" s="873">
        <f t="shared" si="417"/>
        <v>24</v>
      </c>
      <c r="Q976" s="874">
        <f t="shared" si="418"/>
        <v>20.669999999999998</v>
      </c>
      <c r="R976" s="873">
        <f t="shared" si="419"/>
        <v>10</v>
      </c>
      <c r="S976" s="873">
        <f t="shared" si="420"/>
        <v>14</v>
      </c>
      <c r="T976" s="874">
        <f t="shared" si="421"/>
        <v>17.633411486304666</v>
      </c>
      <c r="U976" s="874">
        <f t="shared" si="422"/>
        <v>15.750000000000004</v>
      </c>
      <c r="V976" s="873">
        <f t="shared" si="423"/>
        <v>7</v>
      </c>
      <c r="W976" s="873">
        <f t="shared" si="424"/>
        <v>3</v>
      </c>
      <c r="X976" s="873">
        <f t="shared" si="425"/>
        <v>0</v>
      </c>
      <c r="Y976" s="873">
        <f t="shared" si="426"/>
        <v>1</v>
      </c>
      <c r="Z976" s="873">
        <f t="shared" si="427"/>
        <v>4</v>
      </c>
      <c r="AA976" s="873">
        <f t="shared" si="428"/>
        <v>9</v>
      </c>
      <c r="AB976" s="874">
        <f t="shared" si="429"/>
        <v>13.960871651185032</v>
      </c>
    </row>
  </sheetData>
  <mergeCells count="7">
    <mergeCell ref="Z88:AI88"/>
    <mergeCell ref="J393:L393"/>
    <mergeCell ref="H393:I393"/>
    <mergeCell ref="B59:C59"/>
    <mergeCell ref="D59:E59"/>
    <mergeCell ref="D393:E393"/>
    <mergeCell ref="F393:G393"/>
  </mergeCells>
  <conditionalFormatting sqref="AN278:AN301">
    <cfRule type="expression" dxfId="1" priority="2">
      <formula>AN278&lt;AM278</formula>
    </cfRule>
  </conditionalFormatting>
  <conditionalFormatting sqref="AN339:AN362">
    <cfRule type="expression" dxfId="0" priority="1">
      <formula>AN339&lt;AM339</formula>
    </cfRule>
  </conditionalFormatting>
  <dataValidations count="1">
    <dataValidation type="list" allowBlank="1" showInputMessage="1" showErrorMessage="1" sqref="O273" xr:uid="{00000000-0002-0000-0400-000000000000}">
      <formula1>$AS$278:$BD$278</formula1>
    </dataValidation>
  </dataValidations>
  <pageMargins left="0.7" right="0.7" top="0.78740157499999996" bottom="0.78740157499999996" header="0.3" footer="0.3"/>
  <pageSetup paperSize="9" orientation="portrait" verticalDpi="1200" r:id="rId1"/>
  <headerFooter>
    <oddHeader>&amp;CSIA 2024 Raum-Datenblätter</oddHeader>
    <oddFooter>&amp;CSIA 2024, Copyright © 2021 by SIA Zurich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63" r:id="rId4" name="Drop Down 7">
              <controlPr defaultSize="0" print="0" autoLine="0" autoPict="0">
                <anchor moveWithCells="1">
                  <from>
                    <xdr:col>1</xdr:col>
                    <xdr:colOff>70757</xdr:colOff>
                    <xdr:row>0</xdr:row>
                    <xdr:rowOff>0</xdr:rowOff>
                  </from>
                  <to>
                    <xdr:col>4</xdr:col>
                    <xdr:colOff>38100</xdr:colOff>
                    <xdr:row>1</xdr:row>
                    <xdr:rowOff>16329</xdr:rowOff>
                  </to>
                </anchor>
              </controlPr>
            </control>
          </mc:Choice>
        </mc:AlternateContent>
        <mc:AlternateContent xmlns:mc="http://schemas.openxmlformats.org/markup-compatibility/2006">
          <mc:Choice Requires="x14">
            <control shapeId="96265" r:id="rId5" name="Spinner 9">
              <controlPr defaultSize="0" autoPict="0">
                <anchor moveWithCells="1" sizeWithCells="1">
                  <from>
                    <xdr:col>0</xdr:col>
                    <xdr:colOff>718457</xdr:colOff>
                    <xdr:row>0</xdr:row>
                    <xdr:rowOff>21771</xdr:rowOff>
                  </from>
                  <to>
                    <xdr:col>0</xdr:col>
                    <xdr:colOff>718457</xdr:colOff>
                    <xdr:row>1</xdr:row>
                    <xdr:rowOff>0</xdr:rowOff>
                  </to>
                </anchor>
              </controlPr>
            </control>
          </mc:Choice>
        </mc:AlternateContent>
        <mc:AlternateContent xmlns:mc="http://schemas.openxmlformats.org/markup-compatibility/2006">
          <mc:Choice Requires="x14">
            <control shapeId="96267" r:id="rId6" name="Spinner 11">
              <controlPr defaultSize="0" autoPict="0">
                <anchor moveWithCells="1" sizeWithCells="1">
                  <from>
                    <xdr:col>3</xdr:col>
                    <xdr:colOff>723900</xdr:colOff>
                    <xdr:row>0</xdr:row>
                    <xdr:rowOff>21771</xdr:rowOff>
                  </from>
                  <to>
                    <xdr:col>4</xdr:col>
                    <xdr:colOff>70757</xdr:colOff>
                    <xdr:row>1</xdr:row>
                    <xdr:rowOff>21771</xdr:rowOff>
                  </to>
                </anchor>
              </controlPr>
            </control>
          </mc:Choice>
        </mc:AlternateContent>
        <mc:AlternateContent xmlns:mc="http://schemas.openxmlformats.org/markup-compatibility/2006">
          <mc:Choice Requires="x14">
            <control shapeId="96651" r:id="rId7" name="Drop Down 395">
              <controlPr defaultSize="0" autoLine="0" autoPict="0">
                <anchor moveWithCells="1">
                  <from>
                    <xdr:col>5</xdr:col>
                    <xdr:colOff>0</xdr:colOff>
                    <xdr:row>0</xdr:row>
                    <xdr:rowOff>0</xdr:rowOff>
                  </from>
                  <to>
                    <xdr:col>6</xdr:col>
                    <xdr:colOff>832757</xdr:colOff>
                    <xdr:row>1</xdr:row>
                    <xdr:rowOff>32657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blMonats">
    <pageSetUpPr fitToPage="1"/>
  </sheetPr>
  <dimension ref="A1:X450"/>
  <sheetViews>
    <sheetView showRowColHeaders="0" zoomScaleNormal="100" workbookViewId="0">
      <selection activeCell="H1" sqref="H1"/>
    </sheetView>
  </sheetViews>
  <sheetFormatPr baseColWidth="10" defaultColWidth="11.4609375" defaultRowHeight="15" customHeight="1"/>
  <cols>
    <col min="1" max="24" width="4.69140625" style="939" customWidth="1"/>
    <col min="25" max="16384" width="11.4609375" style="210"/>
  </cols>
  <sheetData>
    <row r="1" spans="1:24" ht="15" customHeight="1" thickBot="1">
      <c r="A1" s="1303" t="str">
        <f>INDEX(Winter_Auslegung!A5:A44,Monatswerte!H1)</f>
        <v>Adelboden</v>
      </c>
      <c r="B1" s="998"/>
      <c r="C1" s="998"/>
      <c r="D1" s="210"/>
      <c r="E1" s="998"/>
      <c r="F1" s="210"/>
      <c r="G1" s="998"/>
      <c r="H1" s="1304">
        <f>'Eigene Nutzung'!$G$1</f>
        <v>1</v>
      </c>
      <c r="I1" s="998"/>
      <c r="J1" s="998"/>
      <c r="K1" s="998"/>
      <c r="L1" s="884" t="s">
        <v>37</v>
      </c>
      <c r="M1" s="885" t="s">
        <v>38</v>
      </c>
      <c r="N1" s="885" t="s">
        <v>858</v>
      </c>
      <c r="O1" s="885" t="s">
        <v>39</v>
      </c>
      <c r="P1" s="885" t="s">
        <v>40</v>
      </c>
      <c r="Q1" s="885" t="s">
        <v>41</v>
      </c>
      <c r="R1" s="885" t="s">
        <v>42</v>
      </c>
      <c r="S1" s="885" t="s">
        <v>43</v>
      </c>
      <c r="T1" s="885" t="s">
        <v>44</v>
      </c>
      <c r="U1" s="885" t="s">
        <v>45</v>
      </c>
      <c r="V1" s="885" t="s">
        <v>46</v>
      </c>
      <c r="W1" s="886" t="s">
        <v>47</v>
      </c>
      <c r="X1" s="887" t="s">
        <v>352</v>
      </c>
    </row>
    <row r="2" spans="1:24" ht="15" customHeight="1" thickBot="1">
      <c r="A2" s="888" t="s">
        <v>1206</v>
      </c>
      <c r="B2" s="889"/>
      <c r="C2" s="889"/>
      <c r="D2" s="889"/>
      <c r="E2" s="889"/>
      <c r="F2" s="889"/>
      <c r="G2" s="890"/>
      <c r="H2" s="999" t="s">
        <v>3</v>
      </c>
      <c r="I2" s="1000"/>
      <c r="J2" s="891"/>
      <c r="K2" s="892"/>
      <c r="L2" s="1305">
        <f>INDEX(L1:L450,(2+$H$1*11))</f>
        <v>-1.2</v>
      </c>
      <c r="M2" s="1306">
        <f t="shared" ref="M2:X2" si="0">INDEX(M1:M450,(2+$H$1*11))</f>
        <v>-0.9</v>
      </c>
      <c r="N2" s="1306">
        <f t="shared" si="0"/>
        <v>1.7</v>
      </c>
      <c r="O2" s="1306">
        <f t="shared" si="0"/>
        <v>4.0999999999999996</v>
      </c>
      <c r="P2" s="1306">
        <f t="shared" si="0"/>
        <v>9.1999999999999993</v>
      </c>
      <c r="Q2" s="1306">
        <f t="shared" si="0"/>
        <v>11.8</v>
      </c>
      <c r="R2" s="1306">
        <f t="shared" si="0"/>
        <v>14.2</v>
      </c>
      <c r="S2" s="1306">
        <f t="shared" si="0"/>
        <v>14.4</v>
      </c>
      <c r="T2" s="1306">
        <f t="shared" si="0"/>
        <v>10.5</v>
      </c>
      <c r="U2" s="1306">
        <f t="shared" si="0"/>
        <v>7.3</v>
      </c>
      <c r="V2" s="1306">
        <f t="shared" si="0"/>
        <v>2</v>
      </c>
      <c r="W2" s="1307">
        <f t="shared" si="0"/>
        <v>0</v>
      </c>
      <c r="X2" s="1308">
        <f t="shared" si="0"/>
        <v>6.0916666666666659</v>
      </c>
    </row>
    <row r="3" spans="1:24" ht="15" customHeight="1">
      <c r="A3" s="897"/>
      <c r="B3" s="898"/>
      <c r="C3" s="898"/>
      <c r="D3" s="898"/>
      <c r="E3" s="898"/>
      <c r="F3" s="898"/>
      <c r="G3" s="899"/>
      <c r="H3" s="1001" t="s">
        <v>1207</v>
      </c>
      <c r="I3" s="1002"/>
      <c r="J3" s="1003" t="s">
        <v>1208</v>
      </c>
      <c r="K3" s="1004"/>
      <c r="L3" s="1309">
        <f t="shared" ref="L3:X3" si="1">INDEX(L2:L451,(2+$H$1*11))</f>
        <v>150</v>
      </c>
      <c r="M3" s="1310">
        <f t="shared" si="1"/>
        <v>213</v>
      </c>
      <c r="N3" s="1310">
        <f t="shared" si="1"/>
        <v>364</v>
      </c>
      <c r="O3" s="1310">
        <f t="shared" si="1"/>
        <v>443</v>
      </c>
      <c r="P3" s="1310">
        <f t="shared" si="1"/>
        <v>530</v>
      </c>
      <c r="Q3" s="1310">
        <f t="shared" si="1"/>
        <v>537</v>
      </c>
      <c r="R3" s="1310">
        <f t="shared" si="1"/>
        <v>560</v>
      </c>
      <c r="S3" s="1310">
        <f t="shared" si="1"/>
        <v>493</v>
      </c>
      <c r="T3" s="1310">
        <f t="shared" si="1"/>
        <v>371</v>
      </c>
      <c r="U3" s="1310">
        <f t="shared" si="1"/>
        <v>254</v>
      </c>
      <c r="V3" s="1310">
        <f t="shared" si="1"/>
        <v>150</v>
      </c>
      <c r="W3" s="1311">
        <f t="shared" si="1"/>
        <v>121</v>
      </c>
      <c r="X3" s="1312">
        <f t="shared" si="1"/>
        <v>4186</v>
      </c>
    </row>
    <row r="4" spans="1:24" ht="15" customHeight="1">
      <c r="A4" s="904"/>
      <c r="B4" s="882"/>
      <c r="C4" s="882"/>
      <c r="D4" s="882"/>
      <c r="E4" s="882"/>
      <c r="F4" s="882"/>
      <c r="G4" s="905"/>
      <c r="H4" s="1005"/>
      <c r="I4" s="1006"/>
      <c r="J4" s="1007" t="s">
        <v>1209</v>
      </c>
      <c r="K4" s="1008"/>
      <c r="L4" s="1309">
        <f t="shared" ref="L4:X4" si="2">INDEX(L3:L452,(2+$H$1*11))</f>
        <v>96</v>
      </c>
      <c r="M4" s="1313">
        <f t="shared" si="2"/>
        <v>143</v>
      </c>
      <c r="N4" s="1313">
        <f t="shared" si="2"/>
        <v>271</v>
      </c>
      <c r="O4" s="1313">
        <f t="shared" si="2"/>
        <v>233</v>
      </c>
      <c r="P4" s="1313">
        <f t="shared" si="2"/>
        <v>295</v>
      </c>
      <c r="Q4" s="1313">
        <f t="shared" si="2"/>
        <v>311</v>
      </c>
      <c r="R4" s="1313">
        <f t="shared" si="2"/>
        <v>327</v>
      </c>
      <c r="S4" s="1313">
        <f t="shared" si="2"/>
        <v>279</v>
      </c>
      <c r="T4" s="1313">
        <f t="shared" si="2"/>
        <v>197</v>
      </c>
      <c r="U4" s="1313">
        <f t="shared" si="2"/>
        <v>179</v>
      </c>
      <c r="V4" s="1313">
        <f t="shared" si="2"/>
        <v>96</v>
      </c>
      <c r="W4" s="1314">
        <f t="shared" si="2"/>
        <v>78</v>
      </c>
      <c r="X4" s="1312">
        <f t="shared" si="2"/>
        <v>2504</v>
      </c>
    </row>
    <row r="5" spans="1:24" ht="15" customHeight="1">
      <c r="A5" s="904" t="s">
        <v>1210</v>
      </c>
      <c r="B5" s="882"/>
      <c r="C5" s="882"/>
      <c r="D5" s="882"/>
      <c r="E5" s="882"/>
      <c r="F5" s="882"/>
      <c r="G5" s="905"/>
      <c r="H5" s="1005"/>
      <c r="I5" s="1006"/>
      <c r="J5" s="1007" t="s">
        <v>1211</v>
      </c>
      <c r="K5" s="1008"/>
      <c r="L5" s="1309">
        <f t="shared" ref="L5:X5" si="3">INDEX(L4:L453,(2+$H$1*11))</f>
        <v>297</v>
      </c>
      <c r="M5" s="1313">
        <f t="shared" si="3"/>
        <v>331</v>
      </c>
      <c r="N5" s="1313">
        <f t="shared" si="3"/>
        <v>431</v>
      </c>
      <c r="O5" s="1313">
        <f t="shared" si="3"/>
        <v>293</v>
      </c>
      <c r="P5" s="1313">
        <f t="shared" si="3"/>
        <v>268</v>
      </c>
      <c r="Q5" s="1313">
        <f t="shared" si="3"/>
        <v>236</v>
      </c>
      <c r="R5" s="1313">
        <f t="shared" si="3"/>
        <v>265</v>
      </c>
      <c r="S5" s="1313">
        <f t="shared" si="3"/>
        <v>300</v>
      </c>
      <c r="T5" s="1313">
        <f t="shared" si="3"/>
        <v>314</v>
      </c>
      <c r="U5" s="1313">
        <f t="shared" si="3"/>
        <v>359</v>
      </c>
      <c r="V5" s="1313">
        <f t="shared" si="3"/>
        <v>262</v>
      </c>
      <c r="W5" s="1314">
        <f t="shared" si="3"/>
        <v>244</v>
      </c>
      <c r="X5" s="1312">
        <f t="shared" si="3"/>
        <v>3600</v>
      </c>
    </row>
    <row r="6" spans="1:24" ht="15" customHeight="1">
      <c r="A6" s="904"/>
      <c r="B6" s="882"/>
      <c r="C6" s="882"/>
      <c r="D6" s="882"/>
      <c r="E6" s="882"/>
      <c r="F6" s="882"/>
      <c r="G6" s="905"/>
      <c r="H6" s="1005"/>
      <c r="I6" s="1006"/>
      <c r="J6" s="1007" t="s">
        <v>592</v>
      </c>
      <c r="K6" s="1008"/>
      <c r="L6" s="1315">
        <f t="shared" ref="L6:X6" si="4">INDEX(L5:L454,(2+$H$1*11))</f>
        <v>134</v>
      </c>
      <c r="M6" s="1313">
        <f t="shared" si="4"/>
        <v>169</v>
      </c>
      <c r="N6" s="1313">
        <f t="shared" si="4"/>
        <v>257</v>
      </c>
      <c r="O6" s="1313">
        <f t="shared" si="4"/>
        <v>181</v>
      </c>
      <c r="P6" s="1313">
        <f t="shared" si="4"/>
        <v>198</v>
      </c>
      <c r="Q6" s="1313">
        <f t="shared" si="4"/>
        <v>187</v>
      </c>
      <c r="R6" s="1313">
        <f t="shared" si="4"/>
        <v>198</v>
      </c>
      <c r="S6" s="1313">
        <f t="shared" si="4"/>
        <v>187</v>
      </c>
      <c r="T6" s="1313">
        <f t="shared" si="4"/>
        <v>156</v>
      </c>
      <c r="U6" s="1313">
        <f t="shared" si="4"/>
        <v>190</v>
      </c>
      <c r="V6" s="1313">
        <f t="shared" si="4"/>
        <v>122</v>
      </c>
      <c r="W6" s="1314">
        <f t="shared" si="4"/>
        <v>104</v>
      </c>
      <c r="X6" s="1312">
        <f t="shared" si="4"/>
        <v>2084</v>
      </c>
    </row>
    <row r="7" spans="1:24" ht="15" customHeight="1" thickBot="1">
      <c r="A7" s="909"/>
      <c r="B7" s="910"/>
      <c r="C7" s="910"/>
      <c r="D7" s="910"/>
      <c r="E7" s="910"/>
      <c r="F7" s="910"/>
      <c r="G7" s="911"/>
      <c r="H7" s="1009"/>
      <c r="I7" s="1010"/>
      <c r="J7" s="1011" t="s">
        <v>1212</v>
      </c>
      <c r="K7" s="1012"/>
      <c r="L7" s="1316">
        <f t="shared" ref="L7:X7" si="5">INDEX(L6:L455,(2+$H$1*11))</f>
        <v>75</v>
      </c>
      <c r="M7" s="1317">
        <f t="shared" si="5"/>
        <v>102</v>
      </c>
      <c r="N7" s="1317">
        <f t="shared" si="5"/>
        <v>171</v>
      </c>
      <c r="O7" s="1317">
        <f t="shared" si="5"/>
        <v>101</v>
      </c>
      <c r="P7" s="1317">
        <f t="shared" si="5"/>
        <v>129</v>
      </c>
      <c r="Q7" s="1317">
        <f t="shared" si="5"/>
        <v>140</v>
      </c>
      <c r="R7" s="1317">
        <f t="shared" si="5"/>
        <v>139</v>
      </c>
      <c r="S7" s="1317">
        <f t="shared" si="5"/>
        <v>112</v>
      </c>
      <c r="T7" s="1317">
        <f t="shared" si="5"/>
        <v>83</v>
      </c>
      <c r="U7" s="1317">
        <f t="shared" si="5"/>
        <v>123</v>
      </c>
      <c r="V7" s="1317">
        <f t="shared" si="5"/>
        <v>75</v>
      </c>
      <c r="W7" s="1318">
        <f t="shared" si="5"/>
        <v>62</v>
      </c>
      <c r="X7" s="1319">
        <f t="shared" si="5"/>
        <v>1312</v>
      </c>
    </row>
    <row r="8" spans="1:24" ht="15" customHeight="1" thickBot="1">
      <c r="A8" s="888" t="s">
        <v>1213</v>
      </c>
      <c r="B8" s="889"/>
      <c r="C8" s="889"/>
      <c r="D8" s="889"/>
      <c r="E8" s="889"/>
      <c r="F8" s="889"/>
      <c r="G8" s="890"/>
      <c r="H8" s="999" t="s">
        <v>1214</v>
      </c>
      <c r="I8" s="1000"/>
      <c r="J8" s="999"/>
      <c r="K8" s="1013"/>
      <c r="L8" s="1320">
        <f t="shared" ref="L8:X8" si="6">INDEX(L7:L456,(2+$H$1*11))</f>
        <v>86</v>
      </c>
      <c r="M8" s="1321">
        <f t="shared" si="6"/>
        <v>98</v>
      </c>
      <c r="N8" s="1321">
        <f t="shared" si="6"/>
        <v>93</v>
      </c>
      <c r="O8" s="1321">
        <f t="shared" si="6"/>
        <v>98</v>
      </c>
      <c r="P8" s="1321">
        <f t="shared" si="6"/>
        <v>126</v>
      </c>
      <c r="Q8" s="1321">
        <f t="shared" si="6"/>
        <v>152</v>
      </c>
      <c r="R8" s="1321">
        <f t="shared" si="6"/>
        <v>159</v>
      </c>
      <c r="S8" s="1321">
        <f t="shared" si="6"/>
        <v>143</v>
      </c>
      <c r="T8" s="1321">
        <f t="shared" si="6"/>
        <v>111</v>
      </c>
      <c r="U8" s="1321">
        <f t="shared" si="6"/>
        <v>87</v>
      </c>
      <c r="V8" s="1321">
        <f t="shared" si="6"/>
        <v>97</v>
      </c>
      <c r="W8" s="1322">
        <f t="shared" si="6"/>
        <v>103</v>
      </c>
      <c r="X8" s="1323">
        <f t="shared" si="6"/>
        <v>1353</v>
      </c>
    </row>
    <row r="9" spans="1:24" ht="15" customHeight="1">
      <c r="A9" s="1014" t="s">
        <v>1215</v>
      </c>
      <c r="B9" s="1015"/>
      <c r="C9" s="1015"/>
      <c r="D9" s="1015"/>
      <c r="E9" s="1015"/>
      <c r="F9" s="1015"/>
      <c r="G9" s="1016"/>
      <c r="H9" s="886" t="s">
        <v>1216</v>
      </c>
      <c r="I9" s="1017"/>
      <c r="J9" s="886"/>
      <c r="K9" s="1018"/>
      <c r="L9" s="1324">
        <f t="shared" ref="L9:X9" si="7">INDEX(L8:L457,(2+$H$1*11))</f>
        <v>2.79</v>
      </c>
      <c r="M9" s="1325">
        <f t="shared" si="7"/>
        <v>2.89</v>
      </c>
      <c r="N9" s="1325">
        <f t="shared" si="7"/>
        <v>3.5</v>
      </c>
      <c r="O9" s="1325">
        <f t="shared" si="7"/>
        <v>4.28</v>
      </c>
      <c r="P9" s="1325">
        <f t="shared" si="7"/>
        <v>6.24</v>
      </c>
      <c r="Q9" s="1325">
        <f t="shared" si="7"/>
        <v>7.64</v>
      </c>
      <c r="R9" s="1325">
        <f t="shared" si="7"/>
        <v>8.93</v>
      </c>
      <c r="S9" s="1325">
        <f t="shared" si="7"/>
        <v>8.98</v>
      </c>
      <c r="T9" s="1325">
        <f t="shared" si="7"/>
        <v>7.25</v>
      </c>
      <c r="U9" s="1325">
        <f t="shared" si="7"/>
        <v>5.6</v>
      </c>
      <c r="V9" s="1325">
        <f t="shared" si="7"/>
        <v>3.79</v>
      </c>
      <c r="W9" s="1326">
        <f t="shared" si="7"/>
        <v>3.14</v>
      </c>
      <c r="X9" s="1327">
        <f t="shared" si="7"/>
        <v>5.4191666666666665</v>
      </c>
    </row>
    <row r="10" spans="1:24" ht="15" customHeight="1" thickBot="1">
      <c r="A10" s="924" t="s">
        <v>1217</v>
      </c>
      <c r="B10" s="925"/>
      <c r="C10" s="925"/>
      <c r="D10" s="925"/>
      <c r="E10" s="925"/>
      <c r="F10" s="925"/>
      <c r="G10" s="926"/>
      <c r="H10" s="1019" t="s">
        <v>1218</v>
      </c>
      <c r="I10" s="1020"/>
      <c r="J10" s="1019"/>
      <c r="K10" s="1021"/>
      <c r="L10" s="1328">
        <f t="shared" ref="L10:X10" si="8">INDEX(L9:L458,(2+$H$1*11))</f>
        <v>3.08</v>
      </c>
      <c r="M10" s="1329">
        <f t="shared" si="8"/>
        <v>3.19</v>
      </c>
      <c r="N10" s="1329">
        <f t="shared" si="8"/>
        <v>3.83</v>
      </c>
      <c r="O10" s="1329">
        <f t="shared" si="8"/>
        <v>4.6399999999999997</v>
      </c>
      <c r="P10" s="1329">
        <f t="shared" si="8"/>
        <v>6.63</v>
      </c>
      <c r="Q10" s="1329">
        <f t="shared" si="8"/>
        <v>8.0399999999999991</v>
      </c>
      <c r="R10" s="1329">
        <f t="shared" si="8"/>
        <v>9.31</v>
      </c>
      <c r="S10" s="1329">
        <f t="shared" si="8"/>
        <v>9.35</v>
      </c>
      <c r="T10" s="1329">
        <f t="shared" si="8"/>
        <v>7.66</v>
      </c>
      <c r="U10" s="1329">
        <f t="shared" si="8"/>
        <v>5.99</v>
      </c>
      <c r="V10" s="1329">
        <f t="shared" si="8"/>
        <v>4.1399999999999997</v>
      </c>
      <c r="W10" s="1330">
        <f t="shared" si="8"/>
        <v>3.45</v>
      </c>
      <c r="X10" s="1331">
        <f t="shared" si="8"/>
        <v>5.82</v>
      </c>
    </row>
    <row r="11" spans="1:24" ht="15" customHeight="1" thickBot="1">
      <c r="A11" s="910"/>
      <c r="B11" s="1028"/>
      <c r="C11" s="1028"/>
      <c r="D11" s="1028"/>
      <c r="E11" s="1028"/>
      <c r="F11" s="1028"/>
      <c r="G11" s="1028"/>
      <c r="H11" s="1032"/>
      <c r="I11" s="1032"/>
      <c r="J11" s="1032"/>
      <c r="K11" s="1032"/>
      <c r="L11" s="1033"/>
      <c r="M11" s="1034"/>
      <c r="N11" s="1034"/>
      <c r="O11" s="1034"/>
      <c r="P11" s="1034"/>
      <c r="Q11" s="1034"/>
      <c r="R11" s="1034"/>
      <c r="S11" s="1034"/>
      <c r="T11" s="1034"/>
      <c r="U11" s="1034"/>
      <c r="V11" s="1034"/>
      <c r="W11" s="1035"/>
      <c r="X11" s="1036"/>
    </row>
    <row r="12" spans="1:24" ht="15" customHeight="1" thickBot="1">
      <c r="A12" s="211" t="s">
        <v>1205</v>
      </c>
      <c r="B12" s="998"/>
      <c r="C12" s="998"/>
      <c r="D12" s="998"/>
      <c r="E12" s="998"/>
      <c r="F12" s="998"/>
      <c r="G12" s="998"/>
      <c r="H12" s="998"/>
      <c r="I12" s="998"/>
      <c r="J12" s="998"/>
      <c r="K12" s="998"/>
      <c r="L12" s="884" t="s">
        <v>37</v>
      </c>
      <c r="M12" s="885" t="s">
        <v>38</v>
      </c>
      <c r="N12" s="885" t="s">
        <v>858</v>
      </c>
      <c r="O12" s="885" t="s">
        <v>39</v>
      </c>
      <c r="P12" s="885" t="s">
        <v>40</v>
      </c>
      <c r="Q12" s="885" t="s">
        <v>41</v>
      </c>
      <c r="R12" s="885" t="s">
        <v>42</v>
      </c>
      <c r="S12" s="885" t="s">
        <v>43</v>
      </c>
      <c r="T12" s="885" t="s">
        <v>44</v>
      </c>
      <c r="U12" s="885" t="s">
        <v>45</v>
      </c>
      <c r="V12" s="885" t="s">
        <v>46</v>
      </c>
      <c r="W12" s="886" t="s">
        <v>47</v>
      </c>
      <c r="X12" s="887" t="s">
        <v>352</v>
      </c>
    </row>
    <row r="13" spans="1:24" ht="15" customHeight="1" thickBot="1">
      <c r="A13" s="888" t="s">
        <v>1206</v>
      </c>
      <c r="B13" s="889"/>
      <c r="C13" s="889"/>
      <c r="D13" s="889"/>
      <c r="E13" s="889"/>
      <c r="F13" s="889"/>
      <c r="G13" s="890"/>
      <c r="H13" s="999" t="s">
        <v>3</v>
      </c>
      <c r="I13" s="1000"/>
      <c r="J13" s="891"/>
      <c r="K13" s="892"/>
      <c r="L13" s="893">
        <v>-1.2</v>
      </c>
      <c r="M13" s="894">
        <v>-0.9</v>
      </c>
      <c r="N13" s="894">
        <v>1.7</v>
      </c>
      <c r="O13" s="894">
        <v>4.0999999999999996</v>
      </c>
      <c r="P13" s="894">
        <v>9.1999999999999993</v>
      </c>
      <c r="Q13" s="894">
        <v>11.8</v>
      </c>
      <c r="R13" s="894">
        <v>14.2</v>
      </c>
      <c r="S13" s="894">
        <v>14.4</v>
      </c>
      <c r="T13" s="894">
        <v>10.5</v>
      </c>
      <c r="U13" s="894">
        <v>7.3</v>
      </c>
      <c r="V13" s="894">
        <v>2</v>
      </c>
      <c r="W13" s="895">
        <v>0</v>
      </c>
      <c r="X13" s="896">
        <v>6.0916666666666659</v>
      </c>
    </row>
    <row r="14" spans="1:24" ht="15" customHeight="1">
      <c r="A14" s="897"/>
      <c r="B14" s="898"/>
      <c r="C14" s="898"/>
      <c r="D14" s="898"/>
      <c r="E14" s="898"/>
      <c r="F14" s="898"/>
      <c r="G14" s="899"/>
      <c r="H14" s="1001" t="s">
        <v>1207</v>
      </c>
      <c r="I14" s="1002"/>
      <c r="J14" s="1003" t="s">
        <v>1208</v>
      </c>
      <c r="K14" s="1004"/>
      <c r="L14" s="900">
        <v>150</v>
      </c>
      <c r="M14" s="901">
        <v>213</v>
      </c>
      <c r="N14" s="901">
        <v>364</v>
      </c>
      <c r="O14" s="901">
        <v>443</v>
      </c>
      <c r="P14" s="901">
        <v>530</v>
      </c>
      <c r="Q14" s="901">
        <v>537</v>
      </c>
      <c r="R14" s="901">
        <v>560</v>
      </c>
      <c r="S14" s="901">
        <v>493</v>
      </c>
      <c r="T14" s="901">
        <v>371</v>
      </c>
      <c r="U14" s="901">
        <v>254</v>
      </c>
      <c r="V14" s="901">
        <v>150</v>
      </c>
      <c r="W14" s="902">
        <v>121</v>
      </c>
      <c r="X14" s="903">
        <v>4186</v>
      </c>
    </row>
    <row r="15" spans="1:24" ht="15" customHeight="1">
      <c r="A15" s="904"/>
      <c r="B15" s="882"/>
      <c r="C15" s="882"/>
      <c r="D15" s="882"/>
      <c r="E15" s="882"/>
      <c r="F15" s="882"/>
      <c r="G15" s="905"/>
      <c r="H15" s="1005"/>
      <c r="I15" s="1006"/>
      <c r="J15" s="1007" t="s">
        <v>1209</v>
      </c>
      <c r="K15" s="1008"/>
      <c r="L15" s="900">
        <v>96</v>
      </c>
      <c r="M15" s="906">
        <v>143</v>
      </c>
      <c r="N15" s="906">
        <v>271</v>
      </c>
      <c r="O15" s="906">
        <v>233</v>
      </c>
      <c r="P15" s="906">
        <v>295</v>
      </c>
      <c r="Q15" s="906">
        <v>311</v>
      </c>
      <c r="R15" s="906">
        <v>327</v>
      </c>
      <c r="S15" s="906">
        <v>279</v>
      </c>
      <c r="T15" s="906">
        <v>197</v>
      </c>
      <c r="U15" s="906">
        <v>179</v>
      </c>
      <c r="V15" s="906">
        <v>96</v>
      </c>
      <c r="W15" s="907">
        <v>78</v>
      </c>
      <c r="X15" s="903">
        <v>2504</v>
      </c>
    </row>
    <row r="16" spans="1:24" ht="15" customHeight="1">
      <c r="A16" s="904" t="s">
        <v>1210</v>
      </c>
      <c r="B16" s="882"/>
      <c r="C16" s="882"/>
      <c r="D16" s="882"/>
      <c r="E16" s="882"/>
      <c r="F16" s="882"/>
      <c r="G16" s="905"/>
      <c r="H16" s="1005"/>
      <c r="I16" s="1006"/>
      <c r="J16" s="1007" t="s">
        <v>1211</v>
      </c>
      <c r="K16" s="1008"/>
      <c r="L16" s="900">
        <v>297</v>
      </c>
      <c r="M16" s="906">
        <v>331</v>
      </c>
      <c r="N16" s="906">
        <v>431</v>
      </c>
      <c r="O16" s="906">
        <v>293</v>
      </c>
      <c r="P16" s="906">
        <v>268</v>
      </c>
      <c r="Q16" s="906">
        <v>236</v>
      </c>
      <c r="R16" s="906">
        <v>265</v>
      </c>
      <c r="S16" s="906">
        <v>300</v>
      </c>
      <c r="T16" s="906">
        <v>314</v>
      </c>
      <c r="U16" s="906">
        <v>359</v>
      </c>
      <c r="V16" s="906">
        <v>262</v>
      </c>
      <c r="W16" s="907">
        <v>244</v>
      </c>
      <c r="X16" s="903">
        <v>3600</v>
      </c>
    </row>
    <row r="17" spans="1:24" ht="15" customHeight="1">
      <c r="A17" s="904"/>
      <c r="B17" s="882"/>
      <c r="C17" s="882"/>
      <c r="D17" s="882"/>
      <c r="E17" s="882"/>
      <c r="F17" s="882"/>
      <c r="G17" s="905"/>
      <c r="H17" s="1005"/>
      <c r="I17" s="1006"/>
      <c r="J17" s="1007" t="s">
        <v>592</v>
      </c>
      <c r="K17" s="1008"/>
      <c r="L17" s="908">
        <v>134</v>
      </c>
      <c r="M17" s="906">
        <v>169</v>
      </c>
      <c r="N17" s="906">
        <v>257</v>
      </c>
      <c r="O17" s="906">
        <v>181</v>
      </c>
      <c r="P17" s="906">
        <v>198</v>
      </c>
      <c r="Q17" s="906">
        <v>187</v>
      </c>
      <c r="R17" s="906">
        <v>198</v>
      </c>
      <c r="S17" s="906">
        <v>187</v>
      </c>
      <c r="T17" s="906">
        <v>156</v>
      </c>
      <c r="U17" s="906">
        <v>190</v>
      </c>
      <c r="V17" s="906">
        <v>122</v>
      </c>
      <c r="W17" s="907">
        <v>104</v>
      </c>
      <c r="X17" s="903">
        <v>2084</v>
      </c>
    </row>
    <row r="18" spans="1:24" ht="15" customHeight="1" thickBot="1">
      <c r="A18" s="909"/>
      <c r="B18" s="910"/>
      <c r="C18" s="910"/>
      <c r="D18" s="910"/>
      <c r="E18" s="910"/>
      <c r="F18" s="910"/>
      <c r="G18" s="911"/>
      <c r="H18" s="1009"/>
      <c r="I18" s="1010"/>
      <c r="J18" s="1011" t="s">
        <v>1212</v>
      </c>
      <c r="K18" s="1012"/>
      <c r="L18" s="912">
        <v>75</v>
      </c>
      <c r="M18" s="913">
        <v>102</v>
      </c>
      <c r="N18" s="913">
        <v>171</v>
      </c>
      <c r="O18" s="913">
        <v>101</v>
      </c>
      <c r="P18" s="913">
        <v>129</v>
      </c>
      <c r="Q18" s="913">
        <v>140</v>
      </c>
      <c r="R18" s="913">
        <v>139</v>
      </c>
      <c r="S18" s="913">
        <v>112</v>
      </c>
      <c r="T18" s="913">
        <v>83</v>
      </c>
      <c r="U18" s="913">
        <v>123</v>
      </c>
      <c r="V18" s="913">
        <v>75</v>
      </c>
      <c r="W18" s="914">
        <v>62</v>
      </c>
      <c r="X18" s="915">
        <v>1312</v>
      </c>
    </row>
    <row r="19" spans="1:24" ht="15" customHeight="1" thickBot="1">
      <c r="A19" s="888" t="s">
        <v>1213</v>
      </c>
      <c r="B19" s="889"/>
      <c r="C19" s="889"/>
      <c r="D19" s="889"/>
      <c r="E19" s="889"/>
      <c r="F19" s="889"/>
      <c r="G19" s="890"/>
      <c r="H19" s="999" t="s">
        <v>1214</v>
      </c>
      <c r="I19" s="1000"/>
      <c r="J19" s="999"/>
      <c r="K19" s="1013"/>
      <c r="L19" s="916">
        <v>86</v>
      </c>
      <c r="M19" s="917">
        <v>98</v>
      </c>
      <c r="N19" s="917">
        <v>93</v>
      </c>
      <c r="O19" s="917">
        <v>98</v>
      </c>
      <c r="P19" s="917">
        <v>126</v>
      </c>
      <c r="Q19" s="917">
        <v>152</v>
      </c>
      <c r="R19" s="917">
        <v>159</v>
      </c>
      <c r="S19" s="917">
        <v>143</v>
      </c>
      <c r="T19" s="917">
        <v>111</v>
      </c>
      <c r="U19" s="917">
        <v>87</v>
      </c>
      <c r="V19" s="917">
        <v>97</v>
      </c>
      <c r="W19" s="918">
        <v>103</v>
      </c>
      <c r="X19" s="919">
        <v>1353</v>
      </c>
    </row>
    <row r="20" spans="1:24" ht="15" customHeight="1">
      <c r="A20" s="1014" t="s">
        <v>1215</v>
      </c>
      <c r="B20" s="1015"/>
      <c r="C20" s="1015"/>
      <c r="D20" s="1015"/>
      <c r="E20" s="1015"/>
      <c r="F20" s="1015"/>
      <c r="G20" s="1016"/>
      <c r="H20" s="886" t="s">
        <v>1216</v>
      </c>
      <c r="I20" s="1017"/>
      <c r="J20" s="886"/>
      <c r="K20" s="1018"/>
      <c r="L20" s="920">
        <v>2.79</v>
      </c>
      <c r="M20" s="921">
        <v>2.89</v>
      </c>
      <c r="N20" s="921">
        <v>3.5</v>
      </c>
      <c r="O20" s="921">
        <v>4.28</v>
      </c>
      <c r="P20" s="921">
        <v>6.24</v>
      </c>
      <c r="Q20" s="921">
        <v>7.64</v>
      </c>
      <c r="R20" s="921">
        <v>8.93</v>
      </c>
      <c r="S20" s="921">
        <v>8.98</v>
      </c>
      <c r="T20" s="921">
        <v>7.25</v>
      </c>
      <c r="U20" s="921">
        <v>5.6</v>
      </c>
      <c r="V20" s="921">
        <v>3.79</v>
      </c>
      <c r="W20" s="922">
        <v>3.14</v>
      </c>
      <c r="X20" s="923">
        <v>5.4191666666666665</v>
      </c>
    </row>
    <row r="21" spans="1:24" ht="15" customHeight="1" thickBot="1">
      <c r="A21" s="924" t="s">
        <v>1217</v>
      </c>
      <c r="B21" s="925"/>
      <c r="C21" s="925"/>
      <c r="D21" s="925"/>
      <c r="E21" s="925"/>
      <c r="F21" s="925"/>
      <c r="G21" s="926"/>
      <c r="H21" s="1019" t="s">
        <v>1218</v>
      </c>
      <c r="I21" s="1020"/>
      <c r="J21" s="1019"/>
      <c r="K21" s="1021"/>
      <c r="L21" s="927">
        <v>3.08</v>
      </c>
      <c r="M21" s="928">
        <v>3.19</v>
      </c>
      <c r="N21" s="928">
        <v>3.83</v>
      </c>
      <c r="O21" s="928">
        <v>4.6399999999999997</v>
      </c>
      <c r="P21" s="928">
        <v>6.63</v>
      </c>
      <c r="Q21" s="928">
        <v>8.0399999999999991</v>
      </c>
      <c r="R21" s="928">
        <v>9.31</v>
      </c>
      <c r="S21" s="928">
        <v>9.35</v>
      </c>
      <c r="T21" s="928">
        <v>7.66</v>
      </c>
      <c r="U21" s="928">
        <v>5.99</v>
      </c>
      <c r="V21" s="928">
        <v>4.1399999999999997</v>
      </c>
      <c r="W21" s="929">
        <v>3.45</v>
      </c>
      <c r="X21" s="930">
        <v>5.82</v>
      </c>
    </row>
    <row r="22" spans="1:24" ht="15" customHeight="1" thickBot="1">
      <c r="A22" s="910"/>
      <c r="B22" s="1028"/>
      <c r="C22" s="1028"/>
      <c r="D22" s="1028"/>
      <c r="E22" s="1028"/>
      <c r="F22" s="1028"/>
      <c r="G22" s="1028"/>
      <c r="H22" s="1032"/>
      <c r="I22" s="1032"/>
      <c r="J22" s="1032"/>
      <c r="K22" s="1032"/>
      <c r="L22" s="1033"/>
      <c r="M22" s="1034"/>
      <c r="N22" s="1034"/>
      <c r="O22" s="1034"/>
      <c r="P22" s="1034"/>
      <c r="Q22" s="1034"/>
      <c r="R22" s="1034"/>
      <c r="S22" s="1034"/>
      <c r="T22" s="1034"/>
      <c r="U22" s="1034"/>
      <c r="V22" s="1034"/>
      <c r="W22" s="1035"/>
      <c r="X22" s="1036"/>
    </row>
    <row r="23" spans="1:24" ht="15" customHeight="1" thickBot="1">
      <c r="A23" s="1031" t="s">
        <v>1219</v>
      </c>
      <c r="B23" s="1031"/>
      <c r="C23" s="1031"/>
      <c r="D23" s="1031"/>
      <c r="E23" s="1031"/>
      <c r="F23" s="1031"/>
      <c r="G23" s="1031"/>
      <c r="H23" s="1031"/>
      <c r="I23" s="1031"/>
      <c r="J23" s="1031"/>
      <c r="K23" s="1031"/>
      <c r="L23" s="884" t="s">
        <v>37</v>
      </c>
      <c r="M23" s="885" t="s">
        <v>38</v>
      </c>
      <c r="N23" s="885" t="s">
        <v>858</v>
      </c>
      <c r="O23" s="885" t="s">
        <v>39</v>
      </c>
      <c r="P23" s="885" t="s">
        <v>40</v>
      </c>
      <c r="Q23" s="885" t="s">
        <v>41</v>
      </c>
      <c r="R23" s="885" t="s">
        <v>42</v>
      </c>
      <c r="S23" s="885" t="s">
        <v>43</v>
      </c>
      <c r="T23" s="885" t="s">
        <v>44</v>
      </c>
      <c r="U23" s="885" t="s">
        <v>45</v>
      </c>
      <c r="V23" s="885" t="s">
        <v>46</v>
      </c>
      <c r="W23" s="886" t="s">
        <v>47</v>
      </c>
      <c r="X23" s="887" t="s">
        <v>352</v>
      </c>
    </row>
    <row r="24" spans="1:24" ht="15" customHeight="1" thickBot="1">
      <c r="A24" s="888" t="s">
        <v>1206</v>
      </c>
      <c r="B24" s="889"/>
      <c r="C24" s="889"/>
      <c r="D24" s="889"/>
      <c r="E24" s="889"/>
      <c r="F24" s="889"/>
      <c r="G24" s="890"/>
      <c r="H24" s="999" t="s">
        <v>3</v>
      </c>
      <c r="I24" s="1000"/>
      <c r="J24" s="891"/>
      <c r="K24" s="892"/>
      <c r="L24" s="893">
        <v>1.1000000000000001</v>
      </c>
      <c r="M24" s="894">
        <v>2.5</v>
      </c>
      <c r="N24" s="894">
        <v>6.2</v>
      </c>
      <c r="O24" s="894">
        <v>9.3000000000000007</v>
      </c>
      <c r="P24" s="894">
        <v>14.1</v>
      </c>
      <c r="Q24" s="894">
        <v>16.899999999999999</v>
      </c>
      <c r="R24" s="894">
        <v>19.100000000000001</v>
      </c>
      <c r="S24" s="894">
        <v>18.899999999999999</v>
      </c>
      <c r="T24" s="894">
        <v>14.6</v>
      </c>
      <c r="U24" s="894">
        <v>10.5</v>
      </c>
      <c r="V24" s="894">
        <v>5.0999999999999996</v>
      </c>
      <c r="W24" s="895">
        <v>2.2999999999999998</v>
      </c>
      <c r="X24" s="896">
        <v>10.050000000000001</v>
      </c>
    </row>
    <row r="25" spans="1:24" ht="15" customHeight="1">
      <c r="A25" s="897"/>
      <c r="B25" s="898"/>
      <c r="C25" s="898"/>
      <c r="D25" s="898"/>
      <c r="E25" s="898"/>
      <c r="F25" s="898"/>
      <c r="G25" s="899"/>
      <c r="H25" s="1001" t="s">
        <v>1207</v>
      </c>
      <c r="I25" s="1002"/>
      <c r="J25" s="1003" t="s">
        <v>1208</v>
      </c>
      <c r="K25" s="1004"/>
      <c r="L25" s="900">
        <v>139</v>
      </c>
      <c r="M25" s="901">
        <v>201</v>
      </c>
      <c r="N25" s="901">
        <v>362</v>
      </c>
      <c r="O25" s="901">
        <v>456</v>
      </c>
      <c r="P25" s="901">
        <v>570</v>
      </c>
      <c r="Q25" s="901">
        <v>599</v>
      </c>
      <c r="R25" s="901">
        <v>632</v>
      </c>
      <c r="S25" s="901">
        <v>549</v>
      </c>
      <c r="T25" s="901">
        <v>394</v>
      </c>
      <c r="U25" s="901">
        <v>262</v>
      </c>
      <c r="V25" s="901">
        <v>145</v>
      </c>
      <c r="W25" s="902">
        <v>112</v>
      </c>
      <c r="X25" s="903">
        <v>4422</v>
      </c>
    </row>
    <row r="26" spans="1:24" ht="15" customHeight="1">
      <c r="A26" s="904"/>
      <c r="B26" s="882"/>
      <c r="C26" s="882"/>
      <c r="D26" s="882"/>
      <c r="E26" s="882"/>
      <c r="F26" s="882"/>
      <c r="G26" s="905"/>
      <c r="H26" s="1005"/>
      <c r="I26" s="1006"/>
      <c r="J26" s="1007" t="s">
        <v>1209</v>
      </c>
      <c r="K26" s="1008"/>
      <c r="L26" s="900">
        <v>94</v>
      </c>
      <c r="M26" s="906">
        <v>128</v>
      </c>
      <c r="N26" s="906">
        <v>212</v>
      </c>
      <c r="O26" s="906">
        <v>249</v>
      </c>
      <c r="P26" s="906">
        <v>303</v>
      </c>
      <c r="Q26" s="906">
        <v>321</v>
      </c>
      <c r="R26" s="906">
        <v>332</v>
      </c>
      <c r="S26" s="906">
        <v>308</v>
      </c>
      <c r="T26" s="906">
        <v>228</v>
      </c>
      <c r="U26" s="906">
        <v>161</v>
      </c>
      <c r="V26" s="906">
        <v>91</v>
      </c>
      <c r="W26" s="907">
        <v>72</v>
      </c>
      <c r="X26" s="903">
        <v>2498</v>
      </c>
    </row>
    <row r="27" spans="1:24" ht="15" customHeight="1">
      <c r="A27" s="904" t="s">
        <v>1210</v>
      </c>
      <c r="B27" s="882"/>
      <c r="C27" s="882"/>
      <c r="D27" s="882"/>
      <c r="E27" s="882"/>
      <c r="F27" s="882"/>
      <c r="G27" s="905"/>
      <c r="H27" s="1005"/>
      <c r="I27" s="1006"/>
      <c r="J27" s="1007" t="s">
        <v>1211</v>
      </c>
      <c r="K27" s="1008"/>
      <c r="L27" s="900">
        <v>238</v>
      </c>
      <c r="M27" s="906">
        <v>273</v>
      </c>
      <c r="N27" s="906">
        <v>354</v>
      </c>
      <c r="O27" s="906">
        <v>308</v>
      </c>
      <c r="P27" s="906">
        <v>295</v>
      </c>
      <c r="Q27" s="906">
        <v>270</v>
      </c>
      <c r="R27" s="906">
        <v>305</v>
      </c>
      <c r="S27" s="906">
        <v>340</v>
      </c>
      <c r="T27" s="906">
        <v>340</v>
      </c>
      <c r="U27" s="906">
        <v>316</v>
      </c>
      <c r="V27" s="906">
        <v>220</v>
      </c>
      <c r="W27" s="907">
        <v>196</v>
      </c>
      <c r="X27" s="903">
        <v>3455</v>
      </c>
    </row>
    <row r="28" spans="1:24" ht="15" customHeight="1">
      <c r="A28" s="904"/>
      <c r="B28" s="882"/>
      <c r="C28" s="882"/>
      <c r="D28" s="882"/>
      <c r="E28" s="882"/>
      <c r="F28" s="882"/>
      <c r="G28" s="905"/>
      <c r="H28" s="1005"/>
      <c r="I28" s="1006"/>
      <c r="J28" s="1007" t="s">
        <v>592</v>
      </c>
      <c r="K28" s="1008"/>
      <c r="L28" s="908">
        <v>75</v>
      </c>
      <c r="M28" s="906">
        <v>109</v>
      </c>
      <c r="N28" s="906">
        <v>185</v>
      </c>
      <c r="O28" s="906">
        <v>210</v>
      </c>
      <c r="P28" s="906">
        <v>244</v>
      </c>
      <c r="Q28" s="906">
        <v>259</v>
      </c>
      <c r="R28" s="906">
        <v>279</v>
      </c>
      <c r="S28" s="906">
        <v>249</v>
      </c>
      <c r="T28" s="906">
        <v>194</v>
      </c>
      <c r="U28" s="906">
        <v>131</v>
      </c>
      <c r="V28" s="906">
        <v>70</v>
      </c>
      <c r="W28" s="907">
        <v>54</v>
      </c>
      <c r="X28" s="903">
        <v>2058</v>
      </c>
    </row>
    <row r="29" spans="1:24" ht="15" customHeight="1" thickBot="1">
      <c r="A29" s="909"/>
      <c r="B29" s="910"/>
      <c r="C29" s="910"/>
      <c r="D29" s="910"/>
      <c r="E29" s="910"/>
      <c r="F29" s="910"/>
      <c r="G29" s="911"/>
      <c r="H29" s="1009"/>
      <c r="I29" s="1010"/>
      <c r="J29" s="1011" t="s">
        <v>1212</v>
      </c>
      <c r="K29" s="1012"/>
      <c r="L29" s="912">
        <v>48</v>
      </c>
      <c r="M29" s="913">
        <v>60</v>
      </c>
      <c r="N29" s="913">
        <v>94</v>
      </c>
      <c r="O29" s="913">
        <v>114</v>
      </c>
      <c r="P29" s="913">
        <v>147</v>
      </c>
      <c r="Q29" s="913">
        <v>163</v>
      </c>
      <c r="R29" s="913">
        <v>158</v>
      </c>
      <c r="S29" s="913">
        <v>131</v>
      </c>
      <c r="T29" s="913">
        <v>98</v>
      </c>
      <c r="U29" s="913">
        <v>70</v>
      </c>
      <c r="V29" s="913">
        <v>44</v>
      </c>
      <c r="W29" s="914">
        <v>37</v>
      </c>
      <c r="X29" s="915">
        <v>1166</v>
      </c>
    </row>
    <row r="30" spans="1:24" ht="15" customHeight="1" thickBot="1">
      <c r="A30" s="888" t="s">
        <v>1213</v>
      </c>
      <c r="B30" s="889"/>
      <c r="C30" s="889"/>
      <c r="D30" s="889"/>
      <c r="E30" s="889"/>
      <c r="F30" s="889"/>
      <c r="G30" s="890"/>
      <c r="H30" s="999" t="s">
        <v>1214</v>
      </c>
      <c r="I30" s="1000"/>
      <c r="J30" s="999"/>
      <c r="K30" s="1013"/>
      <c r="L30" s="916">
        <v>70</v>
      </c>
      <c r="M30" s="917">
        <v>72</v>
      </c>
      <c r="N30" s="917">
        <v>70</v>
      </c>
      <c r="O30" s="917">
        <v>78</v>
      </c>
      <c r="P30" s="917">
        <v>87</v>
      </c>
      <c r="Q30" s="917">
        <v>113</v>
      </c>
      <c r="R30" s="917">
        <v>107</v>
      </c>
      <c r="S30" s="917">
        <v>95</v>
      </c>
      <c r="T30" s="917">
        <v>92</v>
      </c>
      <c r="U30" s="917">
        <v>85</v>
      </c>
      <c r="V30" s="917">
        <v>83</v>
      </c>
      <c r="W30" s="918">
        <v>75</v>
      </c>
      <c r="X30" s="919">
        <v>1027</v>
      </c>
    </row>
    <row r="31" spans="1:24" ht="15" customHeight="1">
      <c r="A31" s="1014" t="s">
        <v>1215</v>
      </c>
      <c r="B31" s="1015"/>
      <c r="C31" s="1015"/>
      <c r="D31" s="1015"/>
      <c r="E31" s="1015"/>
      <c r="F31" s="1015"/>
      <c r="G31" s="1016"/>
      <c r="H31" s="886" t="s">
        <v>1216</v>
      </c>
      <c r="I31" s="1017"/>
      <c r="J31" s="886"/>
      <c r="K31" s="1018"/>
      <c r="L31" s="931">
        <v>3.57</v>
      </c>
      <c r="M31" s="932">
        <v>3.8</v>
      </c>
      <c r="N31" s="932">
        <v>4.57</v>
      </c>
      <c r="O31" s="932">
        <v>5.36</v>
      </c>
      <c r="P31" s="932">
        <v>7.7</v>
      </c>
      <c r="Q31" s="932">
        <v>9.1199999999999992</v>
      </c>
      <c r="R31" s="932">
        <v>10.4</v>
      </c>
      <c r="S31" s="932">
        <v>10.61</v>
      </c>
      <c r="T31" s="932">
        <v>8.66</v>
      </c>
      <c r="U31" s="932">
        <v>6.9</v>
      </c>
      <c r="V31" s="932">
        <v>4.8600000000000003</v>
      </c>
      <c r="W31" s="933">
        <v>3.96</v>
      </c>
      <c r="X31" s="934">
        <v>6.6258333333333326</v>
      </c>
    </row>
    <row r="32" spans="1:24" ht="15" customHeight="1" thickBot="1">
      <c r="A32" s="924" t="s">
        <v>1217</v>
      </c>
      <c r="B32" s="925"/>
      <c r="C32" s="925"/>
      <c r="D32" s="925"/>
      <c r="E32" s="925"/>
      <c r="F32" s="925"/>
      <c r="G32" s="926"/>
      <c r="H32" s="1019" t="s">
        <v>1218</v>
      </c>
      <c r="I32" s="1020"/>
      <c r="J32" s="1019"/>
      <c r="K32" s="1021"/>
      <c r="L32" s="927">
        <v>4.38</v>
      </c>
      <c r="M32" s="928">
        <v>4.6399999999999997</v>
      </c>
      <c r="N32" s="928">
        <v>5.5</v>
      </c>
      <c r="O32" s="928">
        <v>6.38</v>
      </c>
      <c r="P32" s="928">
        <v>9</v>
      </c>
      <c r="Q32" s="928">
        <v>10.55</v>
      </c>
      <c r="R32" s="928">
        <v>11.93</v>
      </c>
      <c r="S32" s="928">
        <v>12.18</v>
      </c>
      <c r="T32" s="928">
        <v>10.1</v>
      </c>
      <c r="U32" s="928">
        <v>8.17</v>
      </c>
      <c r="V32" s="928">
        <v>5.87</v>
      </c>
      <c r="W32" s="929">
        <v>4.84</v>
      </c>
      <c r="X32" s="930">
        <v>7.86</v>
      </c>
    </row>
    <row r="33" spans="1:24" ht="15" customHeight="1" thickBot="1">
      <c r="A33" s="910"/>
      <c r="B33" s="1028"/>
      <c r="C33" s="1028"/>
      <c r="D33" s="1028"/>
      <c r="E33" s="1028"/>
      <c r="F33" s="1028"/>
      <c r="G33" s="1028"/>
      <c r="H33" s="1032"/>
      <c r="I33" s="1032"/>
      <c r="J33" s="1032"/>
      <c r="K33" s="1032"/>
      <c r="L33" s="1033"/>
      <c r="M33" s="1034"/>
      <c r="N33" s="1034"/>
      <c r="O33" s="1034"/>
      <c r="P33" s="1034"/>
      <c r="Q33" s="1034"/>
      <c r="R33" s="1034"/>
      <c r="S33" s="1034"/>
      <c r="T33" s="1034"/>
      <c r="U33" s="1034"/>
      <c r="V33" s="1034"/>
      <c r="W33" s="1035"/>
      <c r="X33" s="1036"/>
    </row>
    <row r="34" spans="1:24" ht="15" customHeight="1" thickBot="1">
      <c r="A34" s="1031" t="s">
        <v>1220</v>
      </c>
      <c r="B34" s="1031"/>
      <c r="C34" s="1031"/>
      <c r="D34" s="1031"/>
      <c r="E34" s="1031"/>
      <c r="F34" s="1031"/>
      <c r="G34" s="1031"/>
      <c r="H34" s="1031"/>
      <c r="I34" s="1031"/>
      <c r="J34" s="1031"/>
      <c r="K34" s="1031"/>
      <c r="L34" s="884" t="s">
        <v>37</v>
      </c>
      <c r="M34" s="885" t="s">
        <v>38</v>
      </c>
      <c r="N34" s="885" t="s">
        <v>858</v>
      </c>
      <c r="O34" s="885" t="s">
        <v>39</v>
      </c>
      <c r="P34" s="885" t="s">
        <v>40</v>
      </c>
      <c r="Q34" s="885" t="s">
        <v>41</v>
      </c>
      <c r="R34" s="885" t="s">
        <v>42</v>
      </c>
      <c r="S34" s="885" t="s">
        <v>43</v>
      </c>
      <c r="T34" s="885" t="s">
        <v>44</v>
      </c>
      <c r="U34" s="885" t="s">
        <v>45</v>
      </c>
      <c r="V34" s="885" t="s">
        <v>46</v>
      </c>
      <c r="W34" s="886" t="s">
        <v>47</v>
      </c>
      <c r="X34" s="887" t="s">
        <v>352</v>
      </c>
    </row>
    <row r="35" spans="1:24" ht="15" customHeight="1" thickBot="1">
      <c r="A35" s="888" t="s">
        <v>1206</v>
      </c>
      <c r="B35" s="889"/>
      <c r="C35" s="889"/>
      <c r="D35" s="889"/>
      <c r="E35" s="889"/>
      <c r="F35" s="889"/>
      <c r="G35" s="890"/>
      <c r="H35" s="999" t="s">
        <v>3</v>
      </c>
      <c r="I35" s="1000"/>
      <c r="J35" s="891"/>
      <c r="K35" s="892"/>
      <c r="L35" s="893">
        <v>1.2</v>
      </c>
      <c r="M35" s="894">
        <v>2.1</v>
      </c>
      <c r="N35" s="894">
        <v>5.9</v>
      </c>
      <c r="O35" s="894">
        <v>9.1</v>
      </c>
      <c r="P35" s="894">
        <v>14.1</v>
      </c>
      <c r="Q35" s="894">
        <v>16.5</v>
      </c>
      <c r="R35" s="894">
        <v>18.600000000000001</v>
      </c>
      <c r="S35" s="894">
        <v>18.600000000000001</v>
      </c>
      <c r="T35" s="894">
        <v>14.6</v>
      </c>
      <c r="U35" s="894">
        <v>10.6</v>
      </c>
      <c r="V35" s="894">
        <v>5.2</v>
      </c>
      <c r="W35" s="895">
        <v>2.5</v>
      </c>
      <c r="X35" s="896">
        <v>9.9166666666666661</v>
      </c>
    </row>
    <row r="36" spans="1:24" ht="15" customHeight="1">
      <c r="A36" s="897"/>
      <c r="B36" s="898"/>
      <c r="C36" s="898"/>
      <c r="D36" s="898"/>
      <c r="E36" s="898"/>
      <c r="F36" s="898"/>
      <c r="G36" s="899"/>
      <c r="H36" s="1001" t="s">
        <v>1207</v>
      </c>
      <c r="I36" s="1002"/>
      <c r="J36" s="1003" t="s">
        <v>1208</v>
      </c>
      <c r="K36" s="1004"/>
      <c r="L36" s="900">
        <v>104</v>
      </c>
      <c r="M36" s="901">
        <v>174</v>
      </c>
      <c r="N36" s="901">
        <v>324</v>
      </c>
      <c r="O36" s="901">
        <v>435</v>
      </c>
      <c r="P36" s="901">
        <v>549</v>
      </c>
      <c r="Q36" s="901">
        <v>547</v>
      </c>
      <c r="R36" s="901">
        <v>554</v>
      </c>
      <c r="S36" s="901">
        <v>485</v>
      </c>
      <c r="T36" s="901">
        <v>345</v>
      </c>
      <c r="U36" s="901">
        <v>225</v>
      </c>
      <c r="V36" s="901">
        <v>117</v>
      </c>
      <c r="W36" s="902">
        <v>80</v>
      </c>
      <c r="X36" s="903">
        <v>3940</v>
      </c>
    </row>
    <row r="37" spans="1:24" ht="15" customHeight="1">
      <c r="A37" s="904"/>
      <c r="B37" s="882"/>
      <c r="C37" s="882"/>
      <c r="D37" s="882"/>
      <c r="E37" s="882"/>
      <c r="F37" s="882"/>
      <c r="G37" s="905"/>
      <c r="H37" s="1005"/>
      <c r="I37" s="1006"/>
      <c r="J37" s="1007" t="s">
        <v>1209</v>
      </c>
      <c r="K37" s="1008"/>
      <c r="L37" s="900">
        <v>51</v>
      </c>
      <c r="M37" s="906">
        <v>99</v>
      </c>
      <c r="N37" s="906">
        <v>174</v>
      </c>
      <c r="O37" s="906">
        <v>231</v>
      </c>
      <c r="P37" s="906">
        <v>289</v>
      </c>
      <c r="Q37" s="906">
        <v>290</v>
      </c>
      <c r="R37" s="906">
        <v>297</v>
      </c>
      <c r="S37" s="906">
        <v>268</v>
      </c>
      <c r="T37" s="906">
        <v>187</v>
      </c>
      <c r="U37" s="906">
        <v>115</v>
      </c>
      <c r="V37" s="906">
        <v>52</v>
      </c>
      <c r="W37" s="907">
        <v>37</v>
      </c>
      <c r="X37" s="903">
        <v>2091</v>
      </c>
    </row>
    <row r="38" spans="1:24" ht="15" customHeight="1">
      <c r="A38" s="904" t="s">
        <v>1210</v>
      </c>
      <c r="B38" s="882"/>
      <c r="C38" s="882"/>
      <c r="D38" s="882"/>
      <c r="E38" s="882"/>
      <c r="F38" s="882"/>
      <c r="G38" s="905"/>
      <c r="H38" s="1005"/>
      <c r="I38" s="1006"/>
      <c r="J38" s="1007" t="s">
        <v>1211</v>
      </c>
      <c r="K38" s="1008"/>
      <c r="L38" s="900">
        <v>134</v>
      </c>
      <c r="M38" s="906">
        <v>220</v>
      </c>
      <c r="N38" s="906">
        <v>303</v>
      </c>
      <c r="O38" s="906">
        <v>290</v>
      </c>
      <c r="P38" s="906">
        <v>281</v>
      </c>
      <c r="Q38" s="906">
        <v>244</v>
      </c>
      <c r="R38" s="906">
        <v>268</v>
      </c>
      <c r="S38" s="906">
        <v>295</v>
      </c>
      <c r="T38" s="906">
        <v>280</v>
      </c>
      <c r="U38" s="906">
        <v>241</v>
      </c>
      <c r="V38" s="906">
        <v>140</v>
      </c>
      <c r="W38" s="907">
        <v>96</v>
      </c>
      <c r="X38" s="903">
        <v>2792</v>
      </c>
    </row>
    <row r="39" spans="1:24" ht="15" customHeight="1">
      <c r="A39" s="904"/>
      <c r="B39" s="882"/>
      <c r="C39" s="882"/>
      <c r="D39" s="882"/>
      <c r="E39" s="882"/>
      <c r="F39" s="882"/>
      <c r="G39" s="905"/>
      <c r="H39" s="1005"/>
      <c r="I39" s="1006"/>
      <c r="J39" s="1007" t="s">
        <v>592</v>
      </c>
      <c r="K39" s="1008"/>
      <c r="L39" s="908">
        <v>48</v>
      </c>
      <c r="M39" s="906">
        <v>94</v>
      </c>
      <c r="N39" s="906">
        <v>142</v>
      </c>
      <c r="O39" s="906">
        <v>184</v>
      </c>
      <c r="P39" s="906">
        <v>220</v>
      </c>
      <c r="Q39" s="906">
        <v>207</v>
      </c>
      <c r="R39" s="906">
        <v>212</v>
      </c>
      <c r="S39" s="906">
        <v>193</v>
      </c>
      <c r="T39" s="906">
        <v>137</v>
      </c>
      <c r="U39" s="906">
        <v>94</v>
      </c>
      <c r="V39" s="906">
        <v>49</v>
      </c>
      <c r="W39" s="907">
        <v>32</v>
      </c>
      <c r="X39" s="903">
        <v>1612</v>
      </c>
    </row>
    <row r="40" spans="1:24" ht="15" customHeight="1" thickBot="1">
      <c r="A40" s="909"/>
      <c r="B40" s="910"/>
      <c r="C40" s="910"/>
      <c r="D40" s="910"/>
      <c r="E40" s="910"/>
      <c r="F40" s="910"/>
      <c r="G40" s="911"/>
      <c r="H40" s="1009"/>
      <c r="I40" s="1010"/>
      <c r="J40" s="1011" t="s">
        <v>1212</v>
      </c>
      <c r="K40" s="1012"/>
      <c r="L40" s="912">
        <v>40</v>
      </c>
      <c r="M40" s="913">
        <v>63</v>
      </c>
      <c r="N40" s="913">
        <v>88</v>
      </c>
      <c r="O40" s="913">
        <v>106</v>
      </c>
      <c r="P40" s="913">
        <v>137</v>
      </c>
      <c r="Q40" s="913">
        <v>143</v>
      </c>
      <c r="R40" s="913">
        <v>142</v>
      </c>
      <c r="S40" s="913">
        <v>118</v>
      </c>
      <c r="T40" s="913">
        <v>86</v>
      </c>
      <c r="U40" s="913">
        <v>59</v>
      </c>
      <c r="V40" s="913">
        <v>36</v>
      </c>
      <c r="W40" s="914">
        <v>29</v>
      </c>
      <c r="X40" s="915">
        <v>1047</v>
      </c>
    </row>
    <row r="41" spans="1:24" ht="15" customHeight="1" thickBot="1">
      <c r="A41" s="888" t="s">
        <v>1213</v>
      </c>
      <c r="B41" s="889"/>
      <c r="C41" s="889"/>
      <c r="D41" s="889"/>
      <c r="E41" s="889"/>
      <c r="F41" s="889"/>
      <c r="G41" s="890"/>
      <c r="H41" s="999" t="s">
        <v>1214</v>
      </c>
      <c r="I41" s="1000"/>
      <c r="J41" s="999"/>
      <c r="K41" s="1013"/>
      <c r="L41" s="916">
        <v>62</v>
      </c>
      <c r="M41" s="917">
        <v>76</v>
      </c>
      <c r="N41" s="917">
        <v>80</v>
      </c>
      <c r="O41" s="917">
        <v>96</v>
      </c>
      <c r="P41" s="917">
        <v>108</v>
      </c>
      <c r="Q41" s="917">
        <v>133</v>
      </c>
      <c r="R41" s="917">
        <v>145</v>
      </c>
      <c r="S41" s="917">
        <v>134</v>
      </c>
      <c r="T41" s="917">
        <v>109</v>
      </c>
      <c r="U41" s="917">
        <v>76</v>
      </c>
      <c r="V41" s="917">
        <v>97</v>
      </c>
      <c r="W41" s="918">
        <v>81</v>
      </c>
      <c r="X41" s="919">
        <v>1197</v>
      </c>
    </row>
    <row r="42" spans="1:24" ht="15" customHeight="1">
      <c r="A42" s="1014" t="s">
        <v>1215</v>
      </c>
      <c r="B42" s="1015"/>
      <c r="C42" s="1015"/>
      <c r="D42" s="1015"/>
      <c r="E42" s="1015"/>
      <c r="F42" s="1015"/>
      <c r="G42" s="1016"/>
      <c r="H42" s="886" t="s">
        <v>1216</v>
      </c>
      <c r="I42" s="1017"/>
      <c r="J42" s="886"/>
      <c r="K42" s="1018"/>
      <c r="L42" s="931">
        <v>3.37</v>
      </c>
      <c r="M42" s="932">
        <v>3.49</v>
      </c>
      <c r="N42" s="932">
        <v>4.2</v>
      </c>
      <c r="O42" s="932">
        <v>4.9400000000000004</v>
      </c>
      <c r="P42" s="932">
        <v>7.01</v>
      </c>
      <c r="Q42" s="932">
        <v>8.6999999999999993</v>
      </c>
      <c r="R42" s="932">
        <v>10.210000000000001</v>
      </c>
      <c r="S42" s="932">
        <v>10.28</v>
      </c>
      <c r="T42" s="932">
        <v>8.2799999999999994</v>
      </c>
      <c r="U42" s="932">
        <v>6.5</v>
      </c>
      <c r="V42" s="932">
        <v>4.58</v>
      </c>
      <c r="W42" s="933">
        <v>3.78</v>
      </c>
      <c r="X42" s="934">
        <v>6.2783333333333333</v>
      </c>
    </row>
    <row r="43" spans="1:24" ht="15" customHeight="1" thickBot="1">
      <c r="A43" s="924" t="s">
        <v>1217</v>
      </c>
      <c r="B43" s="925"/>
      <c r="C43" s="925"/>
      <c r="D43" s="925"/>
      <c r="E43" s="925"/>
      <c r="F43" s="925"/>
      <c r="G43" s="926"/>
      <c r="H43" s="1019" t="s">
        <v>1218</v>
      </c>
      <c r="I43" s="1020"/>
      <c r="J43" s="1019"/>
      <c r="K43" s="1021"/>
      <c r="L43" s="935">
        <v>4.0999999999999996</v>
      </c>
      <c r="M43" s="936">
        <v>4.2300000000000004</v>
      </c>
      <c r="N43" s="936">
        <v>5.0199999999999996</v>
      </c>
      <c r="O43" s="936">
        <v>5.84</v>
      </c>
      <c r="P43" s="936">
        <v>8.1300000000000008</v>
      </c>
      <c r="Q43" s="936">
        <v>10</v>
      </c>
      <c r="R43" s="936">
        <v>11.64</v>
      </c>
      <c r="S43" s="936">
        <v>11.72</v>
      </c>
      <c r="T43" s="936">
        <v>9.58</v>
      </c>
      <c r="U43" s="936">
        <v>7.63</v>
      </c>
      <c r="V43" s="936">
        <v>5.49</v>
      </c>
      <c r="W43" s="937">
        <v>4.58</v>
      </c>
      <c r="X43" s="938">
        <v>7.39</v>
      </c>
    </row>
    <row r="44" spans="1:24" ht="15" customHeight="1" thickBot="1">
      <c r="A44" s="910"/>
      <c r="B44" s="1028"/>
      <c r="C44" s="1028"/>
      <c r="D44" s="1028"/>
      <c r="E44" s="1028"/>
      <c r="F44" s="1028"/>
      <c r="G44" s="1028"/>
      <c r="H44" s="1032"/>
      <c r="I44" s="1032"/>
      <c r="J44" s="1032"/>
      <c r="K44" s="1032"/>
      <c r="L44" s="1037"/>
      <c r="M44" s="1038"/>
      <c r="N44" s="1038"/>
      <c r="O44" s="1038"/>
      <c r="P44" s="1038"/>
      <c r="Q44" s="1038"/>
      <c r="R44" s="1038"/>
      <c r="S44" s="1038"/>
      <c r="T44" s="1038"/>
      <c r="U44" s="1038"/>
      <c r="V44" s="1038"/>
      <c r="W44" s="1039"/>
      <c r="X44" s="1040"/>
    </row>
    <row r="45" spans="1:24" ht="15" customHeight="1" thickBot="1">
      <c r="A45" s="1031" t="s">
        <v>1221</v>
      </c>
      <c r="B45" s="1031"/>
      <c r="C45" s="1031"/>
      <c r="D45" s="1031"/>
      <c r="E45" s="1031"/>
      <c r="F45" s="1031"/>
      <c r="G45" s="1031"/>
      <c r="H45" s="1031"/>
      <c r="I45" s="1031"/>
      <c r="J45" s="1031"/>
      <c r="K45" s="1031"/>
      <c r="L45" s="884" t="s">
        <v>37</v>
      </c>
      <c r="M45" s="885" t="s">
        <v>38</v>
      </c>
      <c r="N45" s="885" t="s">
        <v>858</v>
      </c>
      <c r="O45" s="885" t="s">
        <v>39</v>
      </c>
      <c r="P45" s="885" t="s">
        <v>40</v>
      </c>
      <c r="Q45" s="885" t="s">
        <v>41</v>
      </c>
      <c r="R45" s="885" t="s">
        <v>42</v>
      </c>
      <c r="S45" s="885" t="s">
        <v>43</v>
      </c>
      <c r="T45" s="885" t="s">
        <v>44</v>
      </c>
      <c r="U45" s="885" t="s">
        <v>45</v>
      </c>
      <c r="V45" s="885" t="s">
        <v>46</v>
      </c>
      <c r="W45" s="886" t="s">
        <v>47</v>
      </c>
      <c r="X45" s="887" t="s">
        <v>352</v>
      </c>
    </row>
    <row r="46" spans="1:24" ht="15" customHeight="1" thickBot="1">
      <c r="A46" s="888" t="s">
        <v>1206</v>
      </c>
      <c r="B46" s="889"/>
      <c r="C46" s="889"/>
      <c r="D46" s="889"/>
      <c r="E46" s="889"/>
      <c r="F46" s="889"/>
      <c r="G46" s="890"/>
      <c r="H46" s="999" t="s">
        <v>3</v>
      </c>
      <c r="I46" s="1000"/>
      <c r="J46" s="891"/>
      <c r="K46" s="892"/>
      <c r="L46" s="893">
        <v>1.7</v>
      </c>
      <c r="M46" s="894">
        <v>2.9</v>
      </c>
      <c r="N46" s="894">
        <v>6.8</v>
      </c>
      <c r="O46" s="894">
        <v>9.6</v>
      </c>
      <c r="P46" s="894">
        <v>14.2</v>
      </c>
      <c r="Q46" s="894">
        <v>17.2</v>
      </c>
      <c r="R46" s="894">
        <v>19.5</v>
      </c>
      <c r="S46" s="894">
        <v>19.399999999999999</v>
      </c>
      <c r="T46" s="894">
        <v>14.9</v>
      </c>
      <c r="U46" s="894">
        <v>10.9</v>
      </c>
      <c r="V46" s="894">
        <v>5.4</v>
      </c>
      <c r="W46" s="895">
        <v>3</v>
      </c>
      <c r="X46" s="896">
        <v>10.458333333333336</v>
      </c>
    </row>
    <row r="47" spans="1:24" ht="15" customHeight="1">
      <c r="A47" s="897"/>
      <c r="B47" s="898"/>
      <c r="C47" s="898"/>
      <c r="D47" s="898"/>
      <c r="E47" s="898"/>
      <c r="F47" s="898"/>
      <c r="G47" s="899"/>
      <c r="H47" s="1001" t="s">
        <v>1207</v>
      </c>
      <c r="I47" s="1002"/>
      <c r="J47" s="1003" t="s">
        <v>1208</v>
      </c>
      <c r="K47" s="1004"/>
      <c r="L47" s="900">
        <v>110</v>
      </c>
      <c r="M47" s="901">
        <v>167</v>
      </c>
      <c r="N47" s="901">
        <v>305</v>
      </c>
      <c r="O47" s="901">
        <v>410</v>
      </c>
      <c r="P47" s="901">
        <v>528</v>
      </c>
      <c r="Q47" s="901">
        <v>583</v>
      </c>
      <c r="R47" s="901">
        <v>605</v>
      </c>
      <c r="S47" s="901">
        <v>530</v>
      </c>
      <c r="T47" s="901">
        <v>358</v>
      </c>
      <c r="U47" s="901">
        <v>225</v>
      </c>
      <c r="V47" s="901">
        <v>119</v>
      </c>
      <c r="W47" s="902">
        <v>86</v>
      </c>
      <c r="X47" s="903">
        <v>4026</v>
      </c>
    </row>
    <row r="48" spans="1:24" ht="15" customHeight="1">
      <c r="A48" s="904"/>
      <c r="B48" s="882"/>
      <c r="C48" s="882"/>
      <c r="D48" s="882"/>
      <c r="E48" s="882"/>
      <c r="F48" s="882"/>
      <c r="G48" s="905"/>
      <c r="H48" s="1005"/>
      <c r="I48" s="1006"/>
      <c r="J48" s="1007" t="s">
        <v>1209</v>
      </c>
      <c r="K48" s="1008"/>
      <c r="L48" s="900">
        <v>72</v>
      </c>
      <c r="M48" s="906">
        <v>109</v>
      </c>
      <c r="N48" s="906">
        <v>182</v>
      </c>
      <c r="O48" s="906">
        <v>231</v>
      </c>
      <c r="P48" s="906">
        <v>295</v>
      </c>
      <c r="Q48" s="906">
        <v>321</v>
      </c>
      <c r="R48" s="906">
        <v>332</v>
      </c>
      <c r="S48" s="906">
        <v>303</v>
      </c>
      <c r="T48" s="906">
        <v>202</v>
      </c>
      <c r="U48" s="906">
        <v>131</v>
      </c>
      <c r="V48" s="906">
        <v>73</v>
      </c>
      <c r="W48" s="907">
        <v>54</v>
      </c>
      <c r="X48" s="903">
        <v>2304</v>
      </c>
    </row>
    <row r="49" spans="1:24" ht="15" customHeight="1">
      <c r="A49" s="904" t="s">
        <v>1210</v>
      </c>
      <c r="B49" s="882"/>
      <c r="C49" s="882"/>
      <c r="D49" s="882"/>
      <c r="E49" s="882"/>
      <c r="F49" s="882"/>
      <c r="G49" s="905"/>
      <c r="H49" s="1005"/>
      <c r="I49" s="1006"/>
      <c r="J49" s="1007" t="s">
        <v>1211</v>
      </c>
      <c r="K49" s="1008"/>
      <c r="L49" s="900">
        <v>190</v>
      </c>
      <c r="M49" s="906">
        <v>232</v>
      </c>
      <c r="N49" s="906">
        <v>303</v>
      </c>
      <c r="O49" s="906">
        <v>283</v>
      </c>
      <c r="P49" s="906">
        <v>281</v>
      </c>
      <c r="Q49" s="906">
        <v>275</v>
      </c>
      <c r="R49" s="906">
        <v>303</v>
      </c>
      <c r="S49" s="906">
        <v>337</v>
      </c>
      <c r="T49" s="906">
        <v>314</v>
      </c>
      <c r="U49" s="906">
        <v>279</v>
      </c>
      <c r="V49" s="906">
        <v>187</v>
      </c>
      <c r="W49" s="907">
        <v>150</v>
      </c>
      <c r="X49" s="903">
        <v>3133</v>
      </c>
    </row>
    <row r="50" spans="1:24" ht="15" customHeight="1">
      <c r="A50" s="904"/>
      <c r="B50" s="882"/>
      <c r="C50" s="882"/>
      <c r="D50" s="882"/>
      <c r="E50" s="882"/>
      <c r="F50" s="882"/>
      <c r="G50" s="905"/>
      <c r="H50" s="1005"/>
      <c r="I50" s="1006"/>
      <c r="J50" s="1007" t="s">
        <v>592</v>
      </c>
      <c r="K50" s="1008"/>
      <c r="L50" s="908">
        <v>80</v>
      </c>
      <c r="M50" s="906">
        <v>119</v>
      </c>
      <c r="N50" s="906">
        <v>193</v>
      </c>
      <c r="O50" s="906">
        <v>236</v>
      </c>
      <c r="P50" s="906">
        <v>292</v>
      </c>
      <c r="Q50" s="906">
        <v>327</v>
      </c>
      <c r="R50" s="906">
        <v>346</v>
      </c>
      <c r="S50" s="906">
        <v>313</v>
      </c>
      <c r="T50" s="906">
        <v>223</v>
      </c>
      <c r="U50" s="906">
        <v>150</v>
      </c>
      <c r="V50" s="906">
        <v>80</v>
      </c>
      <c r="W50" s="907">
        <v>59</v>
      </c>
      <c r="X50" s="903">
        <v>2417</v>
      </c>
    </row>
    <row r="51" spans="1:24" ht="15" customHeight="1" thickBot="1">
      <c r="A51" s="909"/>
      <c r="B51" s="910"/>
      <c r="C51" s="910"/>
      <c r="D51" s="910"/>
      <c r="E51" s="910"/>
      <c r="F51" s="910"/>
      <c r="G51" s="911"/>
      <c r="H51" s="1009"/>
      <c r="I51" s="1010"/>
      <c r="J51" s="1011" t="s">
        <v>1212</v>
      </c>
      <c r="K51" s="1012"/>
      <c r="L51" s="912">
        <v>43</v>
      </c>
      <c r="M51" s="913">
        <v>60</v>
      </c>
      <c r="N51" s="913">
        <v>94</v>
      </c>
      <c r="O51" s="913">
        <v>119</v>
      </c>
      <c r="P51" s="913">
        <v>161</v>
      </c>
      <c r="Q51" s="913">
        <v>189</v>
      </c>
      <c r="R51" s="913">
        <v>185</v>
      </c>
      <c r="S51" s="913">
        <v>147</v>
      </c>
      <c r="T51" s="913">
        <v>101</v>
      </c>
      <c r="U51" s="913">
        <v>67</v>
      </c>
      <c r="V51" s="913">
        <v>41</v>
      </c>
      <c r="W51" s="914">
        <v>32</v>
      </c>
      <c r="X51" s="915">
        <v>1240</v>
      </c>
    </row>
    <row r="52" spans="1:24" ht="15" customHeight="1" thickBot="1">
      <c r="A52" s="888" t="s">
        <v>1213</v>
      </c>
      <c r="B52" s="889"/>
      <c r="C52" s="889"/>
      <c r="D52" s="889"/>
      <c r="E52" s="889"/>
      <c r="F52" s="889"/>
      <c r="G52" s="890"/>
      <c r="H52" s="999" t="s">
        <v>1214</v>
      </c>
      <c r="I52" s="1000"/>
      <c r="J52" s="999"/>
      <c r="K52" s="1013"/>
      <c r="L52" s="916">
        <v>44</v>
      </c>
      <c r="M52" s="917">
        <v>48</v>
      </c>
      <c r="N52" s="917">
        <v>48</v>
      </c>
      <c r="O52" s="917">
        <v>69</v>
      </c>
      <c r="P52" s="917">
        <v>91</v>
      </c>
      <c r="Q52" s="917">
        <v>89</v>
      </c>
      <c r="R52" s="917">
        <v>92</v>
      </c>
      <c r="S52" s="917">
        <v>73</v>
      </c>
      <c r="T52" s="917">
        <v>80</v>
      </c>
      <c r="U52" s="917">
        <v>72</v>
      </c>
      <c r="V52" s="917">
        <v>69</v>
      </c>
      <c r="W52" s="918">
        <v>58</v>
      </c>
      <c r="X52" s="919">
        <v>833</v>
      </c>
    </row>
    <row r="53" spans="1:24" ht="15" customHeight="1">
      <c r="A53" s="1014" t="s">
        <v>1215</v>
      </c>
      <c r="B53" s="1015"/>
      <c r="C53" s="1015"/>
      <c r="D53" s="1015"/>
      <c r="E53" s="1015"/>
      <c r="F53" s="1015"/>
      <c r="G53" s="1016"/>
      <c r="H53" s="886" t="s">
        <v>1216</v>
      </c>
      <c r="I53" s="1017"/>
      <c r="J53" s="886"/>
      <c r="K53" s="1018"/>
      <c r="L53" s="931">
        <v>3.65</v>
      </c>
      <c r="M53" s="932">
        <v>3.77</v>
      </c>
      <c r="N53" s="932">
        <v>4.41</v>
      </c>
      <c r="O53" s="932">
        <v>5.2</v>
      </c>
      <c r="P53" s="932">
        <v>7.38</v>
      </c>
      <c r="Q53" s="932">
        <v>8.7899999999999991</v>
      </c>
      <c r="R53" s="932">
        <v>9.99</v>
      </c>
      <c r="S53" s="932">
        <v>10.130000000000001</v>
      </c>
      <c r="T53" s="932">
        <v>8.39</v>
      </c>
      <c r="U53" s="932">
        <v>6.86</v>
      </c>
      <c r="V53" s="932">
        <v>4.8600000000000003</v>
      </c>
      <c r="W53" s="933">
        <v>4.0599999999999996</v>
      </c>
      <c r="X53" s="934">
        <v>6.4574999999999996</v>
      </c>
    </row>
    <row r="54" spans="1:24" ht="15" customHeight="1" thickBot="1">
      <c r="A54" s="924" t="s">
        <v>1217</v>
      </c>
      <c r="B54" s="925"/>
      <c r="C54" s="925"/>
      <c r="D54" s="925"/>
      <c r="E54" s="925"/>
      <c r="F54" s="925"/>
      <c r="G54" s="926"/>
      <c r="H54" s="1019" t="s">
        <v>1218</v>
      </c>
      <c r="I54" s="1020"/>
      <c r="J54" s="1019"/>
      <c r="K54" s="1021"/>
      <c r="L54" s="927">
        <v>4.5</v>
      </c>
      <c r="M54" s="928">
        <v>4.63</v>
      </c>
      <c r="N54" s="928">
        <v>5.34</v>
      </c>
      <c r="O54" s="928">
        <v>6.23</v>
      </c>
      <c r="P54" s="928">
        <v>8.69</v>
      </c>
      <c r="Q54" s="928">
        <v>10.24</v>
      </c>
      <c r="R54" s="928">
        <v>11.53</v>
      </c>
      <c r="S54" s="928">
        <v>11.7</v>
      </c>
      <c r="T54" s="928">
        <v>9.85</v>
      </c>
      <c r="U54" s="928">
        <v>8.18</v>
      </c>
      <c r="V54" s="928">
        <v>5.91</v>
      </c>
      <c r="W54" s="929">
        <v>4.99</v>
      </c>
      <c r="X54" s="930">
        <v>7.71</v>
      </c>
    </row>
    <row r="55" spans="1:24" ht="15" customHeight="1" thickBot="1">
      <c r="A55" s="910"/>
      <c r="B55" s="1028"/>
      <c r="C55" s="1028"/>
      <c r="D55" s="1028"/>
      <c r="E55" s="1028"/>
      <c r="F55" s="1028"/>
      <c r="G55" s="1028"/>
      <c r="H55" s="1032"/>
      <c r="I55" s="1032"/>
      <c r="J55" s="1032"/>
      <c r="K55" s="1032"/>
      <c r="L55" s="1037"/>
      <c r="M55" s="1038"/>
      <c r="N55" s="1038"/>
      <c r="O55" s="1038"/>
      <c r="P55" s="1038"/>
      <c r="Q55" s="1038"/>
      <c r="R55" s="1038"/>
      <c r="S55" s="1038"/>
      <c r="T55" s="1038"/>
      <c r="U55" s="1038"/>
      <c r="V55" s="1038"/>
      <c r="W55" s="1039"/>
      <c r="X55" s="1040"/>
    </row>
    <row r="56" spans="1:24" ht="15" customHeight="1" thickBot="1">
      <c r="A56" s="1031" t="s">
        <v>1222</v>
      </c>
      <c r="B56" s="1031"/>
      <c r="C56" s="1031"/>
      <c r="D56" s="1031"/>
      <c r="E56" s="1031"/>
      <c r="F56" s="1031"/>
      <c r="G56" s="1031"/>
      <c r="H56" s="1031"/>
      <c r="I56" s="1031"/>
      <c r="J56" s="1031"/>
      <c r="K56" s="1031"/>
      <c r="L56" s="884" t="s">
        <v>37</v>
      </c>
      <c r="M56" s="885" t="s">
        <v>38</v>
      </c>
      <c r="N56" s="885" t="s">
        <v>858</v>
      </c>
      <c r="O56" s="885" t="s">
        <v>39</v>
      </c>
      <c r="P56" s="885" t="s">
        <v>40</v>
      </c>
      <c r="Q56" s="885" t="s">
        <v>41</v>
      </c>
      <c r="R56" s="885" t="s">
        <v>42</v>
      </c>
      <c r="S56" s="885" t="s">
        <v>43</v>
      </c>
      <c r="T56" s="885" t="s">
        <v>44</v>
      </c>
      <c r="U56" s="885" t="s">
        <v>45</v>
      </c>
      <c r="V56" s="885" t="s">
        <v>46</v>
      </c>
      <c r="W56" s="886" t="s">
        <v>47</v>
      </c>
      <c r="X56" s="887" t="s">
        <v>352</v>
      </c>
    </row>
    <row r="57" spans="1:24" ht="15" customHeight="1" thickBot="1">
      <c r="A57" s="888" t="s">
        <v>1206</v>
      </c>
      <c r="B57" s="889"/>
      <c r="C57" s="889"/>
      <c r="D57" s="889"/>
      <c r="E57" s="889"/>
      <c r="F57" s="889"/>
      <c r="G57" s="890"/>
      <c r="H57" s="999" t="s">
        <v>3</v>
      </c>
      <c r="I57" s="1000"/>
      <c r="J57" s="891"/>
      <c r="K57" s="892"/>
      <c r="L57" s="893">
        <v>-0.1</v>
      </c>
      <c r="M57" s="894">
        <v>1.3</v>
      </c>
      <c r="N57" s="894">
        <v>5.3</v>
      </c>
      <c r="O57" s="894">
        <v>8.1</v>
      </c>
      <c r="P57" s="894">
        <v>13.2</v>
      </c>
      <c r="Q57" s="894">
        <v>16.100000000000001</v>
      </c>
      <c r="R57" s="894">
        <v>18.399999999999999</v>
      </c>
      <c r="S57" s="894">
        <v>18.399999999999999</v>
      </c>
      <c r="T57" s="894">
        <v>13.9</v>
      </c>
      <c r="U57" s="894">
        <v>9.6</v>
      </c>
      <c r="V57" s="894">
        <v>3.9</v>
      </c>
      <c r="W57" s="895">
        <v>1.2</v>
      </c>
      <c r="X57" s="896">
        <v>9.1083333333333325</v>
      </c>
    </row>
    <row r="58" spans="1:24" ht="15" customHeight="1">
      <c r="A58" s="897"/>
      <c r="B58" s="898"/>
      <c r="C58" s="898"/>
      <c r="D58" s="898"/>
      <c r="E58" s="898"/>
      <c r="F58" s="898"/>
      <c r="G58" s="899"/>
      <c r="H58" s="1001" t="s">
        <v>1207</v>
      </c>
      <c r="I58" s="1002"/>
      <c r="J58" s="1003" t="s">
        <v>1208</v>
      </c>
      <c r="K58" s="1004"/>
      <c r="L58" s="900">
        <v>118</v>
      </c>
      <c r="M58" s="901">
        <v>181</v>
      </c>
      <c r="N58" s="901">
        <v>335</v>
      </c>
      <c r="O58" s="901">
        <v>420</v>
      </c>
      <c r="P58" s="901">
        <v>546</v>
      </c>
      <c r="Q58" s="901">
        <v>594</v>
      </c>
      <c r="R58" s="901">
        <v>624</v>
      </c>
      <c r="S58" s="901">
        <v>544</v>
      </c>
      <c r="T58" s="901">
        <v>373</v>
      </c>
      <c r="U58" s="901">
        <v>230</v>
      </c>
      <c r="V58" s="901">
        <v>122</v>
      </c>
      <c r="W58" s="902">
        <v>91</v>
      </c>
      <c r="X58" s="903">
        <v>4178</v>
      </c>
    </row>
    <row r="59" spans="1:24" ht="15" customHeight="1">
      <c r="A59" s="904"/>
      <c r="B59" s="882"/>
      <c r="C59" s="882"/>
      <c r="D59" s="882"/>
      <c r="E59" s="882"/>
      <c r="F59" s="882"/>
      <c r="G59" s="905"/>
      <c r="H59" s="1005"/>
      <c r="I59" s="1006"/>
      <c r="J59" s="1007" t="s">
        <v>1209</v>
      </c>
      <c r="K59" s="1008"/>
      <c r="L59" s="900">
        <v>75</v>
      </c>
      <c r="M59" s="906">
        <v>116</v>
      </c>
      <c r="N59" s="906">
        <v>204</v>
      </c>
      <c r="O59" s="906">
        <v>244</v>
      </c>
      <c r="P59" s="906">
        <v>305</v>
      </c>
      <c r="Q59" s="906">
        <v>329</v>
      </c>
      <c r="R59" s="906">
        <v>348</v>
      </c>
      <c r="S59" s="906">
        <v>316</v>
      </c>
      <c r="T59" s="906">
        <v>213</v>
      </c>
      <c r="U59" s="906">
        <v>126</v>
      </c>
      <c r="V59" s="906">
        <v>67</v>
      </c>
      <c r="W59" s="907">
        <v>54</v>
      </c>
      <c r="X59" s="903">
        <v>2396</v>
      </c>
    </row>
    <row r="60" spans="1:24" ht="15" customHeight="1">
      <c r="A60" s="904" t="s">
        <v>1210</v>
      </c>
      <c r="B60" s="882"/>
      <c r="C60" s="882"/>
      <c r="D60" s="882"/>
      <c r="E60" s="882"/>
      <c r="F60" s="882"/>
      <c r="G60" s="905"/>
      <c r="H60" s="1005"/>
      <c r="I60" s="1006"/>
      <c r="J60" s="1007" t="s">
        <v>1211</v>
      </c>
      <c r="K60" s="1008"/>
      <c r="L60" s="900">
        <v>201</v>
      </c>
      <c r="M60" s="906">
        <v>252</v>
      </c>
      <c r="N60" s="906">
        <v>337</v>
      </c>
      <c r="O60" s="906">
        <v>285</v>
      </c>
      <c r="P60" s="906">
        <v>284</v>
      </c>
      <c r="Q60" s="906">
        <v>270</v>
      </c>
      <c r="R60" s="906">
        <v>305</v>
      </c>
      <c r="S60" s="906">
        <v>343</v>
      </c>
      <c r="T60" s="906">
        <v>324</v>
      </c>
      <c r="U60" s="906">
        <v>271</v>
      </c>
      <c r="V60" s="906">
        <v>179</v>
      </c>
      <c r="W60" s="907">
        <v>153</v>
      </c>
      <c r="X60" s="903">
        <v>3203</v>
      </c>
    </row>
    <row r="61" spans="1:24" ht="15" customHeight="1">
      <c r="A61" s="904"/>
      <c r="B61" s="882"/>
      <c r="C61" s="882"/>
      <c r="D61" s="882"/>
      <c r="E61" s="882"/>
      <c r="F61" s="882"/>
      <c r="G61" s="905"/>
      <c r="H61" s="1005"/>
      <c r="I61" s="1006"/>
      <c r="J61" s="1007" t="s">
        <v>592</v>
      </c>
      <c r="K61" s="1008"/>
      <c r="L61" s="908">
        <v>88</v>
      </c>
      <c r="M61" s="906">
        <v>126</v>
      </c>
      <c r="N61" s="906">
        <v>204</v>
      </c>
      <c r="O61" s="906">
        <v>228</v>
      </c>
      <c r="P61" s="906">
        <v>281</v>
      </c>
      <c r="Q61" s="906">
        <v>306</v>
      </c>
      <c r="R61" s="906">
        <v>332</v>
      </c>
      <c r="S61" s="906">
        <v>297</v>
      </c>
      <c r="T61" s="906">
        <v>220</v>
      </c>
      <c r="U61" s="906">
        <v>145</v>
      </c>
      <c r="V61" s="906">
        <v>80</v>
      </c>
      <c r="W61" s="907">
        <v>64</v>
      </c>
      <c r="X61" s="903">
        <v>2372</v>
      </c>
    </row>
    <row r="62" spans="1:24" ht="15" customHeight="1" thickBot="1">
      <c r="A62" s="909"/>
      <c r="B62" s="910"/>
      <c r="C62" s="910"/>
      <c r="D62" s="910"/>
      <c r="E62" s="910"/>
      <c r="F62" s="910"/>
      <c r="G62" s="911"/>
      <c r="H62" s="1009"/>
      <c r="I62" s="1010"/>
      <c r="J62" s="1011" t="s">
        <v>1212</v>
      </c>
      <c r="K62" s="1012"/>
      <c r="L62" s="912">
        <v>48</v>
      </c>
      <c r="M62" s="913">
        <v>65</v>
      </c>
      <c r="N62" s="913">
        <v>99</v>
      </c>
      <c r="O62" s="913">
        <v>119</v>
      </c>
      <c r="P62" s="913">
        <v>161</v>
      </c>
      <c r="Q62" s="913">
        <v>181</v>
      </c>
      <c r="R62" s="913">
        <v>182</v>
      </c>
      <c r="S62" s="913">
        <v>145</v>
      </c>
      <c r="T62" s="913">
        <v>98</v>
      </c>
      <c r="U62" s="913">
        <v>67</v>
      </c>
      <c r="V62" s="913">
        <v>41</v>
      </c>
      <c r="W62" s="914">
        <v>35</v>
      </c>
      <c r="X62" s="915">
        <v>1243</v>
      </c>
    </row>
    <row r="63" spans="1:24" ht="15" customHeight="1" thickBot="1">
      <c r="A63" s="888" t="s">
        <v>1213</v>
      </c>
      <c r="B63" s="889"/>
      <c r="C63" s="889"/>
      <c r="D63" s="889"/>
      <c r="E63" s="889"/>
      <c r="F63" s="889"/>
      <c r="G63" s="890"/>
      <c r="H63" s="999" t="s">
        <v>1214</v>
      </c>
      <c r="I63" s="1000"/>
      <c r="J63" s="999"/>
      <c r="K63" s="1013"/>
      <c r="L63" s="916">
        <v>59</v>
      </c>
      <c r="M63" s="917">
        <v>59</v>
      </c>
      <c r="N63" s="917">
        <v>68</v>
      </c>
      <c r="O63" s="917">
        <v>88</v>
      </c>
      <c r="P63" s="917">
        <v>116</v>
      </c>
      <c r="Q63" s="917">
        <v>121</v>
      </c>
      <c r="R63" s="917">
        <v>106</v>
      </c>
      <c r="S63" s="917">
        <v>105</v>
      </c>
      <c r="T63" s="917">
        <v>102</v>
      </c>
      <c r="U63" s="917">
        <v>86</v>
      </c>
      <c r="V63" s="917">
        <v>87</v>
      </c>
      <c r="W63" s="918">
        <v>66</v>
      </c>
      <c r="X63" s="919">
        <v>1063</v>
      </c>
    </row>
    <row r="64" spans="1:24" ht="15" customHeight="1">
      <c r="A64" s="1014" t="s">
        <v>1215</v>
      </c>
      <c r="B64" s="1015"/>
      <c r="C64" s="1015"/>
      <c r="D64" s="1015"/>
      <c r="E64" s="1015"/>
      <c r="F64" s="1015"/>
      <c r="G64" s="1016"/>
      <c r="H64" s="886" t="s">
        <v>1216</v>
      </c>
      <c r="I64" s="1017"/>
      <c r="J64" s="886"/>
      <c r="K64" s="1018"/>
      <c r="L64" s="931">
        <v>3.43</v>
      </c>
      <c r="M64" s="932">
        <v>3.57</v>
      </c>
      <c r="N64" s="932">
        <v>4.25</v>
      </c>
      <c r="O64" s="932">
        <v>5.04</v>
      </c>
      <c r="P64" s="932">
        <v>7.12</v>
      </c>
      <c r="Q64" s="932">
        <v>8.49</v>
      </c>
      <c r="R64" s="932">
        <v>9.69</v>
      </c>
      <c r="S64" s="932">
        <v>9.86</v>
      </c>
      <c r="T64" s="932">
        <v>8.18</v>
      </c>
      <c r="U64" s="932">
        <v>6.67</v>
      </c>
      <c r="V64" s="932">
        <v>4.66</v>
      </c>
      <c r="W64" s="933">
        <v>3.83</v>
      </c>
      <c r="X64" s="934">
        <v>6.2324999999999999</v>
      </c>
    </row>
    <row r="65" spans="1:24" ht="15" customHeight="1" thickBot="1">
      <c r="A65" s="924" t="s">
        <v>1217</v>
      </c>
      <c r="B65" s="925"/>
      <c r="C65" s="925"/>
      <c r="D65" s="925"/>
      <c r="E65" s="925"/>
      <c r="F65" s="925"/>
      <c r="G65" s="926"/>
      <c r="H65" s="1019" t="s">
        <v>1218</v>
      </c>
      <c r="I65" s="1020"/>
      <c r="J65" s="1019"/>
      <c r="K65" s="1021"/>
      <c r="L65" s="927">
        <v>4.1399999999999997</v>
      </c>
      <c r="M65" s="928">
        <v>4.28</v>
      </c>
      <c r="N65" s="928">
        <v>5.0199999999999996</v>
      </c>
      <c r="O65" s="928">
        <v>5.89</v>
      </c>
      <c r="P65" s="928">
        <v>8.17</v>
      </c>
      <c r="Q65" s="928">
        <v>9.6300000000000008</v>
      </c>
      <c r="R65" s="928">
        <v>10.9</v>
      </c>
      <c r="S65" s="928">
        <v>11.09</v>
      </c>
      <c r="T65" s="928">
        <v>9.36</v>
      </c>
      <c r="U65" s="928">
        <v>7.75</v>
      </c>
      <c r="V65" s="928">
        <v>5.53</v>
      </c>
      <c r="W65" s="929">
        <v>4.5999999999999996</v>
      </c>
      <c r="X65" s="930">
        <v>7.26</v>
      </c>
    </row>
    <row r="66" spans="1:24" ht="15" customHeight="1" thickBot="1">
      <c r="A66" s="910"/>
      <c r="B66" s="1028"/>
      <c r="C66" s="1028"/>
      <c r="D66" s="1028"/>
      <c r="E66" s="1028"/>
      <c r="F66" s="1028"/>
      <c r="G66" s="1028"/>
      <c r="H66" s="1032"/>
      <c r="I66" s="1032"/>
      <c r="J66" s="1032"/>
      <c r="K66" s="1032"/>
      <c r="L66" s="1037"/>
      <c r="M66" s="1038"/>
      <c r="N66" s="1038"/>
      <c r="O66" s="1038"/>
      <c r="P66" s="1038"/>
      <c r="Q66" s="1038"/>
      <c r="R66" s="1038"/>
      <c r="S66" s="1038"/>
      <c r="T66" s="1038"/>
      <c r="U66" s="1038"/>
      <c r="V66" s="1038"/>
      <c r="W66" s="1039"/>
      <c r="X66" s="1040"/>
    </row>
    <row r="67" spans="1:24" ht="15" customHeight="1" thickBot="1">
      <c r="A67" s="1031" t="s">
        <v>1223</v>
      </c>
      <c r="B67" s="1031"/>
      <c r="C67" s="1031"/>
      <c r="D67" s="1031"/>
      <c r="E67" s="1031"/>
      <c r="F67" s="1031"/>
      <c r="G67" s="1031"/>
      <c r="H67" s="1031"/>
      <c r="I67" s="1031"/>
      <c r="J67" s="1031"/>
      <c r="K67" s="1031"/>
      <c r="L67" s="884" t="s">
        <v>37</v>
      </c>
      <c r="M67" s="885" t="s">
        <v>38</v>
      </c>
      <c r="N67" s="885" t="s">
        <v>858</v>
      </c>
      <c r="O67" s="885" t="s">
        <v>39</v>
      </c>
      <c r="P67" s="885" t="s">
        <v>40</v>
      </c>
      <c r="Q67" s="885" t="s">
        <v>41</v>
      </c>
      <c r="R67" s="885" t="s">
        <v>42</v>
      </c>
      <c r="S67" s="885" t="s">
        <v>43</v>
      </c>
      <c r="T67" s="885" t="s">
        <v>44</v>
      </c>
      <c r="U67" s="885" t="s">
        <v>45</v>
      </c>
      <c r="V67" s="885" t="s">
        <v>46</v>
      </c>
      <c r="W67" s="886" t="s">
        <v>47</v>
      </c>
      <c r="X67" s="887" t="s">
        <v>352</v>
      </c>
    </row>
    <row r="68" spans="1:24" ht="15" customHeight="1" thickBot="1">
      <c r="A68" s="888" t="s">
        <v>1206</v>
      </c>
      <c r="B68" s="889"/>
      <c r="C68" s="889"/>
      <c r="D68" s="889"/>
      <c r="E68" s="889"/>
      <c r="F68" s="889"/>
      <c r="G68" s="890"/>
      <c r="H68" s="999" t="s">
        <v>3</v>
      </c>
      <c r="I68" s="1000"/>
      <c r="J68" s="891"/>
      <c r="K68" s="892"/>
      <c r="L68" s="893">
        <v>0.6</v>
      </c>
      <c r="M68" s="894">
        <v>1.7</v>
      </c>
      <c r="N68" s="894">
        <v>5.8</v>
      </c>
      <c r="O68" s="894">
        <v>8.8000000000000007</v>
      </c>
      <c r="P68" s="894">
        <v>14</v>
      </c>
      <c r="Q68" s="894">
        <v>16.8</v>
      </c>
      <c r="R68" s="894">
        <v>18.899999999999999</v>
      </c>
      <c r="S68" s="894">
        <v>18.7</v>
      </c>
      <c r="T68" s="894">
        <v>14.2</v>
      </c>
      <c r="U68" s="894">
        <v>10</v>
      </c>
      <c r="V68" s="894">
        <v>4.4000000000000004</v>
      </c>
      <c r="W68" s="895">
        <v>2</v>
      </c>
      <c r="X68" s="896">
        <v>9.6583333333333332</v>
      </c>
    </row>
    <row r="69" spans="1:24" ht="15" customHeight="1">
      <c r="A69" s="897"/>
      <c r="B69" s="898"/>
      <c r="C69" s="898"/>
      <c r="D69" s="898"/>
      <c r="E69" s="898"/>
      <c r="F69" s="898"/>
      <c r="G69" s="899"/>
      <c r="H69" s="1001" t="s">
        <v>1207</v>
      </c>
      <c r="I69" s="1002"/>
      <c r="J69" s="1003" t="s">
        <v>1208</v>
      </c>
      <c r="K69" s="1004"/>
      <c r="L69" s="900">
        <v>86</v>
      </c>
      <c r="M69" s="901">
        <v>148</v>
      </c>
      <c r="N69" s="901">
        <v>284</v>
      </c>
      <c r="O69" s="901">
        <v>391</v>
      </c>
      <c r="P69" s="901">
        <v>522</v>
      </c>
      <c r="Q69" s="901">
        <v>560</v>
      </c>
      <c r="R69" s="901">
        <v>581</v>
      </c>
      <c r="S69" s="901">
        <v>501</v>
      </c>
      <c r="T69" s="901">
        <v>334</v>
      </c>
      <c r="U69" s="901">
        <v>187</v>
      </c>
      <c r="V69" s="901">
        <v>91</v>
      </c>
      <c r="W69" s="902">
        <v>67</v>
      </c>
      <c r="X69" s="903">
        <v>3752</v>
      </c>
    </row>
    <row r="70" spans="1:24" ht="15" customHeight="1">
      <c r="A70" s="904"/>
      <c r="B70" s="882"/>
      <c r="C70" s="882"/>
      <c r="D70" s="882"/>
      <c r="E70" s="882"/>
      <c r="F70" s="882"/>
      <c r="G70" s="905"/>
      <c r="H70" s="1005"/>
      <c r="I70" s="1006"/>
      <c r="J70" s="1007" t="s">
        <v>1209</v>
      </c>
      <c r="K70" s="1008"/>
      <c r="L70" s="900">
        <v>48</v>
      </c>
      <c r="M70" s="906">
        <v>87</v>
      </c>
      <c r="N70" s="906">
        <v>161</v>
      </c>
      <c r="O70" s="906">
        <v>213</v>
      </c>
      <c r="P70" s="906">
        <v>276</v>
      </c>
      <c r="Q70" s="906">
        <v>293</v>
      </c>
      <c r="R70" s="906">
        <v>311</v>
      </c>
      <c r="S70" s="906">
        <v>271</v>
      </c>
      <c r="T70" s="906">
        <v>176</v>
      </c>
      <c r="U70" s="906">
        <v>91</v>
      </c>
      <c r="V70" s="906">
        <v>47</v>
      </c>
      <c r="W70" s="907">
        <v>35</v>
      </c>
      <c r="X70" s="903">
        <v>2007</v>
      </c>
    </row>
    <row r="71" spans="1:24" ht="15" customHeight="1">
      <c r="A71" s="904" t="s">
        <v>1210</v>
      </c>
      <c r="B71" s="882"/>
      <c r="C71" s="882"/>
      <c r="D71" s="882"/>
      <c r="E71" s="882"/>
      <c r="F71" s="882"/>
      <c r="G71" s="905"/>
      <c r="H71" s="1005"/>
      <c r="I71" s="1006"/>
      <c r="J71" s="1007" t="s">
        <v>1211</v>
      </c>
      <c r="K71" s="1008"/>
      <c r="L71" s="900">
        <v>115</v>
      </c>
      <c r="M71" s="906">
        <v>181</v>
      </c>
      <c r="N71" s="906">
        <v>268</v>
      </c>
      <c r="O71" s="906">
        <v>270</v>
      </c>
      <c r="P71" s="906">
        <v>279</v>
      </c>
      <c r="Q71" s="906">
        <v>264</v>
      </c>
      <c r="R71" s="906">
        <v>292</v>
      </c>
      <c r="S71" s="906">
        <v>316</v>
      </c>
      <c r="T71" s="906">
        <v>283</v>
      </c>
      <c r="U71" s="906">
        <v>201</v>
      </c>
      <c r="V71" s="906">
        <v>109</v>
      </c>
      <c r="W71" s="907">
        <v>88</v>
      </c>
      <c r="X71" s="903">
        <v>2666</v>
      </c>
    </row>
    <row r="72" spans="1:24" ht="15" customHeight="1">
      <c r="A72" s="904"/>
      <c r="B72" s="882"/>
      <c r="C72" s="882"/>
      <c r="D72" s="882"/>
      <c r="E72" s="882"/>
      <c r="F72" s="882"/>
      <c r="G72" s="905"/>
      <c r="H72" s="1005"/>
      <c r="I72" s="1006"/>
      <c r="J72" s="1007" t="s">
        <v>592</v>
      </c>
      <c r="K72" s="1008"/>
      <c r="L72" s="908">
        <v>59</v>
      </c>
      <c r="M72" s="906">
        <v>97</v>
      </c>
      <c r="N72" s="906">
        <v>166</v>
      </c>
      <c r="O72" s="906">
        <v>207</v>
      </c>
      <c r="P72" s="906">
        <v>273</v>
      </c>
      <c r="Q72" s="906">
        <v>290</v>
      </c>
      <c r="R72" s="906">
        <v>311</v>
      </c>
      <c r="S72" s="906">
        <v>273</v>
      </c>
      <c r="T72" s="906">
        <v>197</v>
      </c>
      <c r="U72" s="906">
        <v>121</v>
      </c>
      <c r="V72" s="906">
        <v>60</v>
      </c>
      <c r="W72" s="907">
        <v>40</v>
      </c>
      <c r="X72" s="903">
        <v>2094</v>
      </c>
    </row>
    <row r="73" spans="1:24" ht="15" customHeight="1" thickBot="1">
      <c r="A73" s="909"/>
      <c r="B73" s="910"/>
      <c r="C73" s="910"/>
      <c r="D73" s="910"/>
      <c r="E73" s="910"/>
      <c r="F73" s="910"/>
      <c r="G73" s="911"/>
      <c r="H73" s="1009"/>
      <c r="I73" s="1010"/>
      <c r="J73" s="1011" t="s">
        <v>1212</v>
      </c>
      <c r="K73" s="1012"/>
      <c r="L73" s="912">
        <v>37</v>
      </c>
      <c r="M73" s="913">
        <v>58</v>
      </c>
      <c r="N73" s="913">
        <v>88</v>
      </c>
      <c r="O73" s="913">
        <v>114</v>
      </c>
      <c r="P73" s="913">
        <v>153</v>
      </c>
      <c r="Q73" s="913">
        <v>171</v>
      </c>
      <c r="R73" s="913">
        <v>174</v>
      </c>
      <c r="S73" s="913">
        <v>139</v>
      </c>
      <c r="T73" s="913">
        <v>96</v>
      </c>
      <c r="U73" s="913">
        <v>62</v>
      </c>
      <c r="V73" s="913">
        <v>34</v>
      </c>
      <c r="W73" s="914">
        <v>27</v>
      </c>
      <c r="X73" s="915">
        <v>1153</v>
      </c>
    </row>
    <row r="74" spans="1:24" ht="15" customHeight="1" thickBot="1">
      <c r="A74" s="888" t="s">
        <v>1213</v>
      </c>
      <c r="B74" s="889"/>
      <c r="C74" s="889"/>
      <c r="D74" s="889"/>
      <c r="E74" s="889"/>
      <c r="F74" s="889"/>
      <c r="G74" s="890"/>
      <c r="H74" s="999" t="s">
        <v>1214</v>
      </c>
      <c r="I74" s="1000"/>
      <c r="J74" s="999"/>
      <c r="K74" s="1013"/>
      <c r="L74" s="916">
        <v>61</v>
      </c>
      <c r="M74" s="917">
        <v>69</v>
      </c>
      <c r="N74" s="917">
        <v>69</v>
      </c>
      <c r="O74" s="917">
        <v>79</v>
      </c>
      <c r="P74" s="917">
        <v>104</v>
      </c>
      <c r="Q74" s="917">
        <v>120</v>
      </c>
      <c r="R74" s="917">
        <v>108</v>
      </c>
      <c r="S74" s="917">
        <v>95</v>
      </c>
      <c r="T74" s="917">
        <v>85</v>
      </c>
      <c r="U74" s="917">
        <v>81</v>
      </c>
      <c r="V74" s="917">
        <v>86</v>
      </c>
      <c r="W74" s="918">
        <v>85</v>
      </c>
      <c r="X74" s="919">
        <v>1042</v>
      </c>
    </row>
    <row r="75" spans="1:24" ht="15" customHeight="1">
      <c r="A75" s="1014" t="s">
        <v>1215</v>
      </c>
      <c r="B75" s="1015"/>
      <c r="C75" s="1015"/>
      <c r="D75" s="1015"/>
      <c r="E75" s="1015"/>
      <c r="F75" s="1015"/>
      <c r="G75" s="1016"/>
      <c r="H75" s="886" t="s">
        <v>1216</v>
      </c>
      <c r="I75" s="1017"/>
      <c r="J75" s="886"/>
      <c r="K75" s="1018"/>
      <c r="L75" s="931">
        <v>3.56</v>
      </c>
      <c r="M75" s="932">
        <v>3.68</v>
      </c>
      <c r="N75" s="932">
        <v>4.43</v>
      </c>
      <c r="O75" s="932">
        <v>5.21</v>
      </c>
      <c r="P75" s="932">
        <v>7.34</v>
      </c>
      <c r="Q75" s="932">
        <v>8.8000000000000007</v>
      </c>
      <c r="R75" s="932">
        <v>9.99</v>
      </c>
      <c r="S75" s="932">
        <v>10.17</v>
      </c>
      <c r="T75" s="932">
        <v>8.32</v>
      </c>
      <c r="U75" s="932">
        <v>6.75</v>
      </c>
      <c r="V75" s="932">
        <v>4.7300000000000004</v>
      </c>
      <c r="W75" s="933">
        <v>3.96</v>
      </c>
      <c r="X75" s="934">
        <v>6.4116666666666662</v>
      </c>
    </row>
    <row r="76" spans="1:24" ht="15" customHeight="1" thickBot="1">
      <c r="A76" s="924" t="s">
        <v>1217</v>
      </c>
      <c r="B76" s="925"/>
      <c r="C76" s="925"/>
      <c r="D76" s="925"/>
      <c r="E76" s="925"/>
      <c r="F76" s="925"/>
      <c r="G76" s="926"/>
      <c r="H76" s="1019" t="s">
        <v>1218</v>
      </c>
      <c r="I76" s="1020"/>
      <c r="J76" s="1019"/>
      <c r="K76" s="1021"/>
      <c r="L76" s="927">
        <v>4.37</v>
      </c>
      <c r="M76" s="928">
        <v>4.5</v>
      </c>
      <c r="N76" s="928">
        <v>5.34</v>
      </c>
      <c r="O76" s="928">
        <v>6.21</v>
      </c>
      <c r="P76" s="928">
        <v>8.58</v>
      </c>
      <c r="Q76" s="928">
        <v>10.17</v>
      </c>
      <c r="R76" s="928">
        <v>11.46</v>
      </c>
      <c r="S76" s="928">
        <v>11.67</v>
      </c>
      <c r="T76" s="928">
        <v>9.7100000000000009</v>
      </c>
      <c r="U76" s="928">
        <v>8</v>
      </c>
      <c r="V76" s="928">
        <v>5.73</v>
      </c>
      <c r="W76" s="929">
        <v>4.84</v>
      </c>
      <c r="X76" s="930">
        <v>7.61</v>
      </c>
    </row>
    <row r="77" spans="1:24" ht="15" customHeight="1" thickBot="1">
      <c r="A77" s="910"/>
      <c r="B77" s="1028"/>
      <c r="C77" s="1028"/>
      <c r="D77" s="1028"/>
      <c r="E77" s="1028"/>
      <c r="F77" s="1028"/>
      <c r="G77" s="1028"/>
      <c r="H77" s="1032"/>
      <c r="I77" s="1032"/>
      <c r="J77" s="1032"/>
      <c r="K77" s="1032"/>
      <c r="L77" s="1037"/>
      <c r="M77" s="1038"/>
      <c r="N77" s="1038"/>
      <c r="O77" s="1038"/>
      <c r="P77" s="1038"/>
      <c r="Q77" s="1038"/>
      <c r="R77" s="1038"/>
      <c r="S77" s="1038"/>
      <c r="T77" s="1038"/>
      <c r="U77" s="1038"/>
      <c r="V77" s="1038"/>
      <c r="W77" s="1039"/>
      <c r="X77" s="1040"/>
    </row>
    <row r="78" spans="1:24" ht="15" customHeight="1" thickBot="1">
      <c r="A78" s="1031" t="s">
        <v>1224</v>
      </c>
      <c r="B78" s="1031"/>
      <c r="C78" s="1031"/>
      <c r="D78" s="1031"/>
      <c r="E78" s="1031"/>
      <c r="F78" s="1031"/>
      <c r="G78" s="1031"/>
      <c r="H78" s="1031"/>
      <c r="I78" s="1031"/>
      <c r="J78" s="1031"/>
      <c r="K78" s="1031"/>
      <c r="L78" s="884" t="s">
        <v>37</v>
      </c>
      <c r="M78" s="885" t="s">
        <v>38</v>
      </c>
      <c r="N78" s="885" t="s">
        <v>858</v>
      </c>
      <c r="O78" s="885" t="s">
        <v>39</v>
      </c>
      <c r="P78" s="885" t="s">
        <v>40</v>
      </c>
      <c r="Q78" s="885" t="s">
        <v>41</v>
      </c>
      <c r="R78" s="885" t="s">
        <v>42</v>
      </c>
      <c r="S78" s="885" t="s">
        <v>43</v>
      </c>
      <c r="T78" s="885" t="s">
        <v>44</v>
      </c>
      <c r="U78" s="885" t="s">
        <v>45</v>
      </c>
      <c r="V78" s="885" t="s">
        <v>46</v>
      </c>
      <c r="W78" s="886" t="s">
        <v>47</v>
      </c>
      <c r="X78" s="887" t="s">
        <v>352</v>
      </c>
    </row>
    <row r="79" spans="1:24" ht="15" customHeight="1" thickBot="1">
      <c r="A79" s="888" t="s">
        <v>1206</v>
      </c>
      <c r="B79" s="889"/>
      <c r="C79" s="889"/>
      <c r="D79" s="889"/>
      <c r="E79" s="889"/>
      <c r="F79" s="889"/>
      <c r="G79" s="890"/>
      <c r="H79" s="999" t="s">
        <v>3</v>
      </c>
      <c r="I79" s="1000"/>
      <c r="J79" s="891"/>
      <c r="K79" s="892"/>
      <c r="L79" s="893">
        <v>0.5</v>
      </c>
      <c r="M79" s="894">
        <v>1.7</v>
      </c>
      <c r="N79" s="894">
        <v>5.8</v>
      </c>
      <c r="O79" s="894">
        <v>8.9</v>
      </c>
      <c r="P79" s="894">
        <v>14.1</v>
      </c>
      <c r="Q79" s="894">
        <v>16.5</v>
      </c>
      <c r="R79" s="894">
        <v>18.5</v>
      </c>
      <c r="S79" s="894">
        <v>18.399999999999999</v>
      </c>
      <c r="T79" s="894">
        <v>14.2</v>
      </c>
      <c r="U79" s="894">
        <v>10.4</v>
      </c>
      <c r="V79" s="894">
        <v>4.7</v>
      </c>
      <c r="W79" s="895">
        <v>1.7</v>
      </c>
      <c r="X79" s="896">
        <v>9.6166666666666689</v>
      </c>
    </row>
    <row r="80" spans="1:24" ht="15" customHeight="1">
      <c r="A80" s="897"/>
      <c r="B80" s="898"/>
      <c r="C80" s="898"/>
      <c r="D80" s="898"/>
      <c r="E80" s="898"/>
      <c r="F80" s="898"/>
      <c r="G80" s="899"/>
      <c r="H80" s="1001" t="s">
        <v>1207</v>
      </c>
      <c r="I80" s="1002"/>
      <c r="J80" s="1003" t="s">
        <v>1208</v>
      </c>
      <c r="K80" s="1004"/>
      <c r="L80" s="900">
        <v>142</v>
      </c>
      <c r="M80" s="901">
        <v>208</v>
      </c>
      <c r="N80" s="901">
        <v>359</v>
      </c>
      <c r="O80" s="901">
        <v>459</v>
      </c>
      <c r="P80" s="901">
        <v>570</v>
      </c>
      <c r="Q80" s="901">
        <v>578</v>
      </c>
      <c r="R80" s="901">
        <v>597</v>
      </c>
      <c r="S80" s="901">
        <v>520</v>
      </c>
      <c r="T80" s="901">
        <v>373</v>
      </c>
      <c r="U80" s="901">
        <v>257</v>
      </c>
      <c r="V80" s="901">
        <v>148</v>
      </c>
      <c r="W80" s="902">
        <v>112</v>
      </c>
      <c r="X80" s="903">
        <v>4324</v>
      </c>
    </row>
    <row r="81" spans="1:24" ht="15" customHeight="1">
      <c r="A81" s="904"/>
      <c r="B81" s="882"/>
      <c r="C81" s="882"/>
      <c r="D81" s="882"/>
      <c r="E81" s="882"/>
      <c r="F81" s="882"/>
      <c r="G81" s="905"/>
      <c r="H81" s="1005"/>
      <c r="I81" s="1006"/>
      <c r="J81" s="1007" t="s">
        <v>1209</v>
      </c>
      <c r="K81" s="1008"/>
      <c r="L81" s="900">
        <v>80</v>
      </c>
      <c r="M81" s="906">
        <v>121</v>
      </c>
      <c r="N81" s="906">
        <v>179</v>
      </c>
      <c r="O81" s="906">
        <v>220</v>
      </c>
      <c r="P81" s="906">
        <v>287</v>
      </c>
      <c r="Q81" s="906">
        <v>288</v>
      </c>
      <c r="R81" s="906">
        <v>303</v>
      </c>
      <c r="S81" s="906">
        <v>260</v>
      </c>
      <c r="T81" s="906">
        <v>179</v>
      </c>
      <c r="U81" s="906">
        <v>118</v>
      </c>
      <c r="V81" s="906">
        <v>67</v>
      </c>
      <c r="W81" s="907">
        <v>56</v>
      </c>
      <c r="X81" s="903">
        <v>2158</v>
      </c>
    </row>
    <row r="82" spans="1:24" ht="15" customHeight="1">
      <c r="A82" s="904" t="s">
        <v>1210</v>
      </c>
      <c r="B82" s="882"/>
      <c r="C82" s="882"/>
      <c r="D82" s="882"/>
      <c r="E82" s="882"/>
      <c r="F82" s="882"/>
      <c r="G82" s="905"/>
      <c r="H82" s="1005"/>
      <c r="I82" s="1006"/>
      <c r="J82" s="1007" t="s">
        <v>1211</v>
      </c>
      <c r="K82" s="1008"/>
      <c r="L82" s="900">
        <v>260</v>
      </c>
      <c r="M82" s="906">
        <v>307</v>
      </c>
      <c r="N82" s="906">
        <v>362</v>
      </c>
      <c r="O82" s="906">
        <v>311</v>
      </c>
      <c r="P82" s="906">
        <v>295</v>
      </c>
      <c r="Q82" s="906">
        <v>264</v>
      </c>
      <c r="R82" s="906">
        <v>292</v>
      </c>
      <c r="S82" s="906">
        <v>324</v>
      </c>
      <c r="T82" s="906">
        <v>316</v>
      </c>
      <c r="U82" s="906">
        <v>308</v>
      </c>
      <c r="V82" s="906">
        <v>228</v>
      </c>
      <c r="W82" s="907">
        <v>204</v>
      </c>
      <c r="X82" s="903">
        <v>3471</v>
      </c>
    </row>
    <row r="83" spans="1:24" ht="15" customHeight="1">
      <c r="A83" s="904"/>
      <c r="B83" s="882"/>
      <c r="C83" s="882"/>
      <c r="D83" s="882"/>
      <c r="E83" s="882"/>
      <c r="F83" s="882"/>
      <c r="G83" s="905"/>
      <c r="H83" s="1005"/>
      <c r="I83" s="1006"/>
      <c r="J83" s="1007" t="s">
        <v>592</v>
      </c>
      <c r="K83" s="1008"/>
      <c r="L83" s="908">
        <v>104</v>
      </c>
      <c r="M83" s="906">
        <v>148</v>
      </c>
      <c r="N83" s="906">
        <v>204</v>
      </c>
      <c r="O83" s="906">
        <v>215</v>
      </c>
      <c r="P83" s="906">
        <v>249</v>
      </c>
      <c r="Q83" s="906">
        <v>241</v>
      </c>
      <c r="R83" s="906">
        <v>252</v>
      </c>
      <c r="S83" s="906">
        <v>238</v>
      </c>
      <c r="T83" s="906">
        <v>184</v>
      </c>
      <c r="U83" s="906">
        <v>145</v>
      </c>
      <c r="V83" s="906">
        <v>91</v>
      </c>
      <c r="W83" s="907">
        <v>75</v>
      </c>
      <c r="X83" s="903">
        <v>2145</v>
      </c>
    </row>
    <row r="84" spans="1:24" ht="15" customHeight="1" thickBot="1">
      <c r="A84" s="909"/>
      <c r="B84" s="910"/>
      <c r="C84" s="910"/>
      <c r="D84" s="910"/>
      <c r="E84" s="910"/>
      <c r="F84" s="910"/>
      <c r="G84" s="911"/>
      <c r="H84" s="1009"/>
      <c r="I84" s="1010"/>
      <c r="J84" s="1011" t="s">
        <v>1212</v>
      </c>
      <c r="K84" s="1012"/>
      <c r="L84" s="912">
        <v>54</v>
      </c>
      <c r="M84" s="913">
        <v>77</v>
      </c>
      <c r="N84" s="913">
        <v>102</v>
      </c>
      <c r="O84" s="913">
        <v>114</v>
      </c>
      <c r="P84" s="913">
        <v>142</v>
      </c>
      <c r="Q84" s="913">
        <v>148</v>
      </c>
      <c r="R84" s="913">
        <v>147</v>
      </c>
      <c r="S84" s="913">
        <v>123</v>
      </c>
      <c r="T84" s="913">
        <v>91</v>
      </c>
      <c r="U84" s="913">
        <v>64</v>
      </c>
      <c r="V84" s="913">
        <v>44</v>
      </c>
      <c r="W84" s="914">
        <v>40</v>
      </c>
      <c r="X84" s="915">
        <v>1146</v>
      </c>
    </row>
    <row r="85" spans="1:24" ht="15" customHeight="1" thickBot="1">
      <c r="A85" s="888" t="s">
        <v>1213</v>
      </c>
      <c r="B85" s="889"/>
      <c r="C85" s="889"/>
      <c r="D85" s="889"/>
      <c r="E85" s="889"/>
      <c r="F85" s="889"/>
      <c r="G85" s="890"/>
      <c r="H85" s="999" t="s">
        <v>1214</v>
      </c>
      <c r="I85" s="1000"/>
      <c r="J85" s="999"/>
      <c r="K85" s="1013"/>
      <c r="L85" s="916">
        <v>43</v>
      </c>
      <c r="M85" s="917">
        <v>59</v>
      </c>
      <c r="N85" s="917">
        <v>63</v>
      </c>
      <c r="O85" s="917">
        <v>58</v>
      </c>
      <c r="P85" s="917">
        <v>65</v>
      </c>
      <c r="Q85" s="917">
        <v>100</v>
      </c>
      <c r="R85" s="917">
        <v>112</v>
      </c>
      <c r="S85" s="917">
        <v>110</v>
      </c>
      <c r="T85" s="917">
        <v>82</v>
      </c>
      <c r="U85" s="917">
        <v>59</v>
      </c>
      <c r="V85" s="917">
        <v>77</v>
      </c>
      <c r="W85" s="918">
        <v>55</v>
      </c>
      <c r="X85" s="919">
        <v>883</v>
      </c>
    </row>
    <row r="86" spans="1:24" ht="15" customHeight="1">
      <c r="A86" s="1014" t="s">
        <v>1215</v>
      </c>
      <c r="B86" s="1015"/>
      <c r="C86" s="1015"/>
      <c r="D86" s="1015"/>
      <c r="E86" s="1015"/>
      <c r="F86" s="1015"/>
      <c r="G86" s="1016"/>
      <c r="H86" s="886" t="s">
        <v>1216</v>
      </c>
      <c r="I86" s="1017"/>
      <c r="J86" s="886"/>
      <c r="K86" s="1018"/>
      <c r="L86" s="931">
        <v>3.03</v>
      </c>
      <c r="M86" s="932">
        <v>3.17</v>
      </c>
      <c r="N86" s="932">
        <v>3.88</v>
      </c>
      <c r="O86" s="932">
        <v>4.5999999999999996</v>
      </c>
      <c r="P86" s="932">
        <v>6.61</v>
      </c>
      <c r="Q86" s="932">
        <v>8.1199999999999992</v>
      </c>
      <c r="R86" s="932">
        <v>9.4700000000000006</v>
      </c>
      <c r="S86" s="932">
        <v>9.59</v>
      </c>
      <c r="T86" s="932">
        <v>7.73</v>
      </c>
      <c r="U86" s="932">
        <v>6.03</v>
      </c>
      <c r="V86" s="932">
        <v>4.22</v>
      </c>
      <c r="W86" s="933">
        <v>3.42</v>
      </c>
      <c r="X86" s="934">
        <v>5.8224999999999998</v>
      </c>
    </row>
    <row r="87" spans="1:24" ht="15" customHeight="1" thickBot="1">
      <c r="A87" s="924" t="s">
        <v>1217</v>
      </c>
      <c r="B87" s="925"/>
      <c r="C87" s="925"/>
      <c r="D87" s="925"/>
      <c r="E87" s="925"/>
      <c r="F87" s="925"/>
      <c r="G87" s="926"/>
      <c r="H87" s="1023" t="s">
        <v>1218</v>
      </c>
      <c r="I87" s="1024"/>
      <c r="J87" s="1023"/>
      <c r="K87" s="1025"/>
      <c r="L87" s="927">
        <v>3.65</v>
      </c>
      <c r="M87" s="928">
        <v>3.8</v>
      </c>
      <c r="N87" s="928">
        <v>4.58</v>
      </c>
      <c r="O87" s="928">
        <v>5.37</v>
      </c>
      <c r="P87" s="928">
        <v>7.57</v>
      </c>
      <c r="Q87" s="928">
        <v>9.2100000000000009</v>
      </c>
      <c r="R87" s="928">
        <v>10.66</v>
      </c>
      <c r="S87" s="928">
        <v>10.8</v>
      </c>
      <c r="T87" s="928">
        <v>8.84</v>
      </c>
      <c r="U87" s="928">
        <v>7</v>
      </c>
      <c r="V87" s="928">
        <v>5</v>
      </c>
      <c r="W87" s="929">
        <v>4.0999999999999996</v>
      </c>
      <c r="X87" s="930">
        <v>6.78</v>
      </c>
    </row>
    <row r="88" spans="1:24" ht="15" customHeight="1" thickBot="1">
      <c r="A88" s="910"/>
      <c r="B88" s="1028"/>
      <c r="C88" s="1028"/>
      <c r="D88" s="1028"/>
      <c r="E88" s="1028"/>
      <c r="F88" s="1028"/>
      <c r="G88" s="1028"/>
      <c r="H88" s="1032"/>
      <c r="I88" s="1032"/>
      <c r="J88" s="1032"/>
      <c r="K88" s="1032"/>
      <c r="L88" s="1037"/>
      <c r="M88" s="1038"/>
      <c r="N88" s="1038"/>
      <c r="O88" s="1038"/>
      <c r="P88" s="1038"/>
      <c r="Q88" s="1038"/>
      <c r="R88" s="1038"/>
      <c r="S88" s="1038"/>
      <c r="T88" s="1038"/>
      <c r="U88" s="1038"/>
      <c r="V88" s="1038"/>
      <c r="W88" s="1039"/>
      <c r="X88" s="1040"/>
    </row>
    <row r="89" spans="1:24" ht="15" customHeight="1" thickBot="1">
      <c r="A89" s="1031" t="s">
        <v>1225</v>
      </c>
      <c r="B89" s="1031"/>
      <c r="C89" s="1031"/>
      <c r="D89" s="1031"/>
      <c r="E89" s="1031"/>
      <c r="F89" s="1031"/>
      <c r="G89" s="1031"/>
      <c r="H89" s="1031"/>
      <c r="I89" s="1031"/>
      <c r="J89" s="1031"/>
      <c r="K89" s="1031"/>
      <c r="L89" s="884" t="s">
        <v>37</v>
      </c>
      <c r="M89" s="885" t="s">
        <v>38</v>
      </c>
      <c r="N89" s="885" t="s">
        <v>858</v>
      </c>
      <c r="O89" s="885" t="s">
        <v>39</v>
      </c>
      <c r="P89" s="885" t="s">
        <v>40</v>
      </c>
      <c r="Q89" s="885" t="s">
        <v>41</v>
      </c>
      <c r="R89" s="885" t="s">
        <v>42</v>
      </c>
      <c r="S89" s="885" t="s">
        <v>43</v>
      </c>
      <c r="T89" s="885" t="s">
        <v>44</v>
      </c>
      <c r="U89" s="885" t="s">
        <v>45</v>
      </c>
      <c r="V89" s="885" t="s">
        <v>46</v>
      </c>
      <c r="W89" s="886" t="s">
        <v>47</v>
      </c>
      <c r="X89" s="887" t="s">
        <v>352</v>
      </c>
    </row>
    <row r="90" spans="1:24" ht="15" customHeight="1" thickBot="1">
      <c r="A90" s="888" t="s">
        <v>1206</v>
      </c>
      <c r="B90" s="889"/>
      <c r="C90" s="889"/>
      <c r="D90" s="889"/>
      <c r="E90" s="889"/>
      <c r="F90" s="889"/>
      <c r="G90" s="890"/>
      <c r="H90" s="999" t="s">
        <v>3</v>
      </c>
      <c r="I90" s="1000"/>
      <c r="J90" s="891"/>
      <c r="K90" s="892"/>
      <c r="L90" s="893">
        <v>-4.7</v>
      </c>
      <c r="M90" s="894">
        <v>-4.2</v>
      </c>
      <c r="N90" s="894">
        <v>-1.1000000000000001</v>
      </c>
      <c r="O90" s="894">
        <v>1.8</v>
      </c>
      <c r="P90" s="894">
        <v>7.2</v>
      </c>
      <c r="Q90" s="894">
        <v>9.9</v>
      </c>
      <c r="R90" s="894">
        <v>12.3</v>
      </c>
      <c r="S90" s="894">
        <v>12.3</v>
      </c>
      <c r="T90" s="894">
        <v>8.4</v>
      </c>
      <c r="U90" s="894">
        <v>5.0999999999999996</v>
      </c>
      <c r="V90" s="894">
        <v>-0.7</v>
      </c>
      <c r="W90" s="895">
        <v>-3.4</v>
      </c>
      <c r="X90" s="896">
        <v>3.5750000000000002</v>
      </c>
    </row>
    <row r="91" spans="1:24" ht="15" customHeight="1">
      <c r="A91" s="897"/>
      <c r="B91" s="898"/>
      <c r="C91" s="898"/>
      <c r="D91" s="898"/>
      <c r="E91" s="898"/>
      <c r="F91" s="898"/>
      <c r="G91" s="899"/>
      <c r="H91" s="1001" t="s">
        <v>1207</v>
      </c>
      <c r="I91" s="1002"/>
      <c r="J91" s="1003" t="s">
        <v>1208</v>
      </c>
      <c r="K91" s="1004"/>
      <c r="L91" s="900">
        <v>182</v>
      </c>
      <c r="M91" s="901">
        <v>256</v>
      </c>
      <c r="N91" s="901">
        <v>429</v>
      </c>
      <c r="O91" s="901">
        <v>524</v>
      </c>
      <c r="P91" s="901">
        <v>603</v>
      </c>
      <c r="Q91" s="901">
        <v>604</v>
      </c>
      <c r="R91" s="901">
        <v>619</v>
      </c>
      <c r="S91" s="901">
        <v>544</v>
      </c>
      <c r="T91" s="901">
        <v>407</v>
      </c>
      <c r="U91" s="901">
        <v>297</v>
      </c>
      <c r="V91" s="901">
        <v>184</v>
      </c>
      <c r="W91" s="902">
        <v>145</v>
      </c>
      <c r="X91" s="903">
        <v>4793</v>
      </c>
    </row>
    <row r="92" spans="1:24" ht="15" customHeight="1">
      <c r="A92" s="904"/>
      <c r="B92" s="882"/>
      <c r="C92" s="882"/>
      <c r="D92" s="882"/>
      <c r="E92" s="882"/>
      <c r="F92" s="882"/>
      <c r="G92" s="905"/>
      <c r="H92" s="1005"/>
      <c r="I92" s="1006"/>
      <c r="J92" s="1007" t="s">
        <v>1209</v>
      </c>
      <c r="K92" s="1008"/>
      <c r="L92" s="900">
        <v>147</v>
      </c>
      <c r="M92" s="906">
        <v>218</v>
      </c>
      <c r="N92" s="906">
        <v>348</v>
      </c>
      <c r="O92" s="906">
        <v>373</v>
      </c>
      <c r="P92" s="906">
        <v>340</v>
      </c>
      <c r="Q92" s="906">
        <v>327</v>
      </c>
      <c r="R92" s="906">
        <v>335</v>
      </c>
      <c r="S92" s="906">
        <v>303</v>
      </c>
      <c r="T92" s="906">
        <v>241</v>
      </c>
      <c r="U92" s="906">
        <v>179</v>
      </c>
      <c r="V92" s="906">
        <v>130</v>
      </c>
      <c r="W92" s="907">
        <v>107</v>
      </c>
      <c r="X92" s="903">
        <v>3048</v>
      </c>
    </row>
    <row r="93" spans="1:24" ht="15" customHeight="1">
      <c r="A93" s="904" t="s">
        <v>1210</v>
      </c>
      <c r="B93" s="882"/>
      <c r="C93" s="882"/>
      <c r="D93" s="882"/>
      <c r="E93" s="882"/>
      <c r="F93" s="882"/>
      <c r="G93" s="905"/>
      <c r="H93" s="1005"/>
      <c r="I93" s="1006"/>
      <c r="J93" s="1007" t="s">
        <v>1211</v>
      </c>
      <c r="K93" s="1008"/>
      <c r="L93" s="900">
        <v>402</v>
      </c>
      <c r="M93" s="906">
        <v>450</v>
      </c>
      <c r="N93" s="906">
        <v>536</v>
      </c>
      <c r="O93" s="906">
        <v>435</v>
      </c>
      <c r="P93" s="906">
        <v>324</v>
      </c>
      <c r="Q93" s="906">
        <v>272</v>
      </c>
      <c r="R93" s="906">
        <v>297</v>
      </c>
      <c r="S93" s="906">
        <v>340</v>
      </c>
      <c r="T93" s="906">
        <v>360</v>
      </c>
      <c r="U93" s="906">
        <v>394</v>
      </c>
      <c r="V93" s="906">
        <v>342</v>
      </c>
      <c r="W93" s="907">
        <v>327</v>
      </c>
      <c r="X93" s="903">
        <v>4479</v>
      </c>
    </row>
    <row r="94" spans="1:24" ht="15" customHeight="1">
      <c r="A94" s="904"/>
      <c r="B94" s="882"/>
      <c r="C94" s="882"/>
      <c r="D94" s="882"/>
      <c r="E94" s="882"/>
      <c r="F94" s="882"/>
      <c r="G94" s="905"/>
      <c r="H94" s="1005"/>
      <c r="I94" s="1006"/>
      <c r="J94" s="1007" t="s">
        <v>592</v>
      </c>
      <c r="K94" s="1008"/>
      <c r="L94" s="908">
        <v>166</v>
      </c>
      <c r="M94" s="906">
        <v>225</v>
      </c>
      <c r="N94" s="906">
        <v>329</v>
      </c>
      <c r="O94" s="906">
        <v>329</v>
      </c>
      <c r="P94" s="906">
        <v>276</v>
      </c>
      <c r="Q94" s="906">
        <v>259</v>
      </c>
      <c r="R94" s="906">
        <v>265</v>
      </c>
      <c r="S94" s="906">
        <v>244</v>
      </c>
      <c r="T94" s="906">
        <v>205</v>
      </c>
      <c r="U94" s="906">
        <v>171</v>
      </c>
      <c r="V94" s="906">
        <v>135</v>
      </c>
      <c r="W94" s="907">
        <v>129</v>
      </c>
      <c r="X94" s="903">
        <v>2733</v>
      </c>
    </row>
    <row r="95" spans="1:24" ht="15" customHeight="1" thickBot="1">
      <c r="A95" s="909"/>
      <c r="B95" s="910"/>
      <c r="C95" s="910"/>
      <c r="D95" s="910"/>
      <c r="E95" s="910"/>
      <c r="F95" s="910"/>
      <c r="G95" s="911"/>
      <c r="H95" s="1009"/>
      <c r="I95" s="1010"/>
      <c r="J95" s="1011" t="s">
        <v>1212</v>
      </c>
      <c r="K95" s="1012"/>
      <c r="L95" s="912">
        <v>94</v>
      </c>
      <c r="M95" s="913">
        <v>131</v>
      </c>
      <c r="N95" s="913">
        <v>196</v>
      </c>
      <c r="O95" s="913">
        <v>202</v>
      </c>
      <c r="P95" s="913">
        <v>161</v>
      </c>
      <c r="Q95" s="913">
        <v>158</v>
      </c>
      <c r="R95" s="913">
        <v>150</v>
      </c>
      <c r="S95" s="913">
        <v>123</v>
      </c>
      <c r="T95" s="913">
        <v>96</v>
      </c>
      <c r="U95" s="913">
        <v>78</v>
      </c>
      <c r="V95" s="913">
        <v>73</v>
      </c>
      <c r="W95" s="914">
        <v>72</v>
      </c>
      <c r="X95" s="915">
        <v>1533</v>
      </c>
    </row>
    <row r="96" spans="1:24" ht="15" customHeight="1" thickBot="1">
      <c r="A96" s="888" t="s">
        <v>1213</v>
      </c>
      <c r="B96" s="889"/>
      <c r="C96" s="889"/>
      <c r="D96" s="889"/>
      <c r="E96" s="889"/>
      <c r="F96" s="889"/>
      <c r="G96" s="890"/>
      <c r="H96" s="999" t="s">
        <v>1214</v>
      </c>
      <c r="I96" s="1000"/>
      <c r="J96" s="999"/>
      <c r="K96" s="1013"/>
      <c r="L96" s="916">
        <v>55</v>
      </c>
      <c r="M96" s="917">
        <v>69</v>
      </c>
      <c r="N96" s="917">
        <v>64</v>
      </c>
      <c r="O96" s="917">
        <v>62</v>
      </c>
      <c r="P96" s="917">
        <v>82</v>
      </c>
      <c r="Q96" s="917">
        <v>138</v>
      </c>
      <c r="R96" s="917">
        <v>144</v>
      </c>
      <c r="S96" s="917">
        <v>147</v>
      </c>
      <c r="T96" s="917">
        <v>98</v>
      </c>
      <c r="U96" s="917">
        <v>66</v>
      </c>
      <c r="V96" s="917">
        <v>75</v>
      </c>
      <c r="W96" s="918">
        <v>62</v>
      </c>
      <c r="X96" s="919">
        <v>1062</v>
      </c>
    </row>
    <row r="97" spans="1:24" ht="15" customHeight="1">
      <c r="A97" s="897" t="s">
        <v>1217</v>
      </c>
      <c r="B97" s="1026"/>
      <c r="C97" s="1026"/>
      <c r="D97" s="1026"/>
      <c r="E97" s="1026"/>
      <c r="F97" s="1026"/>
      <c r="G97" s="1002"/>
      <c r="H97" s="886" t="s">
        <v>1216</v>
      </c>
      <c r="I97" s="1017"/>
      <c r="J97" s="886"/>
      <c r="K97" s="1018"/>
      <c r="L97" s="931">
        <v>2.5099999999999998</v>
      </c>
      <c r="M97" s="932">
        <v>2.5499999999999998</v>
      </c>
      <c r="N97" s="932">
        <v>3.07</v>
      </c>
      <c r="O97" s="932">
        <v>3.65</v>
      </c>
      <c r="P97" s="932">
        <v>5.26</v>
      </c>
      <c r="Q97" s="932">
        <v>6.54</v>
      </c>
      <c r="R97" s="932">
        <v>7.69</v>
      </c>
      <c r="S97" s="932">
        <v>7.82</v>
      </c>
      <c r="T97" s="932">
        <v>6.21</v>
      </c>
      <c r="U97" s="932">
        <v>4.84</v>
      </c>
      <c r="V97" s="932">
        <v>3.45</v>
      </c>
      <c r="W97" s="933">
        <v>2.84</v>
      </c>
      <c r="X97" s="934">
        <v>4.7024999999999997</v>
      </c>
    </row>
    <row r="98" spans="1:24" ht="15" customHeight="1" thickBot="1">
      <c r="A98" s="1027"/>
      <c r="B98" s="1028"/>
      <c r="C98" s="1028"/>
      <c r="D98" s="1028"/>
      <c r="E98" s="1028"/>
      <c r="F98" s="1028"/>
      <c r="G98" s="1010"/>
      <c r="H98" s="1023" t="s">
        <v>1218</v>
      </c>
      <c r="I98" s="1024"/>
      <c r="J98" s="1023"/>
      <c r="K98" s="1025"/>
      <c r="L98" s="927">
        <v>2.72</v>
      </c>
      <c r="M98" s="928">
        <v>2.76</v>
      </c>
      <c r="N98" s="928">
        <v>3.28</v>
      </c>
      <c r="O98" s="928">
        <v>3.86</v>
      </c>
      <c r="P98" s="928">
        <v>5.45</v>
      </c>
      <c r="Q98" s="928">
        <v>6.7</v>
      </c>
      <c r="R98" s="928">
        <v>7.81</v>
      </c>
      <c r="S98" s="928">
        <v>7.94</v>
      </c>
      <c r="T98" s="928">
        <v>6.4</v>
      </c>
      <c r="U98" s="928">
        <v>5.05</v>
      </c>
      <c r="V98" s="928">
        <v>3.68</v>
      </c>
      <c r="W98" s="929">
        <v>3.06</v>
      </c>
      <c r="X98" s="930">
        <v>4.9400000000000004</v>
      </c>
    </row>
    <row r="99" spans="1:24" ht="15" customHeight="1" thickBot="1">
      <c r="A99" s="910"/>
      <c r="B99" s="1028"/>
      <c r="C99" s="1028"/>
      <c r="D99" s="1028"/>
      <c r="E99" s="1028"/>
      <c r="F99" s="1028"/>
      <c r="G99" s="1028"/>
      <c r="H99" s="1032"/>
      <c r="I99" s="1032"/>
      <c r="J99" s="1032"/>
      <c r="K99" s="1032"/>
      <c r="L99" s="1037"/>
      <c r="M99" s="1038"/>
      <c r="N99" s="1038"/>
      <c r="O99" s="1038"/>
      <c r="P99" s="1038"/>
      <c r="Q99" s="1038"/>
      <c r="R99" s="1038"/>
      <c r="S99" s="1038"/>
      <c r="T99" s="1038"/>
      <c r="U99" s="1038"/>
      <c r="V99" s="1038"/>
      <c r="W99" s="1039"/>
      <c r="X99" s="1040"/>
    </row>
    <row r="100" spans="1:24" ht="15" customHeight="1" thickBot="1">
      <c r="A100" s="1031" t="s">
        <v>1226</v>
      </c>
      <c r="B100" s="1031"/>
      <c r="C100" s="1031"/>
      <c r="D100" s="1031"/>
      <c r="E100" s="1031"/>
      <c r="F100" s="1031"/>
      <c r="G100" s="1031"/>
      <c r="H100" s="1031"/>
      <c r="I100" s="1031"/>
      <c r="J100" s="1031"/>
      <c r="K100" s="1031"/>
      <c r="L100" s="884" t="s">
        <v>37</v>
      </c>
      <c r="M100" s="885" t="s">
        <v>38</v>
      </c>
      <c r="N100" s="885" t="s">
        <v>858</v>
      </c>
      <c r="O100" s="885" t="s">
        <v>39</v>
      </c>
      <c r="P100" s="885" t="s">
        <v>40</v>
      </c>
      <c r="Q100" s="885" t="s">
        <v>41</v>
      </c>
      <c r="R100" s="885" t="s">
        <v>42</v>
      </c>
      <c r="S100" s="885" t="s">
        <v>43</v>
      </c>
      <c r="T100" s="885" t="s">
        <v>44</v>
      </c>
      <c r="U100" s="885" t="s">
        <v>45</v>
      </c>
      <c r="V100" s="885" t="s">
        <v>46</v>
      </c>
      <c r="W100" s="886" t="s">
        <v>47</v>
      </c>
      <c r="X100" s="887" t="s">
        <v>352</v>
      </c>
    </row>
    <row r="101" spans="1:24" ht="15" customHeight="1" thickBot="1">
      <c r="A101" s="888" t="s">
        <v>1206</v>
      </c>
      <c r="B101" s="889"/>
      <c r="C101" s="889"/>
      <c r="D101" s="889"/>
      <c r="E101" s="889"/>
      <c r="F101" s="889"/>
      <c r="G101" s="890"/>
      <c r="H101" s="999" t="s">
        <v>3</v>
      </c>
      <c r="I101" s="1000"/>
      <c r="J101" s="891"/>
      <c r="K101" s="892"/>
      <c r="L101" s="893">
        <v>-1.1000000000000001</v>
      </c>
      <c r="M101" s="894">
        <v>-0.8</v>
      </c>
      <c r="N101" s="894">
        <v>2.2000000000000002</v>
      </c>
      <c r="O101" s="894">
        <v>4.9000000000000004</v>
      </c>
      <c r="P101" s="894">
        <v>10.199999999999999</v>
      </c>
      <c r="Q101" s="894">
        <v>12.9</v>
      </c>
      <c r="R101" s="894">
        <v>15.3</v>
      </c>
      <c r="S101" s="894">
        <v>15.3</v>
      </c>
      <c r="T101" s="894">
        <v>11.3</v>
      </c>
      <c r="U101" s="894">
        <v>8</v>
      </c>
      <c r="V101" s="894">
        <v>2.2999999999999998</v>
      </c>
      <c r="W101" s="895">
        <v>-0.1</v>
      </c>
      <c r="X101" s="896">
        <v>6.7</v>
      </c>
    </row>
    <row r="102" spans="1:24" ht="15" customHeight="1">
      <c r="A102" s="897"/>
      <c r="B102" s="898"/>
      <c r="C102" s="898"/>
      <c r="D102" s="898"/>
      <c r="E102" s="898"/>
      <c r="F102" s="898"/>
      <c r="G102" s="899"/>
      <c r="H102" s="1001" t="s">
        <v>1207</v>
      </c>
      <c r="I102" s="1002"/>
      <c r="J102" s="1003" t="s">
        <v>1208</v>
      </c>
      <c r="K102" s="1004"/>
      <c r="L102" s="900">
        <v>161</v>
      </c>
      <c r="M102" s="901">
        <v>235</v>
      </c>
      <c r="N102" s="901">
        <v>404</v>
      </c>
      <c r="O102" s="901">
        <v>469</v>
      </c>
      <c r="P102" s="901">
        <v>552</v>
      </c>
      <c r="Q102" s="901">
        <v>588</v>
      </c>
      <c r="R102" s="901">
        <v>611</v>
      </c>
      <c r="S102" s="901">
        <v>533</v>
      </c>
      <c r="T102" s="901">
        <v>391</v>
      </c>
      <c r="U102" s="901">
        <v>265</v>
      </c>
      <c r="V102" s="901">
        <v>158</v>
      </c>
      <c r="W102" s="902">
        <v>129</v>
      </c>
      <c r="X102" s="903">
        <v>4496</v>
      </c>
    </row>
    <row r="103" spans="1:24" ht="15" customHeight="1">
      <c r="A103" s="904"/>
      <c r="B103" s="882"/>
      <c r="C103" s="882"/>
      <c r="D103" s="882"/>
      <c r="E103" s="882"/>
      <c r="F103" s="882"/>
      <c r="G103" s="905"/>
      <c r="H103" s="1005"/>
      <c r="I103" s="1006"/>
      <c r="J103" s="1007" t="s">
        <v>1209</v>
      </c>
      <c r="K103" s="1008"/>
      <c r="L103" s="900">
        <v>107</v>
      </c>
      <c r="M103" s="906">
        <v>174</v>
      </c>
      <c r="N103" s="906">
        <v>289</v>
      </c>
      <c r="O103" s="906">
        <v>298</v>
      </c>
      <c r="P103" s="906">
        <v>313</v>
      </c>
      <c r="Q103" s="906">
        <v>327</v>
      </c>
      <c r="R103" s="906">
        <v>348</v>
      </c>
      <c r="S103" s="906">
        <v>321</v>
      </c>
      <c r="T103" s="906">
        <v>226</v>
      </c>
      <c r="U103" s="906">
        <v>131</v>
      </c>
      <c r="V103" s="906">
        <v>86</v>
      </c>
      <c r="W103" s="907">
        <v>80</v>
      </c>
      <c r="X103" s="903">
        <v>2701</v>
      </c>
    </row>
    <row r="104" spans="1:24" ht="15" customHeight="1">
      <c r="A104" s="904" t="s">
        <v>1210</v>
      </c>
      <c r="B104" s="882"/>
      <c r="C104" s="882"/>
      <c r="D104" s="882"/>
      <c r="E104" s="882"/>
      <c r="F104" s="882"/>
      <c r="G104" s="905"/>
      <c r="H104" s="1005"/>
      <c r="I104" s="1006"/>
      <c r="J104" s="1007" t="s">
        <v>1211</v>
      </c>
      <c r="K104" s="1008"/>
      <c r="L104" s="900">
        <v>321</v>
      </c>
      <c r="M104" s="906">
        <v>392</v>
      </c>
      <c r="N104" s="906">
        <v>474</v>
      </c>
      <c r="O104" s="906">
        <v>345</v>
      </c>
      <c r="P104" s="906">
        <v>281</v>
      </c>
      <c r="Q104" s="906">
        <v>259</v>
      </c>
      <c r="R104" s="906">
        <v>292</v>
      </c>
      <c r="S104" s="906">
        <v>329</v>
      </c>
      <c r="T104" s="906">
        <v>340</v>
      </c>
      <c r="U104" s="906">
        <v>324</v>
      </c>
      <c r="V104" s="906">
        <v>264</v>
      </c>
      <c r="W104" s="907">
        <v>260</v>
      </c>
      <c r="X104" s="903">
        <v>3882</v>
      </c>
    </row>
    <row r="105" spans="1:24" ht="15" customHeight="1">
      <c r="A105" s="904"/>
      <c r="B105" s="882"/>
      <c r="C105" s="882"/>
      <c r="D105" s="882"/>
      <c r="E105" s="882"/>
      <c r="F105" s="882"/>
      <c r="G105" s="905"/>
      <c r="H105" s="1005"/>
      <c r="I105" s="1006"/>
      <c r="J105" s="1007" t="s">
        <v>592</v>
      </c>
      <c r="K105" s="1008"/>
      <c r="L105" s="908">
        <v>142</v>
      </c>
      <c r="M105" s="906">
        <v>198</v>
      </c>
      <c r="N105" s="906">
        <v>279</v>
      </c>
      <c r="O105" s="906">
        <v>241</v>
      </c>
      <c r="P105" s="906">
        <v>228</v>
      </c>
      <c r="Q105" s="906">
        <v>233</v>
      </c>
      <c r="R105" s="906">
        <v>241</v>
      </c>
      <c r="S105" s="906">
        <v>217</v>
      </c>
      <c r="T105" s="906">
        <v>176</v>
      </c>
      <c r="U105" s="906">
        <v>139</v>
      </c>
      <c r="V105" s="906">
        <v>106</v>
      </c>
      <c r="W105" s="907">
        <v>110</v>
      </c>
      <c r="X105" s="903">
        <v>2311</v>
      </c>
    </row>
    <row r="106" spans="1:24" ht="15" customHeight="1" thickBot="1">
      <c r="A106" s="909"/>
      <c r="B106" s="910"/>
      <c r="C106" s="910"/>
      <c r="D106" s="910"/>
      <c r="E106" s="910"/>
      <c r="F106" s="910"/>
      <c r="G106" s="911"/>
      <c r="H106" s="1009"/>
      <c r="I106" s="1010"/>
      <c r="J106" s="1011" t="s">
        <v>1212</v>
      </c>
      <c r="K106" s="1012"/>
      <c r="L106" s="912">
        <v>83</v>
      </c>
      <c r="M106" s="913">
        <v>123</v>
      </c>
      <c r="N106" s="913">
        <v>166</v>
      </c>
      <c r="O106" s="913">
        <v>143</v>
      </c>
      <c r="P106" s="913">
        <v>134</v>
      </c>
      <c r="Q106" s="913">
        <v>143</v>
      </c>
      <c r="R106" s="913">
        <v>142</v>
      </c>
      <c r="S106" s="913">
        <v>118</v>
      </c>
      <c r="T106" s="913">
        <v>83</v>
      </c>
      <c r="U106" s="913">
        <v>62</v>
      </c>
      <c r="V106" s="913">
        <v>57</v>
      </c>
      <c r="W106" s="914">
        <v>62</v>
      </c>
      <c r="X106" s="915">
        <v>1314</v>
      </c>
    </row>
    <row r="107" spans="1:24" ht="15" customHeight="1" thickBot="1">
      <c r="A107" s="888" t="s">
        <v>1213</v>
      </c>
      <c r="B107" s="889"/>
      <c r="C107" s="889"/>
      <c r="D107" s="889"/>
      <c r="E107" s="889"/>
      <c r="F107" s="889"/>
      <c r="G107" s="890"/>
      <c r="H107" s="999" t="s">
        <v>1214</v>
      </c>
      <c r="I107" s="1000"/>
      <c r="J107" s="999"/>
      <c r="K107" s="1013"/>
      <c r="L107" s="916">
        <v>59</v>
      </c>
      <c r="M107" s="917">
        <v>69</v>
      </c>
      <c r="N107" s="917">
        <v>68</v>
      </c>
      <c r="O107" s="917">
        <v>97</v>
      </c>
      <c r="P107" s="917">
        <v>103</v>
      </c>
      <c r="Q107" s="917">
        <v>115</v>
      </c>
      <c r="R107" s="917">
        <v>119</v>
      </c>
      <c r="S107" s="917">
        <v>114</v>
      </c>
      <c r="T107" s="917">
        <v>116</v>
      </c>
      <c r="U107" s="917">
        <v>93</v>
      </c>
      <c r="V107" s="917">
        <v>111</v>
      </c>
      <c r="W107" s="918">
        <v>65</v>
      </c>
      <c r="X107" s="919">
        <v>1129</v>
      </c>
    </row>
    <row r="108" spans="1:24" ht="15" customHeight="1">
      <c r="A108" s="1014" t="s">
        <v>1215</v>
      </c>
      <c r="B108" s="1015"/>
      <c r="C108" s="1015"/>
      <c r="D108" s="1015"/>
      <c r="E108" s="1015"/>
      <c r="F108" s="1015"/>
      <c r="G108" s="1016"/>
      <c r="H108" s="886" t="s">
        <v>1216</v>
      </c>
      <c r="I108" s="1017"/>
      <c r="J108" s="886"/>
      <c r="K108" s="1018"/>
      <c r="L108" s="931">
        <v>2.66</v>
      </c>
      <c r="M108" s="932">
        <v>2.75</v>
      </c>
      <c r="N108" s="932">
        <v>3.35</v>
      </c>
      <c r="O108" s="932">
        <v>4.05</v>
      </c>
      <c r="P108" s="932">
        <v>5.75</v>
      </c>
      <c r="Q108" s="932">
        <v>7.11</v>
      </c>
      <c r="R108" s="932">
        <v>8.4</v>
      </c>
      <c r="S108" s="932">
        <v>8.51</v>
      </c>
      <c r="T108" s="932">
        <v>6.82</v>
      </c>
      <c r="U108" s="932">
        <v>5.35</v>
      </c>
      <c r="V108" s="932">
        <v>3.76</v>
      </c>
      <c r="W108" s="933">
        <v>3.02</v>
      </c>
      <c r="X108" s="934">
        <v>5.1275000000000004</v>
      </c>
    </row>
    <row r="109" spans="1:24" ht="15" customHeight="1" thickBot="1">
      <c r="A109" s="924" t="s">
        <v>1217</v>
      </c>
      <c r="B109" s="925"/>
      <c r="C109" s="925"/>
      <c r="D109" s="925"/>
      <c r="E109" s="925"/>
      <c r="F109" s="925"/>
      <c r="G109" s="926"/>
      <c r="H109" s="1019" t="s">
        <v>1218</v>
      </c>
      <c r="I109" s="1020"/>
      <c r="J109" s="1019"/>
      <c r="K109" s="1021"/>
      <c r="L109" s="927">
        <v>2.99</v>
      </c>
      <c r="M109" s="928">
        <v>3.08</v>
      </c>
      <c r="N109" s="928">
        <v>3.71</v>
      </c>
      <c r="O109" s="928">
        <v>4.4400000000000004</v>
      </c>
      <c r="P109" s="928">
        <v>6.19</v>
      </c>
      <c r="Q109" s="928">
        <v>7.57</v>
      </c>
      <c r="R109" s="928">
        <v>8.86</v>
      </c>
      <c r="S109" s="928">
        <v>8.98</v>
      </c>
      <c r="T109" s="928">
        <v>7.3</v>
      </c>
      <c r="U109" s="928">
        <v>5.8</v>
      </c>
      <c r="V109" s="928">
        <v>4.17</v>
      </c>
      <c r="W109" s="929">
        <v>3.38</v>
      </c>
      <c r="X109" s="930">
        <v>5.59</v>
      </c>
    </row>
    <row r="110" spans="1:24" ht="15" customHeight="1" thickBot="1">
      <c r="A110" s="910"/>
      <c r="B110" s="1028"/>
      <c r="C110" s="1028"/>
      <c r="D110" s="1028"/>
      <c r="E110" s="1028"/>
      <c r="F110" s="1028"/>
      <c r="G110" s="1028"/>
      <c r="H110" s="1032"/>
      <c r="I110" s="1032"/>
      <c r="J110" s="1032"/>
      <c r="K110" s="1032"/>
      <c r="L110" s="1037"/>
      <c r="M110" s="1038"/>
      <c r="N110" s="1038"/>
      <c r="O110" s="1038"/>
      <c r="P110" s="1038"/>
      <c r="Q110" s="1038"/>
      <c r="R110" s="1038"/>
      <c r="S110" s="1038"/>
      <c r="T110" s="1038"/>
      <c r="U110" s="1038"/>
      <c r="V110" s="1038"/>
      <c r="W110" s="1039"/>
      <c r="X110" s="1040"/>
    </row>
    <row r="111" spans="1:24" ht="15" customHeight="1" thickBot="1">
      <c r="A111" s="1031" t="s">
        <v>1227</v>
      </c>
      <c r="B111" s="1031"/>
      <c r="C111" s="1031"/>
      <c r="D111" s="1031"/>
      <c r="E111" s="1031"/>
      <c r="F111" s="1031"/>
      <c r="G111" s="1031"/>
      <c r="H111" s="1031"/>
      <c r="I111" s="1031"/>
      <c r="J111" s="1031"/>
      <c r="K111" s="1031"/>
      <c r="L111" s="884" t="s">
        <v>37</v>
      </c>
      <c r="M111" s="885" t="s">
        <v>38</v>
      </c>
      <c r="N111" s="885" t="s">
        <v>858</v>
      </c>
      <c r="O111" s="885" t="s">
        <v>39</v>
      </c>
      <c r="P111" s="885" t="s">
        <v>40</v>
      </c>
      <c r="Q111" s="885" t="s">
        <v>41</v>
      </c>
      <c r="R111" s="885" t="s">
        <v>42</v>
      </c>
      <c r="S111" s="885" t="s">
        <v>43</v>
      </c>
      <c r="T111" s="885" t="s">
        <v>44</v>
      </c>
      <c r="U111" s="885" t="s">
        <v>45</v>
      </c>
      <c r="V111" s="885" t="s">
        <v>46</v>
      </c>
      <c r="W111" s="886" t="s">
        <v>47</v>
      </c>
      <c r="X111" s="887" t="s">
        <v>352</v>
      </c>
    </row>
    <row r="112" spans="1:24" ht="15" customHeight="1" thickBot="1">
      <c r="A112" s="888" t="s">
        <v>1206</v>
      </c>
      <c r="B112" s="889"/>
      <c r="C112" s="889"/>
      <c r="D112" s="889"/>
      <c r="E112" s="889"/>
      <c r="F112" s="889"/>
      <c r="G112" s="890"/>
      <c r="H112" s="999" t="s">
        <v>3</v>
      </c>
      <c r="I112" s="1000"/>
      <c r="J112" s="891"/>
      <c r="K112" s="892"/>
      <c r="L112" s="893">
        <v>-2</v>
      </c>
      <c r="M112" s="894">
        <v>-1.1000000000000001</v>
      </c>
      <c r="N112" s="894">
        <v>2.2000000000000002</v>
      </c>
      <c r="O112" s="894">
        <v>5.0999999999999996</v>
      </c>
      <c r="P112" s="894">
        <v>10.199999999999999</v>
      </c>
      <c r="Q112" s="894">
        <v>12.7</v>
      </c>
      <c r="R112" s="894">
        <v>14.9</v>
      </c>
      <c r="S112" s="894">
        <v>14.9</v>
      </c>
      <c r="T112" s="894">
        <v>11</v>
      </c>
      <c r="U112" s="894">
        <v>7.5</v>
      </c>
      <c r="V112" s="894">
        <v>1.8</v>
      </c>
      <c r="W112" s="895">
        <v>-0.7</v>
      </c>
      <c r="X112" s="896">
        <v>6.375</v>
      </c>
    </row>
    <row r="113" spans="1:24" ht="15" customHeight="1">
      <c r="A113" s="897"/>
      <c r="B113" s="898"/>
      <c r="C113" s="898"/>
      <c r="D113" s="898"/>
      <c r="E113" s="898"/>
      <c r="F113" s="898"/>
      <c r="G113" s="899"/>
      <c r="H113" s="1001" t="s">
        <v>1207</v>
      </c>
      <c r="I113" s="1002"/>
      <c r="J113" s="1003" t="s">
        <v>1208</v>
      </c>
      <c r="K113" s="1004"/>
      <c r="L113" s="900">
        <v>121</v>
      </c>
      <c r="M113" s="901">
        <v>203</v>
      </c>
      <c r="N113" s="901">
        <v>354</v>
      </c>
      <c r="O113" s="901">
        <v>435</v>
      </c>
      <c r="P113" s="901">
        <v>538</v>
      </c>
      <c r="Q113" s="901">
        <v>537</v>
      </c>
      <c r="R113" s="901">
        <v>536</v>
      </c>
      <c r="S113" s="901">
        <v>471</v>
      </c>
      <c r="T113" s="901">
        <v>345</v>
      </c>
      <c r="U113" s="901">
        <v>241</v>
      </c>
      <c r="V113" s="901">
        <v>132</v>
      </c>
      <c r="W113" s="902">
        <v>86</v>
      </c>
      <c r="X113" s="903">
        <v>3998</v>
      </c>
    </row>
    <row r="114" spans="1:24" ht="15" customHeight="1">
      <c r="A114" s="904"/>
      <c r="B114" s="882"/>
      <c r="C114" s="882"/>
      <c r="D114" s="882"/>
      <c r="E114" s="882"/>
      <c r="F114" s="882"/>
      <c r="G114" s="905"/>
      <c r="H114" s="1005"/>
      <c r="I114" s="1006"/>
      <c r="J114" s="1007" t="s">
        <v>1209</v>
      </c>
      <c r="K114" s="1008"/>
      <c r="L114" s="900">
        <v>64</v>
      </c>
      <c r="M114" s="906">
        <v>145</v>
      </c>
      <c r="N114" s="906">
        <v>228</v>
      </c>
      <c r="O114" s="906">
        <v>231</v>
      </c>
      <c r="P114" s="906">
        <v>249</v>
      </c>
      <c r="Q114" s="906">
        <v>267</v>
      </c>
      <c r="R114" s="906">
        <v>262</v>
      </c>
      <c r="S114" s="906">
        <v>236</v>
      </c>
      <c r="T114" s="906">
        <v>181</v>
      </c>
      <c r="U114" s="906">
        <v>131</v>
      </c>
      <c r="V114" s="906">
        <v>65</v>
      </c>
      <c r="W114" s="907">
        <v>37</v>
      </c>
      <c r="X114" s="903">
        <v>2097</v>
      </c>
    </row>
    <row r="115" spans="1:24" ht="15" customHeight="1">
      <c r="A115" s="904" t="s">
        <v>1210</v>
      </c>
      <c r="B115" s="882"/>
      <c r="C115" s="882"/>
      <c r="D115" s="882"/>
      <c r="E115" s="882"/>
      <c r="F115" s="882"/>
      <c r="G115" s="905"/>
      <c r="H115" s="1005"/>
      <c r="I115" s="1006"/>
      <c r="J115" s="1007" t="s">
        <v>1211</v>
      </c>
      <c r="K115" s="1008"/>
      <c r="L115" s="900">
        <v>177</v>
      </c>
      <c r="M115" s="906">
        <v>302</v>
      </c>
      <c r="N115" s="906">
        <v>380</v>
      </c>
      <c r="O115" s="906">
        <v>308</v>
      </c>
      <c r="P115" s="906">
        <v>273</v>
      </c>
      <c r="Q115" s="906">
        <v>233</v>
      </c>
      <c r="R115" s="906">
        <v>254</v>
      </c>
      <c r="S115" s="906">
        <v>287</v>
      </c>
      <c r="T115" s="906">
        <v>285</v>
      </c>
      <c r="U115" s="906">
        <v>279</v>
      </c>
      <c r="V115" s="906">
        <v>176</v>
      </c>
      <c r="W115" s="907">
        <v>104</v>
      </c>
      <c r="X115" s="903">
        <v>3060</v>
      </c>
    </row>
    <row r="116" spans="1:24" ht="15" customHeight="1">
      <c r="A116" s="904"/>
      <c r="B116" s="882"/>
      <c r="C116" s="882"/>
      <c r="D116" s="882"/>
      <c r="E116" s="882"/>
      <c r="F116" s="882"/>
      <c r="G116" s="905"/>
      <c r="H116" s="1005"/>
      <c r="I116" s="1006"/>
      <c r="J116" s="1007" t="s">
        <v>592</v>
      </c>
      <c r="K116" s="1008"/>
      <c r="L116" s="908">
        <v>72</v>
      </c>
      <c r="M116" s="906">
        <v>128</v>
      </c>
      <c r="N116" s="906">
        <v>206</v>
      </c>
      <c r="O116" s="906">
        <v>220</v>
      </c>
      <c r="P116" s="906">
        <v>238</v>
      </c>
      <c r="Q116" s="906">
        <v>215</v>
      </c>
      <c r="R116" s="906">
        <v>214</v>
      </c>
      <c r="S116" s="906">
        <v>198</v>
      </c>
      <c r="T116" s="906">
        <v>148</v>
      </c>
      <c r="U116" s="906">
        <v>110</v>
      </c>
      <c r="V116" s="906">
        <v>62</v>
      </c>
      <c r="W116" s="907">
        <v>48</v>
      </c>
      <c r="X116" s="903">
        <v>1861</v>
      </c>
    </row>
    <row r="117" spans="1:24" ht="15" customHeight="1" thickBot="1">
      <c r="A117" s="909"/>
      <c r="B117" s="910"/>
      <c r="C117" s="910"/>
      <c r="D117" s="910"/>
      <c r="E117" s="910"/>
      <c r="F117" s="910"/>
      <c r="G117" s="911"/>
      <c r="H117" s="1009"/>
      <c r="I117" s="1010"/>
      <c r="J117" s="1011" t="s">
        <v>1212</v>
      </c>
      <c r="K117" s="1012"/>
      <c r="L117" s="912">
        <v>51</v>
      </c>
      <c r="M117" s="913">
        <v>82</v>
      </c>
      <c r="N117" s="913">
        <v>121</v>
      </c>
      <c r="O117" s="913">
        <v>119</v>
      </c>
      <c r="P117" s="913">
        <v>123</v>
      </c>
      <c r="Q117" s="913">
        <v>127</v>
      </c>
      <c r="R117" s="913">
        <v>123</v>
      </c>
      <c r="S117" s="913">
        <v>104</v>
      </c>
      <c r="T117" s="913">
        <v>78</v>
      </c>
      <c r="U117" s="913">
        <v>56</v>
      </c>
      <c r="V117" s="913">
        <v>39</v>
      </c>
      <c r="W117" s="914">
        <v>32</v>
      </c>
      <c r="X117" s="915">
        <v>1056</v>
      </c>
    </row>
    <row r="118" spans="1:24" ht="15" customHeight="1" thickBot="1">
      <c r="A118" s="888" t="s">
        <v>1213</v>
      </c>
      <c r="B118" s="889"/>
      <c r="C118" s="889"/>
      <c r="D118" s="889"/>
      <c r="E118" s="889"/>
      <c r="F118" s="889"/>
      <c r="G118" s="890"/>
      <c r="H118" s="999" t="s">
        <v>1214</v>
      </c>
      <c r="I118" s="1000"/>
      <c r="J118" s="999"/>
      <c r="K118" s="1013"/>
      <c r="L118" s="916">
        <v>81</v>
      </c>
      <c r="M118" s="917">
        <v>102</v>
      </c>
      <c r="N118" s="917">
        <v>108</v>
      </c>
      <c r="O118" s="917">
        <v>125</v>
      </c>
      <c r="P118" s="917">
        <v>145</v>
      </c>
      <c r="Q118" s="917">
        <v>182</v>
      </c>
      <c r="R118" s="917">
        <v>191</v>
      </c>
      <c r="S118" s="917">
        <v>170</v>
      </c>
      <c r="T118" s="917">
        <v>133</v>
      </c>
      <c r="U118" s="917">
        <v>101</v>
      </c>
      <c r="V118" s="917">
        <v>120</v>
      </c>
      <c r="W118" s="918">
        <v>105</v>
      </c>
      <c r="X118" s="919">
        <v>1563</v>
      </c>
    </row>
    <row r="119" spans="1:24" ht="15" customHeight="1">
      <c r="A119" s="1014" t="s">
        <v>1215</v>
      </c>
      <c r="B119" s="1015"/>
      <c r="C119" s="1015"/>
      <c r="D119" s="1015"/>
      <c r="E119" s="1015"/>
      <c r="F119" s="1015"/>
      <c r="G119" s="1016"/>
      <c r="H119" s="886" t="s">
        <v>1216</v>
      </c>
      <c r="I119" s="1017"/>
      <c r="J119" s="886"/>
      <c r="K119" s="1018"/>
      <c r="L119" s="931">
        <v>2.92</v>
      </c>
      <c r="M119" s="932">
        <v>3.08</v>
      </c>
      <c r="N119" s="932">
        <v>3.74</v>
      </c>
      <c r="O119" s="932">
        <v>4.4800000000000004</v>
      </c>
      <c r="P119" s="932">
        <v>6.47</v>
      </c>
      <c r="Q119" s="932">
        <v>8</v>
      </c>
      <c r="R119" s="932">
        <v>9.35</v>
      </c>
      <c r="S119" s="932">
        <v>9.4</v>
      </c>
      <c r="T119" s="932">
        <v>7.58</v>
      </c>
      <c r="U119" s="932">
        <v>5.89</v>
      </c>
      <c r="V119" s="932">
        <v>4.04</v>
      </c>
      <c r="W119" s="933">
        <v>3.28</v>
      </c>
      <c r="X119" s="934">
        <v>5.685833333333334</v>
      </c>
    </row>
    <row r="120" spans="1:24" ht="15" customHeight="1" thickBot="1">
      <c r="A120" s="924" t="s">
        <v>1217</v>
      </c>
      <c r="B120" s="925"/>
      <c r="C120" s="925"/>
      <c r="D120" s="925"/>
      <c r="E120" s="925"/>
      <c r="F120" s="925"/>
      <c r="G120" s="926"/>
      <c r="H120" s="1019" t="s">
        <v>1218</v>
      </c>
      <c r="I120" s="1020"/>
      <c r="J120" s="1019"/>
      <c r="K120" s="1021"/>
      <c r="L120" s="927">
        <v>3.35</v>
      </c>
      <c r="M120" s="928">
        <v>3.52</v>
      </c>
      <c r="N120" s="928">
        <v>4.22</v>
      </c>
      <c r="O120" s="928">
        <v>5.01</v>
      </c>
      <c r="P120" s="928">
        <v>7.09</v>
      </c>
      <c r="Q120" s="928">
        <v>8.68</v>
      </c>
      <c r="R120" s="928">
        <v>10.06</v>
      </c>
      <c r="S120" s="928">
        <v>10.119999999999999</v>
      </c>
      <c r="T120" s="928">
        <v>8.2799999999999994</v>
      </c>
      <c r="U120" s="928">
        <v>6.52</v>
      </c>
      <c r="V120" s="928">
        <v>4.57</v>
      </c>
      <c r="W120" s="929">
        <v>3.75</v>
      </c>
      <c r="X120" s="930">
        <v>6.32</v>
      </c>
    </row>
    <row r="121" spans="1:24" ht="15" customHeight="1" thickBot="1">
      <c r="A121" s="910"/>
      <c r="B121" s="1028"/>
      <c r="C121" s="1028"/>
      <c r="D121" s="1028"/>
      <c r="E121" s="1028"/>
      <c r="F121" s="1028"/>
      <c r="G121" s="1028"/>
      <c r="H121" s="1032"/>
      <c r="I121" s="1032"/>
      <c r="J121" s="1032"/>
      <c r="K121" s="1032"/>
      <c r="L121" s="1037"/>
      <c r="M121" s="1038"/>
      <c r="N121" s="1038"/>
      <c r="O121" s="1038"/>
      <c r="P121" s="1038"/>
      <c r="Q121" s="1038"/>
      <c r="R121" s="1038"/>
      <c r="S121" s="1038"/>
      <c r="T121" s="1038"/>
      <c r="U121" s="1038"/>
      <c r="V121" s="1038"/>
      <c r="W121" s="1039"/>
      <c r="X121" s="1040"/>
    </row>
    <row r="122" spans="1:24" ht="15" customHeight="1" thickBot="1">
      <c r="A122" s="1031" t="s">
        <v>1228</v>
      </c>
      <c r="B122" s="1031"/>
      <c r="C122" s="1031"/>
      <c r="D122" s="1031"/>
      <c r="E122" s="1031"/>
      <c r="F122" s="1031"/>
      <c r="G122" s="1031"/>
      <c r="H122" s="1031"/>
      <c r="I122" s="1031"/>
      <c r="J122" s="1031"/>
      <c r="K122" s="1031"/>
      <c r="L122" s="884" t="s">
        <v>37</v>
      </c>
      <c r="M122" s="885" t="s">
        <v>38</v>
      </c>
      <c r="N122" s="885" t="s">
        <v>858</v>
      </c>
      <c r="O122" s="885" t="s">
        <v>39</v>
      </c>
      <c r="P122" s="885" t="s">
        <v>40</v>
      </c>
      <c r="Q122" s="885" t="s">
        <v>41</v>
      </c>
      <c r="R122" s="885" t="s">
        <v>42</v>
      </c>
      <c r="S122" s="885" t="s">
        <v>43</v>
      </c>
      <c r="T122" s="885" t="s">
        <v>44</v>
      </c>
      <c r="U122" s="885" t="s">
        <v>45</v>
      </c>
      <c r="V122" s="885" t="s">
        <v>46</v>
      </c>
      <c r="W122" s="886" t="s">
        <v>47</v>
      </c>
      <c r="X122" s="887" t="s">
        <v>352</v>
      </c>
    </row>
    <row r="123" spans="1:24" ht="15" customHeight="1" thickBot="1">
      <c r="A123" s="888" t="s">
        <v>1206</v>
      </c>
      <c r="B123" s="889"/>
      <c r="C123" s="889"/>
      <c r="D123" s="889"/>
      <c r="E123" s="889"/>
      <c r="F123" s="889"/>
      <c r="G123" s="890"/>
      <c r="H123" s="999" t="s">
        <v>3</v>
      </c>
      <c r="I123" s="1000"/>
      <c r="J123" s="891"/>
      <c r="K123" s="892"/>
      <c r="L123" s="893">
        <v>1.7</v>
      </c>
      <c r="M123" s="894">
        <v>2.9</v>
      </c>
      <c r="N123" s="894">
        <v>6.5</v>
      </c>
      <c r="O123" s="894">
        <v>9.4</v>
      </c>
      <c r="P123" s="894">
        <v>14.4</v>
      </c>
      <c r="Q123" s="894">
        <v>17.600000000000001</v>
      </c>
      <c r="R123" s="894">
        <v>20.2</v>
      </c>
      <c r="S123" s="894">
        <v>20</v>
      </c>
      <c r="T123" s="894">
        <v>15.4</v>
      </c>
      <c r="U123" s="894">
        <v>11.2</v>
      </c>
      <c r="V123" s="894">
        <v>5.6</v>
      </c>
      <c r="W123" s="895">
        <v>3.1</v>
      </c>
      <c r="X123" s="896">
        <v>10.666666666666666</v>
      </c>
    </row>
    <row r="124" spans="1:24" ht="15" customHeight="1">
      <c r="A124" s="897"/>
      <c r="B124" s="898"/>
      <c r="C124" s="898"/>
      <c r="D124" s="898"/>
      <c r="E124" s="898"/>
      <c r="F124" s="898"/>
      <c r="G124" s="899"/>
      <c r="H124" s="1001" t="s">
        <v>1207</v>
      </c>
      <c r="I124" s="1002"/>
      <c r="J124" s="1003" t="s">
        <v>1208</v>
      </c>
      <c r="K124" s="1004"/>
      <c r="L124" s="900">
        <v>107</v>
      </c>
      <c r="M124" s="901">
        <v>181</v>
      </c>
      <c r="N124" s="901">
        <v>362</v>
      </c>
      <c r="O124" s="901">
        <v>461</v>
      </c>
      <c r="P124" s="901">
        <v>592</v>
      </c>
      <c r="Q124" s="901">
        <v>643</v>
      </c>
      <c r="R124" s="901">
        <v>670</v>
      </c>
      <c r="S124" s="901">
        <v>573</v>
      </c>
      <c r="T124" s="901">
        <v>404</v>
      </c>
      <c r="U124" s="901">
        <v>246</v>
      </c>
      <c r="V124" s="901">
        <v>122</v>
      </c>
      <c r="W124" s="902">
        <v>91</v>
      </c>
      <c r="X124" s="903">
        <v>4453</v>
      </c>
    </row>
    <row r="125" spans="1:24" ht="15" customHeight="1">
      <c r="A125" s="904"/>
      <c r="B125" s="882"/>
      <c r="C125" s="882"/>
      <c r="D125" s="882"/>
      <c r="E125" s="882"/>
      <c r="F125" s="882"/>
      <c r="G125" s="905"/>
      <c r="H125" s="1005"/>
      <c r="I125" s="1006"/>
      <c r="J125" s="1007" t="s">
        <v>1209</v>
      </c>
      <c r="K125" s="1008"/>
      <c r="L125" s="900">
        <v>64</v>
      </c>
      <c r="M125" s="906">
        <v>106</v>
      </c>
      <c r="N125" s="906">
        <v>206</v>
      </c>
      <c r="O125" s="906">
        <v>259</v>
      </c>
      <c r="P125" s="906">
        <v>319</v>
      </c>
      <c r="Q125" s="906">
        <v>350</v>
      </c>
      <c r="R125" s="906">
        <v>364</v>
      </c>
      <c r="S125" s="906">
        <v>327</v>
      </c>
      <c r="T125" s="906">
        <v>226</v>
      </c>
      <c r="U125" s="906">
        <v>134</v>
      </c>
      <c r="V125" s="906">
        <v>67</v>
      </c>
      <c r="W125" s="907">
        <v>54</v>
      </c>
      <c r="X125" s="903">
        <v>2476</v>
      </c>
    </row>
    <row r="126" spans="1:24" ht="15" customHeight="1">
      <c r="A126" s="904" t="s">
        <v>1210</v>
      </c>
      <c r="B126" s="882"/>
      <c r="C126" s="882"/>
      <c r="D126" s="882"/>
      <c r="E126" s="882"/>
      <c r="F126" s="882"/>
      <c r="G126" s="905"/>
      <c r="H126" s="1005"/>
      <c r="I126" s="1006"/>
      <c r="J126" s="1007" t="s">
        <v>1211</v>
      </c>
      <c r="K126" s="1008"/>
      <c r="L126" s="900">
        <v>163</v>
      </c>
      <c r="M126" s="906">
        <v>244</v>
      </c>
      <c r="N126" s="906">
        <v>362</v>
      </c>
      <c r="O126" s="906">
        <v>319</v>
      </c>
      <c r="P126" s="906">
        <v>308</v>
      </c>
      <c r="Q126" s="906">
        <v>293</v>
      </c>
      <c r="R126" s="906">
        <v>327</v>
      </c>
      <c r="S126" s="906">
        <v>362</v>
      </c>
      <c r="T126" s="906">
        <v>355</v>
      </c>
      <c r="U126" s="906">
        <v>292</v>
      </c>
      <c r="V126" s="906">
        <v>174</v>
      </c>
      <c r="W126" s="907">
        <v>150</v>
      </c>
      <c r="X126" s="903">
        <v>3348</v>
      </c>
    </row>
    <row r="127" spans="1:24" ht="15" customHeight="1">
      <c r="A127" s="904"/>
      <c r="B127" s="882"/>
      <c r="C127" s="882"/>
      <c r="D127" s="882"/>
      <c r="E127" s="882"/>
      <c r="F127" s="882"/>
      <c r="G127" s="905"/>
      <c r="H127" s="1005"/>
      <c r="I127" s="1006"/>
      <c r="J127" s="1007" t="s">
        <v>592</v>
      </c>
      <c r="K127" s="1008"/>
      <c r="L127" s="908">
        <v>78</v>
      </c>
      <c r="M127" s="906">
        <v>126</v>
      </c>
      <c r="N127" s="906">
        <v>222</v>
      </c>
      <c r="O127" s="906">
        <v>251</v>
      </c>
      <c r="P127" s="906">
        <v>305</v>
      </c>
      <c r="Q127" s="906">
        <v>329</v>
      </c>
      <c r="R127" s="906">
        <v>354</v>
      </c>
      <c r="S127" s="906">
        <v>313</v>
      </c>
      <c r="T127" s="906">
        <v>238</v>
      </c>
      <c r="U127" s="906">
        <v>161</v>
      </c>
      <c r="V127" s="906">
        <v>83</v>
      </c>
      <c r="W127" s="907">
        <v>62</v>
      </c>
      <c r="X127" s="903">
        <v>2522</v>
      </c>
    </row>
    <row r="128" spans="1:24" ht="15" customHeight="1" thickBot="1">
      <c r="A128" s="909"/>
      <c r="B128" s="910"/>
      <c r="C128" s="910"/>
      <c r="D128" s="910"/>
      <c r="E128" s="910"/>
      <c r="F128" s="910"/>
      <c r="G128" s="911"/>
      <c r="H128" s="1009"/>
      <c r="I128" s="1010"/>
      <c r="J128" s="1011" t="s">
        <v>1212</v>
      </c>
      <c r="K128" s="1012"/>
      <c r="L128" s="912">
        <v>40</v>
      </c>
      <c r="M128" s="913">
        <v>60</v>
      </c>
      <c r="N128" s="913">
        <v>96</v>
      </c>
      <c r="O128" s="913">
        <v>119</v>
      </c>
      <c r="P128" s="913">
        <v>163</v>
      </c>
      <c r="Q128" s="913">
        <v>189</v>
      </c>
      <c r="R128" s="913">
        <v>185</v>
      </c>
      <c r="S128" s="913">
        <v>147</v>
      </c>
      <c r="T128" s="913">
        <v>101</v>
      </c>
      <c r="U128" s="913">
        <v>70</v>
      </c>
      <c r="V128" s="913">
        <v>41</v>
      </c>
      <c r="W128" s="914">
        <v>32</v>
      </c>
      <c r="X128" s="915">
        <v>1245</v>
      </c>
    </row>
    <row r="129" spans="1:24" ht="15" customHeight="1" thickBot="1">
      <c r="A129" s="888" t="s">
        <v>1213</v>
      </c>
      <c r="B129" s="889"/>
      <c r="C129" s="889"/>
      <c r="D129" s="889"/>
      <c r="E129" s="889"/>
      <c r="F129" s="889"/>
      <c r="G129" s="890"/>
      <c r="H129" s="999" t="s">
        <v>1214</v>
      </c>
      <c r="I129" s="1000"/>
      <c r="J129" s="999"/>
      <c r="K129" s="1013"/>
      <c r="L129" s="916">
        <v>71</v>
      </c>
      <c r="M129" s="917">
        <v>66</v>
      </c>
      <c r="N129" s="917">
        <v>62</v>
      </c>
      <c r="O129" s="917">
        <v>69</v>
      </c>
      <c r="P129" s="917">
        <v>72</v>
      </c>
      <c r="Q129" s="917">
        <v>83</v>
      </c>
      <c r="R129" s="917">
        <v>74</v>
      </c>
      <c r="S129" s="917">
        <v>64</v>
      </c>
      <c r="T129" s="917">
        <v>97</v>
      </c>
      <c r="U129" s="917">
        <v>102</v>
      </c>
      <c r="V129" s="917">
        <v>87</v>
      </c>
      <c r="W129" s="918">
        <v>73</v>
      </c>
      <c r="X129" s="919">
        <v>920</v>
      </c>
    </row>
    <row r="130" spans="1:24" ht="15" customHeight="1">
      <c r="A130" s="1014" t="s">
        <v>1215</v>
      </c>
      <c r="B130" s="1015"/>
      <c r="C130" s="1015"/>
      <c r="D130" s="1015"/>
      <c r="E130" s="1015"/>
      <c r="F130" s="1015"/>
      <c r="G130" s="1016"/>
      <c r="H130" s="886" t="s">
        <v>1216</v>
      </c>
      <c r="I130" s="1017"/>
      <c r="J130" s="886"/>
      <c r="K130" s="1018"/>
      <c r="L130" s="931">
        <v>3.7</v>
      </c>
      <c r="M130" s="932">
        <v>3.77</v>
      </c>
      <c r="N130" s="932">
        <v>4.32</v>
      </c>
      <c r="O130" s="932">
        <v>5.0999999999999996</v>
      </c>
      <c r="P130" s="932">
        <v>7.24</v>
      </c>
      <c r="Q130" s="932">
        <v>8.52</v>
      </c>
      <c r="R130" s="932">
        <v>9.6</v>
      </c>
      <c r="S130" s="932">
        <v>9.77</v>
      </c>
      <c r="T130" s="932">
        <v>8.24</v>
      </c>
      <c r="U130" s="932">
        <v>6.9</v>
      </c>
      <c r="V130" s="932">
        <v>4.9000000000000004</v>
      </c>
      <c r="W130" s="933">
        <v>4.08</v>
      </c>
      <c r="X130" s="934">
        <v>6.3449999999999998</v>
      </c>
    </row>
    <row r="131" spans="1:24" ht="15" customHeight="1" thickBot="1">
      <c r="A131" s="924" t="s">
        <v>1217</v>
      </c>
      <c r="B131" s="925"/>
      <c r="C131" s="925"/>
      <c r="D131" s="925"/>
      <c r="E131" s="925"/>
      <c r="F131" s="925"/>
      <c r="G131" s="926"/>
      <c r="H131" s="1019" t="s">
        <v>1218</v>
      </c>
      <c r="I131" s="1020"/>
      <c r="J131" s="1019"/>
      <c r="K131" s="1021"/>
      <c r="L131" s="927">
        <v>4.51</v>
      </c>
      <c r="M131" s="928">
        <v>4.57</v>
      </c>
      <c r="N131" s="928">
        <v>5.17</v>
      </c>
      <c r="O131" s="928">
        <v>6.04</v>
      </c>
      <c r="P131" s="928">
        <v>8.42</v>
      </c>
      <c r="Q131" s="928">
        <v>9.7899999999999991</v>
      </c>
      <c r="R131" s="928">
        <v>10.92</v>
      </c>
      <c r="S131" s="928">
        <v>11.12</v>
      </c>
      <c r="T131" s="928">
        <v>9.5399999999999991</v>
      </c>
      <c r="U131" s="928">
        <v>8.11</v>
      </c>
      <c r="V131" s="928">
        <v>5.88</v>
      </c>
      <c r="W131" s="929">
        <v>4.95</v>
      </c>
      <c r="X131" s="930">
        <v>7.48</v>
      </c>
    </row>
    <row r="132" spans="1:24" ht="15" customHeight="1" thickBot="1">
      <c r="A132" s="910"/>
      <c r="B132" s="1028"/>
      <c r="C132" s="1028"/>
      <c r="D132" s="1028"/>
      <c r="E132" s="1028"/>
      <c r="F132" s="1028"/>
      <c r="G132" s="1028"/>
      <c r="H132" s="1032"/>
      <c r="I132" s="1032"/>
      <c r="J132" s="1032"/>
      <c r="K132" s="1032"/>
      <c r="L132" s="1037"/>
      <c r="M132" s="1038"/>
      <c r="N132" s="1038"/>
      <c r="O132" s="1038"/>
      <c r="P132" s="1038"/>
      <c r="Q132" s="1038"/>
      <c r="R132" s="1038"/>
      <c r="S132" s="1038"/>
      <c r="T132" s="1038"/>
      <c r="U132" s="1038"/>
      <c r="V132" s="1038"/>
      <c r="W132" s="1039"/>
      <c r="X132" s="1040"/>
    </row>
    <row r="133" spans="1:24" ht="15" customHeight="1" thickBot="1">
      <c r="A133" s="1031" t="s">
        <v>1229</v>
      </c>
      <c r="B133" s="1031"/>
      <c r="C133" s="1031"/>
      <c r="D133" s="1031"/>
      <c r="E133" s="1031"/>
      <c r="F133" s="1031"/>
      <c r="G133" s="1031"/>
      <c r="H133" s="1031"/>
      <c r="I133" s="1031"/>
      <c r="J133" s="1031"/>
      <c r="K133" s="1031"/>
      <c r="L133" s="884" t="s">
        <v>37</v>
      </c>
      <c r="M133" s="885" t="s">
        <v>38</v>
      </c>
      <c r="N133" s="885" t="s">
        <v>858</v>
      </c>
      <c r="O133" s="885" t="s">
        <v>39</v>
      </c>
      <c r="P133" s="885" t="s">
        <v>40</v>
      </c>
      <c r="Q133" s="885" t="s">
        <v>41</v>
      </c>
      <c r="R133" s="885" t="s">
        <v>42</v>
      </c>
      <c r="S133" s="885" t="s">
        <v>43</v>
      </c>
      <c r="T133" s="885" t="s">
        <v>44</v>
      </c>
      <c r="U133" s="885" t="s">
        <v>45</v>
      </c>
      <c r="V133" s="885" t="s">
        <v>46</v>
      </c>
      <c r="W133" s="886" t="s">
        <v>47</v>
      </c>
      <c r="X133" s="887" t="s">
        <v>352</v>
      </c>
    </row>
    <row r="134" spans="1:24" ht="15" customHeight="1" thickBot="1">
      <c r="A134" s="888" t="s">
        <v>1206</v>
      </c>
      <c r="B134" s="889"/>
      <c r="C134" s="889"/>
      <c r="D134" s="889"/>
      <c r="E134" s="889"/>
      <c r="F134" s="889"/>
      <c r="G134" s="890"/>
      <c r="H134" s="999" t="s">
        <v>3</v>
      </c>
      <c r="I134" s="1000"/>
      <c r="J134" s="891"/>
      <c r="K134" s="892"/>
      <c r="L134" s="893">
        <v>-0.6</v>
      </c>
      <c r="M134" s="894">
        <v>0.6</v>
      </c>
      <c r="N134" s="894">
        <v>4.7</v>
      </c>
      <c r="O134" s="894">
        <v>8.3000000000000007</v>
      </c>
      <c r="P134" s="894">
        <v>13.3</v>
      </c>
      <c r="Q134" s="894">
        <v>15.7</v>
      </c>
      <c r="R134" s="894">
        <v>17.7</v>
      </c>
      <c r="S134" s="894">
        <v>17.600000000000001</v>
      </c>
      <c r="T134" s="894">
        <v>13.5</v>
      </c>
      <c r="U134" s="894">
        <v>9.6</v>
      </c>
      <c r="V134" s="894">
        <v>3.9</v>
      </c>
      <c r="W134" s="895">
        <v>0.9</v>
      </c>
      <c r="X134" s="896">
        <v>8.7666666666666675</v>
      </c>
    </row>
    <row r="135" spans="1:24" ht="15" customHeight="1">
      <c r="A135" s="897"/>
      <c r="B135" s="898"/>
      <c r="C135" s="898"/>
      <c r="D135" s="898"/>
      <c r="E135" s="898"/>
      <c r="F135" s="898"/>
      <c r="G135" s="899"/>
      <c r="H135" s="1001" t="s">
        <v>1207</v>
      </c>
      <c r="I135" s="1002"/>
      <c r="J135" s="1003" t="s">
        <v>1208</v>
      </c>
      <c r="K135" s="1004"/>
      <c r="L135" s="900">
        <v>118</v>
      </c>
      <c r="M135" s="901">
        <v>172</v>
      </c>
      <c r="N135" s="901">
        <v>295</v>
      </c>
      <c r="O135" s="901">
        <v>412</v>
      </c>
      <c r="P135" s="901">
        <v>530</v>
      </c>
      <c r="Q135" s="901">
        <v>531</v>
      </c>
      <c r="R135" s="901">
        <v>541</v>
      </c>
      <c r="S135" s="901">
        <v>471</v>
      </c>
      <c r="T135" s="901">
        <v>314</v>
      </c>
      <c r="U135" s="901">
        <v>212</v>
      </c>
      <c r="V135" s="901">
        <v>122</v>
      </c>
      <c r="W135" s="902">
        <v>91</v>
      </c>
      <c r="X135" s="903">
        <v>3809</v>
      </c>
    </row>
    <row r="136" spans="1:24" ht="15" customHeight="1">
      <c r="A136" s="904"/>
      <c r="B136" s="882"/>
      <c r="C136" s="882"/>
      <c r="D136" s="882"/>
      <c r="E136" s="882"/>
      <c r="F136" s="882"/>
      <c r="G136" s="905"/>
      <c r="H136" s="1005"/>
      <c r="I136" s="1006"/>
      <c r="J136" s="1007" t="s">
        <v>1209</v>
      </c>
      <c r="K136" s="1008"/>
      <c r="L136" s="900">
        <v>75</v>
      </c>
      <c r="M136" s="906">
        <v>104</v>
      </c>
      <c r="N136" s="906">
        <v>161</v>
      </c>
      <c r="O136" s="906">
        <v>197</v>
      </c>
      <c r="P136" s="906">
        <v>244</v>
      </c>
      <c r="Q136" s="906">
        <v>244</v>
      </c>
      <c r="R136" s="906">
        <v>252</v>
      </c>
      <c r="S136" s="906">
        <v>228</v>
      </c>
      <c r="T136" s="906">
        <v>156</v>
      </c>
      <c r="U136" s="906">
        <v>107</v>
      </c>
      <c r="V136" s="906">
        <v>65</v>
      </c>
      <c r="W136" s="907">
        <v>51</v>
      </c>
      <c r="X136" s="903">
        <v>1882</v>
      </c>
    </row>
    <row r="137" spans="1:24" ht="15" customHeight="1">
      <c r="A137" s="904" t="s">
        <v>1210</v>
      </c>
      <c r="B137" s="882"/>
      <c r="C137" s="882"/>
      <c r="D137" s="882"/>
      <c r="E137" s="882"/>
      <c r="F137" s="882"/>
      <c r="G137" s="905"/>
      <c r="H137" s="1005"/>
      <c r="I137" s="1006"/>
      <c r="J137" s="1007" t="s">
        <v>1211</v>
      </c>
      <c r="K137" s="1008"/>
      <c r="L137" s="900">
        <v>182</v>
      </c>
      <c r="M137" s="906">
        <v>218</v>
      </c>
      <c r="N137" s="906">
        <v>271</v>
      </c>
      <c r="O137" s="906">
        <v>267</v>
      </c>
      <c r="P137" s="906">
        <v>268</v>
      </c>
      <c r="Q137" s="906">
        <v>236</v>
      </c>
      <c r="R137" s="906">
        <v>260</v>
      </c>
      <c r="S137" s="906">
        <v>284</v>
      </c>
      <c r="T137" s="906">
        <v>246</v>
      </c>
      <c r="U137" s="906">
        <v>217</v>
      </c>
      <c r="V137" s="906">
        <v>161</v>
      </c>
      <c r="W137" s="907">
        <v>137</v>
      </c>
      <c r="X137" s="903">
        <v>2745</v>
      </c>
    </row>
    <row r="138" spans="1:24" ht="15" customHeight="1">
      <c r="A138" s="904"/>
      <c r="B138" s="882"/>
      <c r="C138" s="882"/>
      <c r="D138" s="882"/>
      <c r="E138" s="882"/>
      <c r="F138" s="882"/>
      <c r="G138" s="905"/>
      <c r="H138" s="1005"/>
      <c r="I138" s="1006"/>
      <c r="J138" s="1007" t="s">
        <v>592</v>
      </c>
      <c r="K138" s="1008"/>
      <c r="L138" s="908">
        <v>51</v>
      </c>
      <c r="M138" s="906">
        <v>77</v>
      </c>
      <c r="N138" s="906">
        <v>110</v>
      </c>
      <c r="O138" s="906">
        <v>166</v>
      </c>
      <c r="P138" s="906">
        <v>225</v>
      </c>
      <c r="Q138" s="906">
        <v>218</v>
      </c>
      <c r="R138" s="906">
        <v>222</v>
      </c>
      <c r="S138" s="906">
        <v>196</v>
      </c>
      <c r="T138" s="906">
        <v>104</v>
      </c>
      <c r="U138" s="906">
        <v>67</v>
      </c>
      <c r="V138" s="906">
        <v>41</v>
      </c>
      <c r="W138" s="907">
        <v>35</v>
      </c>
      <c r="X138" s="903">
        <v>1511</v>
      </c>
    </row>
    <row r="139" spans="1:24" ht="15" customHeight="1" thickBot="1">
      <c r="A139" s="909"/>
      <c r="B139" s="910"/>
      <c r="C139" s="910"/>
      <c r="D139" s="910"/>
      <c r="E139" s="910"/>
      <c r="F139" s="910"/>
      <c r="G139" s="911"/>
      <c r="H139" s="1009"/>
      <c r="I139" s="1010"/>
      <c r="J139" s="1011" t="s">
        <v>1212</v>
      </c>
      <c r="K139" s="1012"/>
      <c r="L139" s="912">
        <v>43</v>
      </c>
      <c r="M139" s="913">
        <v>60</v>
      </c>
      <c r="N139" s="913">
        <v>86</v>
      </c>
      <c r="O139" s="913">
        <v>101</v>
      </c>
      <c r="P139" s="913">
        <v>129</v>
      </c>
      <c r="Q139" s="913">
        <v>135</v>
      </c>
      <c r="R139" s="913">
        <v>131</v>
      </c>
      <c r="S139" s="913">
        <v>112</v>
      </c>
      <c r="T139" s="913">
        <v>80</v>
      </c>
      <c r="U139" s="913">
        <v>56</v>
      </c>
      <c r="V139" s="913">
        <v>36</v>
      </c>
      <c r="W139" s="914">
        <v>29</v>
      </c>
      <c r="X139" s="915">
        <v>1000</v>
      </c>
    </row>
    <row r="140" spans="1:24" ht="15" customHeight="1" thickBot="1">
      <c r="A140" s="888" t="s">
        <v>1213</v>
      </c>
      <c r="B140" s="889"/>
      <c r="C140" s="889"/>
      <c r="D140" s="889"/>
      <c r="E140" s="889"/>
      <c r="F140" s="889"/>
      <c r="G140" s="890"/>
      <c r="H140" s="999" t="s">
        <v>1214</v>
      </c>
      <c r="I140" s="1000"/>
      <c r="J140" s="999"/>
      <c r="K140" s="1013"/>
      <c r="L140" s="916">
        <v>78</v>
      </c>
      <c r="M140" s="917">
        <v>100</v>
      </c>
      <c r="N140" s="917">
        <v>111</v>
      </c>
      <c r="O140" s="917">
        <v>109</v>
      </c>
      <c r="P140" s="917">
        <v>124</v>
      </c>
      <c r="Q140" s="917">
        <v>170</v>
      </c>
      <c r="R140" s="917">
        <v>204</v>
      </c>
      <c r="S140" s="917">
        <v>182</v>
      </c>
      <c r="T140" s="917">
        <v>139</v>
      </c>
      <c r="U140" s="917">
        <v>97</v>
      </c>
      <c r="V140" s="917">
        <v>117</v>
      </c>
      <c r="W140" s="918">
        <v>105</v>
      </c>
      <c r="X140" s="919">
        <v>1536</v>
      </c>
    </row>
    <row r="141" spans="1:24" ht="15" customHeight="1">
      <c r="A141" s="1014" t="s">
        <v>1215</v>
      </c>
      <c r="B141" s="1015"/>
      <c r="C141" s="1015"/>
      <c r="D141" s="1015"/>
      <c r="E141" s="1015"/>
      <c r="F141" s="1015"/>
      <c r="G141" s="1016"/>
      <c r="H141" s="886" t="s">
        <v>1216</v>
      </c>
      <c r="I141" s="1017"/>
      <c r="J141" s="886"/>
      <c r="K141" s="1018"/>
      <c r="L141" s="931">
        <v>3.18</v>
      </c>
      <c r="M141" s="932">
        <v>3.3</v>
      </c>
      <c r="N141" s="932">
        <v>4.03</v>
      </c>
      <c r="O141" s="932">
        <v>4.75</v>
      </c>
      <c r="P141" s="932">
        <v>6.84</v>
      </c>
      <c r="Q141" s="932">
        <v>8.41</v>
      </c>
      <c r="R141" s="932">
        <v>9.8000000000000007</v>
      </c>
      <c r="S141" s="932">
        <v>9.94</v>
      </c>
      <c r="T141" s="932">
        <v>8.08</v>
      </c>
      <c r="U141" s="932">
        <v>6.36</v>
      </c>
      <c r="V141" s="932">
        <v>4.38</v>
      </c>
      <c r="W141" s="933">
        <v>3.59</v>
      </c>
      <c r="X141" s="934">
        <v>6.0549999999999997</v>
      </c>
    </row>
    <row r="142" spans="1:24" ht="15" customHeight="1" thickBot="1">
      <c r="A142" s="924" t="s">
        <v>1217</v>
      </c>
      <c r="B142" s="925"/>
      <c r="C142" s="925"/>
      <c r="D142" s="925"/>
      <c r="E142" s="925"/>
      <c r="F142" s="925"/>
      <c r="G142" s="926"/>
      <c r="H142" s="1019" t="s">
        <v>1218</v>
      </c>
      <c r="I142" s="1020"/>
      <c r="J142" s="1019"/>
      <c r="K142" s="1021"/>
      <c r="L142" s="927">
        <v>3.87</v>
      </c>
      <c r="M142" s="928">
        <v>3.99</v>
      </c>
      <c r="N142" s="928">
        <v>4.8</v>
      </c>
      <c r="O142" s="928">
        <v>5.59</v>
      </c>
      <c r="P142" s="928">
        <v>7.89</v>
      </c>
      <c r="Q142" s="928">
        <v>9.61</v>
      </c>
      <c r="R142" s="928">
        <v>11.12</v>
      </c>
      <c r="S142" s="928">
        <v>11.28</v>
      </c>
      <c r="T142" s="928">
        <v>9.31</v>
      </c>
      <c r="U142" s="928">
        <v>7.44</v>
      </c>
      <c r="V142" s="928">
        <v>5.23</v>
      </c>
      <c r="W142" s="929">
        <v>4.34</v>
      </c>
      <c r="X142" s="930">
        <v>7.1</v>
      </c>
    </row>
    <row r="143" spans="1:24" ht="15" customHeight="1" thickBot="1">
      <c r="A143" s="910"/>
      <c r="B143" s="1028"/>
      <c r="C143" s="1028"/>
      <c r="D143" s="1028"/>
      <c r="E143" s="1028"/>
      <c r="F143" s="1028"/>
      <c r="G143" s="1028"/>
      <c r="H143" s="1032"/>
      <c r="I143" s="1032"/>
      <c r="J143" s="1032"/>
      <c r="K143" s="1032"/>
      <c r="L143" s="1037"/>
      <c r="M143" s="1038"/>
      <c r="N143" s="1038"/>
      <c r="O143" s="1038"/>
      <c r="P143" s="1038"/>
      <c r="Q143" s="1038"/>
      <c r="R143" s="1038"/>
      <c r="S143" s="1038"/>
      <c r="T143" s="1038"/>
      <c r="U143" s="1038"/>
      <c r="V143" s="1038"/>
      <c r="W143" s="1039"/>
      <c r="X143" s="1040"/>
    </row>
    <row r="144" spans="1:24" ht="15" customHeight="1" thickBot="1">
      <c r="A144" s="1031" t="s">
        <v>1230</v>
      </c>
      <c r="B144" s="1031"/>
      <c r="C144" s="1031"/>
      <c r="D144" s="1031"/>
      <c r="E144" s="1031"/>
      <c r="F144" s="1031"/>
      <c r="G144" s="1031"/>
      <c r="H144" s="1031"/>
      <c r="I144" s="1031"/>
      <c r="J144" s="1031"/>
      <c r="K144" s="1031"/>
      <c r="L144" s="884" t="s">
        <v>37</v>
      </c>
      <c r="M144" s="885" t="s">
        <v>38</v>
      </c>
      <c r="N144" s="885" t="s">
        <v>858</v>
      </c>
      <c r="O144" s="885" t="s">
        <v>39</v>
      </c>
      <c r="P144" s="885" t="s">
        <v>40</v>
      </c>
      <c r="Q144" s="885" t="s">
        <v>41</v>
      </c>
      <c r="R144" s="885" t="s">
        <v>42</v>
      </c>
      <c r="S144" s="885" t="s">
        <v>43</v>
      </c>
      <c r="T144" s="885" t="s">
        <v>44</v>
      </c>
      <c r="U144" s="885" t="s">
        <v>45</v>
      </c>
      <c r="V144" s="885" t="s">
        <v>46</v>
      </c>
      <c r="W144" s="886" t="s">
        <v>47</v>
      </c>
      <c r="X144" s="887" t="s">
        <v>352</v>
      </c>
    </row>
    <row r="145" spans="1:24" ht="15" customHeight="1" thickBot="1">
      <c r="A145" s="888" t="s">
        <v>1206</v>
      </c>
      <c r="B145" s="889"/>
      <c r="C145" s="889"/>
      <c r="D145" s="889"/>
      <c r="E145" s="889"/>
      <c r="F145" s="889"/>
      <c r="G145" s="890"/>
      <c r="H145" s="999" t="s">
        <v>3</v>
      </c>
      <c r="I145" s="1000"/>
      <c r="J145" s="891"/>
      <c r="K145" s="892"/>
      <c r="L145" s="893">
        <v>-7.1</v>
      </c>
      <c r="M145" s="894">
        <v>-7.2</v>
      </c>
      <c r="N145" s="894">
        <v>-5.6</v>
      </c>
      <c r="O145" s="894">
        <v>-3.8</v>
      </c>
      <c r="P145" s="894">
        <v>1.3</v>
      </c>
      <c r="Q145" s="894">
        <v>4.9000000000000004</v>
      </c>
      <c r="R145" s="894">
        <v>7.9</v>
      </c>
      <c r="S145" s="894">
        <v>8.4</v>
      </c>
      <c r="T145" s="894">
        <v>4.3</v>
      </c>
      <c r="U145" s="894">
        <v>1</v>
      </c>
      <c r="V145" s="894">
        <v>-4</v>
      </c>
      <c r="W145" s="895">
        <v>-5.8</v>
      </c>
      <c r="X145" s="896">
        <v>-0.47499999999999998</v>
      </c>
    </row>
    <row r="146" spans="1:24" ht="15" customHeight="1">
      <c r="A146" s="897"/>
      <c r="B146" s="898"/>
      <c r="C146" s="898"/>
      <c r="D146" s="898"/>
      <c r="E146" s="898"/>
      <c r="F146" s="898"/>
      <c r="G146" s="899"/>
      <c r="H146" s="1001" t="s">
        <v>1207</v>
      </c>
      <c r="I146" s="1002"/>
      <c r="J146" s="1003" t="s">
        <v>1208</v>
      </c>
      <c r="K146" s="1004"/>
      <c r="L146" s="900">
        <v>147</v>
      </c>
      <c r="M146" s="901">
        <v>266</v>
      </c>
      <c r="N146" s="901">
        <v>471</v>
      </c>
      <c r="O146" s="901">
        <v>557</v>
      </c>
      <c r="P146" s="901">
        <v>629</v>
      </c>
      <c r="Q146" s="901">
        <v>643</v>
      </c>
      <c r="R146" s="901">
        <v>645</v>
      </c>
      <c r="S146" s="901">
        <v>562</v>
      </c>
      <c r="T146" s="901">
        <v>397</v>
      </c>
      <c r="U146" s="901">
        <v>281</v>
      </c>
      <c r="V146" s="901">
        <v>163</v>
      </c>
      <c r="W146" s="902">
        <v>104</v>
      </c>
      <c r="X146" s="903">
        <v>4868</v>
      </c>
    </row>
    <row r="147" spans="1:24" ht="15" customHeight="1">
      <c r="A147" s="904"/>
      <c r="B147" s="882"/>
      <c r="C147" s="882"/>
      <c r="D147" s="882"/>
      <c r="E147" s="882"/>
      <c r="F147" s="882"/>
      <c r="G147" s="905"/>
      <c r="H147" s="1005"/>
      <c r="I147" s="1006"/>
      <c r="J147" s="1007" t="s">
        <v>1209</v>
      </c>
      <c r="K147" s="1008"/>
      <c r="L147" s="900">
        <v>104</v>
      </c>
      <c r="M147" s="906">
        <v>215</v>
      </c>
      <c r="N147" s="906">
        <v>445</v>
      </c>
      <c r="O147" s="906">
        <v>485</v>
      </c>
      <c r="P147" s="906">
        <v>493</v>
      </c>
      <c r="Q147" s="906">
        <v>430</v>
      </c>
      <c r="R147" s="906">
        <v>383</v>
      </c>
      <c r="S147" s="906">
        <v>329</v>
      </c>
      <c r="T147" s="906">
        <v>233</v>
      </c>
      <c r="U147" s="906">
        <v>182</v>
      </c>
      <c r="V147" s="906">
        <v>111</v>
      </c>
      <c r="W147" s="907">
        <v>78</v>
      </c>
      <c r="X147" s="903">
        <v>3489</v>
      </c>
    </row>
    <row r="148" spans="1:24" ht="15" customHeight="1">
      <c r="A148" s="904" t="s">
        <v>1210</v>
      </c>
      <c r="B148" s="882"/>
      <c r="C148" s="882"/>
      <c r="D148" s="882"/>
      <c r="E148" s="882"/>
      <c r="F148" s="882"/>
      <c r="G148" s="905"/>
      <c r="H148" s="1005"/>
      <c r="I148" s="1006"/>
      <c r="J148" s="1007" t="s">
        <v>1211</v>
      </c>
      <c r="K148" s="1008"/>
      <c r="L148" s="900">
        <v>246</v>
      </c>
      <c r="M148" s="906">
        <v>472</v>
      </c>
      <c r="N148" s="906">
        <v>670</v>
      </c>
      <c r="O148" s="906">
        <v>588</v>
      </c>
      <c r="P148" s="906">
        <v>477</v>
      </c>
      <c r="Q148" s="906">
        <v>363</v>
      </c>
      <c r="R148" s="906">
        <v>324</v>
      </c>
      <c r="S148" s="906">
        <v>340</v>
      </c>
      <c r="T148" s="906">
        <v>347</v>
      </c>
      <c r="U148" s="906">
        <v>383</v>
      </c>
      <c r="V148" s="906">
        <v>285</v>
      </c>
      <c r="W148" s="907">
        <v>126</v>
      </c>
      <c r="X148" s="903">
        <v>4621</v>
      </c>
    </row>
    <row r="149" spans="1:24" ht="15" customHeight="1">
      <c r="A149" s="904"/>
      <c r="B149" s="882"/>
      <c r="C149" s="882"/>
      <c r="D149" s="882"/>
      <c r="E149" s="882"/>
      <c r="F149" s="882"/>
      <c r="G149" s="905"/>
      <c r="H149" s="1005"/>
      <c r="I149" s="1006"/>
      <c r="J149" s="1007" t="s">
        <v>592</v>
      </c>
      <c r="K149" s="1008"/>
      <c r="L149" s="908">
        <v>166</v>
      </c>
      <c r="M149" s="906">
        <v>281</v>
      </c>
      <c r="N149" s="906">
        <v>453</v>
      </c>
      <c r="O149" s="906">
        <v>508</v>
      </c>
      <c r="P149" s="906">
        <v>469</v>
      </c>
      <c r="Q149" s="906">
        <v>384</v>
      </c>
      <c r="R149" s="906">
        <v>332</v>
      </c>
      <c r="S149" s="906">
        <v>289</v>
      </c>
      <c r="T149" s="906">
        <v>231</v>
      </c>
      <c r="U149" s="906">
        <v>214</v>
      </c>
      <c r="V149" s="906">
        <v>181</v>
      </c>
      <c r="W149" s="907">
        <v>94</v>
      </c>
      <c r="X149" s="903">
        <v>3601</v>
      </c>
    </row>
    <row r="150" spans="1:24" ht="15" customHeight="1" thickBot="1">
      <c r="A150" s="909"/>
      <c r="B150" s="910"/>
      <c r="C150" s="910"/>
      <c r="D150" s="910"/>
      <c r="E150" s="910"/>
      <c r="F150" s="910"/>
      <c r="G150" s="911"/>
      <c r="H150" s="1009"/>
      <c r="I150" s="1010"/>
      <c r="J150" s="1011" t="s">
        <v>1212</v>
      </c>
      <c r="K150" s="1012"/>
      <c r="L150" s="912">
        <v>96</v>
      </c>
      <c r="M150" s="913">
        <v>162</v>
      </c>
      <c r="N150" s="913">
        <v>279</v>
      </c>
      <c r="O150" s="913">
        <v>324</v>
      </c>
      <c r="P150" s="913">
        <v>319</v>
      </c>
      <c r="Q150" s="913">
        <v>251</v>
      </c>
      <c r="R150" s="913">
        <v>187</v>
      </c>
      <c r="S150" s="913">
        <v>134</v>
      </c>
      <c r="T150" s="913">
        <v>101</v>
      </c>
      <c r="U150" s="913">
        <v>110</v>
      </c>
      <c r="V150" s="913">
        <v>101</v>
      </c>
      <c r="W150" s="914">
        <v>72</v>
      </c>
      <c r="X150" s="915">
        <v>2137</v>
      </c>
    </row>
    <row r="151" spans="1:24" ht="15" customHeight="1" thickBot="1">
      <c r="A151" s="888" t="s">
        <v>1213</v>
      </c>
      <c r="B151" s="889"/>
      <c r="C151" s="889"/>
      <c r="D151" s="889"/>
      <c r="E151" s="889"/>
      <c r="F151" s="889"/>
      <c r="G151" s="890"/>
      <c r="H151" s="999" t="s">
        <v>1214</v>
      </c>
      <c r="I151" s="1000"/>
      <c r="J151" s="999"/>
      <c r="K151" s="1013"/>
      <c r="L151" s="916">
        <v>234</v>
      </c>
      <c r="M151" s="917">
        <v>237</v>
      </c>
      <c r="N151" s="917">
        <v>209</v>
      </c>
      <c r="O151" s="917">
        <v>251</v>
      </c>
      <c r="P151" s="917">
        <v>190</v>
      </c>
      <c r="Q151" s="917">
        <v>177</v>
      </c>
      <c r="R151" s="917">
        <v>136</v>
      </c>
      <c r="S151" s="917">
        <v>123</v>
      </c>
      <c r="T151" s="917">
        <v>156</v>
      </c>
      <c r="U151" s="917">
        <v>212</v>
      </c>
      <c r="V151" s="917">
        <v>261</v>
      </c>
      <c r="W151" s="918">
        <v>222</v>
      </c>
      <c r="X151" s="919">
        <v>2408</v>
      </c>
    </row>
    <row r="152" spans="1:24" ht="15" customHeight="1">
      <c r="A152" s="1014" t="s">
        <v>1215</v>
      </c>
      <c r="B152" s="1015"/>
      <c r="C152" s="1015"/>
      <c r="D152" s="1015"/>
      <c r="E152" s="1015"/>
      <c r="F152" s="1015"/>
      <c r="G152" s="1016"/>
      <c r="H152" s="886" t="s">
        <v>1216</v>
      </c>
      <c r="I152" s="1017"/>
      <c r="J152" s="886"/>
      <c r="K152" s="1018"/>
      <c r="L152" s="931">
        <v>1.93</v>
      </c>
      <c r="M152" s="932">
        <v>2.04</v>
      </c>
      <c r="N152" s="932">
        <v>2.5299999999999998</v>
      </c>
      <c r="O152" s="932">
        <v>3.18</v>
      </c>
      <c r="P152" s="932">
        <v>4.5999999999999996</v>
      </c>
      <c r="Q152" s="932">
        <v>5.55</v>
      </c>
      <c r="R152" s="932">
        <v>6.58</v>
      </c>
      <c r="S152" s="932">
        <v>6.63</v>
      </c>
      <c r="T152" s="932">
        <v>5.31</v>
      </c>
      <c r="U152" s="932">
        <v>4.1100000000000003</v>
      </c>
      <c r="V152" s="932">
        <v>2.77</v>
      </c>
      <c r="W152" s="933">
        <v>2.21</v>
      </c>
      <c r="X152" s="934">
        <v>3.9533333333333336</v>
      </c>
    </row>
    <row r="153" spans="1:24" ht="15" customHeight="1" thickBot="1">
      <c r="A153" s="924" t="s">
        <v>1217</v>
      </c>
      <c r="B153" s="925"/>
      <c r="C153" s="925"/>
      <c r="D153" s="925"/>
      <c r="E153" s="925"/>
      <c r="F153" s="925"/>
      <c r="G153" s="926"/>
      <c r="H153" s="1019" t="s">
        <v>1218</v>
      </c>
      <c r="I153" s="1020"/>
      <c r="J153" s="1019"/>
      <c r="K153" s="1021"/>
      <c r="L153" s="927">
        <v>1.89</v>
      </c>
      <c r="M153" s="928">
        <v>2</v>
      </c>
      <c r="N153" s="928">
        <v>2.46</v>
      </c>
      <c r="O153" s="928">
        <v>3.08</v>
      </c>
      <c r="P153" s="928">
        <v>4.3600000000000003</v>
      </c>
      <c r="Q153" s="928">
        <v>5.19</v>
      </c>
      <c r="R153" s="928">
        <v>6.09</v>
      </c>
      <c r="S153" s="928">
        <v>6.12</v>
      </c>
      <c r="T153" s="928">
        <v>4.9800000000000004</v>
      </c>
      <c r="U153" s="928">
        <v>3.9</v>
      </c>
      <c r="V153" s="928">
        <v>2.68</v>
      </c>
      <c r="W153" s="929">
        <v>2.15</v>
      </c>
      <c r="X153" s="930">
        <v>3.78</v>
      </c>
    </row>
    <row r="154" spans="1:24" ht="15" customHeight="1" thickBot="1">
      <c r="A154" s="910"/>
      <c r="B154" s="1028"/>
      <c r="C154" s="1028"/>
      <c r="D154" s="1028"/>
      <c r="E154" s="1028"/>
      <c r="F154" s="1028"/>
      <c r="G154" s="1028"/>
      <c r="H154" s="1032"/>
      <c r="I154" s="1032"/>
      <c r="J154" s="1032"/>
      <c r="K154" s="1032"/>
      <c r="L154" s="1037"/>
      <c r="M154" s="1038"/>
      <c r="N154" s="1038"/>
      <c r="O154" s="1038"/>
      <c r="P154" s="1038"/>
      <c r="Q154" s="1038"/>
      <c r="R154" s="1038"/>
      <c r="S154" s="1038"/>
      <c r="T154" s="1038"/>
      <c r="U154" s="1038"/>
      <c r="V154" s="1038"/>
      <c r="W154" s="1039"/>
      <c r="X154" s="1040"/>
    </row>
    <row r="155" spans="1:24" ht="15" customHeight="1" thickBot="1">
      <c r="A155" s="1031" t="s">
        <v>1231</v>
      </c>
      <c r="B155" s="1031"/>
      <c r="C155" s="1031"/>
      <c r="D155" s="1031"/>
      <c r="E155" s="1031"/>
      <c r="F155" s="1031"/>
      <c r="G155" s="1031"/>
      <c r="H155" s="1031"/>
      <c r="I155" s="1031"/>
      <c r="J155" s="1031"/>
      <c r="K155" s="1031"/>
      <c r="L155" s="884" t="s">
        <v>37</v>
      </c>
      <c r="M155" s="885" t="s">
        <v>38</v>
      </c>
      <c r="N155" s="885" t="s">
        <v>858</v>
      </c>
      <c r="O155" s="885" t="s">
        <v>39</v>
      </c>
      <c r="P155" s="885" t="s">
        <v>40</v>
      </c>
      <c r="Q155" s="885" t="s">
        <v>41</v>
      </c>
      <c r="R155" s="885" t="s">
        <v>42</v>
      </c>
      <c r="S155" s="885" t="s">
        <v>43</v>
      </c>
      <c r="T155" s="885" t="s">
        <v>44</v>
      </c>
      <c r="U155" s="885" t="s">
        <v>45</v>
      </c>
      <c r="V155" s="885" t="s">
        <v>46</v>
      </c>
      <c r="W155" s="886" t="s">
        <v>47</v>
      </c>
      <c r="X155" s="887" t="s">
        <v>352</v>
      </c>
    </row>
    <row r="156" spans="1:24" ht="15" customHeight="1" thickBot="1">
      <c r="A156" s="888" t="s">
        <v>1206</v>
      </c>
      <c r="B156" s="889"/>
      <c r="C156" s="889"/>
      <c r="D156" s="889"/>
      <c r="E156" s="889"/>
      <c r="F156" s="889"/>
      <c r="G156" s="890"/>
      <c r="H156" s="999" t="s">
        <v>3</v>
      </c>
      <c r="I156" s="1000"/>
      <c r="J156" s="891"/>
      <c r="K156" s="892"/>
      <c r="L156" s="893">
        <v>0.3</v>
      </c>
      <c r="M156" s="894">
        <v>1.3</v>
      </c>
      <c r="N156" s="894">
        <v>5.0999999999999996</v>
      </c>
      <c r="O156" s="894">
        <v>8.1999999999999993</v>
      </c>
      <c r="P156" s="894">
        <v>13.4</v>
      </c>
      <c r="Q156" s="894">
        <v>16.2</v>
      </c>
      <c r="R156" s="894">
        <v>18.399999999999999</v>
      </c>
      <c r="S156" s="894">
        <v>18.3</v>
      </c>
      <c r="T156" s="894">
        <v>13.9</v>
      </c>
      <c r="U156" s="894">
        <v>9.6</v>
      </c>
      <c r="V156" s="894">
        <v>4.2</v>
      </c>
      <c r="W156" s="895">
        <v>1.8</v>
      </c>
      <c r="X156" s="896">
        <v>9.2249999999999996</v>
      </c>
    </row>
    <row r="157" spans="1:24" ht="15" customHeight="1">
      <c r="A157" s="897"/>
      <c r="B157" s="898"/>
      <c r="C157" s="898"/>
      <c r="D157" s="898"/>
      <c r="E157" s="898"/>
      <c r="F157" s="898"/>
      <c r="G157" s="899"/>
      <c r="H157" s="1001" t="s">
        <v>1207</v>
      </c>
      <c r="I157" s="1002"/>
      <c r="J157" s="1003" t="s">
        <v>1208</v>
      </c>
      <c r="K157" s="1004"/>
      <c r="L157" s="900">
        <v>96</v>
      </c>
      <c r="M157" s="901">
        <v>157</v>
      </c>
      <c r="N157" s="901">
        <v>311</v>
      </c>
      <c r="O157" s="901">
        <v>428</v>
      </c>
      <c r="P157" s="901">
        <v>557</v>
      </c>
      <c r="Q157" s="901">
        <v>588</v>
      </c>
      <c r="R157" s="901">
        <v>603</v>
      </c>
      <c r="S157" s="901">
        <v>522</v>
      </c>
      <c r="T157" s="901">
        <v>345</v>
      </c>
      <c r="U157" s="901">
        <v>201</v>
      </c>
      <c r="V157" s="901">
        <v>101</v>
      </c>
      <c r="W157" s="902">
        <v>72</v>
      </c>
      <c r="X157" s="903">
        <v>3981</v>
      </c>
    </row>
    <row r="158" spans="1:24" ht="15" customHeight="1">
      <c r="A158" s="904"/>
      <c r="B158" s="882"/>
      <c r="C158" s="882"/>
      <c r="D158" s="882"/>
      <c r="E158" s="882"/>
      <c r="F158" s="882"/>
      <c r="G158" s="905"/>
      <c r="H158" s="1005"/>
      <c r="I158" s="1006"/>
      <c r="J158" s="1007" t="s">
        <v>1209</v>
      </c>
      <c r="K158" s="1008"/>
      <c r="L158" s="900">
        <v>59</v>
      </c>
      <c r="M158" s="906">
        <v>99</v>
      </c>
      <c r="N158" s="906">
        <v>187</v>
      </c>
      <c r="O158" s="906">
        <v>251</v>
      </c>
      <c r="P158" s="906">
        <v>313</v>
      </c>
      <c r="Q158" s="906">
        <v>327</v>
      </c>
      <c r="R158" s="906">
        <v>343</v>
      </c>
      <c r="S158" s="906">
        <v>297</v>
      </c>
      <c r="T158" s="906">
        <v>192</v>
      </c>
      <c r="U158" s="906">
        <v>107</v>
      </c>
      <c r="V158" s="906">
        <v>57</v>
      </c>
      <c r="W158" s="907">
        <v>43</v>
      </c>
      <c r="X158" s="903">
        <v>2276</v>
      </c>
    </row>
    <row r="159" spans="1:24" ht="15" customHeight="1">
      <c r="A159" s="904" t="s">
        <v>1210</v>
      </c>
      <c r="B159" s="882"/>
      <c r="C159" s="882"/>
      <c r="D159" s="882"/>
      <c r="E159" s="882"/>
      <c r="F159" s="882"/>
      <c r="G159" s="905"/>
      <c r="H159" s="1005"/>
      <c r="I159" s="1006"/>
      <c r="J159" s="1007" t="s">
        <v>1211</v>
      </c>
      <c r="K159" s="1008"/>
      <c r="L159" s="900">
        <v>134</v>
      </c>
      <c r="M159" s="906">
        <v>201</v>
      </c>
      <c r="N159" s="906">
        <v>305</v>
      </c>
      <c r="O159" s="906">
        <v>298</v>
      </c>
      <c r="P159" s="906">
        <v>297</v>
      </c>
      <c r="Q159" s="906">
        <v>277</v>
      </c>
      <c r="R159" s="906">
        <v>303</v>
      </c>
      <c r="S159" s="906">
        <v>337</v>
      </c>
      <c r="T159" s="906">
        <v>301</v>
      </c>
      <c r="U159" s="906">
        <v>225</v>
      </c>
      <c r="V159" s="906">
        <v>130</v>
      </c>
      <c r="W159" s="907">
        <v>102</v>
      </c>
      <c r="X159" s="903">
        <v>2910</v>
      </c>
    </row>
    <row r="160" spans="1:24" ht="15" customHeight="1">
      <c r="A160" s="904"/>
      <c r="B160" s="882"/>
      <c r="C160" s="882"/>
      <c r="D160" s="882"/>
      <c r="E160" s="882"/>
      <c r="F160" s="882"/>
      <c r="G160" s="905"/>
      <c r="H160" s="1005"/>
      <c r="I160" s="1006"/>
      <c r="J160" s="1007" t="s">
        <v>592</v>
      </c>
      <c r="K160" s="1008"/>
      <c r="L160" s="908">
        <v>62</v>
      </c>
      <c r="M160" s="906">
        <v>104</v>
      </c>
      <c r="N160" s="906">
        <v>185</v>
      </c>
      <c r="O160" s="906">
        <v>228</v>
      </c>
      <c r="P160" s="906">
        <v>289</v>
      </c>
      <c r="Q160" s="906">
        <v>303</v>
      </c>
      <c r="R160" s="906">
        <v>319</v>
      </c>
      <c r="S160" s="906">
        <v>289</v>
      </c>
      <c r="T160" s="906">
        <v>207</v>
      </c>
      <c r="U160" s="906">
        <v>126</v>
      </c>
      <c r="V160" s="906">
        <v>62</v>
      </c>
      <c r="W160" s="907">
        <v>43</v>
      </c>
      <c r="X160" s="903">
        <v>2217</v>
      </c>
    </row>
    <row r="161" spans="1:24" ht="15" customHeight="1" thickBot="1">
      <c r="A161" s="909"/>
      <c r="B161" s="910"/>
      <c r="C161" s="910"/>
      <c r="D161" s="910"/>
      <c r="E161" s="910"/>
      <c r="F161" s="910"/>
      <c r="G161" s="911"/>
      <c r="H161" s="1009"/>
      <c r="I161" s="1010"/>
      <c r="J161" s="1011" t="s">
        <v>1212</v>
      </c>
      <c r="K161" s="1012"/>
      <c r="L161" s="912">
        <v>40</v>
      </c>
      <c r="M161" s="913">
        <v>58</v>
      </c>
      <c r="N161" s="913">
        <v>96</v>
      </c>
      <c r="O161" s="913">
        <v>122</v>
      </c>
      <c r="P161" s="913">
        <v>163</v>
      </c>
      <c r="Q161" s="913">
        <v>181</v>
      </c>
      <c r="R161" s="913">
        <v>179</v>
      </c>
      <c r="S161" s="913">
        <v>142</v>
      </c>
      <c r="T161" s="913">
        <v>98</v>
      </c>
      <c r="U161" s="913">
        <v>64</v>
      </c>
      <c r="V161" s="913">
        <v>39</v>
      </c>
      <c r="W161" s="914">
        <v>29</v>
      </c>
      <c r="X161" s="915">
        <v>1214</v>
      </c>
    </row>
    <row r="162" spans="1:24" ht="15" customHeight="1" thickBot="1">
      <c r="A162" s="888" t="s">
        <v>1213</v>
      </c>
      <c r="B162" s="889"/>
      <c r="C162" s="889"/>
      <c r="D162" s="889"/>
      <c r="E162" s="889"/>
      <c r="F162" s="889"/>
      <c r="G162" s="890"/>
      <c r="H162" s="999" t="s">
        <v>1214</v>
      </c>
      <c r="I162" s="1000"/>
      <c r="J162" s="999"/>
      <c r="K162" s="1013"/>
      <c r="L162" s="916">
        <v>47</v>
      </c>
      <c r="M162" s="917">
        <v>56</v>
      </c>
      <c r="N162" s="917">
        <v>64</v>
      </c>
      <c r="O162" s="917">
        <v>75</v>
      </c>
      <c r="P162" s="917">
        <v>100</v>
      </c>
      <c r="Q162" s="917">
        <v>111</v>
      </c>
      <c r="R162" s="917">
        <v>109</v>
      </c>
      <c r="S162" s="917">
        <v>91</v>
      </c>
      <c r="T162" s="917">
        <v>88</v>
      </c>
      <c r="U162" s="917">
        <v>70</v>
      </c>
      <c r="V162" s="917">
        <v>82</v>
      </c>
      <c r="W162" s="918">
        <v>73</v>
      </c>
      <c r="X162" s="919">
        <v>966</v>
      </c>
    </row>
    <row r="163" spans="1:24" ht="15" customHeight="1">
      <c r="A163" s="1014" t="s">
        <v>1215</v>
      </c>
      <c r="B163" s="1015"/>
      <c r="C163" s="1015"/>
      <c r="D163" s="1015"/>
      <c r="E163" s="1015"/>
      <c r="F163" s="1015"/>
      <c r="G163" s="1016"/>
      <c r="H163" s="886" t="s">
        <v>1216</v>
      </c>
      <c r="I163" s="1017"/>
      <c r="J163" s="886"/>
      <c r="K163" s="1018"/>
      <c r="L163" s="931">
        <v>3.5</v>
      </c>
      <c r="M163" s="932">
        <v>3.61</v>
      </c>
      <c r="N163" s="932">
        <v>4.33</v>
      </c>
      <c r="O163" s="932">
        <v>5.1100000000000003</v>
      </c>
      <c r="P163" s="932">
        <v>7.2</v>
      </c>
      <c r="Q163" s="932">
        <v>8.75</v>
      </c>
      <c r="R163" s="932">
        <v>10.039999999999999</v>
      </c>
      <c r="S163" s="932">
        <v>10.24</v>
      </c>
      <c r="T163" s="932">
        <v>8.36</v>
      </c>
      <c r="U163" s="932">
        <v>6.71</v>
      </c>
      <c r="V163" s="932">
        <v>4.7300000000000004</v>
      </c>
      <c r="W163" s="933">
        <v>3.91</v>
      </c>
      <c r="X163" s="934">
        <v>6.3741666666666665</v>
      </c>
    </row>
    <row r="164" spans="1:24" ht="15" customHeight="1" thickBot="1">
      <c r="A164" s="924" t="s">
        <v>1217</v>
      </c>
      <c r="B164" s="925"/>
      <c r="C164" s="925"/>
      <c r="D164" s="925"/>
      <c r="E164" s="925"/>
      <c r="F164" s="925"/>
      <c r="G164" s="926"/>
      <c r="H164" s="1019" t="s">
        <v>1218</v>
      </c>
      <c r="I164" s="1020"/>
      <c r="J164" s="1019"/>
      <c r="K164" s="1021"/>
      <c r="L164" s="927">
        <v>4.28</v>
      </c>
      <c r="M164" s="928">
        <v>4.4000000000000004</v>
      </c>
      <c r="N164" s="928">
        <v>5.2</v>
      </c>
      <c r="O164" s="928">
        <v>6.06</v>
      </c>
      <c r="P164" s="928">
        <v>8.3800000000000008</v>
      </c>
      <c r="Q164" s="928">
        <v>10.07</v>
      </c>
      <c r="R164" s="928">
        <v>11.46</v>
      </c>
      <c r="S164" s="928">
        <v>11.69</v>
      </c>
      <c r="T164" s="928">
        <v>9.6999999999999993</v>
      </c>
      <c r="U164" s="928">
        <v>7.92</v>
      </c>
      <c r="V164" s="928">
        <v>5.7</v>
      </c>
      <c r="W164" s="929">
        <v>4.75</v>
      </c>
      <c r="X164" s="930">
        <v>7.53</v>
      </c>
    </row>
    <row r="165" spans="1:24" ht="15" customHeight="1" thickBot="1">
      <c r="A165" s="910"/>
      <c r="B165" s="1028"/>
      <c r="C165" s="1028"/>
      <c r="D165" s="1028"/>
      <c r="E165" s="1028"/>
      <c r="F165" s="1028"/>
      <c r="G165" s="1028"/>
      <c r="H165" s="1032"/>
      <c r="I165" s="1032"/>
      <c r="J165" s="1032"/>
      <c r="K165" s="1032"/>
      <c r="L165" s="1037"/>
      <c r="M165" s="1038"/>
      <c r="N165" s="1038"/>
      <c r="O165" s="1038"/>
      <c r="P165" s="1038"/>
      <c r="Q165" s="1038"/>
      <c r="R165" s="1038"/>
      <c r="S165" s="1038"/>
      <c r="T165" s="1038"/>
      <c r="U165" s="1038"/>
      <c r="V165" s="1038"/>
      <c r="W165" s="1039"/>
      <c r="X165" s="1040"/>
    </row>
    <row r="166" spans="1:24" ht="15" customHeight="1" thickBot="1">
      <c r="A166" s="1031" t="s">
        <v>1232</v>
      </c>
      <c r="B166" s="1031"/>
      <c r="C166" s="1031"/>
      <c r="D166" s="1031"/>
      <c r="E166" s="1031"/>
      <c r="F166" s="1031"/>
      <c r="G166" s="1031"/>
      <c r="H166" s="1031"/>
      <c r="I166" s="1031"/>
      <c r="J166" s="1031"/>
      <c r="K166" s="1031"/>
      <c r="L166" s="884" t="s">
        <v>37</v>
      </c>
      <c r="M166" s="885" t="s">
        <v>38</v>
      </c>
      <c r="N166" s="885" t="s">
        <v>858</v>
      </c>
      <c r="O166" s="885" t="s">
        <v>39</v>
      </c>
      <c r="P166" s="885" t="s">
        <v>40</v>
      </c>
      <c r="Q166" s="885" t="s">
        <v>41</v>
      </c>
      <c r="R166" s="885" t="s">
        <v>42</v>
      </c>
      <c r="S166" s="885" t="s">
        <v>43</v>
      </c>
      <c r="T166" s="885" t="s">
        <v>44</v>
      </c>
      <c r="U166" s="885" t="s">
        <v>45</v>
      </c>
      <c r="V166" s="885" t="s">
        <v>46</v>
      </c>
      <c r="W166" s="886" t="s">
        <v>47</v>
      </c>
      <c r="X166" s="887" t="s">
        <v>352</v>
      </c>
    </row>
    <row r="167" spans="1:24" ht="15" customHeight="1" thickBot="1">
      <c r="A167" s="888" t="s">
        <v>1206</v>
      </c>
      <c r="B167" s="889"/>
      <c r="C167" s="889"/>
      <c r="D167" s="889"/>
      <c r="E167" s="889"/>
      <c r="F167" s="889"/>
      <c r="G167" s="890"/>
      <c r="H167" s="999" t="s">
        <v>3</v>
      </c>
      <c r="I167" s="1000"/>
      <c r="J167" s="891"/>
      <c r="K167" s="892"/>
      <c r="L167" s="893">
        <v>-0.6</v>
      </c>
      <c r="M167" s="894">
        <v>0.8</v>
      </c>
      <c r="N167" s="894">
        <v>4.8</v>
      </c>
      <c r="O167" s="894">
        <v>7.9</v>
      </c>
      <c r="P167" s="894">
        <v>13</v>
      </c>
      <c r="Q167" s="894">
        <v>15.7</v>
      </c>
      <c r="R167" s="894">
        <v>18</v>
      </c>
      <c r="S167" s="894">
        <v>17.8</v>
      </c>
      <c r="T167" s="894">
        <v>13.5</v>
      </c>
      <c r="U167" s="894">
        <v>9.3000000000000007</v>
      </c>
      <c r="V167" s="894">
        <v>3.7</v>
      </c>
      <c r="W167" s="895">
        <v>0.9</v>
      </c>
      <c r="X167" s="896">
        <v>8.7333333333333325</v>
      </c>
    </row>
    <row r="168" spans="1:24" ht="15" customHeight="1">
      <c r="A168" s="897"/>
      <c r="B168" s="898"/>
      <c r="C168" s="898"/>
      <c r="D168" s="898"/>
      <c r="E168" s="898"/>
      <c r="F168" s="898"/>
      <c r="G168" s="899"/>
      <c r="H168" s="1001" t="s">
        <v>1207</v>
      </c>
      <c r="I168" s="1002"/>
      <c r="J168" s="1003" t="s">
        <v>1208</v>
      </c>
      <c r="K168" s="1004"/>
      <c r="L168" s="900">
        <v>123</v>
      </c>
      <c r="M168" s="901">
        <v>181</v>
      </c>
      <c r="N168" s="901">
        <v>329</v>
      </c>
      <c r="O168" s="901">
        <v>433</v>
      </c>
      <c r="P168" s="901">
        <v>549</v>
      </c>
      <c r="Q168" s="901">
        <v>568</v>
      </c>
      <c r="R168" s="901">
        <v>592</v>
      </c>
      <c r="S168" s="901">
        <v>512</v>
      </c>
      <c r="T168" s="901">
        <v>363</v>
      </c>
      <c r="U168" s="901">
        <v>230</v>
      </c>
      <c r="V168" s="901">
        <v>127</v>
      </c>
      <c r="W168" s="902">
        <v>94</v>
      </c>
      <c r="X168" s="903">
        <v>4101</v>
      </c>
    </row>
    <row r="169" spans="1:24" ht="15" customHeight="1">
      <c r="A169" s="904"/>
      <c r="B169" s="882"/>
      <c r="C169" s="882"/>
      <c r="D169" s="882"/>
      <c r="E169" s="882"/>
      <c r="F169" s="882"/>
      <c r="G169" s="905"/>
      <c r="H169" s="1005"/>
      <c r="I169" s="1006"/>
      <c r="J169" s="1007" t="s">
        <v>1209</v>
      </c>
      <c r="K169" s="1008"/>
      <c r="L169" s="900">
        <v>62</v>
      </c>
      <c r="M169" s="906">
        <v>92</v>
      </c>
      <c r="N169" s="906">
        <v>158</v>
      </c>
      <c r="O169" s="906">
        <v>210</v>
      </c>
      <c r="P169" s="906">
        <v>284</v>
      </c>
      <c r="Q169" s="906">
        <v>301</v>
      </c>
      <c r="R169" s="906">
        <v>316</v>
      </c>
      <c r="S169" s="906">
        <v>262</v>
      </c>
      <c r="T169" s="906">
        <v>168</v>
      </c>
      <c r="U169" s="906">
        <v>96</v>
      </c>
      <c r="V169" s="906">
        <v>52</v>
      </c>
      <c r="W169" s="907">
        <v>40</v>
      </c>
      <c r="X169" s="903">
        <v>2042</v>
      </c>
    </row>
    <row r="170" spans="1:24" ht="15" customHeight="1">
      <c r="A170" s="904" t="s">
        <v>1210</v>
      </c>
      <c r="B170" s="882"/>
      <c r="C170" s="882"/>
      <c r="D170" s="882"/>
      <c r="E170" s="882"/>
      <c r="F170" s="882"/>
      <c r="G170" s="905"/>
      <c r="H170" s="1005"/>
      <c r="I170" s="1006"/>
      <c r="J170" s="1007" t="s">
        <v>1211</v>
      </c>
      <c r="K170" s="1008"/>
      <c r="L170" s="900">
        <v>198</v>
      </c>
      <c r="M170" s="906">
        <v>240</v>
      </c>
      <c r="N170" s="906">
        <v>319</v>
      </c>
      <c r="O170" s="906">
        <v>288</v>
      </c>
      <c r="P170" s="906">
        <v>276</v>
      </c>
      <c r="Q170" s="906">
        <v>249</v>
      </c>
      <c r="R170" s="906">
        <v>281</v>
      </c>
      <c r="S170" s="906">
        <v>313</v>
      </c>
      <c r="T170" s="906">
        <v>303</v>
      </c>
      <c r="U170" s="906">
        <v>252</v>
      </c>
      <c r="V170" s="906">
        <v>176</v>
      </c>
      <c r="W170" s="907">
        <v>142</v>
      </c>
      <c r="X170" s="903">
        <v>3037</v>
      </c>
    </row>
    <row r="171" spans="1:24" ht="15" customHeight="1">
      <c r="A171" s="904"/>
      <c r="B171" s="882"/>
      <c r="C171" s="882"/>
      <c r="D171" s="882"/>
      <c r="E171" s="882"/>
      <c r="F171" s="882"/>
      <c r="G171" s="905"/>
      <c r="H171" s="1005"/>
      <c r="I171" s="1006"/>
      <c r="J171" s="1007" t="s">
        <v>592</v>
      </c>
      <c r="K171" s="1008"/>
      <c r="L171" s="908">
        <v>80</v>
      </c>
      <c r="M171" s="906">
        <v>114</v>
      </c>
      <c r="N171" s="906">
        <v>185</v>
      </c>
      <c r="O171" s="906">
        <v>218</v>
      </c>
      <c r="P171" s="906">
        <v>252</v>
      </c>
      <c r="Q171" s="906">
        <v>251</v>
      </c>
      <c r="R171" s="906">
        <v>271</v>
      </c>
      <c r="S171" s="906">
        <v>249</v>
      </c>
      <c r="T171" s="906">
        <v>189</v>
      </c>
      <c r="U171" s="906">
        <v>121</v>
      </c>
      <c r="V171" s="906">
        <v>73</v>
      </c>
      <c r="W171" s="907">
        <v>56</v>
      </c>
      <c r="X171" s="903">
        <v>2058</v>
      </c>
    </row>
    <row r="172" spans="1:24" ht="15" customHeight="1" thickBot="1">
      <c r="A172" s="909"/>
      <c r="B172" s="910"/>
      <c r="C172" s="910"/>
      <c r="D172" s="910"/>
      <c r="E172" s="910"/>
      <c r="F172" s="910"/>
      <c r="G172" s="911"/>
      <c r="H172" s="1009"/>
      <c r="I172" s="1010"/>
      <c r="J172" s="1011" t="s">
        <v>1212</v>
      </c>
      <c r="K172" s="1012"/>
      <c r="L172" s="912">
        <v>46</v>
      </c>
      <c r="M172" s="913">
        <v>65</v>
      </c>
      <c r="N172" s="913">
        <v>94</v>
      </c>
      <c r="O172" s="913">
        <v>109</v>
      </c>
      <c r="P172" s="913">
        <v>142</v>
      </c>
      <c r="Q172" s="913">
        <v>158</v>
      </c>
      <c r="R172" s="913">
        <v>155</v>
      </c>
      <c r="S172" s="913">
        <v>126</v>
      </c>
      <c r="T172" s="913">
        <v>91</v>
      </c>
      <c r="U172" s="913">
        <v>62</v>
      </c>
      <c r="V172" s="913">
        <v>39</v>
      </c>
      <c r="W172" s="914">
        <v>32</v>
      </c>
      <c r="X172" s="915">
        <v>1118</v>
      </c>
    </row>
    <row r="173" spans="1:24" ht="15" customHeight="1" thickBot="1">
      <c r="A173" s="888" t="s">
        <v>1213</v>
      </c>
      <c r="B173" s="889"/>
      <c r="C173" s="889"/>
      <c r="D173" s="889"/>
      <c r="E173" s="889"/>
      <c r="F173" s="889"/>
      <c r="G173" s="890"/>
      <c r="H173" s="999" t="s">
        <v>1214</v>
      </c>
      <c r="I173" s="1000"/>
      <c r="J173" s="999"/>
      <c r="K173" s="1013"/>
      <c r="L173" s="916">
        <v>66</v>
      </c>
      <c r="M173" s="917">
        <v>78</v>
      </c>
      <c r="N173" s="917">
        <v>79</v>
      </c>
      <c r="O173" s="917">
        <v>94</v>
      </c>
      <c r="P173" s="917">
        <v>112</v>
      </c>
      <c r="Q173" s="917">
        <v>137</v>
      </c>
      <c r="R173" s="917">
        <v>131</v>
      </c>
      <c r="S173" s="917">
        <v>121</v>
      </c>
      <c r="T173" s="917">
        <v>99</v>
      </c>
      <c r="U173" s="917">
        <v>77</v>
      </c>
      <c r="V173" s="917">
        <v>90</v>
      </c>
      <c r="W173" s="918">
        <v>83</v>
      </c>
      <c r="X173" s="919">
        <v>1167</v>
      </c>
    </row>
    <row r="174" spans="1:24" ht="15" customHeight="1">
      <c r="A174" s="1014" t="s">
        <v>1215</v>
      </c>
      <c r="B174" s="1015"/>
      <c r="C174" s="1015"/>
      <c r="D174" s="1015"/>
      <c r="E174" s="1015"/>
      <c r="F174" s="1015"/>
      <c r="G174" s="1016"/>
      <c r="H174" s="886" t="s">
        <v>1216</v>
      </c>
      <c r="I174" s="1017"/>
      <c r="J174" s="886"/>
      <c r="K174" s="1018"/>
      <c r="L174" s="931">
        <v>3.24</v>
      </c>
      <c r="M174" s="932">
        <v>3.4</v>
      </c>
      <c r="N174" s="932">
        <v>4.09</v>
      </c>
      <c r="O174" s="932">
        <v>4.9000000000000004</v>
      </c>
      <c r="P174" s="932">
        <v>7</v>
      </c>
      <c r="Q174" s="932">
        <v>8.49</v>
      </c>
      <c r="R174" s="932">
        <v>9.83</v>
      </c>
      <c r="S174" s="932">
        <v>9.9600000000000009</v>
      </c>
      <c r="T174" s="932">
        <v>8.1300000000000008</v>
      </c>
      <c r="U174" s="932">
        <v>6.43</v>
      </c>
      <c r="V174" s="932">
        <v>4.45</v>
      </c>
      <c r="W174" s="933">
        <v>3.65</v>
      </c>
      <c r="X174" s="934">
        <v>6.1308333333333342</v>
      </c>
    </row>
    <row r="175" spans="1:24" ht="15" customHeight="1" thickBot="1">
      <c r="A175" s="924" t="s">
        <v>1217</v>
      </c>
      <c r="B175" s="925"/>
      <c r="C175" s="925"/>
      <c r="D175" s="925"/>
      <c r="E175" s="925"/>
      <c r="F175" s="925"/>
      <c r="G175" s="926"/>
      <c r="H175" s="1019" t="s">
        <v>1218</v>
      </c>
      <c r="I175" s="1024"/>
      <c r="J175" s="1023"/>
      <c r="K175" s="1025"/>
      <c r="L175" s="927">
        <v>3.91</v>
      </c>
      <c r="M175" s="928">
        <v>4.08</v>
      </c>
      <c r="N175" s="928">
        <v>4.83</v>
      </c>
      <c r="O175" s="928">
        <v>5.72</v>
      </c>
      <c r="P175" s="928">
        <v>8.02</v>
      </c>
      <c r="Q175" s="928">
        <v>9.6300000000000008</v>
      </c>
      <c r="R175" s="928">
        <v>11.05</v>
      </c>
      <c r="S175" s="928">
        <v>11.21</v>
      </c>
      <c r="T175" s="928">
        <v>9.2899999999999991</v>
      </c>
      <c r="U175" s="928">
        <v>7.47</v>
      </c>
      <c r="V175" s="928">
        <v>5.28</v>
      </c>
      <c r="W175" s="929">
        <v>4.38</v>
      </c>
      <c r="X175" s="930">
        <v>7.14</v>
      </c>
    </row>
    <row r="176" spans="1:24" ht="15" customHeight="1" thickBot="1">
      <c r="A176" s="910"/>
      <c r="B176" s="1028"/>
      <c r="C176" s="1028"/>
      <c r="D176" s="1028"/>
      <c r="E176" s="1028"/>
      <c r="F176" s="1028"/>
      <c r="G176" s="1028"/>
      <c r="H176" s="1032"/>
      <c r="I176" s="1032"/>
      <c r="J176" s="1032"/>
      <c r="K176" s="1032"/>
      <c r="L176" s="1037"/>
      <c r="M176" s="1038"/>
      <c r="N176" s="1038"/>
      <c r="O176" s="1038"/>
      <c r="P176" s="1038"/>
      <c r="Q176" s="1038"/>
      <c r="R176" s="1038"/>
      <c r="S176" s="1038"/>
      <c r="T176" s="1038"/>
      <c r="U176" s="1038"/>
      <c r="V176" s="1038"/>
      <c r="W176" s="1039"/>
      <c r="X176" s="1040"/>
    </row>
    <row r="177" spans="1:24" ht="15" customHeight="1" thickBot="1">
      <c r="A177" s="1031" t="s">
        <v>1233</v>
      </c>
      <c r="B177" s="1031"/>
      <c r="C177" s="1031"/>
      <c r="D177" s="1031"/>
      <c r="E177" s="1031"/>
      <c r="F177" s="1031"/>
      <c r="G177" s="1031"/>
      <c r="H177" s="1031"/>
      <c r="I177" s="1031"/>
      <c r="J177" s="1031"/>
      <c r="K177" s="1031"/>
      <c r="L177" s="884" t="s">
        <v>37</v>
      </c>
      <c r="M177" s="885" t="s">
        <v>38</v>
      </c>
      <c r="N177" s="885" t="s">
        <v>858</v>
      </c>
      <c r="O177" s="885" t="s">
        <v>39</v>
      </c>
      <c r="P177" s="885" t="s">
        <v>40</v>
      </c>
      <c r="Q177" s="885" t="s">
        <v>41</v>
      </c>
      <c r="R177" s="885" t="s">
        <v>42</v>
      </c>
      <c r="S177" s="885" t="s">
        <v>43</v>
      </c>
      <c r="T177" s="885" t="s">
        <v>44</v>
      </c>
      <c r="U177" s="885" t="s">
        <v>45</v>
      </c>
      <c r="V177" s="885" t="s">
        <v>46</v>
      </c>
      <c r="W177" s="886" t="s">
        <v>47</v>
      </c>
      <c r="X177" s="887" t="s">
        <v>352</v>
      </c>
    </row>
    <row r="178" spans="1:24" ht="15" customHeight="1" thickBot="1">
      <c r="A178" s="888" t="s">
        <v>1206</v>
      </c>
      <c r="B178" s="889"/>
      <c r="C178" s="889"/>
      <c r="D178" s="889"/>
      <c r="E178" s="889"/>
      <c r="F178" s="889"/>
      <c r="G178" s="890"/>
      <c r="H178" s="999" t="s">
        <v>3</v>
      </c>
      <c r="I178" s="1000"/>
      <c r="J178" s="891"/>
      <c r="K178" s="892"/>
      <c r="L178" s="893">
        <v>-1.4</v>
      </c>
      <c r="M178" s="894">
        <v>-0.7</v>
      </c>
      <c r="N178" s="894">
        <v>2.1</v>
      </c>
      <c r="O178" s="894">
        <v>4.8</v>
      </c>
      <c r="P178" s="894">
        <v>9.8000000000000007</v>
      </c>
      <c r="Q178" s="894">
        <v>12.6</v>
      </c>
      <c r="R178" s="894">
        <v>15</v>
      </c>
      <c r="S178" s="894">
        <v>15.1</v>
      </c>
      <c r="T178" s="894">
        <v>11</v>
      </c>
      <c r="U178" s="894">
        <v>7.8</v>
      </c>
      <c r="V178" s="894">
        <v>2.2999999999999998</v>
      </c>
      <c r="W178" s="895">
        <v>0.1</v>
      </c>
      <c r="X178" s="896">
        <v>6.541666666666667</v>
      </c>
    </row>
    <row r="179" spans="1:24" ht="15" customHeight="1">
      <c r="A179" s="897"/>
      <c r="B179" s="898"/>
      <c r="C179" s="898"/>
      <c r="D179" s="898"/>
      <c r="E179" s="898"/>
      <c r="F179" s="898"/>
      <c r="G179" s="899"/>
      <c r="H179" s="1001" t="s">
        <v>1207</v>
      </c>
      <c r="I179" s="1002"/>
      <c r="J179" s="1003" t="s">
        <v>1208</v>
      </c>
      <c r="K179" s="1004"/>
      <c r="L179" s="900">
        <v>142</v>
      </c>
      <c r="M179" s="901">
        <v>203</v>
      </c>
      <c r="N179" s="901">
        <v>343</v>
      </c>
      <c r="O179" s="901">
        <v>425</v>
      </c>
      <c r="P179" s="901">
        <v>506</v>
      </c>
      <c r="Q179" s="901">
        <v>560</v>
      </c>
      <c r="R179" s="901">
        <v>597</v>
      </c>
      <c r="S179" s="901">
        <v>525</v>
      </c>
      <c r="T179" s="901">
        <v>363</v>
      </c>
      <c r="U179" s="901">
        <v>244</v>
      </c>
      <c r="V179" s="901">
        <v>145</v>
      </c>
      <c r="W179" s="902">
        <v>110</v>
      </c>
      <c r="X179" s="903">
        <v>4163</v>
      </c>
    </row>
    <row r="180" spans="1:24" ht="15" customHeight="1">
      <c r="A180" s="904"/>
      <c r="B180" s="882"/>
      <c r="C180" s="882"/>
      <c r="D180" s="882"/>
      <c r="E180" s="882"/>
      <c r="F180" s="882"/>
      <c r="G180" s="905"/>
      <c r="H180" s="1005"/>
      <c r="I180" s="1006"/>
      <c r="J180" s="1007" t="s">
        <v>1209</v>
      </c>
      <c r="K180" s="1008"/>
      <c r="L180" s="900">
        <v>121</v>
      </c>
      <c r="M180" s="906">
        <v>167</v>
      </c>
      <c r="N180" s="906">
        <v>254</v>
      </c>
      <c r="O180" s="906">
        <v>280</v>
      </c>
      <c r="P180" s="906">
        <v>313</v>
      </c>
      <c r="Q180" s="906">
        <v>340</v>
      </c>
      <c r="R180" s="906">
        <v>359</v>
      </c>
      <c r="S180" s="906">
        <v>329</v>
      </c>
      <c r="T180" s="906">
        <v>226</v>
      </c>
      <c r="U180" s="906">
        <v>153</v>
      </c>
      <c r="V180" s="906">
        <v>104</v>
      </c>
      <c r="W180" s="907">
        <v>88</v>
      </c>
      <c r="X180" s="903">
        <v>2733</v>
      </c>
    </row>
    <row r="181" spans="1:24" ht="15" customHeight="1">
      <c r="A181" s="904" t="s">
        <v>1210</v>
      </c>
      <c r="B181" s="882"/>
      <c r="C181" s="882"/>
      <c r="D181" s="882"/>
      <c r="E181" s="882"/>
      <c r="F181" s="882"/>
      <c r="G181" s="905"/>
      <c r="H181" s="1005"/>
      <c r="I181" s="1006"/>
      <c r="J181" s="1007" t="s">
        <v>1211</v>
      </c>
      <c r="K181" s="1008"/>
      <c r="L181" s="900">
        <v>300</v>
      </c>
      <c r="M181" s="906">
        <v>329</v>
      </c>
      <c r="N181" s="906">
        <v>386</v>
      </c>
      <c r="O181" s="906">
        <v>308</v>
      </c>
      <c r="P181" s="906">
        <v>262</v>
      </c>
      <c r="Q181" s="906">
        <v>257</v>
      </c>
      <c r="R181" s="906">
        <v>292</v>
      </c>
      <c r="S181" s="906">
        <v>327</v>
      </c>
      <c r="T181" s="906">
        <v>316</v>
      </c>
      <c r="U181" s="906">
        <v>308</v>
      </c>
      <c r="V181" s="906">
        <v>259</v>
      </c>
      <c r="W181" s="907">
        <v>233</v>
      </c>
      <c r="X181" s="903">
        <v>3577</v>
      </c>
    </row>
    <row r="182" spans="1:24" ht="15" customHeight="1">
      <c r="A182" s="904"/>
      <c r="B182" s="882"/>
      <c r="C182" s="882"/>
      <c r="D182" s="882"/>
      <c r="E182" s="882"/>
      <c r="F182" s="882"/>
      <c r="G182" s="905"/>
      <c r="H182" s="1005"/>
      <c r="I182" s="1006"/>
      <c r="J182" s="1007" t="s">
        <v>592</v>
      </c>
      <c r="K182" s="1008"/>
      <c r="L182" s="908">
        <v>121</v>
      </c>
      <c r="M182" s="906">
        <v>167</v>
      </c>
      <c r="N182" s="906">
        <v>238</v>
      </c>
      <c r="O182" s="906">
        <v>241</v>
      </c>
      <c r="P182" s="906">
        <v>252</v>
      </c>
      <c r="Q182" s="906">
        <v>277</v>
      </c>
      <c r="R182" s="906">
        <v>311</v>
      </c>
      <c r="S182" s="906">
        <v>276</v>
      </c>
      <c r="T182" s="906">
        <v>205</v>
      </c>
      <c r="U182" s="906">
        <v>147</v>
      </c>
      <c r="V182" s="906">
        <v>101</v>
      </c>
      <c r="W182" s="907">
        <v>88</v>
      </c>
      <c r="X182" s="903">
        <v>2424</v>
      </c>
    </row>
    <row r="183" spans="1:24" ht="15" customHeight="1" thickBot="1">
      <c r="A183" s="909"/>
      <c r="B183" s="910"/>
      <c r="C183" s="910"/>
      <c r="D183" s="910"/>
      <c r="E183" s="910"/>
      <c r="F183" s="910"/>
      <c r="G183" s="911"/>
      <c r="H183" s="1009"/>
      <c r="I183" s="1010"/>
      <c r="J183" s="1011" t="s">
        <v>1212</v>
      </c>
      <c r="K183" s="1012"/>
      <c r="L183" s="912">
        <v>67</v>
      </c>
      <c r="M183" s="913">
        <v>94</v>
      </c>
      <c r="N183" s="913">
        <v>134</v>
      </c>
      <c r="O183" s="913">
        <v>137</v>
      </c>
      <c r="P183" s="913">
        <v>155</v>
      </c>
      <c r="Q183" s="913">
        <v>181</v>
      </c>
      <c r="R183" s="913">
        <v>179</v>
      </c>
      <c r="S183" s="913">
        <v>142</v>
      </c>
      <c r="T183" s="913">
        <v>96</v>
      </c>
      <c r="U183" s="913">
        <v>67</v>
      </c>
      <c r="V183" s="913">
        <v>52</v>
      </c>
      <c r="W183" s="914">
        <v>48</v>
      </c>
      <c r="X183" s="915">
        <v>1354</v>
      </c>
    </row>
    <row r="184" spans="1:24" ht="15" customHeight="1" thickBot="1">
      <c r="A184" s="888" t="s">
        <v>1213</v>
      </c>
      <c r="B184" s="889"/>
      <c r="C184" s="889"/>
      <c r="D184" s="889"/>
      <c r="E184" s="889"/>
      <c r="F184" s="889"/>
      <c r="G184" s="890"/>
      <c r="H184" s="999" t="s">
        <v>1214</v>
      </c>
      <c r="I184" s="1000"/>
      <c r="J184" s="999"/>
      <c r="K184" s="1013"/>
      <c r="L184" s="916">
        <v>105</v>
      </c>
      <c r="M184" s="917">
        <v>109</v>
      </c>
      <c r="N184" s="917">
        <v>106</v>
      </c>
      <c r="O184" s="917">
        <v>106</v>
      </c>
      <c r="P184" s="917">
        <v>137</v>
      </c>
      <c r="Q184" s="917">
        <v>125</v>
      </c>
      <c r="R184" s="917">
        <v>130</v>
      </c>
      <c r="S184" s="917">
        <v>118</v>
      </c>
      <c r="T184" s="917">
        <v>136</v>
      </c>
      <c r="U184" s="917">
        <v>127</v>
      </c>
      <c r="V184" s="917">
        <v>129</v>
      </c>
      <c r="W184" s="918">
        <v>124</v>
      </c>
      <c r="X184" s="919">
        <v>1452</v>
      </c>
    </row>
    <row r="185" spans="1:24" ht="15" customHeight="1">
      <c r="A185" s="1014" t="s">
        <v>1215</v>
      </c>
      <c r="B185" s="1015"/>
      <c r="C185" s="1015"/>
      <c r="D185" s="1015"/>
      <c r="E185" s="1015"/>
      <c r="F185" s="1015"/>
      <c r="G185" s="1016"/>
      <c r="H185" s="886" t="s">
        <v>1216</v>
      </c>
      <c r="I185" s="1017"/>
      <c r="J185" s="886"/>
      <c r="K185" s="1018"/>
      <c r="L185" s="931">
        <v>3.25</v>
      </c>
      <c r="M185" s="932">
        <v>3.29</v>
      </c>
      <c r="N185" s="932">
        <v>3.83</v>
      </c>
      <c r="O185" s="932">
        <v>4.51</v>
      </c>
      <c r="P185" s="932">
        <v>6.4</v>
      </c>
      <c r="Q185" s="932">
        <v>7.67</v>
      </c>
      <c r="R185" s="932">
        <v>8.81</v>
      </c>
      <c r="S185" s="932">
        <v>8.83</v>
      </c>
      <c r="T185" s="932">
        <v>7.29</v>
      </c>
      <c r="U185" s="932">
        <v>5.92</v>
      </c>
      <c r="V185" s="932">
        <v>4.24</v>
      </c>
      <c r="W185" s="933">
        <v>3.63</v>
      </c>
      <c r="X185" s="934">
        <v>5.6391666666666671</v>
      </c>
    </row>
    <row r="186" spans="1:24" ht="15" customHeight="1" thickBot="1">
      <c r="A186" s="924" t="s">
        <v>1217</v>
      </c>
      <c r="B186" s="925"/>
      <c r="C186" s="925"/>
      <c r="D186" s="925"/>
      <c r="E186" s="925"/>
      <c r="F186" s="925"/>
      <c r="G186" s="926"/>
      <c r="H186" s="1019" t="s">
        <v>1218</v>
      </c>
      <c r="I186" s="1020"/>
      <c r="J186" s="1019"/>
      <c r="K186" s="1021"/>
      <c r="L186" s="927">
        <v>3.73</v>
      </c>
      <c r="M186" s="928">
        <v>3.76</v>
      </c>
      <c r="N186" s="928">
        <v>4.34</v>
      </c>
      <c r="O186" s="928">
        <v>5.05</v>
      </c>
      <c r="P186" s="928">
        <v>7.04</v>
      </c>
      <c r="Q186" s="928">
        <v>8.34</v>
      </c>
      <c r="R186" s="928">
        <v>9.5</v>
      </c>
      <c r="S186" s="928">
        <v>9.52</v>
      </c>
      <c r="T186" s="928">
        <v>7.98</v>
      </c>
      <c r="U186" s="928">
        <v>6.56</v>
      </c>
      <c r="V186" s="928">
        <v>4.8</v>
      </c>
      <c r="W186" s="929">
        <v>4.1399999999999997</v>
      </c>
      <c r="X186" s="930">
        <v>6.28</v>
      </c>
    </row>
    <row r="187" spans="1:24" ht="15" customHeight="1" thickBot="1">
      <c r="A187" s="882"/>
      <c r="H187" s="1022"/>
      <c r="I187" s="1022"/>
      <c r="J187" s="1022"/>
      <c r="K187" s="1022"/>
      <c r="L187" s="883"/>
      <c r="M187" s="883"/>
      <c r="N187" s="883"/>
      <c r="O187" s="883"/>
      <c r="P187" s="883"/>
      <c r="Q187" s="883"/>
      <c r="R187" s="883"/>
      <c r="S187" s="883"/>
      <c r="T187" s="883"/>
      <c r="U187" s="883"/>
      <c r="V187" s="883"/>
      <c r="W187" s="883"/>
      <c r="X187" s="883"/>
    </row>
    <row r="188" spans="1:24" ht="15" customHeight="1" thickBot="1">
      <c r="A188" s="211" t="s">
        <v>1234</v>
      </c>
      <c r="B188" s="1031"/>
      <c r="C188" s="1031"/>
      <c r="D188" s="1031"/>
      <c r="E188" s="1031"/>
      <c r="F188" s="1031"/>
      <c r="G188" s="1031"/>
      <c r="H188" s="1031"/>
      <c r="I188" s="1031"/>
      <c r="J188" s="1031"/>
      <c r="K188" s="1031"/>
      <c r="L188" s="884" t="s">
        <v>37</v>
      </c>
      <c r="M188" s="885" t="s">
        <v>38</v>
      </c>
      <c r="N188" s="885" t="s">
        <v>858</v>
      </c>
      <c r="O188" s="885" t="s">
        <v>39</v>
      </c>
      <c r="P188" s="885" t="s">
        <v>40</v>
      </c>
      <c r="Q188" s="885" t="s">
        <v>41</v>
      </c>
      <c r="R188" s="885" t="s">
        <v>42</v>
      </c>
      <c r="S188" s="885" t="s">
        <v>43</v>
      </c>
      <c r="T188" s="885" t="s">
        <v>44</v>
      </c>
      <c r="U188" s="885" t="s">
        <v>45</v>
      </c>
      <c r="V188" s="885" t="s">
        <v>46</v>
      </c>
      <c r="W188" s="886" t="s">
        <v>47</v>
      </c>
      <c r="X188" s="887" t="s">
        <v>352</v>
      </c>
    </row>
    <row r="189" spans="1:24" ht="15" customHeight="1" thickBot="1">
      <c r="A189" s="888" t="s">
        <v>1206</v>
      </c>
      <c r="B189" s="889"/>
      <c r="C189" s="889"/>
      <c r="D189" s="889"/>
      <c r="E189" s="889"/>
      <c r="F189" s="889"/>
      <c r="G189" s="890"/>
      <c r="H189" s="999" t="s">
        <v>3</v>
      </c>
      <c r="I189" s="1000"/>
      <c r="J189" s="891"/>
      <c r="K189" s="892"/>
      <c r="L189" s="893">
        <v>-1.2</v>
      </c>
      <c r="M189" s="894">
        <v>-0.8</v>
      </c>
      <c r="N189" s="894">
        <v>1.6</v>
      </c>
      <c r="O189" s="894">
        <v>3.8</v>
      </c>
      <c r="P189" s="894">
        <v>8.8000000000000007</v>
      </c>
      <c r="Q189" s="894">
        <v>11.7</v>
      </c>
      <c r="R189" s="894">
        <v>14.2</v>
      </c>
      <c r="S189" s="894">
        <v>14.5</v>
      </c>
      <c r="T189" s="894">
        <v>10.4</v>
      </c>
      <c r="U189" s="894">
        <v>7.1</v>
      </c>
      <c r="V189" s="894">
        <v>2</v>
      </c>
      <c r="W189" s="895">
        <v>0.1</v>
      </c>
      <c r="X189" s="896">
        <v>6.0166666666666657</v>
      </c>
    </row>
    <row r="190" spans="1:24" ht="15" customHeight="1">
      <c r="A190" s="897"/>
      <c r="B190" s="898"/>
      <c r="C190" s="898"/>
      <c r="D190" s="898"/>
      <c r="E190" s="898"/>
      <c r="F190" s="898"/>
      <c r="G190" s="899"/>
      <c r="H190" s="1001" t="s">
        <v>1207</v>
      </c>
      <c r="I190" s="1002"/>
      <c r="J190" s="1003" t="s">
        <v>1208</v>
      </c>
      <c r="K190" s="1004"/>
      <c r="L190" s="900">
        <v>145</v>
      </c>
      <c r="M190" s="901">
        <v>203</v>
      </c>
      <c r="N190" s="901">
        <v>346</v>
      </c>
      <c r="O190" s="901">
        <v>420</v>
      </c>
      <c r="P190" s="901">
        <v>520</v>
      </c>
      <c r="Q190" s="901">
        <v>562</v>
      </c>
      <c r="R190" s="901">
        <v>597</v>
      </c>
      <c r="S190" s="901">
        <v>520</v>
      </c>
      <c r="T190" s="901">
        <v>358</v>
      </c>
      <c r="U190" s="901">
        <v>236</v>
      </c>
      <c r="V190" s="901">
        <v>140</v>
      </c>
      <c r="W190" s="902">
        <v>112</v>
      </c>
      <c r="X190" s="903">
        <v>4158</v>
      </c>
    </row>
    <row r="191" spans="1:24" ht="15" customHeight="1">
      <c r="A191" s="904"/>
      <c r="B191" s="882"/>
      <c r="C191" s="882"/>
      <c r="D191" s="882"/>
      <c r="E191" s="882"/>
      <c r="F191" s="882"/>
      <c r="G191" s="905"/>
      <c r="H191" s="1005"/>
      <c r="I191" s="1006"/>
      <c r="J191" s="1007" t="s">
        <v>1209</v>
      </c>
      <c r="K191" s="1008"/>
      <c r="L191" s="900">
        <v>104</v>
      </c>
      <c r="M191" s="906">
        <v>140</v>
      </c>
      <c r="N191" s="906">
        <v>222</v>
      </c>
      <c r="O191" s="906">
        <v>264</v>
      </c>
      <c r="P191" s="906">
        <v>308</v>
      </c>
      <c r="Q191" s="906">
        <v>342</v>
      </c>
      <c r="R191" s="906">
        <v>359</v>
      </c>
      <c r="S191" s="906">
        <v>332</v>
      </c>
      <c r="T191" s="906">
        <v>228</v>
      </c>
      <c r="U191" s="906">
        <v>158</v>
      </c>
      <c r="V191" s="906">
        <v>101</v>
      </c>
      <c r="W191" s="907">
        <v>80</v>
      </c>
      <c r="X191" s="903">
        <v>2640</v>
      </c>
    </row>
    <row r="192" spans="1:24" ht="15" customHeight="1">
      <c r="A192" s="904" t="s">
        <v>1210</v>
      </c>
      <c r="B192" s="882"/>
      <c r="C192" s="882"/>
      <c r="D192" s="882"/>
      <c r="E192" s="882"/>
      <c r="F192" s="882"/>
      <c r="G192" s="905"/>
      <c r="H192" s="1005"/>
      <c r="I192" s="1006"/>
      <c r="J192" s="1007" t="s">
        <v>1211</v>
      </c>
      <c r="K192" s="1008"/>
      <c r="L192" s="900">
        <v>273</v>
      </c>
      <c r="M192" s="906">
        <v>298</v>
      </c>
      <c r="N192" s="906">
        <v>348</v>
      </c>
      <c r="O192" s="906">
        <v>285</v>
      </c>
      <c r="P192" s="906">
        <v>271</v>
      </c>
      <c r="Q192" s="906">
        <v>257</v>
      </c>
      <c r="R192" s="906">
        <v>289</v>
      </c>
      <c r="S192" s="906">
        <v>324</v>
      </c>
      <c r="T192" s="906">
        <v>308</v>
      </c>
      <c r="U192" s="906">
        <v>292</v>
      </c>
      <c r="V192" s="906">
        <v>233</v>
      </c>
      <c r="W192" s="907">
        <v>225</v>
      </c>
      <c r="X192" s="903">
        <v>3403</v>
      </c>
    </row>
    <row r="193" spans="1:24" ht="15" customHeight="1">
      <c r="A193" s="904"/>
      <c r="B193" s="882"/>
      <c r="C193" s="882"/>
      <c r="D193" s="882"/>
      <c r="E193" s="882"/>
      <c r="F193" s="882"/>
      <c r="G193" s="905"/>
      <c r="H193" s="1005"/>
      <c r="I193" s="1006"/>
      <c r="J193" s="1007" t="s">
        <v>592</v>
      </c>
      <c r="K193" s="1008"/>
      <c r="L193" s="908">
        <v>86</v>
      </c>
      <c r="M193" s="906">
        <v>121</v>
      </c>
      <c r="N193" s="906">
        <v>196</v>
      </c>
      <c r="O193" s="906">
        <v>205</v>
      </c>
      <c r="P193" s="906">
        <v>249</v>
      </c>
      <c r="Q193" s="906">
        <v>267</v>
      </c>
      <c r="R193" s="906">
        <v>292</v>
      </c>
      <c r="S193" s="906">
        <v>257</v>
      </c>
      <c r="T193" s="906">
        <v>197</v>
      </c>
      <c r="U193" s="906">
        <v>139</v>
      </c>
      <c r="V193" s="906">
        <v>78</v>
      </c>
      <c r="W193" s="907">
        <v>67</v>
      </c>
      <c r="X193" s="903">
        <v>2153</v>
      </c>
    </row>
    <row r="194" spans="1:24" ht="15" customHeight="1" thickBot="1">
      <c r="A194" s="909"/>
      <c r="B194" s="910"/>
      <c r="C194" s="910"/>
      <c r="D194" s="910"/>
      <c r="E194" s="910"/>
      <c r="F194" s="910"/>
      <c r="G194" s="911"/>
      <c r="H194" s="1009"/>
      <c r="I194" s="1010"/>
      <c r="J194" s="1011" t="s">
        <v>1212</v>
      </c>
      <c r="K194" s="1012"/>
      <c r="L194" s="912">
        <v>40</v>
      </c>
      <c r="M194" s="913">
        <v>53</v>
      </c>
      <c r="N194" s="913">
        <v>88</v>
      </c>
      <c r="O194" s="913">
        <v>114</v>
      </c>
      <c r="P194" s="913">
        <v>147</v>
      </c>
      <c r="Q194" s="913">
        <v>174</v>
      </c>
      <c r="R194" s="913">
        <v>171</v>
      </c>
      <c r="S194" s="913">
        <v>137</v>
      </c>
      <c r="T194" s="913">
        <v>93</v>
      </c>
      <c r="U194" s="913">
        <v>64</v>
      </c>
      <c r="V194" s="913">
        <v>41</v>
      </c>
      <c r="W194" s="914">
        <v>35</v>
      </c>
      <c r="X194" s="915">
        <v>1159</v>
      </c>
    </row>
    <row r="195" spans="1:24" ht="15" customHeight="1" thickBot="1">
      <c r="A195" s="888" t="s">
        <v>1213</v>
      </c>
      <c r="B195" s="889"/>
      <c r="C195" s="889"/>
      <c r="D195" s="889"/>
      <c r="E195" s="889"/>
      <c r="F195" s="889"/>
      <c r="G195" s="890"/>
      <c r="H195" s="999" t="s">
        <v>1214</v>
      </c>
      <c r="I195" s="1000"/>
      <c r="J195" s="999"/>
      <c r="K195" s="1013"/>
      <c r="L195" s="916">
        <v>103</v>
      </c>
      <c r="M195" s="917">
        <v>108</v>
      </c>
      <c r="N195" s="917">
        <v>92</v>
      </c>
      <c r="O195" s="917">
        <v>97</v>
      </c>
      <c r="P195" s="917">
        <v>117</v>
      </c>
      <c r="Q195" s="917">
        <v>119</v>
      </c>
      <c r="R195" s="917">
        <v>116</v>
      </c>
      <c r="S195" s="917">
        <v>94</v>
      </c>
      <c r="T195" s="917">
        <v>125</v>
      </c>
      <c r="U195" s="917">
        <v>128</v>
      </c>
      <c r="V195" s="917">
        <v>116</v>
      </c>
      <c r="W195" s="918">
        <v>112</v>
      </c>
      <c r="X195" s="919">
        <v>1327</v>
      </c>
    </row>
    <row r="196" spans="1:24" ht="15" customHeight="1">
      <c r="A196" s="1014" t="s">
        <v>1215</v>
      </c>
      <c r="B196" s="1015"/>
      <c r="C196" s="1015"/>
      <c r="D196" s="1015"/>
      <c r="E196" s="1015"/>
      <c r="F196" s="1015"/>
      <c r="G196" s="1016"/>
      <c r="H196" s="886" t="s">
        <v>1216</v>
      </c>
      <c r="I196" s="1017"/>
      <c r="J196" s="886"/>
      <c r="K196" s="1018"/>
      <c r="L196" s="931">
        <v>3.18</v>
      </c>
      <c r="M196" s="932">
        <v>3.2</v>
      </c>
      <c r="N196" s="932">
        <v>3.78</v>
      </c>
      <c r="O196" s="932">
        <v>4.43</v>
      </c>
      <c r="P196" s="932">
        <v>6.34</v>
      </c>
      <c r="Q196" s="932">
        <v>7.63</v>
      </c>
      <c r="R196" s="932">
        <v>8.8000000000000007</v>
      </c>
      <c r="S196" s="932">
        <v>8.89</v>
      </c>
      <c r="T196" s="932">
        <v>7.38</v>
      </c>
      <c r="U196" s="932">
        <v>5.91</v>
      </c>
      <c r="V196" s="932">
        <v>4.12</v>
      </c>
      <c r="W196" s="933">
        <v>3.5</v>
      </c>
      <c r="X196" s="934">
        <v>5.5966666666666667</v>
      </c>
    </row>
    <row r="197" spans="1:24" ht="15" customHeight="1" thickBot="1">
      <c r="A197" s="924" t="s">
        <v>1217</v>
      </c>
      <c r="B197" s="925"/>
      <c r="C197" s="925"/>
      <c r="D197" s="925"/>
      <c r="E197" s="925"/>
      <c r="F197" s="925"/>
      <c r="G197" s="926"/>
      <c r="H197" s="1019" t="s">
        <v>1218</v>
      </c>
      <c r="I197" s="1024"/>
      <c r="J197" s="1023"/>
      <c r="K197" s="1025"/>
      <c r="L197" s="927">
        <v>3.56</v>
      </c>
      <c r="M197" s="928">
        <v>3.58</v>
      </c>
      <c r="N197" s="928">
        <v>4.1900000000000004</v>
      </c>
      <c r="O197" s="928">
        <v>4.87</v>
      </c>
      <c r="P197" s="928">
        <v>6.84</v>
      </c>
      <c r="Q197" s="928">
        <v>8.14</v>
      </c>
      <c r="R197" s="928">
        <v>9.3000000000000007</v>
      </c>
      <c r="S197" s="928">
        <v>9.39</v>
      </c>
      <c r="T197" s="928">
        <v>7.91</v>
      </c>
      <c r="U197" s="928">
        <v>6.42</v>
      </c>
      <c r="V197" s="928">
        <v>4.5599999999999996</v>
      </c>
      <c r="W197" s="929">
        <v>3.9</v>
      </c>
      <c r="X197" s="930">
        <v>6.1</v>
      </c>
    </row>
    <row r="198" spans="1:24" ht="15" customHeight="1" thickBot="1">
      <c r="A198" s="910"/>
      <c r="B198" s="1028"/>
      <c r="C198" s="1028"/>
      <c r="D198" s="1028"/>
      <c r="E198" s="1028"/>
      <c r="F198" s="1028"/>
      <c r="G198" s="1028"/>
      <c r="H198" s="1032"/>
      <c r="I198" s="1032"/>
      <c r="J198" s="1032"/>
      <c r="K198" s="1032"/>
      <c r="L198" s="1037"/>
      <c r="M198" s="1038"/>
      <c r="N198" s="1038"/>
      <c r="O198" s="1038"/>
      <c r="P198" s="1038"/>
      <c r="Q198" s="1038"/>
      <c r="R198" s="1038"/>
      <c r="S198" s="1038"/>
      <c r="T198" s="1038"/>
      <c r="U198" s="1038"/>
      <c r="V198" s="1038"/>
      <c r="W198" s="1039"/>
      <c r="X198" s="1040"/>
    </row>
    <row r="199" spans="1:24" ht="15" customHeight="1" thickBot="1">
      <c r="A199" s="1031" t="s">
        <v>1235</v>
      </c>
      <c r="B199" s="1031"/>
      <c r="C199" s="1031"/>
      <c r="D199" s="1031"/>
      <c r="E199" s="1031"/>
      <c r="F199" s="1031"/>
      <c r="G199" s="1031"/>
      <c r="H199" s="1031"/>
      <c r="I199" s="1031"/>
      <c r="J199" s="1031"/>
      <c r="K199" s="1031"/>
      <c r="L199" s="884" t="s">
        <v>37</v>
      </c>
      <c r="M199" s="885" t="s">
        <v>38</v>
      </c>
      <c r="N199" s="885" t="s">
        <v>858</v>
      </c>
      <c r="O199" s="885" t="s">
        <v>39</v>
      </c>
      <c r="P199" s="885" t="s">
        <v>40</v>
      </c>
      <c r="Q199" s="885" t="s">
        <v>41</v>
      </c>
      <c r="R199" s="885" t="s">
        <v>42</v>
      </c>
      <c r="S199" s="885" t="s">
        <v>43</v>
      </c>
      <c r="T199" s="885" t="s">
        <v>44</v>
      </c>
      <c r="U199" s="885" t="s">
        <v>45</v>
      </c>
      <c r="V199" s="885" t="s">
        <v>46</v>
      </c>
      <c r="W199" s="886" t="s">
        <v>47</v>
      </c>
      <c r="X199" s="887" t="s">
        <v>352</v>
      </c>
    </row>
    <row r="200" spans="1:24" ht="15" customHeight="1" thickBot="1">
      <c r="A200" s="888" t="s">
        <v>1206</v>
      </c>
      <c r="B200" s="889"/>
      <c r="C200" s="889"/>
      <c r="D200" s="889"/>
      <c r="E200" s="889"/>
      <c r="F200" s="889"/>
      <c r="G200" s="890"/>
      <c r="H200" s="999" t="s">
        <v>3</v>
      </c>
      <c r="I200" s="1000"/>
      <c r="J200" s="891"/>
      <c r="K200" s="892"/>
      <c r="L200" s="893">
        <v>3.3</v>
      </c>
      <c r="M200" s="894">
        <v>4.9000000000000004</v>
      </c>
      <c r="N200" s="894">
        <v>9</v>
      </c>
      <c r="O200" s="894">
        <v>11.5</v>
      </c>
      <c r="P200" s="894">
        <v>15.8</v>
      </c>
      <c r="Q200" s="894">
        <v>19.100000000000001</v>
      </c>
      <c r="R200" s="894">
        <v>21.7</v>
      </c>
      <c r="S200" s="894">
        <v>21.5</v>
      </c>
      <c r="T200" s="894">
        <v>17</v>
      </c>
      <c r="U200" s="894">
        <v>12.6</v>
      </c>
      <c r="V200" s="894">
        <v>7.3</v>
      </c>
      <c r="W200" s="895">
        <v>4.4000000000000004</v>
      </c>
      <c r="X200" s="896">
        <v>12.341666666666669</v>
      </c>
    </row>
    <row r="201" spans="1:24" ht="15" customHeight="1">
      <c r="A201" s="897"/>
      <c r="B201" s="898"/>
      <c r="C201" s="898"/>
      <c r="D201" s="898"/>
      <c r="E201" s="898"/>
      <c r="F201" s="898"/>
      <c r="G201" s="899"/>
      <c r="H201" s="1001" t="s">
        <v>1207</v>
      </c>
      <c r="I201" s="1002"/>
      <c r="J201" s="1003" t="s">
        <v>1208</v>
      </c>
      <c r="K201" s="1004"/>
      <c r="L201" s="900">
        <v>158</v>
      </c>
      <c r="M201" s="901">
        <v>227</v>
      </c>
      <c r="N201" s="901">
        <v>391</v>
      </c>
      <c r="O201" s="901">
        <v>443</v>
      </c>
      <c r="P201" s="901">
        <v>536</v>
      </c>
      <c r="Q201" s="901">
        <v>614</v>
      </c>
      <c r="R201" s="901">
        <v>648</v>
      </c>
      <c r="S201" s="901">
        <v>570</v>
      </c>
      <c r="T201" s="901">
        <v>391</v>
      </c>
      <c r="U201" s="901">
        <v>252</v>
      </c>
      <c r="V201" s="901">
        <v>153</v>
      </c>
      <c r="W201" s="902">
        <v>129</v>
      </c>
      <c r="X201" s="903">
        <v>4513</v>
      </c>
    </row>
    <row r="202" spans="1:24" ht="15" customHeight="1">
      <c r="A202" s="904"/>
      <c r="B202" s="882"/>
      <c r="C202" s="882"/>
      <c r="D202" s="882"/>
      <c r="E202" s="882"/>
      <c r="F202" s="882"/>
      <c r="G202" s="905"/>
      <c r="H202" s="1005"/>
      <c r="I202" s="1006"/>
      <c r="J202" s="1007" t="s">
        <v>1209</v>
      </c>
      <c r="K202" s="1008"/>
      <c r="L202" s="900">
        <v>102</v>
      </c>
      <c r="M202" s="906">
        <v>152</v>
      </c>
      <c r="N202" s="906">
        <v>236</v>
      </c>
      <c r="O202" s="906">
        <v>246</v>
      </c>
      <c r="P202" s="906">
        <v>281</v>
      </c>
      <c r="Q202" s="906">
        <v>319</v>
      </c>
      <c r="R202" s="906">
        <v>340</v>
      </c>
      <c r="S202" s="906">
        <v>313</v>
      </c>
      <c r="T202" s="906">
        <v>223</v>
      </c>
      <c r="U202" s="906">
        <v>155</v>
      </c>
      <c r="V202" s="906">
        <v>93</v>
      </c>
      <c r="W202" s="907">
        <v>78</v>
      </c>
      <c r="X202" s="903">
        <v>2539</v>
      </c>
    </row>
    <row r="203" spans="1:24" ht="15" customHeight="1">
      <c r="A203" s="904" t="s">
        <v>1210</v>
      </c>
      <c r="B203" s="882"/>
      <c r="C203" s="882"/>
      <c r="D203" s="882"/>
      <c r="E203" s="882"/>
      <c r="F203" s="882"/>
      <c r="G203" s="905"/>
      <c r="H203" s="1005"/>
      <c r="I203" s="1006"/>
      <c r="J203" s="1007" t="s">
        <v>1211</v>
      </c>
      <c r="K203" s="1008"/>
      <c r="L203" s="900">
        <v>319</v>
      </c>
      <c r="M203" s="906">
        <v>341</v>
      </c>
      <c r="N203" s="906">
        <v>404</v>
      </c>
      <c r="O203" s="906">
        <v>306</v>
      </c>
      <c r="P203" s="906">
        <v>276</v>
      </c>
      <c r="Q203" s="906">
        <v>277</v>
      </c>
      <c r="R203" s="906">
        <v>316</v>
      </c>
      <c r="S203" s="906">
        <v>356</v>
      </c>
      <c r="T203" s="906">
        <v>342</v>
      </c>
      <c r="U203" s="906">
        <v>319</v>
      </c>
      <c r="V203" s="906">
        <v>264</v>
      </c>
      <c r="W203" s="907">
        <v>271</v>
      </c>
      <c r="X203" s="903">
        <v>3791</v>
      </c>
    </row>
    <row r="204" spans="1:24" ht="15" customHeight="1">
      <c r="A204" s="904"/>
      <c r="B204" s="882"/>
      <c r="C204" s="882"/>
      <c r="D204" s="882"/>
      <c r="E204" s="882"/>
      <c r="F204" s="882"/>
      <c r="G204" s="905"/>
      <c r="H204" s="1005"/>
      <c r="I204" s="1006"/>
      <c r="J204" s="1007" t="s">
        <v>592</v>
      </c>
      <c r="K204" s="1008"/>
      <c r="L204" s="908">
        <v>110</v>
      </c>
      <c r="M204" s="906">
        <v>140</v>
      </c>
      <c r="N204" s="906">
        <v>222</v>
      </c>
      <c r="O204" s="906">
        <v>241</v>
      </c>
      <c r="P204" s="906">
        <v>268</v>
      </c>
      <c r="Q204" s="906">
        <v>298</v>
      </c>
      <c r="R204" s="906">
        <v>321</v>
      </c>
      <c r="S204" s="906">
        <v>295</v>
      </c>
      <c r="T204" s="906">
        <v>220</v>
      </c>
      <c r="U204" s="906">
        <v>142</v>
      </c>
      <c r="V204" s="906">
        <v>91</v>
      </c>
      <c r="W204" s="907">
        <v>86</v>
      </c>
      <c r="X204" s="903">
        <v>2434</v>
      </c>
    </row>
    <row r="205" spans="1:24" ht="15" customHeight="1" thickBot="1">
      <c r="A205" s="909"/>
      <c r="B205" s="910"/>
      <c r="C205" s="910"/>
      <c r="D205" s="910"/>
      <c r="E205" s="910"/>
      <c r="F205" s="910"/>
      <c r="G205" s="911"/>
      <c r="H205" s="1009"/>
      <c r="I205" s="1010"/>
      <c r="J205" s="1011" t="s">
        <v>1212</v>
      </c>
      <c r="K205" s="1012"/>
      <c r="L205" s="912">
        <v>46</v>
      </c>
      <c r="M205" s="913">
        <v>60</v>
      </c>
      <c r="N205" s="913">
        <v>86</v>
      </c>
      <c r="O205" s="913">
        <v>101</v>
      </c>
      <c r="P205" s="913">
        <v>131</v>
      </c>
      <c r="Q205" s="913">
        <v>156</v>
      </c>
      <c r="R205" s="913">
        <v>161</v>
      </c>
      <c r="S205" s="913">
        <v>131</v>
      </c>
      <c r="T205" s="913">
        <v>88</v>
      </c>
      <c r="U205" s="913">
        <v>59</v>
      </c>
      <c r="V205" s="913">
        <v>39</v>
      </c>
      <c r="W205" s="914">
        <v>35</v>
      </c>
      <c r="X205" s="915">
        <v>1092</v>
      </c>
    </row>
    <row r="206" spans="1:24" ht="15" customHeight="1" thickBot="1">
      <c r="A206" s="888" t="s">
        <v>1213</v>
      </c>
      <c r="B206" s="889"/>
      <c r="C206" s="889"/>
      <c r="D206" s="889"/>
      <c r="E206" s="889"/>
      <c r="F206" s="889"/>
      <c r="G206" s="890"/>
      <c r="H206" s="999" t="s">
        <v>1214</v>
      </c>
      <c r="I206" s="1000"/>
      <c r="J206" s="999"/>
      <c r="K206" s="1013"/>
      <c r="L206" s="916">
        <v>84</v>
      </c>
      <c r="M206" s="917">
        <v>59</v>
      </c>
      <c r="N206" s="917">
        <v>88</v>
      </c>
      <c r="O206" s="917">
        <v>194</v>
      </c>
      <c r="P206" s="917">
        <v>207</v>
      </c>
      <c r="Q206" s="917">
        <v>208</v>
      </c>
      <c r="R206" s="917">
        <v>175</v>
      </c>
      <c r="S206" s="917">
        <v>201</v>
      </c>
      <c r="T206" s="917">
        <v>210</v>
      </c>
      <c r="U206" s="917">
        <v>197</v>
      </c>
      <c r="V206" s="917">
        <v>168</v>
      </c>
      <c r="W206" s="918">
        <v>72</v>
      </c>
      <c r="X206" s="919">
        <v>1863</v>
      </c>
    </row>
    <row r="207" spans="1:24" ht="15" customHeight="1">
      <c r="A207" s="1014" t="s">
        <v>1215</v>
      </c>
      <c r="B207" s="1015"/>
      <c r="C207" s="1015"/>
      <c r="D207" s="1015"/>
      <c r="E207" s="1015"/>
      <c r="F207" s="1015"/>
      <c r="G207" s="1016"/>
      <c r="H207" s="886" t="s">
        <v>1216</v>
      </c>
      <c r="I207" s="1017"/>
      <c r="J207" s="886"/>
      <c r="K207" s="1018"/>
      <c r="L207" s="931">
        <v>3.26</v>
      </c>
      <c r="M207" s="932">
        <v>3.29</v>
      </c>
      <c r="N207" s="932">
        <v>3.88</v>
      </c>
      <c r="O207" s="932">
        <v>5.03</v>
      </c>
      <c r="P207" s="932">
        <v>7.52</v>
      </c>
      <c r="Q207" s="932">
        <v>9.15</v>
      </c>
      <c r="R207" s="932">
        <v>10.57</v>
      </c>
      <c r="S207" s="932">
        <v>10.83</v>
      </c>
      <c r="T207" s="932">
        <v>8.75</v>
      </c>
      <c r="U207" s="932">
        <v>7.03</v>
      </c>
      <c r="V207" s="932">
        <v>4.67</v>
      </c>
      <c r="W207" s="933">
        <v>3.57</v>
      </c>
      <c r="X207" s="934">
        <v>6.4625000000000004</v>
      </c>
    </row>
    <row r="208" spans="1:24" ht="15" customHeight="1" thickBot="1">
      <c r="A208" s="924" t="s">
        <v>1217</v>
      </c>
      <c r="B208" s="925"/>
      <c r="C208" s="925"/>
      <c r="D208" s="925"/>
      <c r="E208" s="925"/>
      <c r="F208" s="925"/>
      <c r="G208" s="926"/>
      <c r="H208" s="1019" t="s">
        <v>1218</v>
      </c>
      <c r="I208" s="1024"/>
      <c r="J208" s="1023"/>
      <c r="K208" s="1025"/>
      <c r="L208" s="927">
        <v>3.98</v>
      </c>
      <c r="M208" s="928">
        <v>3.99</v>
      </c>
      <c r="N208" s="928">
        <v>4.6399999999999997</v>
      </c>
      <c r="O208" s="928">
        <v>5.95</v>
      </c>
      <c r="P208" s="928">
        <v>8.75</v>
      </c>
      <c r="Q208" s="928">
        <v>10.52</v>
      </c>
      <c r="R208" s="928">
        <v>12.04</v>
      </c>
      <c r="S208" s="928">
        <v>12.34</v>
      </c>
      <c r="T208" s="928">
        <v>10.14</v>
      </c>
      <c r="U208" s="928">
        <v>8.2799999999999994</v>
      </c>
      <c r="V208" s="928">
        <v>5.61</v>
      </c>
      <c r="W208" s="929">
        <v>4.34</v>
      </c>
      <c r="X208" s="930">
        <v>7.62</v>
      </c>
    </row>
    <row r="209" spans="1:24" ht="15" customHeight="1" thickBot="1">
      <c r="A209" s="910"/>
      <c r="B209" s="1028"/>
      <c r="C209" s="1028"/>
      <c r="D209" s="1028"/>
      <c r="E209" s="1028"/>
      <c r="F209" s="1028"/>
      <c r="G209" s="1028"/>
      <c r="H209" s="1032"/>
      <c r="I209" s="1032"/>
      <c r="J209" s="1032"/>
      <c r="K209" s="1032"/>
      <c r="L209" s="1037"/>
      <c r="M209" s="1038"/>
      <c r="N209" s="1038"/>
      <c r="O209" s="1038"/>
      <c r="P209" s="1038"/>
      <c r="Q209" s="1038"/>
      <c r="R209" s="1038"/>
      <c r="S209" s="1038"/>
      <c r="T209" s="1038"/>
      <c r="U209" s="1038"/>
      <c r="V209" s="1038"/>
      <c r="W209" s="1039"/>
      <c r="X209" s="1040"/>
    </row>
    <row r="210" spans="1:24" ht="15" customHeight="1" thickBot="1">
      <c r="A210" s="1031" t="s">
        <v>1236</v>
      </c>
      <c r="B210" s="1031"/>
      <c r="C210" s="1031"/>
      <c r="D210" s="1031"/>
      <c r="E210" s="1031"/>
      <c r="F210" s="1031"/>
      <c r="G210" s="1031"/>
      <c r="H210" s="1031"/>
      <c r="I210" s="1031"/>
      <c r="J210" s="1031"/>
      <c r="K210" s="1031"/>
      <c r="L210" s="884" t="s">
        <v>37</v>
      </c>
      <c r="M210" s="885" t="s">
        <v>38</v>
      </c>
      <c r="N210" s="885" t="s">
        <v>858</v>
      </c>
      <c r="O210" s="885" t="s">
        <v>39</v>
      </c>
      <c r="P210" s="885" t="s">
        <v>40</v>
      </c>
      <c r="Q210" s="885" t="s">
        <v>41</v>
      </c>
      <c r="R210" s="885" t="s">
        <v>42</v>
      </c>
      <c r="S210" s="885" t="s">
        <v>43</v>
      </c>
      <c r="T210" s="885" t="s">
        <v>44</v>
      </c>
      <c r="U210" s="885" t="s">
        <v>45</v>
      </c>
      <c r="V210" s="885" t="s">
        <v>46</v>
      </c>
      <c r="W210" s="886" t="s">
        <v>47</v>
      </c>
      <c r="X210" s="887" t="s">
        <v>352</v>
      </c>
    </row>
    <row r="211" spans="1:24" ht="15" customHeight="1" thickBot="1">
      <c r="A211" s="888" t="s">
        <v>1206</v>
      </c>
      <c r="B211" s="889"/>
      <c r="C211" s="889"/>
      <c r="D211" s="889"/>
      <c r="E211" s="889"/>
      <c r="F211" s="889"/>
      <c r="G211" s="890"/>
      <c r="H211" s="999" t="s">
        <v>3</v>
      </c>
      <c r="I211" s="1000"/>
      <c r="J211" s="891"/>
      <c r="K211" s="892"/>
      <c r="L211" s="893">
        <v>3.3</v>
      </c>
      <c r="M211" s="894">
        <v>4.8</v>
      </c>
      <c r="N211" s="894">
        <v>8.6</v>
      </c>
      <c r="O211" s="894">
        <v>11.3</v>
      </c>
      <c r="P211" s="894">
        <v>15.8</v>
      </c>
      <c r="Q211" s="894">
        <v>19.3</v>
      </c>
      <c r="R211" s="894">
        <v>22</v>
      </c>
      <c r="S211" s="894">
        <v>21.7</v>
      </c>
      <c r="T211" s="894">
        <v>17.3</v>
      </c>
      <c r="U211" s="894">
        <v>12.9</v>
      </c>
      <c r="V211" s="894">
        <v>7.8</v>
      </c>
      <c r="W211" s="895">
        <v>4.5</v>
      </c>
      <c r="X211" s="896">
        <v>12.441666666666668</v>
      </c>
    </row>
    <row r="212" spans="1:24" ht="15" customHeight="1">
      <c r="A212" s="897"/>
      <c r="B212" s="898"/>
      <c r="C212" s="898"/>
      <c r="D212" s="898"/>
      <c r="E212" s="898"/>
      <c r="F212" s="898"/>
      <c r="G212" s="899"/>
      <c r="H212" s="1001" t="s">
        <v>1207</v>
      </c>
      <c r="I212" s="1002"/>
      <c r="J212" s="1003" t="s">
        <v>1208</v>
      </c>
      <c r="K212" s="1004"/>
      <c r="L212" s="900">
        <v>153</v>
      </c>
      <c r="M212" s="901">
        <v>218</v>
      </c>
      <c r="N212" s="901">
        <v>370</v>
      </c>
      <c r="O212" s="901">
        <v>420</v>
      </c>
      <c r="P212" s="901">
        <v>525</v>
      </c>
      <c r="Q212" s="901">
        <v>601</v>
      </c>
      <c r="R212" s="901">
        <v>643</v>
      </c>
      <c r="S212" s="901">
        <v>581</v>
      </c>
      <c r="T212" s="901">
        <v>397</v>
      </c>
      <c r="U212" s="901">
        <v>249</v>
      </c>
      <c r="V212" s="901">
        <v>150</v>
      </c>
      <c r="W212" s="902">
        <v>123</v>
      </c>
      <c r="X212" s="903">
        <v>4429</v>
      </c>
    </row>
    <row r="213" spans="1:24" ht="15" customHeight="1">
      <c r="A213" s="904"/>
      <c r="B213" s="882"/>
      <c r="C213" s="882"/>
      <c r="D213" s="882"/>
      <c r="E213" s="882"/>
      <c r="F213" s="882"/>
      <c r="G213" s="905"/>
      <c r="H213" s="1005"/>
      <c r="I213" s="1006"/>
      <c r="J213" s="1007" t="s">
        <v>1209</v>
      </c>
      <c r="K213" s="1008"/>
      <c r="L213" s="900">
        <v>86</v>
      </c>
      <c r="M213" s="906">
        <v>131</v>
      </c>
      <c r="N213" s="906">
        <v>212</v>
      </c>
      <c r="O213" s="906">
        <v>223</v>
      </c>
      <c r="P213" s="906">
        <v>252</v>
      </c>
      <c r="Q213" s="906">
        <v>285</v>
      </c>
      <c r="R213" s="906">
        <v>311</v>
      </c>
      <c r="S213" s="906">
        <v>297</v>
      </c>
      <c r="T213" s="906">
        <v>218</v>
      </c>
      <c r="U213" s="906">
        <v>137</v>
      </c>
      <c r="V213" s="906">
        <v>78</v>
      </c>
      <c r="W213" s="907">
        <v>64</v>
      </c>
      <c r="X213" s="903">
        <v>2292</v>
      </c>
    </row>
    <row r="214" spans="1:24" ht="15" customHeight="1">
      <c r="A214" s="904" t="s">
        <v>1210</v>
      </c>
      <c r="B214" s="882"/>
      <c r="C214" s="882"/>
      <c r="D214" s="882"/>
      <c r="E214" s="882"/>
      <c r="F214" s="882"/>
      <c r="G214" s="905"/>
      <c r="H214" s="1005"/>
      <c r="I214" s="1006"/>
      <c r="J214" s="1007" t="s">
        <v>1211</v>
      </c>
      <c r="K214" s="1008"/>
      <c r="L214" s="900">
        <v>287</v>
      </c>
      <c r="M214" s="906">
        <v>314</v>
      </c>
      <c r="N214" s="906">
        <v>370</v>
      </c>
      <c r="O214" s="906">
        <v>285</v>
      </c>
      <c r="P214" s="906">
        <v>271</v>
      </c>
      <c r="Q214" s="906">
        <v>275</v>
      </c>
      <c r="R214" s="906">
        <v>313</v>
      </c>
      <c r="S214" s="906">
        <v>364</v>
      </c>
      <c r="T214" s="906">
        <v>345</v>
      </c>
      <c r="U214" s="906">
        <v>308</v>
      </c>
      <c r="V214" s="906">
        <v>251</v>
      </c>
      <c r="W214" s="907">
        <v>246</v>
      </c>
      <c r="X214" s="903">
        <v>3629</v>
      </c>
    </row>
    <row r="215" spans="1:24" ht="15" customHeight="1">
      <c r="A215" s="904"/>
      <c r="B215" s="882"/>
      <c r="C215" s="882"/>
      <c r="D215" s="882"/>
      <c r="E215" s="882"/>
      <c r="F215" s="882"/>
      <c r="G215" s="905"/>
      <c r="H215" s="1005"/>
      <c r="I215" s="1006"/>
      <c r="J215" s="1007" t="s">
        <v>592</v>
      </c>
      <c r="K215" s="1008"/>
      <c r="L215" s="908">
        <v>112</v>
      </c>
      <c r="M215" s="906">
        <v>148</v>
      </c>
      <c r="N215" s="906">
        <v>214</v>
      </c>
      <c r="O215" s="906">
        <v>223</v>
      </c>
      <c r="P215" s="906">
        <v>265</v>
      </c>
      <c r="Q215" s="906">
        <v>306</v>
      </c>
      <c r="R215" s="906">
        <v>332</v>
      </c>
      <c r="S215" s="906">
        <v>316</v>
      </c>
      <c r="T215" s="906">
        <v>231</v>
      </c>
      <c r="U215" s="906">
        <v>153</v>
      </c>
      <c r="V215" s="906">
        <v>101</v>
      </c>
      <c r="W215" s="907">
        <v>94</v>
      </c>
      <c r="X215" s="903">
        <v>2495</v>
      </c>
    </row>
    <row r="216" spans="1:24" ht="15" customHeight="1" thickBot="1">
      <c r="A216" s="909"/>
      <c r="B216" s="910"/>
      <c r="C216" s="910"/>
      <c r="D216" s="910"/>
      <c r="E216" s="910"/>
      <c r="F216" s="910"/>
      <c r="G216" s="911"/>
      <c r="H216" s="1009"/>
      <c r="I216" s="1010"/>
      <c r="J216" s="1011" t="s">
        <v>1212</v>
      </c>
      <c r="K216" s="1012"/>
      <c r="L216" s="912">
        <v>46</v>
      </c>
      <c r="M216" s="913">
        <v>65</v>
      </c>
      <c r="N216" s="913">
        <v>94</v>
      </c>
      <c r="O216" s="913">
        <v>106</v>
      </c>
      <c r="P216" s="913">
        <v>142</v>
      </c>
      <c r="Q216" s="913">
        <v>163</v>
      </c>
      <c r="R216" s="913">
        <v>166</v>
      </c>
      <c r="S216" s="913">
        <v>137</v>
      </c>
      <c r="T216" s="913">
        <v>96</v>
      </c>
      <c r="U216" s="913">
        <v>64</v>
      </c>
      <c r="V216" s="913">
        <v>41</v>
      </c>
      <c r="W216" s="914">
        <v>37</v>
      </c>
      <c r="X216" s="915">
        <v>1158</v>
      </c>
    </row>
    <row r="217" spans="1:24" ht="15" customHeight="1" thickBot="1">
      <c r="A217" s="888" t="s">
        <v>1213</v>
      </c>
      <c r="B217" s="889"/>
      <c r="C217" s="889"/>
      <c r="D217" s="889"/>
      <c r="E217" s="889"/>
      <c r="F217" s="889"/>
      <c r="G217" s="890"/>
      <c r="H217" s="999" t="s">
        <v>1214</v>
      </c>
      <c r="I217" s="1000"/>
      <c r="J217" s="999"/>
      <c r="K217" s="1013"/>
      <c r="L217" s="916">
        <v>82</v>
      </c>
      <c r="M217" s="917">
        <v>50</v>
      </c>
      <c r="N217" s="917">
        <v>72</v>
      </c>
      <c r="O217" s="917">
        <v>165</v>
      </c>
      <c r="P217" s="917">
        <v>196</v>
      </c>
      <c r="Q217" s="917">
        <v>188</v>
      </c>
      <c r="R217" s="917">
        <v>142</v>
      </c>
      <c r="S217" s="917">
        <v>154</v>
      </c>
      <c r="T217" s="917">
        <v>183</v>
      </c>
      <c r="U217" s="917">
        <v>151</v>
      </c>
      <c r="V217" s="917">
        <v>131</v>
      </c>
      <c r="W217" s="918">
        <v>62</v>
      </c>
      <c r="X217" s="919">
        <v>1576</v>
      </c>
    </row>
    <row r="218" spans="1:24" ht="15" customHeight="1">
      <c r="A218" s="1014" t="s">
        <v>1215</v>
      </c>
      <c r="B218" s="1015"/>
      <c r="C218" s="1015"/>
      <c r="D218" s="1015"/>
      <c r="E218" s="1015"/>
      <c r="F218" s="1015"/>
      <c r="G218" s="1016"/>
      <c r="H218" s="886" t="s">
        <v>1216</v>
      </c>
      <c r="I218" s="1017"/>
      <c r="J218" s="886"/>
      <c r="K218" s="1018"/>
      <c r="L218" s="931">
        <v>3.46</v>
      </c>
      <c r="M218" s="932">
        <v>3.51</v>
      </c>
      <c r="N218" s="932">
        <v>4.24</v>
      </c>
      <c r="O218" s="932">
        <v>5.47</v>
      </c>
      <c r="P218" s="932">
        <v>8.0500000000000007</v>
      </c>
      <c r="Q218" s="932">
        <v>9.7899999999999991</v>
      </c>
      <c r="R218" s="932">
        <v>11.26</v>
      </c>
      <c r="S218" s="932">
        <v>11.49</v>
      </c>
      <c r="T218" s="932">
        <v>9.24</v>
      </c>
      <c r="U218" s="932">
        <v>7.46</v>
      </c>
      <c r="V218" s="932">
        <v>4.95</v>
      </c>
      <c r="W218" s="933">
        <v>3.77</v>
      </c>
      <c r="X218" s="934">
        <v>6.8908333333333323</v>
      </c>
    </row>
    <row r="219" spans="1:24" ht="15" customHeight="1" thickBot="1">
      <c r="A219" s="924" t="s">
        <v>1217</v>
      </c>
      <c r="B219" s="925"/>
      <c r="C219" s="925"/>
      <c r="D219" s="925"/>
      <c r="E219" s="925"/>
      <c r="F219" s="925"/>
      <c r="G219" s="926"/>
      <c r="H219" s="1019" t="s">
        <v>1218</v>
      </c>
      <c r="I219" s="1024"/>
      <c r="J219" s="1023"/>
      <c r="K219" s="1025"/>
      <c r="L219" s="927">
        <v>4.2699999999999996</v>
      </c>
      <c r="M219" s="928">
        <v>4.3099999999999996</v>
      </c>
      <c r="N219" s="928">
        <v>5.13</v>
      </c>
      <c r="O219" s="928">
        <v>6.55</v>
      </c>
      <c r="P219" s="928">
        <v>9.4700000000000006</v>
      </c>
      <c r="Q219" s="928">
        <v>11.37</v>
      </c>
      <c r="R219" s="928">
        <v>12.95</v>
      </c>
      <c r="S219" s="928">
        <v>13.22</v>
      </c>
      <c r="T219" s="928">
        <v>10.81</v>
      </c>
      <c r="U219" s="928">
        <v>8.8699999999999992</v>
      </c>
      <c r="V219" s="928">
        <v>6</v>
      </c>
      <c r="W219" s="929">
        <v>4.63</v>
      </c>
      <c r="X219" s="930">
        <v>8.2100000000000009</v>
      </c>
    </row>
    <row r="220" spans="1:24" ht="15" customHeight="1" thickBot="1">
      <c r="A220" s="910"/>
      <c r="B220" s="1028"/>
      <c r="C220" s="1028"/>
      <c r="D220" s="1028"/>
      <c r="E220" s="1028"/>
      <c r="F220" s="1028"/>
      <c r="G220" s="1028"/>
      <c r="H220" s="1032"/>
      <c r="I220" s="1032"/>
      <c r="J220" s="1032"/>
      <c r="K220" s="1032"/>
      <c r="L220" s="1037"/>
      <c r="M220" s="1038"/>
      <c r="N220" s="1038"/>
      <c r="O220" s="1038"/>
      <c r="P220" s="1038"/>
      <c r="Q220" s="1038"/>
      <c r="R220" s="1038"/>
      <c r="S220" s="1038"/>
      <c r="T220" s="1038"/>
      <c r="U220" s="1038"/>
      <c r="V220" s="1038"/>
      <c r="W220" s="1039"/>
      <c r="X220" s="1040"/>
    </row>
    <row r="221" spans="1:24" ht="15" customHeight="1" thickBot="1">
      <c r="A221" s="1031" t="s">
        <v>1237</v>
      </c>
      <c r="B221" s="1031"/>
      <c r="C221" s="1031"/>
      <c r="D221" s="1031"/>
      <c r="E221" s="1031"/>
      <c r="F221" s="1031"/>
      <c r="G221" s="1031"/>
      <c r="H221" s="1031"/>
      <c r="I221" s="1031"/>
      <c r="J221" s="1031"/>
      <c r="K221" s="1031"/>
      <c r="L221" s="884" t="s">
        <v>37</v>
      </c>
      <c r="M221" s="885" t="s">
        <v>38</v>
      </c>
      <c r="N221" s="885" t="s">
        <v>858</v>
      </c>
      <c r="O221" s="885" t="s">
        <v>39</v>
      </c>
      <c r="P221" s="885" t="s">
        <v>40</v>
      </c>
      <c r="Q221" s="885" t="s">
        <v>41</v>
      </c>
      <c r="R221" s="885" t="s">
        <v>42</v>
      </c>
      <c r="S221" s="885" t="s">
        <v>43</v>
      </c>
      <c r="T221" s="885" t="s">
        <v>44</v>
      </c>
      <c r="U221" s="885" t="s">
        <v>45</v>
      </c>
      <c r="V221" s="885" t="s">
        <v>46</v>
      </c>
      <c r="W221" s="886" t="s">
        <v>47</v>
      </c>
      <c r="X221" s="887" t="s">
        <v>352</v>
      </c>
    </row>
    <row r="222" spans="1:24" ht="15" customHeight="1" thickBot="1">
      <c r="A222" s="888" t="s">
        <v>1206</v>
      </c>
      <c r="B222" s="889"/>
      <c r="C222" s="889"/>
      <c r="D222" s="889"/>
      <c r="E222" s="889"/>
      <c r="F222" s="889"/>
      <c r="G222" s="890"/>
      <c r="H222" s="999" t="s">
        <v>3</v>
      </c>
      <c r="I222" s="1000"/>
      <c r="J222" s="891"/>
      <c r="K222" s="892"/>
      <c r="L222" s="893">
        <v>0.5</v>
      </c>
      <c r="M222" s="894">
        <v>1.8</v>
      </c>
      <c r="N222" s="894">
        <v>5.7</v>
      </c>
      <c r="O222" s="894">
        <v>8.8000000000000007</v>
      </c>
      <c r="P222" s="894">
        <v>13.9</v>
      </c>
      <c r="Q222" s="894">
        <v>16.7</v>
      </c>
      <c r="R222" s="894">
        <v>19</v>
      </c>
      <c r="S222" s="894">
        <v>18.8</v>
      </c>
      <c r="T222" s="894">
        <v>14.4</v>
      </c>
      <c r="U222" s="894">
        <v>10.199999999999999</v>
      </c>
      <c r="V222" s="894">
        <v>4.5</v>
      </c>
      <c r="W222" s="895">
        <v>2</v>
      </c>
      <c r="X222" s="896">
        <v>9.6916666666666682</v>
      </c>
    </row>
    <row r="223" spans="1:24" ht="15" customHeight="1" thickBot="1">
      <c r="A223" s="897"/>
      <c r="B223" s="898"/>
      <c r="C223" s="898"/>
      <c r="D223" s="898"/>
      <c r="E223" s="898"/>
      <c r="F223" s="898"/>
      <c r="G223" s="899"/>
      <c r="H223" s="886"/>
      <c r="I223" s="1029"/>
      <c r="J223" s="1003" t="s">
        <v>1208</v>
      </c>
      <c r="K223" s="1004"/>
      <c r="L223" s="900">
        <v>102</v>
      </c>
      <c r="M223" s="901">
        <v>162</v>
      </c>
      <c r="N223" s="901">
        <v>305</v>
      </c>
      <c r="O223" s="901">
        <v>394</v>
      </c>
      <c r="P223" s="901">
        <v>496</v>
      </c>
      <c r="Q223" s="901">
        <v>529</v>
      </c>
      <c r="R223" s="901">
        <v>557</v>
      </c>
      <c r="S223" s="901">
        <v>493</v>
      </c>
      <c r="T223" s="901">
        <v>334</v>
      </c>
      <c r="U223" s="901">
        <v>206</v>
      </c>
      <c r="V223" s="901">
        <v>109</v>
      </c>
      <c r="W223" s="902">
        <v>80</v>
      </c>
      <c r="X223" s="903">
        <v>3767</v>
      </c>
    </row>
    <row r="224" spans="1:24" ht="15" customHeight="1">
      <c r="A224" s="904"/>
      <c r="B224" s="882"/>
      <c r="C224" s="882"/>
      <c r="D224" s="882"/>
      <c r="E224" s="882"/>
      <c r="F224" s="882"/>
      <c r="G224" s="905"/>
      <c r="H224" s="1001" t="s">
        <v>1207</v>
      </c>
      <c r="I224" s="1002"/>
      <c r="J224" s="1007" t="s">
        <v>1209</v>
      </c>
      <c r="K224" s="1008"/>
      <c r="L224" s="900">
        <v>67</v>
      </c>
      <c r="M224" s="906">
        <v>104</v>
      </c>
      <c r="N224" s="906">
        <v>185</v>
      </c>
      <c r="O224" s="906">
        <v>228</v>
      </c>
      <c r="P224" s="906">
        <v>284</v>
      </c>
      <c r="Q224" s="906">
        <v>301</v>
      </c>
      <c r="R224" s="906">
        <v>321</v>
      </c>
      <c r="S224" s="906">
        <v>287</v>
      </c>
      <c r="T224" s="906">
        <v>192</v>
      </c>
      <c r="U224" s="906">
        <v>118</v>
      </c>
      <c r="V224" s="906">
        <v>62</v>
      </c>
      <c r="W224" s="907">
        <v>51</v>
      </c>
      <c r="X224" s="903">
        <v>2199</v>
      </c>
    </row>
    <row r="225" spans="1:24" ht="15" customHeight="1">
      <c r="A225" s="904" t="s">
        <v>1210</v>
      </c>
      <c r="B225" s="882"/>
      <c r="C225" s="882"/>
      <c r="D225" s="882"/>
      <c r="E225" s="882"/>
      <c r="F225" s="882"/>
      <c r="G225" s="905"/>
      <c r="H225" s="1005"/>
      <c r="I225" s="1006"/>
      <c r="J225" s="1007" t="s">
        <v>1211</v>
      </c>
      <c r="K225" s="1008"/>
      <c r="L225" s="900">
        <v>153</v>
      </c>
      <c r="M225" s="906">
        <v>208</v>
      </c>
      <c r="N225" s="906">
        <v>295</v>
      </c>
      <c r="O225" s="906">
        <v>262</v>
      </c>
      <c r="P225" s="906">
        <v>257</v>
      </c>
      <c r="Q225" s="906">
        <v>244</v>
      </c>
      <c r="R225" s="906">
        <v>273</v>
      </c>
      <c r="S225" s="906">
        <v>305</v>
      </c>
      <c r="T225" s="906">
        <v>280</v>
      </c>
      <c r="U225" s="906">
        <v>233</v>
      </c>
      <c r="V225" s="906">
        <v>143</v>
      </c>
      <c r="W225" s="907">
        <v>118</v>
      </c>
      <c r="X225" s="903">
        <v>2770</v>
      </c>
    </row>
    <row r="226" spans="1:24" ht="15" customHeight="1">
      <c r="A226" s="904"/>
      <c r="B226" s="882"/>
      <c r="C226" s="882"/>
      <c r="D226" s="882"/>
      <c r="E226" s="882"/>
      <c r="F226" s="882"/>
      <c r="G226" s="905"/>
      <c r="H226" s="1005"/>
      <c r="I226" s="1006"/>
      <c r="J226" s="1007" t="s">
        <v>592</v>
      </c>
      <c r="K226" s="1008"/>
      <c r="L226" s="908">
        <v>62</v>
      </c>
      <c r="M226" s="906">
        <v>104</v>
      </c>
      <c r="N226" s="906">
        <v>174</v>
      </c>
      <c r="O226" s="906">
        <v>200</v>
      </c>
      <c r="P226" s="906">
        <v>244</v>
      </c>
      <c r="Q226" s="906">
        <v>257</v>
      </c>
      <c r="R226" s="906">
        <v>276</v>
      </c>
      <c r="S226" s="906">
        <v>254</v>
      </c>
      <c r="T226" s="906">
        <v>184</v>
      </c>
      <c r="U226" s="906">
        <v>121</v>
      </c>
      <c r="V226" s="906">
        <v>62</v>
      </c>
      <c r="W226" s="907">
        <v>46</v>
      </c>
      <c r="X226" s="903">
        <v>1982</v>
      </c>
    </row>
    <row r="227" spans="1:24" ht="15" customHeight="1" thickBot="1">
      <c r="A227" s="909"/>
      <c r="B227" s="910"/>
      <c r="C227" s="910"/>
      <c r="D227" s="910"/>
      <c r="E227" s="910"/>
      <c r="F227" s="910"/>
      <c r="G227" s="911"/>
      <c r="H227" s="1005"/>
      <c r="I227" s="1006"/>
      <c r="J227" s="1011" t="s">
        <v>1212</v>
      </c>
      <c r="K227" s="1012"/>
      <c r="L227" s="912">
        <v>43</v>
      </c>
      <c r="M227" s="913">
        <v>60</v>
      </c>
      <c r="N227" s="913">
        <v>94</v>
      </c>
      <c r="O227" s="913">
        <v>114</v>
      </c>
      <c r="P227" s="913">
        <v>153</v>
      </c>
      <c r="Q227" s="913">
        <v>171</v>
      </c>
      <c r="R227" s="913">
        <v>171</v>
      </c>
      <c r="S227" s="913">
        <v>137</v>
      </c>
      <c r="T227" s="913">
        <v>96</v>
      </c>
      <c r="U227" s="913">
        <v>64</v>
      </c>
      <c r="V227" s="913">
        <v>39</v>
      </c>
      <c r="W227" s="914">
        <v>32</v>
      </c>
      <c r="X227" s="915">
        <v>1174</v>
      </c>
    </row>
    <row r="228" spans="1:24" ht="15" customHeight="1" thickBot="1">
      <c r="A228" s="888" t="s">
        <v>1213</v>
      </c>
      <c r="B228" s="889"/>
      <c r="C228" s="889"/>
      <c r="D228" s="889"/>
      <c r="E228" s="889"/>
      <c r="F228" s="889"/>
      <c r="G228" s="890"/>
      <c r="H228" s="1009"/>
      <c r="I228" s="1010"/>
      <c r="J228" s="999"/>
      <c r="K228" s="1013"/>
      <c r="L228" s="916">
        <v>51</v>
      </c>
      <c r="M228" s="917">
        <v>60</v>
      </c>
      <c r="N228" s="917">
        <v>76</v>
      </c>
      <c r="O228" s="917">
        <v>95</v>
      </c>
      <c r="P228" s="917">
        <v>136</v>
      </c>
      <c r="Q228" s="917">
        <v>165</v>
      </c>
      <c r="R228" s="917">
        <v>150</v>
      </c>
      <c r="S228" s="917">
        <v>138</v>
      </c>
      <c r="T228" s="917">
        <v>108</v>
      </c>
      <c r="U228" s="917">
        <v>78</v>
      </c>
      <c r="V228" s="917">
        <v>89</v>
      </c>
      <c r="W228" s="918">
        <v>71</v>
      </c>
      <c r="X228" s="919">
        <v>1217</v>
      </c>
    </row>
    <row r="229" spans="1:24" ht="15" customHeight="1">
      <c r="A229" s="1014" t="s">
        <v>1215</v>
      </c>
      <c r="B229" s="1015"/>
      <c r="C229" s="1015"/>
      <c r="D229" s="1015"/>
      <c r="E229" s="1015"/>
      <c r="F229" s="1015"/>
      <c r="G229" s="1016"/>
      <c r="H229" s="886" t="s">
        <v>1216</v>
      </c>
      <c r="I229" s="1017"/>
      <c r="J229" s="886"/>
      <c r="K229" s="1018"/>
      <c r="L229" s="931">
        <v>3.5</v>
      </c>
      <c r="M229" s="932">
        <v>3.62</v>
      </c>
      <c r="N229" s="932">
        <v>4.34</v>
      </c>
      <c r="O229" s="932">
        <v>5.14</v>
      </c>
      <c r="P229" s="932">
        <v>7.31</v>
      </c>
      <c r="Q229" s="932">
        <v>8.83</v>
      </c>
      <c r="R229" s="932">
        <v>10.17</v>
      </c>
      <c r="S229" s="932">
        <v>10.39</v>
      </c>
      <c r="T229" s="932">
        <v>8.5299999999999994</v>
      </c>
      <c r="U229" s="932">
        <v>6.84</v>
      </c>
      <c r="V229" s="932">
        <v>4.76</v>
      </c>
      <c r="W229" s="933">
        <v>3.93</v>
      </c>
      <c r="X229" s="934">
        <v>6.4466666666666681</v>
      </c>
    </row>
    <row r="230" spans="1:24" ht="15" customHeight="1" thickBot="1">
      <c r="A230" s="924" t="s">
        <v>1217</v>
      </c>
      <c r="B230" s="925"/>
      <c r="C230" s="925"/>
      <c r="D230" s="925"/>
      <c r="E230" s="925"/>
      <c r="F230" s="925"/>
      <c r="G230" s="926"/>
      <c r="H230" s="1019" t="s">
        <v>1218</v>
      </c>
      <c r="I230" s="1024"/>
      <c r="J230" s="1023"/>
      <c r="K230" s="1025"/>
      <c r="L230" s="927">
        <v>4.2699999999999996</v>
      </c>
      <c r="M230" s="928">
        <v>4.3899999999999997</v>
      </c>
      <c r="N230" s="928">
        <v>5.19</v>
      </c>
      <c r="O230" s="928">
        <v>6.07</v>
      </c>
      <c r="P230" s="928">
        <v>8.4700000000000006</v>
      </c>
      <c r="Q230" s="928">
        <v>10.130000000000001</v>
      </c>
      <c r="R230" s="928">
        <v>11.57</v>
      </c>
      <c r="S230" s="928">
        <v>11.82</v>
      </c>
      <c r="T230" s="928">
        <v>9.86</v>
      </c>
      <c r="U230" s="928">
        <v>8.0399999999999991</v>
      </c>
      <c r="V230" s="928">
        <v>5.71</v>
      </c>
      <c r="W230" s="929">
        <v>4.76</v>
      </c>
      <c r="X230" s="930">
        <v>7.59</v>
      </c>
    </row>
    <row r="231" spans="1:24" ht="15" customHeight="1" thickBot="1">
      <c r="A231" s="910"/>
      <c r="B231" s="1028"/>
      <c r="C231" s="1028"/>
      <c r="D231" s="1028"/>
      <c r="E231" s="1028"/>
      <c r="F231" s="1028"/>
      <c r="G231" s="1028"/>
      <c r="H231" s="1032"/>
      <c r="I231" s="1032"/>
      <c r="J231" s="1032"/>
      <c r="K231" s="1032"/>
      <c r="L231" s="1037"/>
      <c r="M231" s="1038"/>
      <c r="N231" s="1038"/>
      <c r="O231" s="1038"/>
      <c r="P231" s="1038"/>
      <c r="Q231" s="1038"/>
      <c r="R231" s="1038"/>
      <c r="S231" s="1038"/>
      <c r="T231" s="1038"/>
      <c r="U231" s="1038"/>
      <c r="V231" s="1038"/>
      <c r="W231" s="1039"/>
      <c r="X231" s="1040"/>
    </row>
    <row r="232" spans="1:24" ht="15" customHeight="1" thickBot="1">
      <c r="A232" s="1031" t="s">
        <v>1238</v>
      </c>
      <c r="B232" s="1031"/>
      <c r="C232" s="1031"/>
      <c r="D232" s="1031"/>
      <c r="E232" s="1031"/>
      <c r="F232" s="1031"/>
      <c r="G232" s="1031"/>
      <c r="H232" s="1031"/>
      <c r="I232" s="1031"/>
      <c r="J232" s="1031"/>
      <c r="K232" s="1031"/>
      <c r="L232" s="884" t="s">
        <v>37</v>
      </c>
      <c r="M232" s="885" t="s">
        <v>38</v>
      </c>
      <c r="N232" s="885" t="s">
        <v>858</v>
      </c>
      <c r="O232" s="885" t="s">
        <v>39</v>
      </c>
      <c r="P232" s="885" t="s">
        <v>40</v>
      </c>
      <c r="Q232" s="885" t="s">
        <v>41</v>
      </c>
      <c r="R232" s="885" t="s">
        <v>42</v>
      </c>
      <c r="S232" s="885" t="s">
        <v>43</v>
      </c>
      <c r="T232" s="885" t="s">
        <v>44</v>
      </c>
      <c r="U232" s="885" t="s">
        <v>45</v>
      </c>
      <c r="V232" s="885" t="s">
        <v>46</v>
      </c>
      <c r="W232" s="886" t="s">
        <v>47</v>
      </c>
      <c r="X232" s="887" t="s">
        <v>352</v>
      </c>
    </row>
    <row r="233" spans="1:24" ht="15" customHeight="1" thickBot="1">
      <c r="A233" s="888" t="s">
        <v>1206</v>
      </c>
      <c r="B233" s="889"/>
      <c r="C233" s="889"/>
      <c r="D233" s="889"/>
      <c r="E233" s="889"/>
      <c r="F233" s="889"/>
      <c r="G233" s="890"/>
      <c r="H233" s="999" t="s">
        <v>3</v>
      </c>
      <c r="I233" s="1000"/>
      <c r="J233" s="891"/>
      <c r="K233" s="892"/>
      <c r="L233" s="893">
        <v>1.2</v>
      </c>
      <c r="M233" s="894">
        <v>3.5</v>
      </c>
      <c r="N233" s="894">
        <v>8.1999999999999993</v>
      </c>
      <c r="O233" s="894">
        <v>11.4</v>
      </c>
      <c r="P233" s="894">
        <v>16</v>
      </c>
      <c r="Q233" s="894">
        <v>19.399999999999999</v>
      </c>
      <c r="R233" s="894">
        <v>21.8</v>
      </c>
      <c r="S233" s="894">
        <v>21.3</v>
      </c>
      <c r="T233" s="894">
        <v>16.8</v>
      </c>
      <c r="U233" s="894">
        <v>11.9</v>
      </c>
      <c r="V233" s="894">
        <v>6.1</v>
      </c>
      <c r="W233" s="895">
        <v>2.2999999999999998</v>
      </c>
      <c r="X233" s="896">
        <v>11.658333333333333</v>
      </c>
    </row>
    <row r="234" spans="1:24" ht="15" customHeight="1">
      <c r="A234" s="897"/>
      <c r="B234" s="898"/>
      <c r="C234" s="898"/>
      <c r="D234" s="898"/>
      <c r="E234" s="898"/>
      <c r="F234" s="898"/>
      <c r="G234" s="899"/>
      <c r="H234" s="1001" t="s">
        <v>1207</v>
      </c>
      <c r="I234" s="1002"/>
      <c r="J234" s="1003" t="s">
        <v>1208</v>
      </c>
      <c r="K234" s="1004"/>
      <c r="L234" s="900">
        <v>150</v>
      </c>
      <c r="M234" s="901">
        <v>215</v>
      </c>
      <c r="N234" s="901">
        <v>370</v>
      </c>
      <c r="O234" s="901">
        <v>420</v>
      </c>
      <c r="P234" s="901">
        <v>506</v>
      </c>
      <c r="Q234" s="901">
        <v>591</v>
      </c>
      <c r="R234" s="901">
        <v>629</v>
      </c>
      <c r="S234" s="901">
        <v>554</v>
      </c>
      <c r="T234" s="901">
        <v>378</v>
      </c>
      <c r="U234" s="901">
        <v>241</v>
      </c>
      <c r="V234" s="901">
        <v>148</v>
      </c>
      <c r="W234" s="902">
        <v>118</v>
      </c>
      <c r="X234" s="903">
        <v>4321</v>
      </c>
    </row>
    <row r="235" spans="1:24" ht="15" customHeight="1">
      <c r="A235" s="904"/>
      <c r="B235" s="882"/>
      <c r="C235" s="882"/>
      <c r="D235" s="882"/>
      <c r="E235" s="882"/>
      <c r="F235" s="882"/>
      <c r="G235" s="905"/>
      <c r="H235" s="1005"/>
      <c r="I235" s="1006"/>
      <c r="J235" s="1007" t="s">
        <v>1209</v>
      </c>
      <c r="K235" s="1008"/>
      <c r="L235" s="900">
        <v>99</v>
      </c>
      <c r="M235" s="906">
        <v>135</v>
      </c>
      <c r="N235" s="906">
        <v>214</v>
      </c>
      <c r="O235" s="906">
        <v>231</v>
      </c>
      <c r="P235" s="906">
        <v>265</v>
      </c>
      <c r="Q235" s="906">
        <v>303</v>
      </c>
      <c r="R235" s="906">
        <v>329</v>
      </c>
      <c r="S235" s="906">
        <v>303</v>
      </c>
      <c r="T235" s="906">
        <v>213</v>
      </c>
      <c r="U235" s="906">
        <v>139</v>
      </c>
      <c r="V235" s="906">
        <v>86</v>
      </c>
      <c r="W235" s="907">
        <v>75</v>
      </c>
      <c r="X235" s="903">
        <v>2392</v>
      </c>
    </row>
    <row r="236" spans="1:24" ht="15" customHeight="1">
      <c r="A236" s="904" t="s">
        <v>1210</v>
      </c>
      <c r="B236" s="882"/>
      <c r="C236" s="882"/>
      <c r="D236" s="882"/>
      <c r="E236" s="882"/>
      <c r="F236" s="882"/>
      <c r="G236" s="905"/>
      <c r="H236" s="1005"/>
      <c r="I236" s="1006"/>
      <c r="J236" s="1007" t="s">
        <v>1211</v>
      </c>
      <c r="K236" s="1008"/>
      <c r="L236" s="900">
        <v>287</v>
      </c>
      <c r="M236" s="906">
        <v>307</v>
      </c>
      <c r="N236" s="906">
        <v>364</v>
      </c>
      <c r="O236" s="906">
        <v>280</v>
      </c>
      <c r="P236" s="906">
        <v>252</v>
      </c>
      <c r="Q236" s="906">
        <v>262</v>
      </c>
      <c r="R236" s="906">
        <v>300</v>
      </c>
      <c r="S236" s="906">
        <v>340</v>
      </c>
      <c r="T236" s="906">
        <v>321</v>
      </c>
      <c r="U236" s="906">
        <v>295</v>
      </c>
      <c r="V236" s="906">
        <v>238</v>
      </c>
      <c r="W236" s="907">
        <v>222</v>
      </c>
      <c r="X236" s="903">
        <v>3469</v>
      </c>
    </row>
    <row r="237" spans="1:24" ht="15" customHeight="1">
      <c r="A237" s="904"/>
      <c r="B237" s="882"/>
      <c r="C237" s="882"/>
      <c r="D237" s="882"/>
      <c r="E237" s="882"/>
      <c r="F237" s="882"/>
      <c r="G237" s="905"/>
      <c r="H237" s="1005"/>
      <c r="I237" s="1006"/>
      <c r="J237" s="1007" t="s">
        <v>592</v>
      </c>
      <c r="K237" s="1008"/>
      <c r="L237" s="908">
        <v>110</v>
      </c>
      <c r="M237" s="906">
        <v>143</v>
      </c>
      <c r="N237" s="906">
        <v>214</v>
      </c>
      <c r="O237" s="906">
        <v>228</v>
      </c>
      <c r="P237" s="906">
        <v>254</v>
      </c>
      <c r="Q237" s="906">
        <v>293</v>
      </c>
      <c r="R237" s="906">
        <v>321</v>
      </c>
      <c r="S237" s="906">
        <v>295</v>
      </c>
      <c r="T237" s="906">
        <v>220</v>
      </c>
      <c r="U237" s="906">
        <v>145</v>
      </c>
      <c r="V237" s="906">
        <v>96</v>
      </c>
      <c r="W237" s="907">
        <v>78</v>
      </c>
      <c r="X237" s="903">
        <v>2397</v>
      </c>
    </row>
    <row r="238" spans="1:24" ht="15" customHeight="1" thickBot="1">
      <c r="A238" s="909"/>
      <c r="B238" s="910"/>
      <c r="C238" s="910"/>
      <c r="D238" s="910"/>
      <c r="E238" s="910"/>
      <c r="F238" s="910"/>
      <c r="G238" s="911"/>
      <c r="H238" s="1009"/>
      <c r="I238" s="1010"/>
      <c r="J238" s="1011" t="s">
        <v>1212</v>
      </c>
      <c r="K238" s="1012"/>
      <c r="L238" s="912">
        <v>48</v>
      </c>
      <c r="M238" s="913">
        <v>65</v>
      </c>
      <c r="N238" s="913">
        <v>91</v>
      </c>
      <c r="O238" s="913">
        <v>104</v>
      </c>
      <c r="P238" s="913">
        <v>137</v>
      </c>
      <c r="Q238" s="913">
        <v>163</v>
      </c>
      <c r="R238" s="913">
        <v>166</v>
      </c>
      <c r="S238" s="913">
        <v>134</v>
      </c>
      <c r="T238" s="913">
        <v>91</v>
      </c>
      <c r="U238" s="913">
        <v>62</v>
      </c>
      <c r="V238" s="913">
        <v>39</v>
      </c>
      <c r="W238" s="914">
        <v>35</v>
      </c>
      <c r="X238" s="915">
        <v>1134</v>
      </c>
    </row>
    <row r="239" spans="1:24" ht="15" customHeight="1" thickBot="1">
      <c r="A239" s="888" t="s">
        <v>1213</v>
      </c>
      <c r="B239" s="889"/>
      <c r="C239" s="889"/>
      <c r="D239" s="889"/>
      <c r="E239" s="889"/>
      <c r="F239" s="889"/>
      <c r="G239" s="890"/>
      <c r="H239" s="999" t="s">
        <v>1214</v>
      </c>
      <c r="I239" s="1000"/>
      <c r="J239" s="999"/>
      <c r="K239" s="1013"/>
      <c r="L239" s="916">
        <v>87</v>
      </c>
      <c r="M239" s="917">
        <v>60</v>
      </c>
      <c r="N239" s="917">
        <v>83</v>
      </c>
      <c r="O239" s="917">
        <v>206</v>
      </c>
      <c r="P239" s="917">
        <v>226</v>
      </c>
      <c r="Q239" s="917">
        <v>200</v>
      </c>
      <c r="R239" s="917">
        <v>164</v>
      </c>
      <c r="S239" s="917">
        <v>180</v>
      </c>
      <c r="T239" s="917">
        <v>211</v>
      </c>
      <c r="U239" s="917">
        <v>203</v>
      </c>
      <c r="V239" s="917">
        <v>196</v>
      </c>
      <c r="W239" s="918">
        <v>71</v>
      </c>
      <c r="X239" s="919">
        <v>1887</v>
      </c>
    </row>
    <row r="240" spans="1:24" ht="15" customHeight="1">
      <c r="A240" s="1014" t="s">
        <v>1215</v>
      </c>
      <c r="B240" s="1015"/>
      <c r="C240" s="1015"/>
      <c r="D240" s="1015"/>
      <c r="E240" s="1015"/>
      <c r="F240" s="1015"/>
      <c r="G240" s="1016"/>
      <c r="H240" s="886" t="s">
        <v>1216</v>
      </c>
      <c r="I240" s="1017"/>
      <c r="J240" s="886"/>
      <c r="K240" s="1018"/>
      <c r="L240" s="931">
        <v>3.19</v>
      </c>
      <c r="M240" s="932">
        <v>3.35</v>
      </c>
      <c r="N240" s="932">
        <v>4.1100000000000003</v>
      </c>
      <c r="O240" s="932">
        <v>5.39</v>
      </c>
      <c r="P240" s="932">
        <v>8.0500000000000007</v>
      </c>
      <c r="Q240" s="932">
        <v>9.8000000000000007</v>
      </c>
      <c r="R240" s="932">
        <v>11.31</v>
      </c>
      <c r="S240" s="932">
        <v>11.5</v>
      </c>
      <c r="T240" s="932">
        <v>9.08</v>
      </c>
      <c r="U240" s="932">
        <v>7.11</v>
      </c>
      <c r="V240" s="932">
        <v>4.67</v>
      </c>
      <c r="W240" s="933">
        <v>3.54</v>
      </c>
      <c r="X240" s="934">
        <v>6.7583333333333337</v>
      </c>
    </row>
    <row r="241" spans="1:24" ht="15" customHeight="1" thickBot="1">
      <c r="A241" s="924" t="s">
        <v>1217</v>
      </c>
      <c r="B241" s="925"/>
      <c r="C241" s="925"/>
      <c r="D241" s="925"/>
      <c r="E241" s="925"/>
      <c r="F241" s="925"/>
      <c r="G241" s="926"/>
      <c r="H241" s="1019" t="s">
        <v>1218</v>
      </c>
      <c r="I241" s="1020"/>
      <c r="J241" s="1023"/>
      <c r="K241" s="1025"/>
      <c r="L241" s="927">
        <v>4</v>
      </c>
      <c r="M241" s="928">
        <v>4.17</v>
      </c>
      <c r="N241" s="928">
        <v>5.0199999999999996</v>
      </c>
      <c r="O241" s="928">
        <v>6.51</v>
      </c>
      <c r="P241" s="928">
        <v>9.5500000000000007</v>
      </c>
      <c r="Q241" s="928">
        <v>11.48</v>
      </c>
      <c r="R241" s="928">
        <v>13.13</v>
      </c>
      <c r="S241" s="928">
        <v>13.37</v>
      </c>
      <c r="T241" s="928">
        <v>10.74</v>
      </c>
      <c r="U241" s="928">
        <v>8.56</v>
      </c>
      <c r="V241" s="928">
        <v>5.75</v>
      </c>
      <c r="W241" s="929">
        <v>4.42</v>
      </c>
      <c r="X241" s="930">
        <v>8.15</v>
      </c>
    </row>
    <row r="242" spans="1:24" ht="15" customHeight="1" thickBot="1">
      <c r="A242" s="910"/>
      <c r="B242" s="1028"/>
      <c r="C242" s="1028"/>
      <c r="D242" s="1028"/>
      <c r="E242" s="1028"/>
      <c r="F242" s="1028"/>
      <c r="G242" s="1028"/>
      <c r="H242" s="1032"/>
      <c r="I242" s="1032"/>
      <c r="J242" s="1032"/>
      <c r="K242" s="1032"/>
      <c r="L242" s="1037"/>
      <c r="M242" s="1038"/>
      <c r="N242" s="1038"/>
      <c r="O242" s="1038"/>
      <c r="P242" s="1038"/>
      <c r="Q242" s="1038"/>
      <c r="R242" s="1038"/>
      <c r="S242" s="1038"/>
      <c r="T242" s="1038"/>
      <c r="U242" s="1038"/>
      <c r="V242" s="1038"/>
      <c r="W242" s="1039"/>
      <c r="X242" s="1040"/>
    </row>
    <row r="243" spans="1:24" ht="15" customHeight="1" thickBot="1">
      <c r="A243" s="1031" t="s">
        <v>1239</v>
      </c>
      <c r="B243" s="1031"/>
      <c r="C243" s="1031"/>
      <c r="D243" s="1031"/>
      <c r="E243" s="1031"/>
      <c r="F243" s="1031"/>
      <c r="G243" s="1031"/>
      <c r="H243" s="1031"/>
      <c r="I243" s="1031"/>
      <c r="J243" s="1031"/>
      <c r="K243" s="1031"/>
      <c r="L243" s="884" t="s">
        <v>37</v>
      </c>
      <c r="M243" s="885" t="s">
        <v>38</v>
      </c>
      <c r="N243" s="885" t="s">
        <v>858</v>
      </c>
      <c r="O243" s="885" t="s">
        <v>39</v>
      </c>
      <c r="P243" s="885" t="s">
        <v>40</v>
      </c>
      <c r="Q243" s="885" t="s">
        <v>41</v>
      </c>
      <c r="R243" s="885" t="s">
        <v>42</v>
      </c>
      <c r="S243" s="885" t="s">
        <v>43</v>
      </c>
      <c r="T243" s="885" t="s">
        <v>44</v>
      </c>
      <c r="U243" s="885" t="s">
        <v>45</v>
      </c>
      <c r="V243" s="885" t="s">
        <v>46</v>
      </c>
      <c r="W243" s="886" t="s">
        <v>47</v>
      </c>
      <c r="X243" s="887" t="s">
        <v>352</v>
      </c>
    </row>
    <row r="244" spans="1:24" ht="15" customHeight="1" thickBot="1">
      <c r="A244" s="888" t="s">
        <v>1206</v>
      </c>
      <c r="B244" s="889"/>
      <c r="C244" s="889"/>
      <c r="D244" s="889"/>
      <c r="E244" s="889"/>
      <c r="F244" s="889"/>
      <c r="G244" s="890"/>
      <c r="H244" s="999" t="s">
        <v>3</v>
      </c>
      <c r="I244" s="1000"/>
      <c r="J244" s="891"/>
      <c r="K244" s="892"/>
      <c r="L244" s="893">
        <v>-1.7</v>
      </c>
      <c r="M244" s="894">
        <v>-1.4</v>
      </c>
      <c r="N244" s="894">
        <v>1.3</v>
      </c>
      <c r="O244" s="894">
        <v>3.7</v>
      </c>
      <c r="P244" s="894">
        <v>9</v>
      </c>
      <c r="Q244" s="894">
        <v>11.9</v>
      </c>
      <c r="R244" s="894">
        <v>14.5</v>
      </c>
      <c r="S244" s="894">
        <v>14.6</v>
      </c>
      <c r="T244" s="894">
        <v>10.5</v>
      </c>
      <c r="U244" s="894">
        <v>7.1</v>
      </c>
      <c r="V244" s="894">
        <v>1.7</v>
      </c>
      <c r="W244" s="895">
        <v>-0.4</v>
      </c>
      <c r="X244" s="896">
        <v>5.9</v>
      </c>
    </row>
    <row r="245" spans="1:24" ht="15" customHeight="1">
      <c r="A245" s="897"/>
      <c r="B245" s="898"/>
      <c r="C245" s="898"/>
      <c r="D245" s="898"/>
      <c r="E245" s="898"/>
      <c r="F245" s="898"/>
      <c r="G245" s="899"/>
      <c r="H245" s="1001" t="s">
        <v>1207</v>
      </c>
      <c r="I245" s="1002"/>
      <c r="J245" s="1003" t="s">
        <v>1208</v>
      </c>
      <c r="K245" s="1004"/>
      <c r="L245" s="900">
        <v>185</v>
      </c>
      <c r="M245" s="901">
        <v>252</v>
      </c>
      <c r="N245" s="901">
        <v>426</v>
      </c>
      <c r="O245" s="901">
        <v>513</v>
      </c>
      <c r="P245" s="901">
        <v>632</v>
      </c>
      <c r="Q245" s="901">
        <v>658</v>
      </c>
      <c r="R245" s="901">
        <v>691</v>
      </c>
      <c r="S245" s="901">
        <v>597</v>
      </c>
      <c r="T245" s="901">
        <v>446</v>
      </c>
      <c r="U245" s="901">
        <v>308</v>
      </c>
      <c r="V245" s="901">
        <v>181</v>
      </c>
      <c r="W245" s="902">
        <v>150</v>
      </c>
      <c r="X245" s="903">
        <v>5040</v>
      </c>
    </row>
    <row r="246" spans="1:24" ht="15" customHeight="1">
      <c r="A246" s="904"/>
      <c r="B246" s="882"/>
      <c r="C246" s="882"/>
      <c r="D246" s="882"/>
      <c r="E246" s="882"/>
      <c r="F246" s="882"/>
      <c r="G246" s="905"/>
      <c r="H246" s="1005"/>
      <c r="I246" s="1006"/>
      <c r="J246" s="1007" t="s">
        <v>1209</v>
      </c>
      <c r="K246" s="1008"/>
      <c r="L246" s="900">
        <v>171</v>
      </c>
      <c r="M246" s="906">
        <v>225</v>
      </c>
      <c r="N246" s="906">
        <v>354</v>
      </c>
      <c r="O246" s="906">
        <v>327</v>
      </c>
      <c r="P246" s="906">
        <v>364</v>
      </c>
      <c r="Q246" s="906">
        <v>371</v>
      </c>
      <c r="R246" s="906">
        <v>399</v>
      </c>
      <c r="S246" s="906">
        <v>362</v>
      </c>
      <c r="T246" s="906">
        <v>272</v>
      </c>
      <c r="U246" s="906">
        <v>201</v>
      </c>
      <c r="V246" s="906">
        <v>127</v>
      </c>
      <c r="W246" s="907">
        <v>129</v>
      </c>
      <c r="X246" s="903">
        <v>3301</v>
      </c>
    </row>
    <row r="247" spans="1:24" ht="15" customHeight="1">
      <c r="A247" s="904" t="s">
        <v>1210</v>
      </c>
      <c r="B247" s="882"/>
      <c r="C247" s="882"/>
      <c r="D247" s="882"/>
      <c r="E247" s="882"/>
      <c r="F247" s="882"/>
      <c r="G247" s="905"/>
      <c r="H247" s="1005"/>
      <c r="I247" s="1006"/>
      <c r="J247" s="1007" t="s">
        <v>1211</v>
      </c>
      <c r="K247" s="1008"/>
      <c r="L247" s="900">
        <v>431</v>
      </c>
      <c r="M247" s="906">
        <v>448</v>
      </c>
      <c r="N247" s="906">
        <v>528</v>
      </c>
      <c r="O247" s="906">
        <v>373</v>
      </c>
      <c r="P247" s="906">
        <v>324</v>
      </c>
      <c r="Q247" s="906">
        <v>293</v>
      </c>
      <c r="R247" s="906">
        <v>329</v>
      </c>
      <c r="S247" s="906">
        <v>372</v>
      </c>
      <c r="T247" s="906">
        <v>404</v>
      </c>
      <c r="U247" s="906">
        <v>415</v>
      </c>
      <c r="V247" s="906">
        <v>340</v>
      </c>
      <c r="W247" s="907">
        <v>364</v>
      </c>
      <c r="X247" s="903">
        <v>4622</v>
      </c>
    </row>
    <row r="248" spans="1:24" ht="15" customHeight="1">
      <c r="A248" s="904"/>
      <c r="B248" s="882"/>
      <c r="C248" s="882"/>
      <c r="D248" s="882"/>
      <c r="E248" s="882"/>
      <c r="F248" s="882"/>
      <c r="G248" s="905"/>
      <c r="H248" s="1005"/>
      <c r="I248" s="1006"/>
      <c r="J248" s="1007" t="s">
        <v>592</v>
      </c>
      <c r="K248" s="1008"/>
      <c r="L248" s="908">
        <v>171</v>
      </c>
      <c r="M248" s="906">
        <v>225</v>
      </c>
      <c r="N248" s="906">
        <v>329</v>
      </c>
      <c r="O248" s="906">
        <v>290</v>
      </c>
      <c r="P248" s="906">
        <v>305</v>
      </c>
      <c r="Q248" s="906">
        <v>301</v>
      </c>
      <c r="R248" s="906">
        <v>321</v>
      </c>
      <c r="S248" s="906">
        <v>297</v>
      </c>
      <c r="T248" s="906">
        <v>249</v>
      </c>
      <c r="U248" s="906">
        <v>190</v>
      </c>
      <c r="V248" s="906">
        <v>124</v>
      </c>
      <c r="W248" s="907">
        <v>129</v>
      </c>
      <c r="X248" s="903">
        <v>2933</v>
      </c>
    </row>
    <row r="249" spans="1:24" ht="15" customHeight="1" thickBot="1">
      <c r="A249" s="909"/>
      <c r="B249" s="910"/>
      <c r="C249" s="910"/>
      <c r="D249" s="910"/>
      <c r="E249" s="910"/>
      <c r="F249" s="910"/>
      <c r="G249" s="911"/>
      <c r="H249" s="1009"/>
      <c r="I249" s="1010"/>
      <c r="J249" s="1011" t="s">
        <v>1212</v>
      </c>
      <c r="K249" s="1012"/>
      <c r="L249" s="912">
        <v>91</v>
      </c>
      <c r="M249" s="913">
        <v>126</v>
      </c>
      <c r="N249" s="913">
        <v>185</v>
      </c>
      <c r="O249" s="913">
        <v>143</v>
      </c>
      <c r="P249" s="913">
        <v>155</v>
      </c>
      <c r="Q249" s="913">
        <v>168</v>
      </c>
      <c r="R249" s="913">
        <v>169</v>
      </c>
      <c r="S249" s="913">
        <v>134</v>
      </c>
      <c r="T249" s="913">
        <v>96</v>
      </c>
      <c r="U249" s="913">
        <v>70</v>
      </c>
      <c r="V249" s="913">
        <v>49</v>
      </c>
      <c r="W249" s="914">
        <v>62</v>
      </c>
      <c r="X249" s="915">
        <v>1447</v>
      </c>
    </row>
    <row r="250" spans="1:24" ht="15" customHeight="1" thickBot="1">
      <c r="A250" s="888" t="s">
        <v>1213</v>
      </c>
      <c r="B250" s="889"/>
      <c r="C250" s="889"/>
      <c r="D250" s="889"/>
      <c r="E250" s="889"/>
      <c r="F250" s="889"/>
      <c r="G250" s="890"/>
      <c r="H250" s="999" t="s">
        <v>1214</v>
      </c>
      <c r="I250" s="1000"/>
      <c r="J250" s="999"/>
      <c r="K250" s="1013"/>
      <c r="L250" s="916">
        <v>104</v>
      </c>
      <c r="M250" s="917">
        <v>117</v>
      </c>
      <c r="N250" s="917">
        <v>75</v>
      </c>
      <c r="O250" s="917">
        <v>63</v>
      </c>
      <c r="P250" s="917">
        <v>77</v>
      </c>
      <c r="Q250" s="917">
        <v>86</v>
      </c>
      <c r="R250" s="917">
        <v>73</v>
      </c>
      <c r="S250" s="917">
        <v>83</v>
      </c>
      <c r="T250" s="917">
        <v>68</v>
      </c>
      <c r="U250" s="917">
        <v>75</v>
      </c>
      <c r="V250" s="917">
        <v>86</v>
      </c>
      <c r="W250" s="918">
        <v>105</v>
      </c>
      <c r="X250" s="919">
        <v>1012</v>
      </c>
    </row>
    <row r="251" spans="1:24" ht="15" customHeight="1">
      <c r="A251" s="1014" t="s">
        <v>1215</v>
      </c>
      <c r="B251" s="1015"/>
      <c r="C251" s="1015"/>
      <c r="D251" s="1015"/>
      <c r="E251" s="1015"/>
      <c r="F251" s="1015"/>
      <c r="G251" s="1016"/>
      <c r="H251" s="886" t="s">
        <v>1216</v>
      </c>
      <c r="I251" s="1017"/>
      <c r="J251" s="886"/>
      <c r="K251" s="1018"/>
      <c r="L251" s="931">
        <v>2.7</v>
      </c>
      <c r="M251" s="932">
        <v>2.8</v>
      </c>
      <c r="N251" s="932">
        <v>3.27</v>
      </c>
      <c r="O251" s="932">
        <v>3.84</v>
      </c>
      <c r="P251" s="932">
        <v>5.57</v>
      </c>
      <c r="Q251" s="932">
        <v>6.82</v>
      </c>
      <c r="R251" s="932">
        <v>7.97</v>
      </c>
      <c r="S251" s="932">
        <v>8.11</v>
      </c>
      <c r="T251" s="932">
        <v>6.64</v>
      </c>
      <c r="U251" s="932">
        <v>5.21</v>
      </c>
      <c r="V251" s="932">
        <v>3.61</v>
      </c>
      <c r="W251" s="933">
        <v>2.96</v>
      </c>
      <c r="X251" s="934">
        <v>4.958333333333333</v>
      </c>
    </row>
    <row r="252" spans="1:24" ht="15" customHeight="1" thickBot="1">
      <c r="A252" s="924" t="s">
        <v>1217</v>
      </c>
      <c r="B252" s="925"/>
      <c r="C252" s="925"/>
      <c r="D252" s="925"/>
      <c r="E252" s="925"/>
      <c r="F252" s="925"/>
      <c r="G252" s="926"/>
      <c r="H252" s="1019" t="s">
        <v>1218</v>
      </c>
      <c r="I252" s="1024"/>
      <c r="J252" s="1023"/>
      <c r="K252" s="1025"/>
      <c r="L252" s="927">
        <v>2.92</v>
      </c>
      <c r="M252" s="928">
        <v>3.03</v>
      </c>
      <c r="N252" s="928">
        <v>3.5</v>
      </c>
      <c r="O252" s="928">
        <v>4.07</v>
      </c>
      <c r="P252" s="928">
        <v>5.79</v>
      </c>
      <c r="Q252" s="928">
        <v>7.01</v>
      </c>
      <c r="R252" s="928">
        <v>8.11</v>
      </c>
      <c r="S252" s="928">
        <v>8.25</v>
      </c>
      <c r="T252" s="928">
        <v>6.86</v>
      </c>
      <c r="U252" s="928">
        <v>5.45</v>
      </c>
      <c r="V252" s="928">
        <v>3.86</v>
      </c>
      <c r="W252" s="929">
        <v>3.19</v>
      </c>
      <c r="X252" s="930">
        <v>5.21</v>
      </c>
    </row>
    <row r="253" spans="1:24" ht="15" customHeight="1" thickBot="1">
      <c r="A253" s="910"/>
      <c r="B253" s="1028"/>
      <c r="C253" s="1028"/>
      <c r="D253" s="1028"/>
      <c r="E253" s="1028"/>
      <c r="F253" s="1028"/>
      <c r="G253" s="1028"/>
      <c r="H253" s="1032"/>
      <c r="I253" s="1032"/>
      <c r="J253" s="1032"/>
      <c r="K253" s="1032"/>
      <c r="L253" s="1037"/>
      <c r="M253" s="1038"/>
      <c r="N253" s="1038"/>
      <c r="O253" s="1038"/>
      <c r="P253" s="1038"/>
      <c r="Q253" s="1038"/>
      <c r="R253" s="1038"/>
      <c r="S253" s="1038"/>
      <c r="T253" s="1038"/>
      <c r="U253" s="1038"/>
      <c r="V253" s="1038"/>
      <c r="W253" s="1039"/>
      <c r="X253" s="1040"/>
    </row>
    <row r="254" spans="1:24" ht="15" customHeight="1" thickBot="1">
      <c r="A254" s="1031" t="s">
        <v>1240</v>
      </c>
      <c r="B254" s="1031"/>
      <c r="C254" s="1031"/>
      <c r="D254" s="1031"/>
      <c r="E254" s="1031"/>
      <c r="F254" s="1031"/>
      <c r="G254" s="1031"/>
      <c r="H254" s="1031"/>
      <c r="I254" s="1031"/>
      <c r="J254" s="1031"/>
      <c r="K254" s="1031"/>
      <c r="L254" s="884" t="s">
        <v>37</v>
      </c>
      <c r="M254" s="885" t="s">
        <v>38</v>
      </c>
      <c r="N254" s="885" t="s">
        <v>858</v>
      </c>
      <c r="O254" s="885" t="s">
        <v>39</v>
      </c>
      <c r="P254" s="885" t="s">
        <v>40</v>
      </c>
      <c r="Q254" s="885" t="s">
        <v>41</v>
      </c>
      <c r="R254" s="885" t="s">
        <v>42</v>
      </c>
      <c r="S254" s="885" t="s">
        <v>43</v>
      </c>
      <c r="T254" s="885" t="s">
        <v>44</v>
      </c>
      <c r="U254" s="885" t="s">
        <v>45</v>
      </c>
      <c r="V254" s="885" t="s">
        <v>46</v>
      </c>
      <c r="W254" s="886" t="s">
        <v>47</v>
      </c>
      <c r="X254" s="887" t="s">
        <v>352</v>
      </c>
    </row>
    <row r="255" spans="1:24" ht="15" customHeight="1" thickBot="1">
      <c r="A255" s="888" t="s">
        <v>1206</v>
      </c>
      <c r="B255" s="889"/>
      <c r="C255" s="889"/>
      <c r="D255" s="889"/>
      <c r="E255" s="889"/>
      <c r="F255" s="889"/>
      <c r="G255" s="890"/>
      <c r="H255" s="999" t="s">
        <v>3</v>
      </c>
      <c r="I255" s="1000"/>
      <c r="J255" s="891"/>
      <c r="K255" s="892"/>
      <c r="L255" s="893">
        <v>1.4</v>
      </c>
      <c r="M255" s="894">
        <v>2.5</v>
      </c>
      <c r="N255" s="894">
        <v>6.2</v>
      </c>
      <c r="O255" s="894">
        <v>9.1999999999999993</v>
      </c>
      <c r="P255" s="894">
        <v>14.1</v>
      </c>
      <c r="Q255" s="894">
        <v>17.100000000000001</v>
      </c>
      <c r="R255" s="894">
        <v>19.7</v>
      </c>
      <c r="S255" s="894">
        <v>19.7</v>
      </c>
      <c r="T255" s="894">
        <v>15.1</v>
      </c>
      <c r="U255" s="894">
        <v>10.8</v>
      </c>
      <c r="V255" s="894">
        <v>5.2</v>
      </c>
      <c r="W255" s="895">
        <v>2.7</v>
      </c>
      <c r="X255" s="896">
        <v>10.308333333333334</v>
      </c>
    </row>
    <row r="256" spans="1:24" ht="15" customHeight="1">
      <c r="A256" s="897"/>
      <c r="B256" s="898"/>
      <c r="C256" s="898"/>
      <c r="D256" s="898"/>
      <c r="E256" s="898"/>
      <c r="F256" s="898"/>
      <c r="G256" s="899"/>
      <c r="H256" s="1001" t="s">
        <v>1207</v>
      </c>
      <c r="I256" s="1002"/>
      <c r="J256" s="1003" t="s">
        <v>1208</v>
      </c>
      <c r="K256" s="1004"/>
      <c r="L256" s="900">
        <v>91</v>
      </c>
      <c r="M256" s="901">
        <v>160</v>
      </c>
      <c r="N256" s="901">
        <v>319</v>
      </c>
      <c r="O256" s="901">
        <v>420</v>
      </c>
      <c r="P256" s="901">
        <v>544</v>
      </c>
      <c r="Q256" s="901">
        <v>583</v>
      </c>
      <c r="R256" s="901">
        <v>613</v>
      </c>
      <c r="S256" s="901">
        <v>533</v>
      </c>
      <c r="T256" s="901">
        <v>365</v>
      </c>
      <c r="U256" s="901">
        <v>212</v>
      </c>
      <c r="V256" s="901">
        <v>104</v>
      </c>
      <c r="W256" s="902">
        <v>75</v>
      </c>
      <c r="X256" s="903">
        <v>4018</v>
      </c>
    </row>
    <row r="257" spans="1:24" ht="15" customHeight="1">
      <c r="A257" s="904"/>
      <c r="B257" s="882"/>
      <c r="C257" s="882"/>
      <c r="D257" s="882"/>
      <c r="E257" s="882"/>
      <c r="F257" s="882"/>
      <c r="G257" s="905"/>
      <c r="H257" s="1005"/>
      <c r="I257" s="1006"/>
      <c r="J257" s="1007" t="s">
        <v>1209</v>
      </c>
      <c r="K257" s="1008"/>
      <c r="L257" s="900">
        <v>56</v>
      </c>
      <c r="M257" s="906">
        <v>102</v>
      </c>
      <c r="N257" s="906">
        <v>193</v>
      </c>
      <c r="O257" s="906">
        <v>244</v>
      </c>
      <c r="P257" s="906">
        <v>300</v>
      </c>
      <c r="Q257" s="906">
        <v>324</v>
      </c>
      <c r="R257" s="906">
        <v>346</v>
      </c>
      <c r="S257" s="906">
        <v>311</v>
      </c>
      <c r="T257" s="906">
        <v>207</v>
      </c>
      <c r="U257" s="906">
        <v>115</v>
      </c>
      <c r="V257" s="906">
        <v>60</v>
      </c>
      <c r="W257" s="907">
        <v>46</v>
      </c>
      <c r="X257" s="903">
        <v>2302</v>
      </c>
    </row>
    <row r="258" spans="1:24" ht="15" customHeight="1">
      <c r="A258" s="904" t="s">
        <v>1210</v>
      </c>
      <c r="B258" s="882"/>
      <c r="C258" s="882"/>
      <c r="D258" s="882"/>
      <c r="E258" s="882"/>
      <c r="F258" s="882"/>
      <c r="G258" s="905"/>
      <c r="H258" s="1005"/>
      <c r="I258" s="1006"/>
      <c r="J258" s="1007" t="s">
        <v>1211</v>
      </c>
      <c r="K258" s="1008"/>
      <c r="L258" s="900">
        <v>131</v>
      </c>
      <c r="M258" s="906">
        <v>213</v>
      </c>
      <c r="N258" s="906">
        <v>316</v>
      </c>
      <c r="O258" s="906">
        <v>293</v>
      </c>
      <c r="P258" s="906">
        <v>292</v>
      </c>
      <c r="Q258" s="906">
        <v>275</v>
      </c>
      <c r="R258" s="906">
        <v>308</v>
      </c>
      <c r="S258" s="906">
        <v>343</v>
      </c>
      <c r="T258" s="906">
        <v>319</v>
      </c>
      <c r="U258" s="906">
        <v>246</v>
      </c>
      <c r="V258" s="906">
        <v>145</v>
      </c>
      <c r="W258" s="907">
        <v>118</v>
      </c>
      <c r="X258" s="903">
        <v>2999</v>
      </c>
    </row>
    <row r="259" spans="1:24" ht="15" customHeight="1">
      <c r="A259" s="904"/>
      <c r="B259" s="882"/>
      <c r="C259" s="882"/>
      <c r="D259" s="882"/>
      <c r="E259" s="882"/>
      <c r="F259" s="882"/>
      <c r="G259" s="905"/>
      <c r="H259" s="1005"/>
      <c r="I259" s="1006"/>
      <c r="J259" s="1007" t="s">
        <v>592</v>
      </c>
      <c r="K259" s="1008"/>
      <c r="L259" s="908">
        <v>59</v>
      </c>
      <c r="M259" s="906">
        <v>104</v>
      </c>
      <c r="N259" s="906">
        <v>182</v>
      </c>
      <c r="O259" s="906">
        <v>213</v>
      </c>
      <c r="P259" s="906">
        <v>265</v>
      </c>
      <c r="Q259" s="906">
        <v>277</v>
      </c>
      <c r="R259" s="906">
        <v>305</v>
      </c>
      <c r="S259" s="906">
        <v>273</v>
      </c>
      <c r="T259" s="906">
        <v>202</v>
      </c>
      <c r="U259" s="906">
        <v>131</v>
      </c>
      <c r="V259" s="906">
        <v>62</v>
      </c>
      <c r="W259" s="907">
        <v>48</v>
      </c>
      <c r="X259" s="903">
        <v>2123</v>
      </c>
    </row>
    <row r="260" spans="1:24" ht="15" customHeight="1" thickBot="1">
      <c r="A260" s="909"/>
      <c r="B260" s="910"/>
      <c r="C260" s="910"/>
      <c r="D260" s="910"/>
      <c r="E260" s="910"/>
      <c r="F260" s="910"/>
      <c r="G260" s="911"/>
      <c r="H260" s="1009"/>
      <c r="I260" s="1010"/>
      <c r="J260" s="1011" t="s">
        <v>1212</v>
      </c>
      <c r="K260" s="1012"/>
      <c r="L260" s="912">
        <v>35</v>
      </c>
      <c r="M260" s="913">
        <v>53</v>
      </c>
      <c r="N260" s="913">
        <v>88</v>
      </c>
      <c r="O260" s="913">
        <v>111</v>
      </c>
      <c r="P260" s="913">
        <v>150</v>
      </c>
      <c r="Q260" s="913">
        <v>168</v>
      </c>
      <c r="R260" s="913">
        <v>169</v>
      </c>
      <c r="S260" s="913">
        <v>137</v>
      </c>
      <c r="T260" s="913">
        <v>93</v>
      </c>
      <c r="U260" s="913">
        <v>62</v>
      </c>
      <c r="V260" s="913">
        <v>34</v>
      </c>
      <c r="W260" s="914">
        <v>27</v>
      </c>
      <c r="X260" s="915">
        <v>1127</v>
      </c>
    </row>
    <row r="261" spans="1:24" ht="15" customHeight="1" thickBot="1">
      <c r="A261" s="888" t="s">
        <v>1213</v>
      </c>
      <c r="B261" s="889"/>
      <c r="C261" s="889"/>
      <c r="D261" s="889"/>
      <c r="E261" s="889"/>
      <c r="F261" s="889"/>
      <c r="G261" s="890"/>
      <c r="H261" s="999" t="s">
        <v>1214</v>
      </c>
      <c r="I261" s="1000"/>
      <c r="J261" s="999"/>
      <c r="K261" s="1013"/>
      <c r="L261" s="916">
        <v>69</v>
      </c>
      <c r="M261" s="917">
        <v>68</v>
      </c>
      <c r="N261" s="917">
        <v>62</v>
      </c>
      <c r="O261" s="917">
        <v>72</v>
      </c>
      <c r="P261" s="917">
        <v>82</v>
      </c>
      <c r="Q261" s="917">
        <v>89</v>
      </c>
      <c r="R261" s="917">
        <v>86</v>
      </c>
      <c r="S261" s="917">
        <v>86</v>
      </c>
      <c r="T261" s="917">
        <v>101</v>
      </c>
      <c r="U261" s="917">
        <v>90</v>
      </c>
      <c r="V261" s="917">
        <v>81</v>
      </c>
      <c r="W261" s="918">
        <v>79</v>
      </c>
      <c r="X261" s="919">
        <v>965</v>
      </c>
    </row>
    <row r="262" spans="1:24" ht="15" customHeight="1">
      <c r="A262" s="1014" t="s">
        <v>1215</v>
      </c>
      <c r="B262" s="1015"/>
      <c r="C262" s="1015"/>
      <c r="D262" s="1015"/>
      <c r="E262" s="1015"/>
      <c r="F262" s="1015"/>
      <c r="G262" s="1016"/>
      <c r="H262" s="886" t="s">
        <v>1216</v>
      </c>
      <c r="I262" s="1017"/>
      <c r="J262" s="886"/>
      <c r="K262" s="1018"/>
      <c r="L262" s="931">
        <v>3.73</v>
      </c>
      <c r="M262" s="932">
        <v>3.78</v>
      </c>
      <c r="N262" s="932">
        <v>4.33</v>
      </c>
      <c r="O262" s="932">
        <v>5.08</v>
      </c>
      <c r="P262" s="932">
        <v>7.16</v>
      </c>
      <c r="Q262" s="932">
        <v>8.5299999999999994</v>
      </c>
      <c r="R262" s="932">
        <v>9.74</v>
      </c>
      <c r="S262" s="932">
        <v>9.9600000000000009</v>
      </c>
      <c r="T262" s="932">
        <v>8.3000000000000007</v>
      </c>
      <c r="U262" s="932">
        <v>6.85</v>
      </c>
      <c r="V262" s="932">
        <v>4.87</v>
      </c>
      <c r="W262" s="933">
        <v>4.09</v>
      </c>
      <c r="X262" s="934">
        <v>6.3683333333333332</v>
      </c>
    </row>
    <row r="263" spans="1:24" ht="15" customHeight="1" thickBot="1">
      <c r="A263" s="924" t="s">
        <v>1217</v>
      </c>
      <c r="B263" s="925"/>
      <c r="C263" s="925"/>
      <c r="D263" s="925"/>
      <c r="E263" s="925"/>
      <c r="F263" s="925"/>
      <c r="G263" s="926"/>
      <c r="H263" s="1019" t="s">
        <v>1218</v>
      </c>
      <c r="I263" s="1024"/>
      <c r="J263" s="1023"/>
      <c r="K263" s="1025"/>
      <c r="L263" s="927">
        <v>4.5199999999999996</v>
      </c>
      <c r="M263" s="928">
        <v>4.5599999999999996</v>
      </c>
      <c r="N263" s="928">
        <v>5.15</v>
      </c>
      <c r="O263" s="928">
        <v>5.97</v>
      </c>
      <c r="P263" s="928">
        <v>8.27</v>
      </c>
      <c r="Q263" s="928">
        <v>9.74</v>
      </c>
      <c r="R263" s="928">
        <v>11.01</v>
      </c>
      <c r="S263" s="928">
        <v>11.26</v>
      </c>
      <c r="T263" s="928">
        <v>9.5399999999999991</v>
      </c>
      <c r="U263" s="928">
        <v>8</v>
      </c>
      <c r="V263" s="928">
        <v>5.81</v>
      </c>
      <c r="W263" s="929">
        <v>4.93</v>
      </c>
      <c r="X263" s="930">
        <v>7.45</v>
      </c>
    </row>
    <row r="264" spans="1:24" ht="15" customHeight="1" thickBot="1">
      <c r="A264" s="910"/>
      <c r="B264" s="1028"/>
      <c r="C264" s="1028"/>
      <c r="D264" s="1028"/>
      <c r="E264" s="1028"/>
      <c r="F264" s="1028"/>
      <c r="G264" s="1028"/>
      <c r="H264" s="1032"/>
      <c r="I264" s="1032"/>
      <c r="J264" s="1032"/>
      <c r="K264" s="1032"/>
      <c r="L264" s="1037"/>
      <c r="M264" s="1038"/>
      <c r="N264" s="1038"/>
      <c r="O264" s="1038"/>
      <c r="P264" s="1038"/>
      <c r="Q264" s="1038"/>
      <c r="R264" s="1038"/>
      <c r="S264" s="1038"/>
      <c r="T264" s="1038"/>
      <c r="U264" s="1038"/>
      <c r="V264" s="1038"/>
      <c r="W264" s="1039"/>
      <c r="X264" s="1040"/>
    </row>
    <row r="265" spans="1:24" ht="15" customHeight="1" thickBot="1">
      <c r="A265" s="1031" t="s">
        <v>1241</v>
      </c>
      <c r="B265" s="1031"/>
      <c r="C265" s="1031"/>
      <c r="D265" s="1031"/>
      <c r="E265" s="1031"/>
      <c r="F265" s="1031"/>
      <c r="G265" s="1031"/>
      <c r="H265" s="1031"/>
      <c r="I265" s="1031"/>
      <c r="J265" s="1031"/>
      <c r="K265" s="1031"/>
      <c r="L265" s="884" t="s">
        <v>37</v>
      </c>
      <c r="M265" s="885" t="s">
        <v>38</v>
      </c>
      <c r="N265" s="885" t="s">
        <v>858</v>
      </c>
      <c r="O265" s="885" t="s">
        <v>39</v>
      </c>
      <c r="P265" s="885" t="s">
        <v>40</v>
      </c>
      <c r="Q265" s="885" t="s">
        <v>41</v>
      </c>
      <c r="R265" s="885" t="s">
        <v>42</v>
      </c>
      <c r="S265" s="885" t="s">
        <v>43</v>
      </c>
      <c r="T265" s="885" t="s">
        <v>44</v>
      </c>
      <c r="U265" s="885" t="s">
        <v>45</v>
      </c>
      <c r="V265" s="885" t="s">
        <v>46</v>
      </c>
      <c r="W265" s="886" t="s">
        <v>47</v>
      </c>
      <c r="X265" s="887" t="s">
        <v>352</v>
      </c>
    </row>
    <row r="266" spans="1:24" ht="15" customHeight="1" thickBot="1">
      <c r="A266" s="888" t="s">
        <v>1206</v>
      </c>
      <c r="B266" s="889"/>
      <c r="C266" s="889"/>
      <c r="D266" s="889"/>
      <c r="E266" s="889"/>
      <c r="F266" s="889"/>
      <c r="G266" s="890"/>
      <c r="H266" s="999" t="s">
        <v>3</v>
      </c>
      <c r="I266" s="1000"/>
      <c r="J266" s="891"/>
      <c r="K266" s="892"/>
      <c r="L266" s="893">
        <v>0.3</v>
      </c>
      <c r="M266" s="894">
        <v>1.6</v>
      </c>
      <c r="N266" s="894">
        <v>5.5</v>
      </c>
      <c r="O266" s="894">
        <v>8.3000000000000007</v>
      </c>
      <c r="P266" s="894">
        <v>13.4</v>
      </c>
      <c r="Q266" s="894">
        <v>16.399999999999999</v>
      </c>
      <c r="R266" s="894">
        <v>18.7</v>
      </c>
      <c r="S266" s="894">
        <v>18.600000000000001</v>
      </c>
      <c r="T266" s="894">
        <v>14.1</v>
      </c>
      <c r="U266" s="894">
        <v>9.9</v>
      </c>
      <c r="V266" s="894">
        <v>4.2</v>
      </c>
      <c r="W266" s="895">
        <v>1.7</v>
      </c>
      <c r="X266" s="896">
        <v>9.3916666666666675</v>
      </c>
    </row>
    <row r="267" spans="1:24" ht="15" customHeight="1">
      <c r="A267" s="897"/>
      <c r="B267" s="898"/>
      <c r="C267" s="898"/>
      <c r="D267" s="898"/>
      <c r="E267" s="898"/>
      <c r="F267" s="898"/>
      <c r="G267" s="899"/>
      <c r="H267" s="1001" t="s">
        <v>1207</v>
      </c>
      <c r="I267" s="1002"/>
      <c r="J267" s="1003" t="s">
        <v>1208</v>
      </c>
      <c r="K267" s="1004"/>
      <c r="L267" s="900">
        <v>107</v>
      </c>
      <c r="M267" s="901">
        <v>174</v>
      </c>
      <c r="N267" s="901">
        <v>340</v>
      </c>
      <c r="O267" s="901">
        <v>435</v>
      </c>
      <c r="P267" s="901">
        <v>562</v>
      </c>
      <c r="Q267" s="901">
        <v>614</v>
      </c>
      <c r="R267" s="901">
        <v>640</v>
      </c>
      <c r="S267" s="901">
        <v>552</v>
      </c>
      <c r="T267" s="901">
        <v>376</v>
      </c>
      <c r="U267" s="901">
        <v>222</v>
      </c>
      <c r="V267" s="901">
        <v>114</v>
      </c>
      <c r="W267" s="902">
        <v>86</v>
      </c>
      <c r="X267" s="903">
        <v>4223</v>
      </c>
    </row>
    <row r="268" spans="1:24" ht="15" customHeight="1">
      <c r="A268" s="904"/>
      <c r="B268" s="882"/>
      <c r="C268" s="882"/>
      <c r="D268" s="882"/>
      <c r="E268" s="882"/>
      <c r="F268" s="882"/>
      <c r="G268" s="905"/>
      <c r="H268" s="1005"/>
      <c r="I268" s="1006"/>
      <c r="J268" s="1007" t="s">
        <v>1209</v>
      </c>
      <c r="K268" s="1008"/>
      <c r="L268" s="900">
        <v>70</v>
      </c>
      <c r="M268" s="906">
        <v>109</v>
      </c>
      <c r="N268" s="906">
        <v>201</v>
      </c>
      <c r="O268" s="906">
        <v>251</v>
      </c>
      <c r="P268" s="906">
        <v>308</v>
      </c>
      <c r="Q268" s="906">
        <v>342</v>
      </c>
      <c r="R268" s="906">
        <v>359</v>
      </c>
      <c r="S268" s="906">
        <v>321</v>
      </c>
      <c r="T268" s="906">
        <v>213</v>
      </c>
      <c r="U268" s="906">
        <v>123</v>
      </c>
      <c r="V268" s="906">
        <v>67</v>
      </c>
      <c r="W268" s="907">
        <v>54</v>
      </c>
      <c r="X268" s="903">
        <v>2418</v>
      </c>
    </row>
    <row r="269" spans="1:24" ht="15" customHeight="1">
      <c r="A269" s="904" t="s">
        <v>1210</v>
      </c>
      <c r="B269" s="882"/>
      <c r="C269" s="882"/>
      <c r="D269" s="882"/>
      <c r="E269" s="882"/>
      <c r="F269" s="882"/>
      <c r="G269" s="905"/>
      <c r="H269" s="1005"/>
      <c r="I269" s="1006"/>
      <c r="J269" s="1007" t="s">
        <v>1211</v>
      </c>
      <c r="K269" s="1008"/>
      <c r="L269" s="900">
        <v>166</v>
      </c>
      <c r="M269" s="906">
        <v>230</v>
      </c>
      <c r="N269" s="906">
        <v>340</v>
      </c>
      <c r="O269" s="906">
        <v>298</v>
      </c>
      <c r="P269" s="906">
        <v>297</v>
      </c>
      <c r="Q269" s="906">
        <v>283</v>
      </c>
      <c r="R269" s="906">
        <v>313</v>
      </c>
      <c r="S269" s="906">
        <v>351</v>
      </c>
      <c r="T269" s="906">
        <v>329</v>
      </c>
      <c r="U269" s="906">
        <v>257</v>
      </c>
      <c r="V269" s="906">
        <v>161</v>
      </c>
      <c r="W269" s="907">
        <v>137</v>
      </c>
      <c r="X269" s="903">
        <v>3162</v>
      </c>
    </row>
    <row r="270" spans="1:24" ht="15" customHeight="1">
      <c r="A270" s="904"/>
      <c r="B270" s="882"/>
      <c r="C270" s="882"/>
      <c r="D270" s="882"/>
      <c r="E270" s="882"/>
      <c r="F270" s="882"/>
      <c r="G270" s="905"/>
      <c r="H270" s="1005"/>
      <c r="I270" s="1006"/>
      <c r="J270" s="1007" t="s">
        <v>592</v>
      </c>
      <c r="K270" s="1008"/>
      <c r="L270" s="908">
        <v>75</v>
      </c>
      <c r="M270" s="906">
        <v>119</v>
      </c>
      <c r="N270" s="906">
        <v>214</v>
      </c>
      <c r="O270" s="906">
        <v>244</v>
      </c>
      <c r="P270" s="906">
        <v>303</v>
      </c>
      <c r="Q270" s="906">
        <v>321</v>
      </c>
      <c r="R270" s="906">
        <v>346</v>
      </c>
      <c r="S270" s="906">
        <v>308</v>
      </c>
      <c r="T270" s="906">
        <v>231</v>
      </c>
      <c r="U270" s="906">
        <v>145</v>
      </c>
      <c r="V270" s="906">
        <v>73</v>
      </c>
      <c r="W270" s="907">
        <v>56</v>
      </c>
      <c r="X270" s="903">
        <v>2433</v>
      </c>
    </row>
    <row r="271" spans="1:24" ht="15" customHeight="1" thickBot="1">
      <c r="A271" s="909"/>
      <c r="B271" s="910"/>
      <c r="C271" s="910"/>
      <c r="D271" s="910"/>
      <c r="E271" s="910"/>
      <c r="F271" s="910"/>
      <c r="G271" s="911"/>
      <c r="H271" s="1009"/>
      <c r="I271" s="1010"/>
      <c r="J271" s="1011" t="s">
        <v>1212</v>
      </c>
      <c r="K271" s="1012"/>
      <c r="L271" s="912">
        <v>46</v>
      </c>
      <c r="M271" s="913">
        <v>63</v>
      </c>
      <c r="N271" s="913">
        <v>96</v>
      </c>
      <c r="O271" s="913">
        <v>122</v>
      </c>
      <c r="P271" s="913">
        <v>163</v>
      </c>
      <c r="Q271" s="913">
        <v>187</v>
      </c>
      <c r="R271" s="913">
        <v>182</v>
      </c>
      <c r="S271" s="913">
        <v>147</v>
      </c>
      <c r="T271" s="913">
        <v>101</v>
      </c>
      <c r="U271" s="913">
        <v>70</v>
      </c>
      <c r="V271" s="913">
        <v>41</v>
      </c>
      <c r="W271" s="914">
        <v>35</v>
      </c>
      <c r="X271" s="915">
        <v>1253</v>
      </c>
    </row>
    <row r="272" spans="1:24" ht="15" customHeight="1" thickBot="1">
      <c r="A272" s="888" t="s">
        <v>1213</v>
      </c>
      <c r="B272" s="889"/>
      <c r="C272" s="889"/>
      <c r="D272" s="889"/>
      <c r="E272" s="889"/>
      <c r="F272" s="889"/>
      <c r="G272" s="890"/>
      <c r="H272" s="999" t="s">
        <v>1214</v>
      </c>
      <c r="I272" s="1000"/>
      <c r="J272" s="999"/>
      <c r="K272" s="1013"/>
      <c r="L272" s="916">
        <v>52</v>
      </c>
      <c r="M272" s="917">
        <v>50</v>
      </c>
      <c r="N272" s="917">
        <v>57</v>
      </c>
      <c r="O272" s="917">
        <v>70</v>
      </c>
      <c r="P272" s="917">
        <v>89</v>
      </c>
      <c r="Q272" s="917">
        <v>95</v>
      </c>
      <c r="R272" s="917">
        <v>93</v>
      </c>
      <c r="S272" s="917">
        <v>82</v>
      </c>
      <c r="T272" s="917">
        <v>89</v>
      </c>
      <c r="U272" s="917">
        <v>89</v>
      </c>
      <c r="V272" s="917">
        <v>69</v>
      </c>
      <c r="W272" s="918">
        <v>55</v>
      </c>
      <c r="X272" s="919">
        <v>890</v>
      </c>
    </row>
    <row r="273" spans="1:24" ht="15" customHeight="1">
      <c r="A273" s="1014" t="s">
        <v>1215</v>
      </c>
      <c r="B273" s="1015"/>
      <c r="C273" s="1015"/>
      <c r="D273" s="1015"/>
      <c r="E273" s="1015"/>
      <c r="F273" s="1015"/>
      <c r="G273" s="1016"/>
      <c r="H273" s="886" t="s">
        <v>1216</v>
      </c>
      <c r="I273" s="1017"/>
      <c r="J273" s="886"/>
      <c r="K273" s="1018"/>
      <c r="L273" s="931">
        <v>3.57</v>
      </c>
      <c r="M273" s="932">
        <v>3.71</v>
      </c>
      <c r="N273" s="932">
        <v>4.37</v>
      </c>
      <c r="O273" s="932">
        <v>5.15</v>
      </c>
      <c r="P273" s="932">
        <v>7.3</v>
      </c>
      <c r="Q273" s="932">
        <v>8.69</v>
      </c>
      <c r="R273" s="932">
        <v>9.83</v>
      </c>
      <c r="S273" s="932">
        <v>9.9700000000000006</v>
      </c>
      <c r="T273" s="932">
        <v>8.31</v>
      </c>
      <c r="U273" s="932">
        <v>6.8</v>
      </c>
      <c r="V273" s="932">
        <v>4.75</v>
      </c>
      <c r="W273" s="933">
        <v>3.92</v>
      </c>
      <c r="X273" s="934">
        <v>6.3641666666666667</v>
      </c>
    </row>
    <row r="274" spans="1:24" ht="15" customHeight="1" thickBot="1">
      <c r="A274" s="924" t="s">
        <v>1217</v>
      </c>
      <c r="B274" s="925"/>
      <c r="C274" s="925"/>
      <c r="D274" s="925"/>
      <c r="E274" s="925"/>
      <c r="F274" s="925"/>
      <c r="G274" s="926"/>
      <c r="H274" s="1019" t="s">
        <v>1218</v>
      </c>
      <c r="I274" s="1024"/>
      <c r="J274" s="1023"/>
      <c r="K274" s="1025"/>
      <c r="L274" s="927">
        <v>4.34</v>
      </c>
      <c r="M274" s="928">
        <v>4.49</v>
      </c>
      <c r="N274" s="928">
        <v>5.21</v>
      </c>
      <c r="O274" s="928">
        <v>6.07</v>
      </c>
      <c r="P274" s="928">
        <v>8.44</v>
      </c>
      <c r="Q274" s="928">
        <v>9.94</v>
      </c>
      <c r="R274" s="928">
        <v>11.15</v>
      </c>
      <c r="S274" s="928">
        <v>11.31</v>
      </c>
      <c r="T274" s="928">
        <v>9.58</v>
      </c>
      <c r="U274" s="928">
        <v>7.96</v>
      </c>
      <c r="V274" s="928">
        <v>5.69</v>
      </c>
      <c r="W274" s="929">
        <v>4.74</v>
      </c>
      <c r="X274" s="930">
        <v>7.47</v>
      </c>
    </row>
    <row r="275" spans="1:24" ht="15" customHeight="1" thickBot="1">
      <c r="A275" s="910"/>
      <c r="B275" s="1028"/>
      <c r="C275" s="1028"/>
      <c r="D275" s="1028"/>
      <c r="E275" s="1028"/>
      <c r="F275" s="1028"/>
      <c r="G275" s="1028"/>
      <c r="H275" s="1032"/>
      <c r="I275" s="1032"/>
      <c r="J275" s="1032"/>
      <c r="K275" s="1032"/>
      <c r="L275" s="1037"/>
      <c r="M275" s="1038"/>
      <c r="N275" s="1038"/>
      <c r="O275" s="1038"/>
      <c r="P275" s="1038"/>
      <c r="Q275" s="1038"/>
      <c r="R275" s="1038"/>
      <c r="S275" s="1038"/>
      <c r="T275" s="1038"/>
      <c r="U275" s="1038"/>
      <c r="V275" s="1038"/>
      <c r="W275" s="1039"/>
      <c r="X275" s="1040"/>
    </row>
    <row r="276" spans="1:24" ht="15" customHeight="1" thickBot="1">
      <c r="A276" s="1031" t="s">
        <v>1242</v>
      </c>
      <c r="B276" s="1031"/>
      <c r="C276" s="1031"/>
      <c r="D276" s="1031"/>
      <c r="E276" s="1031"/>
      <c r="F276" s="1031"/>
      <c r="G276" s="1031"/>
      <c r="H276" s="1031"/>
      <c r="I276" s="1031"/>
      <c r="J276" s="1031"/>
      <c r="K276" s="1031"/>
      <c r="L276" s="884" t="s">
        <v>37</v>
      </c>
      <c r="M276" s="885" t="s">
        <v>38</v>
      </c>
      <c r="N276" s="885" t="s">
        <v>858</v>
      </c>
      <c r="O276" s="885" t="s">
        <v>39</v>
      </c>
      <c r="P276" s="885" t="s">
        <v>40</v>
      </c>
      <c r="Q276" s="885" t="s">
        <v>41</v>
      </c>
      <c r="R276" s="885" t="s">
        <v>42</v>
      </c>
      <c r="S276" s="885" t="s">
        <v>43</v>
      </c>
      <c r="T276" s="885" t="s">
        <v>44</v>
      </c>
      <c r="U276" s="885" t="s">
        <v>45</v>
      </c>
      <c r="V276" s="885" t="s">
        <v>46</v>
      </c>
      <c r="W276" s="886" t="s">
        <v>47</v>
      </c>
      <c r="X276" s="887" t="s">
        <v>352</v>
      </c>
    </row>
    <row r="277" spans="1:24" ht="15" customHeight="1" thickBot="1">
      <c r="A277" s="888" t="s">
        <v>1206</v>
      </c>
      <c r="B277" s="889"/>
      <c r="C277" s="889"/>
      <c r="D277" s="889"/>
      <c r="E277" s="889"/>
      <c r="F277" s="889"/>
      <c r="G277" s="890"/>
      <c r="H277" s="999" t="s">
        <v>3</v>
      </c>
      <c r="I277" s="1000"/>
      <c r="J277" s="891"/>
      <c r="K277" s="892"/>
      <c r="L277" s="893">
        <v>-1.3</v>
      </c>
      <c r="M277" s="894">
        <v>0.1</v>
      </c>
      <c r="N277" s="894">
        <v>3.9</v>
      </c>
      <c r="O277" s="894">
        <v>6.6</v>
      </c>
      <c r="P277" s="894">
        <v>11.4</v>
      </c>
      <c r="Q277" s="894">
        <v>14.7</v>
      </c>
      <c r="R277" s="894">
        <v>17.2</v>
      </c>
      <c r="S277" s="894">
        <v>16.8</v>
      </c>
      <c r="T277" s="894">
        <v>12.6</v>
      </c>
      <c r="U277" s="894">
        <v>8.3000000000000007</v>
      </c>
      <c r="V277" s="894">
        <v>2.9</v>
      </c>
      <c r="W277" s="895">
        <v>0</v>
      </c>
      <c r="X277" s="896">
        <v>7.7666666666666666</v>
      </c>
    </row>
    <row r="278" spans="1:24" ht="15" customHeight="1">
      <c r="A278" s="897"/>
      <c r="B278" s="898"/>
      <c r="C278" s="898"/>
      <c r="D278" s="898"/>
      <c r="E278" s="898"/>
      <c r="F278" s="898"/>
      <c r="G278" s="899"/>
      <c r="H278" s="1001" t="s">
        <v>1207</v>
      </c>
      <c r="I278" s="1002"/>
      <c r="J278" s="1003" t="s">
        <v>1208</v>
      </c>
      <c r="K278" s="1004"/>
      <c r="L278" s="900">
        <v>88</v>
      </c>
      <c r="M278" s="901">
        <v>198</v>
      </c>
      <c r="N278" s="901">
        <v>375</v>
      </c>
      <c r="O278" s="901">
        <v>435</v>
      </c>
      <c r="P278" s="901">
        <v>490</v>
      </c>
      <c r="Q278" s="901">
        <v>560</v>
      </c>
      <c r="R278" s="901">
        <v>595</v>
      </c>
      <c r="S278" s="901">
        <v>517</v>
      </c>
      <c r="T278" s="901">
        <v>363</v>
      </c>
      <c r="U278" s="901">
        <v>228</v>
      </c>
      <c r="V278" s="901">
        <v>106</v>
      </c>
      <c r="W278" s="902">
        <v>62</v>
      </c>
      <c r="X278" s="903">
        <v>4017</v>
      </c>
    </row>
    <row r="279" spans="1:24" ht="15" customHeight="1">
      <c r="A279" s="904"/>
      <c r="B279" s="882"/>
      <c r="C279" s="882"/>
      <c r="D279" s="882"/>
      <c r="E279" s="882"/>
      <c r="F279" s="882"/>
      <c r="G279" s="905"/>
      <c r="H279" s="1005"/>
      <c r="I279" s="1006"/>
      <c r="J279" s="1007" t="s">
        <v>1209</v>
      </c>
      <c r="K279" s="1008"/>
      <c r="L279" s="900">
        <v>62</v>
      </c>
      <c r="M279" s="906">
        <v>194</v>
      </c>
      <c r="N279" s="906">
        <v>268</v>
      </c>
      <c r="O279" s="906">
        <v>236</v>
      </c>
      <c r="P279" s="906">
        <v>241</v>
      </c>
      <c r="Q279" s="906">
        <v>275</v>
      </c>
      <c r="R279" s="906">
        <v>297</v>
      </c>
      <c r="S279" s="906">
        <v>273</v>
      </c>
      <c r="T279" s="906">
        <v>202</v>
      </c>
      <c r="U279" s="906">
        <v>142</v>
      </c>
      <c r="V279" s="906">
        <v>70</v>
      </c>
      <c r="W279" s="907">
        <v>35</v>
      </c>
      <c r="X279" s="903">
        <v>2294</v>
      </c>
    </row>
    <row r="280" spans="1:24" ht="15" customHeight="1">
      <c r="A280" s="904" t="s">
        <v>1210</v>
      </c>
      <c r="B280" s="882"/>
      <c r="C280" s="882"/>
      <c r="D280" s="882"/>
      <c r="E280" s="882"/>
      <c r="F280" s="882"/>
      <c r="G280" s="905"/>
      <c r="H280" s="1005"/>
      <c r="I280" s="1006"/>
      <c r="J280" s="1007" t="s">
        <v>1211</v>
      </c>
      <c r="K280" s="1008"/>
      <c r="L280" s="900">
        <v>99</v>
      </c>
      <c r="M280" s="906">
        <v>314</v>
      </c>
      <c r="N280" s="906">
        <v>418</v>
      </c>
      <c r="O280" s="906">
        <v>295</v>
      </c>
      <c r="P280" s="906">
        <v>233</v>
      </c>
      <c r="Q280" s="906">
        <v>238</v>
      </c>
      <c r="R280" s="906">
        <v>273</v>
      </c>
      <c r="S280" s="906">
        <v>308</v>
      </c>
      <c r="T280" s="906">
        <v>301</v>
      </c>
      <c r="U280" s="906">
        <v>257</v>
      </c>
      <c r="V280" s="906">
        <v>119</v>
      </c>
      <c r="W280" s="907">
        <v>40</v>
      </c>
      <c r="X280" s="903">
        <v>2897</v>
      </c>
    </row>
    <row r="281" spans="1:24" ht="15" customHeight="1">
      <c r="A281" s="904"/>
      <c r="B281" s="882"/>
      <c r="C281" s="882"/>
      <c r="D281" s="882"/>
      <c r="E281" s="882"/>
      <c r="F281" s="882"/>
      <c r="G281" s="905"/>
      <c r="H281" s="1005"/>
      <c r="I281" s="1006"/>
      <c r="J281" s="1007" t="s">
        <v>592</v>
      </c>
      <c r="K281" s="1008"/>
      <c r="L281" s="908">
        <v>54</v>
      </c>
      <c r="M281" s="906">
        <v>131</v>
      </c>
      <c r="N281" s="906">
        <v>230</v>
      </c>
      <c r="O281" s="906">
        <v>220</v>
      </c>
      <c r="P281" s="906">
        <v>217</v>
      </c>
      <c r="Q281" s="906">
        <v>241</v>
      </c>
      <c r="R281" s="906">
        <v>254</v>
      </c>
      <c r="S281" s="906">
        <v>233</v>
      </c>
      <c r="T281" s="906">
        <v>171</v>
      </c>
      <c r="U281" s="906">
        <v>91</v>
      </c>
      <c r="V281" s="906">
        <v>41</v>
      </c>
      <c r="W281" s="907">
        <v>32</v>
      </c>
      <c r="X281" s="903">
        <v>1916</v>
      </c>
    </row>
    <row r="282" spans="1:24" ht="15" customHeight="1" thickBot="1">
      <c r="A282" s="909"/>
      <c r="B282" s="910"/>
      <c r="C282" s="910"/>
      <c r="D282" s="910"/>
      <c r="E282" s="910"/>
      <c r="F282" s="910"/>
      <c r="G282" s="911"/>
      <c r="H282" s="1009"/>
      <c r="I282" s="1010"/>
      <c r="J282" s="1011" t="s">
        <v>1212</v>
      </c>
      <c r="K282" s="1012"/>
      <c r="L282" s="912">
        <v>48</v>
      </c>
      <c r="M282" s="913">
        <v>109</v>
      </c>
      <c r="N282" s="913">
        <v>139</v>
      </c>
      <c r="O282" s="913">
        <v>106</v>
      </c>
      <c r="P282" s="913">
        <v>110</v>
      </c>
      <c r="Q282" s="913">
        <v>127</v>
      </c>
      <c r="R282" s="913">
        <v>131</v>
      </c>
      <c r="S282" s="913">
        <v>110</v>
      </c>
      <c r="T282" s="913">
        <v>75</v>
      </c>
      <c r="U282" s="913">
        <v>51</v>
      </c>
      <c r="V282" s="913">
        <v>34</v>
      </c>
      <c r="W282" s="914">
        <v>29</v>
      </c>
      <c r="X282" s="915">
        <v>1070</v>
      </c>
    </row>
    <row r="283" spans="1:24" ht="15" customHeight="1" thickBot="1">
      <c r="A283" s="888" t="s">
        <v>1213</v>
      </c>
      <c r="B283" s="889"/>
      <c r="C283" s="889"/>
      <c r="D283" s="889"/>
      <c r="E283" s="889"/>
      <c r="F283" s="889"/>
      <c r="G283" s="890"/>
      <c r="H283" s="999" t="s">
        <v>1214</v>
      </c>
      <c r="I283" s="1000"/>
      <c r="J283" s="999"/>
      <c r="K283" s="1013"/>
      <c r="L283" s="916">
        <v>74</v>
      </c>
      <c r="M283" s="917">
        <v>67</v>
      </c>
      <c r="N283" s="917">
        <v>73</v>
      </c>
      <c r="O283" s="917">
        <v>145</v>
      </c>
      <c r="P283" s="917">
        <v>149</v>
      </c>
      <c r="Q283" s="917">
        <v>154</v>
      </c>
      <c r="R283" s="917">
        <v>139</v>
      </c>
      <c r="S283" s="917">
        <v>131</v>
      </c>
      <c r="T283" s="917">
        <v>159</v>
      </c>
      <c r="U283" s="917">
        <v>170</v>
      </c>
      <c r="V283" s="917">
        <v>145</v>
      </c>
      <c r="W283" s="918">
        <v>69</v>
      </c>
      <c r="X283" s="919">
        <v>1475</v>
      </c>
    </row>
    <row r="284" spans="1:24" ht="15" customHeight="1">
      <c r="A284" s="897" t="s">
        <v>1217</v>
      </c>
      <c r="B284" s="1026"/>
      <c r="C284" s="1026"/>
      <c r="D284" s="1026"/>
      <c r="E284" s="1026"/>
      <c r="F284" s="1026"/>
      <c r="G284" s="1002"/>
      <c r="H284" s="886" t="s">
        <v>1216</v>
      </c>
      <c r="I284" s="1017"/>
      <c r="J284" s="886"/>
      <c r="K284" s="1018"/>
      <c r="L284" s="931">
        <v>2.85</v>
      </c>
      <c r="M284" s="932">
        <v>2.88</v>
      </c>
      <c r="N284" s="932">
        <v>3.33</v>
      </c>
      <c r="O284" s="932">
        <v>4.1100000000000003</v>
      </c>
      <c r="P284" s="932">
        <v>6.11</v>
      </c>
      <c r="Q284" s="932">
        <v>7.46</v>
      </c>
      <c r="R284" s="932">
        <v>8.83</v>
      </c>
      <c r="S284" s="932">
        <v>9.07</v>
      </c>
      <c r="T284" s="932">
        <v>7.3</v>
      </c>
      <c r="U284" s="932">
        <v>5.8</v>
      </c>
      <c r="V284" s="932">
        <v>3.88</v>
      </c>
      <c r="W284" s="933">
        <v>3.08</v>
      </c>
      <c r="X284" s="934">
        <v>5.3916666666666666</v>
      </c>
    </row>
    <row r="285" spans="1:24" ht="15" customHeight="1" thickBot="1">
      <c r="A285" s="1027"/>
      <c r="B285" s="1028"/>
      <c r="C285" s="1028"/>
      <c r="D285" s="1028"/>
      <c r="E285" s="1028"/>
      <c r="F285" s="1028"/>
      <c r="G285" s="1010"/>
      <c r="H285" s="1019" t="s">
        <v>1218</v>
      </c>
      <c r="I285" s="1024"/>
      <c r="J285" s="1023"/>
      <c r="K285" s="1025"/>
      <c r="L285" s="927">
        <v>3.27</v>
      </c>
      <c r="M285" s="928">
        <v>3.29</v>
      </c>
      <c r="N285" s="928">
        <v>3.75</v>
      </c>
      <c r="O285" s="928">
        <v>4.58</v>
      </c>
      <c r="P285" s="928">
        <v>6.69</v>
      </c>
      <c r="Q285" s="928">
        <v>8.07</v>
      </c>
      <c r="R285" s="928">
        <v>9.4600000000000009</v>
      </c>
      <c r="S285" s="928">
        <v>9.73</v>
      </c>
      <c r="T285" s="928">
        <v>7.96</v>
      </c>
      <c r="U285" s="928">
        <v>6.42</v>
      </c>
      <c r="V285" s="928">
        <v>4.3899999999999997</v>
      </c>
      <c r="W285" s="929">
        <v>3.52</v>
      </c>
      <c r="X285" s="930">
        <v>5.98</v>
      </c>
    </row>
    <row r="286" spans="1:24" ht="15" customHeight="1" thickBot="1">
      <c r="A286" s="910"/>
      <c r="B286" s="1028"/>
      <c r="C286" s="1028"/>
      <c r="D286" s="1028"/>
      <c r="E286" s="1028"/>
      <c r="F286" s="1028"/>
      <c r="G286" s="1028"/>
      <c r="H286" s="1032"/>
      <c r="I286" s="1032"/>
      <c r="J286" s="1032"/>
      <c r="K286" s="1032"/>
      <c r="L286" s="1037"/>
      <c r="M286" s="1038"/>
      <c r="N286" s="1038"/>
      <c r="O286" s="1038"/>
      <c r="P286" s="1038"/>
      <c r="Q286" s="1038"/>
      <c r="R286" s="1038"/>
      <c r="S286" s="1038"/>
      <c r="T286" s="1038"/>
      <c r="U286" s="1038"/>
      <c r="V286" s="1038"/>
      <c r="W286" s="1039"/>
      <c r="X286" s="1040"/>
    </row>
    <row r="287" spans="1:24" ht="15" customHeight="1" thickBot="1">
      <c r="A287" s="1031" t="s">
        <v>1243</v>
      </c>
      <c r="B287" s="1031"/>
      <c r="C287" s="1031"/>
      <c r="D287" s="1031"/>
      <c r="E287" s="1031"/>
      <c r="F287" s="1031"/>
      <c r="G287" s="1031"/>
      <c r="H287" s="1031"/>
      <c r="I287" s="1031"/>
      <c r="J287" s="1031"/>
      <c r="K287" s="1031"/>
      <c r="L287" s="884" t="s">
        <v>37</v>
      </c>
      <c r="M287" s="885" t="s">
        <v>38</v>
      </c>
      <c r="N287" s="885" t="s">
        <v>858</v>
      </c>
      <c r="O287" s="885" t="s">
        <v>39</v>
      </c>
      <c r="P287" s="885" t="s">
        <v>40</v>
      </c>
      <c r="Q287" s="885" t="s">
        <v>41</v>
      </c>
      <c r="R287" s="885" t="s">
        <v>42</v>
      </c>
      <c r="S287" s="885" t="s">
        <v>43</v>
      </c>
      <c r="T287" s="885" t="s">
        <v>44</v>
      </c>
      <c r="U287" s="885" t="s">
        <v>45</v>
      </c>
      <c r="V287" s="885" t="s">
        <v>46</v>
      </c>
      <c r="W287" s="886" t="s">
        <v>47</v>
      </c>
      <c r="X287" s="887" t="s">
        <v>352</v>
      </c>
    </row>
    <row r="288" spans="1:24" ht="15" customHeight="1" thickBot="1">
      <c r="A288" s="888" t="s">
        <v>1206</v>
      </c>
      <c r="B288" s="889"/>
      <c r="C288" s="889"/>
      <c r="D288" s="889"/>
      <c r="E288" s="889"/>
      <c r="F288" s="889"/>
      <c r="G288" s="890"/>
      <c r="H288" s="999" t="s">
        <v>3</v>
      </c>
      <c r="I288" s="1000"/>
      <c r="J288" s="891"/>
      <c r="K288" s="892"/>
      <c r="L288" s="893">
        <v>2.2999999999999998</v>
      </c>
      <c r="M288" s="894">
        <v>3.3</v>
      </c>
      <c r="N288" s="894">
        <v>6.8</v>
      </c>
      <c r="O288" s="894">
        <v>9.5</v>
      </c>
      <c r="P288" s="894">
        <v>14.5</v>
      </c>
      <c r="Q288" s="894">
        <v>17.5</v>
      </c>
      <c r="R288" s="894">
        <v>20.100000000000001</v>
      </c>
      <c r="S288" s="894">
        <v>20.100000000000001</v>
      </c>
      <c r="T288" s="894">
        <v>15.7</v>
      </c>
      <c r="U288" s="894">
        <v>11.6</v>
      </c>
      <c r="V288" s="894">
        <v>6.2</v>
      </c>
      <c r="W288" s="895">
        <v>3.6</v>
      </c>
      <c r="X288" s="896">
        <v>10.933333333333332</v>
      </c>
    </row>
    <row r="289" spans="1:24" ht="15" customHeight="1">
      <c r="A289" s="897"/>
      <c r="B289" s="898"/>
      <c r="C289" s="898"/>
      <c r="D289" s="898"/>
      <c r="E289" s="898"/>
      <c r="F289" s="898"/>
      <c r="G289" s="899"/>
      <c r="H289" s="1001" t="s">
        <v>1207</v>
      </c>
      <c r="I289" s="1002"/>
      <c r="J289" s="1003" t="s">
        <v>1208</v>
      </c>
      <c r="K289" s="1004"/>
      <c r="L289" s="900">
        <v>118</v>
      </c>
      <c r="M289" s="901">
        <v>186</v>
      </c>
      <c r="N289" s="901">
        <v>356</v>
      </c>
      <c r="O289" s="901">
        <v>459</v>
      </c>
      <c r="P289" s="901">
        <v>592</v>
      </c>
      <c r="Q289" s="901">
        <v>638</v>
      </c>
      <c r="R289" s="901">
        <v>667</v>
      </c>
      <c r="S289" s="901">
        <v>570</v>
      </c>
      <c r="T289" s="901">
        <v>399</v>
      </c>
      <c r="U289" s="901">
        <v>252</v>
      </c>
      <c r="V289" s="901">
        <v>132</v>
      </c>
      <c r="W289" s="902">
        <v>99</v>
      </c>
      <c r="X289" s="903">
        <v>4468</v>
      </c>
    </row>
    <row r="290" spans="1:24" ht="15" customHeight="1">
      <c r="A290" s="904"/>
      <c r="B290" s="882"/>
      <c r="C290" s="882"/>
      <c r="D290" s="882"/>
      <c r="E290" s="882"/>
      <c r="F290" s="882"/>
      <c r="G290" s="905"/>
      <c r="H290" s="1005"/>
      <c r="I290" s="1006"/>
      <c r="J290" s="1007" t="s">
        <v>1209</v>
      </c>
      <c r="K290" s="1008"/>
      <c r="L290" s="900">
        <v>72</v>
      </c>
      <c r="M290" s="906">
        <v>109</v>
      </c>
      <c r="N290" s="906">
        <v>209</v>
      </c>
      <c r="O290" s="906">
        <v>254</v>
      </c>
      <c r="P290" s="906">
        <v>313</v>
      </c>
      <c r="Q290" s="906">
        <v>337</v>
      </c>
      <c r="R290" s="906">
        <v>356</v>
      </c>
      <c r="S290" s="906">
        <v>308</v>
      </c>
      <c r="T290" s="906">
        <v>220</v>
      </c>
      <c r="U290" s="906">
        <v>139</v>
      </c>
      <c r="V290" s="906">
        <v>78</v>
      </c>
      <c r="W290" s="907">
        <v>59</v>
      </c>
      <c r="X290" s="903">
        <v>2455</v>
      </c>
    </row>
    <row r="291" spans="1:24" ht="15" customHeight="1">
      <c r="A291" s="904" t="s">
        <v>1210</v>
      </c>
      <c r="B291" s="882"/>
      <c r="C291" s="882"/>
      <c r="D291" s="882"/>
      <c r="E291" s="882"/>
      <c r="F291" s="882"/>
      <c r="G291" s="905"/>
      <c r="H291" s="1005"/>
      <c r="I291" s="1006"/>
      <c r="J291" s="1007" t="s">
        <v>1211</v>
      </c>
      <c r="K291" s="1008"/>
      <c r="L291" s="900">
        <v>198</v>
      </c>
      <c r="M291" s="906">
        <v>259</v>
      </c>
      <c r="N291" s="906">
        <v>364</v>
      </c>
      <c r="O291" s="906">
        <v>319</v>
      </c>
      <c r="P291" s="906">
        <v>311</v>
      </c>
      <c r="Q291" s="906">
        <v>290</v>
      </c>
      <c r="R291" s="906">
        <v>324</v>
      </c>
      <c r="S291" s="906">
        <v>362</v>
      </c>
      <c r="T291" s="906">
        <v>355</v>
      </c>
      <c r="U291" s="906">
        <v>308</v>
      </c>
      <c r="V291" s="906">
        <v>210</v>
      </c>
      <c r="W291" s="907">
        <v>174</v>
      </c>
      <c r="X291" s="903">
        <v>3474</v>
      </c>
    </row>
    <row r="292" spans="1:24" ht="15" customHeight="1">
      <c r="A292" s="904"/>
      <c r="B292" s="882"/>
      <c r="C292" s="882"/>
      <c r="D292" s="882"/>
      <c r="E292" s="882"/>
      <c r="F292" s="882"/>
      <c r="G292" s="905"/>
      <c r="H292" s="1005"/>
      <c r="I292" s="1006"/>
      <c r="J292" s="1007" t="s">
        <v>592</v>
      </c>
      <c r="K292" s="1008"/>
      <c r="L292" s="908">
        <v>80</v>
      </c>
      <c r="M292" s="906">
        <v>123</v>
      </c>
      <c r="N292" s="906">
        <v>217</v>
      </c>
      <c r="O292" s="906">
        <v>251</v>
      </c>
      <c r="P292" s="906">
        <v>313</v>
      </c>
      <c r="Q292" s="906">
        <v>329</v>
      </c>
      <c r="R292" s="906">
        <v>356</v>
      </c>
      <c r="S292" s="906">
        <v>319</v>
      </c>
      <c r="T292" s="906">
        <v>241</v>
      </c>
      <c r="U292" s="906">
        <v>161</v>
      </c>
      <c r="V292" s="906">
        <v>88</v>
      </c>
      <c r="W292" s="907">
        <v>64</v>
      </c>
      <c r="X292" s="903">
        <v>2544</v>
      </c>
    </row>
    <row r="293" spans="1:24" ht="15" customHeight="1" thickBot="1">
      <c r="A293" s="909"/>
      <c r="B293" s="910"/>
      <c r="C293" s="910"/>
      <c r="D293" s="910"/>
      <c r="E293" s="910"/>
      <c r="F293" s="910"/>
      <c r="G293" s="911"/>
      <c r="H293" s="1009"/>
      <c r="I293" s="1010"/>
      <c r="J293" s="1011" t="s">
        <v>1212</v>
      </c>
      <c r="K293" s="1012"/>
      <c r="L293" s="912">
        <v>40</v>
      </c>
      <c r="M293" s="913">
        <v>56</v>
      </c>
      <c r="N293" s="913">
        <v>91</v>
      </c>
      <c r="O293" s="913">
        <v>114</v>
      </c>
      <c r="P293" s="913">
        <v>158</v>
      </c>
      <c r="Q293" s="913">
        <v>176</v>
      </c>
      <c r="R293" s="913">
        <v>174</v>
      </c>
      <c r="S293" s="913">
        <v>139</v>
      </c>
      <c r="T293" s="913">
        <v>96</v>
      </c>
      <c r="U293" s="913">
        <v>67</v>
      </c>
      <c r="V293" s="913">
        <v>39</v>
      </c>
      <c r="W293" s="914">
        <v>32</v>
      </c>
      <c r="X293" s="915">
        <v>1182</v>
      </c>
    </row>
    <row r="294" spans="1:24" ht="15" customHeight="1" thickBot="1">
      <c r="A294" s="888" t="s">
        <v>1213</v>
      </c>
      <c r="B294" s="889"/>
      <c r="C294" s="889"/>
      <c r="D294" s="889"/>
      <c r="E294" s="889"/>
      <c r="F294" s="889"/>
      <c r="G294" s="890"/>
      <c r="H294" s="999" t="s">
        <v>1214</v>
      </c>
      <c r="I294" s="1000"/>
      <c r="J294" s="999"/>
      <c r="K294" s="1013"/>
      <c r="L294" s="916">
        <v>81</v>
      </c>
      <c r="M294" s="917">
        <v>71</v>
      </c>
      <c r="N294" s="917">
        <v>71</v>
      </c>
      <c r="O294" s="917">
        <v>91</v>
      </c>
      <c r="P294" s="917">
        <v>112</v>
      </c>
      <c r="Q294" s="917">
        <v>122</v>
      </c>
      <c r="R294" s="917">
        <v>97</v>
      </c>
      <c r="S294" s="917">
        <v>101</v>
      </c>
      <c r="T294" s="917">
        <v>127</v>
      </c>
      <c r="U294" s="917">
        <v>117</v>
      </c>
      <c r="V294" s="917">
        <v>104</v>
      </c>
      <c r="W294" s="918">
        <v>82</v>
      </c>
      <c r="X294" s="919">
        <v>1176</v>
      </c>
    </row>
    <row r="295" spans="1:24" ht="15" customHeight="1">
      <c r="A295" s="1014" t="s">
        <v>1215</v>
      </c>
      <c r="B295" s="1015"/>
      <c r="C295" s="1015"/>
      <c r="D295" s="1015"/>
      <c r="E295" s="1015"/>
      <c r="F295" s="1015"/>
      <c r="G295" s="1016"/>
      <c r="H295" s="886" t="s">
        <v>1216</v>
      </c>
      <c r="I295" s="1017"/>
      <c r="J295" s="886"/>
      <c r="K295" s="1018"/>
      <c r="L295" s="931">
        <v>3.73</v>
      </c>
      <c r="M295" s="932">
        <v>3.79</v>
      </c>
      <c r="N295" s="932">
        <v>4.33</v>
      </c>
      <c r="O295" s="932">
        <v>5.08</v>
      </c>
      <c r="P295" s="932">
        <v>7.2</v>
      </c>
      <c r="Q295" s="932">
        <v>8.6</v>
      </c>
      <c r="R295" s="932">
        <v>9.91</v>
      </c>
      <c r="S295" s="932">
        <v>10.14</v>
      </c>
      <c r="T295" s="932">
        <v>8.5299999999999994</v>
      </c>
      <c r="U295" s="932">
        <v>7.05</v>
      </c>
      <c r="V295" s="932">
        <v>4.95</v>
      </c>
      <c r="W295" s="933">
        <v>4.13</v>
      </c>
      <c r="X295" s="934">
        <v>6.4533333333333331</v>
      </c>
    </row>
    <row r="296" spans="1:24" ht="15" customHeight="1" thickBot="1">
      <c r="A296" s="924" t="s">
        <v>1217</v>
      </c>
      <c r="B296" s="925"/>
      <c r="C296" s="925"/>
      <c r="D296" s="925"/>
      <c r="E296" s="925"/>
      <c r="F296" s="925"/>
      <c r="G296" s="926"/>
      <c r="H296" s="1019" t="s">
        <v>1218</v>
      </c>
      <c r="I296" s="1024"/>
      <c r="J296" s="1023"/>
      <c r="K296" s="1025"/>
      <c r="L296" s="927">
        <v>4.51</v>
      </c>
      <c r="M296" s="928">
        <v>4.57</v>
      </c>
      <c r="N296" s="928">
        <v>5.15</v>
      </c>
      <c r="O296" s="928">
        <v>5.99</v>
      </c>
      <c r="P296" s="928">
        <v>8.33</v>
      </c>
      <c r="Q296" s="928">
        <v>9.83</v>
      </c>
      <c r="R296" s="928">
        <v>11.22</v>
      </c>
      <c r="S296" s="928">
        <v>11.48</v>
      </c>
      <c r="T296" s="928">
        <v>9.81</v>
      </c>
      <c r="U296" s="928">
        <v>8.24</v>
      </c>
      <c r="V296" s="928">
        <v>5.9</v>
      </c>
      <c r="W296" s="929">
        <v>4.97</v>
      </c>
      <c r="X296" s="930">
        <v>7.56</v>
      </c>
    </row>
    <row r="297" spans="1:24" ht="15" customHeight="1" thickBot="1">
      <c r="A297" s="910"/>
      <c r="B297" s="1028"/>
      <c r="C297" s="1028"/>
      <c r="D297" s="1028"/>
      <c r="E297" s="1028"/>
      <c r="F297" s="1028"/>
      <c r="G297" s="1028"/>
      <c r="H297" s="1032"/>
      <c r="I297" s="1032"/>
      <c r="J297" s="1032"/>
      <c r="K297" s="1032"/>
      <c r="L297" s="1037"/>
      <c r="M297" s="1038"/>
      <c r="N297" s="1038"/>
      <c r="O297" s="1038"/>
      <c r="P297" s="1038"/>
      <c r="Q297" s="1038"/>
      <c r="R297" s="1038"/>
      <c r="S297" s="1038"/>
      <c r="T297" s="1038"/>
      <c r="U297" s="1038"/>
      <c r="V297" s="1038"/>
      <c r="W297" s="1039"/>
      <c r="X297" s="1040"/>
    </row>
    <row r="298" spans="1:24" ht="15" customHeight="1" thickBot="1">
      <c r="A298" s="1031" t="s">
        <v>1244</v>
      </c>
      <c r="B298" s="1031"/>
      <c r="C298" s="1031"/>
      <c r="D298" s="1031"/>
      <c r="E298" s="1031"/>
      <c r="F298" s="1031"/>
      <c r="G298" s="1031"/>
      <c r="H298" s="1031"/>
      <c r="I298" s="1031"/>
      <c r="J298" s="1031"/>
      <c r="K298" s="1031"/>
      <c r="L298" s="884" t="s">
        <v>37</v>
      </c>
      <c r="M298" s="885" t="s">
        <v>38</v>
      </c>
      <c r="N298" s="885" t="s">
        <v>858</v>
      </c>
      <c r="O298" s="885" t="s">
        <v>39</v>
      </c>
      <c r="P298" s="885" t="s">
        <v>40</v>
      </c>
      <c r="Q298" s="885" t="s">
        <v>41</v>
      </c>
      <c r="R298" s="885" t="s">
        <v>42</v>
      </c>
      <c r="S298" s="885" t="s">
        <v>43</v>
      </c>
      <c r="T298" s="885" t="s">
        <v>44</v>
      </c>
      <c r="U298" s="885" t="s">
        <v>45</v>
      </c>
      <c r="V298" s="885" t="s">
        <v>46</v>
      </c>
      <c r="W298" s="886" t="s">
        <v>47</v>
      </c>
      <c r="X298" s="887" t="s">
        <v>352</v>
      </c>
    </row>
    <row r="299" spans="1:24" ht="15" customHeight="1" thickBot="1">
      <c r="A299" s="888" t="s">
        <v>1206</v>
      </c>
      <c r="B299" s="889"/>
      <c r="C299" s="889"/>
      <c r="D299" s="889"/>
      <c r="E299" s="889"/>
      <c r="F299" s="889"/>
      <c r="G299" s="890"/>
      <c r="H299" s="999" t="s">
        <v>3</v>
      </c>
      <c r="I299" s="1000"/>
      <c r="J299" s="891"/>
      <c r="K299" s="892"/>
      <c r="L299" s="893">
        <v>-2.1</v>
      </c>
      <c r="M299" s="894">
        <v>-0.8</v>
      </c>
      <c r="N299" s="894">
        <v>3.3</v>
      </c>
      <c r="O299" s="894">
        <v>6.4</v>
      </c>
      <c r="P299" s="894">
        <v>10.8</v>
      </c>
      <c r="Q299" s="894">
        <v>13.7</v>
      </c>
      <c r="R299" s="894">
        <v>16</v>
      </c>
      <c r="S299" s="894">
        <v>15.7</v>
      </c>
      <c r="T299" s="894">
        <v>11.6</v>
      </c>
      <c r="U299" s="894">
        <v>7.6</v>
      </c>
      <c r="V299" s="894">
        <v>2.6</v>
      </c>
      <c r="W299" s="895">
        <v>-0.5</v>
      </c>
      <c r="X299" s="896">
        <v>7.0250000000000004</v>
      </c>
    </row>
    <row r="300" spans="1:24" ht="15" customHeight="1">
      <c r="A300" s="897"/>
      <c r="B300" s="898"/>
      <c r="C300" s="898"/>
      <c r="D300" s="898"/>
      <c r="E300" s="898"/>
      <c r="F300" s="898"/>
      <c r="G300" s="899"/>
      <c r="H300" s="1001" t="s">
        <v>1207</v>
      </c>
      <c r="I300" s="1002"/>
      <c r="J300" s="1003" t="s">
        <v>1208</v>
      </c>
      <c r="K300" s="1004"/>
      <c r="L300" s="900">
        <v>161</v>
      </c>
      <c r="M300" s="901">
        <v>232</v>
      </c>
      <c r="N300" s="901">
        <v>388</v>
      </c>
      <c r="O300" s="901">
        <v>451</v>
      </c>
      <c r="P300" s="901">
        <v>530</v>
      </c>
      <c r="Q300" s="901">
        <v>560</v>
      </c>
      <c r="R300" s="901">
        <v>592</v>
      </c>
      <c r="S300" s="901">
        <v>506</v>
      </c>
      <c r="T300" s="901">
        <v>360</v>
      </c>
      <c r="U300" s="901">
        <v>249</v>
      </c>
      <c r="V300" s="901">
        <v>158</v>
      </c>
      <c r="W300" s="902">
        <v>129</v>
      </c>
      <c r="X300" s="903">
        <v>4317</v>
      </c>
    </row>
    <row r="301" spans="1:24" ht="15" customHeight="1">
      <c r="A301" s="904"/>
      <c r="B301" s="882"/>
      <c r="C301" s="882"/>
      <c r="D301" s="882"/>
      <c r="E301" s="882"/>
      <c r="F301" s="882"/>
      <c r="G301" s="905"/>
      <c r="H301" s="1005"/>
      <c r="I301" s="1006"/>
      <c r="J301" s="1007" t="s">
        <v>1209</v>
      </c>
      <c r="K301" s="1008"/>
      <c r="L301" s="900">
        <v>104</v>
      </c>
      <c r="M301" s="906">
        <v>155</v>
      </c>
      <c r="N301" s="906">
        <v>196</v>
      </c>
      <c r="O301" s="906">
        <v>200</v>
      </c>
      <c r="P301" s="906">
        <v>236</v>
      </c>
      <c r="Q301" s="906">
        <v>249</v>
      </c>
      <c r="R301" s="906">
        <v>271</v>
      </c>
      <c r="S301" s="906">
        <v>225</v>
      </c>
      <c r="T301" s="906">
        <v>150</v>
      </c>
      <c r="U301" s="906">
        <v>107</v>
      </c>
      <c r="V301" s="906">
        <v>73</v>
      </c>
      <c r="W301" s="907">
        <v>67</v>
      </c>
      <c r="X301" s="903">
        <v>2031</v>
      </c>
    </row>
    <row r="302" spans="1:24" ht="15" customHeight="1">
      <c r="A302" s="904" t="s">
        <v>1210</v>
      </c>
      <c r="B302" s="882"/>
      <c r="C302" s="882"/>
      <c r="D302" s="882"/>
      <c r="E302" s="882"/>
      <c r="F302" s="882"/>
      <c r="G302" s="905"/>
      <c r="H302" s="1005"/>
      <c r="I302" s="1006"/>
      <c r="J302" s="1007" t="s">
        <v>1211</v>
      </c>
      <c r="K302" s="1008"/>
      <c r="L302" s="900">
        <v>305</v>
      </c>
      <c r="M302" s="906">
        <v>360</v>
      </c>
      <c r="N302" s="906">
        <v>410</v>
      </c>
      <c r="O302" s="906">
        <v>311</v>
      </c>
      <c r="P302" s="906">
        <v>265</v>
      </c>
      <c r="Q302" s="906">
        <v>249</v>
      </c>
      <c r="R302" s="906">
        <v>284</v>
      </c>
      <c r="S302" s="906">
        <v>311</v>
      </c>
      <c r="T302" s="906">
        <v>301</v>
      </c>
      <c r="U302" s="906">
        <v>289</v>
      </c>
      <c r="V302" s="906">
        <v>246</v>
      </c>
      <c r="W302" s="907">
        <v>241</v>
      </c>
      <c r="X302" s="903">
        <v>3572</v>
      </c>
    </row>
    <row r="303" spans="1:24" ht="15" customHeight="1">
      <c r="A303" s="904"/>
      <c r="B303" s="882"/>
      <c r="C303" s="882"/>
      <c r="D303" s="882"/>
      <c r="E303" s="882"/>
      <c r="F303" s="882"/>
      <c r="G303" s="905"/>
      <c r="H303" s="1005"/>
      <c r="I303" s="1006"/>
      <c r="J303" s="1007" t="s">
        <v>592</v>
      </c>
      <c r="K303" s="1008"/>
      <c r="L303" s="908">
        <v>118</v>
      </c>
      <c r="M303" s="906">
        <v>162</v>
      </c>
      <c r="N303" s="906">
        <v>217</v>
      </c>
      <c r="O303" s="906">
        <v>197</v>
      </c>
      <c r="P303" s="906">
        <v>206</v>
      </c>
      <c r="Q303" s="906">
        <v>215</v>
      </c>
      <c r="R303" s="906">
        <v>230</v>
      </c>
      <c r="S303" s="906">
        <v>196</v>
      </c>
      <c r="T303" s="906">
        <v>153</v>
      </c>
      <c r="U303" s="906">
        <v>112</v>
      </c>
      <c r="V303" s="906">
        <v>78</v>
      </c>
      <c r="W303" s="907">
        <v>78</v>
      </c>
      <c r="X303" s="903">
        <v>1962</v>
      </c>
    </row>
    <row r="304" spans="1:24" ht="15" customHeight="1" thickBot="1">
      <c r="A304" s="909"/>
      <c r="B304" s="910"/>
      <c r="C304" s="910"/>
      <c r="D304" s="910"/>
      <c r="E304" s="910"/>
      <c r="F304" s="910"/>
      <c r="G304" s="911"/>
      <c r="H304" s="1009"/>
      <c r="I304" s="1010"/>
      <c r="J304" s="1011" t="s">
        <v>1212</v>
      </c>
      <c r="K304" s="1012"/>
      <c r="L304" s="912">
        <v>75</v>
      </c>
      <c r="M304" s="913">
        <v>102</v>
      </c>
      <c r="N304" s="913">
        <v>115</v>
      </c>
      <c r="O304" s="913">
        <v>101</v>
      </c>
      <c r="P304" s="913">
        <v>118</v>
      </c>
      <c r="Q304" s="913">
        <v>124</v>
      </c>
      <c r="R304" s="913">
        <v>126</v>
      </c>
      <c r="S304" s="913">
        <v>107</v>
      </c>
      <c r="T304" s="913">
        <v>78</v>
      </c>
      <c r="U304" s="913">
        <v>56</v>
      </c>
      <c r="V304" s="913">
        <v>44</v>
      </c>
      <c r="W304" s="914">
        <v>48</v>
      </c>
      <c r="X304" s="915">
        <v>1094</v>
      </c>
    </row>
    <row r="305" spans="1:24" ht="15" customHeight="1" thickBot="1">
      <c r="A305" s="888" t="s">
        <v>1213</v>
      </c>
      <c r="B305" s="889"/>
      <c r="C305" s="889"/>
      <c r="D305" s="889"/>
      <c r="E305" s="889"/>
      <c r="F305" s="889"/>
      <c r="G305" s="890"/>
      <c r="H305" s="999" t="s">
        <v>1214</v>
      </c>
      <c r="I305" s="1000"/>
      <c r="J305" s="999"/>
      <c r="K305" s="1013"/>
      <c r="L305" s="916">
        <v>57</v>
      </c>
      <c r="M305" s="917">
        <v>34</v>
      </c>
      <c r="N305" s="917">
        <v>49</v>
      </c>
      <c r="O305" s="917">
        <v>88</v>
      </c>
      <c r="P305" s="917">
        <v>104</v>
      </c>
      <c r="Q305" s="917">
        <v>128</v>
      </c>
      <c r="R305" s="917">
        <v>109</v>
      </c>
      <c r="S305" s="917">
        <v>113</v>
      </c>
      <c r="T305" s="917">
        <v>111</v>
      </c>
      <c r="U305" s="917">
        <v>127</v>
      </c>
      <c r="V305" s="917">
        <v>113</v>
      </c>
      <c r="W305" s="918">
        <v>61</v>
      </c>
      <c r="X305" s="919">
        <v>1094</v>
      </c>
    </row>
    <row r="306" spans="1:24" ht="15" customHeight="1">
      <c r="A306" s="1014" t="s">
        <v>1215</v>
      </c>
      <c r="B306" s="1015"/>
      <c r="C306" s="1015"/>
      <c r="D306" s="1015"/>
      <c r="E306" s="1015"/>
      <c r="F306" s="1015"/>
      <c r="G306" s="1016"/>
      <c r="H306" s="886" t="s">
        <v>1216</v>
      </c>
      <c r="I306" s="1017"/>
      <c r="J306" s="886"/>
      <c r="K306" s="1018"/>
      <c r="L306" s="931">
        <v>2.61</v>
      </c>
      <c r="M306" s="932">
        <v>2.68</v>
      </c>
      <c r="N306" s="932">
        <v>3.23</v>
      </c>
      <c r="O306" s="932">
        <v>4.1500000000000004</v>
      </c>
      <c r="P306" s="932">
        <v>6.33</v>
      </c>
      <c r="Q306" s="932">
        <v>7.67</v>
      </c>
      <c r="R306" s="932">
        <v>9.01</v>
      </c>
      <c r="S306" s="932">
        <v>9.1</v>
      </c>
      <c r="T306" s="932">
        <v>7.22</v>
      </c>
      <c r="U306" s="932">
        <v>5.69</v>
      </c>
      <c r="V306" s="932">
        <v>3.78</v>
      </c>
      <c r="W306" s="933">
        <v>2.88</v>
      </c>
      <c r="X306" s="934">
        <v>5.3624999999999998</v>
      </c>
    </row>
    <row r="307" spans="1:24" ht="15" customHeight="1" thickBot="1">
      <c r="A307" s="924" t="s">
        <v>1217</v>
      </c>
      <c r="B307" s="925"/>
      <c r="C307" s="925"/>
      <c r="D307" s="925"/>
      <c r="E307" s="925"/>
      <c r="F307" s="925"/>
      <c r="G307" s="926"/>
      <c r="H307" s="1019" t="s">
        <v>1218</v>
      </c>
      <c r="I307" s="1024"/>
      <c r="J307" s="1023"/>
      <c r="K307" s="1025"/>
      <c r="L307" s="927">
        <v>2.98</v>
      </c>
      <c r="M307" s="928">
        <v>3.05</v>
      </c>
      <c r="N307" s="928">
        <v>3.62</v>
      </c>
      <c r="O307" s="928">
        <v>4.59</v>
      </c>
      <c r="P307" s="928">
        <v>6.89</v>
      </c>
      <c r="Q307" s="928">
        <v>8.25</v>
      </c>
      <c r="R307" s="928">
        <v>9.61</v>
      </c>
      <c r="S307" s="928">
        <v>9.7200000000000006</v>
      </c>
      <c r="T307" s="928">
        <v>7.83</v>
      </c>
      <c r="U307" s="928">
        <v>6.26</v>
      </c>
      <c r="V307" s="928">
        <v>4.24</v>
      </c>
      <c r="W307" s="929">
        <v>3.27</v>
      </c>
      <c r="X307" s="930">
        <v>5.92</v>
      </c>
    </row>
    <row r="308" spans="1:24" ht="15" customHeight="1" thickBot="1">
      <c r="A308" s="910"/>
      <c r="B308" s="1028"/>
      <c r="C308" s="1028"/>
      <c r="D308" s="1028"/>
      <c r="E308" s="1028"/>
      <c r="F308" s="1028"/>
      <c r="G308" s="1028"/>
      <c r="H308" s="1032"/>
      <c r="I308" s="1032"/>
      <c r="J308" s="1032"/>
      <c r="K308" s="1032"/>
      <c r="L308" s="1037"/>
      <c r="M308" s="1038"/>
      <c r="N308" s="1038"/>
      <c r="O308" s="1038"/>
      <c r="P308" s="1038"/>
      <c r="Q308" s="1038"/>
      <c r="R308" s="1038"/>
      <c r="S308" s="1038"/>
      <c r="T308" s="1038"/>
      <c r="U308" s="1038"/>
      <c r="V308" s="1038"/>
      <c r="W308" s="1039"/>
      <c r="X308" s="1040"/>
    </row>
    <row r="309" spans="1:24" ht="15" customHeight="1" thickBot="1">
      <c r="A309" s="1031" t="s">
        <v>1245</v>
      </c>
      <c r="B309" s="1031"/>
      <c r="C309" s="1031"/>
      <c r="D309" s="1031"/>
      <c r="E309" s="1031"/>
      <c r="F309" s="1031"/>
      <c r="G309" s="1031"/>
      <c r="H309" s="1031"/>
      <c r="I309" s="1031"/>
      <c r="J309" s="1031"/>
      <c r="K309" s="1031"/>
      <c r="L309" s="884" t="s">
        <v>37</v>
      </c>
      <c r="M309" s="885" t="s">
        <v>38</v>
      </c>
      <c r="N309" s="885" t="s">
        <v>858</v>
      </c>
      <c r="O309" s="885" t="s">
        <v>39</v>
      </c>
      <c r="P309" s="885" t="s">
        <v>40</v>
      </c>
      <c r="Q309" s="885" t="s">
        <v>41</v>
      </c>
      <c r="R309" s="885" t="s">
        <v>42</v>
      </c>
      <c r="S309" s="885" t="s">
        <v>43</v>
      </c>
      <c r="T309" s="885" t="s">
        <v>44</v>
      </c>
      <c r="U309" s="885" t="s">
        <v>45</v>
      </c>
      <c r="V309" s="885" t="s">
        <v>46</v>
      </c>
      <c r="W309" s="886" t="s">
        <v>47</v>
      </c>
      <c r="X309" s="887" t="s">
        <v>352</v>
      </c>
    </row>
    <row r="310" spans="1:24" ht="15" customHeight="1" thickBot="1">
      <c r="A310" s="888" t="s">
        <v>1206</v>
      </c>
      <c r="B310" s="889"/>
      <c r="C310" s="889"/>
      <c r="D310" s="889"/>
      <c r="E310" s="889"/>
      <c r="F310" s="889"/>
      <c r="G310" s="890"/>
      <c r="H310" s="999" t="s">
        <v>3</v>
      </c>
      <c r="I310" s="1000"/>
      <c r="J310" s="891"/>
      <c r="K310" s="892"/>
      <c r="L310" s="893">
        <v>0.4</v>
      </c>
      <c r="M310" s="894">
        <v>1.5</v>
      </c>
      <c r="N310" s="894">
        <v>5.2</v>
      </c>
      <c r="O310" s="894">
        <v>7.8</v>
      </c>
      <c r="P310" s="894">
        <v>12.7</v>
      </c>
      <c r="Q310" s="894">
        <v>15.6</v>
      </c>
      <c r="R310" s="894">
        <v>17.899999999999999</v>
      </c>
      <c r="S310" s="894">
        <v>18.100000000000001</v>
      </c>
      <c r="T310" s="894">
        <v>13.7</v>
      </c>
      <c r="U310" s="894">
        <v>9.8000000000000007</v>
      </c>
      <c r="V310" s="894">
        <v>4.2</v>
      </c>
      <c r="W310" s="895">
        <v>1.8</v>
      </c>
      <c r="X310" s="896">
        <v>9.0583333333333318</v>
      </c>
    </row>
    <row r="311" spans="1:24" ht="15" customHeight="1">
      <c r="A311" s="897"/>
      <c r="B311" s="898"/>
      <c r="C311" s="898"/>
      <c r="D311" s="898"/>
      <c r="E311" s="898"/>
      <c r="F311" s="898"/>
      <c r="G311" s="899"/>
      <c r="H311" s="1001" t="s">
        <v>1207</v>
      </c>
      <c r="I311" s="1002"/>
      <c r="J311" s="1003" t="s">
        <v>1208</v>
      </c>
      <c r="K311" s="1004"/>
      <c r="L311" s="900">
        <v>115</v>
      </c>
      <c r="M311" s="901">
        <v>174</v>
      </c>
      <c r="N311" s="901">
        <v>311</v>
      </c>
      <c r="O311" s="901">
        <v>412</v>
      </c>
      <c r="P311" s="901">
        <v>530</v>
      </c>
      <c r="Q311" s="901">
        <v>581</v>
      </c>
      <c r="R311" s="901">
        <v>600</v>
      </c>
      <c r="S311" s="901">
        <v>525</v>
      </c>
      <c r="T311" s="901">
        <v>358</v>
      </c>
      <c r="U311" s="901">
        <v>225</v>
      </c>
      <c r="V311" s="901">
        <v>119</v>
      </c>
      <c r="W311" s="902">
        <v>88</v>
      </c>
      <c r="X311" s="903">
        <v>4038</v>
      </c>
    </row>
    <row r="312" spans="1:24" ht="15" customHeight="1">
      <c r="A312" s="904"/>
      <c r="B312" s="882"/>
      <c r="C312" s="882"/>
      <c r="D312" s="882"/>
      <c r="E312" s="882"/>
      <c r="F312" s="882"/>
      <c r="G312" s="905"/>
      <c r="H312" s="1005"/>
      <c r="I312" s="1006"/>
      <c r="J312" s="1007" t="s">
        <v>1209</v>
      </c>
      <c r="K312" s="1008"/>
      <c r="L312" s="900">
        <v>78</v>
      </c>
      <c r="M312" s="906">
        <v>109</v>
      </c>
      <c r="N312" s="906">
        <v>190</v>
      </c>
      <c r="O312" s="906">
        <v>244</v>
      </c>
      <c r="P312" s="906">
        <v>303</v>
      </c>
      <c r="Q312" s="906">
        <v>324</v>
      </c>
      <c r="R312" s="906">
        <v>343</v>
      </c>
      <c r="S312" s="906">
        <v>313</v>
      </c>
      <c r="T312" s="906">
        <v>215</v>
      </c>
      <c r="U312" s="906">
        <v>137</v>
      </c>
      <c r="V312" s="906">
        <v>75</v>
      </c>
      <c r="W312" s="907">
        <v>59</v>
      </c>
      <c r="X312" s="903">
        <v>2389</v>
      </c>
    </row>
    <row r="313" spans="1:24" ht="15" customHeight="1">
      <c r="A313" s="904" t="s">
        <v>1210</v>
      </c>
      <c r="B313" s="882"/>
      <c r="C313" s="882"/>
      <c r="D313" s="882"/>
      <c r="E313" s="882"/>
      <c r="F313" s="882"/>
      <c r="G313" s="905"/>
      <c r="H313" s="1005"/>
      <c r="I313" s="1006"/>
      <c r="J313" s="1007" t="s">
        <v>1211</v>
      </c>
      <c r="K313" s="1008"/>
      <c r="L313" s="900">
        <v>193</v>
      </c>
      <c r="M313" s="906">
        <v>235</v>
      </c>
      <c r="N313" s="906">
        <v>305</v>
      </c>
      <c r="O313" s="906">
        <v>283</v>
      </c>
      <c r="P313" s="906">
        <v>279</v>
      </c>
      <c r="Q313" s="906">
        <v>270</v>
      </c>
      <c r="R313" s="906">
        <v>297</v>
      </c>
      <c r="S313" s="906">
        <v>332</v>
      </c>
      <c r="T313" s="906">
        <v>311</v>
      </c>
      <c r="U313" s="906">
        <v>268</v>
      </c>
      <c r="V313" s="906">
        <v>176</v>
      </c>
      <c r="W313" s="907">
        <v>147</v>
      </c>
      <c r="X313" s="903">
        <v>3095</v>
      </c>
    </row>
    <row r="314" spans="1:24" ht="15" customHeight="1">
      <c r="A314" s="904"/>
      <c r="B314" s="882"/>
      <c r="C314" s="882"/>
      <c r="D314" s="882"/>
      <c r="E314" s="882"/>
      <c r="F314" s="882"/>
      <c r="G314" s="905"/>
      <c r="H314" s="1005"/>
      <c r="I314" s="1006"/>
      <c r="J314" s="1007" t="s">
        <v>592</v>
      </c>
      <c r="K314" s="1008"/>
      <c r="L314" s="908">
        <v>67</v>
      </c>
      <c r="M314" s="906">
        <v>104</v>
      </c>
      <c r="N314" s="906">
        <v>177</v>
      </c>
      <c r="O314" s="906">
        <v>228</v>
      </c>
      <c r="P314" s="906">
        <v>284</v>
      </c>
      <c r="Q314" s="906">
        <v>308</v>
      </c>
      <c r="R314" s="906">
        <v>324</v>
      </c>
      <c r="S314" s="906">
        <v>292</v>
      </c>
      <c r="T314" s="906">
        <v>205</v>
      </c>
      <c r="U314" s="906">
        <v>131</v>
      </c>
      <c r="V314" s="906">
        <v>67</v>
      </c>
      <c r="W314" s="907">
        <v>48</v>
      </c>
      <c r="X314" s="903">
        <v>2236</v>
      </c>
    </row>
    <row r="315" spans="1:24" ht="15" customHeight="1" thickBot="1">
      <c r="A315" s="909"/>
      <c r="B315" s="910"/>
      <c r="C315" s="910"/>
      <c r="D315" s="910"/>
      <c r="E315" s="910"/>
      <c r="F315" s="910"/>
      <c r="G315" s="911"/>
      <c r="H315" s="1009"/>
      <c r="I315" s="1010"/>
      <c r="J315" s="1011" t="s">
        <v>1212</v>
      </c>
      <c r="K315" s="1012"/>
      <c r="L315" s="912">
        <v>37</v>
      </c>
      <c r="M315" s="913">
        <v>53</v>
      </c>
      <c r="N315" s="913">
        <v>88</v>
      </c>
      <c r="O315" s="913">
        <v>117</v>
      </c>
      <c r="P315" s="913">
        <v>158</v>
      </c>
      <c r="Q315" s="913">
        <v>184</v>
      </c>
      <c r="R315" s="913">
        <v>182</v>
      </c>
      <c r="S315" s="913">
        <v>145</v>
      </c>
      <c r="T315" s="913">
        <v>98</v>
      </c>
      <c r="U315" s="913">
        <v>67</v>
      </c>
      <c r="V315" s="913">
        <v>39</v>
      </c>
      <c r="W315" s="914">
        <v>32</v>
      </c>
      <c r="X315" s="915">
        <v>1201</v>
      </c>
    </row>
    <row r="316" spans="1:24" ht="15" customHeight="1" thickBot="1">
      <c r="A316" s="888" t="s">
        <v>1213</v>
      </c>
      <c r="B316" s="889"/>
      <c r="C316" s="889"/>
      <c r="D316" s="889"/>
      <c r="E316" s="889"/>
      <c r="F316" s="889"/>
      <c r="G316" s="890"/>
      <c r="H316" s="999" t="s">
        <v>1214</v>
      </c>
      <c r="I316" s="1000"/>
      <c r="J316" s="999"/>
      <c r="K316" s="1013"/>
      <c r="L316" s="916">
        <v>50</v>
      </c>
      <c r="M316" s="917">
        <v>59</v>
      </c>
      <c r="N316" s="917">
        <v>62</v>
      </c>
      <c r="O316" s="917">
        <v>84</v>
      </c>
      <c r="P316" s="917">
        <v>111</v>
      </c>
      <c r="Q316" s="917">
        <v>114</v>
      </c>
      <c r="R316" s="917">
        <v>112</v>
      </c>
      <c r="S316" s="917">
        <v>96</v>
      </c>
      <c r="T316" s="917">
        <v>96</v>
      </c>
      <c r="U316" s="917">
        <v>81</v>
      </c>
      <c r="V316" s="917">
        <v>82</v>
      </c>
      <c r="W316" s="918">
        <v>68</v>
      </c>
      <c r="X316" s="919">
        <v>1015</v>
      </c>
    </row>
    <row r="317" spans="1:24" ht="15" customHeight="1">
      <c r="A317" s="1014" t="s">
        <v>1215</v>
      </c>
      <c r="B317" s="1015"/>
      <c r="C317" s="1015"/>
      <c r="D317" s="1015"/>
      <c r="E317" s="1015"/>
      <c r="F317" s="1015"/>
      <c r="G317" s="1016"/>
      <c r="H317" s="886" t="s">
        <v>1216</v>
      </c>
      <c r="I317" s="1017"/>
      <c r="J317" s="886"/>
      <c r="K317" s="1018"/>
      <c r="L317" s="931">
        <v>3.46</v>
      </c>
      <c r="M317" s="932">
        <v>3.54</v>
      </c>
      <c r="N317" s="932">
        <v>4.1399999999999997</v>
      </c>
      <c r="O317" s="932">
        <v>4.87</v>
      </c>
      <c r="P317" s="932">
        <v>6.91</v>
      </c>
      <c r="Q317" s="932">
        <v>8.32</v>
      </c>
      <c r="R317" s="932">
        <v>9.49</v>
      </c>
      <c r="S317" s="932">
        <v>9.61</v>
      </c>
      <c r="T317" s="932">
        <v>7.96</v>
      </c>
      <c r="U317" s="932">
        <v>6.51</v>
      </c>
      <c r="V317" s="932">
        <v>4.6100000000000003</v>
      </c>
      <c r="W317" s="933">
        <v>3.85</v>
      </c>
      <c r="X317" s="934">
        <v>6.105833333333333</v>
      </c>
    </row>
    <row r="318" spans="1:24" ht="15" customHeight="1" thickBot="1">
      <c r="A318" s="924" t="s">
        <v>1217</v>
      </c>
      <c r="B318" s="925"/>
      <c r="C318" s="925"/>
      <c r="D318" s="925"/>
      <c r="E318" s="925"/>
      <c r="F318" s="925"/>
      <c r="G318" s="926"/>
      <c r="H318" s="1019" t="s">
        <v>1218</v>
      </c>
      <c r="I318" s="1024"/>
      <c r="J318" s="1023"/>
      <c r="K318" s="1025"/>
      <c r="L318" s="927">
        <v>4.1399999999999997</v>
      </c>
      <c r="M318" s="928">
        <v>4.22</v>
      </c>
      <c r="N318" s="928">
        <v>4.87</v>
      </c>
      <c r="O318" s="928">
        <v>5.67</v>
      </c>
      <c r="P318" s="928">
        <v>7.9</v>
      </c>
      <c r="Q318" s="928">
        <v>9.41</v>
      </c>
      <c r="R318" s="928">
        <v>10.64</v>
      </c>
      <c r="S318" s="928">
        <v>10.76</v>
      </c>
      <c r="T318" s="928">
        <v>9.06</v>
      </c>
      <c r="U318" s="928">
        <v>7.52</v>
      </c>
      <c r="V318" s="928">
        <v>5.44</v>
      </c>
      <c r="W318" s="929">
        <v>4.58</v>
      </c>
      <c r="X318" s="930">
        <v>7.07</v>
      </c>
    </row>
    <row r="319" spans="1:24" ht="15" customHeight="1" thickBot="1">
      <c r="A319" s="910"/>
      <c r="B319" s="1028"/>
      <c r="C319" s="1028"/>
      <c r="D319" s="1028"/>
      <c r="E319" s="1028"/>
      <c r="F319" s="1028"/>
      <c r="G319" s="1028"/>
      <c r="H319" s="1032"/>
      <c r="I319" s="1032"/>
      <c r="J319" s="1032"/>
      <c r="K319" s="1032"/>
      <c r="L319" s="1037"/>
      <c r="M319" s="1038"/>
      <c r="N319" s="1038"/>
      <c r="O319" s="1038"/>
      <c r="P319" s="1038"/>
      <c r="Q319" s="1038"/>
      <c r="R319" s="1038"/>
      <c r="S319" s="1038"/>
      <c r="T319" s="1038"/>
      <c r="U319" s="1038"/>
      <c r="V319" s="1038"/>
      <c r="W319" s="1039"/>
      <c r="X319" s="1040"/>
    </row>
    <row r="320" spans="1:24" ht="15" customHeight="1" thickBot="1">
      <c r="A320" s="1031" t="s">
        <v>1246</v>
      </c>
      <c r="B320" s="1031"/>
      <c r="C320" s="1031"/>
      <c r="D320" s="1031"/>
      <c r="E320" s="1031"/>
      <c r="F320" s="1031"/>
      <c r="G320" s="1031"/>
      <c r="H320" s="1031"/>
      <c r="I320" s="1031"/>
      <c r="J320" s="1031"/>
      <c r="K320" s="1031"/>
      <c r="L320" s="884" t="s">
        <v>37</v>
      </c>
      <c r="M320" s="885" t="s">
        <v>38</v>
      </c>
      <c r="N320" s="885" t="s">
        <v>858</v>
      </c>
      <c r="O320" s="885" t="s">
        <v>39</v>
      </c>
      <c r="P320" s="885" t="s">
        <v>40</v>
      </c>
      <c r="Q320" s="885" t="s">
        <v>41</v>
      </c>
      <c r="R320" s="885" t="s">
        <v>42</v>
      </c>
      <c r="S320" s="885" t="s">
        <v>43</v>
      </c>
      <c r="T320" s="885" t="s">
        <v>44</v>
      </c>
      <c r="U320" s="885" t="s">
        <v>45</v>
      </c>
      <c r="V320" s="885" t="s">
        <v>46</v>
      </c>
      <c r="W320" s="886" t="s">
        <v>47</v>
      </c>
      <c r="X320" s="887" t="s">
        <v>352</v>
      </c>
    </row>
    <row r="321" spans="1:24" ht="15" customHeight="1" thickBot="1">
      <c r="A321" s="888" t="s">
        <v>1206</v>
      </c>
      <c r="B321" s="889"/>
      <c r="C321" s="889"/>
      <c r="D321" s="889"/>
      <c r="E321" s="889"/>
      <c r="F321" s="889"/>
      <c r="G321" s="890"/>
      <c r="H321" s="999" t="s">
        <v>3</v>
      </c>
      <c r="I321" s="1000"/>
      <c r="J321" s="891"/>
      <c r="K321" s="892"/>
      <c r="L321" s="893">
        <v>-9.3000000000000007</v>
      </c>
      <c r="M321" s="894">
        <v>-7.6</v>
      </c>
      <c r="N321" s="894">
        <v>-2.8</v>
      </c>
      <c r="O321" s="894">
        <v>1.1000000000000001</v>
      </c>
      <c r="P321" s="894">
        <v>6.6</v>
      </c>
      <c r="Q321" s="894">
        <v>9.5</v>
      </c>
      <c r="R321" s="894">
        <v>11.9</v>
      </c>
      <c r="S321" s="894">
        <v>11.6</v>
      </c>
      <c r="T321" s="894">
        <v>7.5</v>
      </c>
      <c r="U321" s="894">
        <v>3.5</v>
      </c>
      <c r="V321" s="894">
        <v>-3.1</v>
      </c>
      <c r="W321" s="895">
        <v>-7.4</v>
      </c>
      <c r="X321" s="896">
        <v>1.7916666666666667</v>
      </c>
    </row>
    <row r="322" spans="1:24" ht="15" customHeight="1">
      <c r="A322" s="897"/>
      <c r="B322" s="898"/>
      <c r="C322" s="898"/>
      <c r="D322" s="898"/>
      <c r="E322" s="898"/>
      <c r="F322" s="898"/>
      <c r="G322" s="899"/>
      <c r="H322" s="1001" t="s">
        <v>1207</v>
      </c>
      <c r="I322" s="1002"/>
      <c r="J322" s="1003" t="s">
        <v>1208</v>
      </c>
      <c r="K322" s="1004"/>
      <c r="L322" s="900">
        <v>196</v>
      </c>
      <c r="M322" s="901">
        <v>269</v>
      </c>
      <c r="N322" s="901">
        <v>450</v>
      </c>
      <c r="O322" s="901">
        <v>537</v>
      </c>
      <c r="P322" s="901">
        <v>621</v>
      </c>
      <c r="Q322" s="901">
        <v>630</v>
      </c>
      <c r="R322" s="901">
        <v>656</v>
      </c>
      <c r="S322" s="901">
        <v>562</v>
      </c>
      <c r="T322" s="901">
        <v>420</v>
      </c>
      <c r="U322" s="901">
        <v>300</v>
      </c>
      <c r="V322" s="901">
        <v>189</v>
      </c>
      <c r="W322" s="902">
        <v>158</v>
      </c>
      <c r="X322" s="903">
        <v>4988</v>
      </c>
    </row>
    <row r="323" spans="1:24" ht="15" customHeight="1">
      <c r="A323" s="904"/>
      <c r="B323" s="882"/>
      <c r="C323" s="882"/>
      <c r="D323" s="882"/>
      <c r="E323" s="882"/>
      <c r="F323" s="882"/>
      <c r="G323" s="905"/>
      <c r="H323" s="1005"/>
      <c r="I323" s="1006"/>
      <c r="J323" s="1007" t="s">
        <v>1209</v>
      </c>
      <c r="K323" s="1008"/>
      <c r="L323" s="900">
        <v>177</v>
      </c>
      <c r="M323" s="906">
        <v>237</v>
      </c>
      <c r="N323" s="906">
        <v>348</v>
      </c>
      <c r="O323" s="906">
        <v>337</v>
      </c>
      <c r="P323" s="906">
        <v>319</v>
      </c>
      <c r="Q323" s="906">
        <v>319</v>
      </c>
      <c r="R323" s="906">
        <v>340</v>
      </c>
      <c r="S323" s="906">
        <v>284</v>
      </c>
      <c r="T323" s="906">
        <v>194</v>
      </c>
      <c r="U323" s="906">
        <v>150</v>
      </c>
      <c r="V323" s="906">
        <v>124</v>
      </c>
      <c r="W323" s="907">
        <v>137</v>
      </c>
      <c r="X323" s="903">
        <v>2966</v>
      </c>
    </row>
    <row r="324" spans="1:24" ht="15" customHeight="1">
      <c r="A324" s="904" t="s">
        <v>1210</v>
      </c>
      <c r="B324" s="882"/>
      <c r="C324" s="882"/>
      <c r="D324" s="882"/>
      <c r="E324" s="882"/>
      <c r="F324" s="882"/>
      <c r="G324" s="905"/>
      <c r="H324" s="1005"/>
      <c r="I324" s="1006"/>
      <c r="J324" s="1007" t="s">
        <v>1211</v>
      </c>
      <c r="K324" s="1008"/>
      <c r="L324" s="900">
        <v>442</v>
      </c>
      <c r="M324" s="906">
        <v>486</v>
      </c>
      <c r="N324" s="906">
        <v>581</v>
      </c>
      <c r="O324" s="906">
        <v>441</v>
      </c>
      <c r="P324" s="906">
        <v>321</v>
      </c>
      <c r="Q324" s="906">
        <v>277</v>
      </c>
      <c r="R324" s="906">
        <v>313</v>
      </c>
      <c r="S324" s="906">
        <v>351</v>
      </c>
      <c r="T324" s="906">
        <v>365</v>
      </c>
      <c r="U324" s="906">
        <v>383</v>
      </c>
      <c r="V324" s="906">
        <v>342</v>
      </c>
      <c r="W324" s="907">
        <v>370</v>
      </c>
      <c r="X324" s="903">
        <v>4673</v>
      </c>
    </row>
    <row r="325" spans="1:24" ht="15" customHeight="1">
      <c r="A325" s="904"/>
      <c r="B325" s="882"/>
      <c r="C325" s="882"/>
      <c r="D325" s="882"/>
      <c r="E325" s="882"/>
      <c r="F325" s="882"/>
      <c r="G325" s="905"/>
      <c r="H325" s="1005"/>
      <c r="I325" s="1006"/>
      <c r="J325" s="1007" t="s">
        <v>592</v>
      </c>
      <c r="K325" s="1008"/>
      <c r="L325" s="908">
        <v>204</v>
      </c>
      <c r="M325" s="906">
        <v>266</v>
      </c>
      <c r="N325" s="906">
        <v>386</v>
      </c>
      <c r="O325" s="906">
        <v>347</v>
      </c>
      <c r="P325" s="906">
        <v>297</v>
      </c>
      <c r="Q325" s="906">
        <v>285</v>
      </c>
      <c r="R325" s="906">
        <v>287</v>
      </c>
      <c r="S325" s="906">
        <v>260</v>
      </c>
      <c r="T325" s="906">
        <v>218</v>
      </c>
      <c r="U325" s="906">
        <v>177</v>
      </c>
      <c r="V325" s="906">
        <v>145</v>
      </c>
      <c r="W325" s="907">
        <v>155</v>
      </c>
      <c r="X325" s="903">
        <v>3027</v>
      </c>
    </row>
    <row r="326" spans="1:24" ht="15" customHeight="1" thickBot="1">
      <c r="A326" s="909"/>
      <c r="B326" s="910"/>
      <c r="C326" s="910"/>
      <c r="D326" s="910"/>
      <c r="E326" s="910"/>
      <c r="F326" s="910"/>
      <c r="G326" s="911"/>
      <c r="H326" s="1009"/>
      <c r="I326" s="1010"/>
      <c r="J326" s="1011" t="s">
        <v>1212</v>
      </c>
      <c r="K326" s="1012"/>
      <c r="L326" s="912">
        <v>121</v>
      </c>
      <c r="M326" s="913">
        <v>165</v>
      </c>
      <c r="N326" s="913">
        <v>225</v>
      </c>
      <c r="O326" s="913">
        <v>200</v>
      </c>
      <c r="P326" s="913">
        <v>155</v>
      </c>
      <c r="Q326" s="913">
        <v>158</v>
      </c>
      <c r="R326" s="913">
        <v>153</v>
      </c>
      <c r="S326" s="913">
        <v>126</v>
      </c>
      <c r="T326" s="913">
        <v>96</v>
      </c>
      <c r="U326" s="913">
        <v>75</v>
      </c>
      <c r="V326" s="913">
        <v>78</v>
      </c>
      <c r="W326" s="914">
        <v>91</v>
      </c>
      <c r="X326" s="915">
        <v>1641</v>
      </c>
    </row>
    <row r="327" spans="1:24" ht="15" customHeight="1" thickBot="1">
      <c r="A327" s="888" t="s">
        <v>1213</v>
      </c>
      <c r="B327" s="889"/>
      <c r="C327" s="889"/>
      <c r="D327" s="889"/>
      <c r="E327" s="889"/>
      <c r="F327" s="889"/>
      <c r="G327" s="890"/>
      <c r="H327" s="999" t="s">
        <v>1214</v>
      </c>
      <c r="I327" s="1000"/>
      <c r="J327" s="999"/>
      <c r="K327" s="1013"/>
      <c r="L327" s="916">
        <v>26</v>
      </c>
      <c r="M327" s="917">
        <v>21</v>
      </c>
      <c r="N327" s="917">
        <v>25</v>
      </c>
      <c r="O327" s="917">
        <v>40</v>
      </c>
      <c r="P327" s="917">
        <v>62</v>
      </c>
      <c r="Q327" s="917">
        <v>95</v>
      </c>
      <c r="R327" s="917">
        <v>83</v>
      </c>
      <c r="S327" s="917">
        <v>95</v>
      </c>
      <c r="T327" s="917">
        <v>75</v>
      </c>
      <c r="U327" s="917">
        <v>70</v>
      </c>
      <c r="V327" s="917">
        <v>66</v>
      </c>
      <c r="W327" s="918">
        <v>31</v>
      </c>
      <c r="X327" s="919">
        <v>689</v>
      </c>
    </row>
    <row r="328" spans="1:24" ht="15" customHeight="1">
      <c r="A328" s="1014" t="s">
        <v>1215</v>
      </c>
      <c r="B328" s="1015"/>
      <c r="C328" s="1015"/>
      <c r="D328" s="1015"/>
      <c r="E328" s="1015"/>
      <c r="F328" s="1015"/>
      <c r="G328" s="1016"/>
      <c r="H328" s="886" t="s">
        <v>1216</v>
      </c>
      <c r="I328" s="1017"/>
      <c r="J328" s="886"/>
      <c r="K328" s="1018"/>
      <c r="L328" s="931">
        <v>1.99</v>
      </c>
      <c r="M328" s="932">
        <v>2.0699999999999998</v>
      </c>
      <c r="N328" s="932">
        <v>2.71</v>
      </c>
      <c r="O328" s="932">
        <v>3.47</v>
      </c>
      <c r="P328" s="932">
        <v>5.08</v>
      </c>
      <c r="Q328" s="932">
        <v>6.22</v>
      </c>
      <c r="R328" s="932">
        <v>7.24</v>
      </c>
      <c r="S328" s="932">
        <v>7.3</v>
      </c>
      <c r="T328" s="932">
        <v>5.77</v>
      </c>
      <c r="U328" s="932">
        <v>4.51</v>
      </c>
      <c r="V328" s="932">
        <v>3.04</v>
      </c>
      <c r="W328" s="933">
        <v>2.31</v>
      </c>
      <c r="X328" s="934">
        <v>4.3091666666666661</v>
      </c>
    </row>
    <row r="329" spans="1:24" ht="15" customHeight="1" thickBot="1">
      <c r="A329" s="924" t="s">
        <v>1217</v>
      </c>
      <c r="B329" s="925"/>
      <c r="C329" s="925"/>
      <c r="D329" s="925"/>
      <c r="E329" s="925"/>
      <c r="F329" s="925"/>
      <c r="G329" s="926"/>
      <c r="H329" s="1019" t="s">
        <v>1218</v>
      </c>
      <c r="I329" s="1024"/>
      <c r="J329" s="1023"/>
      <c r="K329" s="1025"/>
      <c r="L329" s="927">
        <v>2.16</v>
      </c>
      <c r="M329" s="928">
        <v>2.2400000000000002</v>
      </c>
      <c r="N329" s="928">
        <v>2.87</v>
      </c>
      <c r="O329" s="928">
        <v>3.63</v>
      </c>
      <c r="P329" s="928">
        <v>5.2</v>
      </c>
      <c r="Q329" s="928">
        <v>6.3</v>
      </c>
      <c r="R329" s="928">
        <v>7.26</v>
      </c>
      <c r="S329" s="928">
        <v>7.33</v>
      </c>
      <c r="T329" s="928">
        <v>5.88</v>
      </c>
      <c r="U329" s="928">
        <v>4.67</v>
      </c>
      <c r="V329" s="928">
        <v>3.23</v>
      </c>
      <c r="W329" s="929">
        <v>2.4900000000000002</v>
      </c>
      <c r="X329" s="930">
        <v>4.49</v>
      </c>
    </row>
    <row r="330" spans="1:24" ht="15" customHeight="1" thickBot="1">
      <c r="A330" s="910"/>
      <c r="B330" s="1028"/>
      <c r="C330" s="1028"/>
      <c r="D330" s="1028"/>
      <c r="E330" s="1028"/>
      <c r="F330" s="1028"/>
      <c r="G330" s="1028"/>
      <c r="H330" s="1032"/>
      <c r="I330" s="1032"/>
      <c r="J330" s="1032"/>
      <c r="K330" s="1032"/>
      <c r="L330" s="1037"/>
      <c r="M330" s="1038"/>
      <c r="N330" s="1038"/>
      <c r="O330" s="1038"/>
      <c r="P330" s="1038"/>
      <c r="Q330" s="1038"/>
      <c r="R330" s="1038"/>
      <c r="S330" s="1038"/>
      <c r="T330" s="1038"/>
      <c r="U330" s="1038"/>
      <c r="V330" s="1038"/>
      <c r="W330" s="1039"/>
      <c r="X330" s="1040"/>
    </row>
    <row r="331" spans="1:24" ht="15" customHeight="1" thickBot="1">
      <c r="A331" s="1031" t="s">
        <v>1247</v>
      </c>
      <c r="B331" s="1031"/>
      <c r="C331" s="1031"/>
      <c r="D331" s="1031"/>
      <c r="E331" s="1031"/>
      <c r="F331" s="1031"/>
      <c r="G331" s="1031"/>
      <c r="H331" s="1031"/>
      <c r="I331" s="1031"/>
      <c r="J331" s="1031"/>
      <c r="K331" s="1031"/>
      <c r="L331" s="884" t="s">
        <v>37</v>
      </c>
      <c r="M331" s="885" t="s">
        <v>38</v>
      </c>
      <c r="N331" s="885" t="s">
        <v>858</v>
      </c>
      <c r="O331" s="885" t="s">
        <v>39</v>
      </c>
      <c r="P331" s="885" t="s">
        <v>40</v>
      </c>
      <c r="Q331" s="885" t="s">
        <v>41</v>
      </c>
      <c r="R331" s="885" t="s">
        <v>42</v>
      </c>
      <c r="S331" s="885" t="s">
        <v>43</v>
      </c>
      <c r="T331" s="885" t="s">
        <v>44</v>
      </c>
      <c r="U331" s="885" t="s">
        <v>45</v>
      </c>
      <c r="V331" s="885" t="s">
        <v>46</v>
      </c>
      <c r="W331" s="886" t="s">
        <v>47</v>
      </c>
      <c r="X331" s="887" t="s">
        <v>352</v>
      </c>
    </row>
    <row r="332" spans="1:24" ht="15" customHeight="1" thickBot="1">
      <c r="A332" s="888" t="s">
        <v>1206</v>
      </c>
      <c r="B332" s="889"/>
      <c r="C332" s="889"/>
      <c r="D332" s="889"/>
      <c r="E332" s="889"/>
      <c r="F332" s="889"/>
      <c r="G332" s="890"/>
      <c r="H332" s="999" t="s">
        <v>3</v>
      </c>
      <c r="I332" s="1000"/>
      <c r="J332" s="891"/>
      <c r="K332" s="892"/>
      <c r="L332" s="893">
        <v>-3.6</v>
      </c>
      <c r="M332" s="894">
        <v>-3.4</v>
      </c>
      <c r="N332" s="894">
        <v>-0.7</v>
      </c>
      <c r="O332" s="894">
        <v>1.5</v>
      </c>
      <c r="P332" s="894">
        <v>6.4</v>
      </c>
      <c r="Q332" s="894">
        <v>10.1</v>
      </c>
      <c r="R332" s="894">
        <v>12.7</v>
      </c>
      <c r="S332" s="894">
        <v>12.7</v>
      </c>
      <c r="T332" s="894">
        <v>8.6</v>
      </c>
      <c r="U332" s="894">
        <v>4.8</v>
      </c>
      <c r="V332" s="894">
        <v>-0.2</v>
      </c>
      <c r="W332" s="895">
        <v>-2.6</v>
      </c>
      <c r="X332" s="896">
        <v>3.8583333333333329</v>
      </c>
    </row>
    <row r="333" spans="1:24" ht="15" customHeight="1">
      <c r="A333" s="897"/>
      <c r="B333" s="898"/>
      <c r="C333" s="898"/>
      <c r="D333" s="898"/>
      <c r="E333" s="898"/>
      <c r="F333" s="898"/>
      <c r="G333" s="899"/>
      <c r="H333" s="1001" t="s">
        <v>1207</v>
      </c>
      <c r="I333" s="1002"/>
      <c r="J333" s="1003" t="s">
        <v>1208</v>
      </c>
      <c r="K333" s="1004"/>
      <c r="L333" s="900">
        <v>174</v>
      </c>
      <c r="M333" s="901">
        <v>252</v>
      </c>
      <c r="N333" s="901">
        <v>423</v>
      </c>
      <c r="O333" s="901">
        <v>472</v>
      </c>
      <c r="P333" s="901">
        <v>517</v>
      </c>
      <c r="Q333" s="901">
        <v>560</v>
      </c>
      <c r="R333" s="901">
        <v>581</v>
      </c>
      <c r="S333" s="901">
        <v>506</v>
      </c>
      <c r="T333" s="901">
        <v>368</v>
      </c>
      <c r="U333" s="901">
        <v>249</v>
      </c>
      <c r="V333" s="901">
        <v>163</v>
      </c>
      <c r="W333" s="902">
        <v>139</v>
      </c>
      <c r="X333" s="903">
        <v>4405</v>
      </c>
    </row>
    <row r="334" spans="1:24" ht="15" customHeight="1">
      <c r="A334" s="904"/>
      <c r="B334" s="882"/>
      <c r="C334" s="882"/>
      <c r="D334" s="882"/>
      <c r="E334" s="882"/>
      <c r="F334" s="882"/>
      <c r="G334" s="905"/>
      <c r="H334" s="1005"/>
      <c r="I334" s="1006"/>
      <c r="J334" s="1007" t="s">
        <v>1209</v>
      </c>
      <c r="K334" s="1008"/>
      <c r="L334" s="900">
        <v>171</v>
      </c>
      <c r="M334" s="906">
        <v>227</v>
      </c>
      <c r="N334" s="906">
        <v>340</v>
      </c>
      <c r="O334" s="906">
        <v>327</v>
      </c>
      <c r="P334" s="906">
        <v>287</v>
      </c>
      <c r="Q334" s="906">
        <v>293</v>
      </c>
      <c r="R334" s="906">
        <v>300</v>
      </c>
      <c r="S334" s="906">
        <v>268</v>
      </c>
      <c r="T334" s="906">
        <v>202</v>
      </c>
      <c r="U334" s="906">
        <v>147</v>
      </c>
      <c r="V334" s="906">
        <v>124</v>
      </c>
      <c r="W334" s="907">
        <v>134</v>
      </c>
      <c r="X334" s="903">
        <v>2821</v>
      </c>
    </row>
    <row r="335" spans="1:24" ht="15" customHeight="1">
      <c r="A335" s="904" t="s">
        <v>1210</v>
      </c>
      <c r="B335" s="882"/>
      <c r="C335" s="882"/>
      <c r="D335" s="882"/>
      <c r="E335" s="882"/>
      <c r="F335" s="882"/>
      <c r="G335" s="905"/>
      <c r="H335" s="1005"/>
      <c r="I335" s="1006"/>
      <c r="J335" s="1007" t="s">
        <v>1211</v>
      </c>
      <c r="K335" s="1008"/>
      <c r="L335" s="900">
        <v>367</v>
      </c>
      <c r="M335" s="906">
        <v>431</v>
      </c>
      <c r="N335" s="906">
        <v>533</v>
      </c>
      <c r="O335" s="906">
        <v>402</v>
      </c>
      <c r="P335" s="906">
        <v>284</v>
      </c>
      <c r="Q335" s="906">
        <v>251</v>
      </c>
      <c r="R335" s="906">
        <v>281</v>
      </c>
      <c r="S335" s="906">
        <v>313</v>
      </c>
      <c r="T335" s="906">
        <v>314</v>
      </c>
      <c r="U335" s="906">
        <v>308</v>
      </c>
      <c r="V335" s="906">
        <v>288</v>
      </c>
      <c r="W335" s="907">
        <v>308</v>
      </c>
      <c r="X335" s="903">
        <v>4080</v>
      </c>
    </row>
    <row r="336" spans="1:24" ht="15" customHeight="1">
      <c r="A336" s="904"/>
      <c r="B336" s="882"/>
      <c r="C336" s="882"/>
      <c r="D336" s="882"/>
      <c r="E336" s="882"/>
      <c r="F336" s="882"/>
      <c r="G336" s="905"/>
      <c r="H336" s="1005"/>
      <c r="I336" s="1006"/>
      <c r="J336" s="1007" t="s">
        <v>592</v>
      </c>
      <c r="K336" s="1008"/>
      <c r="L336" s="908">
        <v>126</v>
      </c>
      <c r="M336" s="906">
        <v>189</v>
      </c>
      <c r="N336" s="906">
        <v>311</v>
      </c>
      <c r="O336" s="906">
        <v>290</v>
      </c>
      <c r="P336" s="906">
        <v>236</v>
      </c>
      <c r="Q336" s="906">
        <v>215</v>
      </c>
      <c r="R336" s="906">
        <v>220</v>
      </c>
      <c r="S336" s="906">
        <v>201</v>
      </c>
      <c r="T336" s="906">
        <v>161</v>
      </c>
      <c r="U336" s="906">
        <v>112</v>
      </c>
      <c r="V336" s="906">
        <v>93</v>
      </c>
      <c r="W336" s="907">
        <v>96</v>
      </c>
      <c r="X336" s="903">
        <v>2250</v>
      </c>
    </row>
    <row r="337" spans="1:24" ht="15" customHeight="1" thickBot="1">
      <c r="A337" s="909"/>
      <c r="B337" s="910"/>
      <c r="C337" s="910"/>
      <c r="D337" s="910"/>
      <c r="E337" s="910"/>
      <c r="F337" s="910"/>
      <c r="G337" s="911"/>
      <c r="H337" s="1009"/>
      <c r="I337" s="1010"/>
      <c r="J337" s="1011" t="s">
        <v>1212</v>
      </c>
      <c r="K337" s="1012"/>
      <c r="L337" s="912">
        <v>94</v>
      </c>
      <c r="M337" s="913">
        <v>131</v>
      </c>
      <c r="N337" s="913">
        <v>196</v>
      </c>
      <c r="O337" s="913">
        <v>189</v>
      </c>
      <c r="P337" s="913">
        <v>147</v>
      </c>
      <c r="Q337" s="913">
        <v>137</v>
      </c>
      <c r="R337" s="913">
        <v>137</v>
      </c>
      <c r="S337" s="913">
        <v>115</v>
      </c>
      <c r="T337" s="913">
        <v>83</v>
      </c>
      <c r="U337" s="913">
        <v>64</v>
      </c>
      <c r="V337" s="913">
        <v>65</v>
      </c>
      <c r="W337" s="914">
        <v>70</v>
      </c>
      <c r="X337" s="915">
        <v>1427</v>
      </c>
    </row>
    <row r="338" spans="1:24" ht="15" customHeight="1" thickBot="1">
      <c r="A338" s="888" t="s">
        <v>1213</v>
      </c>
      <c r="B338" s="889"/>
      <c r="C338" s="889"/>
      <c r="D338" s="889"/>
      <c r="E338" s="889"/>
      <c r="F338" s="889"/>
      <c r="G338" s="890"/>
      <c r="H338" s="999" t="s">
        <v>1214</v>
      </c>
      <c r="I338" s="1000"/>
      <c r="J338" s="999"/>
      <c r="K338" s="1013"/>
      <c r="L338" s="916">
        <v>100</v>
      </c>
      <c r="M338" s="917">
        <v>67</v>
      </c>
      <c r="N338" s="917">
        <v>86</v>
      </c>
      <c r="O338" s="917">
        <v>184</v>
      </c>
      <c r="P338" s="917">
        <v>195</v>
      </c>
      <c r="Q338" s="917">
        <v>202</v>
      </c>
      <c r="R338" s="917">
        <v>189</v>
      </c>
      <c r="S338" s="917">
        <v>188</v>
      </c>
      <c r="T338" s="917">
        <v>195</v>
      </c>
      <c r="U338" s="917">
        <v>190</v>
      </c>
      <c r="V338" s="917">
        <v>181</v>
      </c>
      <c r="W338" s="918">
        <v>87</v>
      </c>
      <c r="X338" s="919">
        <v>1864</v>
      </c>
    </row>
    <row r="339" spans="1:24" ht="15" customHeight="1">
      <c r="A339" s="1014" t="s">
        <v>1215</v>
      </c>
      <c r="B339" s="1015"/>
      <c r="C339" s="1015"/>
      <c r="D339" s="1015"/>
      <c r="E339" s="1015"/>
      <c r="F339" s="1015"/>
      <c r="G339" s="1016"/>
      <c r="H339" s="886" t="s">
        <v>1216</v>
      </c>
      <c r="I339" s="1017"/>
      <c r="J339" s="886"/>
      <c r="K339" s="1018"/>
      <c r="L339" s="931">
        <v>2.29</v>
      </c>
      <c r="M339" s="932">
        <v>2.33</v>
      </c>
      <c r="N339" s="932">
        <v>2.89</v>
      </c>
      <c r="O339" s="932">
        <v>3.65</v>
      </c>
      <c r="P339" s="932">
        <v>5.35</v>
      </c>
      <c r="Q339" s="932">
        <v>6.58</v>
      </c>
      <c r="R339" s="932">
        <v>7.82</v>
      </c>
      <c r="S339" s="932">
        <v>7.92</v>
      </c>
      <c r="T339" s="932">
        <v>6.25</v>
      </c>
      <c r="U339" s="932">
        <v>4.9000000000000004</v>
      </c>
      <c r="V339" s="932">
        <v>3.3</v>
      </c>
      <c r="W339" s="933">
        <v>2.6</v>
      </c>
      <c r="X339" s="934">
        <v>4.6566666666666663</v>
      </c>
    </row>
    <row r="340" spans="1:24" ht="15" customHeight="1" thickBot="1">
      <c r="A340" s="924" t="s">
        <v>1217</v>
      </c>
      <c r="B340" s="925"/>
      <c r="C340" s="925"/>
      <c r="D340" s="925"/>
      <c r="E340" s="925"/>
      <c r="F340" s="925"/>
      <c r="G340" s="926"/>
      <c r="H340" s="1019" t="s">
        <v>1218</v>
      </c>
      <c r="I340" s="1024"/>
      <c r="J340" s="1023"/>
      <c r="K340" s="1025"/>
      <c r="L340" s="927">
        <v>2.46</v>
      </c>
      <c r="M340" s="928">
        <v>2.5</v>
      </c>
      <c r="N340" s="928">
        <v>3.07</v>
      </c>
      <c r="O340" s="928">
        <v>3.84</v>
      </c>
      <c r="P340" s="928">
        <v>5.52</v>
      </c>
      <c r="Q340" s="928">
        <v>6.7</v>
      </c>
      <c r="R340" s="928">
        <v>7.88</v>
      </c>
      <c r="S340" s="928">
        <v>7.98</v>
      </c>
      <c r="T340" s="928">
        <v>6.4</v>
      </c>
      <c r="U340" s="928">
        <v>5.09</v>
      </c>
      <c r="V340" s="928">
        <v>3.49</v>
      </c>
      <c r="W340" s="929">
        <v>2.78</v>
      </c>
      <c r="X340" s="930">
        <v>4.8499999999999996</v>
      </c>
    </row>
    <row r="341" spans="1:24" ht="15" customHeight="1" thickBot="1">
      <c r="A341" s="910"/>
      <c r="B341" s="1028"/>
      <c r="C341" s="1028"/>
      <c r="D341" s="1028"/>
      <c r="E341" s="1028"/>
      <c r="F341" s="1028"/>
      <c r="G341" s="1028"/>
      <c r="H341" s="1032"/>
      <c r="I341" s="1032"/>
      <c r="J341" s="1032"/>
      <c r="K341" s="1032"/>
      <c r="L341" s="1037"/>
      <c r="M341" s="1038"/>
      <c r="N341" s="1038"/>
      <c r="O341" s="1038"/>
      <c r="P341" s="1038"/>
      <c r="Q341" s="1038"/>
      <c r="R341" s="1038"/>
      <c r="S341" s="1038"/>
      <c r="T341" s="1038"/>
      <c r="U341" s="1038"/>
      <c r="V341" s="1038"/>
      <c r="W341" s="1039"/>
      <c r="X341" s="1040"/>
    </row>
    <row r="342" spans="1:24" ht="15" customHeight="1" thickBot="1">
      <c r="A342" s="1031" t="s">
        <v>1248</v>
      </c>
      <c r="B342" s="1031"/>
      <c r="C342" s="1031"/>
      <c r="D342" s="1031"/>
      <c r="E342" s="1031"/>
      <c r="F342" s="1031"/>
      <c r="G342" s="1031"/>
      <c r="H342" s="1031"/>
      <c r="I342" s="1031"/>
      <c r="J342" s="1031"/>
      <c r="K342" s="1031"/>
      <c r="L342" s="884" t="s">
        <v>37</v>
      </c>
      <c r="M342" s="885" t="s">
        <v>38</v>
      </c>
      <c r="N342" s="885" t="s">
        <v>858</v>
      </c>
      <c r="O342" s="885" t="s">
        <v>39</v>
      </c>
      <c r="P342" s="885" t="s">
        <v>40</v>
      </c>
      <c r="Q342" s="885" t="s">
        <v>41</v>
      </c>
      <c r="R342" s="885" t="s">
        <v>42</v>
      </c>
      <c r="S342" s="885" t="s">
        <v>43</v>
      </c>
      <c r="T342" s="885" t="s">
        <v>44</v>
      </c>
      <c r="U342" s="885" t="s">
        <v>45</v>
      </c>
      <c r="V342" s="885" t="s">
        <v>46</v>
      </c>
      <c r="W342" s="886" t="s">
        <v>47</v>
      </c>
      <c r="X342" s="887" t="s">
        <v>352</v>
      </c>
    </row>
    <row r="343" spans="1:24" ht="15" customHeight="1" thickBot="1">
      <c r="A343" s="888" t="s">
        <v>1206</v>
      </c>
      <c r="B343" s="889"/>
      <c r="C343" s="889"/>
      <c r="D343" s="889"/>
      <c r="E343" s="889"/>
      <c r="F343" s="889"/>
      <c r="G343" s="890"/>
      <c r="H343" s="999" t="s">
        <v>3</v>
      </c>
      <c r="I343" s="1000"/>
      <c r="J343" s="891"/>
      <c r="K343" s="892"/>
      <c r="L343" s="893">
        <v>-0.3</v>
      </c>
      <c r="M343" s="894">
        <v>0.7</v>
      </c>
      <c r="N343" s="894">
        <v>4.0999999999999996</v>
      </c>
      <c r="O343" s="894">
        <v>6.9</v>
      </c>
      <c r="P343" s="894">
        <v>12</v>
      </c>
      <c r="Q343" s="894">
        <v>14.7</v>
      </c>
      <c r="R343" s="894">
        <v>16.899999999999999</v>
      </c>
      <c r="S343" s="894">
        <v>17.100000000000001</v>
      </c>
      <c r="T343" s="894">
        <v>12.8</v>
      </c>
      <c r="U343" s="894">
        <v>9</v>
      </c>
      <c r="V343" s="894">
        <v>3.5</v>
      </c>
      <c r="W343" s="895">
        <v>1.1000000000000001</v>
      </c>
      <c r="X343" s="896">
        <v>8.2083333333333321</v>
      </c>
    </row>
    <row r="344" spans="1:24" ht="15" customHeight="1">
      <c r="A344" s="897"/>
      <c r="B344" s="898"/>
      <c r="C344" s="898"/>
      <c r="D344" s="898"/>
      <c r="E344" s="898"/>
      <c r="F344" s="898"/>
      <c r="G344" s="899"/>
      <c r="H344" s="1001" t="s">
        <v>1207</v>
      </c>
      <c r="I344" s="1002"/>
      <c r="J344" s="1003" t="s">
        <v>1208</v>
      </c>
      <c r="K344" s="1004"/>
      <c r="L344" s="900">
        <v>112</v>
      </c>
      <c r="M344" s="901">
        <v>169</v>
      </c>
      <c r="N344" s="901">
        <v>308</v>
      </c>
      <c r="O344" s="901">
        <v>407</v>
      </c>
      <c r="P344" s="901">
        <v>522</v>
      </c>
      <c r="Q344" s="901">
        <v>550</v>
      </c>
      <c r="R344" s="901">
        <v>576</v>
      </c>
      <c r="S344" s="901">
        <v>504</v>
      </c>
      <c r="T344" s="901">
        <v>334</v>
      </c>
      <c r="U344" s="901">
        <v>209</v>
      </c>
      <c r="V344" s="901">
        <v>117</v>
      </c>
      <c r="W344" s="902">
        <v>86</v>
      </c>
      <c r="X344" s="903">
        <v>3894</v>
      </c>
    </row>
    <row r="345" spans="1:24" ht="15" customHeight="1">
      <c r="A345" s="904"/>
      <c r="B345" s="882"/>
      <c r="C345" s="882"/>
      <c r="D345" s="882"/>
      <c r="E345" s="882"/>
      <c r="F345" s="882"/>
      <c r="G345" s="905"/>
      <c r="H345" s="1005"/>
      <c r="I345" s="1006"/>
      <c r="J345" s="1007" t="s">
        <v>1209</v>
      </c>
      <c r="K345" s="1008"/>
      <c r="L345" s="900">
        <v>75</v>
      </c>
      <c r="M345" s="906">
        <v>119</v>
      </c>
      <c r="N345" s="906">
        <v>198</v>
      </c>
      <c r="O345" s="906">
        <v>241</v>
      </c>
      <c r="P345" s="906">
        <v>292</v>
      </c>
      <c r="Q345" s="906">
        <v>293</v>
      </c>
      <c r="R345" s="906">
        <v>311</v>
      </c>
      <c r="S345" s="906">
        <v>279</v>
      </c>
      <c r="T345" s="906">
        <v>187</v>
      </c>
      <c r="U345" s="906">
        <v>115</v>
      </c>
      <c r="V345" s="906">
        <v>70</v>
      </c>
      <c r="W345" s="907">
        <v>56</v>
      </c>
      <c r="X345" s="903">
        <v>2235</v>
      </c>
    </row>
    <row r="346" spans="1:24" ht="15" customHeight="1">
      <c r="A346" s="904" t="s">
        <v>1210</v>
      </c>
      <c r="B346" s="882"/>
      <c r="C346" s="882"/>
      <c r="D346" s="882"/>
      <c r="E346" s="882"/>
      <c r="F346" s="882"/>
      <c r="G346" s="905"/>
      <c r="H346" s="1005"/>
      <c r="I346" s="1006"/>
      <c r="J346" s="1007" t="s">
        <v>1211</v>
      </c>
      <c r="K346" s="1008"/>
      <c r="L346" s="900">
        <v>193</v>
      </c>
      <c r="M346" s="906">
        <v>244</v>
      </c>
      <c r="N346" s="906">
        <v>319</v>
      </c>
      <c r="O346" s="906">
        <v>283</v>
      </c>
      <c r="P346" s="906">
        <v>271</v>
      </c>
      <c r="Q346" s="906">
        <v>251</v>
      </c>
      <c r="R346" s="906">
        <v>281</v>
      </c>
      <c r="S346" s="906">
        <v>313</v>
      </c>
      <c r="T346" s="906">
        <v>285</v>
      </c>
      <c r="U346" s="906">
        <v>241</v>
      </c>
      <c r="V346" s="906">
        <v>171</v>
      </c>
      <c r="W346" s="907">
        <v>145</v>
      </c>
      <c r="X346" s="903">
        <v>2997</v>
      </c>
    </row>
    <row r="347" spans="1:24" ht="15" customHeight="1">
      <c r="A347" s="904"/>
      <c r="B347" s="882"/>
      <c r="C347" s="882"/>
      <c r="D347" s="882"/>
      <c r="E347" s="882"/>
      <c r="F347" s="882"/>
      <c r="G347" s="905"/>
      <c r="H347" s="1005"/>
      <c r="I347" s="1006"/>
      <c r="J347" s="1007" t="s">
        <v>592</v>
      </c>
      <c r="K347" s="1008"/>
      <c r="L347" s="908">
        <v>86</v>
      </c>
      <c r="M347" s="906">
        <v>133</v>
      </c>
      <c r="N347" s="906">
        <v>206</v>
      </c>
      <c r="O347" s="906">
        <v>236</v>
      </c>
      <c r="P347" s="906">
        <v>284</v>
      </c>
      <c r="Q347" s="906">
        <v>295</v>
      </c>
      <c r="R347" s="906">
        <v>319</v>
      </c>
      <c r="S347" s="906">
        <v>292</v>
      </c>
      <c r="T347" s="906">
        <v>205</v>
      </c>
      <c r="U347" s="906">
        <v>137</v>
      </c>
      <c r="V347" s="906">
        <v>78</v>
      </c>
      <c r="W347" s="907">
        <v>59</v>
      </c>
      <c r="X347" s="903">
        <v>2329</v>
      </c>
    </row>
    <row r="348" spans="1:24" ht="15" customHeight="1" thickBot="1">
      <c r="A348" s="909"/>
      <c r="B348" s="910"/>
      <c r="C348" s="910"/>
      <c r="D348" s="910"/>
      <c r="E348" s="910"/>
      <c r="F348" s="910"/>
      <c r="G348" s="911"/>
      <c r="H348" s="1009"/>
      <c r="I348" s="1010"/>
      <c r="J348" s="1011" t="s">
        <v>1212</v>
      </c>
      <c r="K348" s="1012"/>
      <c r="L348" s="912">
        <v>51</v>
      </c>
      <c r="M348" s="913">
        <v>73</v>
      </c>
      <c r="N348" s="913">
        <v>112</v>
      </c>
      <c r="O348" s="913">
        <v>127</v>
      </c>
      <c r="P348" s="913">
        <v>161</v>
      </c>
      <c r="Q348" s="913">
        <v>176</v>
      </c>
      <c r="R348" s="913">
        <v>174</v>
      </c>
      <c r="S348" s="913">
        <v>139</v>
      </c>
      <c r="T348" s="913">
        <v>96</v>
      </c>
      <c r="U348" s="913">
        <v>64</v>
      </c>
      <c r="V348" s="913">
        <v>44</v>
      </c>
      <c r="W348" s="914">
        <v>37</v>
      </c>
      <c r="X348" s="915">
        <v>1255</v>
      </c>
    </row>
    <row r="349" spans="1:24" ht="15" customHeight="1" thickBot="1">
      <c r="A349" s="888" t="s">
        <v>1213</v>
      </c>
      <c r="B349" s="889"/>
      <c r="C349" s="889"/>
      <c r="D349" s="889"/>
      <c r="E349" s="889"/>
      <c r="F349" s="889"/>
      <c r="G349" s="890"/>
      <c r="H349" s="999" t="s">
        <v>1214</v>
      </c>
      <c r="I349" s="1000"/>
      <c r="J349" s="999"/>
      <c r="K349" s="1013"/>
      <c r="L349" s="916">
        <v>53</v>
      </c>
      <c r="M349" s="917">
        <v>61</v>
      </c>
      <c r="N349" s="917">
        <v>83</v>
      </c>
      <c r="O349" s="917">
        <v>106</v>
      </c>
      <c r="P349" s="917">
        <v>147</v>
      </c>
      <c r="Q349" s="917">
        <v>157</v>
      </c>
      <c r="R349" s="917">
        <v>173</v>
      </c>
      <c r="S349" s="917">
        <v>157</v>
      </c>
      <c r="T349" s="917">
        <v>136</v>
      </c>
      <c r="U349" s="917">
        <v>88</v>
      </c>
      <c r="V349" s="917">
        <v>100</v>
      </c>
      <c r="W349" s="918">
        <v>74</v>
      </c>
      <c r="X349" s="919">
        <v>1335</v>
      </c>
    </row>
    <row r="350" spans="1:24" ht="15" customHeight="1">
      <c r="A350" s="1014" t="s">
        <v>1215</v>
      </c>
      <c r="B350" s="1015"/>
      <c r="C350" s="1015"/>
      <c r="D350" s="1015"/>
      <c r="E350" s="1015"/>
      <c r="F350" s="1015"/>
      <c r="G350" s="1016"/>
      <c r="H350" s="886" t="s">
        <v>1216</v>
      </c>
      <c r="I350" s="1017"/>
      <c r="J350" s="886"/>
      <c r="K350" s="1018"/>
      <c r="L350" s="931">
        <v>3.28</v>
      </c>
      <c r="M350" s="932">
        <v>3.35</v>
      </c>
      <c r="N350" s="932">
        <v>4.0199999999999996</v>
      </c>
      <c r="O350" s="932">
        <v>4.75</v>
      </c>
      <c r="P350" s="932">
        <v>6.78</v>
      </c>
      <c r="Q350" s="932">
        <v>8.2100000000000009</v>
      </c>
      <c r="R350" s="932">
        <v>9.4600000000000009</v>
      </c>
      <c r="S350" s="932">
        <v>9.65</v>
      </c>
      <c r="T350" s="932">
        <v>7.93</v>
      </c>
      <c r="U350" s="932">
        <v>6.34</v>
      </c>
      <c r="V350" s="932">
        <v>4.4400000000000004</v>
      </c>
      <c r="W350" s="933">
        <v>3.66</v>
      </c>
      <c r="X350" s="934">
        <v>5.9891666666666659</v>
      </c>
    </row>
    <row r="351" spans="1:24" ht="15" customHeight="1" thickBot="1">
      <c r="A351" s="924" t="s">
        <v>1217</v>
      </c>
      <c r="B351" s="925"/>
      <c r="C351" s="925"/>
      <c r="D351" s="925"/>
      <c r="E351" s="925"/>
      <c r="F351" s="925"/>
      <c r="G351" s="926"/>
      <c r="H351" s="1019" t="s">
        <v>1218</v>
      </c>
      <c r="I351" s="1024"/>
      <c r="J351" s="1023"/>
      <c r="K351" s="1025"/>
      <c r="L351" s="927">
        <v>3.86</v>
      </c>
      <c r="M351" s="928">
        <v>3.93</v>
      </c>
      <c r="N351" s="928">
        <v>4.6500000000000004</v>
      </c>
      <c r="O351" s="928">
        <v>5.44</v>
      </c>
      <c r="P351" s="928">
        <v>7.61</v>
      </c>
      <c r="Q351" s="928">
        <v>9.1300000000000008</v>
      </c>
      <c r="R351" s="928">
        <v>10.43</v>
      </c>
      <c r="S351" s="928">
        <v>10.63</v>
      </c>
      <c r="T351" s="928">
        <v>8.8699999999999992</v>
      </c>
      <c r="U351" s="928">
        <v>7.2</v>
      </c>
      <c r="V351" s="928">
        <v>5.15</v>
      </c>
      <c r="W351" s="929">
        <v>4.28</v>
      </c>
      <c r="X351" s="930">
        <v>6.82</v>
      </c>
    </row>
    <row r="352" spans="1:24" ht="15" customHeight="1" thickBot="1">
      <c r="A352" s="910"/>
      <c r="B352" s="1028"/>
      <c r="C352" s="1028"/>
      <c r="D352" s="1028"/>
      <c r="E352" s="1028"/>
      <c r="F352" s="1028"/>
      <c r="G352" s="1028"/>
      <c r="H352" s="1032"/>
      <c r="I352" s="1032"/>
      <c r="J352" s="1032"/>
      <c r="K352" s="1032"/>
      <c r="L352" s="1037"/>
      <c r="M352" s="1038"/>
      <c r="N352" s="1038"/>
      <c r="O352" s="1038"/>
      <c r="P352" s="1038"/>
      <c r="Q352" s="1038"/>
      <c r="R352" s="1038"/>
      <c r="S352" s="1038"/>
      <c r="T352" s="1038"/>
      <c r="U352" s="1038"/>
      <c r="V352" s="1038"/>
      <c r="W352" s="1039"/>
      <c r="X352" s="1040"/>
    </row>
    <row r="353" spans="1:24" ht="15" customHeight="1" thickBot="1">
      <c r="A353" s="1031" t="s">
        <v>1249</v>
      </c>
      <c r="B353" s="1031"/>
      <c r="C353" s="1031"/>
      <c r="D353" s="1031"/>
      <c r="E353" s="1031"/>
      <c r="F353" s="1031"/>
      <c r="G353" s="1031"/>
      <c r="H353" s="1031"/>
      <c r="I353" s="1031"/>
      <c r="J353" s="1031"/>
      <c r="K353" s="1031"/>
      <c r="L353" s="884" t="s">
        <v>37</v>
      </c>
      <c r="M353" s="885" t="s">
        <v>38</v>
      </c>
      <c r="N353" s="885" t="s">
        <v>858</v>
      </c>
      <c r="O353" s="885" t="s">
        <v>39</v>
      </c>
      <c r="P353" s="885" t="s">
        <v>40</v>
      </c>
      <c r="Q353" s="885" t="s">
        <v>41</v>
      </c>
      <c r="R353" s="885" t="s">
        <v>42</v>
      </c>
      <c r="S353" s="885" t="s">
        <v>43</v>
      </c>
      <c r="T353" s="885" t="s">
        <v>44</v>
      </c>
      <c r="U353" s="885" t="s">
        <v>45</v>
      </c>
      <c r="V353" s="885" t="s">
        <v>46</v>
      </c>
      <c r="W353" s="886" t="s">
        <v>47</v>
      </c>
      <c r="X353" s="887" t="s">
        <v>352</v>
      </c>
    </row>
    <row r="354" spans="1:24" ht="15" customHeight="1" thickBot="1">
      <c r="A354" s="888" t="s">
        <v>1206</v>
      </c>
      <c r="B354" s="889"/>
      <c r="C354" s="889"/>
      <c r="D354" s="889"/>
      <c r="E354" s="889"/>
      <c r="F354" s="889"/>
      <c r="G354" s="890"/>
      <c r="H354" s="999" t="s">
        <v>3</v>
      </c>
      <c r="I354" s="1000"/>
      <c r="J354" s="891"/>
      <c r="K354" s="892"/>
      <c r="L354" s="893">
        <v>0.1</v>
      </c>
      <c r="M354" s="894">
        <v>1.3</v>
      </c>
      <c r="N354" s="894">
        <v>5.4</v>
      </c>
      <c r="O354" s="894">
        <v>8.6999999999999993</v>
      </c>
      <c r="P354" s="894">
        <v>13.8</v>
      </c>
      <c r="Q354" s="894">
        <v>16.5</v>
      </c>
      <c r="R354" s="894">
        <v>18.7</v>
      </c>
      <c r="S354" s="894">
        <v>18.600000000000001</v>
      </c>
      <c r="T354" s="894">
        <v>14.1</v>
      </c>
      <c r="U354" s="894">
        <v>9.6</v>
      </c>
      <c r="V354" s="894">
        <v>4.0999999999999996</v>
      </c>
      <c r="W354" s="895">
        <v>1.5</v>
      </c>
      <c r="X354" s="896">
        <v>9.3666666666666654</v>
      </c>
    </row>
    <row r="355" spans="1:24" ht="15" customHeight="1">
      <c r="A355" s="897"/>
      <c r="B355" s="898"/>
      <c r="C355" s="898"/>
      <c r="D355" s="898"/>
      <c r="E355" s="898"/>
      <c r="F355" s="898"/>
      <c r="G355" s="899"/>
      <c r="H355" s="1001" t="s">
        <v>1207</v>
      </c>
      <c r="I355" s="1002"/>
      <c r="J355" s="1003" t="s">
        <v>1208</v>
      </c>
      <c r="K355" s="1004"/>
      <c r="L355" s="900">
        <v>96</v>
      </c>
      <c r="M355" s="901">
        <v>162</v>
      </c>
      <c r="N355" s="901">
        <v>305</v>
      </c>
      <c r="O355" s="901">
        <v>417</v>
      </c>
      <c r="P355" s="901">
        <v>554</v>
      </c>
      <c r="Q355" s="901">
        <v>594</v>
      </c>
      <c r="R355" s="901">
        <v>611</v>
      </c>
      <c r="S355" s="901">
        <v>530</v>
      </c>
      <c r="T355" s="901">
        <v>358</v>
      </c>
      <c r="U355" s="901">
        <v>206</v>
      </c>
      <c r="V355" s="901">
        <v>101</v>
      </c>
      <c r="W355" s="902">
        <v>75</v>
      </c>
      <c r="X355" s="903">
        <v>4010</v>
      </c>
    </row>
    <row r="356" spans="1:24" ht="15" customHeight="1">
      <c r="A356" s="904"/>
      <c r="B356" s="882"/>
      <c r="C356" s="882"/>
      <c r="D356" s="882"/>
      <c r="E356" s="882"/>
      <c r="F356" s="882"/>
      <c r="G356" s="905"/>
      <c r="H356" s="1005"/>
      <c r="I356" s="1006"/>
      <c r="J356" s="1007" t="s">
        <v>1209</v>
      </c>
      <c r="K356" s="1008"/>
      <c r="L356" s="900">
        <v>59</v>
      </c>
      <c r="M356" s="906">
        <v>102</v>
      </c>
      <c r="N356" s="906">
        <v>187</v>
      </c>
      <c r="O356" s="906">
        <v>246</v>
      </c>
      <c r="P356" s="906">
        <v>316</v>
      </c>
      <c r="Q356" s="906">
        <v>334</v>
      </c>
      <c r="R356" s="906">
        <v>354</v>
      </c>
      <c r="S356" s="906">
        <v>313</v>
      </c>
      <c r="T356" s="906">
        <v>207</v>
      </c>
      <c r="U356" s="906">
        <v>110</v>
      </c>
      <c r="V356" s="906">
        <v>57</v>
      </c>
      <c r="W356" s="907">
        <v>46</v>
      </c>
      <c r="X356" s="903">
        <v>2331</v>
      </c>
    </row>
    <row r="357" spans="1:24" ht="15" customHeight="1">
      <c r="A357" s="904" t="s">
        <v>1210</v>
      </c>
      <c r="B357" s="882"/>
      <c r="C357" s="882"/>
      <c r="D357" s="882"/>
      <c r="E357" s="882"/>
      <c r="F357" s="882"/>
      <c r="G357" s="905"/>
      <c r="H357" s="1005"/>
      <c r="I357" s="1006"/>
      <c r="J357" s="1007" t="s">
        <v>1211</v>
      </c>
      <c r="K357" s="1008"/>
      <c r="L357" s="900">
        <v>139</v>
      </c>
      <c r="M357" s="906">
        <v>210</v>
      </c>
      <c r="N357" s="906">
        <v>297</v>
      </c>
      <c r="O357" s="906">
        <v>290</v>
      </c>
      <c r="P357" s="906">
        <v>295</v>
      </c>
      <c r="Q357" s="906">
        <v>280</v>
      </c>
      <c r="R357" s="906">
        <v>308</v>
      </c>
      <c r="S357" s="906">
        <v>343</v>
      </c>
      <c r="T357" s="906">
        <v>314</v>
      </c>
      <c r="U357" s="906">
        <v>236</v>
      </c>
      <c r="V357" s="906">
        <v>130</v>
      </c>
      <c r="W357" s="907">
        <v>110</v>
      </c>
      <c r="X357" s="903">
        <v>2952</v>
      </c>
    </row>
    <row r="358" spans="1:24" ht="15" customHeight="1">
      <c r="A358" s="904"/>
      <c r="B358" s="882"/>
      <c r="C358" s="882"/>
      <c r="D358" s="882"/>
      <c r="E358" s="882"/>
      <c r="F358" s="882"/>
      <c r="G358" s="905"/>
      <c r="H358" s="1005"/>
      <c r="I358" s="1006"/>
      <c r="J358" s="1007" t="s">
        <v>592</v>
      </c>
      <c r="K358" s="1008"/>
      <c r="L358" s="908">
        <v>59</v>
      </c>
      <c r="M358" s="906">
        <v>99</v>
      </c>
      <c r="N358" s="906">
        <v>161</v>
      </c>
      <c r="O358" s="906">
        <v>202</v>
      </c>
      <c r="P358" s="906">
        <v>268</v>
      </c>
      <c r="Q358" s="906">
        <v>288</v>
      </c>
      <c r="R358" s="906">
        <v>300</v>
      </c>
      <c r="S358" s="906">
        <v>260</v>
      </c>
      <c r="T358" s="906">
        <v>184</v>
      </c>
      <c r="U358" s="906">
        <v>121</v>
      </c>
      <c r="V358" s="906">
        <v>57</v>
      </c>
      <c r="W358" s="907">
        <v>43</v>
      </c>
      <c r="X358" s="903">
        <v>2041</v>
      </c>
    </row>
    <row r="359" spans="1:24" ht="15" customHeight="1" thickBot="1">
      <c r="A359" s="909"/>
      <c r="B359" s="910"/>
      <c r="C359" s="910"/>
      <c r="D359" s="910"/>
      <c r="E359" s="910"/>
      <c r="F359" s="910"/>
      <c r="G359" s="911"/>
      <c r="H359" s="1009"/>
      <c r="I359" s="1010"/>
      <c r="J359" s="1011" t="s">
        <v>1212</v>
      </c>
      <c r="K359" s="1012"/>
      <c r="L359" s="912">
        <v>40</v>
      </c>
      <c r="M359" s="913">
        <v>58</v>
      </c>
      <c r="N359" s="913">
        <v>91</v>
      </c>
      <c r="O359" s="913">
        <v>117</v>
      </c>
      <c r="P359" s="913">
        <v>158</v>
      </c>
      <c r="Q359" s="913">
        <v>179</v>
      </c>
      <c r="R359" s="913">
        <v>174</v>
      </c>
      <c r="S359" s="913">
        <v>139</v>
      </c>
      <c r="T359" s="913">
        <v>96</v>
      </c>
      <c r="U359" s="913">
        <v>64</v>
      </c>
      <c r="V359" s="913">
        <v>36</v>
      </c>
      <c r="W359" s="914">
        <v>29</v>
      </c>
      <c r="X359" s="915">
        <v>1182</v>
      </c>
    </row>
    <row r="360" spans="1:24" ht="15" customHeight="1" thickBot="1">
      <c r="A360" s="888" t="s">
        <v>1213</v>
      </c>
      <c r="B360" s="889"/>
      <c r="C360" s="889"/>
      <c r="D360" s="889"/>
      <c r="E360" s="889"/>
      <c r="F360" s="889"/>
      <c r="G360" s="890"/>
      <c r="H360" s="999" t="s">
        <v>1214</v>
      </c>
      <c r="I360" s="1000"/>
      <c r="J360" s="999"/>
      <c r="K360" s="1013"/>
      <c r="L360" s="916">
        <v>61</v>
      </c>
      <c r="M360" s="917">
        <v>64</v>
      </c>
      <c r="N360" s="917">
        <v>62</v>
      </c>
      <c r="O360" s="917">
        <v>68</v>
      </c>
      <c r="P360" s="917">
        <v>86</v>
      </c>
      <c r="Q360" s="917">
        <v>98</v>
      </c>
      <c r="R360" s="917">
        <v>93</v>
      </c>
      <c r="S360" s="917">
        <v>82</v>
      </c>
      <c r="T360" s="917">
        <v>71</v>
      </c>
      <c r="U360" s="917">
        <v>74</v>
      </c>
      <c r="V360" s="917">
        <v>71</v>
      </c>
      <c r="W360" s="918">
        <v>71</v>
      </c>
      <c r="X360" s="919">
        <v>901</v>
      </c>
    </row>
    <row r="361" spans="1:24" ht="15" customHeight="1">
      <c r="A361" s="1014" t="s">
        <v>1215</v>
      </c>
      <c r="B361" s="1015"/>
      <c r="C361" s="1015"/>
      <c r="D361" s="1015"/>
      <c r="E361" s="1015"/>
      <c r="F361" s="1015"/>
      <c r="G361" s="1016"/>
      <c r="H361" s="886" t="s">
        <v>1216</v>
      </c>
      <c r="I361" s="1017"/>
      <c r="J361" s="886"/>
      <c r="K361" s="1018"/>
      <c r="L361" s="931">
        <v>3.51</v>
      </c>
      <c r="M361" s="932">
        <v>3.6</v>
      </c>
      <c r="N361" s="932">
        <v>4.28</v>
      </c>
      <c r="O361" s="932">
        <v>4.99</v>
      </c>
      <c r="P361" s="932">
        <v>7</v>
      </c>
      <c r="Q361" s="932">
        <v>8.4600000000000009</v>
      </c>
      <c r="R361" s="932">
        <v>9.6199999999999992</v>
      </c>
      <c r="S361" s="932">
        <v>9.7799999999999994</v>
      </c>
      <c r="T361" s="932">
        <v>8.11</v>
      </c>
      <c r="U361" s="932">
        <v>6.61</v>
      </c>
      <c r="V361" s="932">
        <v>4.68</v>
      </c>
      <c r="W361" s="933">
        <v>3.91</v>
      </c>
      <c r="X361" s="934">
        <v>6.2125000000000004</v>
      </c>
    </row>
    <row r="362" spans="1:24" ht="15" customHeight="1" thickBot="1">
      <c r="A362" s="924" t="s">
        <v>1217</v>
      </c>
      <c r="B362" s="925"/>
      <c r="C362" s="925"/>
      <c r="D362" s="925"/>
      <c r="E362" s="925"/>
      <c r="F362" s="925"/>
      <c r="G362" s="926"/>
      <c r="H362" s="1019" t="s">
        <v>1218</v>
      </c>
      <c r="I362" s="1024"/>
      <c r="J362" s="1023"/>
      <c r="K362" s="1025"/>
      <c r="L362" s="927">
        <v>4.29</v>
      </c>
      <c r="M362" s="928">
        <v>4.38</v>
      </c>
      <c r="N362" s="928">
        <v>5.13</v>
      </c>
      <c r="O362" s="928">
        <v>5.91</v>
      </c>
      <c r="P362" s="928">
        <v>8.14</v>
      </c>
      <c r="Q362" s="928">
        <v>9.74</v>
      </c>
      <c r="R362" s="928">
        <v>10.98</v>
      </c>
      <c r="S362" s="928">
        <v>11.16</v>
      </c>
      <c r="T362" s="928">
        <v>9.41</v>
      </c>
      <c r="U362" s="928">
        <v>7.8</v>
      </c>
      <c r="V362" s="928">
        <v>5.64</v>
      </c>
      <c r="W362" s="929">
        <v>4.76</v>
      </c>
      <c r="X362" s="930">
        <v>7.34</v>
      </c>
    </row>
    <row r="363" spans="1:24" ht="15" customHeight="1" thickBot="1">
      <c r="A363" s="910"/>
      <c r="B363" s="1028"/>
      <c r="C363" s="1028"/>
      <c r="D363" s="1028"/>
      <c r="E363" s="1028"/>
      <c r="F363" s="1028"/>
      <c r="G363" s="1028"/>
      <c r="H363" s="1032"/>
      <c r="I363" s="1032"/>
      <c r="J363" s="1032"/>
      <c r="K363" s="1032"/>
      <c r="L363" s="1037"/>
      <c r="M363" s="1038"/>
      <c r="N363" s="1038"/>
      <c r="O363" s="1038"/>
      <c r="P363" s="1038"/>
      <c r="Q363" s="1038"/>
      <c r="R363" s="1038"/>
      <c r="S363" s="1038"/>
      <c r="T363" s="1038"/>
      <c r="U363" s="1038"/>
      <c r="V363" s="1038"/>
      <c r="W363" s="1039"/>
      <c r="X363" s="1040"/>
    </row>
    <row r="364" spans="1:24" ht="15" customHeight="1" thickBot="1">
      <c r="A364" s="1031" t="s">
        <v>1250</v>
      </c>
      <c r="B364" s="1031"/>
      <c r="C364" s="1031"/>
      <c r="D364" s="1031"/>
      <c r="E364" s="1031"/>
      <c r="F364" s="1031"/>
      <c r="G364" s="1031"/>
      <c r="H364" s="1031"/>
      <c r="I364" s="1031"/>
      <c r="J364" s="1031"/>
      <c r="K364" s="1031"/>
      <c r="L364" s="884" t="s">
        <v>37</v>
      </c>
      <c r="M364" s="885" t="s">
        <v>38</v>
      </c>
      <c r="N364" s="885" t="s">
        <v>858</v>
      </c>
      <c r="O364" s="885" t="s">
        <v>39</v>
      </c>
      <c r="P364" s="885" t="s">
        <v>40</v>
      </c>
      <c r="Q364" s="885" t="s">
        <v>41</v>
      </c>
      <c r="R364" s="885" t="s">
        <v>42</v>
      </c>
      <c r="S364" s="885" t="s">
        <v>43</v>
      </c>
      <c r="T364" s="885" t="s">
        <v>44</v>
      </c>
      <c r="U364" s="885" t="s">
        <v>45</v>
      </c>
      <c r="V364" s="885" t="s">
        <v>46</v>
      </c>
      <c r="W364" s="886" t="s">
        <v>47</v>
      </c>
      <c r="X364" s="887" t="s">
        <v>352</v>
      </c>
    </row>
    <row r="365" spans="1:24" ht="15" customHeight="1" thickBot="1">
      <c r="A365" s="888" t="s">
        <v>1206</v>
      </c>
      <c r="B365" s="889"/>
      <c r="C365" s="889"/>
      <c r="D365" s="889"/>
      <c r="E365" s="889"/>
      <c r="F365" s="889"/>
      <c r="G365" s="890"/>
      <c r="H365" s="999" t="s">
        <v>3</v>
      </c>
      <c r="I365" s="1000"/>
      <c r="J365" s="891"/>
      <c r="K365" s="892"/>
      <c r="L365" s="893">
        <v>-4.3</v>
      </c>
      <c r="M365" s="894">
        <v>-2.8</v>
      </c>
      <c r="N365" s="894">
        <v>1.4</v>
      </c>
      <c r="O365" s="894">
        <v>4.8</v>
      </c>
      <c r="P365" s="894">
        <v>10.1</v>
      </c>
      <c r="Q365" s="894">
        <v>12.7</v>
      </c>
      <c r="R365" s="894">
        <v>15</v>
      </c>
      <c r="S365" s="894">
        <v>14.8</v>
      </c>
      <c r="T365" s="894">
        <v>10.7</v>
      </c>
      <c r="U365" s="894">
        <v>6.6</v>
      </c>
      <c r="V365" s="894">
        <v>0.2</v>
      </c>
      <c r="W365" s="895">
        <v>-3.2</v>
      </c>
      <c r="X365" s="896">
        <v>5.5</v>
      </c>
    </row>
    <row r="366" spans="1:24" ht="15" customHeight="1">
      <c r="A366" s="897"/>
      <c r="B366" s="898"/>
      <c r="C366" s="898"/>
      <c r="D366" s="898"/>
      <c r="E366" s="898"/>
      <c r="F366" s="898"/>
      <c r="G366" s="899"/>
      <c r="H366" s="1001" t="s">
        <v>1207</v>
      </c>
      <c r="I366" s="1002"/>
      <c r="J366" s="1003" t="s">
        <v>1208</v>
      </c>
      <c r="K366" s="1004"/>
      <c r="L366" s="900">
        <v>174</v>
      </c>
      <c r="M366" s="901">
        <v>247</v>
      </c>
      <c r="N366" s="901">
        <v>426</v>
      </c>
      <c r="O366" s="901">
        <v>516</v>
      </c>
      <c r="P366" s="901">
        <v>605</v>
      </c>
      <c r="Q366" s="901">
        <v>609</v>
      </c>
      <c r="R366" s="901">
        <v>643</v>
      </c>
      <c r="S366" s="901">
        <v>549</v>
      </c>
      <c r="T366" s="901">
        <v>412</v>
      </c>
      <c r="U366" s="901">
        <v>292</v>
      </c>
      <c r="V366" s="901">
        <v>174</v>
      </c>
      <c r="W366" s="902">
        <v>134</v>
      </c>
      <c r="X366" s="903">
        <v>4781</v>
      </c>
    </row>
    <row r="367" spans="1:24" ht="15" customHeight="1">
      <c r="A367" s="904"/>
      <c r="B367" s="882"/>
      <c r="C367" s="882"/>
      <c r="D367" s="882"/>
      <c r="E367" s="882"/>
      <c r="F367" s="882"/>
      <c r="G367" s="905"/>
      <c r="H367" s="1005"/>
      <c r="I367" s="1006"/>
      <c r="J367" s="1007" t="s">
        <v>1209</v>
      </c>
      <c r="K367" s="1008"/>
      <c r="L367" s="900">
        <v>129</v>
      </c>
      <c r="M367" s="906">
        <v>181</v>
      </c>
      <c r="N367" s="906">
        <v>279</v>
      </c>
      <c r="O367" s="906">
        <v>308</v>
      </c>
      <c r="P367" s="906">
        <v>348</v>
      </c>
      <c r="Q367" s="906">
        <v>347</v>
      </c>
      <c r="R367" s="906">
        <v>370</v>
      </c>
      <c r="S367" s="906">
        <v>316</v>
      </c>
      <c r="T367" s="906">
        <v>223</v>
      </c>
      <c r="U367" s="906">
        <v>145</v>
      </c>
      <c r="V367" s="906">
        <v>91</v>
      </c>
      <c r="W367" s="907">
        <v>88</v>
      </c>
      <c r="X367" s="903">
        <v>2825</v>
      </c>
    </row>
    <row r="368" spans="1:24" ht="15" customHeight="1">
      <c r="A368" s="904" t="s">
        <v>1210</v>
      </c>
      <c r="B368" s="882"/>
      <c r="C368" s="882"/>
      <c r="D368" s="882"/>
      <c r="E368" s="882"/>
      <c r="F368" s="882"/>
      <c r="G368" s="905"/>
      <c r="H368" s="1005"/>
      <c r="I368" s="1006"/>
      <c r="J368" s="1007" t="s">
        <v>1211</v>
      </c>
      <c r="K368" s="1008"/>
      <c r="L368" s="900">
        <v>364</v>
      </c>
      <c r="M368" s="906">
        <v>419</v>
      </c>
      <c r="N368" s="906">
        <v>490</v>
      </c>
      <c r="O368" s="906">
        <v>365</v>
      </c>
      <c r="P368" s="906">
        <v>303</v>
      </c>
      <c r="Q368" s="906">
        <v>267</v>
      </c>
      <c r="R368" s="906">
        <v>305</v>
      </c>
      <c r="S368" s="906">
        <v>337</v>
      </c>
      <c r="T368" s="906">
        <v>358</v>
      </c>
      <c r="U368" s="906">
        <v>367</v>
      </c>
      <c r="V368" s="906">
        <v>293</v>
      </c>
      <c r="W368" s="907">
        <v>271</v>
      </c>
      <c r="X368" s="903">
        <v>4139</v>
      </c>
    </row>
    <row r="369" spans="1:24" ht="15" customHeight="1">
      <c r="A369" s="904"/>
      <c r="B369" s="882"/>
      <c r="C369" s="882"/>
      <c r="D369" s="882"/>
      <c r="E369" s="882"/>
      <c r="F369" s="882"/>
      <c r="G369" s="905"/>
      <c r="H369" s="1005"/>
      <c r="I369" s="1006"/>
      <c r="J369" s="1007" t="s">
        <v>592</v>
      </c>
      <c r="K369" s="1008"/>
      <c r="L369" s="908">
        <v>153</v>
      </c>
      <c r="M369" s="906">
        <v>215</v>
      </c>
      <c r="N369" s="906">
        <v>297</v>
      </c>
      <c r="O369" s="906">
        <v>264</v>
      </c>
      <c r="P369" s="906">
        <v>262</v>
      </c>
      <c r="Q369" s="906">
        <v>257</v>
      </c>
      <c r="R369" s="906">
        <v>281</v>
      </c>
      <c r="S369" s="906">
        <v>246</v>
      </c>
      <c r="T369" s="906">
        <v>218</v>
      </c>
      <c r="U369" s="906">
        <v>174</v>
      </c>
      <c r="V369" s="906">
        <v>114</v>
      </c>
      <c r="W369" s="907">
        <v>99</v>
      </c>
      <c r="X369" s="903">
        <v>2581</v>
      </c>
    </row>
    <row r="370" spans="1:24" ht="15" customHeight="1" thickBot="1">
      <c r="A370" s="909"/>
      <c r="B370" s="910"/>
      <c r="C370" s="910"/>
      <c r="D370" s="910"/>
      <c r="E370" s="910"/>
      <c r="F370" s="910"/>
      <c r="G370" s="911"/>
      <c r="H370" s="1009"/>
      <c r="I370" s="1010"/>
      <c r="J370" s="1011" t="s">
        <v>1212</v>
      </c>
      <c r="K370" s="1012"/>
      <c r="L370" s="912">
        <v>91</v>
      </c>
      <c r="M370" s="913">
        <v>119</v>
      </c>
      <c r="N370" s="913">
        <v>147</v>
      </c>
      <c r="O370" s="913">
        <v>135</v>
      </c>
      <c r="P370" s="913">
        <v>150</v>
      </c>
      <c r="Q370" s="913">
        <v>161</v>
      </c>
      <c r="R370" s="913">
        <v>161</v>
      </c>
      <c r="S370" s="913">
        <v>123</v>
      </c>
      <c r="T370" s="913">
        <v>91</v>
      </c>
      <c r="U370" s="913">
        <v>67</v>
      </c>
      <c r="V370" s="913">
        <v>54</v>
      </c>
      <c r="W370" s="914">
        <v>64</v>
      </c>
      <c r="X370" s="915">
        <v>1363</v>
      </c>
    </row>
    <row r="371" spans="1:24" ht="15" customHeight="1" thickBot="1">
      <c r="A371" s="888" t="s">
        <v>1213</v>
      </c>
      <c r="B371" s="889"/>
      <c r="C371" s="889"/>
      <c r="D371" s="889"/>
      <c r="E371" s="889"/>
      <c r="F371" s="889"/>
      <c r="G371" s="890"/>
      <c r="H371" s="999" t="s">
        <v>1214</v>
      </c>
      <c r="I371" s="1000"/>
      <c r="J371" s="999"/>
      <c r="K371" s="1013"/>
      <c r="L371" s="916">
        <v>31</v>
      </c>
      <c r="M371" s="917">
        <v>42</v>
      </c>
      <c r="N371" s="917">
        <v>37</v>
      </c>
      <c r="O371" s="917">
        <v>40</v>
      </c>
      <c r="P371" s="917">
        <v>51</v>
      </c>
      <c r="Q371" s="917">
        <v>89</v>
      </c>
      <c r="R371" s="917">
        <v>93</v>
      </c>
      <c r="S371" s="917">
        <v>104</v>
      </c>
      <c r="T371" s="917">
        <v>66</v>
      </c>
      <c r="U371" s="917">
        <v>65</v>
      </c>
      <c r="V371" s="917">
        <v>67</v>
      </c>
      <c r="W371" s="918">
        <v>42</v>
      </c>
      <c r="X371" s="919">
        <v>727</v>
      </c>
    </row>
    <row r="372" spans="1:24" ht="15" customHeight="1">
      <c r="A372" s="1014" t="s">
        <v>1215</v>
      </c>
      <c r="B372" s="1015"/>
      <c r="C372" s="1015"/>
      <c r="D372" s="1015"/>
      <c r="E372" s="1015"/>
      <c r="F372" s="1015"/>
      <c r="G372" s="1016"/>
      <c r="H372" s="886" t="s">
        <v>1216</v>
      </c>
      <c r="I372" s="1017"/>
      <c r="J372" s="886"/>
      <c r="K372" s="1018"/>
      <c r="L372" s="931">
        <v>2.46</v>
      </c>
      <c r="M372" s="932">
        <v>2.59</v>
      </c>
      <c r="N372" s="932">
        <v>3.12</v>
      </c>
      <c r="O372" s="932">
        <v>3.86</v>
      </c>
      <c r="P372" s="932">
        <v>5.55</v>
      </c>
      <c r="Q372" s="932">
        <v>6.8</v>
      </c>
      <c r="R372" s="932">
        <v>7.97</v>
      </c>
      <c r="S372" s="932">
        <v>8.14</v>
      </c>
      <c r="T372" s="932">
        <v>6.56</v>
      </c>
      <c r="U372" s="932">
        <v>5.24</v>
      </c>
      <c r="V372" s="932">
        <v>3.6</v>
      </c>
      <c r="W372" s="933">
        <v>2.82</v>
      </c>
      <c r="X372" s="934">
        <v>4.8925000000000001</v>
      </c>
    </row>
    <row r="373" spans="1:24" ht="15" customHeight="1" thickBot="1">
      <c r="A373" s="924" t="s">
        <v>1217</v>
      </c>
      <c r="B373" s="925"/>
      <c r="C373" s="925"/>
      <c r="D373" s="925"/>
      <c r="E373" s="925"/>
      <c r="F373" s="925"/>
      <c r="G373" s="926"/>
      <c r="H373" s="1019" t="s">
        <v>1218</v>
      </c>
      <c r="I373" s="1024"/>
      <c r="J373" s="1023"/>
      <c r="K373" s="1025"/>
      <c r="L373" s="927">
        <v>2.76</v>
      </c>
      <c r="M373" s="928">
        <v>2.89</v>
      </c>
      <c r="N373" s="928">
        <v>3.42</v>
      </c>
      <c r="O373" s="928">
        <v>4.18</v>
      </c>
      <c r="P373" s="928">
        <v>5.9</v>
      </c>
      <c r="Q373" s="928">
        <v>7.15</v>
      </c>
      <c r="R373" s="928">
        <v>8.31</v>
      </c>
      <c r="S373" s="928">
        <v>8.49</v>
      </c>
      <c r="T373" s="928">
        <v>6.95</v>
      </c>
      <c r="U373" s="928">
        <v>5.64</v>
      </c>
      <c r="V373" s="928">
        <v>3.97</v>
      </c>
      <c r="W373" s="929">
        <v>3.15</v>
      </c>
      <c r="X373" s="930">
        <v>5.28</v>
      </c>
    </row>
    <row r="374" spans="1:24" ht="15" customHeight="1" thickBot="1">
      <c r="A374" s="910"/>
      <c r="B374" s="1028"/>
      <c r="C374" s="1028"/>
      <c r="D374" s="1028"/>
      <c r="E374" s="1028"/>
      <c r="F374" s="1028"/>
      <c r="G374" s="1028"/>
      <c r="H374" s="1032"/>
      <c r="I374" s="1032"/>
      <c r="J374" s="1032"/>
      <c r="K374" s="1032"/>
      <c r="L374" s="1037"/>
      <c r="M374" s="1038"/>
      <c r="N374" s="1038"/>
      <c r="O374" s="1038"/>
      <c r="P374" s="1038"/>
      <c r="Q374" s="1038"/>
      <c r="R374" s="1038"/>
      <c r="S374" s="1038"/>
      <c r="T374" s="1038"/>
      <c r="U374" s="1038"/>
      <c r="V374" s="1038"/>
      <c r="W374" s="1039"/>
      <c r="X374" s="1040"/>
    </row>
    <row r="375" spans="1:24" ht="15" customHeight="1" thickBot="1">
      <c r="A375" s="1031" t="s">
        <v>1251</v>
      </c>
      <c r="B375" s="1031"/>
      <c r="C375" s="1031"/>
      <c r="D375" s="1031"/>
      <c r="E375" s="1031"/>
      <c r="F375" s="1031"/>
      <c r="G375" s="1031"/>
      <c r="H375" s="1031"/>
      <c r="I375" s="1031"/>
      <c r="J375" s="1031"/>
      <c r="K375" s="1031"/>
      <c r="L375" s="884" t="s">
        <v>37</v>
      </c>
      <c r="M375" s="885" t="s">
        <v>38</v>
      </c>
      <c r="N375" s="885" t="s">
        <v>858</v>
      </c>
      <c r="O375" s="885" t="s">
        <v>39</v>
      </c>
      <c r="P375" s="885" t="s">
        <v>40</v>
      </c>
      <c r="Q375" s="885" t="s">
        <v>41</v>
      </c>
      <c r="R375" s="885" t="s">
        <v>42</v>
      </c>
      <c r="S375" s="885" t="s">
        <v>43</v>
      </c>
      <c r="T375" s="885" t="s">
        <v>44</v>
      </c>
      <c r="U375" s="885" t="s">
        <v>45</v>
      </c>
      <c r="V375" s="885" t="s">
        <v>46</v>
      </c>
      <c r="W375" s="886" t="s">
        <v>47</v>
      </c>
      <c r="X375" s="887" t="s">
        <v>352</v>
      </c>
    </row>
    <row r="376" spans="1:24" ht="15" customHeight="1" thickBot="1">
      <c r="A376" s="888" t="s">
        <v>1206</v>
      </c>
      <c r="B376" s="889"/>
      <c r="C376" s="889"/>
      <c r="D376" s="889"/>
      <c r="E376" s="889"/>
      <c r="F376" s="889"/>
      <c r="G376" s="890"/>
      <c r="H376" s="999" t="s">
        <v>3</v>
      </c>
      <c r="I376" s="1000"/>
      <c r="J376" s="891"/>
      <c r="K376" s="892"/>
      <c r="L376" s="893">
        <v>-0.1</v>
      </c>
      <c r="M376" s="894">
        <v>2</v>
      </c>
      <c r="N376" s="894">
        <v>6.7</v>
      </c>
      <c r="O376" s="894">
        <v>10</v>
      </c>
      <c r="P376" s="894">
        <v>15</v>
      </c>
      <c r="Q376" s="894">
        <v>17.8</v>
      </c>
      <c r="R376" s="894">
        <v>19.899999999999999</v>
      </c>
      <c r="S376" s="894">
        <v>19.399999999999999</v>
      </c>
      <c r="T376" s="894">
        <v>15</v>
      </c>
      <c r="U376" s="894">
        <v>10.3</v>
      </c>
      <c r="V376" s="894">
        <v>4.3</v>
      </c>
      <c r="W376" s="895">
        <v>0.8</v>
      </c>
      <c r="X376" s="896">
        <v>10.091666666666667</v>
      </c>
    </row>
    <row r="377" spans="1:24" ht="15" customHeight="1">
      <c r="A377" s="897"/>
      <c r="B377" s="898"/>
      <c r="C377" s="898"/>
      <c r="D377" s="898"/>
      <c r="E377" s="898"/>
      <c r="F377" s="898"/>
      <c r="G377" s="899"/>
      <c r="H377" s="1001" t="s">
        <v>1207</v>
      </c>
      <c r="I377" s="1002"/>
      <c r="J377" s="1003" t="s">
        <v>1208</v>
      </c>
      <c r="K377" s="1004"/>
      <c r="L377" s="900">
        <v>145</v>
      </c>
      <c r="M377" s="901">
        <v>225</v>
      </c>
      <c r="N377" s="901">
        <v>402</v>
      </c>
      <c r="O377" s="901">
        <v>516</v>
      </c>
      <c r="P377" s="901">
        <v>640</v>
      </c>
      <c r="Q377" s="901">
        <v>677</v>
      </c>
      <c r="R377" s="901">
        <v>694</v>
      </c>
      <c r="S377" s="901">
        <v>595</v>
      </c>
      <c r="T377" s="901">
        <v>435</v>
      </c>
      <c r="U377" s="901">
        <v>289</v>
      </c>
      <c r="V377" s="901">
        <v>156</v>
      </c>
      <c r="W377" s="902">
        <v>110</v>
      </c>
      <c r="X377" s="903">
        <v>4882</v>
      </c>
    </row>
    <row r="378" spans="1:24" ht="15" customHeight="1">
      <c r="A378" s="904"/>
      <c r="B378" s="882"/>
      <c r="C378" s="882"/>
      <c r="D378" s="882"/>
      <c r="E378" s="882"/>
      <c r="F378" s="882"/>
      <c r="G378" s="905"/>
      <c r="H378" s="1005"/>
      <c r="I378" s="1006"/>
      <c r="J378" s="1007" t="s">
        <v>1209</v>
      </c>
      <c r="K378" s="1008"/>
      <c r="L378" s="900">
        <v>62</v>
      </c>
      <c r="M378" s="906">
        <v>123</v>
      </c>
      <c r="N378" s="906">
        <v>222</v>
      </c>
      <c r="O378" s="906">
        <v>283</v>
      </c>
      <c r="P378" s="906">
        <v>346</v>
      </c>
      <c r="Q378" s="906">
        <v>365</v>
      </c>
      <c r="R378" s="906">
        <v>378</v>
      </c>
      <c r="S378" s="906">
        <v>337</v>
      </c>
      <c r="T378" s="906">
        <v>241</v>
      </c>
      <c r="U378" s="906">
        <v>153</v>
      </c>
      <c r="V378" s="906">
        <v>65</v>
      </c>
      <c r="W378" s="907">
        <v>43</v>
      </c>
      <c r="X378" s="903">
        <v>2617</v>
      </c>
    </row>
    <row r="379" spans="1:24" ht="15" customHeight="1">
      <c r="A379" s="904" t="s">
        <v>1210</v>
      </c>
      <c r="B379" s="882"/>
      <c r="C379" s="882"/>
      <c r="D379" s="882"/>
      <c r="E379" s="882"/>
      <c r="F379" s="882"/>
      <c r="G379" s="905"/>
      <c r="H379" s="1005"/>
      <c r="I379" s="1006"/>
      <c r="J379" s="1007" t="s">
        <v>1211</v>
      </c>
      <c r="K379" s="1008"/>
      <c r="L379" s="900">
        <v>236</v>
      </c>
      <c r="M379" s="906">
        <v>324</v>
      </c>
      <c r="N379" s="906">
        <v>402</v>
      </c>
      <c r="O379" s="906">
        <v>350</v>
      </c>
      <c r="P379" s="906">
        <v>324</v>
      </c>
      <c r="Q379" s="906">
        <v>295</v>
      </c>
      <c r="R379" s="906">
        <v>327</v>
      </c>
      <c r="S379" s="906">
        <v>367</v>
      </c>
      <c r="T379" s="906">
        <v>381</v>
      </c>
      <c r="U379" s="906">
        <v>354</v>
      </c>
      <c r="V379" s="906">
        <v>236</v>
      </c>
      <c r="W379" s="907">
        <v>174</v>
      </c>
      <c r="X379" s="903">
        <v>3769</v>
      </c>
    </row>
    <row r="380" spans="1:24" ht="15" customHeight="1">
      <c r="A380" s="904"/>
      <c r="B380" s="882"/>
      <c r="C380" s="882"/>
      <c r="D380" s="882"/>
      <c r="E380" s="882"/>
      <c r="F380" s="882"/>
      <c r="G380" s="905"/>
      <c r="H380" s="1005"/>
      <c r="I380" s="1006"/>
      <c r="J380" s="1007" t="s">
        <v>592</v>
      </c>
      <c r="K380" s="1008"/>
      <c r="L380" s="908">
        <v>102</v>
      </c>
      <c r="M380" s="906">
        <v>152</v>
      </c>
      <c r="N380" s="906">
        <v>220</v>
      </c>
      <c r="O380" s="906">
        <v>257</v>
      </c>
      <c r="P380" s="906">
        <v>303</v>
      </c>
      <c r="Q380" s="906">
        <v>311</v>
      </c>
      <c r="R380" s="906">
        <v>327</v>
      </c>
      <c r="S380" s="906">
        <v>292</v>
      </c>
      <c r="T380" s="906">
        <v>236</v>
      </c>
      <c r="U380" s="906">
        <v>166</v>
      </c>
      <c r="V380" s="906">
        <v>104</v>
      </c>
      <c r="W380" s="907">
        <v>75</v>
      </c>
      <c r="X380" s="903">
        <v>2543</v>
      </c>
    </row>
    <row r="381" spans="1:24" ht="15" customHeight="1" thickBot="1">
      <c r="A381" s="909"/>
      <c r="B381" s="910"/>
      <c r="C381" s="910"/>
      <c r="D381" s="910"/>
      <c r="E381" s="910"/>
      <c r="F381" s="910"/>
      <c r="G381" s="911"/>
      <c r="H381" s="1009"/>
      <c r="I381" s="1010"/>
      <c r="J381" s="1011" t="s">
        <v>1212</v>
      </c>
      <c r="K381" s="1012"/>
      <c r="L381" s="912">
        <v>46</v>
      </c>
      <c r="M381" s="913">
        <v>68</v>
      </c>
      <c r="N381" s="913">
        <v>94</v>
      </c>
      <c r="O381" s="913">
        <v>122</v>
      </c>
      <c r="P381" s="913">
        <v>161</v>
      </c>
      <c r="Q381" s="913">
        <v>174</v>
      </c>
      <c r="R381" s="913">
        <v>171</v>
      </c>
      <c r="S381" s="913">
        <v>137</v>
      </c>
      <c r="T381" s="913">
        <v>98</v>
      </c>
      <c r="U381" s="913">
        <v>72</v>
      </c>
      <c r="V381" s="913">
        <v>44</v>
      </c>
      <c r="W381" s="914">
        <v>37</v>
      </c>
      <c r="X381" s="915">
        <v>1224</v>
      </c>
    </row>
    <row r="382" spans="1:24" ht="15" customHeight="1" thickBot="1">
      <c r="A382" s="888" t="s">
        <v>1213</v>
      </c>
      <c r="B382" s="889"/>
      <c r="C382" s="889"/>
      <c r="D382" s="889"/>
      <c r="E382" s="889"/>
      <c r="F382" s="889"/>
      <c r="G382" s="890"/>
      <c r="H382" s="999" t="s">
        <v>1214</v>
      </c>
      <c r="I382" s="1000"/>
      <c r="J382" s="999"/>
      <c r="K382" s="1013"/>
      <c r="L382" s="916">
        <v>49</v>
      </c>
      <c r="M382" s="917">
        <v>55</v>
      </c>
      <c r="N382" s="917">
        <v>41</v>
      </c>
      <c r="O382" s="917">
        <v>38</v>
      </c>
      <c r="P382" s="917">
        <v>45</v>
      </c>
      <c r="Q382" s="917">
        <v>58</v>
      </c>
      <c r="R382" s="917">
        <v>57</v>
      </c>
      <c r="S382" s="917">
        <v>54</v>
      </c>
      <c r="T382" s="917">
        <v>50</v>
      </c>
      <c r="U382" s="917">
        <v>54</v>
      </c>
      <c r="V382" s="917">
        <v>58</v>
      </c>
      <c r="W382" s="918">
        <v>57</v>
      </c>
      <c r="X382" s="919">
        <v>616</v>
      </c>
    </row>
    <row r="383" spans="1:24" ht="15" customHeight="1">
      <c r="A383" s="1014" t="s">
        <v>1215</v>
      </c>
      <c r="B383" s="1015"/>
      <c r="C383" s="1015"/>
      <c r="D383" s="1015"/>
      <c r="E383" s="1015"/>
      <c r="F383" s="1015"/>
      <c r="G383" s="1016"/>
      <c r="H383" s="886" t="s">
        <v>1216</v>
      </c>
      <c r="I383" s="1017"/>
      <c r="J383" s="886"/>
      <c r="K383" s="1018"/>
      <c r="L383" s="931">
        <v>3.16</v>
      </c>
      <c r="M383" s="932">
        <v>3.34</v>
      </c>
      <c r="N383" s="932">
        <v>3.99</v>
      </c>
      <c r="O383" s="932">
        <v>4.74</v>
      </c>
      <c r="P383" s="932">
        <v>6.84</v>
      </c>
      <c r="Q383" s="932">
        <v>8.31</v>
      </c>
      <c r="R383" s="932">
        <v>9.61</v>
      </c>
      <c r="S383" s="932">
        <v>9.8000000000000007</v>
      </c>
      <c r="T383" s="932">
        <v>8.01</v>
      </c>
      <c r="U383" s="932">
        <v>6.34</v>
      </c>
      <c r="V383" s="932">
        <v>4.33</v>
      </c>
      <c r="W383" s="933">
        <v>3.49</v>
      </c>
      <c r="X383" s="934">
        <v>5.9966666666666661</v>
      </c>
    </row>
    <row r="384" spans="1:24" ht="15" customHeight="1" thickBot="1">
      <c r="A384" s="924" t="s">
        <v>1217</v>
      </c>
      <c r="B384" s="925"/>
      <c r="C384" s="925"/>
      <c r="D384" s="925"/>
      <c r="E384" s="925"/>
      <c r="F384" s="925"/>
      <c r="G384" s="926"/>
      <c r="H384" s="1019" t="s">
        <v>1218</v>
      </c>
      <c r="I384" s="1024"/>
      <c r="J384" s="1023"/>
      <c r="K384" s="1025"/>
      <c r="L384" s="927">
        <v>3.85</v>
      </c>
      <c r="M384" s="928">
        <v>4.04</v>
      </c>
      <c r="N384" s="928">
        <v>4.74</v>
      </c>
      <c r="O384" s="928">
        <v>5.56</v>
      </c>
      <c r="P384" s="928">
        <v>7.88</v>
      </c>
      <c r="Q384" s="928">
        <v>9.4700000000000006</v>
      </c>
      <c r="R384" s="928">
        <v>10.86</v>
      </c>
      <c r="S384" s="928">
        <v>11.1</v>
      </c>
      <c r="T384" s="928">
        <v>9.2200000000000006</v>
      </c>
      <c r="U384" s="928">
        <v>7.42</v>
      </c>
      <c r="V384" s="928">
        <v>5.19</v>
      </c>
      <c r="W384" s="929">
        <v>4.24</v>
      </c>
      <c r="X384" s="930">
        <v>7.03</v>
      </c>
    </row>
    <row r="385" spans="1:24" ht="15" customHeight="1" thickBot="1">
      <c r="A385" s="910"/>
      <c r="B385" s="1028"/>
      <c r="C385" s="1028"/>
      <c r="D385" s="1028"/>
      <c r="E385" s="1028"/>
      <c r="F385" s="1028"/>
      <c r="G385" s="1028"/>
      <c r="H385" s="1032"/>
      <c r="I385" s="1032"/>
      <c r="J385" s="1032"/>
      <c r="K385" s="1032"/>
      <c r="L385" s="1037"/>
      <c r="M385" s="1038"/>
      <c r="N385" s="1038"/>
      <c r="O385" s="1038"/>
      <c r="P385" s="1038"/>
      <c r="Q385" s="1038"/>
      <c r="R385" s="1038"/>
      <c r="S385" s="1038"/>
      <c r="T385" s="1038"/>
      <c r="U385" s="1038"/>
      <c r="V385" s="1038"/>
      <c r="W385" s="1039"/>
      <c r="X385" s="1040"/>
    </row>
    <row r="386" spans="1:24" ht="15" customHeight="1" thickBot="1">
      <c r="A386" s="1031" t="s">
        <v>1252</v>
      </c>
      <c r="B386" s="1031"/>
      <c r="C386" s="1031"/>
      <c r="D386" s="1031"/>
      <c r="E386" s="1031"/>
      <c r="F386" s="1031"/>
      <c r="G386" s="1031"/>
      <c r="H386" s="1031"/>
      <c r="I386" s="1031"/>
      <c r="J386" s="1031"/>
      <c r="K386" s="1031"/>
      <c r="L386" s="884" t="s">
        <v>37</v>
      </c>
      <c r="M386" s="885" t="s">
        <v>38</v>
      </c>
      <c r="N386" s="885" t="s">
        <v>858</v>
      </c>
      <c r="O386" s="885" t="s">
        <v>39</v>
      </c>
      <c r="P386" s="885" t="s">
        <v>40</v>
      </c>
      <c r="Q386" s="885" t="s">
        <v>41</v>
      </c>
      <c r="R386" s="885" t="s">
        <v>42</v>
      </c>
      <c r="S386" s="885" t="s">
        <v>43</v>
      </c>
      <c r="T386" s="885" t="s">
        <v>44</v>
      </c>
      <c r="U386" s="885" t="s">
        <v>45</v>
      </c>
      <c r="V386" s="885" t="s">
        <v>46</v>
      </c>
      <c r="W386" s="886" t="s">
        <v>47</v>
      </c>
      <c r="X386" s="887" t="s">
        <v>352</v>
      </c>
    </row>
    <row r="387" spans="1:24" ht="15" customHeight="1" thickBot="1">
      <c r="A387" s="888" t="s">
        <v>1206</v>
      </c>
      <c r="B387" s="889"/>
      <c r="C387" s="889"/>
      <c r="D387" s="889"/>
      <c r="E387" s="889"/>
      <c r="F387" s="889"/>
      <c r="G387" s="890"/>
      <c r="H387" s="999" t="s">
        <v>3</v>
      </c>
      <c r="I387" s="1000"/>
      <c r="J387" s="891"/>
      <c r="K387" s="892"/>
      <c r="L387" s="893">
        <v>-7.5</v>
      </c>
      <c r="M387" s="894">
        <v>-5.6</v>
      </c>
      <c r="N387" s="894">
        <v>-0.7</v>
      </c>
      <c r="O387" s="894">
        <v>2.8</v>
      </c>
      <c r="P387" s="894">
        <v>8.3000000000000007</v>
      </c>
      <c r="Q387" s="894">
        <v>11.6</v>
      </c>
      <c r="R387" s="894">
        <v>14.1</v>
      </c>
      <c r="S387" s="894">
        <v>13.8</v>
      </c>
      <c r="T387" s="894">
        <v>9.6</v>
      </c>
      <c r="U387" s="894">
        <v>5.3</v>
      </c>
      <c r="V387" s="894">
        <v>-1.4</v>
      </c>
      <c r="W387" s="895">
        <v>-5.6</v>
      </c>
      <c r="X387" s="896">
        <v>3.7250000000000001</v>
      </c>
    </row>
    <row r="388" spans="1:24" ht="15" customHeight="1">
      <c r="A388" s="897"/>
      <c r="B388" s="898"/>
      <c r="C388" s="898"/>
      <c r="D388" s="898"/>
      <c r="E388" s="898"/>
      <c r="F388" s="898"/>
      <c r="G388" s="899"/>
      <c r="H388" s="1001" t="s">
        <v>1207</v>
      </c>
      <c r="I388" s="1002"/>
      <c r="J388" s="1003" t="s">
        <v>1208</v>
      </c>
      <c r="K388" s="1004"/>
      <c r="L388" s="900">
        <v>147</v>
      </c>
      <c r="M388" s="901">
        <v>230</v>
      </c>
      <c r="N388" s="901">
        <v>421</v>
      </c>
      <c r="O388" s="901">
        <v>498</v>
      </c>
      <c r="P388" s="901">
        <v>584</v>
      </c>
      <c r="Q388" s="901">
        <v>614</v>
      </c>
      <c r="R388" s="901">
        <v>637</v>
      </c>
      <c r="S388" s="901">
        <v>552</v>
      </c>
      <c r="T388" s="901">
        <v>402</v>
      </c>
      <c r="U388" s="901">
        <v>268</v>
      </c>
      <c r="V388" s="901">
        <v>148</v>
      </c>
      <c r="W388" s="902">
        <v>110</v>
      </c>
      <c r="X388" s="903">
        <v>4610</v>
      </c>
    </row>
    <row r="389" spans="1:24" ht="15" customHeight="1">
      <c r="A389" s="904"/>
      <c r="B389" s="882"/>
      <c r="C389" s="882"/>
      <c r="D389" s="882"/>
      <c r="E389" s="882"/>
      <c r="F389" s="882"/>
      <c r="G389" s="905"/>
      <c r="H389" s="1005"/>
      <c r="I389" s="1006"/>
      <c r="J389" s="1007" t="s">
        <v>1209</v>
      </c>
      <c r="K389" s="1008"/>
      <c r="L389" s="900">
        <v>96</v>
      </c>
      <c r="M389" s="906">
        <v>177</v>
      </c>
      <c r="N389" s="906">
        <v>362</v>
      </c>
      <c r="O389" s="906">
        <v>407</v>
      </c>
      <c r="P389" s="906">
        <v>297</v>
      </c>
      <c r="Q389" s="906">
        <v>324</v>
      </c>
      <c r="R389" s="906">
        <v>335</v>
      </c>
      <c r="S389" s="906">
        <v>289</v>
      </c>
      <c r="T389" s="906">
        <v>202</v>
      </c>
      <c r="U389" s="906">
        <v>131</v>
      </c>
      <c r="V389" s="906">
        <v>52</v>
      </c>
      <c r="W389" s="907">
        <v>72</v>
      </c>
      <c r="X389" s="903">
        <v>2744</v>
      </c>
    </row>
    <row r="390" spans="1:24" ht="15" customHeight="1">
      <c r="A390" s="904" t="s">
        <v>1210</v>
      </c>
      <c r="B390" s="882"/>
      <c r="C390" s="882"/>
      <c r="D390" s="882"/>
      <c r="E390" s="882"/>
      <c r="F390" s="882"/>
      <c r="G390" s="905"/>
      <c r="H390" s="1005"/>
      <c r="I390" s="1006"/>
      <c r="J390" s="1007" t="s">
        <v>1211</v>
      </c>
      <c r="K390" s="1008"/>
      <c r="L390" s="900">
        <v>289</v>
      </c>
      <c r="M390" s="906">
        <v>394</v>
      </c>
      <c r="N390" s="906">
        <v>565</v>
      </c>
      <c r="O390" s="906">
        <v>500</v>
      </c>
      <c r="P390" s="906">
        <v>289</v>
      </c>
      <c r="Q390" s="906">
        <v>270</v>
      </c>
      <c r="R390" s="906">
        <v>303</v>
      </c>
      <c r="S390" s="906">
        <v>340</v>
      </c>
      <c r="T390" s="906">
        <v>347</v>
      </c>
      <c r="U390" s="906">
        <v>327</v>
      </c>
      <c r="V390" s="906">
        <v>215</v>
      </c>
      <c r="W390" s="907">
        <v>225</v>
      </c>
      <c r="X390" s="903">
        <v>4065</v>
      </c>
    </row>
    <row r="391" spans="1:24" ht="15" customHeight="1">
      <c r="A391" s="904"/>
      <c r="B391" s="882"/>
      <c r="C391" s="882"/>
      <c r="D391" s="882"/>
      <c r="E391" s="882"/>
      <c r="F391" s="882"/>
      <c r="G391" s="905"/>
      <c r="H391" s="1005"/>
      <c r="I391" s="1006"/>
      <c r="J391" s="1007" t="s">
        <v>592</v>
      </c>
      <c r="K391" s="1008"/>
      <c r="L391" s="908">
        <v>161</v>
      </c>
      <c r="M391" s="906">
        <v>223</v>
      </c>
      <c r="N391" s="906">
        <v>370</v>
      </c>
      <c r="O391" s="906">
        <v>410</v>
      </c>
      <c r="P391" s="906">
        <v>265</v>
      </c>
      <c r="Q391" s="906">
        <v>267</v>
      </c>
      <c r="R391" s="906">
        <v>281</v>
      </c>
      <c r="S391" s="906">
        <v>252</v>
      </c>
      <c r="T391" s="906">
        <v>210</v>
      </c>
      <c r="U391" s="906">
        <v>153</v>
      </c>
      <c r="V391" s="906">
        <v>101</v>
      </c>
      <c r="W391" s="907">
        <v>129</v>
      </c>
      <c r="X391" s="903">
        <v>2820</v>
      </c>
    </row>
    <row r="392" spans="1:24" ht="15" customHeight="1" thickBot="1">
      <c r="A392" s="909"/>
      <c r="B392" s="910"/>
      <c r="C392" s="910"/>
      <c r="D392" s="910"/>
      <c r="E392" s="910"/>
      <c r="F392" s="910"/>
      <c r="G392" s="911"/>
      <c r="H392" s="1009"/>
      <c r="I392" s="1010"/>
      <c r="J392" s="1011" t="s">
        <v>1212</v>
      </c>
      <c r="K392" s="1012"/>
      <c r="L392" s="912">
        <v>88</v>
      </c>
      <c r="M392" s="913">
        <v>133</v>
      </c>
      <c r="N392" s="913">
        <v>233</v>
      </c>
      <c r="O392" s="913">
        <v>280</v>
      </c>
      <c r="P392" s="913">
        <v>137</v>
      </c>
      <c r="Q392" s="913">
        <v>153</v>
      </c>
      <c r="R392" s="913">
        <v>150</v>
      </c>
      <c r="S392" s="913">
        <v>121</v>
      </c>
      <c r="T392" s="913">
        <v>88</v>
      </c>
      <c r="U392" s="913">
        <v>62</v>
      </c>
      <c r="V392" s="913">
        <v>39</v>
      </c>
      <c r="W392" s="914">
        <v>67</v>
      </c>
      <c r="X392" s="915">
        <v>1550</v>
      </c>
    </row>
    <row r="393" spans="1:24" ht="15" customHeight="1" thickBot="1">
      <c r="A393" s="888" t="s">
        <v>1213</v>
      </c>
      <c r="B393" s="889"/>
      <c r="C393" s="889"/>
      <c r="D393" s="889"/>
      <c r="E393" s="889"/>
      <c r="F393" s="889"/>
      <c r="G393" s="890"/>
      <c r="H393" s="999" t="s">
        <v>1214</v>
      </c>
      <c r="I393" s="1000"/>
      <c r="J393" s="999"/>
      <c r="K393" s="1013"/>
      <c r="L393" s="916">
        <v>99</v>
      </c>
      <c r="M393" s="917">
        <v>102</v>
      </c>
      <c r="N393" s="917">
        <v>97</v>
      </c>
      <c r="O393" s="917">
        <v>111</v>
      </c>
      <c r="P393" s="917">
        <v>116</v>
      </c>
      <c r="Q393" s="917">
        <v>104</v>
      </c>
      <c r="R393" s="917">
        <v>82</v>
      </c>
      <c r="S393" s="917">
        <v>87</v>
      </c>
      <c r="T393" s="917">
        <v>98</v>
      </c>
      <c r="U393" s="917">
        <v>115</v>
      </c>
      <c r="V393" s="917">
        <v>125</v>
      </c>
      <c r="W393" s="918">
        <v>104</v>
      </c>
      <c r="X393" s="919">
        <v>1240</v>
      </c>
    </row>
    <row r="394" spans="1:24" ht="15" customHeight="1">
      <c r="A394" s="1014" t="s">
        <v>1215</v>
      </c>
      <c r="B394" s="1015"/>
      <c r="C394" s="1015"/>
      <c r="D394" s="1015"/>
      <c r="E394" s="1015"/>
      <c r="F394" s="1015"/>
      <c r="G394" s="1016"/>
      <c r="H394" s="886" t="s">
        <v>1216</v>
      </c>
      <c r="I394" s="1017"/>
      <c r="J394" s="886"/>
      <c r="K394" s="1018"/>
      <c r="L394" s="931">
        <v>2.31</v>
      </c>
      <c r="M394" s="932">
        <v>2.4900000000000002</v>
      </c>
      <c r="N394" s="932">
        <v>3.13</v>
      </c>
      <c r="O394" s="932">
        <v>3.76</v>
      </c>
      <c r="P394" s="932">
        <v>5.3</v>
      </c>
      <c r="Q394" s="932">
        <v>6.61</v>
      </c>
      <c r="R394" s="932">
        <v>7.68</v>
      </c>
      <c r="S394" s="932">
        <v>7.85</v>
      </c>
      <c r="T394" s="932">
        <v>6.31</v>
      </c>
      <c r="U394" s="932">
        <v>5.01</v>
      </c>
      <c r="V394" s="932">
        <v>3.45</v>
      </c>
      <c r="W394" s="933">
        <v>2.63</v>
      </c>
      <c r="X394" s="934">
        <v>4.7108333333333343</v>
      </c>
    </row>
    <row r="395" spans="1:24" ht="15" customHeight="1" thickBot="1">
      <c r="A395" s="924" t="s">
        <v>1217</v>
      </c>
      <c r="B395" s="925"/>
      <c r="C395" s="925"/>
      <c r="D395" s="925"/>
      <c r="E395" s="925"/>
      <c r="F395" s="925"/>
      <c r="G395" s="926"/>
      <c r="H395" s="1019" t="s">
        <v>1218</v>
      </c>
      <c r="I395" s="1024"/>
      <c r="J395" s="1023"/>
      <c r="K395" s="1025"/>
      <c r="L395" s="927">
        <v>2.61</v>
      </c>
      <c r="M395" s="928">
        <v>2.79</v>
      </c>
      <c r="N395" s="928">
        <v>3.44</v>
      </c>
      <c r="O395" s="928">
        <v>4.08</v>
      </c>
      <c r="P395" s="928">
        <v>5.63</v>
      </c>
      <c r="Q395" s="928">
        <v>6.94</v>
      </c>
      <c r="R395" s="928">
        <v>7.99</v>
      </c>
      <c r="S395" s="928">
        <v>8.17</v>
      </c>
      <c r="T395" s="928">
        <v>6.67</v>
      </c>
      <c r="U395" s="928">
        <v>5.38</v>
      </c>
      <c r="V395" s="928">
        <v>3.8</v>
      </c>
      <c r="W395" s="929">
        <v>2.95</v>
      </c>
      <c r="X395" s="930">
        <v>5.09</v>
      </c>
    </row>
    <row r="396" spans="1:24" ht="15" customHeight="1" thickBot="1">
      <c r="A396" s="882"/>
      <c r="H396" s="1030"/>
      <c r="I396" s="1022"/>
      <c r="J396" s="1022"/>
      <c r="K396" s="1022"/>
      <c r="L396" s="940"/>
      <c r="M396" s="940"/>
      <c r="N396" s="940"/>
      <c r="O396" s="940"/>
      <c r="P396" s="940"/>
      <c r="Q396" s="940"/>
      <c r="R396" s="940"/>
      <c r="S396" s="940"/>
      <c r="T396" s="940"/>
      <c r="U396" s="940"/>
      <c r="V396" s="940"/>
      <c r="W396" s="940"/>
      <c r="X396" s="940"/>
    </row>
    <row r="397" spans="1:24" ht="15" customHeight="1" thickBot="1">
      <c r="A397" s="211" t="s">
        <v>1253</v>
      </c>
      <c r="B397" s="1031"/>
      <c r="C397" s="1031"/>
      <c r="D397" s="1031"/>
      <c r="E397" s="1031"/>
      <c r="F397" s="1031"/>
      <c r="G397" s="1031"/>
      <c r="H397" s="1031"/>
      <c r="I397" s="1031"/>
      <c r="J397" s="1031"/>
      <c r="K397" s="1031"/>
      <c r="L397" s="884" t="s">
        <v>37</v>
      </c>
      <c r="M397" s="885" t="s">
        <v>38</v>
      </c>
      <c r="N397" s="885" t="s">
        <v>858</v>
      </c>
      <c r="O397" s="885" t="s">
        <v>39</v>
      </c>
      <c r="P397" s="885" t="s">
        <v>40</v>
      </c>
      <c r="Q397" s="885" t="s">
        <v>41</v>
      </c>
      <c r="R397" s="885" t="s">
        <v>42</v>
      </c>
      <c r="S397" s="885" t="s">
        <v>43</v>
      </c>
      <c r="T397" s="885" t="s">
        <v>44</v>
      </c>
      <c r="U397" s="885" t="s">
        <v>45</v>
      </c>
      <c r="V397" s="885" t="s">
        <v>46</v>
      </c>
      <c r="W397" s="886" t="s">
        <v>47</v>
      </c>
      <c r="X397" s="887" t="s">
        <v>352</v>
      </c>
    </row>
    <row r="398" spans="1:24" ht="15" customHeight="1" thickBot="1">
      <c r="A398" s="888" t="s">
        <v>1206</v>
      </c>
      <c r="B398" s="889"/>
      <c r="C398" s="889"/>
      <c r="D398" s="889"/>
      <c r="E398" s="889"/>
      <c r="F398" s="889"/>
      <c r="G398" s="890"/>
      <c r="H398" s="999" t="s">
        <v>3</v>
      </c>
      <c r="I398" s="1000"/>
      <c r="J398" s="891"/>
      <c r="K398" s="892"/>
      <c r="L398" s="893">
        <v>0.8</v>
      </c>
      <c r="M398" s="894">
        <v>2.1</v>
      </c>
      <c r="N398" s="894">
        <v>6.3</v>
      </c>
      <c r="O398" s="894">
        <v>9.4</v>
      </c>
      <c r="P398" s="894">
        <v>14.4</v>
      </c>
      <c r="Q398" s="894">
        <v>16.7</v>
      </c>
      <c r="R398" s="894">
        <v>18.7</v>
      </c>
      <c r="S398" s="894">
        <v>18.7</v>
      </c>
      <c r="T398" s="894">
        <v>14.6</v>
      </c>
      <c r="U398" s="894">
        <v>10.8</v>
      </c>
      <c r="V398" s="894">
        <v>4.9000000000000004</v>
      </c>
      <c r="W398" s="895">
        <v>2</v>
      </c>
      <c r="X398" s="896">
        <v>9.9499999999999993</v>
      </c>
    </row>
    <row r="399" spans="1:24" ht="15" customHeight="1">
      <c r="A399" s="897"/>
      <c r="B399" s="898"/>
      <c r="C399" s="898"/>
      <c r="D399" s="898"/>
      <c r="E399" s="898"/>
      <c r="F399" s="898"/>
      <c r="G399" s="899"/>
      <c r="H399" s="1001" t="s">
        <v>1207</v>
      </c>
      <c r="I399" s="1002"/>
      <c r="J399" s="1003" t="s">
        <v>1208</v>
      </c>
      <c r="K399" s="1004"/>
      <c r="L399" s="900">
        <v>126</v>
      </c>
      <c r="M399" s="901">
        <v>189</v>
      </c>
      <c r="N399" s="901">
        <v>327</v>
      </c>
      <c r="O399" s="901">
        <v>428</v>
      </c>
      <c r="P399" s="901">
        <v>549</v>
      </c>
      <c r="Q399" s="901">
        <v>552</v>
      </c>
      <c r="R399" s="901">
        <v>568</v>
      </c>
      <c r="S399" s="901">
        <v>498</v>
      </c>
      <c r="T399" s="901">
        <v>353</v>
      </c>
      <c r="U399" s="901">
        <v>238</v>
      </c>
      <c r="V399" s="901">
        <v>127</v>
      </c>
      <c r="W399" s="902">
        <v>94</v>
      </c>
      <c r="X399" s="903">
        <v>4048</v>
      </c>
    </row>
    <row r="400" spans="1:24" ht="15" customHeight="1">
      <c r="A400" s="904"/>
      <c r="B400" s="882"/>
      <c r="C400" s="882"/>
      <c r="D400" s="882"/>
      <c r="E400" s="882"/>
      <c r="F400" s="882"/>
      <c r="G400" s="905"/>
      <c r="H400" s="1005"/>
      <c r="I400" s="1006"/>
      <c r="J400" s="1007" t="s">
        <v>1209</v>
      </c>
      <c r="K400" s="1008"/>
      <c r="L400" s="900">
        <v>64</v>
      </c>
      <c r="M400" s="906">
        <v>106</v>
      </c>
      <c r="N400" s="906">
        <v>161</v>
      </c>
      <c r="O400" s="906">
        <v>200</v>
      </c>
      <c r="P400" s="906">
        <v>246</v>
      </c>
      <c r="Q400" s="906">
        <v>244</v>
      </c>
      <c r="R400" s="906">
        <v>257</v>
      </c>
      <c r="S400" s="906">
        <v>228</v>
      </c>
      <c r="T400" s="906">
        <v>168</v>
      </c>
      <c r="U400" s="906">
        <v>112</v>
      </c>
      <c r="V400" s="906">
        <v>60</v>
      </c>
      <c r="W400" s="907">
        <v>43</v>
      </c>
      <c r="X400" s="903">
        <v>1889</v>
      </c>
    </row>
    <row r="401" spans="1:24" ht="15" customHeight="1">
      <c r="A401" s="904" t="s">
        <v>1210</v>
      </c>
      <c r="B401" s="882"/>
      <c r="C401" s="882"/>
      <c r="D401" s="882"/>
      <c r="E401" s="882"/>
      <c r="F401" s="882"/>
      <c r="G401" s="905"/>
      <c r="H401" s="1005"/>
      <c r="I401" s="1006"/>
      <c r="J401" s="1007" t="s">
        <v>1211</v>
      </c>
      <c r="K401" s="1008"/>
      <c r="L401" s="900">
        <v>209</v>
      </c>
      <c r="M401" s="906">
        <v>266</v>
      </c>
      <c r="N401" s="906">
        <v>316</v>
      </c>
      <c r="O401" s="906">
        <v>293</v>
      </c>
      <c r="P401" s="906">
        <v>287</v>
      </c>
      <c r="Q401" s="906">
        <v>254</v>
      </c>
      <c r="R401" s="906">
        <v>281</v>
      </c>
      <c r="S401" s="906">
        <v>313</v>
      </c>
      <c r="T401" s="906">
        <v>303</v>
      </c>
      <c r="U401" s="906">
        <v>279</v>
      </c>
      <c r="V401" s="906">
        <v>187</v>
      </c>
      <c r="W401" s="907">
        <v>153</v>
      </c>
      <c r="X401" s="903">
        <v>3140</v>
      </c>
    </row>
    <row r="402" spans="1:24" ht="15" customHeight="1">
      <c r="A402" s="904"/>
      <c r="B402" s="882"/>
      <c r="C402" s="882"/>
      <c r="D402" s="882"/>
      <c r="E402" s="882"/>
      <c r="F402" s="882"/>
      <c r="G402" s="905"/>
      <c r="H402" s="1005"/>
      <c r="I402" s="1006"/>
      <c r="J402" s="1007" t="s">
        <v>592</v>
      </c>
      <c r="K402" s="1008"/>
      <c r="L402" s="908">
        <v>86</v>
      </c>
      <c r="M402" s="906">
        <v>128</v>
      </c>
      <c r="N402" s="906">
        <v>179</v>
      </c>
      <c r="O402" s="906">
        <v>215</v>
      </c>
      <c r="P402" s="906">
        <v>271</v>
      </c>
      <c r="Q402" s="906">
        <v>264</v>
      </c>
      <c r="R402" s="906">
        <v>276</v>
      </c>
      <c r="S402" s="906">
        <v>249</v>
      </c>
      <c r="T402" s="906">
        <v>181</v>
      </c>
      <c r="U402" s="906">
        <v>129</v>
      </c>
      <c r="V402" s="906">
        <v>75</v>
      </c>
      <c r="W402" s="907">
        <v>59</v>
      </c>
      <c r="X402" s="903">
        <v>2112</v>
      </c>
    </row>
    <row r="403" spans="1:24" ht="15" customHeight="1" thickBot="1">
      <c r="A403" s="909"/>
      <c r="B403" s="910"/>
      <c r="C403" s="910"/>
      <c r="D403" s="910"/>
      <c r="E403" s="910"/>
      <c r="F403" s="910"/>
      <c r="G403" s="911"/>
      <c r="H403" s="1009"/>
      <c r="I403" s="1010"/>
      <c r="J403" s="1011" t="s">
        <v>1212</v>
      </c>
      <c r="K403" s="1012"/>
      <c r="L403" s="912">
        <v>46</v>
      </c>
      <c r="M403" s="913">
        <v>68</v>
      </c>
      <c r="N403" s="913">
        <v>88</v>
      </c>
      <c r="O403" s="913">
        <v>109</v>
      </c>
      <c r="P403" s="913">
        <v>139</v>
      </c>
      <c r="Q403" s="913">
        <v>148</v>
      </c>
      <c r="R403" s="913">
        <v>145</v>
      </c>
      <c r="S403" s="913">
        <v>121</v>
      </c>
      <c r="T403" s="913">
        <v>88</v>
      </c>
      <c r="U403" s="913">
        <v>64</v>
      </c>
      <c r="V403" s="913">
        <v>39</v>
      </c>
      <c r="W403" s="914">
        <v>32</v>
      </c>
      <c r="X403" s="915">
        <v>1086</v>
      </c>
    </row>
    <row r="404" spans="1:24" ht="15" customHeight="1" thickBot="1">
      <c r="A404" s="888" t="s">
        <v>1213</v>
      </c>
      <c r="B404" s="889"/>
      <c r="C404" s="889"/>
      <c r="D404" s="889"/>
      <c r="E404" s="889"/>
      <c r="F404" s="889"/>
      <c r="G404" s="890"/>
      <c r="H404" s="999" t="s">
        <v>1214</v>
      </c>
      <c r="I404" s="1000"/>
      <c r="J404" s="999"/>
      <c r="K404" s="1013"/>
      <c r="L404" s="916">
        <v>35</v>
      </c>
      <c r="M404" s="917">
        <v>47</v>
      </c>
      <c r="N404" s="917">
        <v>61</v>
      </c>
      <c r="O404" s="917">
        <v>61</v>
      </c>
      <c r="P404" s="917">
        <v>83</v>
      </c>
      <c r="Q404" s="917">
        <v>122</v>
      </c>
      <c r="R404" s="917">
        <v>139</v>
      </c>
      <c r="S404" s="917">
        <v>135</v>
      </c>
      <c r="T404" s="917">
        <v>102</v>
      </c>
      <c r="U404" s="917">
        <v>61</v>
      </c>
      <c r="V404" s="917">
        <v>66</v>
      </c>
      <c r="W404" s="918">
        <v>53</v>
      </c>
      <c r="X404" s="919">
        <v>965</v>
      </c>
    </row>
    <row r="405" spans="1:24" ht="15" customHeight="1">
      <c r="A405" s="1014" t="s">
        <v>1215</v>
      </c>
      <c r="B405" s="1015"/>
      <c r="C405" s="1015"/>
      <c r="D405" s="1015"/>
      <c r="E405" s="1015"/>
      <c r="F405" s="1015"/>
      <c r="G405" s="1016"/>
      <c r="H405" s="886" t="s">
        <v>1216</v>
      </c>
      <c r="I405" s="1017"/>
      <c r="J405" s="886"/>
      <c r="K405" s="1018"/>
      <c r="L405" s="931">
        <v>3.15</v>
      </c>
      <c r="M405" s="932">
        <v>3.31</v>
      </c>
      <c r="N405" s="932">
        <v>4.0999999999999996</v>
      </c>
      <c r="O405" s="932">
        <v>4.88</v>
      </c>
      <c r="P405" s="932">
        <v>7.05</v>
      </c>
      <c r="Q405" s="932">
        <v>8.64</v>
      </c>
      <c r="R405" s="932">
        <v>10.039999999999999</v>
      </c>
      <c r="S405" s="932">
        <v>10.16</v>
      </c>
      <c r="T405" s="932">
        <v>8.1999999999999993</v>
      </c>
      <c r="U405" s="932">
        <v>6.37</v>
      </c>
      <c r="V405" s="932">
        <v>4.42</v>
      </c>
      <c r="W405" s="933">
        <v>3.56</v>
      </c>
      <c r="X405" s="934">
        <v>6.1566666666666672</v>
      </c>
    </row>
    <row r="406" spans="1:24" ht="15" customHeight="1" thickBot="1">
      <c r="A406" s="924" t="s">
        <v>1217</v>
      </c>
      <c r="B406" s="925"/>
      <c r="C406" s="925"/>
      <c r="D406" s="925"/>
      <c r="E406" s="925"/>
      <c r="F406" s="925"/>
      <c r="G406" s="926"/>
      <c r="H406" s="1019" t="s">
        <v>1218</v>
      </c>
      <c r="I406" s="1024"/>
      <c r="J406" s="1023"/>
      <c r="K406" s="1025"/>
      <c r="L406" s="927">
        <v>3.83</v>
      </c>
      <c r="M406" s="928">
        <v>4.01</v>
      </c>
      <c r="N406" s="928">
        <v>4.8899999999999997</v>
      </c>
      <c r="O406" s="928">
        <v>5.75</v>
      </c>
      <c r="P406" s="928">
        <v>8.16</v>
      </c>
      <c r="Q406" s="928">
        <v>9.91</v>
      </c>
      <c r="R406" s="928">
        <v>11.42</v>
      </c>
      <c r="S406" s="928">
        <v>11.56</v>
      </c>
      <c r="T406" s="928">
        <v>9.4700000000000006</v>
      </c>
      <c r="U406" s="928">
        <v>7.47</v>
      </c>
      <c r="V406" s="928">
        <v>5.3</v>
      </c>
      <c r="W406" s="929">
        <v>4.3099999999999996</v>
      </c>
      <c r="X406" s="930">
        <v>7.24</v>
      </c>
    </row>
    <row r="407" spans="1:24" ht="15" customHeight="1" thickBot="1">
      <c r="A407" s="910"/>
      <c r="B407" s="1028"/>
      <c r="C407" s="1028"/>
      <c r="D407" s="1028"/>
      <c r="E407" s="1028"/>
      <c r="F407" s="1028"/>
      <c r="G407" s="1028"/>
      <c r="H407" s="1032"/>
      <c r="I407" s="1032"/>
      <c r="J407" s="1032"/>
      <c r="K407" s="1032"/>
      <c r="L407" s="1037"/>
      <c r="M407" s="1038"/>
      <c r="N407" s="1038"/>
      <c r="O407" s="1038"/>
      <c r="P407" s="1038"/>
      <c r="Q407" s="1038"/>
      <c r="R407" s="1038"/>
      <c r="S407" s="1038"/>
      <c r="T407" s="1038"/>
      <c r="U407" s="1038"/>
      <c r="V407" s="1038"/>
      <c r="W407" s="1039"/>
      <c r="X407" s="1040"/>
    </row>
    <row r="408" spans="1:24" ht="15" customHeight="1" thickBot="1">
      <c r="A408" s="1031" t="s">
        <v>1254</v>
      </c>
      <c r="B408" s="1031"/>
      <c r="C408" s="1031"/>
      <c r="D408" s="1031"/>
      <c r="E408" s="1031"/>
      <c r="F408" s="1031"/>
      <c r="G408" s="1031"/>
      <c r="H408" s="1031"/>
      <c r="I408" s="1031"/>
      <c r="J408" s="1031"/>
      <c r="K408" s="1031"/>
      <c r="L408" s="884" t="s">
        <v>37</v>
      </c>
      <c r="M408" s="885" t="s">
        <v>38</v>
      </c>
      <c r="N408" s="885" t="s">
        <v>858</v>
      </c>
      <c r="O408" s="885" t="s">
        <v>39</v>
      </c>
      <c r="P408" s="885" t="s">
        <v>40</v>
      </c>
      <c r="Q408" s="885" t="s">
        <v>41</v>
      </c>
      <c r="R408" s="885" t="s">
        <v>42</v>
      </c>
      <c r="S408" s="885" t="s">
        <v>43</v>
      </c>
      <c r="T408" s="885" t="s">
        <v>44</v>
      </c>
      <c r="U408" s="885" t="s">
        <v>45</v>
      </c>
      <c r="V408" s="885" t="s">
        <v>46</v>
      </c>
      <c r="W408" s="886" t="s">
        <v>47</v>
      </c>
      <c r="X408" s="887" t="s">
        <v>352</v>
      </c>
    </row>
    <row r="409" spans="1:24" ht="15" customHeight="1" thickBot="1">
      <c r="A409" s="888" t="s">
        <v>1206</v>
      </c>
      <c r="B409" s="889"/>
      <c r="C409" s="889"/>
      <c r="D409" s="889"/>
      <c r="E409" s="889"/>
      <c r="F409" s="889"/>
      <c r="G409" s="890"/>
      <c r="H409" s="999" t="s">
        <v>3</v>
      </c>
      <c r="I409" s="1000"/>
      <c r="J409" s="891"/>
      <c r="K409" s="892"/>
      <c r="L409" s="893">
        <v>0</v>
      </c>
      <c r="M409" s="894">
        <v>1</v>
      </c>
      <c r="N409" s="894">
        <v>4.9000000000000004</v>
      </c>
      <c r="O409" s="894">
        <v>8</v>
      </c>
      <c r="P409" s="894">
        <v>13.2</v>
      </c>
      <c r="Q409" s="894">
        <v>16.2</v>
      </c>
      <c r="R409" s="894">
        <v>18.399999999999999</v>
      </c>
      <c r="S409" s="894">
        <v>18.100000000000001</v>
      </c>
      <c r="T409" s="894">
        <v>13.7</v>
      </c>
      <c r="U409" s="894">
        <v>9.5</v>
      </c>
      <c r="V409" s="894">
        <v>3.9</v>
      </c>
      <c r="W409" s="895">
        <v>1.4</v>
      </c>
      <c r="X409" s="896">
        <v>9.0250000000000004</v>
      </c>
    </row>
    <row r="410" spans="1:24" ht="15" customHeight="1">
      <c r="A410" s="897"/>
      <c r="B410" s="898"/>
      <c r="C410" s="898"/>
      <c r="D410" s="898"/>
      <c r="E410" s="898"/>
      <c r="F410" s="898"/>
      <c r="G410" s="899"/>
      <c r="H410" s="1001" t="s">
        <v>1207</v>
      </c>
      <c r="I410" s="1002"/>
      <c r="J410" s="1003" t="s">
        <v>1208</v>
      </c>
      <c r="K410" s="1004"/>
      <c r="L410" s="900">
        <v>94</v>
      </c>
      <c r="M410" s="901">
        <v>162</v>
      </c>
      <c r="N410" s="901">
        <v>313</v>
      </c>
      <c r="O410" s="901">
        <v>417</v>
      </c>
      <c r="P410" s="901">
        <v>544</v>
      </c>
      <c r="Q410" s="901">
        <v>588</v>
      </c>
      <c r="R410" s="901">
        <v>616</v>
      </c>
      <c r="S410" s="901">
        <v>530</v>
      </c>
      <c r="T410" s="901">
        <v>358</v>
      </c>
      <c r="U410" s="901">
        <v>204</v>
      </c>
      <c r="V410" s="901">
        <v>98</v>
      </c>
      <c r="W410" s="902">
        <v>72</v>
      </c>
      <c r="X410" s="903">
        <v>3997</v>
      </c>
    </row>
    <row r="411" spans="1:24" ht="15" customHeight="1">
      <c r="A411" s="904"/>
      <c r="B411" s="882"/>
      <c r="C411" s="882"/>
      <c r="D411" s="882"/>
      <c r="E411" s="882"/>
      <c r="F411" s="882"/>
      <c r="G411" s="905"/>
      <c r="H411" s="1005"/>
      <c r="I411" s="1006"/>
      <c r="J411" s="1007" t="s">
        <v>1209</v>
      </c>
      <c r="K411" s="1008"/>
      <c r="L411" s="900">
        <v>54</v>
      </c>
      <c r="M411" s="906">
        <v>97</v>
      </c>
      <c r="N411" s="906">
        <v>177</v>
      </c>
      <c r="O411" s="906">
        <v>228</v>
      </c>
      <c r="P411" s="906">
        <v>289</v>
      </c>
      <c r="Q411" s="906">
        <v>319</v>
      </c>
      <c r="R411" s="906">
        <v>337</v>
      </c>
      <c r="S411" s="906">
        <v>295</v>
      </c>
      <c r="T411" s="906">
        <v>187</v>
      </c>
      <c r="U411" s="906">
        <v>99</v>
      </c>
      <c r="V411" s="906">
        <v>49</v>
      </c>
      <c r="W411" s="907">
        <v>40</v>
      </c>
      <c r="X411" s="903">
        <v>2171</v>
      </c>
    </row>
    <row r="412" spans="1:24" ht="15" customHeight="1">
      <c r="A412" s="904" t="s">
        <v>1210</v>
      </c>
      <c r="B412" s="882"/>
      <c r="C412" s="882"/>
      <c r="D412" s="882"/>
      <c r="E412" s="882"/>
      <c r="F412" s="882"/>
      <c r="G412" s="905"/>
      <c r="H412" s="1005"/>
      <c r="I412" s="1006"/>
      <c r="J412" s="1007" t="s">
        <v>1211</v>
      </c>
      <c r="K412" s="1008"/>
      <c r="L412" s="900">
        <v>131</v>
      </c>
      <c r="M412" s="906">
        <v>213</v>
      </c>
      <c r="N412" s="906">
        <v>308</v>
      </c>
      <c r="O412" s="906">
        <v>285</v>
      </c>
      <c r="P412" s="906">
        <v>287</v>
      </c>
      <c r="Q412" s="906">
        <v>275</v>
      </c>
      <c r="R412" s="906">
        <v>305</v>
      </c>
      <c r="S412" s="906">
        <v>337</v>
      </c>
      <c r="T412" s="906">
        <v>308</v>
      </c>
      <c r="U412" s="906">
        <v>225</v>
      </c>
      <c r="V412" s="906">
        <v>122</v>
      </c>
      <c r="W412" s="907">
        <v>104</v>
      </c>
      <c r="X412" s="903">
        <v>2901</v>
      </c>
    </row>
    <row r="413" spans="1:24" ht="15" customHeight="1">
      <c r="A413" s="904"/>
      <c r="B413" s="882"/>
      <c r="C413" s="882"/>
      <c r="D413" s="882"/>
      <c r="E413" s="882"/>
      <c r="F413" s="882"/>
      <c r="G413" s="905"/>
      <c r="H413" s="1005"/>
      <c r="I413" s="1006"/>
      <c r="J413" s="1007" t="s">
        <v>592</v>
      </c>
      <c r="K413" s="1008"/>
      <c r="L413" s="908">
        <v>67</v>
      </c>
      <c r="M413" s="906">
        <v>116</v>
      </c>
      <c r="N413" s="906">
        <v>198</v>
      </c>
      <c r="O413" s="906">
        <v>231</v>
      </c>
      <c r="P413" s="906">
        <v>292</v>
      </c>
      <c r="Q413" s="906">
        <v>308</v>
      </c>
      <c r="R413" s="906">
        <v>329</v>
      </c>
      <c r="S413" s="906">
        <v>292</v>
      </c>
      <c r="T413" s="906">
        <v>218</v>
      </c>
      <c r="U413" s="906">
        <v>137</v>
      </c>
      <c r="V413" s="906">
        <v>65</v>
      </c>
      <c r="W413" s="907">
        <v>48</v>
      </c>
      <c r="X413" s="903">
        <v>2301</v>
      </c>
    </row>
    <row r="414" spans="1:24" ht="15" customHeight="1" thickBot="1">
      <c r="A414" s="909"/>
      <c r="B414" s="910"/>
      <c r="C414" s="910"/>
      <c r="D414" s="910"/>
      <c r="E414" s="910"/>
      <c r="F414" s="910"/>
      <c r="G414" s="911"/>
      <c r="H414" s="1009"/>
      <c r="I414" s="1010"/>
      <c r="J414" s="1011" t="s">
        <v>1212</v>
      </c>
      <c r="K414" s="1012"/>
      <c r="L414" s="912">
        <v>40</v>
      </c>
      <c r="M414" s="913">
        <v>63</v>
      </c>
      <c r="N414" s="913">
        <v>96</v>
      </c>
      <c r="O414" s="913">
        <v>117</v>
      </c>
      <c r="P414" s="913">
        <v>158</v>
      </c>
      <c r="Q414" s="913">
        <v>179</v>
      </c>
      <c r="R414" s="913">
        <v>179</v>
      </c>
      <c r="S414" s="913">
        <v>139</v>
      </c>
      <c r="T414" s="913">
        <v>98</v>
      </c>
      <c r="U414" s="913">
        <v>64</v>
      </c>
      <c r="V414" s="913">
        <v>36</v>
      </c>
      <c r="W414" s="914">
        <v>29</v>
      </c>
      <c r="X414" s="915">
        <v>1200</v>
      </c>
    </row>
    <row r="415" spans="1:24" ht="15" customHeight="1" thickBot="1">
      <c r="A415" s="888" t="s">
        <v>1213</v>
      </c>
      <c r="B415" s="889"/>
      <c r="C415" s="889"/>
      <c r="D415" s="889"/>
      <c r="E415" s="889"/>
      <c r="F415" s="889"/>
      <c r="G415" s="890"/>
      <c r="H415" s="999" t="s">
        <v>1214</v>
      </c>
      <c r="I415" s="1000"/>
      <c r="J415" s="999"/>
      <c r="K415" s="1013"/>
      <c r="L415" s="916">
        <v>77</v>
      </c>
      <c r="M415" s="917">
        <v>80</v>
      </c>
      <c r="N415" s="917">
        <v>76</v>
      </c>
      <c r="O415" s="917">
        <v>81</v>
      </c>
      <c r="P415" s="917">
        <v>101</v>
      </c>
      <c r="Q415" s="917">
        <v>115</v>
      </c>
      <c r="R415" s="917">
        <v>105</v>
      </c>
      <c r="S415" s="917">
        <v>106</v>
      </c>
      <c r="T415" s="917">
        <v>106</v>
      </c>
      <c r="U415" s="917">
        <v>93</v>
      </c>
      <c r="V415" s="917">
        <v>89</v>
      </c>
      <c r="W415" s="918">
        <v>91</v>
      </c>
      <c r="X415" s="919">
        <v>1120</v>
      </c>
    </row>
    <row r="416" spans="1:24" ht="15" customHeight="1">
      <c r="A416" s="1014" t="s">
        <v>1215</v>
      </c>
      <c r="B416" s="1015"/>
      <c r="C416" s="1015"/>
      <c r="D416" s="1015"/>
      <c r="E416" s="1015"/>
      <c r="F416" s="1015"/>
      <c r="G416" s="1016"/>
      <c r="H416" s="886" t="s">
        <v>1216</v>
      </c>
      <c r="I416" s="1017"/>
      <c r="J416" s="886"/>
      <c r="K416" s="1018"/>
      <c r="L416" s="931">
        <v>3.51</v>
      </c>
      <c r="M416" s="932">
        <v>3.6</v>
      </c>
      <c r="N416" s="932">
        <v>4.33</v>
      </c>
      <c r="O416" s="932">
        <v>5.1100000000000003</v>
      </c>
      <c r="P416" s="932">
        <v>7.21</v>
      </c>
      <c r="Q416" s="932">
        <v>8.65</v>
      </c>
      <c r="R416" s="932">
        <v>9.84</v>
      </c>
      <c r="S416" s="932">
        <v>10.119999999999999</v>
      </c>
      <c r="T416" s="932">
        <v>8.2899999999999991</v>
      </c>
      <c r="U416" s="932">
        <v>6.72</v>
      </c>
      <c r="V416" s="932">
        <v>4.71</v>
      </c>
      <c r="W416" s="933">
        <v>3.91</v>
      </c>
      <c r="X416" s="934">
        <v>6.3333333333333321</v>
      </c>
    </row>
    <row r="417" spans="1:24" ht="15" customHeight="1" thickBot="1">
      <c r="A417" s="924" t="s">
        <v>1217</v>
      </c>
      <c r="B417" s="925"/>
      <c r="C417" s="925"/>
      <c r="D417" s="925"/>
      <c r="E417" s="925"/>
      <c r="F417" s="925"/>
      <c r="G417" s="926"/>
      <c r="H417" s="1019" t="s">
        <v>1218</v>
      </c>
      <c r="I417" s="1024"/>
      <c r="J417" s="1023"/>
      <c r="K417" s="1025"/>
      <c r="L417" s="927">
        <v>4.3</v>
      </c>
      <c r="M417" s="928">
        <v>4.4000000000000004</v>
      </c>
      <c r="N417" s="928">
        <v>5.21</v>
      </c>
      <c r="O417" s="928">
        <v>6.08</v>
      </c>
      <c r="P417" s="928">
        <v>8.41</v>
      </c>
      <c r="Q417" s="928">
        <v>9.98</v>
      </c>
      <c r="R417" s="928">
        <v>11.26</v>
      </c>
      <c r="S417" s="928">
        <v>11.59</v>
      </c>
      <c r="T417" s="928">
        <v>9.65</v>
      </c>
      <c r="U417" s="928">
        <v>7.95</v>
      </c>
      <c r="V417" s="928">
        <v>5.69</v>
      </c>
      <c r="W417" s="929">
        <v>4.7699999999999996</v>
      </c>
      <c r="X417" s="930">
        <v>7.5</v>
      </c>
    </row>
    <row r="418" spans="1:24" ht="15" customHeight="1" thickBot="1">
      <c r="A418" s="910"/>
      <c r="B418" s="1028"/>
      <c r="C418" s="1028"/>
      <c r="D418" s="1028"/>
      <c r="E418" s="1028"/>
      <c r="F418" s="1028"/>
      <c r="G418" s="1028"/>
      <c r="H418" s="1032"/>
      <c r="I418" s="1032"/>
      <c r="J418" s="1032"/>
      <c r="K418" s="1032"/>
      <c r="L418" s="1037"/>
      <c r="M418" s="1038"/>
      <c r="N418" s="1038"/>
      <c r="O418" s="1038"/>
      <c r="P418" s="1038"/>
      <c r="Q418" s="1038"/>
      <c r="R418" s="1038"/>
      <c r="S418" s="1038"/>
      <c r="T418" s="1038"/>
      <c r="U418" s="1038"/>
      <c r="V418" s="1038"/>
      <c r="W418" s="1039"/>
      <c r="X418" s="1040"/>
    </row>
    <row r="419" spans="1:24" ht="15" customHeight="1" thickBot="1">
      <c r="A419" s="1031" t="s">
        <v>1255</v>
      </c>
      <c r="B419" s="1031"/>
      <c r="C419" s="1031"/>
      <c r="D419" s="1031"/>
      <c r="E419" s="1031"/>
      <c r="F419" s="1031"/>
      <c r="G419" s="1031"/>
      <c r="H419" s="1031"/>
      <c r="I419" s="1031"/>
      <c r="J419" s="1031"/>
      <c r="K419" s="1031"/>
      <c r="L419" s="884" t="s">
        <v>37</v>
      </c>
      <c r="M419" s="885" t="s">
        <v>38</v>
      </c>
      <c r="N419" s="885" t="s">
        <v>858</v>
      </c>
      <c r="O419" s="885" t="s">
        <v>39</v>
      </c>
      <c r="P419" s="885" t="s">
        <v>40</v>
      </c>
      <c r="Q419" s="885" t="s">
        <v>41</v>
      </c>
      <c r="R419" s="885" t="s">
        <v>42</v>
      </c>
      <c r="S419" s="885" t="s">
        <v>43</v>
      </c>
      <c r="T419" s="885" t="s">
        <v>44</v>
      </c>
      <c r="U419" s="885" t="s">
        <v>45</v>
      </c>
      <c r="V419" s="885" t="s">
        <v>46</v>
      </c>
      <c r="W419" s="886" t="s">
        <v>47</v>
      </c>
      <c r="X419" s="887" t="s">
        <v>352</v>
      </c>
    </row>
    <row r="420" spans="1:24" ht="15" customHeight="1" thickBot="1">
      <c r="A420" s="888" t="s">
        <v>1206</v>
      </c>
      <c r="B420" s="889"/>
      <c r="C420" s="889"/>
      <c r="D420" s="889"/>
      <c r="E420" s="889"/>
      <c r="F420" s="889"/>
      <c r="G420" s="890"/>
      <c r="H420" s="999" t="s">
        <v>3</v>
      </c>
      <c r="I420" s="1000"/>
      <c r="J420" s="891"/>
      <c r="K420" s="892"/>
      <c r="L420" s="893">
        <v>-4</v>
      </c>
      <c r="M420" s="894">
        <v>-3.3</v>
      </c>
      <c r="N420" s="894">
        <v>-0.1</v>
      </c>
      <c r="O420" s="894">
        <v>2.8</v>
      </c>
      <c r="P420" s="894">
        <v>8</v>
      </c>
      <c r="Q420" s="894">
        <v>10.8</v>
      </c>
      <c r="R420" s="894">
        <v>13.3</v>
      </c>
      <c r="S420" s="894">
        <v>13.1</v>
      </c>
      <c r="T420" s="894">
        <v>9</v>
      </c>
      <c r="U420" s="894">
        <v>5.3</v>
      </c>
      <c r="V420" s="894">
        <v>-0.3</v>
      </c>
      <c r="W420" s="895">
        <v>-2.8</v>
      </c>
      <c r="X420" s="896">
        <v>4.3166666666666673</v>
      </c>
    </row>
    <row r="421" spans="1:24" ht="15" customHeight="1">
      <c r="A421" s="897"/>
      <c r="B421" s="898"/>
      <c r="C421" s="898"/>
      <c r="D421" s="898"/>
      <c r="E421" s="898"/>
      <c r="F421" s="898"/>
      <c r="G421" s="899"/>
      <c r="H421" s="1001" t="s">
        <v>1207</v>
      </c>
      <c r="I421" s="1002"/>
      <c r="J421" s="1003" t="s">
        <v>1208</v>
      </c>
      <c r="K421" s="1004"/>
      <c r="L421" s="900">
        <v>171</v>
      </c>
      <c r="M421" s="901">
        <v>247</v>
      </c>
      <c r="N421" s="901">
        <v>429</v>
      </c>
      <c r="O421" s="901">
        <v>505</v>
      </c>
      <c r="P421" s="901">
        <v>597</v>
      </c>
      <c r="Q421" s="901">
        <v>609</v>
      </c>
      <c r="R421" s="901">
        <v>632</v>
      </c>
      <c r="S421" s="901">
        <v>552</v>
      </c>
      <c r="T421" s="901">
        <v>420</v>
      </c>
      <c r="U421" s="901">
        <v>295</v>
      </c>
      <c r="V421" s="901">
        <v>174</v>
      </c>
      <c r="W421" s="902">
        <v>139</v>
      </c>
      <c r="X421" s="903">
        <v>4770</v>
      </c>
    </row>
    <row r="422" spans="1:24" ht="15" customHeight="1">
      <c r="A422" s="904"/>
      <c r="B422" s="882"/>
      <c r="C422" s="882"/>
      <c r="D422" s="882"/>
      <c r="E422" s="882"/>
      <c r="F422" s="882"/>
      <c r="G422" s="905"/>
      <c r="H422" s="1005"/>
      <c r="I422" s="1006"/>
      <c r="J422" s="1007" t="s">
        <v>1209</v>
      </c>
      <c r="K422" s="1008"/>
      <c r="L422" s="900">
        <v>137</v>
      </c>
      <c r="M422" s="906">
        <v>208</v>
      </c>
      <c r="N422" s="906">
        <v>332</v>
      </c>
      <c r="O422" s="906">
        <v>301</v>
      </c>
      <c r="P422" s="906">
        <v>297</v>
      </c>
      <c r="Q422" s="906">
        <v>301</v>
      </c>
      <c r="R422" s="906">
        <v>311</v>
      </c>
      <c r="S422" s="906">
        <v>279</v>
      </c>
      <c r="T422" s="906">
        <v>205</v>
      </c>
      <c r="U422" s="906">
        <v>142</v>
      </c>
      <c r="V422" s="906">
        <v>91</v>
      </c>
      <c r="W422" s="907">
        <v>99</v>
      </c>
      <c r="X422" s="903">
        <v>2701</v>
      </c>
    </row>
    <row r="423" spans="1:24" ht="15" customHeight="1">
      <c r="A423" s="904" t="s">
        <v>1210</v>
      </c>
      <c r="B423" s="882"/>
      <c r="C423" s="882"/>
      <c r="D423" s="882"/>
      <c r="E423" s="882"/>
      <c r="F423" s="882"/>
      <c r="G423" s="905"/>
      <c r="H423" s="1005"/>
      <c r="I423" s="1006"/>
      <c r="J423" s="1007" t="s">
        <v>1211</v>
      </c>
      <c r="K423" s="1008"/>
      <c r="L423" s="900">
        <v>354</v>
      </c>
      <c r="M423" s="906">
        <v>421</v>
      </c>
      <c r="N423" s="906">
        <v>541</v>
      </c>
      <c r="O423" s="906">
        <v>394</v>
      </c>
      <c r="P423" s="906">
        <v>308</v>
      </c>
      <c r="Q423" s="906">
        <v>270</v>
      </c>
      <c r="R423" s="906">
        <v>303</v>
      </c>
      <c r="S423" s="906">
        <v>343</v>
      </c>
      <c r="T423" s="906">
        <v>363</v>
      </c>
      <c r="U423" s="906">
        <v>359</v>
      </c>
      <c r="V423" s="906">
        <v>288</v>
      </c>
      <c r="W423" s="907">
        <v>297</v>
      </c>
      <c r="X423" s="903">
        <v>4239</v>
      </c>
    </row>
    <row r="424" spans="1:24" ht="15" customHeight="1">
      <c r="A424" s="904"/>
      <c r="B424" s="882"/>
      <c r="C424" s="882"/>
      <c r="D424" s="882"/>
      <c r="E424" s="882"/>
      <c r="F424" s="882"/>
      <c r="G424" s="905"/>
      <c r="H424" s="1005"/>
      <c r="I424" s="1006"/>
      <c r="J424" s="1007" t="s">
        <v>592</v>
      </c>
      <c r="K424" s="1008"/>
      <c r="L424" s="908">
        <v>169</v>
      </c>
      <c r="M424" s="906">
        <v>225</v>
      </c>
      <c r="N424" s="906">
        <v>319</v>
      </c>
      <c r="O424" s="906">
        <v>249</v>
      </c>
      <c r="P424" s="906">
        <v>212</v>
      </c>
      <c r="Q424" s="906">
        <v>205</v>
      </c>
      <c r="R424" s="906">
        <v>214</v>
      </c>
      <c r="S424" s="906">
        <v>196</v>
      </c>
      <c r="T424" s="906">
        <v>168</v>
      </c>
      <c r="U424" s="906">
        <v>137</v>
      </c>
      <c r="V424" s="906">
        <v>114</v>
      </c>
      <c r="W424" s="907">
        <v>129</v>
      </c>
      <c r="X424" s="903">
        <v>2335</v>
      </c>
    </row>
    <row r="425" spans="1:24" ht="15" customHeight="1" thickBot="1">
      <c r="A425" s="909"/>
      <c r="B425" s="910"/>
      <c r="C425" s="910"/>
      <c r="D425" s="910"/>
      <c r="E425" s="910"/>
      <c r="F425" s="910"/>
      <c r="G425" s="911"/>
      <c r="H425" s="1009"/>
      <c r="I425" s="1010"/>
      <c r="J425" s="1011" t="s">
        <v>1212</v>
      </c>
      <c r="K425" s="1012"/>
      <c r="L425" s="912">
        <v>112</v>
      </c>
      <c r="M425" s="913">
        <v>157</v>
      </c>
      <c r="N425" s="913">
        <v>212</v>
      </c>
      <c r="O425" s="913">
        <v>161</v>
      </c>
      <c r="P425" s="913">
        <v>131</v>
      </c>
      <c r="Q425" s="913">
        <v>127</v>
      </c>
      <c r="R425" s="913">
        <v>126</v>
      </c>
      <c r="S425" s="913">
        <v>110</v>
      </c>
      <c r="T425" s="913">
        <v>86</v>
      </c>
      <c r="U425" s="913">
        <v>67</v>
      </c>
      <c r="V425" s="913">
        <v>65</v>
      </c>
      <c r="W425" s="914">
        <v>80</v>
      </c>
      <c r="X425" s="915">
        <v>1434</v>
      </c>
    </row>
    <row r="426" spans="1:24" ht="15" customHeight="1" thickBot="1">
      <c r="A426" s="888" t="s">
        <v>1213</v>
      </c>
      <c r="B426" s="889"/>
      <c r="C426" s="889"/>
      <c r="D426" s="889"/>
      <c r="E426" s="889"/>
      <c r="F426" s="889"/>
      <c r="G426" s="890"/>
      <c r="H426" s="999" t="s">
        <v>1214</v>
      </c>
      <c r="I426" s="1000"/>
      <c r="J426" s="999"/>
      <c r="K426" s="1013"/>
      <c r="L426" s="916">
        <v>36</v>
      </c>
      <c r="M426" s="917">
        <v>45</v>
      </c>
      <c r="N426" s="917">
        <v>36</v>
      </c>
      <c r="O426" s="917">
        <v>52</v>
      </c>
      <c r="P426" s="917">
        <v>64</v>
      </c>
      <c r="Q426" s="917">
        <v>70</v>
      </c>
      <c r="R426" s="917">
        <v>54</v>
      </c>
      <c r="S426" s="917">
        <v>58</v>
      </c>
      <c r="T426" s="917">
        <v>59</v>
      </c>
      <c r="U426" s="917">
        <v>68</v>
      </c>
      <c r="V426" s="917">
        <v>58</v>
      </c>
      <c r="W426" s="918">
        <v>43</v>
      </c>
      <c r="X426" s="919">
        <v>643</v>
      </c>
    </row>
    <row r="427" spans="1:24" ht="15" customHeight="1">
      <c r="A427" s="1014" t="s">
        <v>1215</v>
      </c>
      <c r="B427" s="1015"/>
      <c r="C427" s="1015"/>
      <c r="D427" s="1015"/>
      <c r="E427" s="1015"/>
      <c r="F427" s="1015"/>
      <c r="G427" s="1016"/>
      <c r="H427" s="886" t="s">
        <v>1216</v>
      </c>
      <c r="I427" s="1017"/>
      <c r="J427" s="886"/>
      <c r="K427" s="1018"/>
      <c r="L427" s="931">
        <v>2.1800000000000002</v>
      </c>
      <c r="M427" s="932">
        <v>2.2999999999999998</v>
      </c>
      <c r="N427" s="932">
        <v>2.77</v>
      </c>
      <c r="O427" s="932">
        <v>3.35</v>
      </c>
      <c r="P427" s="932">
        <v>4.96</v>
      </c>
      <c r="Q427" s="932">
        <v>6.18</v>
      </c>
      <c r="R427" s="932">
        <v>7.04</v>
      </c>
      <c r="S427" s="932">
        <v>7.13</v>
      </c>
      <c r="T427" s="932">
        <v>5.82</v>
      </c>
      <c r="U427" s="932">
        <v>4.4800000000000004</v>
      </c>
      <c r="V427" s="932">
        <v>3.09</v>
      </c>
      <c r="W427" s="933">
        <v>2.4900000000000002</v>
      </c>
      <c r="X427" s="934">
        <v>4.315833333333333</v>
      </c>
    </row>
    <row r="428" spans="1:24" ht="15" customHeight="1" thickBot="1">
      <c r="A428" s="924" t="s">
        <v>1217</v>
      </c>
      <c r="B428" s="925"/>
      <c r="C428" s="925"/>
      <c r="D428" s="925"/>
      <c r="E428" s="925"/>
      <c r="F428" s="925"/>
      <c r="G428" s="926"/>
      <c r="H428" s="1019" t="s">
        <v>1218</v>
      </c>
      <c r="I428" s="1024"/>
      <c r="J428" s="1023"/>
      <c r="K428" s="1025"/>
      <c r="L428" s="927">
        <v>2.34</v>
      </c>
      <c r="M428" s="928">
        <v>2.46</v>
      </c>
      <c r="N428" s="928">
        <v>2.93</v>
      </c>
      <c r="O428" s="928">
        <v>3.51</v>
      </c>
      <c r="P428" s="928">
        <v>5.09</v>
      </c>
      <c r="Q428" s="928">
        <v>6.28</v>
      </c>
      <c r="R428" s="928">
        <v>7.09</v>
      </c>
      <c r="S428" s="928">
        <v>7.18</v>
      </c>
      <c r="T428" s="928">
        <v>5.95</v>
      </c>
      <c r="U428" s="928">
        <v>4.6500000000000004</v>
      </c>
      <c r="V428" s="928">
        <v>3.27</v>
      </c>
      <c r="W428" s="929">
        <v>2.66</v>
      </c>
      <c r="X428" s="930">
        <v>4.49</v>
      </c>
    </row>
    <row r="429" spans="1:24" ht="15" customHeight="1" thickBot="1">
      <c r="A429" s="910"/>
      <c r="B429" s="1028"/>
      <c r="C429" s="1028"/>
      <c r="D429" s="1028"/>
      <c r="E429" s="1028"/>
      <c r="F429" s="1028"/>
      <c r="G429" s="1028"/>
      <c r="H429" s="1032"/>
      <c r="I429" s="1032"/>
      <c r="J429" s="1032"/>
      <c r="K429" s="1032"/>
      <c r="L429" s="1037"/>
      <c r="M429" s="1038"/>
      <c r="N429" s="1038"/>
      <c r="O429" s="1038"/>
      <c r="P429" s="1038"/>
      <c r="Q429" s="1038"/>
      <c r="R429" s="1038"/>
      <c r="S429" s="1038"/>
      <c r="T429" s="1038"/>
      <c r="U429" s="1038"/>
      <c r="V429" s="1038"/>
      <c r="W429" s="1039"/>
      <c r="X429" s="1040"/>
    </row>
    <row r="430" spans="1:24" ht="15" customHeight="1" thickBot="1">
      <c r="A430" s="1031" t="s">
        <v>1256</v>
      </c>
      <c r="B430" s="1031"/>
      <c r="C430" s="1031"/>
      <c r="D430" s="1031"/>
      <c r="E430" s="1031"/>
      <c r="F430" s="1031"/>
      <c r="G430" s="1031"/>
      <c r="H430" s="1031"/>
      <c r="I430" s="1031"/>
      <c r="J430" s="1031"/>
      <c r="K430" s="1031"/>
      <c r="L430" s="884" t="s">
        <v>37</v>
      </c>
      <c r="M430" s="885" t="s">
        <v>38</v>
      </c>
      <c r="N430" s="885" t="s">
        <v>858</v>
      </c>
      <c r="O430" s="885" t="s">
        <v>39</v>
      </c>
      <c r="P430" s="885" t="s">
        <v>40</v>
      </c>
      <c r="Q430" s="885" t="s">
        <v>41</v>
      </c>
      <c r="R430" s="885" t="s">
        <v>42</v>
      </c>
      <c r="S430" s="885" t="s">
        <v>43</v>
      </c>
      <c r="T430" s="885" t="s">
        <v>44</v>
      </c>
      <c r="U430" s="885" t="s">
        <v>45</v>
      </c>
      <c r="V430" s="885" t="s">
        <v>46</v>
      </c>
      <c r="W430" s="886" t="s">
        <v>47</v>
      </c>
      <c r="X430" s="887" t="s">
        <v>352</v>
      </c>
    </row>
    <row r="431" spans="1:24" ht="15" customHeight="1" thickBot="1">
      <c r="A431" s="888" t="s">
        <v>1206</v>
      </c>
      <c r="B431" s="889"/>
      <c r="C431" s="889"/>
      <c r="D431" s="889"/>
      <c r="E431" s="889"/>
      <c r="F431" s="889"/>
      <c r="G431" s="890"/>
      <c r="H431" s="999" t="s">
        <v>3</v>
      </c>
      <c r="I431" s="1000"/>
      <c r="J431" s="891"/>
      <c r="K431" s="892"/>
      <c r="L431" s="893">
        <v>0.2</v>
      </c>
      <c r="M431" s="894">
        <v>1.3</v>
      </c>
      <c r="N431" s="894">
        <v>5.4</v>
      </c>
      <c r="O431" s="894">
        <v>8.5</v>
      </c>
      <c r="P431" s="894">
        <v>13.6</v>
      </c>
      <c r="Q431" s="894">
        <v>16.5</v>
      </c>
      <c r="R431" s="894">
        <v>18.7</v>
      </c>
      <c r="S431" s="894">
        <v>18.5</v>
      </c>
      <c r="T431" s="894">
        <v>14</v>
      </c>
      <c r="U431" s="894">
        <v>9.6999999999999993</v>
      </c>
      <c r="V431" s="894">
        <v>4.0999999999999996</v>
      </c>
      <c r="W431" s="895">
        <v>1.7</v>
      </c>
      <c r="X431" s="896">
        <v>9.35</v>
      </c>
    </row>
    <row r="432" spans="1:24" ht="15" customHeight="1">
      <c r="A432" s="897"/>
      <c r="B432" s="898"/>
      <c r="C432" s="898"/>
      <c r="D432" s="898"/>
      <c r="E432" s="898"/>
      <c r="F432" s="898"/>
      <c r="G432" s="899"/>
      <c r="H432" s="1001" t="s">
        <v>1207</v>
      </c>
      <c r="I432" s="1002"/>
      <c r="J432" s="1003" t="s">
        <v>1208</v>
      </c>
      <c r="K432" s="1004"/>
      <c r="L432" s="900">
        <v>102</v>
      </c>
      <c r="M432" s="901">
        <v>167</v>
      </c>
      <c r="N432" s="901">
        <v>313</v>
      </c>
      <c r="O432" s="901">
        <v>425</v>
      </c>
      <c r="P432" s="901">
        <v>546</v>
      </c>
      <c r="Q432" s="901">
        <v>583</v>
      </c>
      <c r="R432" s="901">
        <v>603</v>
      </c>
      <c r="S432" s="901">
        <v>525</v>
      </c>
      <c r="T432" s="901">
        <v>355</v>
      </c>
      <c r="U432" s="901">
        <v>209</v>
      </c>
      <c r="V432" s="901">
        <v>106</v>
      </c>
      <c r="W432" s="902">
        <v>80</v>
      </c>
      <c r="X432" s="903">
        <v>4015</v>
      </c>
    </row>
    <row r="433" spans="1:24" ht="15" customHeight="1">
      <c r="A433" s="904"/>
      <c r="B433" s="882"/>
      <c r="C433" s="882"/>
      <c r="D433" s="882"/>
      <c r="E433" s="882"/>
      <c r="F433" s="882"/>
      <c r="G433" s="905"/>
      <c r="H433" s="1005"/>
      <c r="I433" s="1006"/>
      <c r="J433" s="1007" t="s">
        <v>1209</v>
      </c>
      <c r="K433" s="1008"/>
      <c r="L433" s="900">
        <v>67</v>
      </c>
      <c r="M433" s="906">
        <v>109</v>
      </c>
      <c r="N433" s="906">
        <v>190</v>
      </c>
      <c r="O433" s="906">
        <v>244</v>
      </c>
      <c r="P433" s="906">
        <v>303</v>
      </c>
      <c r="Q433" s="906">
        <v>321</v>
      </c>
      <c r="R433" s="906">
        <v>335</v>
      </c>
      <c r="S433" s="906">
        <v>297</v>
      </c>
      <c r="T433" s="906">
        <v>194</v>
      </c>
      <c r="U433" s="906">
        <v>107</v>
      </c>
      <c r="V433" s="906">
        <v>60</v>
      </c>
      <c r="W433" s="907">
        <v>48</v>
      </c>
      <c r="X433" s="903">
        <v>2275</v>
      </c>
    </row>
    <row r="434" spans="1:24" ht="15" customHeight="1">
      <c r="A434" s="904" t="s">
        <v>1210</v>
      </c>
      <c r="B434" s="882"/>
      <c r="C434" s="882"/>
      <c r="D434" s="882"/>
      <c r="E434" s="882"/>
      <c r="F434" s="882"/>
      <c r="G434" s="905"/>
      <c r="H434" s="1005"/>
      <c r="I434" s="1006"/>
      <c r="J434" s="1007" t="s">
        <v>1211</v>
      </c>
      <c r="K434" s="1008"/>
      <c r="L434" s="900">
        <v>163</v>
      </c>
      <c r="M434" s="906">
        <v>235</v>
      </c>
      <c r="N434" s="906">
        <v>316</v>
      </c>
      <c r="O434" s="906">
        <v>298</v>
      </c>
      <c r="P434" s="906">
        <v>295</v>
      </c>
      <c r="Q434" s="906">
        <v>277</v>
      </c>
      <c r="R434" s="906">
        <v>303</v>
      </c>
      <c r="S434" s="906">
        <v>337</v>
      </c>
      <c r="T434" s="906">
        <v>311</v>
      </c>
      <c r="U434" s="906">
        <v>244</v>
      </c>
      <c r="V434" s="906">
        <v>148</v>
      </c>
      <c r="W434" s="907">
        <v>123</v>
      </c>
      <c r="X434" s="903">
        <v>3050</v>
      </c>
    </row>
    <row r="435" spans="1:24" ht="15" customHeight="1">
      <c r="A435" s="904"/>
      <c r="B435" s="882"/>
      <c r="C435" s="882"/>
      <c r="D435" s="882"/>
      <c r="E435" s="882"/>
      <c r="F435" s="882"/>
      <c r="G435" s="905"/>
      <c r="H435" s="1005"/>
      <c r="I435" s="1006"/>
      <c r="J435" s="1007" t="s">
        <v>592</v>
      </c>
      <c r="K435" s="1008"/>
      <c r="L435" s="908">
        <v>78</v>
      </c>
      <c r="M435" s="906">
        <v>123</v>
      </c>
      <c r="N435" s="906">
        <v>196</v>
      </c>
      <c r="O435" s="906">
        <v>236</v>
      </c>
      <c r="P435" s="906">
        <v>297</v>
      </c>
      <c r="Q435" s="906">
        <v>311</v>
      </c>
      <c r="R435" s="906">
        <v>332</v>
      </c>
      <c r="S435" s="906">
        <v>297</v>
      </c>
      <c r="T435" s="906">
        <v>218</v>
      </c>
      <c r="U435" s="906">
        <v>142</v>
      </c>
      <c r="V435" s="906">
        <v>73</v>
      </c>
      <c r="W435" s="907">
        <v>56</v>
      </c>
      <c r="X435" s="903">
        <v>2359</v>
      </c>
    </row>
    <row r="436" spans="1:24" ht="15" customHeight="1" thickBot="1">
      <c r="A436" s="909"/>
      <c r="B436" s="910"/>
      <c r="C436" s="910"/>
      <c r="D436" s="910"/>
      <c r="E436" s="910"/>
      <c r="F436" s="910"/>
      <c r="G436" s="911"/>
      <c r="H436" s="1009"/>
      <c r="I436" s="1010"/>
      <c r="J436" s="1011" t="s">
        <v>1212</v>
      </c>
      <c r="K436" s="1012"/>
      <c r="L436" s="912">
        <v>43</v>
      </c>
      <c r="M436" s="913">
        <v>65</v>
      </c>
      <c r="N436" s="913">
        <v>96</v>
      </c>
      <c r="O436" s="913">
        <v>119</v>
      </c>
      <c r="P436" s="913">
        <v>163</v>
      </c>
      <c r="Q436" s="913">
        <v>184</v>
      </c>
      <c r="R436" s="913">
        <v>182</v>
      </c>
      <c r="S436" s="913">
        <v>142</v>
      </c>
      <c r="T436" s="913">
        <v>98</v>
      </c>
      <c r="U436" s="913">
        <v>67</v>
      </c>
      <c r="V436" s="913">
        <v>39</v>
      </c>
      <c r="W436" s="914">
        <v>32</v>
      </c>
      <c r="X436" s="915">
        <v>1232</v>
      </c>
    </row>
    <row r="437" spans="1:24" ht="15" customHeight="1" thickBot="1">
      <c r="A437" s="888" t="s">
        <v>1213</v>
      </c>
      <c r="B437" s="889"/>
      <c r="C437" s="889"/>
      <c r="D437" s="889"/>
      <c r="E437" s="889"/>
      <c r="F437" s="889"/>
      <c r="G437" s="890"/>
      <c r="H437" s="999" t="s">
        <v>1214</v>
      </c>
      <c r="I437" s="1000"/>
      <c r="J437" s="999"/>
      <c r="K437" s="1013"/>
      <c r="L437" s="916">
        <v>57</v>
      </c>
      <c r="M437" s="917">
        <v>62</v>
      </c>
      <c r="N437" s="917">
        <v>65</v>
      </c>
      <c r="O437" s="917">
        <v>71</v>
      </c>
      <c r="P437" s="917">
        <v>99</v>
      </c>
      <c r="Q437" s="917">
        <v>106</v>
      </c>
      <c r="R437" s="917">
        <v>102</v>
      </c>
      <c r="S437" s="917">
        <v>91</v>
      </c>
      <c r="T437" s="917">
        <v>88</v>
      </c>
      <c r="U437" s="917">
        <v>77</v>
      </c>
      <c r="V437" s="917">
        <v>81</v>
      </c>
      <c r="W437" s="918">
        <v>72</v>
      </c>
      <c r="X437" s="919">
        <v>971</v>
      </c>
    </row>
    <row r="438" spans="1:24" ht="15" customHeight="1">
      <c r="A438" s="1014" t="s">
        <v>1215</v>
      </c>
      <c r="B438" s="1015"/>
      <c r="C438" s="1015"/>
      <c r="D438" s="1015"/>
      <c r="E438" s="1015"/>
      <c r="F438" s="1015"/>
      <c r="G438" s="1016"/>
      <c r="H438" s="886" t="s">
        <v>1216</v>
      </c>
      <c r="I438" s="1017"/>
      <c r="J438" s="886"/>
      <c r="K438" s="1018"/>
      <c r="L438" s="931">
        <v>3.5</v>
      </c>
      <c r="M438" s="932">
        <v>3.61</v>
      </c>
      <c r="N438" s="932">
        <v>4.32</v>
      </c>
      <c r="O438" s="932">
        <v>5.09</v>
      </c>
      <c r="P438" s="932">
        <v>7.22</v>
      </c>
      <c r="Q438" s="932">
        <v>8.66</v>
      </c>
      <c r="R438" s="932">
        <v>9.84</v>
      </c>
      <c r="S438" s="932">
        <v>10.02</v>
      </c>
      <c r="T438" s="932">
        <v>8.24</v>
      </c>
      <c r="U438" s="932">
        <v>6.68</v>
      </c>
      <c r="V438" s="932">
        <v>4.71</v>
      </c>
      <c r="W438" s="933">
        <v>3.92</v>
      </c>
      <c r="X438" s="934">
        <v>6.3174999999999999</v>
      </c>
    </row>
    <row r="439" spans="1:24" ht="15" customHeight="1" thickBot="1">
      <c r="A439" s="924" t="s">
        <v>1217</v>
      </c>
      <c r="B439" s="925"/>
      <c r="C439" s="925"/>
      <c r="D439" s="925"/>
      <c r="E439" s="925"/>
      <c r="F439" s="925"/>
      <c r="G439" s="926"/>
      <c r="H439" s="1019" t="s">
        <v>1218</v>
      </c>
      <c r="I439" s="1024"/>
      <c r="J439" s="1023"/>
      <c r="K439" s="1025"/>
      <c r="L439" s="927">
        <v>4.2867061759087637</v>
      </c>
      <c r="M439" s="928">
        <v>4.403418356640449</v>
      </c>
      <c r="N439" s="928">
        <v>5.1896859044382122</v>
      </c>
      <c r="O439" s="928">
        <v>6.0446023377071594</v>
      </c>
      <c r="P439" s="928">
        <v>8.4108550665703135</v>
      </c>
      <c r="Q439" s="928">
        <v>9.9788013391035424</v>
      </c>
      <c r="R439" s="928">
        <v>11.245151678450769</v>
      </c>
      <c r="S439" s="928">
        <v>11.457486405870908</v>
      </c>
      <c r="T439" s="928">
        <v>9.5798976901316149</v>
      </c>
      <c r="U439" s="928">
        <v>7.8916288233753136</v>
      </c>
      <c r="V439" s="928">
        <v>5.6833983567004038</v>
      </c>
      <c r="W439" s="929">
        <v>4.7737016865212194</v>
      </c>
      <c r="X439" s="930">
        <v>7.4742437251458478</v>
      </c>
    </row>
    <row r="440" spans="1:24" ht="15" customHeight="1" thickBot="1">
      <c r="A440" s="910"/>
      <c r="B440" s="1028"/>
      <c r="C440" s="1028"/>
      <c r="D440" s="1028"/>
      <c r="E440" s="1028"/>
      <c r="F440" s="1028"/>
      <c r="G440" s="1028"/>
      <c r="H440" s="1032"/>
      <c r="I440" s="1032"/>
      <c r="J440" s="1032"/>
      <c r="K440" s="1032"/>
      <c r="L440" s="1037"/>
      <c r="M440" s="1038"/>
      <c r="N440" s="1038"/>
      <c r="O440" s="1038"/>
      <c r="P440" s="1038"/>
      <c r="Q440" s="1038"/>
      <c r="R440" s="1038"/>
      <c r="S440" s="1038"/>
      <c r="T440" s="1038"/>
      <c r="U440" s="1038"/>
      <c r="V440" s="1038"/>
      <c r="W440" s="1039"/>
      <c r="X440" s="1040"/>
    </row>
    <row r="441" spans="1:24" ht="15" customHeight="1" thickBot="1">
      <c r="A441" s="1031" t="s">
        <v>1257</v>
      </c>
      <c r="B441" s="1031"/>
      <c r="C441" s="1031"/>
      <c r="D441" s="1031"/>
      <c r="E441" s="1031"/>
      <c r="F441" s="1031"/>
      <c r="G441" s="1031"/>
      <c r="H441" s="1031"/>
      <c r="I441" s="1031"/>
      <c r="J441" s="1031"/>
      <c r="K441" s="1031"/>
      <c r="L441" s="884" t="s">
        <v>37</v>
      </c>
      <c r="M441" s="885" t="s">
        <v>38</v>
      </c>
      <c r="N441" s="885" t="s">
        <v>858</v>
      </c>
      <c r="O441" s="885" t="s">
        <v>39</v>
      </c>
      <c r="P441" s="885" t="s">
        <v>40</v>
      </c>
      <c r="Q441" s="885" t="s">
        <v>41</v>
      </c>
      <c r="R441" s="885" t="s">
        <v>42</v>
      </c>
      <c r="S441" s="885" t="s">
        <v>43</v>
      </c>
      <c r="T441" s="885" t="s">
        <v>44</v>
      </c>
      <c r="U441" s="885" t="s">
        <v>45</v>
      </c>
      <c r="V441" s="885" t="s">
        <v>46</v>
      </c>
      <c r="W441" s="886" t="s">
        <v>47</v>
      </c>
      <c r="X441" s="887" t="s">
        <v>352</v>
      </c>
    </row>
    <row r="442" spans="1:24" ht="15" customHeight="1" thickBot="1">
      <c r="A442" s="888" t="s">
        <v>1206</v>
      </c>
      <c r="B442" s="889"/>
      <c r="C442" s="889"/>
      <c r="D442" s="889"/>
      <c r="E442" s="889"/>
      <c r="F442" s="889"/>
      <c r="G442" s="890"/>
      <c r="H442" s="999" t="s">
        <v>3</v>
      </c>
      <c r="I442" s="1000"/>
      <c r="J442" s="891"/>
      <c r="K442" s="892"/>
      <c r="L442" s="893">
        <v>0.4</v>
      </c>
      <c r="M442" s="894">
        <v>1.6</v>
      </c>
      <c r="N442" s="894">
        <v>5.5</v>
      </c>
      <c r="O442" s="894">
        <v>8.4</v>
      </c>
      <c r="P442" s="894">
        <v>13.4</v>
      </c>
      <c r="Q442" s="894">
        <v>16.2</v>
      </c>
      <c r="R442" s="894">
        <v>18.399999999999999</v>
      </c>
      <c r="S442" s="894">
        <v>18.399999999999999</v>
      </c>
      <c r="T442" s="894">
        <v>14</v>
      </c>
      <c r="U442" s="894">
        <v>9.9</v>
      </c>
      <c r="V442" s="894">
        <v>4.2</v>
      </c>
      <c r="W442" s="895">
        <v>1.8</v>
      </c>
      <c r="X442" s="896">
        <v>9.35</v>
      </c>
    </row>
    <row r="443" spans="1:24" ht="15" customHeight="1">
      <c r="A443" s="897"/>
      <c r="B443" s="898"/>
      <c r="C443" s="898"/>
      <c r="D443" s="898"/>
      <c r="E443" s="898"/>
      <c r="F443" s="898"/>
      <c r="G443" s="899"/>
      <c r="H443" s="1001" t="s">
        <v>1207</v>
      </c>
      <c r="I443" s="1002"/>
      <c r="J443" s="1003" t="s">
        <v>1208</v>
      </c>
      <c r="K443" s="1004"/>
      <c r="L443" s="900">
        <v>104</v>
      </c>
      <c r="M443" s="901">
        <v>165</v>
      </c>
      <c r="N443" s="901">
        <v>311</v>
      </c>
      <c r="O443" s="901">
        <v>417</v>
      </c>
      <c r="P443" s="901">
        <v>536</v>
      </c>
      <c r="Q443" s="901">
        <v>570</v>
      </c>
      <c r="R443" s="901">
        <v>595</v>
      </c>
      <c r="S443" s="901">
        <v>522</v>
      </c>
      <c r="T443" s="901">
        <v>355</v>
      </c>
      <c r="U443" s="901">
        <v>214</v>
      </c>
      <c r="V443" s="901">
        <v>109</v>
      </c>
      <c r="W443" s="902">
        <v>80</v>
      </c>
      <c r="X443" s="903">
        <v>3978</v>
      </c>
    </row>
    <row r="444" spans="1:24" ht="15" customHeight="1">
      <c r="A444" s="904"/>
      <c r="B444" s="882"/>
      <c r="C444" s="882"/>
      <c r="D444" s="882"/>
      <c r="E444" s="882"/>
      <c r="F444" s="882"/>
      <c r="G444" s="905"/>
      <c r="H444" s="1005"/>
      <c r="I444" s="1006"/>
      <c r="J444" s="1007" t="s">
        <v>1209</v>
      </c>
      <c r="K444" s="1008"/>
      <c r="L444" s="900">
        <v>67</v>
      </c>
      <c r="M444" s="906">
        <v>109</v>
      </c>
      <c r="N444" s="906">
        <v>185</v>
      </c>
      <c r="O444" s="906">
        <v>233</v>
      </c>
      <c r="P444" s="906">
        <v>281</v>
      </c>
      <c r="Q444" s="906">
        <v>295</v>
      </c>
      <c r="R444" s="906">
        <v>311</v>
      </c>
      <c r="S444" s="906">
        <v>287</v>
      </c>
      <c r="T444" s="906">
        <v>192</v>
      </c>
      <c r="U444" s="906">
        <v>112</v>
      </c>
      <c r="V444" s="906">
        <v>62</v>
      </c>
      <c r="W444" s="907">
        <v>51</v>
      </c>
      <c r="X444" s="903">
        <v>2185</v>
      </c>
    </row>
    <row r="445" spans="1:24" ht="15" customHeight="1">
      <c r="A445" s="904" t="s">
        <v>1210</v>
      </c>
      <c r="B445" s="882"/>
      <c r="C445" s="882"/>
      <c r="D445" s="882"/>
      <c r="E445" s="882"/>
      <c r="F445" s="882"/>
      <c r="G445" s="905"/>
      <c r="H445" s="1005"/>
      <c r="I445" s="1006"/>
      <c r="J445" s="1007" t="s">
        <v>1211</v>
      </c>
      <c r="K445" s="1008"/>
      <c r="L445" s="900">
        <v>177</v>
      </c>
      <c r="M445" s="906">
        <v>235</v>
      </c>
      <c r="N445" s="906">
        <v>313</v>
      </c>
      <c r="O445" s="906">
        <v>290</v>
      </c>
      <c r="P445" s="906">
        <v>284</v>
      </c>
      <c r="Q445" s="906">
        <v>270</v>
      </c>
      <c r="R445" s="906">
        <v>297</v>
      </c>
      <c r="S445" s="906">
        <v>332</v>
      </c>
      <c r="T445" s="906">
        <v>311</v>
      </c>
      <c r="U445" s="906">
        <v>254</v>
      </c>
      <c r="V445" s="906">
        <v>158</v>
      </c>
      <c r="W445" s="907">
        <v>137</v>
      </c>
      <c r="X445" s="903">
        <v>3058</v>
      </c>
    </row>
    <row r="446" spans="1:24" ht="15" customHeight="1">
      <c r="A446" s="904"/>
      <c r="B446" s="882"/>
      <c r="C446" s="882"/>
      <c r="D446" s="882"/>
      <c r="E446" s="882"/>
      <c r="F446" s="882"/>
      <c r="G446" s="905"/>
      <c r="H446" s="1005"/>
      <c r="I446" s="1006"/>
      <c r="J446" s="1007" t="s">
        <v>592</v>
      </c>
      <c r="K446" s="1008"/>
      <c r="L446" s="908">
        <v>80</v>
      </c>
      <c r="M446" s="906">
        <v>123</v>
      </c>
      <c r="N446" s="906">
        <v>198</v>
      </c>
      <c r="O446" s="906">
        <v>231</v>
      </c>
      <c r="P446" s="906">
        <v>287</v>
      </c>
      <c r="Q446" s="906">
        <v>303</v>
      </c>
      <c r="R446" s="906">
        <v>327</v>
      </c>
      <c r="S446" s="906">
        <v>295</v>
      </c>
      <c r="T446" s="906">
        <v>218</v>
      </c>
      <c r="U446" s="906">
        <v>142</v>
      </c>
      <c r="V446" s="906">
        <v>75</v>
      </c>
      <c r="W446" s="907">
        <v>59</v>
      </c>
      <c r="X446" s="903">
        <v>2338</v>
      </c>
    </row>
    <row r="447" spans="1:24" ht="15" customHeight="1" thickBot="1">
      <c r="A447" s="909"/>
      <c r="B447" s="910"/>
      <c r="C447" s="910"/>
      <c r="D447" s="910"/>
      <c r="E447" s="910"/>
      <c r="F447" s="910"/>
      <c r="G447" s="911"/>
      <c r="H447" s="1009"/>
      <c r="I447" s="1010"/>
      <c r="J447" s="1011" t="s">
        <v>1212</v>
      </c>
      <c r="K447" s="1012"/>
      <c r="L447" s="912">
        <v>43</v>
      </c>
      <c r="M447" s="913">
        <v>63</v>
      </c>
      <c r="N447" s="913">
        <v>94</v>
      </c>
      <c r="O447" s="913">
        <v>111</v>
      </c>
      <c r="P447" s="913">
        <v>150</v>
      </c>
      <c r="Q447" s="913">
        <v>166</v>
      </c>
      <c r="R447" s="913">
        <v>166</v>
      </c>
      <c r="S447" s="913">
        <v>134</v>
      </c>
      <c r="T447" s="913">
        <v>91</v>
      </c>
      <c r="U447" s="913">
        <v>62</v>
      </c>
      <c r="V447" s="913">
        <v>39</v>
      </c>
      <c r="W447" s="914">
        <v>32</v>
      </c>
      <c r="X447" s="915">
        <v>1150</v>
      </c>
    </row>
    <row r="448" spans="1:24" ht="15" customHeight="1" thickBot="1">
      <c r="A448" s="888" t="s">
        <v>1213</v>
      </c>
      <c r="B448" s="889"/>
      <c r="C448" s="889"/>
      <c r="D448" s="889"/>
      <c r="E448" s="889"/>
      <c r="F448" s="889"/>
      <c r="G448" s="890"/>
      <c r="H448" s="999" t="s">
        <v>1214</v>
      </c>
      <c r="I448" s="1000"/>
      <c r="J448" s="999"/>
      <c r="K448" s="1013"/>
      <c r="L448" s="916">
        <v>58</v>
      </c>
      <c r="M448" s="917">
        <v>72</v>
      </c>
      <c r="N448" s="917">
        <v>74</v>
      </c>
      <c r="O448" s="917">
        <v>87</v>
      </c>
      <c r="P448" s="917">
        <v>126</v>
      </c>
      <c r="Q448" s="917">
        <v>136</v>
      </c>
      <c r="R448" s="917">
        <v>123</v>
      </c>
      <c r="S448" s="917">
        <v>115</v>
      </c>
      <c r="T448" s="917">
        <v>102</v>
      </c>
      <c r="U448" s="917">
        <v>85</v>
      </c>
      <c r="V448" s="917">
        <v>91</v>
      </c>
      <c r="W448" s="918">
        <v>80</v>
      </c>
      <c r="X448" s="919">
        <v>1149</v>
      </c>
    </row>
    <row r="449" spans="1:24" ht="15" customHeight="1">
      <c r="A449" s="1014" t="s">
        <v>1215</v>
      </c>
      <c r="B449" s="1015"/>
      <c r="C449" s="1015"/>
      <c r="D449" s="1015"/>
      <c r="E449" s="1015"/>
      <c r="F449" s="1015"/>
      <c r="G449" s="1016"/>
      <c r="H449" s="886" t="s">
        <v>1216</v>
      </c>
      <c r="I449" s="1017"/>
      <c r="J449" s="886"/>
      <c r="K449" s="1018"/>
      <c r="L449" s="931">
        <v>3.54</v>
      </c>
      <c r="M449" s="932">
        <v>3.61</v>
      </c>
      <c r="N449" s="932">
        <v>4.26</v>
      </c>
      <c r="O449" s="932">
        <v>4.9800000000000004</v>
      </c>
      <c r="P449" s="932">
        <v>7.11</v>
      </c>
      <c r="Q449" s="932">
        <v>8.5500000000000007</v>
      </c>
      <c r="R449" s="932">
        <v>9.85</v>
      </c>
      <c r="S449" s="932">
        <v>10.130000000000001</v>
      </c>
      <c r="T449" s="932">
        <v>8.3699999999999992</v>
      </c>
      <c r="U449" s="932">
        <v>6.78</v>
      </c>
      <c r="V449" s="932">
        <v>4.74</v>
      </c>
      <c r="W449" s="933">
        <v>3.94</v>
      </c>
      <c r="X449" s="934">
        <v>6.3216666666666654</v>
      </c>
    </row>
    <row r="450" spans="1:24" ht="15" customHeight="1" thickBot="1">
      <c r="A450" s="924" t="s">
        <v>1217</v>
      </c>
      <c r="B450" s="925"/>
      <c r="C450" s="925"/>
      <c r="D450" s="925"/>
      <c r="E450" s="925"/>
      <c r="F450" s="925"/>
      <c r="G450" s="926"/>
      <c r="H450" s="1019" t="s">
        <v>1218</v>
      </c>
      <c r="I450" s="1024"/>
      <c r="J450" s="1023"/>
      <c r="K450" s="1025"/>
      <c r="L450" s="927">
        <v>4.2649124089098942</v>
      </c>
      <c r="M450" s="928">
        <v>4.3300685089587025</v>
      </c>
      <c r="N450" s="928">
        <v>5.0362350220861636</v>
      </c>
      <c r="O450" s="928">
        <v>5.8242695053545894</v>
      </c>
      <c r="P450" s="928">
        <v>8.1598721199494033</v>
      </c>
      <c r="Q450" s="928">
        <v>9.7092196482933488</v>
      </c>
      <c r="R450" s="928">
        <v>11.092509609337279</v>
      </c>
      <c r="S450" s="928">
        <v>11.405937995803518</v>
      </c>
      <c r="T450" s="928">
        <v>9.5786613264492075</v>
      </c>
      <c r="U450" s="928">
        <v>7.8789120287951704</v>
      </c>
      <c r="V450" s="928">
        <v>5.6283407090073103</v>
      </c>
      <c r="W450" s="929">
        <v>4.7215164553137656</v>
      </c>
      <c r="X450" s="930">
        <v>7.3626100685284062</v>
      </c>
    </row>
  </sheetData>
  <pageMargins left="0.78740157480314965" right="0.78740157480314965" top="0.98425196850393704" bottom="0.59055118110236227" header="0.51181102362204722" footer="0.51181102362204722"/>
  <pageSetup paperSize="9" scale="65" fitToHeight="6" orientation="portrait" r:id="rId1"/>
  <headerFooter alignWithMargins="0">
    <oddHeader>&amp;CSIA 2024 Raum-Datenblätter</oddHeader>
    <oddFooter>&amp;CSIA 2024, Copyright © 2021 by SIA Zurich</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blWinterAusl">
    <pageSetUpPr fitToPage="1"/>
  </sheetPr>
  <dimension ref="A1:AI44"/>
  <sheetViews>
    <sheetView showRowColHeaders="0" zoomScaleNormal="100" workbookViewId="0">
      <selection activeCell="A44" sqref="A5:A44"/>
    </sheetView>
  </sheetViews>
  <sheetFormatPr baseColWidth="10" defaultColWidth="11.4609375" defaultRowHeight="12.45"/>
  <cols>
    <col min="1" max="1" width="18" style="210" bestFit="1" customWidth="1"/>
    <col min="2" max="7" width="8.23046875" style="210" customWidth="1"/>
    <col min="8" max="8" width="5.69140625" style="210" customWidth="1"/>
    <col min="9" max="15" width="5.69140625" style="997" customWidth="1"/>
    <col min="16" max="21" width="5.69140625" style="210" customWidth="1"/>
    <col min="22" max="23" width="5.69140625" style="997" customWidth="1"/>
    <col min="24" max="33" width="5.69140625" style="210" customWidth="1"/>
    <col min="34" max="36" width="10.765625" style="210" customWidth="1"/>
    <col min="37" max="16384" width="11.4609375" style="210"/>
  </cols>
  <sheetData>
    <row r="1" spans="1:35" s="211" customFormat="1" ht="13.5" customHeight="1">
      <c r="A1" s="941"/>
      <c r="B1" s="1575"/>
      <c r="C1" s="1575"/>
      <c r="D1" s="1575"/>
      <c r="E1" s="1575"/>
      <c r="F1" s="1587"/>
      <c r="G1" s="1575"/>
      <c r="H1" s="942" t="s">
        <v>1258</v>
      </c>
      <c r="I1" s="943"/>
      <c r="J1" s="943"/>
      <c r="K1" s="943"/>
      <c r="L1" s="943"/>
      <c r="M1" s="943"/>
      <c r="N1" s="943"/>
      <c r="O1" s="944"/>
      <c r="P1" s="943"/>
      <c r="Q1" s="943"/>
      <c r="R1" s="943"/>
      <c r="S1" s="945"/>
      <c r="T1" s="946" t="s">
        <v>1259</v>
      </c>
      <c r="U1" s="947"/>
      <c r="V1" s="947"/>
      <c r="W1" s="948"/>
      <c r="X1" s="947"/>
      <c r="Y1" s="947"/>
      <c r="Z1" s="947"/>
      <c r="AA1" s="949"/>
      <c r="AB1" s="947"/>
      <c r="AC1" s="947"/>
      <c r="AD1" s="947"/>
      <c r="AE1" s="947"/>
      <c r="AF1" s="1959" t="s">
        <v>1260</v>
      </c>
      <c r="AG1" s="1960"/>
      <c r="AH1" s="1960"/>
      <c r="AI1" s="1961"/>
    </row>
    <row r="2" spans="1:35" s="211" customFormat="1" ht="13.5" customHeight="1">
      <c r="A2" s="950"/>
      <c r="B2" s="1576"/>
      <c r="C2" s="1576"/>
      <c r="D2" s="1576"/>
      <c r="E2" s="1576"/>
      <c r="F2" s="1577" t="s">
        <v>1699</v>
      </c>
      <c r="G2" s="1578"/>
      <c r="H2" s="1041" t="s">
        <v>1261</v>
      </c>
      <c r="I2" s="1042"/>
      <c r="J2" s="951" t="s">
        <v>1262</v>
      </c>
      <c r="K2" s="951"/>
      <c r="L2" s="951"/>
      <c r="M2" s="951"/>
      <c r="N2" s="951"/>
      <c r="O2" s="952"/>
      <c r="P2" s="1962" t="s">
        <v>1263</v>
      </c>
      <c r="Q2" s="1963"/>
      <c r="R2" s="1964" t="s">
        <v>1264</v>
      </c>
      <c r="S2" s="1965"/>
      <c r="T2" s="953" t="s">
        <v>1261</v>
      </c>
      <c r="U2" s="952"/>
      <c r="V2" s="954" t="s">
        <v>1262</v>
      </c>
      <c r="W2" s="951"/>
      <c r="X2" s="951"/>
      <c r="Y2" s="951"/>
      <c r="Z2" s="951"/>
      <c r="AA2" s="952"/>
      <c r="AB2" s="1962" t="s">
        <v>1263</v>
      </c>
      <c r="AC2" s="1963"/>
      <c r="AD2" s="1968" t="s">
        <v>1264</v>
      </c>
      <c r="AE2" s="1969"/>
      <c r="AF2" s="1970" t="s">
        <v>1265</v>
      </c>
      <c r="AG2" s="1971"/>
      <c r="AH2" s="955" t="s">
        <v>1266</v>
      </c>
      <c r="AI2" s="956" t="s">
        <v>1267</v>
      </c>
    </row>
    <row r="3" spans="1:35" s="211" customFormat="1" ht="13.5" customHeight="1">
      <c r="A3" s="957"/>
      <c r="B3" s="1579" t="s">
        <v>1700</v>
      </c>
      <c r="C3" s="1579" t="s">
        <v>1701</v>
      </c>
      <c r="D3" s="1580" t="s">
        <v>1702</v>
      </c>
      <c r="E3" s="1578" t="s">
        <v>1703</v>
      </c>
      <c r="F3" s="1578" t="s">
        <v>21</v>
      </c>
      <c r="G3" s="1578" t="s">
        <v>19</v>
      </c>
      <c r="H3" s="1043" t="s">
        <v>1268</v>
      </c>
      <c r="I3" s="1044"/>
      <c r="J3" s="958" t="s">
        <v>149</v>
      </c>
      <c r="K3" s="958"/>
      <c r="L3" s="958"/>
      <c r="M3" s="958"/>
      <c r="N3" s="958"/>
      <c r="O3" s="959"/>
      <c r="P3" s="1972" t="s">
        <v>1269</v>
      </c>
      <c r="Q3" s="1973"/>
      <c r="R3" s="1964"/>
      <c r="S3" s="1965"/>
      <c r="T3" s="960" t="s">
        <v>1268</v>
      </c>
      <c r="U3" s="959"/>
      <c r="V3" s="961" t="s">
        <v>149</v>
      </c>
      <c r="W3" s="958"/>
      <c r="X3" s="958"/>
      <c r="Y3" s="958"/>
      <c r="Z3" s="958"/>
      <c r="AA3" s="959"/>
      <c r="AB3" s="1972" t="s">
        <v>1269</v>
      </c>
      <c r="AC3" s="1973"/>
      <c r="AD3" s="1964"/>
      <c r="AE3" s="1965"/>
      <c r="AF3" s="1974" t="s">
        <v>1270</v>
      </c>
      <c r="AG3" s="1975"/>
      <c r="AH3" s="962" t="s">
        <v>1271</v>
      </c>
      <c r="AI3" s="963" t="s">
        <v>1272</v>
      </c>
    </row>
    <row r="4" spans="1:35" ht="13.5" customHeight="1">
      <c r="A4" s="964" t="s">
        <v>1273</v>
      </c>
      <c r="B4" s="1581"/>
      <c r="C4" s="1581"/>
      <c r="D4" s="1581"/>
      <c r="E4" s="1581"/>
      <c r="F4" s="1581"/>
      <c r="G4" s="1581"/>
      <c r="H4" s="1045" t="s">
        <v>1274</v>
      </c>
      <c r="I4" s="1046"/>
      <c r="J4" s="965" t="s">
        <v>1275</v>
      </c>
      <c r="K4" s="965"/>
      <c r="L4" s="966" t="s">
        <v>1209</v>
      </c>
      <c r="M4" s="966" t="s">
        <v>1211</v>
      </c>
      <c r="N4" s="966" t="s">
        <v>592</v>
      </c>
      <c r="O4" s="967" t="s">
        <v>1212</v>
      </c>
      <c r="P4" s="1957" t="s">
        <v>1276</v>
      </c>
      <c r="Q4" s="1958"/>
      <c r="R4" s="1966"/>
      <c r="S4" s="1967"/>
      <c r="T4" s="968" t="s">
        <v>1274</v>
      </c>
      <c r="U4" s="965"/>
      <c r="V4" s="969" t="s">
        <v>1275</v>
      </c>
      <c r="W4" s="965"/>
      <c r="X4" s="966" t="s">
        <v>1209</v>
      </c>
      <c r="Y4" s="966" t="s">
        <v>1211</v>
      </c>
      <c r="Z4" s="966" t="s">
        <v>592</v>
      </c>
      <c r="AA4" s="967" t="s">
        <v>1212</v>
      </c>
      <c r="AB4" s="1957" t="s">
        <v>1276</v>
      </c>
      <c r="AC4" s="1958"/>
      <c r="AD4" s="1966"/>
      <c r="AE4" s="1967"/>
      <c r="AF4" s="968" t="s">
        <v>1274</v>
      </c>
      <c r="AG4" s="965"/>
      <c r="AH4" s="970" t="s">
        <v>1277</v>
      </c>
      <c r="AI4" s="971" t="s">
        <v>3</v>
      </c>
    </row>
    <row r="5" spans="1:35">
      <c r="A5" s="972" t="s">
        <v>1205</v>
      </c>
      <c r="B5" s="1582" t="s">
        <v>1704</v>
      </c>
      <c r="C5" s="1583">
        <v>1320</v>
      </c>
      <c r="D5" s="1584">
        <f>1013.25*(1-(0.0065*C5)/288.15)^5.255</f>
        <v>864.42769071035002</v>
      </c>
      <c r="E5" s="1584">
        <v>4670</v>
      </c>
      <c r="F5" s="1584">
        <v>-10.199999999999999</v>
      </c>
      <c r="G5" s="1585">
        <v>-15.9</v>
      </c>
      <c r="H5" s="1047">
        <v>-10.199999999999999</v>
      </c>
      <c r="I5" s="1048"/>
      <c r="J5" s="974">
        <v>73</v>
      </c>
      <c r="K5" s="975"/>
      <c r="L5" s="976">
        <v>48</v>
      </c>
      <c r="M5" s="976">
        <v>140</v>
      </c>
      <c r="N5" s="976">
        <v>61</v>
      </c>
      <c r="O5" s="977">
        <v>35</v>
      </c>
      <c r="P5" s="978">
        <v>0.9</v>
      </c>
      <c r="Q5" s="974"/>
      <c r="R5" s="979" t="s">
        <v>1278</v>
      </c>
      <c r="S5" s="980"/>
      <c r="T5" s="981">
        <v>-4.7</v>
      </c>
      <c r="U5" s="982"/>
      <c r="V5" s="974">
        <v>28</v>
      </c>
      <c r="W5" s="975"/>
      <c r="X5" s="976">
        <v>17</v>
      </c>
      <c r="Y5" s="976">
        <v>36</v>
      </c>
      <c r="Z5" s="976">
        <v>20</v>
      </c>
      <c r="AA5" s="977">
        <v>15</v>
      </c>
      <c r="AB5" s="978">
        <v>1.6</v>
      </c>
      <c r="AC5" s="974"/>
      <c r="AD5" s="979" t="s">
        <v>1279</v>
      </c>
      <c r="AE5" s="980"/>
      <c r="AF5" s="983">
        <v>-15.9</v>
      </c>
      <c r="AG5" s="984"/>
      <c r="AH5" s="985">
        <v>0.79</v>
      </c>
      <c r="AI5" s="985">
        <v>-10.33</v>
      </c>
    </row>
    <row r="6" spans="1:35">
      <c r="A6" s="986" t="s">
        <v>1219</v>
      </c>
      <c r="B6" s="1582" t="s">
        <v>1705</v>
      </c>
      <c r="C6" s="1583">
        <v>381</v>
      </c>
      <c r="D6" s="1584">
        <f t="shared" ref="D6:D44" si="0">1013.25*(1-(0.0065*C6)/288.15)^5.255</f>
        <v>968.3165638120455</v>
      </c>
      <c r="E6" s="1584">
        <v>3152</v>
      </c>
      <c r="F6" s="1584">
        <v>-5.5</v>
      </c>
      <c r="G6" s="1585">
        <v>-12.9</v>
      </c>
      <c r="H6" s="1047">
        <v>-5.5</v>
      </c>
      <c r="I6" s="1048"/>
      <c r="J6" s="987">
        <v>73</v>
      </c>
      <c r="K6" s="988"/>
      <c r="L6" s="989">
        <v>56</v>
      </c>
      <c r="M6" s="989">
        <v>136</v>
      </c>
      <c r="N6" s="989">
        <v>45</v>
      </c>
      <c r="O6" s="990">
        <v>27</v>
      </c>
      <c r="P6" s="991" t="s">
        <v>1280</v>
      </c>
      <c r="Q6" s="987"/>
      <c r="R6" s="992" t="s">
        <v>1281</v>
      </c>
      <c r="S6" s="993"/>
      <c r="T6" s="994">
        <v>-0.7</v>
      </c>
      <c r="U6" s="973"/>
      <c r="V6" s="987">
        <v>29</v>
      </c>
      <c r="W6" s="988"/>
      <c r="X6" s="989">
        <v>17</v>
      </c>
      <c r="Y6" s="989">
        <v>35</v>
      </c>
      <c r="Z6" s="989">
        <v>16</v>
      </c>
      <c r="AA6" s="990">
        <v>13</v>
      </c>
      <c r="AB6" s="991">
        <v>1.8</v>
      </c>
      <c r="AC6" s="987"/>
      <c r="AD6" s="992" t="s">
        <v>1282</v>
      </c>
      <c r="AE6" s="993"/>
      <c r="AF6" s="995">
        <v>-12.9</v>
      </c>
      <c r="AG6" s="996"/>
      <c r="AH6" s="985">
        <v>1.36</v>
      </c>
      <c r="AI6" s="985">
        <v>-8.2100000000000009</v>
      </c>
    </row>
    <row r="7" spans="1:35">
      <c r="A7" s="986" t="s">
        <v>1220</v>
      </c>
      <c r="B7" s="1582" t="s">
        <v>1706</v>
      </c>
      <c r="C7" s="1583">
        <v>449</v>
      </c>
      <c r="D7" s="1584">
        <f t="shared" si="0"/>
        <v>960.46939726677113</v>
      </c>
      <c r="E7" s="1586">
        <v>3200</v>
      </c>
      <c r="F7" s="1584">
        <v>-5.6</v>
      </c>
      <c r="G7" s="1585">
        <v>-10.8</v>
      </c>
      <c r="H7" s="1047">
        <v>-5.6</v>
      </c>
      <c r="I7" s="1048"/>
      <c r="J7" s="987">
        <v>56</v>
      </c>
      <c r="K7" s="988"/>
      <c r="L7" s="989">
        <v>40</v>
      </c>
      <c r="M7" s="989">
        <v>89</v>
      </c>
      <c r="N7" s="989">
        <v>38</v>
      </c>
      <c r="O7" s="990">
        <v>29</v>
      </c>
      <c r="P7" s="991">
        <v>2</v>
      </c>
      <c r="Q7" s="987"/>
      <c r="R7" s="992" t="s">
        <v>1283</v>
      </c>
      <c r="S7" s="993"/>
      <c r="T7" s="994">
        <v>-2.2999999999999998</v>
      </c>
      <c r="U7" s="973"/>
      <c r="V7" s="987">
        <v>19</v>
      </c>
      <c r="W7" s="988"/>
      <c r="X7" s="989">
        <v>10</v>
      </c>
      <c r="Y7" s="989">
        <v>14</v>
      </c>
      <c r="Z7" s="989">
        <v>9</v>
      </c>
      <c r="AA7" s="990">
        <v>9</v>
      </c>
      <c r="AB7" s="991">
        <v>2</v>
      </c>
      <c r="AC7" s="987"/>
      <c r="AD7" s="992" t="s">
        <v>1283</v>
      </c>
      <c r="AE7" s="993"/>
      <c r="AF7" s="995">
        <v>-10.8</v>
      </c>
      <c r="AG7" s="996"/>
      <c r="AH7" s="985">
        <v>1.34</v>
      </c>
      <c r="AI7" s="985">
        <v>1.44</v>
      </c>
    </row>
    <row r="8" spans="1:35">
      <c r="A8" s="986" t="s">
        <v>1221</v>
      </c>
      <c r="B8" s="1582" t="s">
        <v>1707</v>
      </c>
      <c r="C8" s="1583">
        <v>316</v>
      </c>
      <c r="D8" s="1584">
        <f t="shared" si="0"/>
        <v>975.86598028387471</v>
      </c>
      <c r="E8" s="1586">
        <v>3032</v>
      </c>
      <c r="F8" s="1584">
        <v>-6.5</v>
      </c>
      <c r="G8" s="1585">
        <v>-12.8</v>
      </c>
      <c r="H8" s="1047">
        <v>-6.5</v>
      </c>
      <c r="I8" s="1048"/>
      <c r="J8" s="987">
        <v>55</v>
      </c>
      <c r="K8" s="988"/>
      <c r="L8" s="989">
        <v>42</v>
      </c>
      <c r="M8" s="989">
        <v>109</v>
      </c>
      <c r="N8" s="989">
        <v>49</v>
      </c>
      <c r="O8" s="990">
        <v>26</v>
      </c>
      <c r="P8" s="991">
        <v>2.1</v>
      </c>
      <c r="Q8" s="987"/>
      <c r="R8" s="992" t="s">
        <v>1284</v>
      </c>
      <c r="S8" s="993"/>
      <c r="T8" s="994">
        <v>-2</v>
      </c>
      <c r="U8" s="973"/>
      <c r="V8" s="987">
        <v>18</v>
      </c>
      <c r="W8" s="988"/>
      <c r="X8" s="989">
        <v>12</v>
      </c>
      <c r="Y8" s="989">
        <v>19</v>
      </c>
      <c r="Z8" s="989">
        <v>13</v>
      </c>
      <c r="AA8" s="990">
        <v>11</v>
      </c>
      <c r="AB8" s="991">
        <v>2.1</v>
      </c>
      <c r="AC8" s="987"/>
      <c r="AD8" s="992" t="s">
        <v>1285</v>
      </c>
      <c r="AE8" s="993"/>
      <c r="AF8" s="995">
        <v>-12.8</v>
      </c>
      <c r="AG8" s="996"/>
      <c r="AH8" s="985">
        <v>1.27</v>
      </c>
      <c r="AI8" s="985">
        <v>-6.57</v>
      </c>
    </row>
    <row r="9" spans="1:35">
      <c r="A9" s="986" t="s">
        <v>1286</v>
      </c>
      <c r="B9" s="1582" t="s">
        <v>1704</v>
      </c>
      <c r="C9" s="1583">
        <v>565</v>
      </c>
      <c r="D9" s="1584">
        <f t="shared" si="0"/>
        <v>947.20193714169761</v>
      </c>
      <c r="E9" s="1586">
        <v>3514</v>
      </c>
      <c r="F9" s="1584">
        <v>-7.4</v>
      </c>
      <c r="G9" s="1585">
        <v>-13.6</v>
      </c>
      <c r="H9" s="1047">
        <v>-7.4</v>
      </c>
      <c r="I9" s="1048"/>
      <c r="J9" s="987">
        <v>60</v>
      </c>
      <c r="K9" s="988"/>
      <c r="L9" s="989">
        <v>42</v>
      </c>
      <c r="M9" s="989">
        <v>116</v>
      </c>
      <c r="N9" s="989">
        <v>50</v>
      </c>
      <c r="O9" s="990">
        <v>25</v>
      </c>
      <c r="P9" s="991">
        <v>1.6</v>
      </c>
      <c r="Q9" s="987"/>
      <c r="R9" s="992" t="s">
        <v>1287</v>
      </c>
      <c r="S9" s="993"/>
      <c r="T9" s="994">
        <v>-2.4</v>
      </c>
      <c r="U9" s="973"/>
      <c r="V9" s="987">
        <v>19</v>
      </c>
      <c r="W9" s="988"/>
      <c r="X9" s="989">
        <v>11</v>
      </c>
      <c r="Y9" s="989">
        <v>16</v>
      </c>
      <c r="Z9" s="989">
        <v>12</v>
      </c>
      <c r="AA9" s="990">
        <v>10</v>
      </c>
      <c r="AB9" s="991">
        <v>1.7</v>
      </c>
      <c r="AC9" s="987"/>
      <c r="AD9" s="992" t="s">
        <v>1287</v>
      </c>
      <c r="AE9" s="993"/>
      <c r="AF9" s="995">
        <v>-13.6</v>
      </c>
      <c r="AG9" s="996"/>
      <c r="AH9" s="985">
        <v>1.28</v>
      </c>
      <c r="AI9" s="985">
        <v>-9.2799999999999994</v>
      </c>
    </row>
    <row r="10" spans="1:35">
      <c r="A10" s="986" t="s">
        <v>1223</v>
      </c>
      <c r="B10" s="1582" t="s">
        <v>1708</v>
      </c>
      <c r="C10" s="1583">
        <v>387</v>
      </c>
      <c r="D10" s="1584">
        <f t="shared" si="0"/>
        <v>967.622085649459</v>
      </c>
      <c r="E10" s="1586">
        <v>3325</v>
      </c>
      <c r="F10" s="1584">
        <v>-7.1</v>
      </c>
      <c r="G10" s="1585">
        <v>-14</v>
      </c>
      <c r="H10" s="1047">
        <v>-7.1</v>
      </c>
      <c r="I10" s="1048"/>
      <c r="J10" s="987">
        <v>47</v>
      </c>
      <c r="K10" s="988"/>
      <c r="L10" s="989">
        <v>31</v>
      </c>
      <c r="M10" s="989">
        <v>78</v>
      </c>
      <c r="N10" s="989">
        <v>38</v>
      </c>
      <c r="O10" s="990">
        <v>23</v>
      </c>
      <c r="P10" s="991">
        <v>1.5</v>
      </c>
      <c r="Q10" s="987"/>
      <c r="R10" s="992" t="s">
        <v>1287</v>
      </c>
      <c r="S10" s="993"/>
      <c r="T10" s="994">
        <v>-3.4</v>
      </c>
      <c r="U10" s="973"/>
      <c r="V10" s="987">
        <v>18</v>
      </c>
      <c r="W10" s="988"/>
      <c r="X10" s="989">
        <v>10</v>
      </c>
      <c r="Y10" s="989">
        <v>13</v>
      </c>
      <c r="Z10" s="989">
        <v>11</v>
      </c>
      <c r="AA10" s="990">
        <v>10</v>
      </c>
      <c r="AB10" s="991">
        <v>1.5</v>
      </c>
      <c r="AC10" s="987"/>
      <c r="AD10" s="992" t="s">
        <v>1287</v>
      </c>
      <c r="AE10" s="993"/>
      <c r="AF10" s="995">
        <v>-14</v>
      </c>
      <c r="AG10" s="996"/>
      <c r="AH10" s="985">
        <v>1.27</v>
      </c>
      <c r="AI10" s="985">
        <v>-12.07</v>
      </c>
    </row>
    <row r="11" spans="1:35">
      <c r="A11" s="986" t="s">
        <v>1224</v>
      </c>
      <c r="B11" s="1582" t="s">
        <v>1709</v>
      </c>
      <c r="C11" s="1583">
        <v>555</v>
      </c>
      <c r="D11" s="1584">
        <f t="shared" si="0"/>
        <v>948.33980504727856</v>
      </c>
      <c r="E11" s="1586">
        <v>3335</v>
      </c>
      <c r="F11" s="1584">
        <v>-7.2</v>
      </c>
      <c r="G11" s="1585">
        <v>-14.2</v>
      </c>
      <c r="H11" s="1047">
        <v>-7.2</v>
      </c>
      <c r="I11" s="1048"/>
      <c r="J11" s="987">
        <v>73</v>
      </c>
      <c r="K11" s="988"/>
      <c r="L11" s="989">
        <v>48</v>
      </c>
      <c r="M11" s="989">
        <v>143</v>
      </c>
      <c r="N11" s="989">
        <v>63</v>
      </c>
      <c r="O11" s="990">
        <v>32</v>
      </c>
      <c r="P11" s="991">
        <v>2.1</v>
      </c>
      <c r="Q11" s="987"/>
      <c r="R11" s="992" t="s">
        <v>1287</v>
      </c>
      <c r="S11" s="993"/>
      <c r="T11" s="994">
        <v>-2.6</v>
      </c>
      <c r="U11" s="973"/>
      <c r="V11" s="987">
        <v>26</v>
      </c>
      <c r="W11" s="988"/>
      <c r="X11" s="989">
        <v>15</v>
      </c>
      <c r="Y11" s="989">
        <v>31</v>
      </c>
      <c r="Z11" s="989">
        <v>17</v>
      </c>
      <c r="AA11" s="990">
        <v>13</v>
      </c>
      <c r="AB11" s="991">
        <v>2.4</v>
      </c>
      <c r="AC11" s="987"/>
      <c r="AD11" s="992" t="s">
        <v>1287</v>
      </c>
      <c r="AE11" s="993"/>
      <c r="AF11" s="995">
        <v>-14.2</v>
      </c>
      <c r="AG11" s="996"/>
      <c r="AH11" s="985">
        <v>1.05</v>
      </c>
      <c r="AI11" s="985">
        <v>-8.98</v>
      </c>
    </row>
    <row r="12" spans="1:35">
      <c r="A12" s="986" t="s">
        <v>1225</v>
      </c>
      <c r="B12" s="1582" t="s">
        <v>1709</v>
      </c>
      <c r="C12" s="1583">
        <v>1590</v>
      </c>
      <c r="D12" s="1584">
        <f t="shared" si="0"/>
        <v>836.28999065305425</v>
      </c>
      <c r="E12" s="1586">
        <v>5689</v>
      </c>
      <c r="F12" s="1584">
        <v>-13.1</v>
      </c>
      <c r="G12" s="1585">
        <v>-19.8</v>
      </c>
      <c r="H12" s="1047">
        <v>-13.1</v>
      </c>
      <c r="I12" s="1048"/>
      <c r="J12" s="987">
        <v>89</v>
      </c>
      <c r="K12" s="988"/>
      <c r="L12" s="989">
        <v>80</v>
      </c>
      <c r="M12" s="989">
        <v>199</v>
      </c>
      <c r="N12" s="989">
        <v>91</v>
      </c>
      <c r="O12" s="990">
        <v>52</v>
      </c>
      <c r="P12" s="991">
        <v>1.7</v>
      </c>
      <c r="Q12" s="987"/>
      <c r="R12" s="992" t="s">
        <v>1288</v>
      </c>
      <c r="S12" s="993"/>
      <c r="T12" s="994">
        <v>-7.8</v>
      </c>
      <c r="U12" s="973"/>
      <c r="V12" s="987">
        <v>38</v>
      </c>
      <c r="W12" s="988"/>
      <c r="X12" s="989">
        <v>31</v>
      </c>
      <c r="Y12" s="989">
        <v>68</v>
      </c>
      <c r="Z12" s="989">
        <v>35</v>
      </c>
      <c r="AA12" s="990">
        <v>25</v>
      </c>
      <c r="AB12" s="991">
        <v>2.5</v>
      </c>
      <c r="AC12" s="987"/>
      <c r="AD12" s="992" t="s">
        <v>1288</v>
      </c>
      <c r="AE12" s="993"/>
      <c r="AF12" s="995">
        <v>-19.8</v>
      </c>
      <c r="AG12" s="996"/>
      <c r="AH12" s="985">
        <v>0.76</v>
      </c>
      <c r="AI12" s="985">
        <v>-15.67</v>
      </c>
    </row>
    <row r="13" spans="1:35">
      <c r="A13" s="986" t="s">
        <v>1226</v>
      </c>
      <c r="B13" s="1582" t="s">
        <v>1709</v>
      </c>
      <c r="C13" s="1583">
        <v>1190</v>
      </c>
      <c r="D13" s="1584">
        <f t="shared" si="0"/>
        <v>878.24617408847359</v>
      </c>
      <c r="E13" s="1586">
        <v>4420</v>
      </c>
      <c r="F13" s="1584">
        <v>-9.6999999999999993</v>
      </c>
      <c r="G13" s="1585">
        <v>-15.9</v>
      </c>
      <c r="H13" s="1047">
        <v>-9.6999999999999993</v>
      </c>
      <c r="I13" s="1048"/>
      <c r="J13" s="987">
        <v>81</v>
      </c>
      <c r="K13" s="988"/>
      <c r="L13" s="989">
        <v>67</v>
      </c>
      <c r="M13" s="989">
        <v>178</v>
      </c>
      <c r="N13" s="989">
        <v>83</v>
      </c>
      <c r="O13" s="990">
        <v>53</v>
      </c>
      <c r="P13" s="991">
        <v>0.8</v>
      </c>
      <c r="Q13" s="987"/>
      <c r="R13" s="992" t="s">
        <v>1278</v>
      </c>
      <c r="S13" s="993"/>
      <c r="T13" s="994">
        <v>-3.3</v>
      </c>
      <c r="U13" s="973"/>
      <c r="V13" s="987">
        <v>26</v>
      </c>
      <c r="W13" s="988"/>
      <c r="X13" s="989">
        <v>18</v>
      </c>
      <c r="Y13" s="989">
        <v>33</v>
      </c>
      <c r="Z13" s="989">
        <v>21</v>
      </c>
      <c r="AA13" s="990">
        <v>17</v>
      </c>
      <c r="AB13" s="991">
        <v>0.8</v>
      </c>
      <c r="AC13" s="987"/>
      <c r="AD13" s="992" t="s">
        <v>1278</v>
      </c>
      <c r="AE13" s="993"/>
      <c r="AF13" s="995">
        <v>-15.9</v>
      </c>
      <c r="AG13" s="996"/>
      <c r="AH13" s="985">
        <v>0.76</v>
      </c>
      <c r="AI13" s="985">
        <v>-6.08</v>
      </c>
    </row>
    <row r="14" spans="1:35">
      <c r="A14" s="986" t="s">
        <v>1227</v>
      </c>
      <c r="B14" s="1582" t="s">
        <v>1710</v>
      </c>
      <c r="C14" s="1583">
        <v>1035</v>
      </c>
      <c r="D14" s="1584">
        <f t="shared" si="0"/>
        <v>894.95526173650001</v>
      </c>
      <c r="E14" s="1586">
        <v>4511</v>
      </c>
      <c r="F14" s="1584">
        <v>-11.2</v>
      </c>
      <c r="G14" s="1585">
        <v>-17.100000000000001</v>
      </c>
      <c r="H14" s="1047">
        <v>-11.2</v>
      </c>
      <c r="I14" s="1048"/>
      <c r="J14" s="987">
        <v>58</v>
      </c>
      <c r="K14" s="988"/>
      <c r="L14" s="989">
        <v>38</v>
      </c>
      <c r="M14" s="989">
        <v>97</v>
      </c>
      <c r="N14" s="989">
        <v>41</v>
      </c>
      <c r="O14" s="990">
        <v>28</v>
      </c>
      <c r="P14" s="991">
        <v>0.9</v>
      </c>
      <c r="Q14" s="987"/>
      <c r="R14" s="992" t="s">
        <v>1278</v>
      </c>
      <c r="S14" s="993"/>
      <c r="T14" s="994">
        <v>-8</v>
      </c>
      <c r="U14" s="973"/>
      <c r="V14" s="987">
        <v>28</v>
      </c>
      <c r="W14" s="988"/>
      <c r="X14" s="989">
        <v>15</v>
      </c>
      <c r="Y14" s="989">
        <v>37</v>
      </c>
      <c r="Z14" s="989">
        <v>18</v>
      </c>
      <c r="AA14" s="990">
        <v>14</v>
      </c>
      <c r="AB14" s="991">
        <v>0.9</v>
      </c>
      <c r="AC14" s="987"/>
      <c r="AD14" s="992" t="s">
        <v>1278</v>
      </c>
      <c r="AE14" s="993"/>
      <c r="AF14" s="995">
        <v>-17.100000000000001</v>
      </c>
      <c r="AG14" s="996"/>
      <c r="AH14" s="985">
        <v>0.95</v>
      </c>
      <c r="AI14" s="985">
        <v>-14.27</v>
      </c>
    </row>
    <row r="15" spans="1:35">
      <c r="A15" s="986" t="s">
        <v>1228</v>
      </c>
      <c r="B15" s="1582" t="s">
        <v>1711</v>
      </c>
      <c r="C15" s="1583">
        <v>420</v>
      </c>
      <c r="D15" s="1584">
        <f t="shared" si="0"/>
        <v>963.80966089662286</v>
      </c>
      <c r="E15" s="1586">
        <v>3006</v>
      </c>
      <c r="F15" s="1584">
        <v>-4.2</v>
      </c>
      <c r="G15" s="1585">
        <v>-9.6999999999999993</v>
      </c>
      <c r="H15" s="1047">
        <v>-4.2</v>
      </c>
      <c r="I15" s="1048"/>
      <c r="J15" s="987">
        <v>50</v>
      </c>
      <c r="K15" s="988"/>
      <c r="L15" s="989">
        <v>29</v>
      </c>
      <c r="M15" s="989">
        <v>85</v>
      </c>
      <c r="N15" s="989">
        <v>43</v>
      </c>
      <c r="O15" s="990">
        <v>20</v>
      </c>
      <c r="P15" s="991">
        <v>3</v>
      </c>
      <c r="Q15" s="987"/>
      <c r="R15" s="992" t="s">
        <v>1287</v>
      </c>
      <c r="S15" s="993"/>
      <c r="T15" s="994">
        <v>-1.3</v>
      </c>
      <c r="U15" s="973"/>
      <c r="V15" s="987">
        <v>20</v>
      </c>
      <c r="W15" s="988"/>
      <c r="X15" s="989">
        <v>10</v>
      </c>
      <c r="Y15" s="989">
        <v>16</v>
      </c>
      <c r="Z15" s="989">
        <v>12</v>
      </c>
      <c r="AA15" s="990">
        <v>10</v>
      </c>
      <c r="AB15" s="991">
        <v>2.5</v>
      </c>
      <c r="AC15" s="987"/>
      <c r="AD15" s="992" t="s">
        <v>1287</v>
      </c>
      <c r="AE15" s="993"/>
      <c r="AF15" s="995">
        <v>-9.6999999999999993</v>
      </c>
      <c r="AG15" s="996"/>
      <c r="AH15" s="985">
        <v>1.34</v>
      </c>
      <c r="AI15" s="985">
        <v>-3.26</v>
      </c>
    </row>
    <row r="16" spans="1:35">
      <c r="A16" s="986" t="s">
        <v>1229</v>
      </c>
      <c r="B16" s="1582" t="s">
        <v>1712</v>
      </c>
      <c r="C16" s="1583">
        <v>515</v>
      </c>
      <c r="D16" s="1584">
        <f t="shared" si="0"/>
        <v>952.90235034214857</v>
      </c>
      <c r="E16" s="1586">
        <v>3610</v>
      </c>
      <c r="F16" s="1584">
        <v>-8.1999999999999993</v>
      </c>
      <c r="G16" s="1585">
        <v>-14</v>
      </c>
      <c r="H16" s="1047">
        <v>-8.1999999999999993</v>
      </c>
      <c r="I16" s="1048"/>
      <c r="J16" s="987">
        <v>65</v>
      </c>
      <c r="K16" s="988"/>
      <c r="L16" s="989">
        <v>46</v>
      </c>
      <c r="M16" s="989">
        <v>111</v>
      </c>
      <c r="N16" s="989">
        <v>33</v>
      </c>
      <c r="O16" s="990">
        <v>25</v>
      </c>
      <c r="P16" s="991">
        <v>1.1000000000000001</v>
      </c>
      <c r="Q16" s="987"/>
      <c r="R16" s="992" t="s">
        <v>1289</v>
      </c>
      <c r="S16" s="993"/>
      <c r="T16" s="994">
        <v>-3.6</v>
      </c>
      <c r="U16" s="973"/>
      <c r="V16" s="987">
        <v>24</v>
      </c>
      <c r="W16" s="988"/>
      <c r="X16" s="989">
        <v>13</v>
      </c>
      <c r="Y16" s="989">
        <v>25</v>
      </c>
      <c r="Z16" s="989">
        <v>11</v>
      </c>
      <c r="AA16" s="990">
        <v>11</v>
      </c>
      <c r="AB16" s="991">
        <v>2</v>
      </c>
      <c r="AC16" s="987"/>
      <c r="AD16" s="992" t="s">
        <v>1289</v>
      </c>
      <c r="AE16" s="993"/>
      <c r="AF16" s="995">
        <v>-14</v>
      </c>
      <c r="AG16" s="996"/>
      <c r="AH16" s="985">
        <v>1.25</v>
      </c>
      <c r="AI16" s="985">
        <v>-10.52</v>
      </c>
    </row>
    <row r="17" spans="1:35">
      <c r="A17" s="986" t="s">
        <v>1230</v>
      </c>
      <c r="B17" s="1582" t="s">
        <v>1713</v>
      </c>
      <c r="C17" s="1583">
        <v>2472</v>
      </c>
      <c r="D17" s="1584">
        <f t="shared" si="0"/>
        <v>749.4941582457825</v>
      </c>
      <c r="E17" s="1586">
        <v>7413</v>
      </c>
      <c r="F17" s="1584">
        <v>-15.4</v>
      </c>
      <c r="G17" s="1585">
        <v>-19.399999999999999</v>
      </c>
      <c r="H17" s="1047">
        <v>-15.4</v>
      </c>
      <c r="I17" s="1048"/>
      <c r="J17" s="987">
        <v>89</v>
      </c>
      <c r="K17" s="988"/>
      <c r="L17" s="989">
        <v>72</v>
      </c>
      <c r="M17" s="989">
        <v>150</v>
      </c>
      <c r="N17" s="989">
        <v>94</v>
      </c>
      <c r="O17" s="990">
        <v>56</v>
      </c>
      <c r="P17" s="991">
        <v>6.6</v>
      </c>
      <c r="Q17" s="987"/>
      <c r="R17" s="992" t="s">
        <v>1278</v>
      </c>
      <c r="S17" s="993"/>
      <c r="T17" s="994">
        <v>-12.4</v>
      </c>
      <c r="U17" s="973"/>
      <c r="V17" s="987">
        <v>37</v>
      </c>
      <c r="W17" s="988"/>
      <c r="X17" s="989">
        <v>27</v>
      </c>
      <c r="Y17" s="989">
        <v>44</v>
      </c>
      <c r="Z17" s="989">
        <v>34</v>
      </c>
      <c r="AA17" s="990">
        <v>26</v>
      </c>
      <c r="AB17" s="991">
        <v>7</v>
      </c>
      <c r="AC17" s="987"/>
      <c r="AD17" s="992" t="s">
        <v>1278</v>
      </c>
      <c r="AE17" s="993"/>
      <c r="AF17" s="995">
        <v>-19.399999999999999</v>
      </c>
      <c r="AG17" s="996"/>
      <c r="AH17" s="985">
        <v>0.41</v>
      </c>
      <c r="AI17" s="985">
        <v>-9.18</v>
      </c>
    </row>
    <row r="18" spans="1:35">
      <c r="A18" s="986" t="s">
        <v>1231</v>
      </c>
      <c r="B18" s="1582" t="s">
        <v>1714</v>
      </c>
      <c r="C18" s="1583">
        <v>440</v>
      </c>
      <c r="D18" s="1584">
        <f t="shared" si="0"/>
        <v>961.5050261031671</v>
      </c>
      <c r="E18" s="1586">
        <v>3471</v>
      </c>
      <c r="F18" s="1584">
        <v>-7</v>
      </c>
      <c r="G18" s="1585">
        <v>-12.9</v>
      </c>
      <c r="H18" s="1047">
        <v>-7</v>
      </c>
      <c r="I18" s="1048"/>
      <c r="J18" s="987">
        <v>44</v>
      </c>
      <c r="K18" s="988"/>
      <c r="L18" s="989">
        <v>28</v>
      </c>
      <c r="M18" s="989">
        <v>66</v>
      </c>
      <c r="N18" s="989">
        <v>34</v>
      </c>
      <c r="O18" s="990">
        <v>20</v>
      </c>
      <c r="P18" s="991">
        <v>2.4</v>
      </c>
      <c r="Q18" s="987"/>
      <c r="R18" s="992" t="s">
        <v>1287</v>
      </c>
      <c r="S18" s="993"/>
      <c r="T18" s="994">
        <v>-3.8</v>
      </c>
      <c r="U18" s="973"/>
      <c r="V18" s="987">
        <v>18</v>
      </c>
      <c r="W18" s="988"/>
      <c r="X18" s="989">
        <v>10</v>
      </c>
      <c r="Y18" s="989">
        <v>15</v>
      </c>
      <c r="Z18" s="989">
        <v>11</v>
      </c>
      <c r="AA18" s="990">
        <v>9</v>
      </c>
      <c r="AB18" s="991">
        <v>2.1</v>
      </c>
      <c r="AC18" s="987"/>
      <c r="AD18" s="992" t="s">
        <v>1287</v>
      </c>
      <c r="AE18" s="993"/>
      <c r="AF18" s="995">
        <v>-12.9</v>
      </c>
      <c r="AG18" s="996"/>
      <c r="AH18" s="985">
        <v>1.18</v>
      </c>
      <c r="AI18" s="985">
        <v>-9.8699999999999992</v>
      </c>
    </row>
    <row r="19" spans="1:35">
      <c r="A19" s="986" t="s">
        <v>1232</v>
      </c>
      <c r="B19" s="1582" t="s">
        <v>1704</v>
      </c>
      <c r="C19" s="1583">
        <v>580</v>
      </c>
      <c r="D19" s="1584">
        <f t="shared" si="0"/>
        <v>945.49720825415147</v>
      </c>
      <c r="E19" s="1586">
        <v>3630</v>
      </c>
      <c r="F19" s="1584">
        <v>-7</v>
      </c>
      <c r="G19" s="1585">
        <v>-12.4</v>
      </c>
      <c r="H19" s="1047">
        <v>-7</v>
      </c>
      <c r="I19" s="1048"/>
      <c r="J19" s="987">
        <v>63</v>
      </c>
      <c r="K19" s="988"/>
      <c r="L19" s="989">
        <v>41</v>
      </c>
      <c r="M19" s="989">
        <v>115</v>
      </c>
      <c r="N19" s="989">
        <v>50</v>
      </c>
      <c r="O19" s="990">
        <v>30</v>
      </c>
      <c r="P19" s="991">
        <v>2</v>
      </c>
      <c r="Q19" s="987"/>
      <c r="R19" s="992" t="s">
        <v>1279</v>
      </c>
      <c r="S19" s="993"/>
      <c r="T19" s="994">
        <v>-1.6</v>
      </c>
      <c r="U19" s="973"/>
      <c r="V19" s="987">
        <v>19</v>
      </c>
      <c r="W19" s="988"/>
      <c r="X19" s="989">
        <v>11</v>
      </c>
      <c r="Y19" s="989">
        <v>16</v>
      </c>
      <c r="Z19" s="989">
        <v>12</v>
      </c>
      <c r="AA19" s="990">
        <v>10</v>
      </c>
      <c r="AB19" s="991">
        <v>2.1</v>
      </c>
      <c r="AC19" s="987"/>
      <c r="AD19" s="992" t="s">
        <v>1279</v>
      </c>
      <c r="AE19" s="993"/>
      <c r="AF19" s="995">
        <v>-12.4</v>
      </c>
      <c r="AG19" s="996"/>
      <c r="AH19" s="985">
        <v>1.29</v>
      </c>
      <c r="AI19" s="985">
        <v>-9.16</v>
      </c>
    </row>
    <row r="20" spans="1:35">
      <c r="A20" s="986" t="s">
        <v>1233</v>
      </c>
      <c r="B20" s="1582" t="s">
        <v>1715</v>
      </c>
      <c r="C20" s="1583">
        <v>1019</v>
      </c>
      <c r="D20" s="1584">
        <f t="shared" si="0"/>
        <v>896.69462391500622</v>
      </c>
      <c r="E20" s="1586">
        <v>4470</v>
      </c>
      <c r="F20" s="1584">
        <v>-9.5</v>
      </c>
      <c r="G20" s="1585">
        <v>-17.5</v>
      </c>
      <c r="H20" s="1047">
        <v>-9.5</v>
      </c>
      <c r="I20" s="1048"/>
      <c r="J20" s="987">
        <v>79</v>
      </c>
      <c r="K20" s="988"/>
      <c r="L20" s="989">
        <v>78</v>
      </c>
      <c r="M20" s="989">
        <v>182</v>
      </c>
      <c r="N20" s="989">
        <v>77</v>
      </c>
      <c r="O20" s="990">
        <v>43</v>
      </c>
      <c r="P20" s="991">
        <v>2.7</v>
      </c>
      <c r="Q20" s="987"/>
      <c r="R20" s="992" t="s">
        <v>1287</v>
      </c>
      <c r="S20" s="993"/>
      <c r="T20" s="994">
        <v>-3.7</v>
      </c>
      <c r="U20" s="973"/>
      <c r="V20" s="987">
        <v>28</v>
      </c>
      <c r="W20" s="988"/>
      <c r="X20" s="989">
        <v>22</v>
      </c>
      <c r="Y20" s="989">
        <v>37</v>
      </c>
      <c r="Z20" s="989">
        <v>22</v>
      </c>
      <c r="AA20" s="990">
        <v>18</v>
      </c>
      <c r="AB20" s="991">
        <v>3</v>
      </c>
      <c r="AC20" s="987"/>
      <c r="AD20" s="992" t="s">
        <v>1290</v>
      </c>
      <c r="AE20" s="993"/>
      <c r="AF20" s="995">
        <v>-17.5</v>
      </c>
      <c r="AG20" s="996"/>
      <c r="AH20" s="985">
        <v>0.73</v>
      </c>
      <c r="AI20" s="985">
        <v>-13.8</v>
      </c>
    </row>
    <row r="21" spans="1:35">
      <c r="A21" s="986" t="s">
        <v>1234</v>
      </c>
      <c r="B21" s="1582" t="s">
        <v>1705</v>
      </c>
      <c r="C21" s="1583">
        <v>1202</v>
      </c>
      <c r="D21" s="1584">
        <f t="shared" si="0"/>
        <v>876.96317797286247</v>
      </c>
      <c r="E21" s="1586">
        <v>4723</v>
      </c>
      <c r="F21" s="1584">
        <v>-9.6</v>
      </c>
      <c r="G21" s="1585">
        <v>-15.6</v>
      </c>
      <c r="H21" s="1047">
        <v>-9.6</v>
      </c>
      <c r="I21" s="1048"/>
      <c r="J21" s="987">
        <v>72</v>
      </c>
      <c r="K21" s="988"/>
      <c r="L21" s="989">
        <v>51</v>
      </c>
      <c r="M21" s="989">
        <v>128</v>
      </c>
      <c r="N21" s="989">
        <v>43</v>
      </c>
      <c r="O21" s="990">
        <v>19</v>
      </c>
      <c r="P21" s="991">
        <v>2.5</v>
      </c>
      <c r="Q21" s="987"/>
      <c r="R21" s="992" t="s">
        <v>1288</v>
      </c>
      <c r="S21" s="993"/>
      <c r="T21" s="994">
        <v>-5.2</v>
      </c>
      <c r="U21" s="973"/>
      <c r="V21" s="987">
        <v>25</v>
      </c>
      <c r="W21" s="988"/>
      <c r="X21" s="989">
        <v>13</v>
      </c>
      <c r="Y21" s="989">
        <v>22</v>
      </c>
      <c r="Z21" s="989">
        <v>12</v>
      </c>
      <c r="AA21" s="990">
        <v>10</v>
      </c>
      <c r="AB21" s="991">
        <v>2.2000000000000002</v>
      </c>
      <c r="AC21" s="987"/>
      <c r="AD21" s="992" t="s">
        <v>1290</v>
      </c>
      <c r="AE21" s="993"/>
      <c r="AF21" s="995">
        <v>-15.6</v>
      </c>
      <c r="AG21" s="996"/>
      <c r="AH21" s="985">
        <v>0.72</v>
      </c>
      <c r="AI21" s="985">
        <v>-2.11</v>
      </c>
    </row>
    <row r="22" spans="1:35">
      <c r="A22" s="986" t="s">
        <v>1235</v>
      </c>
      <c r="B22" s="1582" t="s">
        <v>1716</v>
      </c>
      <c r="C22" s="1583">
        <v>366</v>
      </c>
      <c r="D22" s="1584">
        <f t="shared" si="0"/>
        <v>970.05452506730273</v>
      </c>
      <c r="E22" s="1586">
        <v>2476</v>
      </c>
      <c r="F22" s="1584">
        <v>-1.3</v>
      </c>
      <c r="G22" s="1585">
        <v>-4.3</v>
      </c>
      <c r="H22" s="1047">
        <v>-1.3</v>
      </c>
      <c r="I22" s="1048"/>
      <c r="J22" s="987">
        <v>63</v>
      </c>
      <c r="K22" s="988"/>
      <c r="L22" s="989">
        <v>41</v>
      </c>
      <c r="M22" s="989">
        <v>122</v>
      </c>
      <c r="N22" s="989">
        <v>45</v>
      </c>
      <c r="O22" s="990">
        <v>21</v>
      </c>
      <c r="P22" s="991">
        <v>1.2</v>
      </c>
      <c r="Q22" s="987"/>
      <c r="R22" s="992" t="s">
        <v>1288</v>
      </c>
      <c r="S22" s="993"/>
      <c r="T22" s="994">
        <v>2</v>
      </c>
      <c r="U22" s="973"/>
      <c r="V22" s="987">
        <v>16</v>
      </c>
      <c r="W22" s="988"/>
      <c r="X22" s="989">
        <v>8</v>
      </c>
      <c r="Y22" s="989">
        <v>10</v>
      </c>
      <c r="Z22" s="989">
        <v>9</v>
      </c>
      <c r="AA22" s="990">
        <v>7</v>
      </c>
      <c r="AB22" s="991">
        <v>0.9</v>
      </c>
      <c r="AC22" s="987"/>
      <c r="AD22" s="992" t="s">
        <v>1287</v>
      </c>
      <c r="AE22" s="993"/>
      <c r="AF22" s="995">
        <v>-4.3</v>
      </c>
      <c r="AG22" s="996"/>
      <c r="AH22" s="985">
        <v>0.78</v>
      </c>
      <c r="AI22" s="985">
        <v>3.55</v>
      </c>
    </row>
    <row r="23" spans="1:35">
      <c r="A23" s="986" t="s">
        <v>1236</v>
      </c>
      <c r="B23" s="1582" t="s">
        <v>1716</v>
      </c>
      <c r="C23" s="1583">
        <v>273</v>
      </c>
      <c r="D23" s="1584">
        <f t="shared" si="0"/>
        <v>980.88634886554883</v>
      </c>
      <c r="E23" s="1586">
        <v>2438</v>
      </c>
      <c r="F23" s="1584">
        <v>-0.8</v>
      </c>
      <c r="G23" s="1585">
        <v>-3.9</v>
      </c>
      <c r="H23" s="1047">
        <v>-0.8</v>
      </c>
      <c r="I23" s="1048"/>
      <c r="J23" s="987">
        <v>64</v>
      </c>
      <c r="K23" s="988"/>
      <c r="L23" s="989">
        <v>38</v>
      </c>
      <c r="M23" s="989">
        <v>121</v>
      </c>
      <c r="N23" s="989">
        <v>47</v>
      </c>
      <c r="O23" s="990">
        <v>20</v>
      </c>
      <c r="P23" s="991">
        <v>1.9</v>
      </c>
      <c r="Q23" s="987"/>
      <c r="R23" s="992" t="s">
        <v>1282</v>
      </c>
      <c r="S23" s="993"/>
      <c r="T23" s="994">
        <v>3</v>
      </c>
      <c r="U23" s="973"/>
      <c r="V23" s="987">
        <v>15</v>
      </c>
      <c r="W23" s="988"/>
      <c r="X23" s="989">
        <v>7</v>
      </c>
      <c r="Y23" s="989">
        <v>11</v>
      </c>
      <c r="Z23" s="989">
        <v>8</v>
      </c>
      <c r="AA23" s="990">
        <v>7</v>
      </c>
      <c r="AB23" s="991">
        <v>1.1000000000000001</v>
      </c>
      <c r="AC23" s="987"/>
      <c r="AD23" s="992" t="s">
        <v>1282</v>
      </c>
      <c r="AE23" s="993"/>
      <c r="AF23" s="995">
        <v>-3.9</v>
      </c>
      <c r="AG23" s="996"/>
      <c r="AH23" s="985">
        <v>0.75</v>
      </c>
      <c r="AI23" s="985">
        <v>4.75</v>
      </c>
    </row>
    <row r="24" spans="1:35">
      <c r="A24" s="986" t="s">
        <v>1237</v>
      </c>
      <c r="B24" s="1582" t="s">
        <v>1717</v>
      </c>
      <c r="C24" s="1583">
        <v>456</v>
      </c>
      <c r="D24" s="1584">
        <f t="shared" si="0"/>
        <v>959.6645327647359</v>
      </c>
      <c r="E24" s="1586">
        <v>3318</v>
      </c>
      <c r="F24" s="1584">
        <v>-6.4</v>
      </c>
      <c r="G24" s="1585">
        <v>-12.4</v>
      </c>
      <c r="H24" s="1047">
        <v>-6.4</v>
      </c>
      <c r="I24" s="1048"/>
      <c r="J24" s="987">
        <v>43</v>
      </c>
      <c r="K24" s="988"/>
      <c r="L24" s="989">
        <v>31</v>
      </c>
      <c r="M24" s="989">
        <v>65</v>
      </c>
      <c r="N24" s="989">
        <v>33</v>
      </c>
      <c r="O24" s="990">
        <v>23</v>
      </c>
      <c r="P24" s="991">
        <v>1.4</v>
      </c>
      <c r="Q24" s="987"/>
      <c r="R24" s="992" t="s">
        <v>1282</v>
      </c>
      <c r="S24" s="993"/>
      <c r="T24" s="994">
        <v>-2.9</v>
      </c>
      <c r="U24" s="973"/>
      <c r="V24" s="987">
        <v>17</v>
      </c>
      <c r="W24" s="988"/>
      <c r="X24" s="989">
        <v>10</v>
      </c>
      <c r="Y24" s="989">
        <v>13</v>
      </c>
      <c r="Z24" s="989">
        <v>10</v>
      </c>
      <c r="AA24" s="990">
        <v>10</v>
      </c>
      <c r="AB24" s="991">
        <v>1.5</v>
      </c>
      <c r="AC24" s="987"/>
      <c r="AD24" s="992" t="s">
        <v>1282</v>
      </c>
      <c r="AE24" s="993"/>
      <c r="AF24" s="995">
        <v>-12.4</v>
      </c>
      <c r="AG24" s="996"/>
      <c r="AH24" s="985">
        <v>1.55</v>
      </c>
      <c r="AI24" s="985">
        <v>-6.34</v>
      </c>
    </row>
    <row r="25" spans="1:35">
      <c r="A25" s="986" t="s">
        <v>1238</v>
      </c>
      <c r="B25" s="1582" t="s">
        <v>1716</v>
      </c>
      <c r="C25" s="1583">
        <v>197</v>
      </c>
      <c r="D25" s="1584">
        <f t="shared" si="0"/>
        <v>989.81069482486237</v>
      </c>
      <c r="E25" s="1586">
        <v>2735</v>
      </c>
      <c r="F25" s="1584">
        <v>-3</v>
      </c>
      <c r="G25" s="1585">
        <v>-8.1</v>
      </c>
      <c r="H25" s="1047">
        <v>-3</v>
      </c>
      <c r="I25" s="1048"/>
      <c r="J25" s="987">
        <v>59</v>
      </c>
      <c r="K25" s="988"/>
      <c r="L25" s="989">
        <v>42</v>
      </c>
      <c r="M25" s="989">
        <v>117</v>
      </c>
      <c r="N25" s="989">
        <v>44</v>
      </c>
      <c r="O25" s="990">
        <v>20</v>
      </c>
      <c r="P25" s="991">
        <v>1.6</v>
      </c>
      <c r="Q25" s="987"/>
      <c r="R25" s="992" t="s">
        <v>1278</v>
      </c>
      <c r="S25" s="993"/>
      <c r="T25" s="994">
        <v>1.2</v>
      </c>
      <c r="U25" s="973"/>
      <c r="V25" s="987">
        <v>18</v>
      </c>
      <c r="W25" s="988"/>
      <c r="X25" s="989">
        <v>10</v>
      </c>
      <c r="Y25" s="989">
        <v>14</v>
      </c>
      <c r="Z25" s="989">
        <v>10</v>
      </c>
      <c r="AA25" s="990">
        <v>8</v>
      </c>
      <c r="AB25" s="991">
        <v>1.5</v>
      </c>
      <c r="AC25" s="987"/>
      <c r="AD25" s="992" t="s">
        <v>1278</v>
      </c>
      <c r="AE25" s="993"/>
      <c r="AF25" s="995">
        <v>-8.1</v>
      </c>
      <c r="AG25" s="996"/>
      <c r="AH25" s="985">
        <v>0.85</v>
      </c>
      <c r="AI25" s="985">
        <v>4.03</v>
      </c>
    </row>
    <row r="26" spans="1:35">
      <c r="A26" s="986" t="s">
        <v>1239</v>
      </c>
      <c r="B26" s="1582" t="s">
        <v>1713</v>
      </c>
      <c r="C26" s="1583">
        <v>1508</v>
      </c>
      <c r="D26" s="1584">
        <f t="shared" si="0"/>
        <v>844.75590496247867</v>
      </c>
      <c r="E26" s="1586">
        <v>4770</v>
      </c>
      <c r="F26" s="1584">
        <v>-9.6</v>
      </c>
      <c r="G26" s="1585">
        <v>-15.5</v>
      </c>
      <c r="H26" s="1047">
        <v>-9.6</v>
      </c>
      <c r="I26" s="1048"/>
      <c r="J26" s="987">
        <v>90</v>
      </c>
      <c r="K26" s="988"/>
      <c r="L26" s="989">
        <v>83</v>
      </c>
      <c r="M26" s="989">
        <v>194</v>
      </c>
      <c r="N26" s="989">
        <v>87</v>
      </c>
      <c r="O26" s="990">
        <v>46</v>
      </c>
      <c r="P26" s="991">
        <v>1.5</v>
      </c>
      <c r="Q26" s="987"/>
      <c r="R26" s="992" t="s">
        <v>1288</v>
      </c>
      <c r="S26" s="993"/>
      <c r="T26" s="994">
        <v>-3.7</v>
      </c>
      <c r="U26" s="973"/>
      <c r="V26" s="987">
        <v>29</v>
      </c>
      <c r="W26" s="988"/>
      <c r="X26" s="989">
        <v>23</v>
      </c>
      <c r="Y26" s="989">
        <v>44</v>
      </c>
      <c r="Z26" s="989">
        <v>23</v>
      </c>
      <c r="AA26" s="990">
        <v>16</v>
      </c>
      <c r="AB26" s="991">
        <v>2.9</v>
      </c>
      <c r="AC26" s="987"/>
      <c r="AD26" s="992" t="s">
        <v>1291</v>
      </c>
      <c r="AE26" s="993"/>
      <c r="AF26" s="995">
        <v>-15.5</v>
      </c>
      <c r="AG26" s="996"/>
      <c r="AH26" s="985">
        <v>0.87</v>
      </c>
      <c r="AI26" s="985">
        <v>-5.71</v>
      </c>
    </row>
    <row r="27" spans="1:35">
      <c r="A27" s="986" t="s">
        <v>1240</v>
      </c>
      <c r="B27" s="1582" t="s">
        <v>1715</v>
      </c>
      <c r="C27" s="1583">
        <v>485</v>
      </c>
      <c r="D27" s="1584">
        <f t="shared" si="0"/>
        <v>956.33590973711011</v>
      </c>
      <c r="E27" s="1586">
        <v>3121</v>
      </c>
      <c r="F27" s="1584">
        <v>-5.4</v>
      </c>
      <c r="G27" s="1585">
        <v>-11</v>
      </c>
      <c r="H27" s="1047">
        <v>-5.4</v>
      </c>
      <c r="I27" s="1048"/>
      <c r="J27" s="987">
        <v>51</v>
      </c>
      <c r="K27" s="988"/>
      <c r="L27" s="989">
        <v>33</v>
      </c>
      <c r="M27" s="989">
        <v>86</v>
      </c>
      <c r="N27" s="989">
        <v>37</v>
      </c>
      <c r="O27" s="990">
        <v>20</v>
      </c>
      <c r="P27" s="991">
        <v>3.2</v>
      </c>
      <c r="Q27" s="987"/>
      <c r="R27" s="992" t="s">
        <v>1278</v>
      </c>
      <c r="S27" s="993"/>
      <c r="T27" s="994">
        <v>-2.2000000000000002</v>
      </c>
      <c r="U27" s="973"/>
      <c r="V27" s="987">
        <v>18</v>
      </c>
      <c r="W27" s="988"/>
      <c r="X27" s="989">
        <v>10</v>
      </c>
      <c r="Y27" s="989">
        <v>14</v>
      </c>
      <c r="Z27" s="989">
        <v>10</v>
      </c>
      <c r="AA27" s="990">
        <v>9</v>
      </c>
      <c r="AB27" s="991">
        <v>2.5</v>
      </c>
      <c r="AC27" s="987"/>
      <c r="AD27" s="992" t="s">
        <v>1278</v>
      </c>
      <c r="AE27" s="993"/>
      <c r="AF27" s="995">
        <v>-11</v>
      </c>
      <c r="AG27" s="996"/>
      <c r="AH27" s="985">
        <v>1.45</v>
      </c>
      <c r="AI27" s="985">
        <v>-3.03</v>
      </c>
    </row>
    <row r="28" spans="1:35">
      <c r="A28" s="986" t="s">
        <v>1241</v>
      </c>
      <c r="B28" s="1582" t="s">
        <v>1705</v>
      </c>
      <c r="C28" s="1583">
        <v>490</v>
      </c>
      <c r="D28" s="1584">
        <f t="shared" si="0"/>
        <v>955.76295524364252</v>
      </c>
      <c r="E28" s="1586">
        <v>3413</v>
      </c>
      <c r="F28" s="1584">
        <v>-6.7</v>
      </c>
      <c r="G28" s="1585">
        <v>-13.1</v>
      </c>
      <c r="H28" s="1047">
        <v>-6.7</v>
      </c>
      <c r="I28" s="1048"/>
      <c r="J28" s="987">
        <v>57</v>
      </c>
      <c r="K28" s="988"/>
      <c r="L28" s="989">
        <v>40</v>
      </c>
      <c r="M28" s="989">
        <v>103</v>
      </c>
      <c r="N28" s="989">
        <v>47</v>
      </c>
      <c r="O28" s="990">
        <v>24</v>
      </c>
      <c r="P28" s="991">
        <v>2.2000000000000002</v>
      </c>
      <c r="Q28" s="987"/>
      <c r="R28" s="992" t="s">
        <v>1287</v>
      </c>
      <c r="S28" s="993"/>
      <c r="T28" s="994">
        <v>-2.5</v>
      </c>
      <c r="U28" s="973"/>
      <c r="V28" s="987">
        <v>20</v>
      </c>
      <c r="W28" s="988"/>
      <c r="X28" s="989">
        <v>11</v>
      </c>
      <c r="Y28" s="989">
        <v>14</v>
      </c>
      <c r="Z28" s="989">
        <v>11</v>
      </c>
      <c r="AA28" s="990">
        <v>10</v>
      </c>
      <c r="AB28" s="991">
        <v>2</v>
      </c>
      <c r="AC28" s="987"/>
      <c r="AD28" s="992" t="s">
        <v>1287</v>
      </c>
      <c r="AE28" s="993"/>
      <c r="AF28" s="995">
        <v>-13.1</v>
      </c>
      <c r="AG28" s="996"/>
      <c r="AH28" s="985">
        <v>1.42</v>
      </c>
      <c r="AI28" s="985">
        <v>-7.55</v>
      </c>
    </row>
    <row r="29" spans="1:35">
      <c r="A29" s="986" t="s">
        <v>1242</v>
      </c>
      <c r="B29" s="1582" t="s">
        <v>1716</v>
      </c>
      <c r="C29" s="1583">
        <v>1007</v>
      </c>
      <c r="D29" s="1584">
        <f t="shared" si="0"/>
        <v>898.00094098845761</v>
      </c>
      <c r="E29" s="1586">
        <v>3994</v>
      </c>
      <c r="F29" s="1584">
        <v>-7.2</v>
      </c>
      <c r="G29" s="1585">
        <v>-11.8</v>
      </c>
      <c r="H29" s="1047">
        <v>-7.2</v>
      </c>
      <c r="I29" s="1048"/>
      <c r="J29" s="987">
        <v>45</v>
      </c>
      <c r="K29" s="988"/>
      <c r="L29" s="989">
        <v>41</v>
      </c>
      <c r="M29" s="989">
        <v>63</v>
      </c>
      <c r="N29" s="989">
        <v>32</v>
      </c>
      <c r="O29" s="990">
        <v>29</v>
      </c>
      <c r="P29" s="991">
        <v>2.2999999999999998</v>
      </c>
      <c r="Q29" s="987"/>
      <c r="R29" s="992" t="s">
        <v>1289</v>
      </c>
      <c r="S29" s="993"/>
      <c r="T29" s="994">
        <v>-5.5</v>
      </c>
      <c r="U29" s="973"/>
      <c r="V29" s="987">
        <v>20</v>
      </c>
      <c r="W29" s="988"/>
      <c r="X29" s="989">
        <v>12</v>
      </c>
      <c r="Y29" s="989">
        <v>13</v>
      </c>
      <c r="Z29" s="989">
        <v>11</v>
      </c>
      <c r="AA29" s="990">
        <v>11</v>
      </c>
      <c r="AB29" s="991">
        <v>2.1</v>
      </c>
      <c r="AC29" s="987"/>
      <c r="AD29" s="992" t="s">
        <v>1289</v>
      </c>
      <c r="AE29" s="993"/>
      <c r="AF29" s="995">
        <v>-11.8</v>
      </c>
      <c r="AG29" s="996"/>
      <c r="AH29" s="985">
        <v>0.79</v>
      </c>
      <c r="AI29" s="985">
        <v>-4.1500000000000004</v>
      </c>
    </row>
    <row r="30" spans="1:35">
      <c r="A30" s="986" t="s">
        <v>1243</v>
      </c>
      <c r="B30" s="1582" t="s">
        <v>1705</v>
      </c>
      <c r="C30" s="1583">
        <v>461</v>
      </c>
      <c r="D30" s="1584">
        <f t="shared" si="0"/>
        <v>959.08996397864894</v>
      </c>
      <c r="E30" s="1586">
        <v>2903</v>
      </c>
      <c r="F30" s="1584">
        <v>-4.3</v>
      </c>
      <c r="G30" s="1585">
        <v>-9.5</v>
      </c>
      <c r="H30" s="1047">
        <v>-4.3</v>
      </c>
      <c r="I30" s="1048"/>
      <c r="J30" s="987">
        <v>59</v>
      </c>
      <c r="K30" s="988"/>
      <c r="L30" s="989">
        <v>39</v>
      </c>
      <c r="M30" s="989">
        <v>108</v>
      </c>
      <c r="N30" s="989">
        <v>44</v>
      </c>
      <c r="O30" s="990">
        <v>19</v>
      </c>
      <c r="P30" s="991">
        <v>2.7</v>
      </c>
      <c r="Q30" s="987"/>
      <c r="R30" s="992" t="s">
        <v>1287</v>
      </c>
      <c r="S30" s="993"/>
      <c r="T30" s="994">
        <v>-0.9</v>
      </c>
      <c r="U30" s="973"/>
      <c r="V30" s="987">
        <v>22</v>
      </c>
      <c r="W30" s="988"/>
      <c r="X30" s="989">
        <v>11</v>
      </c>
      <c r="Y30" s="989">
        <v>17</v>
      </c>
      <c r="Z30" s="989">
        <v>12</v>
      </c>
      <c r="AA30" s="990">
        <v>10</v>
      </c>
      <c r="AB30" s="991">
        <v>1.8</v>
      </c>
      <c r="AC30" s="987"/>
      <c r="AD30" s="992" t="s">
        <v>1287</v>
      </c>
      <c r="AE30" s="993"/>
      <c r="AF30" s="995">
        <v>-9.5</v>
      </c>
      <c r="AG30" s="996"/>
      <c r="AH30" s="985">
        <v>1.42</v>
      </c>
      <c r="AI30" s="985">
        <v>-3.96</v>
      </c>
    </row>
    <row r="31" spans="1:35">
      <c r="A31" s="986" t="s">
        <v>1244</v>
      </c>
      <c r="B31" s="1582" t="s">
        <v>1709</v>
      </c>
      <c r="C31" s="1583">
        <v>1078</v>
      </c>
      <c r="D31" s="1584">
        <f t="shared" si="0"/>
        <v>890.29425842454918</v>
      </c>
      <c r="E31" s="1586">
        <v>4233</v>
      </c>
      <c r="F31" s="1584">
        <v>-7.8</v>
      </c>
      <c r="G31" s="1585">
        <v>-12.8</v>
      </c>
      <c r="H31" s="1047">
        <v>-7.8</v>
      </c>
      <c r="I31" s="1048"/>
      <c r="J31" s="987">
        <v>72</v>
      </c>
      <c r="K31" s="988"/>
      <c r="L31" s="989">
        <v>53</v>
      </c>
      <c r="M31" s="989">
        <v>139</v>
      </c>
      <c r="N31" s="989">
        <v>58</v>
      </c>
      <c r="O31" s="990">
        <v>39</v>
      </c>
      <c r="P31" s="991">
        <v>1.4</v>
      </c>
      <c r="Q31" s="987"/>
      <c r="R31" s="992" t="s">
        <v>1287</v>
      </c>
      <c r="S31" s="993"/>
      <c r="T31" s="994">
        <v>-0.9</v>
      </c>
      <c r="U31" s="973"/>
      <c r="V31" s="987">
        <v>22</v>
      </c>
      <c r="W31" s="988"/>
      <c r="X31" s="989">
        <v>14</v>
      </c>
      <c r="Y31" s="989">
        <v>24</v>
      </c>
      <c r="Z31" s="989">
        <v>15</v>
      </c>
      <c r="AA31" s="990">
        <v>13</v>
      </c>
      <c r="AB31" s="991">
        <v>1.1000000000000001</v>
      </c>
      <c r="AC31" s="987"/>
      <c r="AD31" s="992" t="s">
        <v>1287</v>
      </c>
      <c r="AE31" s="993"/>
      <c r="AF31" s="995">
        <v>-12.8</v>
      </c>
      <c r="AG31" s="996"/>
      <c r="AH31" s="985">
        <v>0.63</v>
      </c>
      <c r="AI31" s="985">
        <v>-1.34</v>
      </c>
    </row>
    <row r="32" spans="1:35">
      <c r="A32" s="986" t="s">
        <v>1245</v>
      </c>
      <c r="B32" s="1582" t="s">
        <v>1707</v>
      </c>
      <c r="C32" s="1583">
        <v>610</v>
      </c>
      <c r="D32" s="1584">
        <f t="shared" si="0"/>
        <v>942.0952030038768</v>
      </c>
      <c r="E32" s="1586">
        <v>3552</v>
      </c>
      <c r="F32" s="1584">
        <v>-8.1</v>
      </c>
      <c r="G32" s="1585">
        <v>-14.4</v>
      </c>
      <c r="H32" s="1047">
        <v>-8.1</v>
      </c>
      <c r="I32" s="1048"/>
      <c r="J32" s="987">
        <v>59</v>
      </c>
      <c r="K32" s="988"/>
      <c r="L32" s="989">
        <v>39</v>
      </c>
      <c r="M32" s="989">
        <v>107</v>
      </c>
      <c r="N32" s="989">
        <v>35</v>
      </c>
      <c r="O32" s="990">
        <v>18</v>
      </c>
      <c r="P32" s="991">
        <v>2.6</v>
      </c>
      <c r="Q32" s="987"/>
      <c r="R32" s="992" t="s">
        <v>1278</v>
      </c>
      <c r="S32" s="993"/>
      <c r="T32" s="994">
        <v>-3.6</v>
      </c>
      <c r="U32" s="973"/>
      <c r="V32" s="987">
        <v>20</v>
      </c>
      <c r="W32" s="988"/>
      <c r="X32" s="989">
        <v>9</v>
      </c>
      <c r="Y32" s="989">
        <v>14</v>
      </c>
      <c r="Z32" s="989">
        <v>10</v>
      </c>
      <c r="AA32" s="990">
        <v>9</v>
      </c>
      <c r="AB32" s="991">
        <v>2.7</v>
      </c>
      <c r="AC32" s="987"/>
      <c r="AD32" s="992" t="s">
        <v>1278</v>
      </c>
      <c r="AE32" s="993"/>
      <c r="AF32" s="995">
        <v>-14.4</v>
      </c>
      <c r="AG32" s="996"/>
      <c r="AH32" s="985">
        <v>1.28</v>
      </c>
      <c r="AI32" s="985">
        <v>-7.89</v>
      </c>
    </row>
    <row r="33" spans="1:35">
      <c r="A33" s="986" t="s">
        <v>1246</v>
      </c>
      <c r="B33" s="1582" t="s">
        <v>1709</v>
      </c>
      <c r="C33" s="1583">
        <v>1705</v>
      </c>
      <c r="D33" s="1584">
        <f t="shared" si="0"/>
        <v>824.53291741205305</v>
      </c>
      <c r="E33" s="1586">
        <v>6376</v>
      </c>
      <c r="F33" s="1584">
        <v>-17.600000000000001</v>
      </c>
      <c r="G33" s="1585">
        <v>-26.1</v>
      </c>
      <c r="H33" s="1047">
        <v>-17.600000000000001</v>
      </c>
      <c r="I33" s="1048"/>
      <c r="J33" s="987">
        <v>92</v>
      </c>
      <c r="K33" s="988"/>
      <c r="L33" s="989">
        <v>85</v>
      </c>
      <c r="M33" s="989">
        <v>218</v>
      </c>
      <c r="N33" s="989">
        <v>100</v>
      </c>
      <c r="O33" s="990">
        <v>57</v>
      </c>
      <c r="P33" s="991">
        <v>1.2</v>
      </c>
      <c r="Q33" s="987"/>
      <c r="R33" s="992" t="s">
        <v>1279</v>
      </c>
      <c r="S33" s="993"/>
      <c r="T33" s="994">
        <v>-10.6</v>
      </c>
      <c r="U33" s="973"/>
      <c r="V33" s="987">
        <v>46</v>
      </c>
      <c r="W33" s="988"/>
      <c r="X33" s="989">
        <v>40</v>
      </c>
      <c r="Y33" s="989">
        <v>97</v>
      </c>
      <c r="Z33" s="989">
        <v>45</v>
      </c>
      <c r="AA33" s="990">
        <v>29</v>
      </c>
      <c r="AB33" s="991">
        <v>1.5</v>
      </c>
      <c r="AC33" s="987"/>
      <c r="AD33" s="992" t="s">
        <v>1279</v>
      </c>
      <c r="AE33" s="993"/>
      <c r="AF33" s="995">
        <v>-26.1</v>
      </c>
      <c r="AG33" s="996"/>
      <c r="AH33" s="985">
        <v>0.38</v>
      </c>
      <c r="AI33" s="985">
        <v>-27.65</v>
      </c>
    </row>
    <row r="34" spans="1:35">
      <c r="A34" s="986" t="s">
        <v>1247</v>
      </c>
      <c r="B34" s="1582" t="s">
        <v>1709</v>
      </c>
      <c r="C34" s="1583">
        <v>1639</v>
      </c>
      <c r="D34" s="1584">
        <f t="shared" si="0"/>
        <v>831.26397173635894</v>
      </c>
      <c r="E34" s="1586">
        <v>5586</v>
      </c>
      <c r="F34" s="1584">
        <v>-10.9</v>
      </c>
      <c r="G34" s="1585">
        <v>-17.2</v>
      </c>
      <c r="H34" s="1047">
        <v>-10.9</v>
      </c>
      <c r="I34" s="1048"/>
      <c r="J34" s="987">
        <v>80</v>
      </c>
      <c r="K34" s="988"/>
      <c r="L34" s="989">
        <v>77</v>
      </c>
      <c r="M34" s="989">
        <v>157</v>
      </c>
      <c r="N34" s="989">
        <v>61</v>
      </c>
      <c r="O34" s="990">
        <v>44</v>
      </c>
      <c r="P34" s="991">
        <v>4.3</v>
      </c>
      <c r="Q34" s="987"/>
      <c r="R34" s="992" t="s">
        <v>1285</v>
      </c>
      <c r="S34" s="993"/>
      <c r="T34" s="994">
        <v>-4</v>
      </c>
      <c r="U34" s="973"/>
      <c r="V34" s="987">
        <v>23</v>
      </c>
      <c r="W34" s="988"/>
      <c r="X34" s="989">
        <v>19</v>
      </c>
      <c r="Y34" s="989">
        <v>28</v>
      </c>
      <c r="Z34" s="989">
        <v>17</v>
      </c>
      <c r="AA34" s="990">
        <v>15</v>
      </c>
      <c r="AB34" s="991">
        <v>1.8</v>
      </c>
      <c r="AC34" s="987"/>
      <c r="AD34" s="992" t="s">
        <v>1283</v>
      </c>
      <c r="AE34" s="993"/>
      <c r="AF34" s="995">
        <v>-17.2</v>
      </c>
      <c r="AG34" s="996"/>
      <c r="AH34" s="985">
        <v>0.64</v>
      </c>
      <c r="AI34" s="985">
        <v>-6.57</v>
      </c>
    </row>
    <row r="35" spans="1:35">
      <c r="A35" s="986" t="s">
        <v>1248</v>
      </c>
      <c r="B35" s="1582" t="s">
        <v>1718</v>
      </c>
      <c r="C35" s="1583">
        <v>779</v>
      </c>
      <c r="D35" s="1584">
        <f t="shared" si="0"/>
        <v>923.11524667263313</v>
      </c>
      <c r="E35" s="1586">
        <v>3845</v>
      </c>
      <c r="F35" s="1584">
        <v>-9.3000000000000007</v>
      </c>
      <c r="G35" s="1585">
        <v>-14.8</v>
      </c>
      <c r="H35" s="1047">
        <v>-9.3000000000000007</v>
      </c>
      <c r="I35" s="1048"/>
      <c r="J35" s="987">
        <v>49</v>
      </c>
      <c r="K35" s="988"/>
      <c r="L35" s="989">
        <v>36</v>
      </c>
      <c r="M35" s="989">
        <v>81</v>
      </c>
      <c r="N35" s="989">
        <v>40</v>
      </c>
      <c r="O35" s="990">
        <v>25</v>
      </c>
      <c r="P35" s="991">
        <v>1.3</v>
      </c>
      <c r="Q35" s="987"/>
      <c r="R35" s="992" t="s">
        <v>1287</v>
      </c>
      <c r="S35" s="993"/>
      <c r="T35" s="994">
        <v>-6.2</v>
      </c>
      <c r="U35" s="973"/>
      <c r="V35" s="987">
        <v>21</v>
      </c>
      <c r="W35" s="988"/>
      <c r="X35" s="989">
        <v>13</v>
      </c>
      <c r="Y35" s="989">
        <v>19</v>
      </c>
      <c r="Z35" s="989">
        <v>14</v>
      </c>
      <c r="AA35" s="990">
        <v>12</v>
      </c>
      <c r="AB35" s="991">
        <v>1.6</v>
      </c>
      <c r="AC35" s="987"/>
      <c r="AD35" s="992" t="s">
        <v>1287</v>
      </c>
      <c r="AE35" s="993"/>
      <c r="AF35" s="995">
        <v>-14.8</v>
      </c>
      <c r="AG35" s="996"/>
      <c r="AH35" s="985">
        <v>1.21</v>
      </c>
      <c r="AI35" s="985">
        <v>-9.1300000000000008</v>
      </c>
    </row>
    <row r="36" spans="1:35">
      <c r="A36" s="986" t="s">
        <v>1249</v>
      </c>
      <c r="B36" s="1582" t="s">
        <v>1719</v>
      </c>
      <c r="C36" s="1583">
        <v>437</v>
      </c>
      <c r="D36" s="1584">
        <f t="shared" si="0"/>
        <v>961.8504365716426</v>
      </c>
      <c r="E36" s="1586">
        <v>3442</v>
      </c>
      <c r="F36" s="1584">
        <v>-7.5</v>
      </c>
      <c r="G36" s="1585">
        <v>-14</v>
      </c>
      <c r="H36" s="1047">
        <v>-7.5</v>
      </c>
      <c r="I36" s="1048"/>
      <c r="J36" s="987">
        <v>53</v>
      </c>
      <c r="K36" s="988"/>
      <c r="L36" s="989">
        <v>37</v>
      </c>
      <c r="M36" s="989">
        <v>96</v>
      </c>
      <c r="N36" s="989">
        <v>40</v>
      </c>
      <c r="O36" s="990">
        <v>22</v>
      </c>
      <c r="P36" s="991">
        <v>2.9</v>
      </c>
      <c r="Q36" s="987"/>
      <c r="R36" s="992" t="s">
        <v>1287</v>
      </c>
      <c r="S36" s="993"/>
      <c r="T36" s="994">
        <v>-4.4000000000000004</v>
      </c>
      <c r="U36" s="973"/>
      <c r="V36" s="987">
        <v>21</v>
      </c>
      <c r="W36" s="988"/>
      <c r="X36" s="989">
        <v>13</v>
      </c>
      <c r="Y36" s="989">
        <v>23</v>
      </c>
      <c r="Z36" s="989">
        <v>14</v>
      </c>
      <c r="AA36" s="990">
        <v>11</v>
      </c>
      <c r="AB36" s="991">
        <v>2.8</v>
      </c>
      <c r="AC36" s="987"/>
      <c r="AD36" s="992" t="s">
        <v>1287</v>
      </c>
      <c r="AE36" s="993"/>
      <c r="AF36" s="995">
        <v>-14</v>
      </c>
      <c r="AG36" s="996"/>
      <c r="AH36" s="985">
        <v>1.21</v>
      </c>
      <c r="AI36" s="985">
        <v>-9.7899999999999991</v>
      </c>
    </row>
    <row r="37" spans="1:35">
      <c r="A37" s="986" t="s">
        <v>1250</v>
      </c>
      <c r="B37" s="1582" t="s">
        <v>1709</v>
      </c>
      <c r="C37" s="1583">
        <v>1298</v>
      </c>
      <c r="D37" s="1584">
        <f t="shared" si="0"/>
        <v>866.75374299795851</v>
      </c>
      <c r="E37" s="1586">
        <v>4866</v>
      </c>
      <c r="F37" s="1584">
        <v>-12</v>
      </c>
      <c r="G37" s="1585">
        <v>-18.2</v>
      </c>
      <c r="H37" s="1047">
        <v>-12</v>
      </c>
      <c r="I37" s="1048"/>
      <c r="J37" s="987">
        <v>83</v>
      </c>
      <c r="K37" s="988"/>
      <c r="L37" s="989">
        <v>64</v>
      </c>
      <c r="M37" s="989">
        <v>178</v>
      </c>
      <c r="N37" s="989">
        <v>78</v>
      </c>
      <c r="O37" s="990">
        <v>45</v>
      </c>
      <c r="P37" s="991">
        <v>1.5</v>
      </c>
      <c r="Q37" s="987"/>
      <c r="R37" s="992" t="s">
        <v>1291</v>
      </c>
      <c r="S37" s="993"/>
      <c r="T37" s="994">
        <v>-6.3</v>
      </c>
      <c r="U37" s="973"/>
      <c r="V37" s="987">
        <v>32</v>
      </c>
      <c r="W37" s="988"/>
      <c r="X37" s="989">
        <v>24</v>
      </c>
      <c r="Y37" s="989">
        <v>52</v>
      </c>
      <c r="Z37" s="989">
        <v>26</v>
      </c>
      <c r="AA37" s="990">
        <v>20</v>
      </c>
      <c r="AB37" s="991">
        <v>1.1000000000000001</v>
      </c>
      <c r="AC37" s="987"/>
      <c r="AD37" s="992" t="s">
        <v>1291</v>
      </c>
      <c r="AE37" s="993"/>
      <c r="AF37" s="995">
        <v>-18.2</v>
      </c>
      <c r="AG37" s="996"/>
      <c r="AH37" s="985">
        <v>0.75</v>
      </c>
      <c r="AI37" s="985">
        <v>-13.19</v>
      </c>
    </row>
    <row r="38" spans="1:35">
      <c r="A38" s="986" t="s">
        <v>1251</v>
      </c>
      <c r="B38" s="1582" t="s">
        <v>1713</v>
      </c>
      <c r="C38" s="1583">
        <v>482</v>
      </c>
      <c r="D38" s="1584">
        <f t="shared" si="0"/>
        <v>956.67981590425245</v>
      </c>
      <c r="E38" s="1586">
        <v>3197</v>
      </c>
      <c r="F38" s="1584">
        <v>-6</v>
      </c>
      <c r="G38" s="1585">
        <v>-11.2</v>
      </c>
      <c r="H38" s="1047">
        <v>-6</v>
      </c>
      <c r="I38" s="1048"/>
      <c r="J38" s="987">
        <v>60</v>
      </c>
      <c r="K38" s="988"/>
      <c r="L38" s="989">
        <v>27</v>
      </c>
      <c r="M38" s="989">
        <v>110</v>
      </c>
      <c r="N38" s="989">
        <v>46</v>
      </c>
      <c r="O38" s="990">
        <v>20</v>
      </c>
      <c r="P38" s="991">
        <v>1.6</v>
      </c>
      <c r="Q38" s="987"/>
      <c r="R38" s="992" t="s">
        <v>1278</v>
      </c>
      <c r="S38" s="993"/>
      <c r="T38" s="994">
        <v>-2</v>
      </c>
      <c r="U38" s="973"/>
      <c r="V38" s="987">
        <v>32</v>
      </c>
      <c r="W38" s="988"/>
      <c r="X38" s="989">
        <v>15</v>
      </c>
      <c r="Y38" s="989">
        <v>41</v>
      </c>
      <c r="Z38" s="989">
        <v>21</v>
      </c>
      <c r="AA38" s="990">
        <v>13</v>
      </c>
      <c r="AB38" s="991">
        <v>1.7</v>
      </c>
      <c r="AC38" s="987"/>
      <c r="AD38" s="992" t="s">
        <v>1278</v>
      </c>
      <c r="AE38" s="993"/>
      <c r="AF38" s="995">
        <v>-11.2</v>
      </c>
      <c r="AG38" s="996"/>
      <c r="AH38" s="985">
        <v>1.2</v>
      </c>
      <c r="AI38" s="985">
        <v>-0.62</v>
      </c>
    </row>
    <row r="39" spans="1:35">
      <c r="A39" s="986" t="s">
        <v>1252</v>
      </c>
      <c r="B39" s="1582" t="s">
        <v>1720</v>
      </c>
      <c r="C39" s="1583">
        <v>1345</v>
      </c>
      <c r="D39" s="1584">
        <f t="shared" si="0"/>
        <v>861.79058740001426</v>
      </c>
      <c r="E39" s="1586">
        <v>5545</v>
      </c>
      <c r="F39" s="1584">
        <v>-16.2</v>
      </c>
      <c r="G39" s="1585">
        <v>-23.6</v>
      </c>
      <c r="H39" s="1047">
        <v>-16.2</v>
      </c>
      <c r="I39" s="1048"/>
      <c r="J39" s="987">
        <v>77</v>
      </c>
      <c r="K39" s="988"/>
      <c r="L39" s="989">
        <v>51</v>
      </c>
      <c r="M39" s="989">
        <v>168</v>
      </c>
      <c r="N39" s="989">
        <v>90</v>
      </c>
      <c r="O39" s="990">
        <v>42</v>
      </c>
      <c r="P39" s="991">
        <v>0.6</v>
      </c>
      <c r="Q39" s="987"/>
      <c r="R39" s="992" t="s">
        <v>1278</v>
      </c>
      <c r="S39" s="993"/>
      <c r="T39" s="994">
        <v>-10.8</v>
      </c>
      <c r="U39" s="973"/>
      <c r="V39" s="987">
        <v>34</v>
      </c>
      <c r="W39" s="988"/>
      <c r="X39" s="989">
        <v>22</v>
      </c>
      <c r="Y39" s="989">
        <v>65</v>
      </c>
      <c r="Z39" s="989">
        <v>39</v>
      </c>
      <c r="AA39" s="990">
        <v>21</v>
      </c>
      <c r="AB39" s="991">
        <v>1.3</v>
      </c>
      <c r="AC39" s="987"/>
      <c r="AD39" s="992" t="s">
        <v>1278</v>
      </c>
      <c r="AE39" s="993"/>
      <c r="AF39" s="995">
        <v>-23.6</v>
      </c>
      <c r="AG39" s="996"/>
      <c r="AH39" s="985">
        <v>0.49</v>
      </c>
      <c r="AI39" s="985">
        <v>-23.45</v>
      </c>
    </row>
    <row r="40" spans="1:35">
      <c r="A40" s="986" t="s">
        <v>1253</v>
      </c>
      <c r="B40" s="1582" t="s">
        <v>1721</v>
      </c>
      <c r="C40" s="1583">
        <v>460</v>
      </c>
      <c r="D40" s="1584">
        <f t="shared" si="0"/>
        <v>959.20485544662063</v>
      </c>
      <c r="E40" s="1586">
        <v>3214</v>
      </c>
      <c r="F40" s="1584">
        <v>-7.8</v>
      </c>
      <c r="G40" s="1585">
        <v>-14.2</v>
      </c>
      <c r="H40" s="1047">
        <v>-7.8</v>
      </c>
      <c r="I40" s="1048"/>
      <c r="J40" s="987">
        <v>64</v>
      </c>
      <c r="K40" s="988"/>
      <c r="L40" s="989">
        <v>43</v>
      </c>
      <c r="M40" s="989">
        <v>124</v>
      </c>
      <c r="N40" s="989">
        <v>55</v>
      </c>
      <c r="O40" s="990">
        <v>30</v>
      </c>
      <c r="P40" s="991">
        <v>1.5</v>
      </c>
      <c r="Q40" s="987"/>
      <c r="R40" s="992" t="s">
        <v>1282</v>
      </c>
      <c r="S40" s="993"/>
      <c r="T40" s="994">
        <v>-3.8</v>
      </c>
      <c r="U40" s="973"/>
      <c r="V40" s="987">
        <v>24</v>
      </c>
      <c r="W40" s="988"/>
      <c r="X40" s="989">
        <v>12</v>
      </c>
      <c r="Y40" s="989">
        <v>24</v>
      </c>
      <c r="Z40" s="989">
        <v>15</v>
      </c>
      <c r="AA40" s="990">
        <v>12</v>
      </c>
      <c r="AB40" s="991">
        <v>1.7</v>
      </c>
      <c r="AC40" s="987"/>
      <c r="AD40" s="992" t="s">
        <v>1282</v>
      </c>
      <c r="AE40" s="993"/>
      <c r="AF40" s="995">
        <v>-14.2</v>
      </c>
      <c r="AG40" s="996"/>
      <c r="AH40" s="985">
        <v>1.22</v>
      </c>
      <c r="AI40" s="985">
        <v>-8.61</v>
      </c>
    </row>
    <row r="41" spans="1:35">
      <c r="A41" s="986" t="s">
        <v>1254</v>
      </c>
      <c r="B41" s="1582" t="s">
        <v>1704</v>
      </c>
      <c r="C41" s="1583">
        <v>422</v>
      </c>
      <c r="D41" s="1584">
        <f t="shared" si="0"/>
        <v>963.57899634236492</v>
      </c>
      <c r="E41" s="1586">
        <v>3534</v>
      </c>
      <c r="F41" s="1584">
        <v>-7.3</v>
      </c>
      <c r="G41" s="1585">
        <v>-14.2</v>
      </c>
      <c r="H41" s="1047">
        <v>-7.3</v>
      </c>
      <c r="I41" s="1048"/>
      <c r="J41" s="987">
        <v>53</v>
      </c>
      <c r="K41" s="988"/>
      <c r="L41" s="989">
        <v>34</v>
      </c>
      <c r="M41" s="989">
        <v>88</v>
      </c>
      <c r="N41" s="989">
        <v>46</v>
      </c>
      <c r="O41" s="990">
        <v>24</v>
      </c>
      <c r="P41" s="991">
        <v>2.4</v>
      </c>
      <c r="Q41" s="987"/>
      <c r="R41" s="992" t="s">
        <v>1278</v>
      </c>
      <c r="S41" s="993"/>
      <c r="T41" s="994">
        <v>-3.3</v>
      </c>
      <c r="U41" s="973"/>
      <c r="V41" s="987">
        <v>18</v>
      </c>
      <c r="W41" s="988"/>
      <c r="X41" s="989">
        <v>11</v>
      </c>
      <c r="Y41" s="989">
        <v>14</v>
      </c>
      <c r="Z41" s="989">
        <v>12</v>
      </c>
      <c r="AA41" s="990">
        <v>10</v>
      </c>
      <c r="AB41" s="991">
        <v>2.5</v>
      </c>
      <c r="AC41" s="987"/>
      <c r="AD41" s="992" t="s">
        <v>1287</v>
      </c>
      <c r="AE41" s="993"/>
      <c r="AF41" s="995">
        <v>-14.2</v>
      </c>
      <c r="AG41" s="996"/>
      <c r="AH41" s="985">
        <v>1.1299999999999999</v>
      </c>
      <c r="AI41" s="985">
        <v>-12.16</v>
      </c>
    </row>
    <row r="42" spans="1:35">
      <c r="A42" s="986" t="s">
        <v>1255</v>
      </c>
      <c r="B42" s="1582" t="s">
        <v>1713</v>
      </c>
      <c r="C42" s="1583">
        <v>1638</v>
      </c>
      <c r="D42" s="1584">
        <f t="shared" si="0"/>
        <v>831.3662984832946</v>
      </c>
      <c r="E42" s="1586">
        <v>5388</v>
      </c>
      <c r="F42" s="1584">
        <v>-11.1</v>
      </c>
      <c r="G42" s="1585">
        <v>-17</v>
      </c>
      <c r="H42" s="1047">
        <v>-11.1</v>
      </c>
      <c r="I42" s="1048"/>
      <c r="J42" s="987">
        <v>89</v>
      </c>
      <c r="K42" s="988"/>
      <c r="L42" s="989">
        <v>77</v>
      </c>
      <c r="M42" s="989">
        <v>182</v>
      </c>
      <c r="N42" s="989">
        <v>89</v>
      </c>
      <c r="O42" s="990">
        <v>59</v>
      </c>
      <c r="P42" s="991">
        <v>1.3</v>
      </c>
      <c r="Q42" s="987"/>
      <c r="R42" s="992" t="s">
        <v>1290</v>
      </c>
      <c r="S42" s="993"/>
      <c r="T42" s="994">
        <v>-4.9000000000000004</v>
      </c>
      <c r="U42" s="973"/>
      <c r="V42" s="987">
        <v>30</v>
      </c>
      <c r="W42" s="988"/>
      <c r="X42" s="989">
        <v>23</v>
      </c>
      <c r="Y42" s="989">
        <v>42</v>
      </c>
      <c r="Z42" s="989">
        <v>25</v>
      </c>
      <c r="AA42" s="990">
        <v>21</v>
      </c>
      <c r="AB42" s="991">
        <v>1.3</v>
      </c>
      <c r="AC42" s="987"/>
      <c r="AD42" s="992" t="s">
        <v>1290</v>
      </c>
      <c r="AE42" s="993"/>
      <c r="AF42" s="995">
        <v>-17</v>
      </c>
      <c r="AG42" s="996"/>
      <c r="AH42" s="985">
        <v>0.64</v>
      </c>
      <c r="AI42" s="985">
        <v>-4.9000000000000004</v>
      </c>
    </row>
    <row r="43" spans="1:35">
      <c r="A43" s="986" t="s">
        <v>1256</v>
      </c>
      <c r="B43" s="1582" t="s">
        <v>1722</v>
      </c>
      <c r="C43" s="1583">
        <v>425</v>
      </c>
      <c r="D43" s="1584">
        <f t="shared" si="0"/>
        <v>963.23308332324996</v>
      </c>
      <c r="E43" s="1586">
        <v>3432</v>
      </c>
      <c r="F43" s="1584">
        <v>-7.7</v>
      </c>
      <c r="G43" s="1585">
        <v>-14.8</v>
      </c>
      <c r="H43" s="1047">
        <v>-7.7</v>
      </c>
      <c r="I43" s="1048"/>
      <c r="J43" s="987">
        <v>53</v>
      </c>
      <c r="K43" s="988"/>
      <c r="L43" s="989">
        <v>40</v>
      </c>
      <c r="M43" s="989">
        <v>101</v>
      </c>
      <c r="N43" s="989">
        <v>50</v>
      </c>
      <c r="O43" s="990">
        <v>27</v>
      </c>
      <c r="P43" s="991">
        <v>2.2000000000000002</v>
      </c>
      <c r="Q43" s="987"/>
      <c r="R43" s="992" t="s">
        <v>1287</v>
      </c>
      <c r="S43" s="993"/>
      <c r="T43" s="994">
        <v>-3.3</v>
      </c>
      <c r="U43" s="973"/>
      <c r="V43" s="987">
        <v>21</v>
      </c>
      <c r="W43" s="988"/>
      <c r="X43" s="989">
        <v>13</v>
      </c>
      <c r="Y43" s="989">
        <v>21</v>
      </c>
      <c r="Z43" s="989">
        <v>14</v>
      </c>
      <c r="AA43" s="990">
        <v>11</v>
      </c>
      <c r="AB43" s="991">
        <v>2.2999999999999998</v>
      </c>
      <c r="AC43" s="987"/>
      <c r="AD43" s="992" t="s">
        <v>1287</v>
      </c>
      <c r="AE43" s="993"/>
      <c r="AF43" s="995">
        <v>-14.8</v>
      </c>
      <c r="AG43" s="996"/>
      <c r="AH43" s="985">
        <v>1.27</v>
      </c>
      <c r="AI43" s="985">
        <v>-10.28</v>
      </c>
    </row>
    <row r="44" spans="1:35">
      <c r="A44" s="986" t="s">
        <v>1257</v>
      </c>
      <c r="B44" s="1582" t="s">
        <v>1722</v>
      </c>
      <c r="C44" s="1583">
        <v>556</v>
      </c>
      <c r="D44" s="1584">
        <f t="shared" si="0"/>
        <v>948.22596847581406</v>
      </c>
      <c r="E44" s="1586">
        <v>3440</v>
      </c>
      <c r="F44" s="1584">
        <v>-7.5</v>
      </c>
      <c r="G44" s="1585">
        <v>-13.3</v>
      </c>
      <c r="H44" s="1047">
        <v>-7.5</v>
      </c>
      <c r="I44" s="1048"/>
      <c r="J44" s="987">
        <v>53</v>
      </c>
      <c r="K44" s="988"/>
      <c r="L44" s="989">
        <v>41</v>
      </c>
      <c r="M44" s="989">
        <v>102</v>
      </c>
      <c r="N44" s="989">
        <v>48</v>
      </c>
      <c r="O44" s="990">
        <v>28</v>
      </c>
      <c r="P44" s="991">
        <v>2</v>
      </c>
      <c r="Q44" s="987"/>
      <c r="R44" s="992" t="s">
        <v>1287</v>
      </c>
      <c r="S44" s="993"/>
      <c r="T44" s="994">
        <v>-3.8</v>
      </c>
      <c r="U44" s="973"/>
      <c r="V44" s="987">
        <v>19</v>
      </c>
      <c r="W44" s="988"/>
      <c r="X44" s="989">
        <v>13</v>
      </c>
      <c r="Y44" s="989">
        <v>21</v>
      </c>
      <c r="Z44" s="989">
        <v>14</v>
      </c>
      <c r="AA44" s="990">
        <v>12</v>
      </c>
      <c r="AB44" s="991">
        <v>1.9</v>
      </c>
      <c r="AC44" s="987"/>
      <c r="AD44" s="992" t="s">
        <v>1287</v>
      </c>
      <c r="AE44" s="993"/>
      <c r="AF44" s="995">
        <v>-13.3</v>
      </c>
      <c r="AG44" s="996"/>
      <c r="AH44" s="985">
        <v>1.47</v>
      </c>
      <c r="AI44" s="985">
        <v>-7.34</v>
      </c>
    </row>
  </sheetData>
  <mergeCells count="11">
    <mergeCell ref="AB4:AC4"/>
    <mergeCell ref="AF1:AI1"/>
    <mergeCell ref="P2:Q2"/>
    <mergeCell ref="R2:S4"/>
    <mergeCell ref="AB2:AC2"/>
    <mergeCell ref="AD2:AE4"/>
    <mergeCell ref="AF2:AG2"/>
    <mergeCell ref="P3:Q3"/>
    <mergeCell ref="AB3:AC3"/>
    <mergeCell ref="AF3:AG3"/>
    <mergeCell ref="P4:Q4"/>
  </mergeCells>
  <pageMargins left="0.78740157499999996" right="0.78740157499999996" top="0.984251969" bottom="0.984251969" header="0.4921259845" footer="0.4921259845"/>
  <pageSetup paperSize="9" scale="80" orientation="landscape" r:id="rId1"/>
  <headerFooter alignWithMargins="0">
    <oddHeader>&amp;CSIA 2024 Raum-Datenblätter</oddHeader>
    <oddFooter>&amp;CSIA 2024, Copyright © 2021 by SIA Zurich</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blAug"/>
  <dimension ref="A1:DZ195"/>
  <sheetViews>
    <sheetView showRowColHeaders="0" zoomScaleNormal="100" workbookViewId="0">
      <selection activeCell="A3" sqref="A3"/>
    </sheetView>
  </sheetViews>
  <sheetFormatPr baseColWidth="10" defaultRowHeight="12.45"/>
  <cols>
    <col min="6" max="6" width="13" bestFit="1" customWidth="1"/>
    <col min="7" max="7" width="7.765625" bestFit="1" customWidth="1"/>
    <col min="8" max="8" width="9.23046875" bestFit="1" customWidth="1"/>
    <col min="9" max="9" width="12.53515625" bestFit="1" customWidth="1"/>
    <col min="10" max="10" width="12.4609375" bestFit="1" customWidth="1"/>
    <col min="11" max="11" width="14.4609375" bestFit="1" customWidth="1"/>
    <col min="12" max="12" width="13" bestFit="1" customWidth="1"/>
    <col min="14" max="14" width="10.765625" bestFit="1" customWidth="1"/>
    <col min="15" max="15" width="10.4609375" bestFit="1" customWidth="1"/>
  </cols>
  <sheetData>
    <row r="1" spans="1:130">
      <c r="A1" s="1333" t="str">
        <f>INDEX(Winter_Auslegung!A5:A44,Monatswerte!H1)</f>
        <v>Adelboden</v>
      </c>
      <c r="B1" t="s">
        <v>1574</v>
      </c>
      <c r="C1" t="s">
        <v>1575</v>
      </c>
      <c r="D1" s="379" t="s">
        <v>1576</v>
      </c>
      <c r="K1" s="379" t="s">
        <v>1205</v>
      </c>
      <c r="N1" s="379" t="s">
        <v>1219</v>
      </c>
      <c r="Q1" s="379" t="s">
        <v>1220</v>
      </c>
      <c r="T1" s="379" t="s">
        <v>1221</v>
      </c>
      <c r="V1" s="379"/>
      <c r="W1" s="379" t="s">
        <v>1222</v>
      </c>
      <c r="Z1" s="379" t="s">
        <v>1223</v>
      </c>
      <c r="AC1" s="379" t="s">
        <v>1224</v>
      </c>
      <c r="AF1" s="379" t="s">
        <v>1225</v>
      </c>
      <c r="AI1" s="379" t="s">
        <v>1226</v>
      </c>
      <c r="AL1" s="379" t="s">
        <v>1227</v>
      </c>
      <c r="AO1" s="379" t="s">
        <v>1228</v>
      </c>
      <c r="AR1" s="379" t="s">
        <v>1229</v>
      </c>
      <c r="AU1" t="s">
        <v>1230</v>
      </c>
      <c r="AX1" t="s">
        <v>1231</v>
      </c>
      <c r="BA1" s="379" t="s">
        <v>1232</v>
      </c>
      <c r="BD1" t="s">
        <v>1233</v>
      </c>
      <c r="BG1" t="s">
        <v>1234</v>
      </c>
      <c r="BJ1" t="s">
        <v>1235</v>
      </c>
      <c r="BM1" s="379" t="s">
        <v>1236</v>
      </c>
      <c r="BP1" s="379" t="s">
        <v>1237</v>
      </c>
      <c r="BS1" s="379" t="s">
        <v>1238</v>
      </c>
      <c r="BV1" s="379" t="s">
        <v>1239</v>
      </c>
      <c r="BY1" s="379" t="s">
        <v>1240</v>
      </c>
      <c r="CB1" t="s">
        <v>1241</v>
      </c>
      <c r="CE1" t="s">
        <v>1242</v>
      </c>
      <c r="CH1" t="s">
        <v>1243</v>
      </c>
      <c r="CK1" t="s">
        <v>1244</v>
      </c>
      <c r="CN1" t="s">
        <v>1245</v>
      </c>
      <c r="CQ1" s="379" t="s">
        <v>1246</v>
      </c>
      <c r="CT1" t="s">
        <v>1247</v>
      </c>
      <c r="CW1" t="s">
        <v>1248</v>
      </c>
      <c r="CZ1" s="379" t="s">
        <v>1249</v>
      </c>
      <c r="DC1" s="379" t="s">
        <v>1250</v>
      </c>
      <c r="DF1" s="379" t="s">
        <v>1251</v>
      </c>
      <c r="DI1" s="379" t="s">
        <v>1252</v>
      </c>
      <c r="DL1" s="379" t="s">
        <v>1253</v>
      </c>
      <c r="DO1" s="379" t="s">
        <v>1254</v>
      </c>
      <c r="DR1" s="379" t="s">
        <v>1255</v>
      </c>
      <c r="DU1" s="379" t="s">
        <v>1577</v>
      </c>
      <c r="DX1" t="s">
        <v>1257</v>
      </c>
    </row>
    <row r="2" spans="1:130" hidden="1">
      <c r="F2" t="s">
        <v>1566</v>
      </c>
      <c r="G2">
        <v>187</v>
      </c>
      <c r="H2" t="s">
        <v>1567</v>
      </c>
      <c r="I2">
        <v>305</v>
      </c>
      <c r="J2" t="s">
        <v>1568</v>
      </c>
      <c r="K2">
        <v>34</v>
      </c>
      <c r="L2" t="s">
        <v>1569</v>
      </c>
      <c r="N2">
        <v>34</v>
      </c>
      <c r="O2" t="s">
        <v>1569</v>
      </c>
      <c r="Q2">
        <v>34</v>
      </c>
      <c r="R2" t="s">
        <v>1569</v>
      </c>
      <c r="T2">
        <v>34</v>
      </c>
      <c r="U2" t="s">
        <v>1569</v>
      </c>
      <c r="W2">
        <v>34</v>
      </c>
      <c r="X2" t="s">
        <v>1569</v>
      </c>
      <c r="Z2">
        <v>34</v>
      </c>
      <c r="AA2" t="s">
        <v>1569</v>
      </c>
      <c r="AC2">
        <v>34</v>
      </c>
      <c r="AD2" t="s">
        <v>1569</v>
      </c>
      <c r="AF2">
        <v>34</v>
      </c>
      <c r="AG2" t="s">
        <v>1569</v>
      </c>
      <c r="AI2">
        <v>34</v>
      </c>
      <c r="AJ2" t="s">
        <v>1569</v>
      </c>
      <c r="AL2">
        <v>34</v>
      </c>
      <c r="AM2" t="s">
        <v>1569</v>
      </c>
      <c r="AO2">
        <v>34</v>
      </c>
      <c r="AP2" t="s">
        <v>1569</v>
      </c>
      <c r="AR2">
        <v>34</v>
      </c>
      <c r="AS2" t="s">
        <v>1569</v>
      </c>
      <c r="AU2">
        <v>34</v>
      </c>
      <c r="AV2" t="s">
        <v>1569</v>
      </c>
      <c r="AX2">
        <v>34</v>
      </c>
      <c r="AY2" t="s">
        <v>1569</v>
      </c>
      <c r="BA2">
        <v>34</v>
      </c>
      <c r="BB2" t="s">
        <v>1569</v>
      </c>
      <c r="BD2">
        <v>34</v>
      </c>
      <c r="BE2" t="s">
        <v>1569</v>
      </c>
      <c r="BG2">
        <v>34</v>
      </c>
      <c r="BH2" t="s">
        <v>1569</v>
      </c>
      <c r="BJ2">
        <v>34</v>
      </c>
      <c r="BK2" t="s">
        <v>1569</v>
      </c>
      <c r="BM2">
        <v>34</v>
      </c>
      <c r="BN2" t="s">
        <v>1569</v>
      </c>
      <c r="BP2">
        <v>34</v>
      </c>
      <c r="BQ2" t="s">
        <v>1569</v>
      </c>
      <c r="BS2">
        <v>34</v>
      </c>
      <c r="BT2" t="s">
        <v>1569</v>
      </c>
      <c r="BV2">
        <v>34</v>
      </c>
      <c r="BW2" t="s">
        <v>1569</v>
      </c>
      <c r="BY2">
        <v>34</v>
      </c>
      <c r="BZ2" t="s">
        <v>1569</v>
      </c>
      <c r="CB2">
        <v>34</v>
      </c>
      <c r="CC2" t="s">
        <v>1569</v>
      </c>
      <c r="CE2">
        <v>34</v>
      </c>
      <c r="CF2" t="s">
        <v>1569</v>
      </c>
      <c r="CH2">
        <v>34</v>
      </c>
      <c r="CI2" t="s">
        <v>1569</v>
      </c>
      <c r="CK2">
        <v>34</v>
      </c>
      <c r="CL2" t="s">
        <v>1569</v>
      </c>
      <c r="CN2">
        <v>34</v>
      </c>
      <c r="CO2" t="s">
        <v>1569</v>
      </c>
      <c r="CQ2">
        <v>34</v>
      </c>
      <c r="CR2" t="s">
        <v>1569</v>
      </c>
      <c r="CT2">
        <v>34</v>
      </c>
      <c r="CU2" t="s">
        <v>1569</v>
      </c>
      <c r="CW2">
        <v>34</v>
      </c>
      <c r="CX2" t="s">
        <v>1569</v>
      </c>
      <c r="CZ2">
        <v>34</v>
      </c>
      <c r="DA2" t="s">
        <v>1569</v>
      </c>
      <c r="DC2">
        <v>34</v>
      </c>
      <c r="DD2" t="s">
        <v>1569</v>
      </c>
      <c r="DF2">
        <v>34</v>
      </c>
      <c r="DG2" t="s">
        <v>1569</v>
      </c>
      <c r="DI2">
        <v>34</v>
      </c>
      <c r="DJ2" t="s">
        <v>1569</v>
      </c>
      <c r="DL2">
        <v>34</v>
      </c>
      <c r="DM2" t="s">
        <v>1569</v>
      </c>
      <c r="DO2">
        <v>34</v>
      </c>
      <c r="DP2" t="s">
        <v>1569</v>
      </c>
      <c r="DR2">
        <v>34</v>
      </c>
      <c r="DS2" t="s">
        <v>1569</v>
      </c>
      <c r="DU2">
        <v>34</v>
      </c>
      <c r="DV2" t="s">
        <v>1569</v>
      </c>
      <c r="DX2">
        <v>34</v>
      </c>
      <c r="DY2" t="s">
        <v>1569</v>
      </c>
    </row>
    <row r="3" spans="1:130">
      <c r="A3" s="1122">
        <f>'Eigene Nutzung'!G1</f>
        <v>1</v>
      </c>
      <c r="B3" s="379" t="s">
        <v>3</v>
      </c>
      <c r="C3" s="379" t="s">
        <v>1578</v>
      </c>
      <c r="D3" s="379" t="s">
        <v>24</v>
      </c>
      <c r="F3" t="s">
        <v>1570</v>
      </c>
      <c r="G3" t="s">
        <v>1571</v>
      </c>
      <c r="H3" t="s">
        <v>354</v>
      </c>
      <c r="I3" t="s">
        <v>1572</v>
      </c>
      <c r="J3" t="s">
        <v>1573</v>
      </c>
      <c r="K3" t="s">
        <v>1574</v>
      </c>
      <c r="L3" t="s">
        <v>1575</v>
      </c>
      <c r="M3" s="379" t="s">
        <v>1576</v>
      </c>
      <c r="N3" t="s">
        <v>1574</v>
      </c>
      <c r="O3" t="s">
        <v>1575</v>
      </c>
      <c r="P3" t="s">
        <v>1576</v>
      </c>
      <c r="Q3" t="s">
        <v>1574</v>
      </c>
      <c r="R3" t="s">
        <v>1575</v>
      </c>
      <c r="S3" t="s">
        <v>1576</v>
      </c>
      <c r="T3" t="s">
        <v>1574</v>
      </c>
      <c r="U3" t="s">
        <v>1575</v>
      </c>
      <c r="V3" t="s">
        <v>1576</v>
      </c>
      <c r="W3" t="s">
        <v>1574</v>
      </c>
      <c r="X3" t="s">
        <v>1575</v>
      </c>
      <c r="Y3" t="s">
        <v>1576</v>
      </c>
      <c r="Z3" t="s">
        <v>1574</v>
      </c>
      <c r="AA3" t="s">
        <v>1575</v>
      </c>
      <c r="AB3" t="s">
        <v>1576</v>
      </c>
      <c r="AC3" t="s">
        <v>1574</v>
      </c>
      <c r="AD3" t="s">
        <v>1575</v>
      </c>
      <c r="AE3" t="s">
        <v>1576</v>
      </c>
      <c r="AF3" t="s">
        <v>1574</v>
      </c>
      <c r="AG3" t="s">
        <v>1575</v>
      </c>
      <c r="AH3" t="s">
        <v>1576</v>
      </c>
      <c r="AI3" t="s">
        <v>1574</v>
      </c>
      <c r="AJ3" t="s">
        <v>1575</v>
      </c>
      <c r="AK3" t="s">
        <v>1576</v>
      </c>
      <c r="AL3" t="s">
        <v>1574</v>
      </c>
      <c r="AM3" t="s">
        <v>1575</v>
      </c>
      <c r="AN3" t="s">
        <v>1576</v>
      </c>
      <c r="AO3" t="s">
        <v>1574</v>
      </c>
      <c r="AP3" t="s">
        <v>1575</v>
      </c>
      <c r="AQ3" t="s">
        <v>1576</v>
      </c>
      <c r="AR3" t="s">
        <v>1574</v>
      </c>
      <c r="AS3" t="s">
        <v>1575</v>
      </c>
      <c r="AT3" t="s">
        <v>1576</v>
      </c>
      <c r="AU3" t="s">
        <v>1574</v>
      </c>
      <c r="AV3" t="s">
        <v>1575</v>
      </c>
      <c r="AW3" t="s">
        <v>1576</v>
      </c>
      <c r="AX3" t="s">
        <v>1574</v>
      </c>
      <c r="AY3" t="s">
        <v>1575</v>
      </c>
      <c r="AZ3" t="s">
        <v>1576</v>
      </c>
      <c r="BA3" t="s">
        <v>1574</v>
      </c>
      <c r="BB3" t="s">
        <v>1575</v>
      </c>
      <c r="BC3" t="s">
        <v>1576</v>
      </c>
      <c r="BD3" t="s">
        <v>1574</v>
      </c>
      <c r="BE3" t="s">
        <v>1575</v>
      </c>
      <c r="BF3" t="s">
        <v>1576</v>
      </c>
      <c r="BG3" t="s">
        <v>1574</v>
      </c>
      <c r="BH3" t="s">
        <v>1575</v>
      </c>
      <c r="BI3" t="s">
        <v>1576</v>
      </c>
      <c r="BJ3" t="s">
        <v>1574</v>
      </c>
      <c r="BK3" t="s">
        <v>1575</v>
      </c>
      <c r="BL3" t="s">
        <v>1576</v>
      </c>
      <c r="BM3" t="s">
        <v>1574</v>
      </c>
      <c r="BN3" t="s">
        <v>1575</v>
      </c>
      <c r="BO3" t="s">
        <v>1576</v>
      </c>
      <c r="BP3" t="s">
        <v>1574</v>
      </c>
      <c r="BQ3" t="s">
        <v>1575</v>
      </c>
      <c r="BR3" t="s">
        <v>1576</v>
      </c>
      <c r="BS3" t="s">
        <v>1574</v>
      </c>
      <c r="BT3" t="s">
        <v>1575</v>
      </c>
      <c r="BU3" t="s">
        <v>1576</v>
      </c>
      <c r="BV3" t="s">
        <v>1574</v>
      </c>
      <c r="BW3" t="s">
        <v>1575</v>
      </c>
      <c r="BX3" t="s">
        <v>1576</v>
      </c>
      <c r="BY3" t="s">
        <v>1574</v>
      </c>
      <c r="BZ3" t="s">
        <v>1575</v>
      </c>
      <c r="CA3" t="s">
        <v>1576</v>
      </c>
      <c r="CB3" t="s">
        <v>1574</v>
      </c>
      <c r="CC3" t="s">
        <v>1575</v>
      </c>
      <c r="CD3" t="s">
        <v>1576</v>
      </c>
      <c r="CE3" t="s">
        <v>1574</v>
      </c>
      <c r="CF3" t="s">
        <v>1575</v>
      </c>
      <c r="CG3" t="s">
        <v>1576</v>
      </c>
      <c r="CH3" t="s">
        <v>1574</v>
      </c>
      <c r="CI3" t="s">
        <v>1575</v>
      </c>
      <c r="CJ3" t="s">
        <v>1576</v>
      </c>
      <c r="CK3" t="s">
        <v>1574</v>
      </c>
      <c r="CL3" t="s">
        <v>1575</v>
      </c>
      <c r="CM3" t="s">
        <v>1576</v>
      </c>
      <c r="CN3" t="s">
        <v>1574</v>
      </c>
      <c r="CO3" t="s">
        <v>1575</v>
      </c>
      <c r="CP3" t="s">
        <v>1576</v>
      </c>
      <c r="CQ3" t="s">
        <v>1574</v>
      </c>
      <c r="CR3" t="s">
        <v>1575</v>
      </c>
      <c r="CS3" t="s">
        <v>1576</v>
      </c>
      <c r="CT3" t="s">
        <v>1574</v>
      </c>
      <c r="CU3" t="s">
        <v>1575</v>
      </c>
      <c r="CV3" t="s">
        <v>1576</v>
      </c>
      <c r="CW3" t="s">
        <v>1574</v>
      </c>
      <c r="CX3" t="s">
        <v>1575</v>
      </c>
      <c r="CY3" t="s">
        <v>1576</v>
      </c>
      <c r="CZ3" t="s">
        <v>1574</v>
      </c>
      <c r="DA3" t="s">
        <v>1575</v>
      </c>
      <c r="DB3" t="s">
        <v>1576</v>
      </c>
      <c r="DC3" t="s">
        <v>1574</v>
      </c>
      <c r="DD3" t="s">
        <v>1575</v>
      </c>
      <c r="DE3" t="s">
        <v>1576</v>
      </c>
      <c r="DF3" t="s">
        <v>1574</v>
      </c>
      <c r="DG3" t="s">
        <v>1575</v>
      </c>
      <c r="DH3" t="s">
        <v>1576</v>
      </c>
      <c r="DI3" t="s">
        <v>1574</v>
      </c>
      <c r="DJ3" t="s">
        <v>1575</v>
      </c>
      <c r="DK3" t="s">
        <v>1576</v>
      </c>
      <c r="DL3" t="s">
        <v>1574</v>
      </c>
      <c r="DM3" t="s">
        <v>1575</v>
      </c>
      <c r="DN3" t="s">
        <v>1576</v>
      </c>
      <c r="DO3" t="s">
        <v>1574</v>
      </c>
      <c r="DP3" t="s">
        <v>1575</v>
      </c>
      <c r="DQ3" t="s">
        <v>1576</v>
      </c>
      <c r="DR3" t="s">
        <v>1574</v>
      </c>
      <c r="DS3" t="s">
        <v>1575</v>
      </c>
      <c r="DT3" t="s">
        <v>1576</v>
      </c>
      <c r="DU3" t="s">
        <v>1574</v>
      </c>
      <c r="DV3" t="s">
        <v>1575</v>
      </c>
      <c r="DW3" t="s">
        <v>1576</v>
      </c>
      <c r="DX3" t="s">
        <v>1574</v>
      </c>
      <c r="DY3" t="s">
        <v>1575</v>
      </c>
      <c r="DZ3" t="s">
        <v>1576</v>
      </c>
    </row>
    <row r="4" spans="1:130" hidden="1">
      <c r="A4">
        <v>1</v>
      </c>
      <c r="F4">
        <v>3625</v>
      </c>
      <c r="G4">
        <v>22</v>
      </c>
      <c r="H4">
        <v>1</v>
      </c>
      <c r="I4">
        <v>1</v>
      </c>
      <c r="J4">
        <v>6</v>
      </c>
      <c r="K4">
        <v>129</v>
      </c>
      <c r="L4">
        <v>68</v>
      </c>
      <c r="M4">
        <v>0</v>
      </c>
      <c r="N4">
        <v>163</v>
      </c>
      <c r="O4">
        <v>80</v>
      </c>
      <c r="P4">
        <v>0</v>
      </c>
      <c r="Q4">
        <v>175</v>
      </c>
      <c r="R4">
        <v>75</v>
      </c>
      <c r="S4">
        <v>0</v>
      </c>
      <c r="T4">
        <v>158</v>
      </c>
      <c r="U4">
        <v>73</v>
      </c>
      <c r="V4">
        <v>0</v>
      </c>
      <c r="W4">
        <v>171</v>
      </c>
      <c r="X4">
        <v>84</v>
      </c>
      <c r="Y4">
        <v>0</v>
      </c>
      <c r="Z4">
        <v>136</v>
      </c>
      <c r="AA4">
        <v>77</v>
      </c>
      <c r="AB4">
        <v>0</v>
      </c>
      <c r="AC4">
        <v>194</v>
      </c>
      <c r="AD4">
        <v>42</v>
      </c>
      <c r="AE4">
        <v>0</v>
      </c>
      <c r="AF4">
        <v>112</v>
      </c>
      <c r="AG4">
        <v>77</v>
      </c>
      <c r="AH4">
        <v>0</v>
      </c>
      <c r="AI4">
        <v>154</v>
      </c>
      <c r="AJ4">
        <v>44</v>
      </c>
      <c r="AK4">
        <v>0</v>
      </c>
      <c r="AL4">
        <v>127</v>
      </c>
      <c r="AM4">
        <v>86</v>
      </c>
      <c r="AN4">
        <v>0</v>
      </c>
      <c r="AO4">
        <v>184</v>
      </c>
      <c r="AP4">
        <v>74</v>
      </c>
      <c r="AQ4">
        <v>0</v>
      </c>
      <c r="AR4">
        <v>157</v>
      </c>
      <c r="AS4">
        <v>67</v>
      </c>
      <c r="AT4">
        <v>0</v>
      </c>
      <c r="AU4">
        <v>113</v>
      </c>
      <c r="AV4">
        <v>55</v>
      </c>
      <c r="AW4">
        <v>0</v>
      </c>
      <c r="AX4">
        <v>159</v>
      </c>
      <c r="AY4">
        <v>86</v>
      </c>
      <c r="AZ4">
        <v>0</v>
      </c>
      <c r="BA4">
        <v>162</v>
      </c>
      <c r="BB4">
        <v>70</v>
      </c>
      <c r="BC4">
        <v>0</v>
      </c>
      <c r="BD4">
        <v>117</v>
      </c>
      <c r="BE4">
        <v>71</v>
      </c>
      <c r="BF4">
        <v>0</v>
      </c>
      <c r="BG4">
        <v>142</v>
      </c>
      <c r="BH4">
        <v>59</v>
      </c>
      <c r="BI4">
        <v>0</v>
      </c>
      <c r="BJ4">
        <v>232</v>
      </c>
      <c r="BK4">
        <v>38</v>
      </c>
      <c r="BL4">
        <v>0</v>
      </c>
      <c r="BM4">
        <v>230</v>
      </c>
      <c r="BN4">
        <v>28</v>
      </c>
      <c r="BO4">
        <v>0</v>
      </c>
      <c r="BP4">
        <v>186</v>
      </c>
      <c r="BQ4">
        <v>67</v>
      </c>
      <c r="BR4">
        <v>0</v>
      </c>
      <c r="BS4">
        <v>200</v>
      </c>
      <c r="BT4">
        <v>55</v>
      </c>
      <c r="BU4">
        <v>0</v>
      </c>
      <c r="BV4">
        <v>146</v>
      </c>
      <c r="BW4">
        <v>47</v>
      </c>
      <c r="BX4">
        <v>0</v>
      </c>
      <c r="BY4">
        <v>205</v>
      </c>
      <c r="BZ4">
        <v>64</v>
      </c>
      <c r="CA4">
        <v>0</v>
      </c>
      <c r="CB4">
        <v>154</v>
      </c>
      <c r="CC4">
        <v>78</v>
      </c>
      <c r="CD4">
        <v>0</v>
      </c>
      <c r="CE4">
        <v>173</v>
      </c>
      <c r="CF4">
        <v>54</v>
      </c>
      <c r="CG4">
        <v>0</v>
      </c>
      <c r="CH4">
        <v>208</v>
      </c>
      <c r="CI4">
        <v>64</v>
      </c>
      <c r="CJ4">
        <v>0</v>
      </c>
      <c r="CK4">
        <v>136</v>
      </c>
      <c r="CL4">
        <v>52</v>
      </c>
      <c r="CM4">
        <v>0</v>
      </c>
      <c r="CN4">
        <v>159</v>
      </c>
      <c r="CO4">
        <v>59</v>
      </c>
      <c r="CP4">
        <v>0</v>
      </c>
      <c r="CQ4">
        <v>70</v>
      </c>
      <c r="CR4">
        <v>87</v>
      </c>
      <c r="CS4">
        <v>0</v>
      </c>
      <c r="CT4">
        <v>113</v>
      </c>
      <c r="CU4">
        <v>59</v>
      </c>
      <c r="CV4">
        <v>0</v>
      </c>
      <c r="CW4">
        <v>195</v>
      </c>
      <c r="CX4">
        <v>58</v>
      </c>
      <c r="CY4">
        <v>0</v>
      </c>
      <c r="CZ4">
        <v>179</v>
      </c>
      <c r="DA4">
        <v>83</v>
      </c>
      <c r="DB4">
        <v>0</v>
      </c>
      <c r="DC4">
        <v>129</v>
      </c>
      <c r="DD4">
        <v>69</v>
      </c>
      <c r="DE4">
        <v>0</v>
      </c>
      <c r="DF4">
        <v>173</v>
      </c>
      <c r="DG4">
        <v>62</v>
      </c>
      <c r="DH4">
        <v>0</v>
      </c>
      <c r="DI4">
        <v>84</v>
      </c>
      <c r="DJ4">
        <v>90</v>
      </c>
      <c r="DK4">
        <v>0</v>
      </c>
      <c r="DL4">
        <v>158</v>
      </c>
      <c r="DM4">
        <v>75</v>
      </c>
      <c r="DN4">
        <v>0</v>
      </c>
      <c r="DO4">
        <v>142</v>
      </c>
      <c r="DP4">
        <v>81</v>
      </c>
      <c r="DQ4">
        <v>0</v>
      </c>
      <c r="DR4">
        <v>139</v>
      </c>
      <c r="DS4">
        <v>67</v>
      </c>
      <c r="DT4">
        <v>0</v>
      </c>
      <c r="DU4">
        <v>131</v>
      </c>
      <c r="DV4">
        <v>70</v>
      </c>
      <c r="DW4">
        <v>0</v>
      </c>
      <c r="DX4">
        <v>161</v>
      </c>
      <c r="DY4">
        <v>56</v>
      </c>
      <c r="DZ4">
        <v>0</v>
      </c>
    </row>
    <row r="5" spans="1:130" hidden="1">
      <c r="A5">
        <v>2</v>
      </c>
      <c r="F5">
        <v>3626</v>
      </c>
      <c r="G5">
        <v>22</v>
      </c>
      <c r="H5">
        <v>1</v>
      </c>
      <c r="I5">
        <v>2</v>
      </c>
      <c r="J5">
        <v>6</v>
      </c>
      <c r="K5">
        <v>130</v>
      </c>
      <c r="L5">
        <v>63</v>
      </c>
      <c r="M5">
        <v>0</v>
      </c>
      <c r="N5">
        <v>152</v>
      </c>
      <c r="O5">
        <v>85</v>
      </c>
      <c r="P5">
        <v>0</v>
      </c>
      <c r="Q5">
        <v>169</v>
      </c>
      <c r="R5">
        <v>77</v>
      </c>
      <c r="S5">
        <v>0</v>
      </c>
      <c r="T5">
        <v>157</v>
      </c>
      <c r="U5">
        <v>74</v>
      </c>
      <c r="V5">
        <v>0</v>
      </c>
      <c r="W5">
        <v>163</v>
      </c>
      <c r="X5">
        <v>86</v>
      </c>
      <c r="Y5">
        <v>0</v>
      </c>
      <c r="Z5">
        <v>135</v>
      </c>
      <c r="AA5">
        <v>78</v>
      </c>
      <c r="AB5">
        <v>0</v>
      </c>
      <c r="AC5">
        <v>186</v>
      </c>
      <c r="AD5">
        <v>45</v>
      </c>
      <c r="AE5">
        <v>0</v>
      </c>
      <c r="AF5">
        <v>106</v>
      </c>
      <c r="AG5">
        <v>79</v>
      </c>
      <c r="AH5">
        <v>0</v>
      </c>
      <c r="AI5">
        <v>147</v>
      </c>
      <c r="AJ5">
        <v>45</v>
      </c>
      <c r="AK5">
        <v>0</v>
      </c>
      <c r="AL5">
        <v>127</v>
      </c>
      <c r="AM5">
        <v>83</v>
      </c>
      <c r="AN5">
        <v>0</v>
      </c>
      <c r="AO5">
        <v>179</v>
      </c>
      <c r="AP5">
        <v>72</v>
      </c>
      <c r="AQ5">
        <v>0</v>
      </c>
      <c r="AR5">
        <v>150</v>
      </c>
      <c r="AS5">
        <v>71</v>
      </c>
      <c r="AT5">
        <v>0</v>
      </c>
      <c r="AU5">
        <v>108</v>
      </c>
      <c r="AV5">
        <v>54</v>
      </c>
      <c r="AW5">
        <v>0</v>
      </c>
      <c r="AX5">
        <v>154</v>
      </c>
      <c r="AY5">
        <v>88</v>
      </c>
      <c r="AZ5">
        <v>0</v>
      </c>
      <c r="BA5">
        <v>153</v>
      </c>
      <c r="BB5">
        <v>72</v>
      </c>
      <c r="BC5">
        <v>0</v>
      </c>
      <c r="BD5">
        <v>112</v>
      </c>
      <c r="BE5">
        <v>71</v>
      </c>
      <c r="BF5">
        <v>0</v>
      </c>
      <c r="BG5">
        <v>141</v>
      </c>
      <c r="BH5">
        <v>57</v>
      </c>
      <c r="BI5">
        <v>0</v>
      </c>
      <c r="BJ5">
        <v>225</v>
      </c>
      <c r="BK5">
        <v>40</v>
      </c>
      <c r="BL5">
        <v>0</v>
      </c>
      <c r="BM5">
        <v>221</v>
      </c>
      <c r="BN5">
        <v>32</v>
      </c>
      <c r="BO5">
        <v>0</v>
      </c>
      <c r="BP5">
        <v>171</v>
      </c>
      <c r="BQ5">
        <v>73</v>
      </c>
      <c r="BR5">
        <v>0</v>
      </c>
      <c r="BS5">
        <v>192</v>
      </c>
      <c r="BT5">
        <v>58</v>
      </c>
      <c r="BU5">
        <v>0</v>
      </c>
      <c r="BV5">
        <v>141</v>
      </c>
      <c r="BW5">
        <v>47</v>
      </c>
      <c r="BX5">
        <v>0</v>
      </c>
      <c r="BY5">
        <v>195</v>
      </c>
      <c r="BZ5">
        <v>66</v>
      </c>
      <c r="CA5">
        <v>0</v>
      </c>
      <c r="CB5">
        <v>145</v>
      </c>
      <c r="CC5">
        <v>79</v>
      </c>
      <c r="CD5">
        <v>0</v>
      </c>
      <c r="CE5">
        <v>186</v>
      </c>
      <c r="CF5">
        <v>50</v>
      </c>
      <c r="CG5">
        <v>0</v>
      </c>
      <c r="CH5">
        <v>203</v>
      </c>
      <c r="CI5">
        <v>66</v>
      </c>
      <c r="CJ5">
        <v>0</v>
      </c>
      <c r="CK5">
        <v>122</v>
      </c>
      <c r="CL5">
        <v>58</v>
      </c>
      <c r="CM5">
        <v>0</v>
      </c>
      <c r="CN5">
        <v>150</v>
      </c>
      <c r="CO5">
        <v>60</v>
      </c>
      <c r="CP5">
        <v>0</v>
      </c>
      <c r="CQ5">
        <v>56</v>
      </c>
      <c r="CR5">
        <v>89</v>
      </c>
      <c r="CS5">
        <v>0</v>
      </c>
      <c r="CT5">
        <v>98</v>
      </c>
      <c r="CU5">
        <v>63</v>
      </c>
      <c r="CV5">
        <v>0</v>
      </c>
      <c r="CW5">
        <v>189</v>
      </c>
      <c r="CX5">
        <v>57</v>
      </c>
      <c r="CY5">
        <v>0</v>
      </c>
      <c r="CZ5">
        <v>181</v>
      </c>
      <c r="DA5">
        <v>84</v>
      </c>
      <c r="DB5">
        <v>0</v>
      </c>
      <c r="DC5">
        <v>127</v>
      </c>
      <c r="DD5">
        <v>69</v>
      </c>
      <c r="DE5">
        <v>0</v>
      </c>
      <c r="DF5">
        <v>164</v>
      </c>
      <c r="DG5">
        <v>65</v>
      </c>
      <c r="DH5">
        <v>0</v>
      </c>
      <c r="DI5">
        <v>76</v>
      </c>
      <c r="DJ5">
        <v>91</v>
      </c>
      <c r="DK5">
        <v>0</v>
      </c>
      <c r="DL5">
        <v>205</v>
      </c>
      <c r="DM5">
        <v>47</v>
      </c>
      <c r="DN5">
        <v>0</v>
      </c>
      <c r="DO5">
        <v>133</v>
      </c>
      <c r="DP5">
        <v>83</v>
      </c>
      <c r="DQ5">
        <v>0</v>
      </c>
      <c r="DR5">
        <v>134</v>
      </c>
      <c r="DS5">
        <v>68</v>
      </c>
      <c r="DT5">
        <v>0</v>
      </c>
      <c r="DU5">
        <v>133</v>
      </c>
      <c r="DV5">
        <v>71</v>
      </c>
      <c r="DW5">
        <v>0</v>
      </c>
      <c r="DX5">
        <v>158</v>
      </c>
      <c r="DY5">
        <v>61</v>
      </c>
      <c r="DZ5">
        <v>0</v>
      </c>
    </row>
    <row r="6" spans="1:130" hidden="1">
      <c r="A6">
        <v>3</v>
      </c>
      <c r="F6">
        <v>3627</v>
      </c>
      <c r="G6">
        <v>22</v>
      </c>
      <c r="H6">
        <v>1</v>
      </c>
      <c r="I6">
        <v>3</v>
      </c>
      <c r="J6">
        <v>6</v>
      </c>
      <c r="K6">
        <v>128</v>
      </c>
      <c r="L6">
        <v>58</v>
      </c>
      <c r="M6">
        <v>0</v>
      </c>
      <c r="N6">
        <v>146</v>
      </c>
      <c r="O6">
        <v>87</v>
      </c>
      <c r="P6">
        <v>0</v>
      </c>
      <c r="Q6">
        <v>158</v>
      </c>
      <c r="R6">
        <v>81</v>
      </c>
      <c r="S6">
        <v>0</v>
      </c>
      <c r="T6">
        <v>155</v>
      </c>
      <c r="U6">
        <v>73</v>
      </c>
      <c r="V6">
        <v>0</v>
      </c>
      <c r="W6">
        <v>162</v>
      </c>
      <c r="X6">
        <v>86</v>
      </c>
      <c r="Y6">
        <v>0</v>
      </c>
      <c r="Z6">
        <v>133</v>
      </c>
      <c r="AA6">
        <v>77</v>
      </c>
      <c r="AB6">
        <v>0</v>
      </c>
      <c r="AC6">
        <v>179</v>
      </c>
      <c r="AD6">
        <v>47</v>
      </c>
      <c r="AE6">
        <v>0</v>
      </c>
      <c r="AF6">
        <v>102</v>
      </c>
      <c r="AG6">
        <v>79</v>
      </c>
      <c r="AH6">
        <v>0</v>
      </c>
      <c r="AI6">
        <v>137</v>
      </c>
      <c r="AJ6">
        <v>48</v>
      </c>
      <c r="AK6">
        <v>0</v>
      </c>
      <c r="AL6">
        <v>120</v>
      </c>
      <c r="AM6">
        <v>84</v>
      </c>
      <c r="AN6">
        <v>0</v>
      </c>
      <c r="AO6">
        <v>166</v>
      </c>
      <c r="AP6">
        <v>77</v>
      </c>
      <c r="AQ6">
        <v>0</v>
      </c>
      <c r="AR6">
        <v>142</v>
      </c>
      <c r="AS6">
        <v>74</v>
      </c>
      <c r="AT6">
        <v>0</v>
      </c>
      <c r="AU6">
        <v>110</v>
      </c>
      <c r="AV6">
        <v>51</v>
      </c>
      <c r="AW6">
        <v>0</v>
      </c>
      <c r="AX6">
        <v>145</v>
      </c>
      <c r="AY6">
        <v>90</v>
      </c>
      <c r="AZ6">
        <v>0</v>
      </c>
      <c r="BA6">
        <v>147</v>
      </c>
      <c r="BB6">
        <v>74</v>
      </c>
      <c r="BC6">
        <v>0</v>
      </c>
      <c r="BD6">
        <v>104</v>
      </c>
      <c r="BE6">
        <v>74</v>
      </c>
      <c r="BF6">
        <v>0</v>
      </c>
      <c r="BG6">
        <v>136</v>
      </c>
      <c r="BH6">
        <v>58</v>
      </c>
      <c r="BI6">
        <v>0</v>
      </c>
      <c r="BJ6">
        <v>219</v>
      </c>
      <c r="BK6">
        <v>42</v>
      </c>
      <c r="BL6">
        <v>0</v>
      </c>
      <c r="BM6">
        <v>216</v>
      </c>
      <c r="BN6">
        <v>36</v>
      </c>
      <c r="BO6">
        <v>0</v>
      </c>
      <c r="BP6">
        <v>172</v>
      </c>
      <c r="BQ6">
        <v>71</v>
      </c>
      <c r="BR6">
        <v>0</v>
      </c>
      <c r="BS6">
        <v>179</v>
      </c>
      <c r="BT6">
        <v>64</v>
      </c>
      <c r="BU6">
        <v>0</v>
      </c>
      <c r="BV6">
        <v>142</v>
      </c>
      <c r="BW6">
        <v>46</v>
      </c>
      <c r="BX6">
        <v>0</v>
      </c>
      <c r="BY6">
        <v>185</v>
      </c>
      <c r="BZ6">
        <v>68</v>
      </c>
      <c r="CA6">
        <v>0</v>
      </c>
      <c r="CB6">
        <v>138</v>
      </c>
      <c r="CC6">
        <v>80</v>
      </c>
      <c r="CD6">
        <v>0</v>
      </c>
      <c r="CE6">
        <v>191</v>
      </c>
      <c r="CF6">
        <v>47</v>
      </c>
      <c r="CG6">
        <v>0</v>
      </c>
      <c r="CH6">
        <v>196</v>
      </c>
      <c r="CI6">
        <v>68</v>
      </c>
      <c r="CJ6">
        <v>0</v>
      </c>
      <c r="CK6">
        <v>122</v>
      </c>
      <c r="CL6">
        <v>59</v>
      </c>
      <c r="CM6">
        <v>0</v>
      </c>
      <c r="CN6">
        <v>147</v>
      </c>
      <c r="CO6">
        <v>63</v>
      </c>
      <c r="CP6">
        <v>0</v>
      </c>
      <c r="CQ6">
        <v>43</v>
      </c>
      <c r="CR6">
        <v>93</v>
      </c>
      <c r="CS6">
        <v>0</v>
      </c>
      <c r="CT6">
        <v>90</v>
      </c>
      <c r="CU6">
        <v>64</v>
      </c>
      <c r="CV6">
        <v>0</v>
      </c>
      <c r="CW6">
        <v>190</v>
      </c>
      <c r="CX6">
        <v>55</v>
      </c>
      <c r="CY6">
        <v>0</v>
      </c>
      <c r="CZ6">
        <v>178</v>
      </c>
      <c r="DA6">
        <v>85</v>
      </c>
      <c r="DB6">
        <v>0</v>
      </c>
      <c r="DC6">
        <v>120</v>
      </c>
      <c r="DD6">
        <v>71</v>
      </c>
      <c r="DE6">
        <v>0</v>
      </c>
      <c r="DF6">
        <v>151</v>
      </c>
      <c r="DG6">
        <v>69</v>
      </c>
      <c r="DH6">
        <v>0</v>
      </c>
      <c r="DI6">
        <v>69</v>
      </c>
      <c r="DJ6">
        <v>92</v>
      </c>
      <c r="DK6">
        <v>0</v>
      </c>
      <c r="DL6">
        <v>207</v>
      </c>
      <c r="DM6">
        <v>45</v>
      </c>
      <c r="DN6">
        <v>0</v>
      </c>
      <c r="DO6">
        <v>128</v>
      </c>
      <c r="DP6">
        <v>83</v>
      </c>
      <c r="DQ6">
        <v>0</v>
      </c>
      <c r="DR6">
        <v>136</v>
      </c>
      <c r="DS6">
        <v>66</v>
      </c>
      <c r="DT6">
        <v>0</v>
      </c>
      <c r="DU6">
        <v>131</v>
      </c>
      <c r="DV6">
        <v>74</v>
      </c>
      <c r="DW6">
        <v>0</v>
      </c>
      <c r="DX6">
        <v>153</v>
      </c>
      <c r="DY6">
        <v>65</v>
      </c>
      <c r="DZ6">
        <v>0</v>
      </c>
    </row>
    <row r="7" spans="1:130" hidden="1">
      <c r="A7">
        <v>4</v>
      </c>
      <c r="F7">
        <v>3628</v>
      </c>
      <c r="G7">
        <v>22</v>
      </c>
      <c r="H7">
        <v>1</v>
      </c>
      <c r="I7">
        <v>4</v>
      </c>
      <c r="J7">
        <v>6</v>
      </c>
      <c r="K7">
        <v>136</v>
      </c>
      <c r="L7">
        <v>50</v>
      </c>
      <c r="M7">
        <v>0</v>
      </c>
      <c r="N7">
        <v>153</v>
      </c>
      <c r="O7">
        <v>79</v>
      </c>
      <c r="P7">
        <v>0</v>
      </c>
      <c r="Q7">
        <v>156</v>
      </c>
      <c r="R7">
        <v>81</v>
      </c>
      <c r="S7">
        <v>0</v>
      </c>
      <c r="T7">
        <v>147</v>
      </c>
      <c r="U7">
        <v>73</v>
      </c>
      <c r="V7">
        <v>0</v>
      </c>
      <c r="W7">
        <v>157</v>
      </c>
      <c r="X7">
        <v>87</v>
      </c>
      <c r="Y7">
        <v>0</v>
      </c>
      <c r="Z7">
        <v>123</v>
      </c>
      <c r="AA7">
        <v>81</v>
      </c>
      <c r="AB7">
        <v>0</v>
      </c>
      <c r="AC7">
        <v>166</v>
      </c>
      <c r="AD7">
        <v>52</v>
      </c>
      <c r="AE7">
        <v>0</v>
      </c>
      <c r="AF7">
        <v>100</v>
      </c>
      <c r="AG7">
        <v>79</v>
      </c>
      <c r="AH7">
        <v>0</v>
      </c>
      <c r="AI7">
        <v>133</v>
      </c>
      <c r="AJ7">
        <v>48</v>
      </c>
      <c r="AK7">
        <v>0</v>
      </c>
      <c r="AL7">
        <v>119</v>
      </c>
      <c r="AM7">
        <v>81</v>
      </c>
      <c r="AN7">
        <v>0</v>
      </c>
      <c r="AO7">
        <v>158</v>
      </c>
      <c r="AP7">
        <v>76</v>
      </c>
      <c r="AQ7">
        <v>0</v>
      </c>
      <c r="AR7">
        <v>143</v>
      </c>
      <c r="AS7">
        <v>72</v>
      </c>
      <c r="AT7">
        <v>0</v>
      </c>
      <c r="AU7">
        <v>108</v>
      </c>
      <c r="AV7">
        <v>42</v>
      </c>
      <c r="AW7">
        <v>0</v>
      </c>
      <c r="AX7">
        <v>140</v>
      </c>
      <c r="AY7">
        <v>91</v>
      </c>
      <c r="AZ7">
        <v>0</v>
      </c>
      <c r="BA7">
        <v>143</v>
      </c>
      <c r="BB7">
        <v>75</v>
      </c>
      <c r="BC7">
        <v>0</v>
      </c>
      <c r="BD7">
        <v>104</v>
      </c>
      <c r="BE7">
        <v>74</v>
      </c>
      <c r="BF7">
        <v>0</v>
      </c>
      <c r="BG7">
        <v>139</v>
      </c>
      <c r="BH7">
        <v>56</v>
      </c>
      <c r="BI7">
        <v>0</v>
      </c>
      <c r="BJ7">
        <v>213</v>
      </c>
      <c r="BK7">
        <v>44</v>
      </c>
      <c r="BL7">
        <v>0</v>
      </c>
      <c r="BM7">
        <v>211</v>
      </c>
      <c r="BN7">
        <v>41</v>
      </c>
      <c r="BO7">
        <v>0</v>
      </c>
      <c r="BP7">
        <v>169</v>
      </c>
      <c r="BQ7">
        <v>70</v>
      </c>
      <c r="BR7">
        <v>0</v>
      </c>
      <c r="BS7">
        <v>159</v>
      </c>
      <c r="BT7">
        <v>72</v>
      </c>
      <c r="BU7">
        <v>0</v>
      </c>
      <c r="BV7">
        <v>136</v>
      </c>
      <c r="BW7">
        <v>49</v>
      </c>
      <c r="BX7">
        <v>0</v>
      </c>
      <c r="BY7">
        <v>175</v>
      </c>
      <c r="BZ7">
        <v>74</v>
      </c>
      <c r="CA7">
        <v>0</v>
      </c>
      <c r="CB7">
        <v>131</v>
      </c>
      <c r="CC7">
        <v>84</v>
      </c>
      <c r="CD7">
        <v>0</v>
      </c>
      <c r="CE7">
        <v>183</v>
      </c>
      <c r="CF7">
        <v>48</v>
      </c>
      <c r="CG7">
        <v>0</v>
      </c>
      <c r="CH7">
        <v>194</v>
      </c>
      <c r="CI7">
        <v>70</v>
      </c>
      <c r="CJ7">
        <v>0</v>
      </c>
      <c r="CK7">
        <v>120</v>
      </c>
      <c r="CL7">
        <v>61</v>
      </c>
      <c r="CM7">
        <v>0</v>
      </c>
      <c r="CN7">
        <v>143</v>
      </c>
      <c r="CO7">
        <v>65</v>
      </c>
      <c r="CP7">
        <v>0</v>
      </c>
      <c r="CQ7">
        <v>41</v>
      </c>
      <c r="CR7">
        <v>94</v>
      </c>
      <c r="CS7">
        <v>0</v>
      </c>
      <c r="CT7">
        <v>88</v>
      </c>
      <c r="CU7">
        <v>60</v>
      </c>
      <c r="CV7">
        <v>0</v>
      </c>
      <c r="CW7">
        <v>191</v>
      </c>
      <c r="CX7">
        <v>53</v>
      </c>
      <c r="CY7">
        <v>0</v>
      </c>
      <c r="CZ7">
        <v>167</v>
      </c>
      <c r="DA7">
        <v>88</v>
      </c>
      <c r="DB7">
        <v>0</v>
      </c>
      <c r="DC7">
        <v>113</v>
      </c>
      <c r="DD7">
        <v>73</v>
      </c>
      <c r="DE7">
        <v>0</v>
      </c>
      <c r="DF7">
        <v>149</v>
      </c>
      <c r="DG7">
        <v>69</v>
      </c>
      <c r="DH7">
        <v>0</v>
      </c>
      <c r="DI7">
        <v>63</v>
      </c>
      <c r="DJ7">
        <v>92</v>
      </c>
      <c r="DK7">
        <v>0</v>
      </c>
      <c r="DL7">
        <v>200</v>
      </c>
      <c r="DM7">
        <v>47</v>
      </c>
      <c r="DN7">
        <v>0</v>
      </c>
      <c r="DO7">
        <v>119</v>
      </c>
      <c r="DP7">
        <v>89</v>
      </c>
      <c r="DQ7">
        <v>0</v>
      </c>
      <c r="DR7">
        <v>132</v>
      </c>
      <c r="DS7">
        <v>67</v>
      </c>
      <c r="DT7">
        <v>0</v>
      </c>
      <c r="DU7">
        <v>123</v>
      </c>
      <c r="DV7">
        <v>78</v>
      </c>
      <c r="DW7">
        <v>0</v>
      </c>
      <c r="DX7">
        <v>148</v>
      </c>
      <c r="DY7">
        <v>68</v>
      </c>
      <c r="DZ7">
        <v>0</v>
      </c>
    </row>
    <row r="8" spans="1:130" hidden="1">
      <c r="A8">
        <v>5</v>
      </c>
      <c r="F8">
        <v>3629</v>
      </c>
      <c r="G8">
        <v>22</v>
      </c>
      <c r="H8">
        <v>1</v>
      </c>
      <c r="I8">
        <v>5</v>
      </c>
      <c r="J8">
        <v>6</v>
      </c>
      <c r="K8">
        <v>132</v>
      </c>
      <c r="L8">
        <v>51</v>
      </c>
      <c r="M8">
        <v>8</v>
      </c>
      <c r="N8">
        <v>154</v>
      </c>
      <c r="O8">
        <v>76</v>
      </c>
      <c r="P8">
        <v>5</v>
      </c>
      <c r="Q8">
        <v>158</v>
      </c>
      <c r="R8">
        <v>80</v>
      </c>
      <c r="S8">
        <v>7</v>
      </c>
      <c r="T8">
        <v>146</v>
      </c>
      <c r="U8">
        <v>73</v>
      </c>
      <c r="V8">
        <v>17</v>
      </c>
      <c r="W8">
        <v>161</v>
      </c>
      <c r="X8">
        <v>86</v>
      </c>
      <c r="Y8">
        <v>15</v>
      </c>
      <c r="Z8">
        <v>125</v>
      </c>
      <c r="AA8">
        <v>81</v>
      </c>
      <c r="AB8">
        <v>16</v>
      </c>
      <c r="AC8">
        <v>154</v>
      </c>
      <c r="AD8">
        <v>58</v>
      </c>
      <c r="AE8">
        <v>7</v>
      </c>
      <c r="AF8">
        <v>99</v>
      </c>
      <c r="AG8">
        <v>80</v>
      </c>
      <c r="AH8">
        <v>8</v>
      </c>
      <c r="AI8">
        <v>134</v>
      </c>
      <c r="AJ8">
        <v>47</v>
      </c>
      <c r="AK8">
        <v>14</v>
      </c>
      <c r="AL8">
        <v>115</v>
      </c>
      <c r="AM8">
        <v>80</v>
      </c>
      <c r="AN8">
        <v>5</v>
      </c>
      <c r="AO8">
        <v>157</v>
      </c>
      <c r="AP8">
        <v>76</v>
      </c>
      <c r="AQ8">
        <v>13</v>
      </c>
      <c r="AR8">
        <v>139</v>
      </c>
      <c r="AS8">
        <v>74</v>
      </c>
      <c r="AT8">
        <v>5</v>
      </c>
      <c r="AU8">
        <v>108</v>
      </c>
      <c r="AV8">
        <v>40</v>
      </c>
      <c r="AW8">
        <v>5</v>
      </c>
      <c r="AX8">
        <v>154</v>
      </c>
      <c r="AY8">
        <v>87</v>
      </c>
      <c r="AZ8">
        <v>24</v>
      </c>
      <c r="BA8">
        <v>140</v>
      </c>
      <c r="BB8">
        <v>76</v>
      </c>
      <c r="BC8">
        <v>17</v>
      </c>
      <c r="BD8">
        <v>108</v>
      </c>
      <c r="BE8">
        <v>73</v>
      </c>
      <c r="BF8">
        <v>19</v>
      </c>
      <c r="BG8">
        <v>142</v>
      </c>
      <c r="BH8">
        <v>58</v>
      </c>
      <c r="BI8">
        <v>16</v>
      </c>
      <c r="BJ8">
        <v>209</v>
      </c>
      <c r="BK8">
        <v>45</v>
      </c>
      <c r="BL8">
        <v>9</v>
      </c>
      <c r="BM8">
        <v>208</v>
      </c>
      <c r="BN8">
        <v>43</v>
      </c>
      <c r="BO8">
        <v>9</v>
      </c>
      <c r="BP8">
        <v>170</v>
      </c>
      <c r="BQ8">
        <v>69</v>
      </c>
      <c r="BR8">
        <v>16</v>
      </c>
      <c r="BS8">
        <v>159</v>
      </c>
      <c r="BT8">
        <v>74</v>
      </c>
      <c r="BU8">
        <v>12</v>
      </c>
      <c r="BV8">
        <v>133</v>
      </c>
      <c r="BW8">
        <v>50</v>
      </c>
      <c r="BX8">
        <v>12</v>
      </c>
      <c r="BY8">
        <v>167</v>
      </c>
      <c r="BZ8">
        <v>66</v>
      </c>
      <c r="CA8">
        <v>15</v>
      </c>
      <c r="CB8">
        <v>125</v>
      </c>
      <c r="CC8">
        <v>86</v>
      </c>
      <c r="CD8">
        <v>17</v>
      </c>
      <c r="CE8">
        <v>170</v>
      </c>
      <c r="CF8">
        <v>54</v>
      </c>
      <c r="CG8">
        <v>4</v>
      </c>
      <c r="CH8">
        <v>191</v>
      </c>
      <c r="CI8">
        <v>73</v>
      </c>
      <c r="CJ8">
        <v>7</v>
      </c>
      <c r="CK8">
        <v>122</v>
      </c>
      <c r="CL8">
        <v>63</v>
      </c>
      <c r="CM8">
        <v>10</v>
      </c>
      <c r="CN8">
        <v>143</v>
      </c>
      <c r="CO8">
        <v>64</v>
      </c>
      <c r="CP8">
        <v>19</v>
      </c>
      <c r="CQ8">
        <v>37</v>
      </c>
      <c r="CR8">
        <v>95</v>
      </c>
      <c r="CS8">
        <v>9</v>
      </c>
      <c r="CT8">
        <v>113</v>
      </c>
      <c r="CU8">
        <v>50</v>
      </c>
      <c r="CV8">
        <v>4</v>
      </c>
      <c r="CW8">
        <v>197</v>
      </c>
      <c r="CX8">
        <v>50</v>
      </c>
      <c r="CY8">
        <v>22</v>
      </c>
      <c r="CZ8">
        <v>168</v>
      </c>
      <c r="DA8">
        <v>88</v>
      </c>
      <c r="DB8">
        <v>19</v>
      </c>
      <c r="DC8">
        <v>114</v>
      </c>
      <c r="DD8">
        <v>73</v>
      </c>
      <c r="DE8">
        <v>22</v>
      </c>
      <c r="DF8">
        <v>155</v>
      </c>
      <c r="DG8">
        <v>66</v>
      </c>
      <c r="DH8">
        <v>14</v>
      </c>
      <c r="DI8">
        <v>60</v>
      </c>
      <c r="DJ8">
        <v>92</v>
      </c>
      <c r="DK8">
        <v>7</v>
      </c>
      <c r="DL8">
        <v>200</v>
      </c>
      <c r="DM8">
        <v>47</v>
      </c>
      <c r="DN8">
        <v>8</v>
      </c>
      <c r="DO8">
        <v>121</v>
      </c>
      <c r="DP8">
        <v>90</v>
      </c>
      <c r="DQ8">
        <v>18</v>
      </c>
      <c r="DR8">
        <v>127</v>
      </c>
      <c r="DS8">
        <v>70</v>
      </c>
      <c r="DT8">
        <v>3</v>
      </c>
      <c r="DU8">
        <v>120</v>
      </c>
      <c r="DV8">
        <v>79</v>
      </c>
      <c r="DW8">
        <v>20</v>
      </c>
      <c r="DX8">
        <v>145</v>
      </c>
      <c r="DY8">
        <v>70</v>
      </c>
      <c r="DZ8">
        <v>12</v>
      </c>
    </row>
    <row r="9" spans="1:130" hidden="1">
      <c r="A9">
        <v>6</v>
      </c>
      <c r="F9">
        <v>3630</v>
      </c>
      <c r="G9">
        <v>22</v>
      </c>
      <c r="H9">
        <v>1</v>
      </c>
      <c r="I9">
        <v>6</v>
      </c>
      <c r="J9">
        <v>6</v>
      </c>
      <c r="K9">
        <v>146</v>
      </c>
      <c r="L9">
        <v>51</v>
      </c>
      <c r="M9">
        <v>44</v>
      </c>
      <c r="N9">
        <v>176</v>
      </c>
      <c r="O9">
        <v>65</v>
      </c>
      <c r="P9">
        <v>40</v>
      </c>
      <c r="Q9">
        <v>165</v>
      </c>
      <c r="R9">
        <v>78</v>
      </c>
      <c r="S9">
        <v>45</v>
      </c>
      <c r="T9">
        <v>161</v>
      </c>
      <c r="U9">
        <v>70</v>
      </c>
      <c r="V9">
        <v>47</v>
      </c>
      <c r="W9">
        <v>177</v>
      </c>
      <c r="X9">
        <v>82</v>
      </c>
      <c r="Y9">
        <v>46</v>
      </c>
      <c r="Z9">
        <v>159</v>
      </c>
      <c r="AA9">
        <v>66</v>
      </c>
      <c r="AB9">
        <v>48</v>
      </c>
      <c r="AC9">
        <v>169</v>
      </c>
      <c r="AD9">
        <v>53</v>
      </c>
      <c r="AE9">
        <v>35</v>
      </c>
      <c r="AF9">
        <v>112</v>
      </c>
      <c r="AG9">
        <v>73</v>
      </c>
      <c r="AH9">
        <v>51</v>
      </c>
      <c r="AI9">
        <v>151</v>
      </c>
      <c r="AJ9">
        <v>49</v>
      </c>
      <c r="AK9">
        <v>48</v>
      </c>
      <c r="AL9">
        <v>121</v>
      </c>
      <c r="AM9">
        <v>76</v>
      </c>
      <c r="AN9">
        <v>22</v>
      </c>
      <c r="AO9">
        <v>179</v>
      </c>
      <c r="AP9">
        <v>70</v>
      </c>
      <c r="AQ9">
        <v>40</v>
      </c>
      <c r="AR9">
        <v>137</v>
      </c>
      <c r="AS9">
        <v>76</v>
      </c>
      <c r="AT9">
        <v>10</v>
      </c>
      <c r="AU9">
        <v>120</v>
      </c>
      <c r="AV9">
        <v>36</v>
      </c>
      <c r="AW9">
        <v>46</v>
      </c>
      <c r="AX9">
        <v>182</v>
      </c>
      <c r="AY9">
        <v>78</v>
      </c>
      <c r="AZ9">
        <v>50</v>
      </c>
      <c r="BA9">
        <v>163</v>
      </c>
      <c r="BB9">
        <v>68</v>
      </c>
      <c r="BC9">
        <v>46</v>
      </c>
      <c r="BD9">
        <v>138</v>
      </c>
      <c r="BE9">
        <v>70</v>
      </c>
      <c r="BF9">
        <v>47</v>
      </c>
      <c r="BG9">
        <v>162</v>
      </c>
      <c r="BH9">
        <v>57</v>
      </c>
      <c r="BI9">
        <v>43</v>
      </c>
      <c r="BJ9">
        <v>212</v>
      </c>
      <c r="BK9">
        <v>48</v>
      </c>
      <c r="BL9">
        <v>46</v>
      </c>
      <c r="BM9">
        <v>205</v>
      </c>
      <c r="BN9">
        <v>49</v>
      </c>
      <c r="BO9">
        <v>42</v>
      </c>
      <c r="BP9">
        <v>188</v>
      </c>
      <c r="BQ9">
        <v>69</v>
      </c>
      <c r="BR9">
        <v>47</v>
      </c>
      <c r="BS9">
        <v>189</v>
      </c>
      <c r="BT9">
        <v>66</v>
      </c>
      <c r="BU9">
        <v>48</v>
      </c>
      <c r="BV9">
        <v>142</v>
      </c>
      <c r="BW9">
        <v>52</v>
      </c>
      <c r="BX9">
        <v>44</v>
      </c>
      <c r="BY9">
        <v>183</v>
      </c>
      <c r="BZ9">
        <v>66</v>
      </c>
      <c r="CA9">
        <v>44</v>
      </c>
      <c r="CB9">
        <v>144</v>
      </c>
      <c r="CC9">
        <v>81</v>
      </c>
      <c r="CD9">
        <v>45</v>
      </c>
      <c r="CE9">
        <v>186</v>
      </c>
      <c r="CF9">
        <v>47</v>
      </c>
      <c r="CG9">
        <v>10</v>
      </c>
      <c r="CH9">
        <v>200</v>
      </c>
      <c r="CI9">
        <v>71</v>
      </c>
      <c r="CJ9">
        <v>43</v>
      </c>
      <c r="CK9">
        <v>132</v>
      </c>
      <c r="CL9">
        <v>67</v>
      </c>
      <c r="CM9">
        <v>19</v>
      </c>
      <c r="CN9">
        <v>152</v>
      </c>
      <c r="CO9">
        <v>62</v>
      </c>
      <c r="CP9">
        <v>45</v>
      </c>
      <c r="CQ9">
        <v>47</v>
      </c>
      <c r="CR9">
        <v>92</v>
      </c>
      <c r="CS9">
        <v>38</v>
      </c>
      <c r="CT9">
        <v>121</v>
      </c>
      <c r="CU9">
        <v>52</v>
      </c>
      <c r="CV9">
        <v>10</v>
      </c>
      <c r="CW9">
        <v>200</v>
      </c>
      <c r="CX9">
        <v>56</v>
      </c>
      <c r="CY9">
        <v>49</v>
      </c>
      <c r="CZ9">
        <v>182</v>
      </c>
      <c r="DA9">
        <v>76</v>
      </c>
      <c r="DB9">
        <v>46</v>
      </c>
      <c r="DC9">
        <v>130</v>
      </c>
      <c r="DD9">
        <v>68</v>
      </c>
      <c r="DE9">
        <v>49</v>
      </c>
      <c r="DF9">
        <v>174</v>
      </c>
      <c r="DG9">
        <v>59</v>
      </c>
      <c r="DH9">
        <v>44</v>
      </c>
      <c r="DI9">
        <v>84</v>
      </c>
      <c r="DJ9">
        <v>86</v>
      </c>
      <c r="DK9">
        <v>44</v>
      </c>
      <c r="DL9">
        <v>204</v>
      </c>
      <c r="DM9">
        <v>46</v>
      </c>
      <c r="DN9">
        <v>17</v>
      </c>
      <c r="DO9">
        <v>148</v>
      </c>
      <c r="DP9">
        <v>77</v>
      </c>
      <c r="DQ9">
        <v>45</v>
      </c>
      <c r="DR9">
        <v>129</v>
      </c>
      <c r="DS9">
        <v>68</v>
      </c>
      <c r="DT9">
        <v>7</v>
      </c>
      <c r="DU9">
        <v>155</v>
      </c>
      <c r="DV9">
        <v>66</v>
      </c>
      <c r="DW9">
        <v>49</v>
      </c>
      <c r="DX9">
        <v>154</v>
      </c>
      <c r="DY9">
        <v>68</v>
      </c>
      <c r="DZ9">
        <v>50</v>
      </c>
    </row>
    <row r="10" spans="1:130" hidden="1">
      <c r="A10">
        <v>7</v>
      </c>
      <c r="F10">
        <v>3631</v>
      </c>
      <c r="G10">
        <v>22</v>
      </c>
      <c r="H10">
        <v>1</v>
      </c>
      <c r="I10">
        <v>7</v>
      </c>
      <c r="J10">
        <v>6</v>
      </c>
      <c r="K10">
        <v>171</v>
      </c>
      <c r="L10">
        <v>50</v>
      </c>
      <c r="M10">
        <v>69</v>
      </c>
      <c r="N10">
        <v>206</v>
      </c>
      <c r="O10">
        <v>53</v>
      </c>
      <c r="P10">
        <v>75</v>
      </c>
      <c r="Q10">
        <v>188</v>
      </c>
      <c r="R10">
        <v>71</v>
      </c>
      <c r="S10">
        <v>71</v>
      </c>
      <c r="T10">
        <v>197</v>
      </c>
      <c r="U10">
        <v>56</v>
      </c>
      <c r="V10">
        <v>71</v>
      </c>
      <c r="W10">
        <v>195</v>
      </c>
      <c r="X10">
        <v>76</v>
      </c>
      <c r="Y10">
        <v>73</v>
      </c>
      <c r="Z10">
        <v>186</v>
      </c>
      <c r="AA10">
        <v>53</v>
      </c>
      <c r="AB10">
        <v>74</v>
      </c>
      <c r="AC10">
        <v>194</v>
      </c>
      <c r="AD10">
        <v>45</v>
      </c>
      <c r="AE10">
        <v>82</v>
      </c>
      <c r="AF10">
        <v>144</v>
      </c>
      <c r="AG10">
        <v>61</v>
      </c>
      <c r="AH10">
        <v>79</v>
      </c>
      <c r="AI10">
        <v>163</v>
      </c>
      <c r="AJ10">
        <v>47</v>
      </c>
      <c r="AK10">
        <v>71</v>
      </c>
      <c r="AL10">
        <v>145</v>
      </c>
      <c r="AM10">
        <v>71</v>
      </c>
      <c r="AN10">
        <v>80</v>
      </c>
      <c r="AO10">
        <v>206</v>
      </c>
      <c r="AP10">
        <v>59</v>
      </c>
      <c r="AQ10">
        <v>69</v>
      </c>
      <c r="AR10">
        <v>149</v>
      </c>
      <c r="AS10">
        <v>77</v>
      </c>
      <c r="AT10">
        <v>71</v>
      </c>
      <c r="AU10">
        <v>135</v>
      </c>
      <c r="AV10">
        <v>34</v>
      </c>
      <c r="AW10">
        <v>74</v>
      </c>
      <c r="AX10">
        <v>194</v>
      </c>
      <c r="AY10">
        <v>78</v>
      </c>
      <c r="AZ10">
        <v>66</v>
      </c>
      <c r="BA10">
        <v>175</v>
      </c>
      <c r="BB10">
        <v>64</v>
      </c>
      <c r="BC10">
        <v>68</v>
      </c>
      <c r="BD10">
        <v>197</v>
      </c>
      <c r="BE10">
        <v>52</v>
      </c>
      <c r="BF10">
        <v>66</v>
      </c>
      <c r="BG10">
        <v>185</v>
      </c>
      <c r="BH10">
        <v>52</v>
      </c>
      <c r="BI10">
        <v>65</v>
      </c>
      <c r="BJ10">
        <v>224</v>
      </c>
      <c r="BK10">
        <v>46</v>
      </c>
      <c r="BL10">
        <v>68</v>
      </c>
      <c r="BM10">
        <v>222</v>
      </c>
      <c r="BN10">
        <v>49</v>
      </c>
      <c r="BO10">
        <v>83</v>
      </c>
      <c r="BP10">
        <v>219</v>
      </c>
      <c r="BQ10">
        <v>60</v>
      </c>
      <c r="BR10">
        <v>78</v>
      </c>
      <c r="BS10">
        <v>226</v>
      </c>
      <c r="BT10">
        <v>53</v>
      </c>
      <c r="BU10">
        <v>75</v>
      </c>
      <c r="BV10">
        <v>170</v>
      </c>
      <c r="BW10">
        <v>47</v>
      </c>
      <c r="BX10">
        <v>68</v>
      </c>
      <c r="BY10">
        <v>198</v>
      </c>
      <c r="BZ10">
        <v>64</v>
      </c>
      <c r="CA10">
        <v>71</v>
      </c>
      <c r="CB10">
        <v>172</v>
      </c>
      <c r="CC10">
        <v>68</v>
      </c>
      <c r="CD10">
        <v>65</v>
      </c>
      <c r="CE10">
        <v>208</v>
      </c>
      <c r="CF10">
        <v>43</v>
      </c>
      <c r="CG10">
        <v>83</v>
      </c>
      <c r="CH10">
        <v>211</v>
      </c>
      <c r="CI10">
        <v>71</v>
      </c>
      <c r="CJ10">
        <v>65</v>
      </c>
      <c r="CK10">
        <v>139</v>
      </c>
      <c r="CL10">
        <v>67</v>
      </c>
      <c r="CM10">
        <v>49</v>
      </c>
      <c r="CN10">
        <v>168</v>
      </c>
      <c r="CO10">
        <v>59</v>
      </c>
      <c r="CP10">
        <v>70</v>
      </c>
      <c r="CQ10">
        <v>93</v>
      </c>
      <c r="CR10">
        <v>83</v>
      </c>
      <c r="CS10">
        <v>83</v>
      </c>
      <c r="CT10">
        <v>174</v>
      </c>
      <c r="CU10">
        <v>35</v>
      </c>
      <c r="CV10">
        <v>82</v>
      </c>
      <c r="CW10">
        <v>210</v>
      </c>
      <c r="CX10">
        <v>59</v>
      </c>
      <c r="CY10">
        <v>72</v>
      </c>
      <c r="CZ10">
        <v>202</v>
      </c>
      <c r="DA10">
        <v>68</v>
      </c>
      <c r="DB10">
        <v>67</v>
      </c>
      <c r="DC10">
        <v>155</v>
      </c>
      <c r="DD10">
        <v>61</v>
      </c>
      <c r="DE10">
        <v>73</v>
      </c>
      <c r="DF10">
        <v>194</v>
      </c>
      <c r="DG10">
        <v>53</v>
      </c>
      <c r="DH10">
        <v>67</v>
      </c>
      <c r="DI10">
        <v>134</v>
      </c>
      <c r="DJ10">
        <v>71</v>
      </c>
      <c r="DK10">
        <v>67</v>
      </c>
      <c r="DL10">
        <v>218</v>
      </c>
      <c r="DM10">
        <v>46</v>
      </c>
      <c r="DN10">
        <v>82</v>
      </c>
      <c r="DO10">
        <v>176</v>
      </c>
      <c r="DP10">
        <v>63</v>
      </c>
      <c r="DQ10">
        <v>67</v>
      </c>
      <c r="DR10">
        <v>147</v>
      </c>
      <c r="DS10">
        <v>68</v>
      </c>
      <c r="DT10">
        <v>63</v>
      </c>
      <c r="DU10">
        <v>181</v>
      </c>
      <c r="DV10">
        <v>57</v>
      </c>
      <c r="DW10">
        <v>71</v>
      </c>
      <c r="DX10">
        <v>168</v>
      </c>
      <c r="DY10">
        <v>62</v>
      </c>
      <c r="DZ10">
        <v>78</v>
      </c>
    </row>
    <row r="11" spans="1:130" hidden="1">
      <c r="A11">
        <v>8</v>
      </c>
      <c r="F11">
        <v>3632</v>
      </c>
      <c r="G11">
        <v>22</v>
      </c>
      <c r="H11">
        <v>1</v>
      </c>
      <c r="I11">
        <v>8</v>
      </c>
      <c r="J11">
        <v>6</v>
      </c>
      <c r="K11">
        <v>193</v>
      </c>
      <c r="L11">
        <v>41</v>
      </c>
      <c r="M11">
        <v>89</v>
      </c>
      <c r="N11">
        <v>222</v>
      </c>
      <c r="O11">
        <v>51</v>
      </c>
      <c r="P11">
        <v>86</v>
      </c>
      <c r="Q11">
        <v>202</v>
      </c>
      <c r="R11">
        <v>69</v>
      </c>
      <c r="S11">
        <v>91</v>
      </c>
      <c r="T11">
        <v>220</v>
      </c>
      <c r="U11">
        <v>45</v>
      </c>
      <c r="V11">
        <v>91</v>
      </c>
      <c r="W11">
        <v>220</v>
      </c>
      <c r="X11">
        <v>67</v>
      </c>
      <c r="Y11">
        <v>89</v>
      </c>
      <c r="Z11">
        <v>204</v>
      </c>
      <c r="AA11">
        <v>49</v>
      </c>
      <c r="AB11">
        <v>91</v>
      </c>
      <c r="AC11">
        <v>218</v>
      </c>
      <c r="AD11">
        <v>40</v>
      </c>
      <c r="AE11">
        <v>90</v>
      </c>
      <c r="AF11">
        <v>173</v>
      </c>
      <c r="AG11">
        <v>56</v>
      </c>
      <c r="AH11">
        <v>91</v>
      </c>
      <c r="AI11">
        <v>186</v>
      </c>
      <c r="AJ11">
        <v>43</v>
      </c>
      <c r="AK11">
        <v>90</v>
      </c>
      <c r="AL11">
        <v>189</v>
      </c>
      <c r="AM11">
        <v>51</v>
      </c>
      <c r="AN11">
        <v>92</v>
      </c>
      <c r="AO11">
        <v>223</v>
      </c>
      <c r="AP11">
        <v>56</v>
      </c>
      <c r="AQ11">
        <v>92</v>
      </c>
      <c r="AR11">
        <v>191</v>
      </c>
      <c r="AS11">
        <v>65</v>
      </c>
      <c r="AT11">
        <v>99</v>
      </c>
      <c r="AU11">
        <v>147</v>
      </c>
      <c r="AV11">
        <v>28</v>
      </c>
      <c r="AW11">
        <v>90</v>
      </c>
      <c r="AX11">
        <v>205</v>
      </c>
      <c r="AY11">
        <v>75</v>
      </c>
      <c r="AZ11">
        <v>83</v>
      </c>
      <c r="BA11">
        <v>194</v>
      </c>
      <c r="BB11">
        <v>62</v>
      </c>
      <c r="BC11">
        <v>87</v>
      </c>
      <c r="BD11">
        <v>222</v>
      </c>
      <c r="BE11">
        <v>40</v>
      </c>
      <c r="BF11">
        <v>84</v>
      </c>
      <c r="BG11">
        <v>182</v>
      </c>
      <c r="BH11">
        <v>53</v>
      </c>
      <c r="BI11">
        <v>87</v>
      </c>
      <c r="BJ11">
        <v>243</v>
      </c>
      <c r="BK11">
        <v>41</v>
      </c>
      <c r="BL11">
        <v>89</v>
      </c>
      <c r="BM11">
        <v>226</v>
      </c>
      <c r="BN11">
        <v>49</v>
      </c>
      <c r="BO11">
        <v>98</v>
      </c>
      <c r="BP11">
        <v>246</v>
      </c>
      <c r="BQ11">
        <v>47</v>
      </c>
      <c r="BR11">
        <v>101</v>
      </c>
      <c r="BS11">
        <v>246</v>
      </c>
      <c r="BT11">
        <v>46</v>
      </c>
      <c r="BU11">
        <v>92</v>
      </c>
      <c r="BV11">
        <v>183</v>
      </c>
      <c r="BW11">
        <v>45</v>
      </c>
      <c r="BX11">
        <v>86</v>
      </c>
      <c r="BY11">
        <v>210</v>
      </c>
      <c r="BZ11">
        <v>61</v>
      </c>
      <c r="CA11">
        <v>92</v>
      </c>
      <c r="CB11">
        <v>196</v>
      </c>
      <c r="CC11">
        <v>60</v>
      </c>
      <c r="CD11">
        <v>84</v>
      </c>
      <c r="CE11">
        <v>228</v>
      </c>
      <c r="CF11">
        <v>37</v>
      </c>
      <c r="CG11">
        <v>90</v>
      </c>
      <c r="CH11">
        <v>220</v>
      </c>
      <c r="CI11">
        <v>69</v>
      </c>
      <c r="CJ11">
        <v>82</v>
      </c>
      <c r="CK11">
        <v>196</v>
      </c>
      <c r="CL11">
        <v>42</v>
      </c>
      <c r="CM11">
        <v>107</v>
      </c>
      <c r="CN11">
        <v>191</v>
      </c>
      <c r="CO11">
        <v>53</v>
      </c>
      <c r="CP11">
        <v>84</v>
      </c>
      <c r="CQ11">
        <v>142</v>
      </c>
      <c r="CR11">
        <v>65</v>
      </c>
      <c r="CS11">
        <v>92</v>
      </c>
      <c r="CT11">
        <v>193</v>
      </c>
      <c r="CU11">
        <v>29</v>
      </c>
      <c r="CV11">
        <v>96</v>
      </c>
      <c r="CW11">
        <v>218</v>
      </c>
      <c r="CX11">
        <v>57</v>
      </c>
      <c r="CY11">
        <v>90</v>
      </c>
      <c r="CZ11">
        <v>213</v>
      </c>
      <c r="DA11">
        <v>62</v>
      </c>
      <c r="DB11">
        <v>88</v>
      </c>
      <c r="DC11">
        <v>184</v>
      </c>
      <c r="DD11">
        <v>53</v>
      </c>
      <c r="DE11">
        <v>92</v>
      </c>
      <c r="DF11">
        <v>216</v>
      </c>
      <c r="DG11">
        <v>48</v>
      </c>
      <c r="DH11">
        <v>86</v>
      </c>
      <c r="DI11">
        <v>171</v>
      </c>
      <c r="DJ11">
        <v>56</v>
      </c>
      <c r="DK11">
        <v>87</v>
      </c>
      <c r="DL11">
        <v>240</v>
      </c>
      <c r="DM11">
        <v>44</v>
      </c>
      <c r="DN11">
        <v>106</v>
      </c>
      <c r="DO11">
        <v>200</v>
      </c>
      <c r="DP11">
        <v>52</v>
      </c>
      <c r="DQ11">
        <v>87</v>
      </c>
      <c r="DR11">
        <v>186</v>
      </c>
      <c r="DS11">
        <v>55</v>
      </c>
      <c r="DT11">
        <v>99</v>
      </c>
      <c r="DU11">
        <v>199</v>
      </c>
      <c r="DV11">
        <v>54</v>
      </c>
      <c r="DW11">
        <v>84</v>
      </c>
      <c r="DX11">
        <v>188</v>
      </c>
      <c r="DY11">
        <v>56</v>
      </c>
      <c r="DZ11">
        <v>89</v>
      </c>
    </row>
    <row r="12" spans="1:130" hidden="1">
      <c r="A12">
        <v>9</v>
      </c>
      <c r="F12">
        <v>3633</v>
      </c>
      <c r="G12">
        <v>22</v>
      </c>
      <c r="H12">
        <v>1</v>
      </c>
      <c r="I12">
        <v>9</v>
      </c>
      <c r="J12">
        <v>6</v>
      </c>
      <c r="K12">
        <v>222</v>
      </c>
      <c r="L12">
        <v>32</v>
      </c>
      <c r="M12">
        <v>105</v>
      </c>
      <c r="N12">
        <v>239</v>
      </c>
      <c r="O12">
        <v>46</v>
      </c>
      <c r="P12">
        <v>102</v>
      </c>
      <c r="Q12">
        <v>226</v>
      </c>
      <c r="R12">
        <v>61</v>
      </c>
      <c r="S12">
        <v>109</v>
      </c>
      <c r="T12">
        <v>241</v>
      </c>
      <c r="U12">
        <v>41</v>
      </c>
      <c r="V12">
        <v>108</v>
      </c>
      <c r="W12">
        <v>237</v>
      </c>
      <c r="X12">
        <v>59</v>
      </c>
      <c r="Y12">
        <v>108</v>
      </c>
      <c r="Z12">
        <v>222</v>
      </c>
      <c r="AA12">
        <v>45</v>
      </c>
      <c r="AB12">
        <v>106</v>
      </c>
      <c r="AC12">
        <v>240</v>
      </c>
      <c r="AD12">
        <v>33</v>
      </c>
      <c r="AE12">
        <v>111</v>
      </c>
      <c r="AF12">
        <v>204</v>
      </c>
      <c r="AG12">
        <v>42</v>
      </c>
      <c r="AH12">
        <v>107</v>
      </c>
      <c r="AI12">
        <v>208</v>
      </c>
      <c r="AJ12">
        <v>35</v>
      </c>
      <c r="AK12">
        <v>107</v>
      </c>
      <c r="AL12">
        <v>213</v>
      </c>
      <c r="AM12">
        <v>45</v>
      </c>
      <c r="AN12">
        <v>109</v>
      </c>
      <c r="AO12">
        <v>244</v>
      </c>
      <c r="AP12">
        <v>49</v>
      </c>
      <c r="AQ12">
        <v>111</v>
      </c>
      <c r="AR12">
        <v>221</v>
      </c>
      <c r="AS12">
        <v>51</v>
      </c>
      <c r="AT12">
        <v>109</v>
      </c>
      <c r="AU12">
        <v>156</v>
      </c>
      <c r="AV12">
        <v>28</v>
      </c>
      <c r="AW12">
        <v>103</v>
      </c>
      <c r="AX12">
        <v>223</v>
      </c>
      <c r="AY12">
        <v>68</v>
      </c>
      <c r="AZ12">
        <v>97</v>
      </c>
      <c r="BA12">
        <v>212</v>
      </c>
      <c r="BB12">
        <v>57</v>
      </c>
      <c r="BC12">
        <v>102</v>
      </c>
      <c r="BD12">
        <v>242</v>
      </c>
      <c r="BE12">
        <v>35</v>
      </c>
      <c r="BF12">
        <v>100</v>
      </c>
      <c r="BG12">
        <v>185</v>
      </c>
      <c r="BH12">
        <v>59</v>
      </c>
      <c r="BI12">
        <v>98</v>
      </c>
      <c r="BJ12">
        <v>259</v>
      </c>
      <c r="BK12">
        <v>37</v>
      </c>
      <c r="BL12">
        <v>111</v>
      </c>
      <c r="BM12">
        <v>237</v>
      </c>
      <c r="BN12">
        <v>45</v>
      </c>
      <c r="BO12">
        <v>112</v>
      </c>
      <c r="BP12">
        <v>268</v>
      </c>
      <c r="BQ12">
        <v>44</v>
      </c>
      <c r="BR12">
        <v>107</v>
      </c>
      <c r="BS12">
        <v>264</v>
      </c>
      <c r="BT12">
        <v>46</v>
      </c>
      <c r="BU12">
        <v>112</v>
      </c>
      <c r="BV12">
        <v>196</v>
      </c>
      <c r="BW12">
        <v>42</v>
      </c>
      <c r="BX12">
        <v>102</v>
      </c>
      <c r="BY12">
        <v>225</v>
      </c>
      <c r="BZ12">
        <v>57</v>
      </c>
      <c r="CA12">
        <v>107</v>
      </c>
      <c r="CB12">
        <v>211</v>
      </c>
      <c r="CC12">
        <v>56</v>
      </c>
      <c r="CD12">
        <v>98</v>
      </c>
      <c r="CE12">
        <v>247</v>
      </c>
      <c r="CF12">
        <v>29</v>
      </c>
      <c r="CG12">
        <v>107</v>
      </c>
      <c r="CH12">
        <v>225</v>
      </c>
      <c r="CI12">
        <v>69</v>
      </c>
      <c r="CJ12">
        <v>101</v>
      </c>
      <c r="CK12">
        <v>232</v>
      </c>
      <c r="CL12">
        <v>29</v>
      </c>
      <c r="CM12">
        <v>110</v>
      </c>
      <c r="CN12">
        <v>215</v>
      </c>
      <c r="CO12">
        <v>49</v>
      </c>
      <c r="CP12">
        <v>101</v>
      </c>
      <c r="CQ12">
        <v>176</v>
      </c>
      <c r="CR12">
        <v>41</v>
      </c>
      <c r="CS12">
        <v>105</v>
      </c>
      <c r="CT12">
        <v>201</v>
      </c>
      <c r="CU12">
        <v>27</v>
      </c>
      <c r="CV12">
        <v>106</v>
      </c>
      <c r="CW12">
        <v>225</v>
      </c>
      <c r="CX12">
        <v>57</v>
      </c>
      <c r="CY12">
        <v>107</v>
      </c>
      <c r="CZ12">
        <v>229</v>
      </c>
      <c r="DA12">
        <v>57</v>
      </c>
      <c r="DB12">
        <v>107</v>
      </c>
      <c r="DC12">
        <v>210</v>
      </c>
      <c r="DD12">
        <v>45</v>
      </c>
      <c r="DE12">
        <v>106</v>
      </c>
      <c r="DF12">
        <v>239</v>
      </c>
      <c r="DG12">
        <v>42</v>
      </c>
      <c r="DH12">
        <v>113</v>
      </c>
      <c r="DI12">
        <v>203</v>
      </c>
      <c r="DJ12">
        <v>43</v>
      </c>
      <c r="DK12">
        <v>106</v>
      </c>
      <c r="DL12">
        <v>263</v>
      </c>
      <c r="DM12">
        <v>36</v>
      </c>
      <c r="DN12">
        <v>116</v>
      </c>
      <c r="DO12">
        <v>219</v>
      </c>
      <c r="DP12">
        <v>48</v>
      </c>
      <c r="DQ12">
        <v>106</v>
      </c>
      <c r="DR12">
        <v>207</v>
      </c>
      <c r="DS12">
        <v>50</v>
      </c>
      <c r="DT12">
        <v>109</v>
      </c>
      <c r="DU12">
        <v>219</v>
      </c>
      <c r="DV12">
        <v>48</v>
      </c>
      <c r="DW12">
        <v>102</v>
      </c>
      <c r="DX12">
        <v>212</v>
      </c>
      <c r="DY12">
        <v>50</v>
      </c>
      <c r="DZ12">
        <v>109</v>
      </c>
    </row>
    <row r="13" spans="1:130" hidden="1">
      <c r="A13">
        <v>10</v>
      </c>
      <c r="F13">
        <v>3634</v>
      </c>
      <c r="G13">
        <v>22</v>
      </c>
      <c r="H13">
        <v>1</v>
      </c>
      <c r="I13">
        <v>10</v>
      </c>
      <c r="J13">
        <v>6</v>
      </c>
      <c r="K13">
        <v>237</v>
      </c>
      <c r="L13">
        <v>32</v>
      </c>
      <c r="M13">
        <v>120</v>
      </c>
      <c r="N13">
        <v>249</v>
      </c>
      <c r="O13">
        <v>49</v>
      </c>
      <c r="P13">
        <v>117</v>
      </c>
      <c r="Q13">
        <v>245</v>
      </c>
      <c r="R13">
        <v>57</v>
      </c>
      <c r="S13">
        <v>122</v>
      </c>
      <c r="T13">
        <v>258</v>
      </c>
      <c r="U13">
        <v>40</v>
      </c>
      <c r="V13">
        <v>124</v>
      </c>
      <c r="W13">
        <v>251</v>
      </c>
      <c r="X13">
        <v>55</v>
      </c>
      <c r="Y13">
        <v>120</v>
      </c>
      <c r="Z13">
        <v>245</v>
      </c>
      <c r="AA13">
        <v>40</v>
      </c>
      <c r="AB13">
        <v>120</v>
      </c>
      <c r="AC13">
        <v>263</v>
      </c>
      <c r="AD13">
        <v>30</v>
      </c>
      <c r="AE13">
        <v>124</v>
      </c>
      <c r="AF13">
        <v>221</v>
      </c>
      <c r="AG13">
        <v>32</v>
      </c>
      <c r="AH13">
        <v>120</v>
      </c>
      <c r="AI13">
        <v>230</v>
      </c>
      <c r="AJ13">
        <v>28</v>
      </c>
      <c r="AK13">
        <v>120</v>
      </c>
      <c r="AL13">
        <v>226</v>
      </c>
      <c r="AM13">
        <v>44</v>
      </c>
      <c r="AN13">
        <v>119</v>
      </c>
      <c r="AO13">
        <v>263</v>
      </c>
      <c r="AP13">
        <v>44</v>
      </c>
      <c r="AQ13">
        <v>123</v>
      </c>
      <c r="AR13">
        <v>243</v>
      </c>
      <c r="AS13">
        <v>44</v>
      </c>
      <c r="AT13">
        <v>124</v>
      </c>
      <c r="AU13">
        <v>161</v>
      </c>
      <c r="AV13">
        <v>33</v>
      </c>
      <c r="AW13">
        <v>116</v>
      </c>
      <c r="AX13">
        <v>244</v>
      </c>
      <c r="AY13">
        <v>53</v>
      </c>
      <c r="AZ13">
        <v>114</v>
      </c>
      <c r="BA13">
        <v>233</v>
      </c>
      <c r="BB13">
        <v>48</v>
      </c>
      <c r="BC13">
        <v>118</v>
      </c>
      <c r="BD13">
        <v>260</v>
      </c>
      <c r="BE13">
        <v>28</v>
      </c>
      <c r="BF13">
        <v>112</v>
      </c>
      <c r="BG13">
        <v>195</v>
      </c>
      <c r="BH13">
        <v>62</v>
      </c>
      <c r="BI13">
        <v>114</v>
      </c>
      <c r="BJ13">
        <v>287</v>
      </c>
      <c r="BK13">
        <v>33</v>
      </c>
      <c r="BL13">
        <v>125</v>
      </c>
      <c r="BM13">
        <v>251</v>
      </c>
      <c r="BN13">
        <v>43</v>
      </c>
      <c r="BO13">
        <v>129</v>
      </c>
      <c r="BP13">
        <v>284</v>
      </c>
      <c r="BQ13">
        <v>42</v>
      </c>
      <c r="BR13">
        <v>122</v>
      </c>
      <c r="BS13">
        <v>277</v>
      </c>
      <c r="BT13">
        <v>47</v>
      </c>
      <c r="BU13">
        <v>127</v>
      </c>
      <c r="BV13">
        <v>217</v>
      </c>
      <c r="BW13">
        <v>39</v>
      </c>
      <c r="BX13">
        <v>114</v>
      </c>
      <c r="BY13">
        <v>233</v>
      </c>
      <c r="BZ13">
        <v>53</v>
      </c>
      <c r="CA13">
        <v>119</v>
      </c>
      <c r="CB13">
        <v>233</v>
      </c>
      <c r="CC13">
        <v>50</v>
      </c>
      <c r="CD13">
        <v>113</v>
      </c>
      <c r="CE13">
        <v>264</v>
      </c>
      <c r="CF13">
        <v>23</v>
      </c>
      <c r="CG13">
        <v>120</v>
      </c>
      <c r="CH13">
        <v>234</v>
      </c>
      <c r="CI13">
        <v>65</v>
      </c>
      <c r="CJ13">
        <v>113</v>
      </c>
      <c r="CK13">
        <v>250</v>
      </c>
      <c r="CL13">
        <v>25</v>
      </c>
      <c r="CM13">
        <v>124</v>
      </c>
      <c r="CN13">
        <v>238</v>
      </c>
      <c r="CO13">
        <v>42</v>
      </c>
      <c r="CP13">
        <v>115</v>
      </c>
      <c r="CQ13">
        <v>200</v>
      </c>
      <c r="CR13">
        <v>26</v>
      </c>
      <c r="CS13">
        <v>117</v>
      </c>
      <c r="CT13">
        <v>208</v>
      </c>
      <c r="CU13">
        <v>22</v>
      </c>
      <c r="CV13">
        <v>119</v>
      </c>
      <c r="CW13">
        <v>236</v>
      </c>
      <c r="CX13">
        <v>53</v>
      </c>
      <c r="CY13">
        <v>116</v>
      </c>
      <c r="CZ13">
        <v>240</v>
      </c>
      <c r="DA13">
        <v>53</v>
      </c>
      <c r="DB13">
        <v>118</v>
      </c>
      <c r="DC13">
        <v>241</v>
      </c>
      <c r="DD13">
        <v>39</v>
      </c>
      <c r="DE13">
        <v>120</v>
      </c>
      <c r="DF13">
        <v>263</v>
      </c>
      <c r="DG13">
        <v>33</v>
      </c>
      <c r="DH13">
        <v>134</v>
      </c>
      <c r="DI13">
        <v>220</v>
      </c>
      <c r="DJ13">
        <v>34</v>
      </c>
      <c r="DK13">
        <v>121</v>
      </c>
      <c r="DL13">
        <v>284</v>
      </c>
      <c r="DM13">
        <v>28</v>
      </c>
      <c r="DN13">
        <v>127</v>
      </c>
      <c r="DO13">
        <v>242</v>
      </c>
      <c r="DP13">
        <v>44</v>
      </c>
      <c r="DQ13">
        <v>119</v>
      </c>
      <c r="DR13">
        <v>225</v>
      </c>
      <c r="DS13">
        <v>49</v>
      </c>
      <c r="DT13">
        <v>124</v>
      </c>
      <c r="DU13">
        <v>242</v>
      </c>
      <c r="DV13">
        <v>43</v>
      </c>
      <c r="DW13">
        <v>118</v>
      </c>
      <c r="DX13">
        <v>235</v>
      </c>
      <c r="DY13">
        <v>44</v>
      </c>
      <c r="DZ13">
        <v>119</v>
      </c>
    </row>
    <row r="14" spans="1:130" hidden="1">
      <c r="A14">
        <v>11</v>
      </c>
      <c r="F14">
        <v>3635</v>
      </c>
      <c r="G14">
        <v>22</v>
      </c>
      <c r="H14">
        <v>1</v>
      </c>
      <c r="I14">
        <v>11</v>
      </c>
      <c r="J14">
        <v>6</v>
      </c>
      <c r="K14">
        <v>242</v>
      </c>
      <c r="L14">
        <v>35</v>
      </c>
      <c r="M14">
        <v>130</v>
      </c>
      <c r="N14">
        <v>256</v>
      </c>
      <c r="O14">
        <v>50</v>
      </c>
      <c r="P14">
        <v>125</v>
      </c>
      <c r="Q14">
        <v>255</v>
      </c>
      <c r="R14">
        <v>56</v>
      </c>
      <c r="S14">
        <v>136</v>
      </c>
      <c r="T14">
        <v>281</v>
      </c>
      <c r="U14">
        <v>36</v>
      </c>
      <c r="V14">
        <v>133</v>
      </c>
      <c r="W14">
        <v>258</v>
      </c>
      <c r="X14">
        <v>54</v>
      </c>
      <c r="Y14">
        <v>133</v>
      </c>
      <c r="Z14">
        <v>268</v>
      </c>
      <c r="AA14">
        <v>36</v>
      </c>
      <c r="AB14">
        <v>130</v>
      </c>
      <c r="AC14">
        <v>280</v>
      </c>
      <c r="AD14">
        <v>31</v>
      </c>
      <c r="AE14">
        <v>134</v>
      </c>
      <c r="AF14">
        <v>229</v>
      </c>
      <c r="AG14">
        <v>29</v>
      </c>
      <c r="AH14">
        <v>133</v>
      </c>
      <c r="AI14">
        <v>252</v>
      </c>
      <c r="AJ14">
        <v>26</v>
      </c>
      <c r="AK14">
        <v>129</v>
      </c>
      <c r="AL14">
        <v>238</v>
      </c>
      <c r="AM14">
        <v>44</v>
      </c>
      <c r="AN14">
        <v>128</v>
      </c>
      <c r="AO14">
        <v>282</v>
      </c>
      <c r="AP14">
        <v>40</v>
      </c>
      <c r="AQ14">
        <v>132</v>
      </c>
      <c r="AR14">
        <v>267</v>
      </c>
      <c r="AS14">
        <v>43</v>
      </c>
      <c r="AT14">
        <v>133</v>
      </c>
      <c r="AU14">
        <v>169</v>
      </c>
      <c r="AV14">
        <v>34</v>
      </c>
      <c r="AW14">
        <v>123</v>
      </c>
      <c r="AX14">
        <v>256</v>
      </c>
      <c r="AY14">
        <v>50</v>
      </c>
      <c r="AZ14">
        <v>120</v>
      </c>
      <c r="BA14">
        <v>254</v>
      </c>
      <c r="BB14">
        <v>41</v>
      </c>
      <c r="BC14">
        <v>127</v>
      </c>
      <c r="BD14">
        <v>270</v>
      </c>
      <c r="BE14">
        <v>26</v>
      </c>
      <c r="BF14">
        <v>120</v>
      </c>
      <c r="BG14">
        <v>207</v>
      </c>
      <c r="BH14">
        <v>55</v>
      </c>
      <c r="BI14">
        <v>122</v>
      </c>
      <c r="BJ14">
        <v>309</v>
      </c>
      <c r="BK14">
        <v>29</v>
      </c>
      <c r="BL14">
        <v>136</v>
      </c>
      <c r="BM14">
        <v>262</v>
      </c>
      <c r="BN14">
        <v>43</v>
      </c>
      <c r="BO14">
        <v>136</v>
      </c>
      <c r="BP14">
        <v>299</v>
      </c>
      <c r="BQ14">
        <v>37</v>
      </c>
      <c r="BR14">
        <v>137</v>
      </c>
      <c r="BS14">
        <v>287</v>
      </c>
      <c r="BT14">
        <v>42</v>
      </c>
      <c r="BU14">
        <v>139</v>
      </c>
      <c r="BV14">
        <v>236</v>
      </c>
      <c r="BW14">
        <v>37</v>
      </c>
      <c r="BX14">
        <v>122</v>
      </c>
      <c r="BY14">
        <v>244</v>
      </c>
      <c r="BZ14">
        <v>47</v>
      </c>
      <c r="CA14">
        <v>134</v>
      </c>
      <c r="CB14">
        <v>252</v>
      </c>
      <c r="CC14">
        <v>40</v>
      </c>
      <c r="CD14">
        <v>122</v>
      </c>
      <c r="CE14">
        <v>272</v>
      </c>
      <c r="CF14">
        <v>20</v>
      </c>
      <c r="CG14">
        <v>129</v>
      </c>
      <c r="CH14">
        <v>248</v>
      </c>
      <c r="CI14">
        <v>59</v>
      </c>
      <c r="CJ14">
        <v>123</v>
      </c>
      <c r="CK14">
        <v>262</v>
      </c>
      <c r="CL14">
        <v>25</v>
      </c>
      <c r="CM14">
        <v>132</v>
      </c>
      <c r="CN14">
        <v>250</v>
      </c>
      <c r="CO14">
        <v>39</v>
      </c>
      <c r="CP14">
        <v>123</v>
      </c>
      <c r="CQ14">
        <v>215</v>
      </c>
      <c r="CR14">
        <v>29</v>
      </c>
      <c r="CS14">
        <v>125</v>
      </c>
      <c r="CT14">
        <v>217</v>
      </c>
      <c r="CU14">
        <v>16</v>
      </c>
      <c r="CV14">
        <v>127</v>
      </c>
      <c r="CW14">
        <v>244</v>
      </c>
      <c r="CX14">
        <v>50</v>
      </c>
      <c r="CY14">
        <v>123</v>
      </c>
      <c r="CZ14">
        <v>252</v>
      </c>
      <c r="DA14">
        <v>49</v>
      </c>
      <c r="DB14">
        <v>134</v>
      </c>
      <c r="DC14">
        <v>261</v>
      </c>
      <c r="DD14">
        <v>31</v>
      </c>
      <c r="DE14">
        <v>127</v>
      </c>
      <c r="DF14">
        <v>281</v>
      </c>
      <c r="DG14">
        <v>30</v>
      </c>
      <c r="DH14">
        <v>137</v>
      </c>
      <c r="DI14">
        <v>233</v>
      </c>
      <c r="DJ14">
        <v>26</v>
      </c>
      <c r="DK14">
        <v>130</v>
      </c>
      <c r="DL14">
        <v>292</v>
      </c>
      <c r="DM14">
        <v>27</v>
      </c>
      <c r="DN14">
        <v>138</v>
      </c>
      <c r="DO14">
        <v>260</v>
      </c>
      <c r="DP14">
        <v>40</v>
      </c>
      <c r="DQ14">
        <v>132</v>
      </c>
      <c r="DR14">
        <v>239</v>
      </c>
      <c r="DS14">
        <v>42</v>
      </c>
      <c r="DT14">
        <v>135</v>
      </c>
      <c r="DU14">
        <v>266</v>
      </c>
      <c r="DV14">
        <v>37</v>
      </c>
      <c r="DW14">
        <v>126</v>
      </c>
      <c r="DX14">
        <v>255</v>
      </c>
      <c r="DY14">
        <v>40</v>
      </c>
      <c r="DZ14">
        <v>129</v>
      </c>
    </row>
    <row r="15" spans="1:130" hidden="1">
      <c r="A15">
        <v>12</v>
      </c>
      <c r="F15">
        <v>3636</v>
      </c>
      <c r="G15">
        <v>22</v>
      </c>
      <c r="H15">
        <v>1</v>
      </c>
      <c r="I15">
        <v>12</v>
      </c>
      <c r="J15">
        <v>6</v>
      </c>
      <c r="K15">
        <v>249</v>
      </c>
      <c r="L15">
        <v>34</v>
      </c>
      <c r="M15">
        <v>138</v>
      </c>
      <c r="N15">
        <v>268</v>
      </c>
      <c r="O15">
        <v>48</v>
      </c>
      <c r="P15">
        <v>135</v>
      </c>
      <c r="Q15">
        <v>266</v>
      </c>
      <c r="R15">
        <v>52</v>
      </c>
      <c r="S15">
        <v>148</v>
      </c>
      <c r="T15">
        <v>298</v>
      </c>
      <c r="U15">
        <v>33</v>
      </c>
      <c r="V15">
        <v>153</v>
      </c>
      <c r="W15">
        <v>265</v>
      </c>
      <c r="X15">
        <v>52</v>
      </c>
      <c r="Y15">
        <v>148</v>
      </c>
      <c r="Z15">
        <v>287</v>
      </c>
      <c r="AA15">
        <v>31</v>
      </c>
      <c r="AB15">
        <v>145</v>
      </c>
      <c r="AC15">
        <v>293</v>
      </c>
      <c r="AD15">
        <v>27</v>
      </c>
      <c r="AE15">
        <v>146</v>
      </c>
      <c r="AF15">
        <v>239</v>
      </c>
      <c r="AG15">
        <v>26</v>
      </c>
      <c r="AH15">
        <v>141</v>
      </c>
      <c r="AI15">
        <v>260</v>
      </c>
      <c r="AJ15">
        <v>25</v>
      </c>
      <c r="AK15">
        <v>139</v>
      </c>
      <c r="AL15">
        <v>247</v>
      </c>
      <c r="AM15">
        <v>43</v>
      </c>
      <c r="AN15">
        <v>137</v>
      </c>
      <c r="AO15">
        <v>294</v>
      </c>
      <c r="AP15">
        <v>33</v>
      </c>
      <c r="AQ15">
        <v>138</v>
      </c>
      <c r="AR15">
        <v>279</v>
      </c>
      <c r="AS15">
        <v>41</v>
      </c>
      <c r="AT15">
        <v>150</v>
      </c>
      <c r="AU15">
        <v>177</v>
      </c>
      <c r="AV15">
        <v>33</v>
      </c>
      <c r="AW15">
        <v>130</v>
      </c>
      <c r="AX15">
        <v>274</v>
      </c>
      <c r="AY15">
        <v>48</v>
      </c>
      <c r="AZ15">
        <v>129</v>
      </c>
      <c r="BA15">
        <v>262</v>
      </c>
      <c r="BB15">
        <v>36</v>
      </c>
      <c r="BC15">
        <v>141</v>
      </c>
      <c r="BD15">
        <v>279</v>
      </c>
      <c r="BE15">
        <v>25</v>
      </c>
      <c r="BF15">
        <v>145</v>
      </c>
      <c r="BG15">
        <v>224</v>
      </c>
      <c r="BH15">
        <v>45</v>
      </c>
      <c r="BI15">
        <v>129</v>
      </c>
      <c r="BJ15">
        <v>310</v>
      </c>
      <c r="BK15">
        <v>24</v>
      </c>
      <c r="BL15">
        <v>151</v>
      </c>
      <c r="BM15">
        <v>272</v>
      </c>
      <c r="BN15">
        <v>43</v>
      </c>
      <c r="BO15">
        <v>155</v>
      </c>
      <c r="BP15">
        <v>312</v>
      </c>
      <c r="BQ15">
        <v>38</v>
      </c>
      <c r="BR15">
        <v>151</v>
      </c>
      <c r="BS15">
        <v>299</v>
      </c>
      <c r="BT15">
        <v>34</v>
      </c>
      <c r="BU15">
        <v>155</v>
      </c>
      <c r="BV15">
        <v>252</v>
      </c>
      <c r="BW15">
        <v>27</v>
      </c>
      <c r="BX15">
        <v>132</v>
      </c>
      <c r="BY15">
        <v>258</v>
      </c>
      <c r="BZ15">
        <v>40</v>
      </c>
      <c r="CA15">
        <v>144</v>
      </c>
      <c r="CB15">
        <v>271</v>
      </c>
      <c r="CC15">
        <v>39</v>
      </c>
      <c r="CD15">
        <v>133</v>
      </c>
      <c r="CE15">
        <v>278</v>
      </c>
      <c r="CF15">
        <v>20</v>
      </c>
      <c r="CG15">
        <v>138</v>
      </c>
      <c r="CH15">
        <v>255</v>
      </c>
      <c r="CI15">
        <v>54</v>
      </c>
      <c r="CJ15">
        <v>128</v>
      </c>
      <c r="CK15">
        <v>269</v>
      </c>
      <c r="CL15">
        <v>25</v>
      </c>
      <c r="CM15">
        <v>140</v>
      </c>
      <c r="CN15">
        <v>269</v>
      </c>
      <c r="CO15">
        <v>35</v>
      </c>
      <c r="CP15">
        <v>137</v>
      </c>
      <c r="CQ15">
        <v>217</v>
      </c>
      <c r="CR15">
        <v>29</v>
      </c>
      <c r="CS15">
        <v>134</v>
      </c>
      <c r="CT15">
        <v>222</v>
      </c>
      <c r="CU15">
        <v>17</v>
      </c>
      <c r="CV15">
        <v>137</v>
      </c>
      <c r="CW15">
        <v>251</v>
      </c>
      <c r="CX15">
        <v>43</v>
      </c>
      <c r="CY15">
        <v>131</v>
      </c>
      <c r="CZ15">
        <v>266</v>
      </c>
      <c r="DA15">
        <v>45</v>
      </c>
      <c r="DB15">
        <v>151</v>
      </c>
      <c r="DC15">
        <v>273</v>
      </c>
      <c r="DD15">
        <v>27</v>
      </c>
      <c r="DE15">
        <v>135</v>
      </c>
      <c r="DF15">
        <v>299</v>
      </c>
      <c r="DG15">
        <v>28</v>
      </c>
      <c r="DH15">
        <v>135</v>
      </c>
      <c r="DI15">
        <v>245</v>
      </c>
      <c r="DJ15">
        <v>23</v>
      </c>
      <c r="DK15">
        <v>144</v>
      </c>
      <c r="DL15">
        <v>295</v>
      </c>
      <c r="DM15">
        <v>25</v>
      </c>
      <c r="DN15">
        <v>154</v>
      </c>
      <c r="DO15">
        <v>284</v>
      </c>
      <c r="DP15">
        <v>34</v>
      </c>
      <c r="DQ15">
        <v>157</v>
      </c>
      <c r="DR15">
        <v>248</v>
      </c>
      <c r="DS15">
        <v>38</v>
      </c>
      <c r="DT15">
        <v>160</v>
      </c>
      <c r="DU15">
        <v>283</v>
      </c>
      <c r="DV15">
        <v>33</v>
      </c>
      <c r="DW15">
        <v>153</v>
      </c>
      <c r="DX15">
        <v>273</v>
      </c>
      <c r="DY15">
        <v>36</v>
      </c>
      <c r="DZ15">
        <v>147</v>
      </c>
    </row>
    <row r="16" spans="1:130" hidden="1">
      <c r="A16">
        <v>13</v>
      </c>
      <c r="F16">
        <v>3637</v>
      </c>
      <c r="G16">
        <v>22</v>
      </c>
      <c r="H16">
        <v>1</v>
      </c>
      <c r="I16">
        <v>13</v>
      </c>
      <c r="J16">
        <v>6</v>
      </c>
      <c r="K16">
        <v>256</v>
      </c>
      <c r="L16">
        <v>33</v>
      </c>
      <c r="M16">
        <v>284</v>
      </c>
      <c r="N16">
        <v>281</v>
      </c>
      <c r="O16">
        <v>43</v>
      </c>
      <c r="P16">
        <v>269</v>
      </c>
      <c r="Q16">
        <v>271</v>
      </c>
      <c r="R16">
        <v>53</v>
      </c>
      <c r="S16">
        <v>295</v>
      </c>
      <c r="T16">
        <v>314</v>
      </c>
      <c r="U16">
        <v>30</v>
      </c>
      <c r="V16">
        <v>277</v>
      </c>
      <c r="W16">
        <v>274</v>
      </c>
      <c r="X16">
        <v>50</v>
      </c>
      <c r="Y16">
        <v>275</v>
      </c>
      <c r="Z16">
        <v>311</v>
      </c>
      <c r="AA16">
        <v>26</v>
      </c>
      <c r="AB16">
        <v>285</v>
      </c>
      <c r="AC16">
        <v>303</v>
      </c>
      <c r="AD16">
        <v>27</v>
      </c>
      <c r="AE16">
        <v>310</v>
      </c>
      <c r="AF16">
        <v>246</v>
      </c>
      <c r="AG16">
        <v>29</v>
      </c>
      <c r="AH16">
        <v>327</v>
      </c>
      <c r="AI16">
        <v>267</v>
      </c>
      <c r="AJ16">
        <v>27</v>
      </c>
      <c r="AK16">
        <v>301</v>
      </c>
      <c r="AL16">
        <v>261</v>
      </c>
      <c r="AM16">
        <v>39</v>
      </c>
      <c r="AN16">
        <v>294</v>
      </c>
      <c r="AO16">
        <v>300</v>
      </c>
      <c r="AP16">
        <v>29</v>
      </c>
      <c r="AQ16">
        <v>256</v>
      </c>
      <c r="AR16">
        <v>286</v>
      </c>
      <c r="AS16">
        <v>39</v>
      </c>
      <c r="AT16">
        <v>306</v>
      </c>
      <c r="AU16">
        <v>180</v>
      </c>
      <c r="AV16">
        <v>33</v>
      </c>
      <c r="AW16">
        <v>281</v>
      </c>
      <c r="AX16">
        <v>290</v>
      </c>
      <c r="AY16">
        <v>41</v>
      </c>
      <c r="AZ16">
        <v>298</v>
      </c>
      <c r="BA16">
        <v>278</v>
      </c>
      <c r="BB16">
        <v>37</v>
      </c>
      <c r="BC16">
        <v>284</v>
      </c>
      <c r="BD16">
        <v>290</v>
      </c>
      <c r="BE16">
        <v>19</v>
      </c>
      <c r="BF16">
        <v>273</v>
      </c>
      <c r="BG16">
        <v>237</v>
      </c>
      <c r="BH16">
        <v>41</v>
      </c>
      <c r="BI16">
        <v>262</v>
      </c>
      <c r="BJ16">
        <v>309</v>
      </c>
      <c r="BK16">
        <v>27</v>
      </c>
      <c r="BL16">
        <v>299</v>
      </c>
      <c r="BM16">
        <v>286</v>
      </c>
      <c r="BN16">
        <v>41</v>
      </c>
      <c r="BO16">
        <v>299</v>
      </c>
      <c r="BP16">
        <v>317</v>
      </c>
      <c r="BQ16">
        <v>38</v>
      </c>
      <c r="BR16">
        <v>287</v>
      </c>
      <c r="BS16">
        <v>319</v>
      </c>
      <c r="BT16">
        <v>34</v>
      </c>
      <c r="BU16">
        <v>298</v>
      </c>
      <c r="BV16">
        <v>265</v>
      </c>
      <c r="BW16">
        <v>18</v>
      </c>
      <c r="BX16">
        <v>276</v>
      </c>
      <c r="BY16">
        <v>271</v>
      </c>
      <c r="BZ16">
        <v>38</v>
      </c>
      <c r="CA16">
        <v>270</v>
      </c>
      <c r="CB16">
        <v>284</v>
      </c>
      <c r="CC16">
        <v>37</v>
      </c>
      <c r="CD16">
        <v>266</v>
      </c>
      <c r="CE16">
        <v>278</v>
      </c>
      <c r="CF16">
        <v>19</v>
      </c>
      <c r="CG16">
        <v>299</v>
      </c>
      <c r="CH16">
        <v>264</v>
      </c>
      <c r="CI16">
        <v>45</v>
      </c>
      <c r="CJ16">
        <v>265</v>
      </c>
      <c r="CK16">
        <v>280</v>
      </c>
      <c r="CL16">
        <v>26</v>
      </c>
      <c r="CM16">
        <v>325</v>
      </c>
      <c r="CN16">
        <v>282</v>
      </c>
      <c r="CO16">
        <v>31</v>
      </c>
      <c r="CP16">
        <v>280</v>
      </c>
      <c r="CQ16">
        <v>216</v>
      </c>
      <c r="CR16">
        <v>32</v>
      </c>
      <c r="CS16">
        <v>315</v>
      </c>
      <c r="CT16">
        <v>226</v>
      </c>
      <c r="CU16">
        <v>21</v>
      </c>
      <c r="CV16">
        <v>304</v>
      </c>
      <c r="CW16">
        <v>266</v>
      </c>
      <c r="CX16">
        <v>36</v>
      </c>
      <c r="CY16">
        <v>300</v>
      </c>
      <c r="CZ16">
        <v>277</v>
      </c>
      <c r="DA16">
        <v>42</v>
      </c>
      <c r="DB16">
        <v>289</v>
      </c>
      <c r="DC16">
        <v>275</v>
      </c>
      <c r="DD16">
        <v>24</v>
      </c>
      <c r="DE16">
        <v>332</v>
      </c>
      <c r="DF16">
        <v>310</v>
      </c>
      <c r="DG16">
        <v>28</v>
      </c>
      <c r="DH16">
        <v>281</v>
      </c>
      <c r="DI16">
        <v>249</v>
      </c>
      <c r="DJ16">
        <v>25</v>
      </c>
      <c r="DK16">
        <v>291</v>
      </c>
      <c r="DL16">
        <v>300</v>
      </c>
      <c r="DM16">
        <v>23</v>
      </c>
      <c r="DN16">
        <v>315</v>
      </c>
      <c r="DO16">
        <v>300</v>
      </c>
      <c r="DP16">
        <v>28</v>
      </c>
      <c r="DQ16">
        <v>280</v>
      </c>
      <c r="DR16">
        <v>256</v>
      </c>
      <c r="DS16">
        <v>35</v>
      </c>
      <c r="DT16">
        <v>313</v>
      </c>
      <c r="DU16">
        <v>302</v>
      </c>
      <c r="DV16">
        <v>27</v>
      </c>
      <c r="DW16">
        <v>289</v>
      </c>
      <c r="DX16">
        <v>293</v>
      </c>
      <c r="DY16">
        <v>32</v>
      </c>
      <c r="DZ16">
        <v>289</v>
      </c>
    </row>
    <row r="17" spans="1:130" hidden="1">
      <c r="A17">
        <v>14</v>
      </c>
      <c r="F17">
        <v>3638</v>
      </c>
      <c r="G17">
        <v>22</v>
      </c>
      <c r="H17">
        <v>1</v>
      </c>
      <c r="I17">
        <v>14</v>
      </c>
      <c r="J17">
        <v>6</v>
      </c>
      <c r="K17">
        <v>257</v>
      </c>
      <c r="L17">
        <v>35</v>
      </c>
      <c r="M17">
        <v>486</v>
      </c>
      <c r="N17">
        <v>280</v>
      </c>
      <c r="O17">
        <v>45</v>
      </c>
      <c r="P17">
        <v>465</v>
      </c>
      <c r="Q17">
        <v>281</v>
      </c>
      <c r="R17">
        <v>48</v>
      </c>
      <c r="S17">
        <v>500</v>
      </c>
      <c r="T17">
        <v>327</v>
      </c>
      <c r="U17">
        <v>25</v>
      </c>
      <c r="V17">
        <v>466</v>
      </c>
      <c r="W17">
        <v>280</v>
      </c>
      <c r="X17">
        <v>48</v>
      </c>
      <c r="Y17">
        <v>459</v>
      </c>
      <c r="Z17">
        <v>323</v>
      </c>
      <c r="AA17">
        <v>22</v>
      </c>
      <c r="AB17">
        <v>473</v>
      </c>
      <c r="AC17">
        <v>310</v>
      </c>
      <c r="AD17">
        <v>28</v>
      </c>
      <c r="AE17">
        <v>500</v>
      </c>
      <c r="AF17">
        <v>244</v>
      </c>
      <c r="AG17">
        <v>35</v>
      </c>
      <c r="AH17">
        <v>558</v>
      </c>
      <c r="AI17">
        <v>267</v>
      </c>
      <c r="AJ17">
        <v>27</v>
      </c>
      <c r="AK17">
        <v>505</v>
      </c>
      <c r="AL17">
        <v>265</v>
      </c>
      <c r="AM17">
        <v>34</v>
      </c>
      <c r="AN17">
        <v>495</v>
      </c>
      <c r="AO17">
        <v>309</v>
      </c>
      <c r="AP17">
        <v>28</v>
      </c>
      <c r="AQ17">
        <v>458</v>
      </c>
      <c r="AR17">
        <v>287</v>
      </c>
      <c r="AS17">
        <v>41</v>
      </c>
      <c r="AT17">
        <v>493</v>
      </c>
      <c r="AU17">
        <v>186</v>
      </c>
      <c r="AV17">
        <v>31</v>
      </c>
      <c r="AW17">
        <v>503</v>
      </c>
      <c r="AX17">
        <v>300</v>
      </c>
      <c r="AY17">
        <v>37</v>
      </c>
      <c r="AZ17">
        <v>486</v>
      </c>
      <c r="BA17">
        <v>291</v>
      </c>
      <c r="BB17">
        <v>35</v>
      </c>
      <c r="BC17">
        <v>473</v>
      </c>
      <c r="BD17">
        <v>287</v>
      </c>
      <c r="BE17">
        <v>25</v>
      </c>
      <c r="BF17">
        <v>463</v>
      </c>
      <c r="BG17">
        <v>244</v>
      </c>
      <c r="BH17">
        <v>37</v>
      </c>
      <c r="BI17">
        <v>474</v>
      </c>
      <c r="BJ17">
        <v>321</v>
      </c>
      <c r="BK17">
        <v>28</v>
      </c>
      <c r="BL17">
        <v>478</v>
      </c>
      <c r="BM17">
        <v>296</v>
      </c>
      <c r="BN17">
        <v>41</v>
      </c>
      <c r="BO17">
        <v>473</v>
      </c>
      <c r="BP17">
        <v>332</v>
      </c>
      <c r="BQ17">
        <v>27</v>
      </c>
      <c r="BR17">
        <v>466</v>
      </c>
      <c r="BS17">
        <v>323</v>
      </c>
      <c r="BT17">
        <v>35</v>
      </c>
      <c r="BU17">
        <v>474</v>
      </c>
      <c r="BV17">
        <v>268</v>
      </c>
      <c r="BW17">
        <v>16</v>
      </c>
      <c r="BX17">
        <v>489</v>
      </c>
      <c r="BY17">
        <v>285</v>
      </c>
      <c r="BZ17">
        <v>24</v>
      </c>
      <c r="CA17">
        <v>452</v>
      </c>
      <c r="CB17">
        <v>301</v>
      </c>
      <c r="CC17">
        <v>36</v>
      </c>
      <c r="CD17">
        <v>461</v>
      </c>
      <c r="CE17">
        <v>279</v>
      </c>
      <c r="CF17">
        <v>20</v>
      </c>
      <c r="CG17">
        <v>500</v>
      </c>
      <c r="CH17">
        <v>276</v>
      </c>
      <c r="CI17">
        <v>33</v>
      </c>
      <c r="CJ17">
        <v>461</v>
      </c>
      <c r="CK17">
        <v>286</v>
      </c>
      <c r="CL17">
        <v>28</v>
      </c>
      <c r="CM17">
        <v>525</v>
      </c>
      <c r="CN17">
        <v>296</v>
      </c>
      <c r="CO17">
        <v>28</v>
      </c>
      <c r="CP17">
        <v>473</v>
      </c>
      <c r="CQ17">
        <v>218</v>
      </c>
      <c r="CR17">
        <v>35</v>
      </c>
      <c r="CS17">
        <v>520</v>
      </c>
      <c r="CT17">
        <v>235</v>
      </c>
      <c r="CU17">
        <v>18</v>
      </c>
      <c r="CV17">
        <v>509</v>
      </c>
      <c r="CW17">
        <v>273</v>
      </c>
      <c r="CX17">
        <v>33</v>
      </c>
      <c r="CY17">
        <v>494</v>
      </c>
      <c r="CZ17">
        <v>281</v>
      </c>
      <c r="DA17">
        <v>41</v>
      </c>
      <c r="DB17">
        <v>480</v>
      </c>
      <c r="DC17">
        <v>287</v>
      </c>
      <c r="DD17">
        <v>24</v>
      </c>
      <c r="DE17">
        <v>571</v>
      </c>
      <c r="DF17">
        <v>313</v>
      </c>
      <c r="DG17">
        <v>34</v>
      </c>
      <c r="DH17">
        <v>465</v>
      </c>
      <c r="DI17">
        <v>251</v>
      </c>
      <c r="DJ17">
        <v>26</v>
      </c>
      <c r="DK17">
        <v>489</v>
      </c>
      <c r="DL17">
        <v>301</v>
      </c>
      <c r="DM17">
        <v>23</v>
      </c>
      <c r="DN17">
        <v>503</v>
      </c>
      <c r="DO17">
        <v>311</v>
      </c>
      <c r="DP17">
        <v>23</v>
      </c>
      <c r="DQ17">
        <v>471</v>
      </c>
      <c r="DR17">
        <v>268</v>
      </c>
      <c r="DS17">
        <v>32</v>
      </c>
      <c r="DT17">
        <v>541</v>
      </c>
      <c r="DU17">
        <v>311</v>
      </c>
      <c r="DV17">
        <v>22</v>
      </c>
      <c r="DW17">
        <v>478</v>
      </c>
      <c r="DX17">
        <v>306</v>
      </c>
      <c r="DY17">
        <v>28</v>
      </c>
      <c r="DZ17">
        <v>478</v>
      </c>
    </row>
    <row r="18" spans="1:130" hidden="1">
      <c r="A18">
        <v>15</v>
      </c>
      <c r="F18">
        <v>3639</v>
      </c>
      <c r="G18">
        <v>22</v>
      </c>
      <c r="H18">
        <v>1</v>
      </c>
      <c r="I18">
        <v>15</v>
      </c>
      <c r="J18">
        <v>6</v>
      </c>
      <c r="K18">
        <v>260</v>
      </c>
      <c r="L18">
        <v>34</v>
      </c>
      <c r="M18">
        <v>650</v>
      </c>
      <c r="N18">
        <v>287</v>
      </c>
      <c r="O18">
        <v>42</v>
      </c>
      <c r="P18">
        <v>631</v>
      </c>
      <c r="Q18">
        <v>291</v>
      </c>
      <c r="R18">
        <v>37</v>
      </c>
      <c r="S18">
        <v>624</v>
      </c>
      <c r="T18">
        <v>331</v>
      </c>
      <c r="U18">
        <v>22</v>
      </c>
      <c r="V18">
        <v>631</v>
      </c>
      <c r="W18">
        <v>287</v>
      </c>
      <c r="X18">
        <v>44</v>
      </c>
      <c r="Y18">
        <v>609</v>
      </c>
      <c r="Z18">
        <v>330</v>
      </c>
      <c r="AA18">
        <v>20</v>
      </c>
      <c r="AB18">
        <v>553</v>
      </c>
      <c r="AC18">
        <v>310</v>
      </c>
      <c r="AD18">
        <v>28</v>
      </c>
      <c r="AE18">
        <v>639</v>
      </c>
      <c r="AF18">
        <v>244</v>
      </c>
      <c r="AG18">
        <v>33</v>
      </c>
      <c r="AH18">
        <v>701</v>
      </c>
      <c r="AI18">
        <v>265</v>
      </c>
      <c r="AJ18">
        <v>27</v>
      </c>
      <c r="AK18">
        <v>656</v>
      </c>
      <c r="AL18">
        <v>270</v>
      </c>
      <c r="AM18">
        <v>32</v>
      </c>
      <c r="AN18">
        <v>658</v>
      </c>
      <c r="AO18">
        <v>313</v>
      </c>
      <c r="AP18">
        <v>28</v>
      </c>
      <c r="AQ18">
        <v>618</v>
      </c>
      <c r="AR18">
        <v>295</v>
      </c>
      <c r="AS18">
        <v>36</v>
      </c>
      <c r="AT18">
        <v>644</v>
      </c>
      <c r="AU18">
        <v>183</v>
      </c>
      <c r="AV18">
        <v>36</v>
      </c>
      <c r="AW18">
        <v>687</v>
      </c>
      <c r="AX18">
        <v>308</v>
      </c>
      <c r="AY18">
        <v>30</v>
      </c>
      <c r="AZ18">
        <v>631</v>
      </c>
      <c r="BA18">
        <v>286</v>
      </c>
      <c r="BB18">
        <v>41</v>
      </c>
      <c r="BC18">
        <v>618</v>
      </c>
      <c r="BD18">
        <v>288</v>
      </c>
      <c r="BE18">
        <v>26</v>
      </c>
      <c r="BF18">
        <v>602</v>
      </c>
      <c r="BG18">
        <v>248</v>
      </c>
      <c r="BH18">
        <v>35</v>
      </c>
      <c r="BI18">
        <v>643</v>
      </c>
      <c r="BJ18">
        <v>334</v>
      </c>
      <c r="BK18">
        <v>22</v>
      </c>
      <c r="BL18">
        <v>623</v>
      </c>
      <c r="BM18">
        <v>306</v>
      </c>
      <c r="BN18">
        <v>35</v>
      </c>
      <c r="BO18">
        <v>606</v>
      </c>
      <c r="BP18">
        <v>338</v>
      </c>
      <c r="BQ18">
        <v>20</v>
      </c>
      <c r="BR18">
        <v>600</v>
      </c>
      <c r="BS18">
        <v>313</v>
      </c>
      <c r="BT18">
        <v>34</v>
      </c>
      <c r="BU18">
        <v>619</v>
      </c>
      <c r="BV18">
        <v>270</v>
      </c>
      <c r="BW18">
        <v>17</v>
      </c>
      <c r="BX18">
        <v>658</v>
      </c>
      <c r="BY18">
        <v>287</v>
      </c>
      <c r="BZ18">
        <v>25</v>
      </c>
      <c r="CA18">
        <v>546</v>
      </c>
      <c r="CB18">
        <v>305</v>
      </c>
      <c r="CC18">
        <v>37</v>
      </c>
      <c r="CD18">
        <v>618</v>
      </c>
      <c r="CE18">
        <v>279</v>
      </c>
      <c r="CF18">
        <v>20</v>
      </c>
      <c r="CG18">
        <v>665</v>
      </c>
      <c r="CH18">
        <v>291</v>
      </c>
      <c r="CI18">
        <v>26</v>
      </c>
      <c r="CJ18">
        <v>623</v>
      </c>
      <c r="CK18">
        <v>292</v>
      </c>
      <c r="CL18">
        <v>28</v>
      </c>
      <c r="CM18">
        <v>691</v>
      </c>
      <c r="CN18">
        <v>306</v>
      </c>
      <c r="CO18">
        <v>27</v>
      </c>
      <c r="CP18">
        <v>619</v>
      </c>
      <c r="CQ18">
        <v>219</v>
      </c>
      <c r="CR18">
        <v>35</v>
      </c>
      <c r="CS18">
        <v>687</v>
      </c>
      <c r="CT18">
        <v>230</v>
      </c>
      <c r="CU18">
        <v>20</v>
      </c>
      <c r="CV18">
        <v>666</v>
      </c>
      <c r="CW18">
        <v>280</v>
      </c>
      <c r="CX18">
        <v>33</v>
      </c>
      <c r="CY18">
        <v>645</v>
      </c>
      <c r="CZ18">
        <v>290</v>
      </c>
      <c r="DA18">
        <v>37</v>
      </c>
      <c r="DB18">
        <v>633</v>
      </c>
      <c r="DC18">
        <v>286</v>
      </c>
      <c r="DD18">
        <v>23</v>
      </c>
      <c r="DE18">
        <v>679</v>
      </c>
      <c r="DF18">
        <v>321</v>
      </c>
      <c r="DG18">
        <v>29</v>
      </c>
      <c r="DH18">
        <v>625</v>
      </c>
      <c r="DI18">
        <v>252</v>
      </c>
      <c r="DJ18">
        <v>28</v>
      </c>
      <c r="DK18">
        <v>659</v>
      </c>
      <c r="DL18">
        <v>302</v>
      </c>
      <c r="DM18">
        <v>23</v>
      </c>
      <c r="DN18">
        <v>650</v>
      </c>
      <c r="DO18">
        <v>323</v>
      </c>
      <c r="DP18">
        <v>19</v>
      </c>
      <c r="DQ18">
        <v>624</v>
      </c>
      <c r="DR18">
        <v>266</v>
      </c>
      <c r="DS18">
        <v>34</v>
      </c>
      <c r="DT18">
        <v>689</v>
      </c>
      <c r="DU18">
        <v>319</v>
      </c>
      <c r="DV18">
        <v>21</v>
      </c>
      <c r="DW18">
        <v>616</v>
      </c>
      <c r="DX18">
        <v>311</v>
      </c>
      <c r="DY18">
        <v>25</v>
      </c>
      <c r="DZ18">
        <v>629</v>
      </c>
    </row>
    <row r="19" spans="1:130" hidden="1">
      <c r="A19">
        <v>16</v>
      </c>
      <c r="F19">
        <v>3640</v>
      </c>
      <c r="G19">
        <v>22</v>
      </c>
      <c r="H19">
        <v>1</v>
      </c>
      <c r="I19">
        <v>16</v>
      </c>
      <c r="J19">
        <v>6</v>
      </c>
      <c r="K19">
        <v>253</v>
      </c>
      <c r="L19">
        <v>36</v>
      </c>
      <c r="M19">
        <v>753</v>
      </c>
      <c r="N19">
        <v>295</v>
      </c>
      <c r="O19">
        <v>41</v>
      </c>
      <c r="P19">
        <v>724</v>
      </c>
      <c r="Q19">
        <v>291</v>
      </c>
      <c r="R19">
        <v>35</v>
      </c>
      <c r="S19">
        <v>637</v>
      </c>
      <c r="T19">
        <v>335</v>
      </c>
      <c r="U19">
        <v>20</v>
      </c>
      <c r="V19">
        <v>731</v>
      </c>
      <c r="W19">
        <v>292</v>
      </c>
      <c r="X19">
        <v>39</v>
      </c>
      <c r="Y19">
        <v>751</v>
      </c>
      <c r="Z19">
        <v>334</v>
      </c>
      <c r="AA19">
        <v>20</v>
      </c>
      <c r="AB19">
        <v>584</v>
      </c>
      <c r="AC19">
        <v>308</v>
      </c>
      <c r="AD19">
        <v>29</v>
      </c>
      <c r="AE19">
        <v>721</v>
      </c>
      <c r="AF19">
        <v>242</v>
      </c>
      <c r="AG19">
        <v>30</v>
      </c>
      <c r="AH19">
        <v>827</v>
      </c>
      <c r="AI19">
        <v>258</v>
      </c>
      <c r="AJ19">
        <v>28</v>
      </c>
      <c r="AK19">
        <v>735</v>
      </c>
      <c r="AL19">
        <v>266</v>
      </c>
      <c r="AM19">
        <v>33</v>
      </c>
      <c r="AN19">
        <v>772</v>
      </c>
      <c r="AO19">
        <v>311</v>
      </c>
      <c r="AP19">
        <v>27</v>
      </c>
      <c r="AQ19">
        <v>717</v>
      </c>
      <c r="AR19">
        <v>296</v>
      </c>
      <c r="AS19">
        <v>30</v>
      </c>
      <c r="AT19">
        <v>723</v>
      </c>
      <c r="AU19">
        <v>178</v>
      </c>
      <c r="AV19">
        <v>40</v>
      </c>
      <c r="AW19">
        <v>816</v>
      </c>
      <c r="AX19">
        <v>308</v>
      </c>
      <c r="AY19">
        <v>30</v>
      </c>
      <c r="AZ19">
        <v>707</v>
      </c>
      <c r="BA19">
        <v>288</v>
      </c>
      <c r="BB19">
        <v>37</v>
      </c>
      <c r="BC19">
        <v>723</v>
      </c>
      <c r="BD19">
        <v>287</v>
      </c>
      <c r="BE19">
        <v>25</v>
      </c>
      <c r="BF19">
        <v>659</v>
      </c>
      <c r="BG19">
        <v>250</v>
      </c>
      <c r="BH19">
        <v>32</v>
      </c>
      <c r="BI19">
        <v>740</v>
      </c>
      <c r="BJ19">
        <v>330</v>
      </c>
      <c r="BK19">
        <v>24</v>
      </c>
      <c r="BL19">
        <v>723</v>
      </c>
      <c r="BM19">
        <v>322</v>
      </c>
      <c r="BN19">
        <v>23</v>
      </c>
      <c r="BO19">
        <v>688</v>
      </c>
      <c r="BP19">
        <v>333</v>
      </c>
      <c r="BQ19">
        <v>18</v>
      </c>
      <c r="BR19">
        <v>602</v>
      </c>
      <c r="BS19">
        <v>317</v>
      </c>
      <c r="BT19">
        <v>35</v>
      </c>
      <c r="BU19">
        <v>694</v>
      </c>
      <c r="BV19">
        <v>269</v>
      </c>
      <c r="BW19">
        <v>18</v>
      </c>
      <c r="BX19">
        <v>763</v>
      </c>
      <c r="BY19">
        <v>291</v>
      </c>
      <c r="BZ19">
        <v>24</v>
      </c>
      <c r="CA19">
        <v>647</v>
      </c>
      <c r="CB19">
        <v>307</v>
      </c>
      <c r="CC19">
        <v>36</v>
      </c>
      <c r="CD19">
        <v>716</v>
      </c>
      <c r="CE19">
        <v>277</v>
      </c>
      <c r="CF19">
        <v>22</v>
      </c>
      <c r="CG19">
        <v>668</v>
      </c>
      <c r="CH19">
        <v>294</v>
      </c>
      <c r="CI19">
        <v>26</v>
      </c>
      <c r="CJ19">
        <v>718</v>
      </c>
      <c r="CK19">
        <v>290</v>
      </c>
      <c r="CL19">
        <v>27</v>
      </c>
      <c r="CM19">
        <v>755</v>
      </c>
      <c r="CN19">
        <v>305</v>
      </c>
      <c r="CO19">
        <v>25</v>
      </c>
      <c r="CP19">
        <v>703</v>
      </c>
      <c r="CQ19">
        <v>209</v>
      </c>
      <c r="CR19">
        <v>37</v>
      </c>
      <c r="CS19">
        <v>795</v>
      </c>
      <c r="CT19">
        <v>231</v>
      </c>
      <c r="CU19">
        <v>22</v>
      </c>
      <c r="CV19">
        <v>746</v>
      </c>
      <c r="CW19">
        <v>282</v>
      </c>
      <c r="CX19">
        <v>33</v>
      </c>
      <c r="CY19">
        <v>713</v>
      </c>
      <c r="CZ19">
        <v>290</v>
      </c>
      <c r="DA19">
        <v>37</v>
      </c>
      <c r="DB19">
        <v>712</v>
      </c>
      <c r="DC19">
        <v>280</v>
      </c>
      <c r="DD19">
        <v>23</v>
      </c>
      <c r="DE19">
        <v>841</v>
      </c>
      <c r="DF19">
        <v>324</v>
      </c>
      <c r="DG19">
        <v>28</v>
      </c>
      <c r="DH19">
        <v>715</v>
      </c>
      <c r="DI19">
        <v>246</v>
      </c>
      <c r="DJ19">
        <v>31</v>
      </c>
      <c r="DK19">
        <v>773</v>
      </c>
      <c r="DL19">
        <v>299</v>
      </c>
      <c r="DM19">
        <v>23</v>
      </c>
      <c r="DN19">
        <v>727</v>
      </c>
      <c r="DO19">
        <v>326</v>
      </c>
      <c r="DP19">
        <v>18</v>
      </c>
      <c r="DQ19">
        <v>712</v>
      </c>
      <c r="DR19">
        <v>247</v>
      </c>
      <c r="DS19">
        <v>36</v>
      </c>
      <c r="DT19">
        <v>647</v>
      </c>
      <c r="DU19">
        <v>322</v>
      </c>
      <c r="DV19">
        <v>19</v>
      </c>
      <c r="DW19">
        <v>729</v>
      </c>
      <c r="DX19">
        <v>310</v>
      </c>
      <c r="DY19">
        <v>24</v>
      </c>
      <c r="DZ19">
        <v>709</v>
      </c>
    </row>
    <row r="20" spans="1:130" hidden="1">
      <c r="A20">
        <v>17</v>
      </c>
      <c r="F20">
        <v>3641</v>
      </c>
      <c r="G20">
        <v>22</v>
      </c>
      <c r="H20">
        <v>1</v>
      </c>
      <c r="I20">
        <v>17</v>
      </c>
      <c r="J20">
        <v>6</v>
      </c>
      <c r="K20">
        <v>251</v>
      </c>
      <c r="L20">
        <v>35</v>
      </c>
      <c r="M20">
        <v>675</v>
      </c>
      <c r="N20">
        <v>288</v>
      </c>
      <c r="O20">
        <v>39</v>
      </c>
      <c r="P20">
        <v>543</v>
      </c>
      <c r="Q20">
        <v>273</v>
      </c>
      <c r="R20">
        <v>39</v>
      </c>
      <c r="S20">
        <v>88</v>
      </c>
      <c r="T20">
        <v>333</v>
      </c>
      <c r="U20">
        <v>19</v>
      </c>
      <c r="V20">
        <v>789</v>
      </c>
      <c r="W20">
        <v>292</v>
      </c>
      <c r="X20">
        <v>40</v>
      </c>
      <c r="Y20">
        <v>842</v>
      </c>
      <c r="Z20">
        <v>332</v>
      </c>
      <c r="AA20">
        <v>20</v>
      </c>
      <c r="AB20">
        <v>684</v>
      </c>
      <c r="AC20">
        <v>300</v>
      </c>
      <c r="AD20">
        <v>32</v>
      </c>
      <c r="AE20">
        <v>632</v>
      </c>
      <c r="AF20">
        <v>234</v>
      </c>
      <c r="AG20">
        <v>29</v>
      </c>
      <c r="AH20">
        <v>825</v>
      </c>
      <c r="AI20">
        <v>248</v>
      </c>
      <c r="AJ20">
        <v>28</v>
      </c>
      <c r="AK20">
        <v>675</v>
      </c>
      <c r="AL20">
        <v>263</v>
      </c>
      <c r="AM20">
        <v>32</v>
      </c>
      <c r="AN20">
        <v>788</v>
      </c>
      <c r="AO20">
        <v>308</v>
      </c>
      <c r="AP20">
        <v>27</v>
      </c>
      <c r="AQ20">
        <v>723</v>
      </c>
      <c r="AR20">
        <v>298</v>
      </c>
      <c r="AS20">
        <v>21</v>
      </c>
      <c r="AT20">
        <v>717</v>
      </c>
      <c r="AU20">
        <v>169</v>
      </c>
      <c r="AV20">
        <v>46</v>
      </c>
      <c r="AW20">
        <v>861</v>
      </c>
      <c r="AX20">
        <v>305</v>
      </c>
      <c r="AY20">
        <v>30</v>
      </c>
      <c r="AZ20">
        <v>716</v>
      </c>
      <c r="BA20">
        <v>287</v>
      </c>
      <c r="BB20">
        <v>35</v>
      </c>
      <c r="BC20">
        <v>750</v>
      </c>
      <c r="BD20">
        <v>284</v>
      </c>
      <c r="BE20">
        <v>27</v>
      </c>
      <c r="BF20">
        <v>657</v>
      </c>
      <c r="BG20">
        <v>249</v>
      </c>
      <c r="BH20">
        <v>35</v>
      </c>
      <c r="BI20">
        <v>783</v>
      </c>
      <c r="BJ20">
        <v>326</v>
      </c>
      <c r="BK20">
        <v>26</v>
      </c>
      <c r="BL20">
        <v>727</v>
      </c>
      <c r="BM20">
        <v>321</v>
      </c>
      <c r="BN20">
        <v>22</v>
      </c>
      <c r="BO20">
        <v>653</v>
      </c>
      <c r="BP20">
        <v>326</v>
      </c>
      <c r="BQ20">
        <v>17</v>
      </c>
      <c r="BR20">
        <v>679</v>
      </c>
      <c r="BS20">
        <v>310</v>
      </c>
      <c r="BT20">
        <v>36</v>
      </c>
      <c r="BU20">
        <v>681</v>
      </c>
      <c r="BV20">
        <v>261</v>
      </c>
      <c r="BW20">
        <v>19</v>
      </c>
      <c r="BX20">
        <v>783</v>
      </c>
      <c r="BY20">
        <v>288</v>
      </c>
      <c r="BZ20">
        <v>25</v>
      </c>
      <c r="CA20">
        <v>562</v>
      </c>
      <c r="CB20">
        <v>303</v>
      </c>
      <c r="CC20">
        <v>35</v>
      </c>
      <c r="CD20">
        <v>724</v>
      </c>
      <c r="CE20">
        <v>268</v>
      </c>
      <c r="CF20">
        <v>25</v>
      </c>
      <c r="CG20">
        <v>689</v>
      </c>
      <c r="CH20">
        <v>292</v>
      </c>
      <c r="CI20">
        <v>28</v>
      </c>
      <c r="CJ20">
        <v>732</v>
      </c>
      <c r="CK20">
        <v>274</v>
      </c>
      <c r="CL20">
        <v>28</v>
      </c>
      <c r="CM20">
        <v>366</v>
      </c>
      <c r="CN20">
        <v>305</v>
      </c>
      <c r="CO20">
        <v>25</v>
      </c>
      <c r="CP20">
        <v>739</v>
      </c>
      <c r="CQ20">
        <v>201</v>
      </c>
      <c r="CR20">
        <v>42</v>
      </c>
      <c r="CS20">
        <v>772</v>
      </c>
      <c r="CT20">
        <v>220</v>
      </c>
      <c r="CU20">
        <v>25</v>
      </c>
      <c r="CV20">
        <v>673</v>
      </c>
      <c r="CW20">
        <v>280</v>
      </c>
      <c r="CX20">
        <v>33</v>
      </c>
      <c r="CY20">
        <v>735</v>
      </c>
      <c r="CZ20">
        <v>289</v>
      </c>
      <c r="DA20">
        <v>36</v>
      </c>
      <c r="DB20">
        <v>710</v>
      </c>
      <c r="DC20">
        <v>274</v>
      </c>
      <c r="DD20">
        <v>24</v>
      </c>
      <c r="DE20">
        <v>741</v>
      </c>
      <c r="DF20">
        <v>321</v>
      </c>
      <c r="DG20">
        <v>27</v>
      </c>
      <c r="DH20">
        <v>715</v>
      </c>
      <c r="DI20">
        <v>237</v>
      </c>
      <c r="DJ20">
        <v>37</v>
      </c>
      <c r="DK20">
        <v>750</v>
      </c>
      <c r="DL20">
        <v>294</v>
      </c>
      <c r="DM20">
        <v>23</v>
      </c>
      <c r="DN20">
        <v>703</v>
      </c>
      <c r="DO20">
        <v>327</v>
      </c>
      <c r="DP20">
        <v>18</v>
      </c>
      <c r="DQ20">
        <v>749</v>
      </c>
      <c r="DR20">
        <v>228</v>
      </c>
      <c r="DS20">
        <v>39</v>
      </c>
      <c r="DT20">
        <v>17</v>
      </c>
      <c r="DU20">
        <v>324</v>
      </c>
      <c r="DV20">
        <v>19</v>
      </c>
      <c r="DW20">
        <v>732</v>
      </c>
      <c r="DX20">
        <v>308</v>
      </c>
      <c r="DY20">
        <v>25</v>
      </c>
      <c r="DZ20">
        <v>735</v>
      </c>
    </row>
    <row r="21" spans="1:130" hidden="1">
      <c r="A21">
        <v>18</v>
      </c>
      <c r="F21">
        <v>3642</v>
      </c>
      <c r="G21">
        <v>22</v>
      </c>
      <c r="H21">
        <v>1</v>
      </c>
      <c r="I21">
        <v>18</v>
      </c>
      <c r="J21">
        <v>6</v>
      </c>
      <c r="K21">
        <v>230</v>
      </c>
      <c r="L21">
        <v>40</v>
      </c>
      <c r="M21">
        <v>30</v>
      </c>
      <c r="N21">
        <v>277</v>
      </c>
      <c r="O21">
        <v>45</v>
      </c>
      <c r="P21">
        <v>22</v>
      </c>
      <c r="Q21">
        <v>260</v>
      </c>
      <c r="R21">
        <v>44</v>
      </c>
      <c r="S21">
        <v>16</v>
      </c>
      <c r="T21">
        <v>326</v>
      </c>
      <c r="U21">
        <v>20</v>
      </c>
      <c r="V21">
        <v>736</v>
      </c>
      <c r="W21">
        <v>290</v>
      </c>
      <c r="X21">
        <v>38</v>
      </c>
      <c r="Y21">
        <v>812</v>
      </c>
      <c r="Z21">
        <v>325</v>
      </c>
      <c r="AA21">
        <v>22</v>
      </c>
      <c r="AB21">
        <v>553</v>
      </c>
      <c r="AC21">
        <v>276</v>
      </c>
      <c r="AD21">
        <v>38</v>
      </c>
      <c r="AE21">
        <v>77</v>
      </c>
      <c r="AF21">
        <v>215</v>
      </c>
      <c r="AG21">
        <v>32</v>
      </c>
      <c r="AH21">
        <v>401</v>
      </c>
      <c r="AI21">
        <v>230</v>
      </c>
      <c r="AJ21">
        <v>29</v>
      </c>
      <c r="AK21">
        <v>52</v>
      </c>
      <c r="AL21">
        <v>240</v>
      </c>
      <c r="AM21">
        <v>48</v>
      </c>
      <c r="AN21">
        <v>599</v>
      </c>
      <c r="AO21">
        <v>297</v>
      </c>
      <c r="AP21">
        <v>31</v>
      </c>
      <c r="AQ21">
        <v>522</v>
      </c>
      <c r="AR21">
        <v>288</v>
      </c>
      <c r="AS21">
        <v>23</v>
      </c>
      <c r="AT21">
        <v>527</v>
      </c>
      <c r="AU21">
        <v>159</v>
      </c>
      <c r="AV21">
        <v>55</v>
      </c>
      <c r="AW21">
        <v>685</v>
      </c>
      <c r="AX21">
        <v>291</v>
      </c>
      <c r="AY21">
        <v>42</v>
      </c>
      <c r="AZ21">
        <v>592</v>
      </c>
      <c r="BA21">
        <v>274</v>
      </c>
      <c r="BB21">
        <v>42</v>
      </c>
      <c r="BC21">
        <v>582</v>
      </c>
      <c r="BD21">
        <v>276</v>
      </c>
      <c r="BE21">
        <v>29</v>
      </c>
      <c r="BF21">
        <v>609</v>
      </c>
      <c r="BG21">
        <v>247</v>
      </c>
      <c r="BH21">
        <v>29</v>
      </c>
      <c r="BI21">
        <v>607</v>
      </c>
      <c r="BJ21">
        <v>314</v>
      </c>
      <c r="BK21">
        <v>28</v>
      </c>
      <c r="BL21">
        <v>578</v>
      </c>
      <c r="BM21">
        <v>308</v>
      </c>
      <c r="BN21">
        <v>25</v>
      </c>
      <c r="BO21">
        <v>592</v>
      </c>
      <c r="BP21">
        <v>313</v>
      </c>
      <c r="BQ21">
        <v>19</v>
      </c>
      <c r="BR21">
        <v>358</v>
      </c>
      <c r="BS21">
        <v>306</v>
      </c>
      <c r="BT21">
        <v>38</v>
      </c>
      <c r="BU21">
        <v>609</v>
      </c>
      <c r="BV21">
        <v>248</v>
      </c>
      <c r="BW21">
        <v>21</v>
      </c>
      <c r="BX21">
        <v>585</v>
      </c>
      <c r="BY21">
        <v>283</v>
      </c>
      <c r="BZ21">
        <v>28</v>
      </c>
      <c r="CA21">
        <v>572</v>
      </c>
      <c r="CB21">
        <v>299</v>
      </c>
      <c r="CC21">
        <v>37</v>
      </c>
      <c r="CD21">
        <v>640</v>
      </c>
      <c r="CE21">
        <v>256</v>
      </c>
      <c r="CF21">
        <v>25</v>
      </c>
      <c r="CG21">
        <v>458</v>
      </c>
      <c r="CH21">
        <v>288</v>
      </c>
      <c r="CI21">
        <v>31</v>
      </c>
      <c r="CJ21">
        <v>562</v>
      </c>
      <c r="CK21">
        <v>256</v>
      </c>
      <c r="CL21">
        <v>38</v>
      </c>
      <c r="CM21">
        <v>12</v>
      </c>
      <c r="CN21">
        <v>300</v>
      </c>
      <c r="CO21">
        <v>25</v>
      </c>
      <c r="CP21">
        <v>637</v>
      </c>
      <c r="CQ21">
        <v>183</v>
      </c>
      <c r="CR21">
        <v>46</v>
      </c>
      <c r="CS21">
        <v>386</v>
      </c>
      <c r="CT21">
        <v>195</v>
      </c>
      <c r="CU21">
        <v>28</v>
      </c>
      <c r="CV21">
        <v>26</v>
      </c>
      <c r="CW21">
        <v>272</v>
      </c>
      <c r="CX21">
        <v>38</v>
      </c>
      <c r="CY21">
        <v>668</v>
      </c>
      <c r="CZ21">
        <v>282</v>
      </c>
      <c r="DA21">
        <v>38</v>
      </c>
      <c r="DB21">
        <v>525</v>
      </c>
      <c r="DC21">
        <v>252</v>
      </c>
      <c r="DD21">
        <v>30</v>
      </c>
      <c r="DE21">
        <v>288</v>
      </c>
      <c r="DF21">
        <v>312</v>
      </c>
      <c r="DG21">
        <v>27</v>
      </c>
      <c r="DH21">
        <v>561</v>
      </c>
      <c r="DI21">
        <v>222</v>
      </c>
      <c r="DJ21">
        <v>43</v>
      </c>
      <c r="DK21">
        <v>392</v>
      </c>
      <c r="DL21">
        <v>287</v>
      </c>
      <c r="DM21">
        <v>24</v>
      </c>
      <c r="DN21">
        <v>557</v>
      </c>
      <c r="DO21">
        <v>312</v>
      </c>
      <c r="DP21">
        <v>27</v>
      </c>
      <c r="DQ21">
        <v>644</v>
      </c>
      <c r="DR21">
        <v>226</v>
      </c>
      <c r="DS21">
        <v>42</v>
      </c>
      <c r="DT21">
        <v>40</v>
      </c>
      <c r="DU21">
        <v>318</v>
      </c>
      <c r="DV21">
        <v>19</v>
      </c>
      <c r="DW21">
        <v>687</v>
      </c>
      <c r="DX21">
        <v>299</v>
      </c>
      <c r="DY21">
        <v>27</v>
      </c>
      <c r="DZ21">
        <v>647</v>
      </c>
    </row>
    <row r="22" spans="1:130" hidden="1">
      <c r="A22">
        <v>19</v>
      </c>
      <c r="F22">
        <v>3643</v>
      </c>
      <c r="G22">
        <v>22</v>
      </c>
      <c r="H22">
        <v>1</v>
      </c>
      <c r="I22">
        <v>19</v>
      </c>
      <c r="J22">
        <v>6</v>
      </c>
      <c r="K22">
        <v>213</v>
      </c>
      <c r="L22">
        <v>41</v>
      </c>
      <c r="M22">
        <v>5</v>
      </c>
      <c r="N22">
        <v>257</v>
      </c>
      <c r="O22">
        <v>49</v>
      </c>
      <c r="P22">
        <v>53</v>
      </c>
      <c r="Q22">
        <v>259</v>
      </c>
      <c r="R22">
        <v>41</v>
      </c>
      <c r="S22">
        <v>8</v>
      </c>
      <c r="T22">
        <v>311</v>
      </c>
      <c r="U22">
        <v>25</v>
      </c>
      <c r="V22">
        <v>520</v>
      </c>
      <c r="W22">
        <v>278</v>
      </c>
      <c r="X22">
        <v>46</v>
      </c>
      <c r="Y22">
        <v>613</v>
      </c>
      <c r="Z22">
        <v>298</v>
      </c>
      <c r="AA22">
        <v>34</v>
      </c>
      <c r="AB22">
        <v>323</v>
      </c>
      <c r="AC22">
        <v>259</v>
      </c>
      <c r="AD22">
        <v>42</v>
      </c>
      <c r="AE22">
        <v>6</v>
      </c>
      <c r="AF22">
        <v>202</v>
      </c>
      <c r="AG22">
        <v>33</v>
      </c>
      <c r="AH22">
        <v>11</v>
      </c>
      <c r="AI22">
        <v>216</v>
      </c>
      <c r="AJ22">
        <v>32</v>
      </c>
      <c r="AK22">
        <v>3</v>
      </c>
      <c r="AL22">
        <v>208</v>
      </c>
      <c r="AM22">
        <v>57</v>
      </c>
      <c r="AN22">
        <v>59</v>
      </c>
      <c r="AO22">
        <v>278</v>
      </c>
      <c r="AP22">
        <v>36</v>
      </c>
      <c r="AQ22">
        <v>222</v>
      </c>
      <c r="AR22">
        <v>244</v>
      </c>
      <c r="AS22">
        <v>36</v>
      </c>
      <c r="AT22">
        <v>16</v>
      </c>
      <c r="AU22">
        <v>145</v>
      </c>
      <c r="AV22">
        <v>63</v>
      </c>
      <c r="AW22">
        <v>61</v>
      </c>
      <c r="AX22">
        <v>255</v>
      </c>
      <c r="AY22">
        <v>54</v>
      </c>
      <c r="AZ22">
        <v>325</v>
      </c>
      <c r="BA22">
        <v>241</v>
      </c>
      <c r="BB22">
        <v>49</v>
      </c>
      <c r="BC22">
        <v>244</v>
      </c>
      <c r="BD22">
        <v>247</v>
      </c>
      <c r="BE22">
        <v>33</v>
      </c>
      <c r="BF22">
        <v>317</v>
      </c>
      <c r="BG22">
        <v>234</v>
      </c>
      <c r="BH22">
        <v>31</v>
      </c>
      <c r="BI22">
        <v>43</v>
      </c>
      <c r="BJ22">
        <v>293</v>
      </c>
      <c r="BK22">
        <v>29</v>
      </c>
      <c r="BL22">
        <v>147</v>
      </c>
      <c r="BM22">
        <v>299</v>
      </c>
      <c r="BN22">
        <v>26</v>
      </c>
      <c r="BO22">
        <v>266</v>
      </c>
      <c r="BP22">
        <v>309</v>
      </c>
      <c r="BQ22">
        <v>21</v>
      </c>
      <c r="BR22">
        <v>449</v>
      </c>
      <c r="BS22">
        <v>295</v>
      </c>
      <c r="BT22">
        <v>40</v>
      </c>
      <c r="BU22">
        <v>280</v>
      </c>
      <c r="BV22">
        <v>223</v>
      </c>
      <c r="BW22">
        <v>28</v>
      </c>
      <c r="BX22">
        <v>20</v>
      </c>
      <c r="BY22">
        <v>269</v>
      </c>
      <c r="BZ22">
        <v>26</v>
      </c>
      <c r="CA22">
        <v>131</v>
      </c>
      <c r="CB22">
        <v>293</v>
      </c>
      <c r="CC22">
        <v>36</v>
      </c>
      <c r="CD22">
        <v>324</v>
      </c>
      <c r="CE22">
        <v>235</v>
      </c>
      <c r="CF22">
        <v>32</v>
      </c>
      <c r="CG22">
        <v>8</v>
      </c>
      <c r="CH22">
        <v>275</v>
      </c>
      <c r="CI22">
        <v>34</v>
      </c>
      <c r="CJ22">
        <v>319</v>
      </c>
      <c r="CK22">
        <v>232</v>
      </c>
      <c r="CL22">
        <v>52</v>
      </c>
      <c r="CM22">
        <v>3</v>
      </c>
      <c r="CN22">
        <v>288</v>
      </c>
      <c r="CO22">
        <v>29</v>
      </c>
      <c r="CP22">
        <v>423</v>
      </c>
      <c r="CQ22">
        <v>161</v>
      </c>
      <c r="CR22">
        <v>52</v>
      </c>
      <c r="CS22">
        <v>6</v>
      </c>
      <c r="CT22">
        <v>179</v>
      </c>
      <c r="CU22">
        <v>31</v>
      </c>
      <c r="CV22">
        <v>5</v>
      </c>
      <c r="CW22">
        <v>257</v>
      </c>
      <c r="CX22">
        <v>47</v>
      </c>
      <c r="CY22">
        <v>432</v>
      </c>
      <c r="CZ22">
        <v>253</v>
      </c>
      <c r="DA22">
        <v>46</v>
      </c>
      <c r="DB22">
        <v>32</v>
      </c>
      <c r="DC22">
        <v>223</v>
      </c>
      <c r="DD22">
        <v>42</v>
      </c>
      <c r="DE22">
        <v>22</v>
      </c>
      <c r="DF22">
        <v>295</v>
      </c>
      <c r="DG22">
        <v>27</v>
      </c>
      <c r="DH22">
        <v>57</v>
      </c>
      <c r="DI22">
        <v>205</v>
      </c>
      <c r="DJ22">
        <v>53</v>
      </c>
      <c r="DK22">
        <v>6</v>
      </c>
      <c r="DL22">
        <v>276</v>
      </c>
      <c r="DM22">
        <v>26</v>
      </c>
      <c r="DN22">
        <v>255</v>
      </c>
      <c r="DO22">
        <v>279</v>
      </c>
      <c r="DP22">
        <v>37</v>
      </c>
      <c r="DQ22">
        <v>457</v>
      </c>
      <c r="DR22">
        <v>198</v>
      </c>
      <c r="DS22">
        <v>53</v>
      </c>
      <c r="DT22">
        <v>31</v>
      </c>
      <c r="DU22">
        <v>300</v>
      </c>
      <c r="DV22">
        <v>29</v>
      </c>
      <c r="DW22">
        <v>275</v>
      </c>
      <c r="DX22">
        <v>278</v>
      </c>
      <c r="DY22">
        <v>35</v>
      </c>
      <c r="DZ22">
        <v>428</v>
      </c>
    </row>
    <row r="23" spans="1:130" hidden="1">
      <c r="A23">
        <v>20</v>
      </c>
      <c r="F23">
        <v>3644</v>
      </c>
      <c r="G23">
        <v>22</v>
      </c>
      <c r="H23">
        <v>1</v>
      </c>
      <c r="I23">
        <v>20</v>
      </c>
      <c r="J23">
        <v>6</v>
      </c>
      <c r="K23">
        <v>195</v>
      </c>
      <c r="L23">
        <v>45</v>
      </c>
      <c r="M23">
        <v>2</v>
      </c>
      <c r="N23">
        <v>209</v>
      </c>
      <c r="O23">
        <v>76</v>
      </c>
      <c r="P23">
        <v>1</v>
      </c>
      <c r="Q23">
        <v>257</v>
      </c>
      <c r="R23">
        <v>39</v>
      </c>
      <c r="S23">
        <v>1</v>
      </c>
      <c r="T23">
        <v>279</v>
      </c>
      <c r="U23">
        <v>36</v>
      </c>
      <c r="V23">
        <v>49</v>
      </c>
      <c r="W23">
        <v>252</v>
      </c>
      <c r="X23">
        <v>58</v>
      </c>
      <c r="Y23">
        <v>15</v>
      </c>
      <c r="Z23">
        <v>253</v>
      </c>
      <c r="AA23">
        <v>50</v>
      </c>
      <c r="AB23">
        <v>8</v>
      </c>
      <c r="AC23">
        <v>252</v>
      </c>
      <c r="AD23">
        <v>42</v>
      </c>
      <c r="AE23">
        <v>1</v>
      </c>
      <c r="AF23">
        <v>181</v>
      </c>
      <c r="AG23">
        <v>42</v>
      </c>
      <c r="AH23">
        <v>3</v>
      </c>
      <c r="AI23">
        <v>195</v>
      </c>
      <c r="AJ23">
        <v>37</v>
      </c>
      <c r="AK23">
        <v>1</v>
      </c>
      <c r="AL23">
        <v>195</v>
      </c>
      <c r="AM23">
        <v>56</v>
      </c>
      <c r="AN23">
        <v>2</v>
      </c>
      <c r="AO23">
        <v>255</v>
      </c>
      <c r="AP23">
        <v>42</v>
      </c>
      <c r="AQ23">
        <v>22</v>
      </c>
      <c r="AR23">
        <v>229</v>
      </c>
      <c r="AS23">
        <v>41</v>
      </c>
      <c r="AT23">
        <v>3</v>
      </c>
      <c r="AU23">
        <v>134</v>
      </c>
      <c r="AV23">
        <v>67</v>
      </c>
      <c r="AW23">
        <v>2</v>
      </c>
      <c r="AX23">
        <v>223</v>
      </c>
      <c r="AY23">
        <v>60</v>
      </c>
      <c r="AZ23">
        <v>8</v>
      </c>
      <c r="BA23">
        <v>224</v>
      </c>
      <c r="BB23">
        <v>53</v>
      </c>
      <c r="BC23">
        <v>3</v>
      </c>
      <c r="BD23">
        <v>208</v>
      </c>
      <c r="BE23">
        <v>40</v>
      </c>
      <c r="BF23">
        <v>1</v>
      </c>
      <c r="BG23">
        <v>211</v>
      </c>
      <c r="BH23">
        <v>35</v>
      </c>
      <c r="BI23">
        <v>2</v>
      </c>
      <c r="BJ23">
        <v>285</v>
      </c>
      <c r="BK23">
        <v>25</v>
      </c>
      <c r="BL23">
        <v>1</v>
      </c>
      <c r="BM23">
        <v>277</v>
      </c>
      <c r="BN23">
        <v>29</v>
      </c>
      <c r="BO23">
        <v>0</v>
      </c>
      <c r="BP23">
        <v>278</v>
      </c>
      <c r="BQ23">
        <v>29</v>
      </c>
      <c r="BR23">
        <v>8</v>
      </c>
      <c r="BS23">
        <v>260</v>
      </c>
      <c r="BT23">
        <v>51</v>
      </c>
      <c r="BU23">
        <v>1</v>
      </c>
      <c r="BV23">
        <v>209</v>
      </c>
      <c r="BW23">
        <v>31</v>
      </c>
      <c r="BX23">
        <v>2</v>
      </c>
      <c r="BY23">
        <v>251</v>
      </c>
      <c r="BZ23">
        <v>28</v>
      </c>
      <c r="CA23">
        <v>2</v>
      </c>
      <c r="CB23">
        <v>245</v>
      </c>
      <c r="CC23">
        <v>53</v>
      </c>
      <c r="CD23">
        <v>0</v>
      </c>
      <c r="CE23">
        <v>206</v>
      </c>
      <c r="CF23">
        <v>44</v>
      </c>
      <c r="CG23">
        <v>2</v>
      </c>
      <c r="CH23">
        <v>263</v>
      </c>
      <c r="CI23">
        <v>34</v>
      </c>
      <c r="CJ23">
        <v>13</v>
      </c>
      <c r="CK23">
        <v>192</v>
      </c>
      <c r="CL23">
        <v>69</v>
      </c>
      <c r="CM23">
        <v>2</v>
      </c>
      <c r="CN23">
        <v>269</v>
      </c>
      <c r="CO23">
        <v>33</v>
      </c>
      <c r="CP23">
        <v>12</v>
      </c>
      <c r="CQ23">
        <v>151</v>
      </c>
      <c r="CR23">
        <v>58</v>
      </c>
      <c r="CS23">
        <v>0</v>
      </c>
      <c r="CT23">
        <v>157</v>
      </c>
      <c r="CU23">
        <v>37</v>
      </c>
      <c r="CV23">
        <v>1</v>
      </c>
      <c r="CW23">
        <v>244</v>
      </c>
      <c r="CX23">
        <v>40</v>
      </c>
      <c r="CY23">
        <v>12</v>
      </c>
      <c r="CZ23">
        <v>231</v>
      </c>
      <c r="DA23">
        <v>58</v>
      </c>
      <c r="DB23">
        <v>3</v>
      </c>
      <c r="DC23">
        <v>189</v>
      </c>
      <c r="DD23">
        <v>61</v>
      </c>
      <c r="DE23">
        <v>0</v>
      </c>
      <c r="DF23">
        <v>256</v>
      </c>
      <c r="DG23">
        <v>43</v>
      </c>
      <c r="DH23">
        <v>1</v>
      </c>
      <c r="DI23">
        <v>185</v>
      </c>
      <c r="DJ23">
        <v>57</v>
      </c>
      <c r="DK23">
        <v>2</v>
      </c>
      <c r="DL23">
        <v>268</v>
      </c>
      <c r="DM23">
        <v>27</v>
      </c>
      <c r="DN23">
        <v>0</v>
      </c>
      <c r="DO23">
        <v>244</v>
      </c>
      <c r="DP23">
        <v>49</v>
      </c>
      <c r="DQ23">
        <v>9</v>
      </c>
      <c r="DR23">
        <v>149</v>
      </c>
      <c r="DS23">
        <v>82</v>
      </c>
      <c r="DT23">
        <v>0</v>
      </c>
      <c r="DU23">
        <v>267</v>
      </c>
      <c r="DV23">
        <v>40</v>
      </c>
      <c r="DW23">
        <v>0</v>
      </c>
      <c r="DX23">
        <v>246</v>
      </c>
      <c r="DY23">
        <v>46</v>
      </c>
      <c r="DZ23">
        <v>11</v>
      </c>
    </row>
    <row r="24" spans="1:130" hidden="1">
      <c r="A24">
        <v>21</v>
      </c>
      <c r="F24">
        <v>3645</v>
      </c>
      <c r="G24">
        <v>22</v>
      </c>
      <c r="H24">
        <v>1</v>
      </c>
      <c r="I24">
        <v>21</v>
      </c>
      <c r="J24">
        <v>6</v>
      </c>
      <c r="K24">
        <v>177</v>
      </c>
      <c r="L24">
        <v>50</v>
      </c>
      <c r="M24">
        <v>0</v>
      </c>
      <c r="N24">
        <v>203</v>
      </c>
      <c r="O24">
        <v>66</v>
      </c>
      <c r="P24">
        <v>0</v>
      </c>
      <c r="Q24">
        <v>253</v>
      </c>
      <c r="R24">
        <v>39</v>
      </c>
      <c r="S24">
        <v>0</v>
      </c>
      <c r="T24">
        <v>242</v>
      </c>
      <c r="U24">
        <v>51</v>
      </c>
      <c r="V24">
        <v>0</v>
      </c>
      <c r="W24">
        <v>226</v>
      </c>
      <c r="X24">
        <v>66</v>
      </c>
      <c r="Y24">
        <v>0</v>
      </c>
      <c r="Z24">
        <v>213</v>
      </c>
      <c r="AA24">
        <v>64</v>
      </c>
      <c r="AB24">
        <v>0</v>
      </c>
      <c r="AC24">
        <v>222</v>
      </c>
      <c r="AD24">
        <v>55</v>
      </c>
      <c r="AE24">
        <v>0</v>
      </c>
      <c r="AF24">
        <v>151</v>
      </c>
      <c r="AG24">
        <v>52</v>
      </c>
      <c r="AH24">
        <v>0</v>
      </c>
      <c r="AI24">
        <v>183</v>
      </c>
      <c r="AJ24">
        <v>42</v>
      </c>
      <c r="AK24">
        <v>0</v>
      </c>
      <c r="AL24">
        <v>175</v>
      </c>
      <c r="AM24">
        <v>63</v>
      </c>
      <c r="AN24">
        <v>0</v>
      </c>
      <c r="AO24">
        <v>242</v>
      </c>
      <c r="AP24">
        <v>45</v>
      </c>
      <c r="AQ24">
        <v>0</v>
      </c>
      <c r="AR24">
        <v>218</v>
      </c>
      <c r="AS24">
        <v>44</v>
      </c>
      <c r="AT24">
        <v>0</v>
      </c>
      <c r="AU24">
        <v>128</v>
      </c>
      <c r="AV24">
        <v>65</v>
      </c>
      <c r="AW24">
        <v>0</v>
      </c>
      <c r="AX24">
        <v>209</v>
      </c>
      <c r="AY24">
        <v>64</v>
      </c>
      <c r="AZ24">
        <v>0</v>
      </c>
      <c r="BA24">
        <v>209</v>
      </c>
      <c r="BB24">
        <v>57</v>
      </c>
      <c r="BC24">
        <v>0</v>
      </c>
      <c r="BD24">
        <v>183</v>
      </c>
      <c r="BE24">
        <v>51</v>
      </c>
      <c r="BF24">
        <v>0</v>
      </c>
      <c r="BG24">
        <v>206</v>
      </c>
      <c r="BH24">
        <v>36</v>
      </c>
      <c r="BI24">
        <v>0</v>
      </c>
      <c r="BJ24">
        <v>273</v>
      </c>
      <c r="BK24">
        <v>28</v>
      </c>
      <c r="BL24">
        <v>0</v>
      </c>
      <c r="BM24">
        <v>267</v>
      </c>
      <c r="BN24">
        <v>31</v>
      </c>
      <c r="BO24">
        <v>0</v>
      </c>
      <c r="BP24">
        <v>255</v>
      </c>
      <c r="BQ24">
        <v>36</v>
      </c>
      <c r="BR24">
        <v>0</v>
      </c>
      <c r="BS24">
        <v>240</v>
      </c>
      <c r="BT24">
        <v>51</v>
      </c>
      <c r="BU24">
        <v>0</v>
      </c>
      <c r="BV24">
        <v>196</v>
      </c>
      <c r="BW24">
        <v>32</v>
      </c>
      <c r="BX24">
        <v>0</v>
      </c>
      <c r="BY24">
        <v>235</v>
      </c>
      <c r="BZ24">
        <v>35</v>
      </c>
      <c r="CA24">
        <v>0</v>
      </c>
      <c r="CB24">
        <v>221</v>
      </c>
      <c r="CC24">
        <v>59</v>
      </c>
      <c r="CD24">
        <v>0</v>
      </c>
      <c r="CE24">
        <v>202</v>
      </c>
      <c r="CF24">
        <v>46</v>
      </c>
      <c r="CG24">
        <v>0</v>
      </c>
      <c r="CH24">
        <v>251</v>
      </c>
      <c r="CI24">
        <v>36</v>
      </c>
      <c r="CJ24">
        <v>0</v>
      </c>
      <c r="CK24">
        <v>169</v>
      </c>
      <c r="CL24">
        <v>78</v>
      </c>
      <c r="CM24">
        <v>0</v>
      </c>
      <c r="CN24">
        <v>256</v>
      </c>
      <c r="CO24">
        <v>36</v>
      </c>
      <c r="CP24">
        <v>0</v>
      </c>
      <c r="CQ24">
        <v>145</v>
      </c>
      <c r="CR24">
        <v>61</v>
      </c>
      <c r="CS24">
        <v>0</v>
      </c>
      <c r="CT24">
        <v>138</v>
      </c>
      <c r="CU24">
        <v>44</v>
      </c>
      <c r="CV24">
        <v>0</v>
      </c>
      <c r="CW24">
        <v>233</v>
      </c>
      <c r="CX24">
        <v>42</v>
      </c>
      <c r="CY24">
        <v>0</v>
      </c>
      <c r="CZ24">
        <v>213</v>
      </c>
      <c r="DA24">
        <v>68</v>
      </c>
      <c r="DB24">
        <v>0</v>
      </c>
      <c r="DC24">
        <v>163</v>
      </c>
      <c r="DD24">
        <v>72</v>
      </c>
      <c r="DE24">
        <v>0</v>
      </c>
      <c r="DF24">
        <v>235</v>
      </c>
      <c r="DG24">
        <v>45</v>
      </c>
      <c r="DH24">
        <v>0</v>
      </c>
      <c r="DI24">
        <v>150</v>
      </c>
      <c r="DJ24">
        <v>66</v>
      </c>
      <c r="DK24">
        <v>0</v>
      </c>
      <c r="DL24">
        <v>263</v>
      </c>
      <c r="DM24">
        <v>28</v>
      </c>
      <c r="DN24">
        <v>0</v>
      </c>
      <c r="DO24">
        <v>211</v>
      </c>
      <c r="DP24">
        <v>64</v>
      </c>
      <c r="DQ24">
        <v>0</v>
      </c>
      <c r="DR24">
        <v>143</v>
      </c>
      <c r="DS24">
        <v>84</v>
      </c>
      <c r="DT24">
        <v>0</v>
      </c>
      <c r="DU24">
        <v>219</v>
      </c>
      <c r="DV24">
        <v>55</v>
      </c>
      <c r="DW24">
        <v>0</v>
      </c>
      <c r="DX24">
        <v>230</v>
      </c>
      <c r="DY24">
        <v>45</v>
      </c>
      <c r="DZ24">
        <v>0</v>
      </c>
    </row>
    <row r="25" spans="1:130" hidden="1">
      <c r="A25">
        <v>22</v>
      </c>
      <c r="F25">
        <v>3646</v>
      </c>
      <c r="G25">
        <v>22</v>
      </c>
      <c r="H25">
        <v>1</v>
      </c>
      <c r="I25">
        <v>22</v>
      </c>
      <c r="J25">
        <v>6</v>
      </c>
      <c r="K25">
        <v>183</v>
      </c>
      <c r="L25">
        <v>40</v>
      </c>
      <c r="M25">
        <v>0</v>
      </c>
      <c r="N25">
        <v>198</v>
      </c>
      <c r="O25">
        <v>62</v>
      </c>
      <c r="P25">
        <v>0</v>
      </c>
      <c r="Q25">
        <v>240</v>
      </c>
      <c r="R25">
        <v>46</v>
      </c>
      <c r="S25">
        <v>0</v>
      </c>
      <c r="T25">
        <v>234</v>
      </c>
      <c r="U25">
        <v>52</v>
      </c>
      <c r="V25">
        <v>0</v>
      </c>
      <c r="W25">
        <v>210</v>
      </c>
      <c r="X25">
        <v>72</v>
      </c>
      <c r="Y25">
        <v>0</v>
      </c>
      <c r="Z25">
        <v>205</v>
      </c>
      <c r="AA25">
        <v>65</v>
      </c>
      <c r="AB25">
        <v>0</v>
      </c>
      <c r="AC25">
        <v>206</v>
      </c>
      <c r="AD25">
        <v>62</v>
      </c>
      <c r="AE25">
        <v>0</v>
      </c>
      <c r="AF25">
        <v>139</v>
      </c>
      <c r="AG25">
        <v>57</v>
      </c>
      <c r="AH25">
        <v>0</v>
      </c>
      <c r="AI25">
        <v>181</v>
      </c>
      <c r="AJ25">
        <v>45</v>
      </c>
      <c r="AK25">
        <v>0</v>
      </c>
      <c r="AL25">
        <v>174</v>
      </c>
      <c r="AM25">
        <v>60</v>
      </c>
      <c r="AN25">
        <v>0</v>
      </c>
      <c r="AO25">
        <v>248</v>
      </c>
      <c r="AP25">
        <v>41</v>
      </c>
      <c r="AQ25">
        <v>0</v>
      </c>
      <c r="AR25">
        <v>208</v>
      </c>
      <c r="AS25">
        <v>48</v>
      </c>
      <c r="AT25">
        <v>0</v>
      </c>
      <c r="AU25">
        <v>117</v>
      </c>
      <c r="AV25">
        <v>73</v>
      </c>
      <c r="AW25">
        <v>0</v>
      </c>
      <c r="AX25">
        <v>207</v>
      </c>
      <c r="AY25">
        <v>62</v>
      </c>
      <c r="AZ25">
        <v>0</v>
      </c>
      <c r="BA25">
        <v>200</v>
      </c>
      <c r="BB25">
        <v>59</v>
      </c>
      <c r="BC25">
        <v>0</v>
      </c>
      <c r="BD25">
        <v>172</v>
      </c>
      <c r="BE25">
        <v>60</v>
      </c>
      <c r="BF25">
        <v>0</v>
      </c>
      <c r="BG25">
        <v>213</v>
      </c>
      <c r="BH25">
        <v>29</v>
      </c>
      <c r="BI25">
        <v>0</v>
      </c>
      <c r="BJ25">
        <v>262</v>
      </c>
      <c r="BK25">
        <v>26</v>
      </c>
      <c r="BL25">
        <v>0</v>
      </c>
      <c r="BM25">
        <v>257</v>
      </c>
      <c r="BN25">
        <v>34</v>
      </c>
      <c r="BO25">
        <v>0</v>
      </c>
      <c r="BP25">
        <v>243</v>
      </c>
      <c r="BQ25">
        <v>40</v>
      </c>
      <c r="BR25">
        <v>0</v>
      </c>
      <c r="BS25">
        <v>238</v>
      </c>
      <c r="BT25">
        <v>40</v>
      </c>
      <c r="BU25">
        <v>0</v>
      </c>
      <c r="BV25">
        <v>191</v>
      </c>
      <c r="BW25">
        <v>35</v>
      </c>
      <c r="BX25">
        <v>0</v>
      </c>
      <c r="BY25">
        <v>227</v>
      </c>
      <c r="BZ25">
        <v>39</v>
      </c>
      <c r="CA25">
        <v>0</v>
      </c>
      <c r="CB25">
        <v>214</v>
      </c>
      <c r="CC25">
        <v>64</v>
      </c>
      <c r="CD25">
        <v>0</v>
      </c>
      <c r="CE25">
        <v>193</v>
      </c>
      <c r="CF25">
        <v>47</v>
      </c>
      <c r="CG25">
        <v>0</v>
      </c>
      <c r="CH25">
        <v>242</v>
      </c>
      <c r="CI25">
        <v>39</v>
      </c>
      <c r="CJ25">
        <v>0</v>
      </c>
      <c r="CK25">
        <v>165</v>
      </c>
      <c r="CL25">
        <v>79</v>
      </c>
      <c r="CM25">
        <v>0</v>
      </c>
      <c r="CN25">
        <v>244</v>
      </c>
      <c r="CO25">
        <v>40</v>
      </c>
      <c r="CP25">
        <v>0</v>
      </c>
      <c r="CQ25">
        <v>124</v>
      </c>
      <c r="CR25">
        <v>72</v>
      </c>
      <c r="CS25">
        <v>0</v>
      </c>
      <c r="CT25">
        <v>134</v>
      </c>
      <c r="CU25">
        <v>44</v>
      </c>
      <c r="CV25">
        <v>0</v>
      </c>
      <c r="CW25">
        <v>232</v>
      </c>
      <c r="CX25">
        <v>43</v>
      </c>
      <c r="CY25">
        <v>0</v>
      </c>
      <c r="CZ25">
        <v>199</v>
      </c>
      <c r="DA25">
        <v>73</v>
      </c>
      <c r="DB25">
        <v>0</v>
      </c>
      <c r="DC25">
        <v>145</v>
      </c>
      <c r="DD25">
        <v>76</v>
      </c>
      <c r="DE25">
        <v>0</v>
      </c>
      <c r="DF25">
        <v>230</v>
      </c>
      <c r="DG25">
        <v>42</v>
      </c>
      <c r="DH25">
        <v>0</v>
      </c>
      <c r="DI25">
        <v>123</v>
      </c>
      <c r="DJ25">
        <v>76</v>
      </c>
      <c r="DK25">
        <v>0</v>
      </c>
      <c r="DL25">
        <v>260</v>
      </c>
      <c r="DM25">
        <v>29</v>
      </c>
      <c r="DN25">
        <v>0</v>
      </c>
      <c r="DO25">
        <v>192</v>
      </c>
      <c r="DP25">
        <v>70</v>
      </c>
      <c r="DQ25">
        <v>0</v>
      </c>
      <c r="DR25">
        <v>145</v>
      </c>
      <c r="DS25">
        <v>79</v>
      </c>
      <c r="DT25">
        <v>0</v>
      </c>
      <c r="DU25">
        <v>200</v>
      </c>
      <c r="DV25">
        <v>61</v>
      </c>
      <c r="DW25">
        <v>0</v>
      </c>
      <c r="DX25">
        <v>225</v>
      </c>
      <c r="DY25">
        <v>44</v>
      </c>
      <c r="DZ25">
        <v>0</v>
      </c>
    </row>
    <row r="26" spans="1:130" hidden="1">
      <c r="A26">
        <v>23</v>
      </c>
      <c r="F26">
        <v>3647</v>
      </c>
      <c r="G26">
        <v>22</v>
      </c>
      <c r="H26">
        <v>1</v>
      </c>
      <c r="I26">
        <v>23</v>
      </c>
      <c r="J26">
        <v>6</v>
      </c>
      <c r="K26">
        <v>197</v>
      </c>
      <c r="L26">
        <v>34</v>
      </c>
      <c r="M26">
        <v>0</v>
      </c>
      <c r="N26">
        <v>191</v>
      </c>
      <c r="O26">
        <v>64</v>
      </c>
      <c r="P26">
        <v>0</v>
      </c>
      <c r="Q26">
        <v>217</v>
      </c>
      <c r="R26">
        <v>60</v>
      </c>
      <c r="S26">
        <v>0</v>
      </c>
      <c r="T26">
        <v>223</v>
      </c>
      <c r="U26">
        <v>53</v>
      </c>
      <c r="V26">
        <v>0</v>
      </c>
      <c r="W26">
        <v>204</v>
      </c>
      <c r="X26">
        <v>71</v>
      </c>
      <c r="Y26">
        <v>0</v>
      </c>
      <c r="Z26">
        <v>187</v>
      </c>
      <c r="AA26">
        <v>72</v>
      </c>
      <c r="AB26">
        <v>0</v>
      </c>
      <c r="AC26">
        <v>194</v>
      </c>
      <c r="AD26">
        <v>66</v>
      </c>
      <c r="AE26">
        <v>0</v>
      </c>
      <c r="AF26">
        <v>131</v>
      </c>
      <c r="AG26">
        <v>60</v>
      </c>
      <c r="AH26">
        <v>0</v>
      </c>
      <c r="AI26">
        <v>173</v>
      </c>
      <c r="AJ26">
        <v>46</v>
      </c>
      <c r="AK26">
        <v>0</v>
      </c>
      <c r="AL26">
        <v>175</v>
      </c>
      <c r="AM26">
        <v>59</v>
      </c>
      <c r="AN26">
        <v>0</v>
      </c>
      <c r="AO26">
        <v>243</v>
      </c>
      <c r="AP26">
        <v>40</v>
      </c>
      <c r="AQ26">
        <v>0</v>
      </c>
      <c r="AR26">
        <v>194</v>
      </c>
      <c r="AS26">
        <v>53</v>
      </c>
      <c r="AT26">
        <v>0</v>
      </c>
      <c r="AU26">
        <v>122</v>
      </c>
      <c r="AV26">
        <v>57</v>
      </c>
      <c r="AW26">
        <v>0</v>
      </c>
      <c r="AX26">
        <v>204</v>
      </c>
      <c r="AY26">
        <v>63</v>
      </c>
      <c r="AZ26">
        <v>0</v>
      </c>
      <c r="BA26">
        <v>193</v>
      </c>
      <c r="BB26">
        <v>60</v>
      </c>
      <c r="BC26">
        <v>0</v>
      </c>
      <c r="BD26">
        <v>165</v>
      </c>
      <c r="BE26">
        <v>60</v>
      </c>
      <c r="BF26">
        <v>0</v>
      </c>
      <c r="BG26">
        <v>211</v>
      </c>
      <c r="BH26">
        <v>28</v>
      </c>
      <c r="BI26">
        <v>0</v>
      </c>
      <c r="BJ26">
        <v>260</v>
      </c>
      <c r="BK26">
        <v>26</v>
      </c>
      <c r="BL26">
        <v>0</v>
      </c>
      <c r="BM26">
        <v>245</v>
      </c>
      <c r="BN26">
        <v>40</v>
      </c>
      <c r="BO26">
        <v>0</v>
      </c>
      <c r="BP26">
        <v>230</v>
      </c>
      <c r="BQ26">
        <v>47</v>
      </c>
      <c r="BR26">
        <v>0</v>
      </c>
      <c r="BS26">
        <v>249</v>
      </c>
      <c r="BT26">
        <v>35</v>
      </c>
      <c r="BU26">
        <v>0</v>
      </c>
      <c r="BV26">
        <v>191</v>
      </c>
      <c r="BW26">
        <v>47</v>
      </c>
      <c r="BX26">
        <v>0</v>
      </c>
      <c r="BY26">
        <v>219</v>
      </c>
      <c r="BZ26">
        <v>41</v>
      </c>
      <c r="CA26">
        <v>0</v>
      </c>
      <c r="CB26">
        <v>195</v>
      </c>
      <c r="CC26">
        <v>74</v>
      </c>
      <c r="CD26">
        <v>0</v>
      </c>
      <c r="CE26">
        <v>185</v>
      </c>
      <c r="CF26">
        <v>45</v>
      </c>
      <c r="CG26">
        <v>0</v>
      </c>
      <c r="CH26">
        <v>225</v>
      </c>
      <c r="CI26">
        <v>45</v>
      </c>
      <c r="CJ26">
        <v>0</v>
      </c>
      <c r="CK26">
        <v>155</v>
      </c>
      <c r="CL26">
        <v>83</v>
      </c>
      <c r="CM26">
        <v>0</v>
      </c>
      <c r="CN26">
        <v>245</v>
      </c>
      <c r="CO26">
        <v>41</v>
      </c>
      <c r="CP26">
        <v>0</v>
      </c>
      <c r="CQ26">
        <v>101</v>
      </c>
      <c r="CR26">
        <v>79</v>
      </c>
      <c r="CS26">
        <v>0</v>
      </c>
      <c r="CT26">
        <v>138</v>
      </c>
      <c r="CU26">
        <v>44</v>
      </c>
      <c r="CV26">
        <v>0</v>
      </c>
      <c r="CW26">
        <v>227</v>
      </c>
      <c r="CX26">
        <v>45</v>
      </c>
      <c r="CY26">
        <v>0</v>
      </c>
      <c r="CZ26">
        <v>196</v>
      </c>
      <c r="DA26">
        <v>76</v>
      </c>
      <c r="DB26">
        <v>0</v>
      </c>
      <c r="DC26">
        <v>138</v>
      </c>
      <c r="DD26">
        <v>78</v>
      </c>
      <c r="DE26">
        <v>0</v>
      </c>
      <c r="DF26">
        <v>202</v>
      </c>
      <c r="DG26">
        <v>54</v>
      </c>
      <c r="DH26">
        <v>0</v>
      </c>
      <c r="DI26">
        <v>106</v>
      </c>
      <c r="DJ26">
        <v>81</v>
      </c>
      <c r="DK26">
        <v>0</v>
      </c>
      <c r="DL26">
        <v>257</v>
      </c>
      <c r="DM26">
        <v>30</v>
      </c>
      <c r="DN26">
        <v>0</v>
      </c>
      <c r="DO26">
        <v>181</v>
      </c>
      <c r="DP26">
        <v>77</v>
      </c>
      <c r="DQ26">
        <v>0</v>
      </c>
      <c r="DR26">
        <v>150</v>
      </c>
      <c r="DS26">
        <v>68</v>
      </c>
      <c r="DT26">
        <v>0</v>
      </c>
      <c r="DU26">
        <v>185</v>
      </c>
      <c r="DV26">
        <v>67</v>
      </c>
      <c r="DW26">
        <v>0</v>
      </c>
      <c r="DX26">
        <v>216</v>
      </c>
      <c r="DY26">
        <v>49</v>
      </c>
      <c r="DZ26">
        <v>0</v>
      </c>
    </row>
    <row r="27" spans="1:130" hidden="1">
      <c r="A27">
        <v>24</v>
      </c>
      <c r="F27">
        <v>3648</v>
      </c>
      <c r="G27">
        <v>22</v>
      </c>
      <c r="H27">
        <v>1</v>
      </c>
      <c r="I27">
        <v>24</v>
      </c>
      <c r="J27">
        <v>6</v>
      </c>
      <c r="K27">
        <v>191</v>
      </c>
      <c r="L27">
        <v>36</v>
      </c>
      <c r="M27">
        <v>0</v>
      </c>
      <c r="N27">
        <v>179</v>
      </c>
      <c r="O27">
        <v>71</v>
      </c>
      <c r="P27">
        <v>0</v>
      </c>
      <c r="Q27">
        <v>212</v>
      </c>
      <c r="R27">
        <v>64</v>
      </c>
      <c r="S27">
        <v>0</v>
      </c>
      <c r="T27">
        <v>221</v>
      </c>
      <c r="U27">
        <v>51</v>
      </c>
      <c r="V27">
        <v>0</v>
      </c>
      <c r="W27">
        <v>199</v>
      </c>
      <c r="X27">
        <v>74</v>
      </c>
      <c r="Y27">
        <v>0</v>
      </c>
      <c r="Z27">
        <v>180</v>
      </c>
      <c r="AA27">
        <v>75</v>
      </c>
      <c r="AB27">
        <v>0</v>
      </c>
      <c r="AC27">
        <v>186</v>
      </c>
      <c r="AD27">
        <v>67</v>
      </c>
      <c r="AE27">
        <v>0</v>
      </c>
      <c r="AF27">
        <v>125</v>
      </c>
      <c r="AG27">
        <v>63</v>
      </c>
      <c r="AH27">
        <v>0</v>
      </c>
      <c r="AI27">
        <v>154</v>
      </c>
      <c r="AJ27">
        <v>54</v>
      </c>
      <c r="AK27">
        <v>0</v>
      </c>
      <c r="AL27">
        <v>174</v>
      </c>
      <c r="AM27">
        <v>58</v>
      </c>
      <c r="AN27">
        <v>0</v>
      </c>
      <c r="AO27">
        <v>240</v>
      </c>
      <c r="AP27">
        <v>36</v>
      </c>
      <c r="AQ27">
        <v>0</v>
      </c>
      <c r="AR27">
        <v>187</v>
      </c>
      <c r="AS27">
        <v>56</v>
      </c>
      <c r="AT27">
        <v>0</v>
      </c>
      <c r="AU27">
        <v>129</v>
      </c>
      <c r="AV27">
        <v>36</v>
      </c>
      <c r="AW27">
        <v>0</v>
      </c>
      <c r="AX27">
        <v>198</v>
      </c>
      <c r="AY27">
        <v>68</v>
      </c>
      <c r="AZ27">
        <v>0</v>
      </c>
      <c r="BA27">
        <v>184</v>
      </c>
      <c r="BB27">
        <v>61</v>
      </c>
      <c r="BC27">
        <v>0</v>
      </c>
      <c r="BD27">
        <v>163</v>
      </c>
      <c r="BE27">
        <v>58</v>
      </c>
      <c r="BF27">
        <v>0</v>
      </c>
      <c r="BG27">
        <v>203</v>
      </c>
      <c r="BH27">
        <v>33</v>
      </c>
      <c r="BI27">
        <v>0</v>
      </c>
      <c r="BJ27">
        <v>253</v>
      </c>
      <c r="BK27">
        <v>28</v>
      </c>
      <c r="BL27">
        <v>0</v>
      </c>
      <c r="BM27">
        <v>233</v>
      </c>
      <c r="BN27">
        <v>43</v>
      </c>
      <c r="BO27">
        <v>0</v>
      </c>
      <c r="BP27">
        <v>221</v>
      </c>
      <c r="BQ27">
        <v>51</v>
      </c>
      <c r="BR27">
        <v>0</v>
      </c>
      <c r="BS27">
        <v>244</v>
      </c>
      <c r="BT27">
        <v>36</v>
      </c>
      <c r="BU27">
        <v>0</v>
      </c>
      <c r="BV27">
        <v>184</v>
      </c>
      <c r="BW27">
        <v>52</v>
      </c>
      <c r="BX27">
        <v>0</v>
      </c>
      <c r="BY27">
        <v>214</v>
      </c>
      <c r="BZ27">
        <v>41</v>
      </c>
      <c r="CA27">
        <v>0</v>
      </c>
      <c r="CB27">
        <v>187</v>
      </c>
      <c r="CC27">
        <v>71</v>
      </c>
      <c r="CD27">
        <v>0</v>
      </c>
      <c r="CE27">
        <v>177</v>
      </c>
      <c r="CF27">
        <v>44</v>
      </c>
      <c r="CG27">
        <v>0</v>
      </c>
      <c r="CH27">
        <v>217</v>
      </c>
      <c r="CI27">
        <v>49</v>
      </c>
      <c r="CJ27">
        <v>0</v>
      </c>
      <c r="CK27">
        <v>153</v>
      </c>
      <c r="CL27">
        <v>84</v>
      </c>
      <c r="CM27">
        <v>0</v>
      </c>
      <c r="CN27">
        <v>227</v>
      </c>
      <c r="CO27">
        <v>46</v>
      </c>
      <c r="CP27">
        <v>0</v>
      </c>
      <c r="CQ27">
        <v>89</v>
      </c>
      <c r="CR27">
        <v>84</v>
      </c>
      <c r="CS27">
        <v>0</v>
      </c>
      <c r="CT27">
        <v>124</v>
      </c>
      <c r="CU27">
        <v>49</v>
      </c>
      <c r="CV27">
        <v>0</v>
      </c>
      <c r="CW27">
        <v>213</v>
      </c>
      <c r="CX27">
        <v>51</v>
      </c>
      <c r="CY27">
        <v>0</v>
      </c>
      <c r="CZ27">
        <v>190</v>
      </c>
      <c r="DA27">
        <v>80</v>
      </c>
      <c r="DB27">
        <v>0</v>
      </c>
      <c r="DC27">
        <v>130</v>
      </c>
      <c r="DD27">
        <v>79</v>
      </c>
      <c r="DE27">
        <v>0</v>
      </c>
      <c r="DF27">
        <v>199</v>
      </c>
      <c r="DG27">
        <v>54</v>
      </c>
      <c r="DH27">
        <v>0</v>
      </c>
      <c r="DI27">
        <v>96</v>
      </c>
      <c r="DJ27">
        <v>84</v>
      </c>
      <c r="DK27">
        <v>0</v>
      </c>
      <c r="DL27">
        <v>253</v>
      </c>
      <c r="DM27">
        <v>30</v>
      </c>
      <c r="DN27">
        <v>0</v>
      </c>
      <c r="DO27">
        <v>170</v>
      </c>
      <c r="DP27">
        <v>82</v>
      </c>
      <c r="DQ27">
        <v>0</v>
      </c>
      <c r="DR27">
        <v>145</v>
      </c>
      <c r="DS27">
        <v>65</v>
      </c>
      <c r="DT27">
        <v>0</v>
      </c>
      <c r="DU27">
        <v>162</v>
      </c>
      <c r="DV27">
        <v>74</v>
      </c>
      <c r="DW27">
        <v>0</v>
      </c>
      <c r="DX27">
        <v>205</v>
      </c>
      <c r="DY27">
        <v>58</v>
      </c>
      <c r="DZ27">
        <v>0</v>
      </c>
    </row>
    <row r="28" spans="1:130" hidden="1">
      <c r="A28">
        <v>1</v>
      </c>
      <c r="F28">
        <v>3625</v>
      </c>
      <c r="G28">
        <v>22</v>
      </c>
      <c r="H28">
        <v>1</v>
      </c>
      <c r="I28">
        <v>1</v>
      </c>
      <c r="J28">
        <v>6</v>
      </c>
      <c r="K28">
        <v>129</v>
      </c>
      <c r="L28">
        <v>68</v>
      </c>
      <c r="M28">
        <v>0</v>
      </c>
      <c r="N28">
        <v>163</v>
      </c>
      <c r="O28">
        <v>80</v>
      </c>
      <c r="P28">
        <v>0</v>
      </c>
      <c r="Q28">
        <v>175</v>
      </c>
      <c r="R28">
        <v>75</v>
      </c>
      <c r="S28">
        <v>0</v>
      </c>
      <c r="T28">
        <v>158</v>
      </c>
      <c r="U28">
        <v>73</v>
      </c>
      <c r="V28">
        <v>0</v>
      </c>
      <c r="W28">
        <v>171</v>
      </c>
      <c r="X28">
        <v>84</v>
      </c>
      <c r="Y28">
        <v>0</v>
      </c>
      <c r="Z28">
        <v>136</v>
      </c>
      <c r="AA28">
        <v>77</v>
      </c>
      <c r="AB28">
        <v>0</v>
      </c>
      <c r="AC28">
        <v>194</v>
      </c>
      <c r="AD28">
        <v>42</v>
      </c>
      <c r="AE28">
        <v>0</v>
      </c>
      <c r="AF28">
        <v>112</v>
      </c>
      <c r="AG28">
        <v>77</v>
      </c>
      <c r="AH28">
        <v>0</v>
      </c>
      <c r="AI28">
        <v>154</v>
      </c>
      <c r="AJ28">
        <v>44</v>
      </c>
      <c r="AK28">
        <v>0</v>
      </c>
      <c r="AL28">
        <v>127</v>
      </c>
      <c r="AM28">
        <v>86</v>
      </c>
      <c r="AN28">
        <v>0</v>
      </c>
      <c r="AO28">
        <v>184</v>
      </c>
      <c r="AP28">
        <v>74</v>
      </c>
      <c r="AQ28">
        <v>0</v>
      </c>
      <c r="AR28">
        <v>157</v>
      </c>
      <c r="AS28">
        <v>67</v>
      </c>
      <c r="AT28">
        <v>0</v>
      </c>
      <c r="AU28">
        <v>113</v>
      </c>
      <c r="AV28">
        <v>55</v>
      </c>
      <c r="AW28">
        <v>0</v>
      </c>
      <c r="AX28">
        <v>159</v>
      </c>
      <c r="AY28">
        <v>86</v>
      </c>
      <c r="AZ28">
        <v>0</v>
      </c>
      <c r="BA28">
        <v>162</v>
      </c>
      <c r="BB28">
        <v>70</v>
      </c>
      <c r="BC28">
        <v>0</v>
      </c>
      <c r="BD28">
        <v>117</v>
      </c>
      <c r="BE28">
        <v>71</v>
      </c>
      <c r="BF28">
        <v>0</v>
      </c>
      <c r="BG28">
        <v>142</v>
      </c>
      <c r="BH28">
        <v>59</v>
      </c>
      <c r="BI28">
        <v>0</v>
      </c>
      <c r="BJ28">
        <v>232</v>
      </c>
      <c r="BK28">
        <v>38</v>
      </c>
      <c r="BL28">
        <v>0</v>
      </c>
      <c r="BM28">
        <v>230</v>
      </c>
      <c r="BN28">
        <v>28</v>
      </c>
      <c r="BO28">
        <v>0</v>
      </c>
      <c r="BP28">
        <v>186</v>
      </c>
      <c r="BQ28">
        <v>67</v>
      </c>
      <c r="BR28">
        <v>0</v>
      </c>
      <c r="BS28">
        <v>200</v>
      </c>
      <c r="BT28">
        <v>55</v>
      </c>
      <c r="BU28">
        <v>0</v>
      </c>
      <c r="BV28">
        <v>146</v>
      </c>
      <c r="BW28">
        <v>47</v>
      </c>
      <c r="BX28">
        <v>0</v>
      </c>
      <c r="BY28">
        <v>205</v>
      </c>
      <c r="BZ28">
        <v>64</v>
      </c>
      <c r="CA28">
        <v>0</v>
      </c>
      <c r="CB28">
        <v>154</v>
      </c>
      <c r="CC28">
        <v>78</v>
      </c>
      <c r="CD28">
        <v>0</v>
      </c>
      <c r="CE28">
        <v>173</v>
      </c>
      <c r="CF28">
        <v>54</v>
      </c>
      <c r="CG28">
        <v>0</v>
      </c>
      <c r="CH28">
        <v>208</v>
      </c>
      <c r="CI28">
        <v>64</v>
      </c>
      <c r="CJ28">
        <v>0</v>
      </c>
      <c r="CK28">
        <v>136</v>
      </c>
      <c r="CL28">
        <v>52</v>
      </c>
      <c r="CM28">
        <v>0</v>
      </c>
      <c r="CN28">
        <v>159</v>
      </c>
      <c r="CO28">
        <v>59</v>
      </c>
      <c r="CP28">
        <v>0</v>
      </c>
      <c r="CQ28">
        <v>70</v>
      </c>
      <c r="CR28">
        <v>87</v>
      </c>
      <c r="CS28">
        <v>0</v>
      </c>
      <c r="CT28">
        <v>113</v>
      </c>
      <c r="CU28">
        <v>59</v>
      </c>
      <c r="CV28">
        <v>0</v>
      </c>
      <c r="CW28">
        <v>195</v>
      </c>
      <c r="CX28">
        <v>58</v>
      </c>
      <c r="CY28">
        <v>0</v>
      </c>
      <c r="CZ28">
        <v>179</v>
      </c>
      <c r="DA28">
        <v>83</v>
      </c>
      <c r="DB28">
        <v>0</v>
      </c>
      <c r="DC28">
        <v>129</v>
      </c>
      <c r="DD28">
        <v>69</v>
      </c>
      <c r="DE28">
        <v>0</v>
      </c>
      <c r="DF28">
        <v>173</v>
      </c>
      <c r="DG28">
        <v>62</v>
      </c>
      <c r="DH28">
        <v>0</v>
      </c>
      <c r="DI28">
        <v>84</v>
      </c>
      <c r="DJ28">
        <v>90</v>
      </c>
      <c r="DK28">
        <v>0</v>
      </c>
      <c r="DL28">
        <v>158</v>
      </c>
      <c r="DM28">
        <v>75</v>
      </c>
      <c r="DN28">
        <v>0</v>
      </c>
      <c r="DO28">
        <v>142</v>
      </c>
      <c r="DP28">
        <v>81</v>
      </c>
      <c r="DQ28">
        <v>0</v>
      </c>
      <c r="DR28">
        <v>139</v>
      </c>
      <c r="DS28">
        <v>67</v>
      </c>
      <c r="DT28">
        <v>0</v>
      </c>
      <c r="DU28">
        <v>131</v>
      </c>
      <c r="DV28">
        <v>70</v>
      </c>
      <c r="DW28">
        <v>0</v>
      </c>
      <c r="DX28">
        <v>161</v>
      </c>
      <c r="DY28">
        <v>56</v>
      </c>
      <c r="DZ28">
        <v>0</v>
      </c>
    </row>
    <row r="29" spans="1:130" hidden="1">
      <c r="A29">
        <v>2</v>
      </c>
      <c r="F29">
        <v>3626</v>
      </c>
      <c r="G29">
        <v>22</v>
      </c>
      <c r="H29">
        <v>1</v>
      </c>
      <c r="I29">
        <v>2</v>
      </c>
      <c r="J29">
        <v>6</v>
      </c>
      <c r="K29">
        <v>130</v>
      </c>
      <c r="L29">
        <v>63</v>
      </c>
      <c r="M29">
        <v>0</v>
      </c>
      <c r="N29">
        <v>152</v>
      </c>
      <c r="O29">
        <v>85</v>
      </c>
      <c r="P29">
        <v>0</v>
      </c>
      <c r="Q29">
        <v>169</v>
      </c>
      <c r="R29">
        <v>77</v>
      </c>
      <c r="S29">
        <v>0</v>
      </c>
      <c r="T29">
        <v>157</v>
      </c>
      <c r="U29">
        <v>74</v>
      </c>
      <c r="V29">
        <v>0</v>
      </c>
      <c r="W29">
        <v>163</v>
      </c>
      <c r="X29">
        <v>86</v>
      </c>
      <c r="Y29">
        <v>0</v>
      </c>
      <c r="Z29">
        <v>135</v>
      </c>
      <c r="AA29">
        <v>78</v>
      </c>
      <c r="AB29">
        <v>0</v>
      </c>
      <c r="AC29">
        <v>186</v>
      </c>
      <c r="AD29">
        <v>45</v>
      </c>
      <c r="AE29">
        <v>0</v>
      </c>
      <c r="AF29">
        <v>106</v>
      </c>
      <c r="AG29">
        <v>79</v>
      </c>
      <c r="AH29">
        <v>0</v>
      </c>
      <c r="AI29">
        <v>147</v>
      </c>
      <c r="AJ29">
        <v>45</v>
      </c>
      <c r="AK29">
        <v>0</v>
      </c>
      <c r="AL29">
        <v>127</v>
      </c>
      <c r="AM29">
        <v>83</v>
      </c>
      <c r="AN29">
        <v>0</v>
      </c>
      <c r="AO29">
        <v>179</v>
      </c>
      <c r="AP29">
        <v>72</v>
      </c>
      <c r="AQ29">
        <v>0</v>
      </c>
      <c r="AR29">
        <v>150</v>
      </c>
      <c r="AS29">
        <v>71</v>
      </c>
      <c r="AT29">
        <v>0</v>
      </c>
      <c r="AU29">
        <v>108</v>
      </c>
      <c r="AV29">
        <v>54</v>
      </c>
      <c r="AW29">
        <v>0</v>
      </c>
      <c r="AX29">
        <v>154</v>
      </c>
      <c r="AY29">
        <v>88</v>
      </c>
      <c r="AZ29">
        <v>0</v>
      </c>
      <c r="BA29">
        <v>153</v>
      </c>
      <c r="BB29">
        <v>72</v>
      </c>
      <c r="BC29">
        <v>0</v>
      </c>
      <c r="BD29">
        <v>112</v>
      </c>
      <c r="BE29">
        <v>71</v>
      </c>
      <c r="BF29">
        <v>0</v>
      </c>
      <c r="BG29">
        <v>141</v>
      </c>
      <c r="BH29">
        <v>57</v>
      </c>
      <c r="BI29">
        <v>0</v>
      </c>
      <c r="BJ29">
        <v>225</v>
      </c>
      <c r="BK29">
        <v>40</v>
      </c>
      <c r="BL29">
        <v>0</v>
      </c>
      <c r="BM29">
        <v>221</v>
      </c>
      <c r="BN29">
        <v>32</v>
      </c>
      <c r="BO29">
        <v>0</v>
      </c>
      <c r="BP29">
        <v>171</v>
      </c>
      <c r="BQ29">
        <v>73</v>
      </c>
      <c r="BR29">
        <v>0</v>
      </c>
      <c r="BS29">
        <v>192</v>
      </c>
      <c r="BT29">
        <v>58</v>
      </c>
      <c r="BU29">
        <v>0</v>
      </c>
      <c r="BV29">
        <v>141</v>
      </c>
      <c r="BW29">
        <v>47</v>
      </c>
      <c r="BX29">
        <v>0</v>
      </c>
      <c r="BY29">
        <v>195</v>
      </c>
      <c r="BZ29">
        <v>66</v>
      </c>
      <c r="CA29">
        <v>0</v>
      </c>
      <c r="CB29">
        <v>145</v>
      </c>
      <c r="CC29">
        <v>79</v>
      </c>
      <c r="CD29">
        <v>0</v>
      </c>
      <c r="CE29">
        <v>186</v>
      </c>
      <c r="CF29">
        <v>50</v>
      </c>
      <c r="CG29">
        <v>0</v>
      </c>
      <c r="CH29">
        <v>203</v>
      </c>
      <c r="CI29">
        <v>66</v>
      </c>
      <c r="CJ29">
        <v>0</v>
      </c>
      <c r="CK29">
        <v>122</v>
      </c>
      <c r="CL29">
        <v>58</v>
      </c>
      <c r="CM29">
        <v>0</v>
      </c>
      <c r="CN29">
        <v>150</v>
      </c>
      <c r="CO29">
        <v>60</v>
      </c>
      <c r="CP29">
        <v>0</v>
      </c>
      <c r="CQ29">
        <v>56</v>
      </c>
      <c r="CR29">
        <v>89</v>
      </c>
      <c r="CS29">
        <v>0</v>
      </c>
      <c r="CT29">
        <v>98</v>
      </c>
      <c r="CU29">
        <v>63</v>
      </c>
      <c r="CV29">
        <v>0</v>
      </c>
      <c r="CW29">
        <v>189</v>
      </c>
      <c r="CX29">
        <v>57</v>
      </c>
      <c r="CY29">
        <v>0</v>
      </c>
      <c r="CZ29">
        <v>181</v>
      </c>
      <c r="DA29">
        <v>84</v>
      </c>
      <c r="DB29">
        <v>0</v>
      </c>
      <c r="DC29">
        <v>127</v>
      </c>
      <c r="DD29">
        <v>69</v>
      </c>
      <c r="DE29">
        <v>0</v>
      </c>
      <c r="DF29">
        <v>164</v>
      </c>
      <c r="DG29">
        <v>65</v>
      </c>
      <c r="DH29">
        <v>0</v>
      </c>
      <c r="DI29">
        <v>76</v>
      </c>
      <c r="DJ29">
        <v>91</v>
      </c>
      <c r="DK29">
        <v>0</v>
      </c>
      <c r="DL29">
        <v>205</v>
      </c>
      <c r="DM29">
        <v>47</v>
      </c>
      <c r="DN29">
        <v>0</v>
      </c>
      <c r="DO29">
        <v>133</v>
      </c>
      <c r="DP29">
        <v>83</v>
      </c>
      <c r="DQ29">
        <v>0</v>
      </c>
      <c r="DR29">
        <v>134</v>
      </c>
      <c r="DS29">
        <v>68</v>
      </c>
      <c r="DT29">
        <v>0</v>
      </c>
      <c r="DU29">
        <v>133</v>
      </c>
      <c r="DV29">
        <v>71</v>
      </c>
      <c r="DW29">
        <v>0</v>
      </c>
      <c r="DX29">
        <v>158</v>
      </c>
      <c r="DY29">
        <v>61</v>
      </c>
      <c r="DZ29">
        <v>0</v>
      </c>
    </row>
    <row r="30" spans="1:130" hidden="1">
      <c r="A30">
        <v>3</v>
      </c>
      <c r="F30">
        <v>3627</v>
      </c>
      <c r="G30">
        <v>22</v>
      </c>
      <c r="H30">
        <v>1</v>
      </c>
      <c r="I30">
        <v>3</v>
      </c>
      <c r="J30">
        <v>6</v>
      </c>
      <c r="K30">
        <v>128</v>
      </c>
      <c r="L30">
        <v>58</v>
      </c>
      <c r="M30">
        <v>0</v>
      </c>
      <c r="N30">
        <v>146</v>
      </c>
      <c r="O30">
        <v>87</v>
      </c>
      <c r="P30">
        <v>0</v>
      </c>
      <c r="Q30">
        <v>158</v>
      </c>
      <c r="R30">
        <v>81</v>
      </c>
      <c r="S30">
        <v>0</v>
      </c>
      <c r="T30">
        <v>155</v>
      </c>
      <c r="U30">
        <v>73</v>
      </c>
      <c r="V30">
        <v>0</v>
      </c>
      <c r="W30">
        <v>162</v>
      </c>
      <c r="X30">
        <v>86</v>
      </c>
      <c r="Y30">
        <v>0</v>
      </c>
      <c r="Z30">
        <v>133</v>
      </c>
      <c r="AA30">
        <v>77</v>
      </c>
      <c r="AB30">
        <v>0</v>
      </c>
      <c r="AC30">
        <v>179</v>
      </c>
      <c r="AD30">
        <v>47</v>
      </c>
      <c r="AE30">
        <v>0</v>
      </c>
      <c r="AF30">
        <v>102</v>
      </c>
      <c r="AG30">
        <v>79</v>
      </c>
      <c r="AH30">
        <v>0</v>
      </c>
      <c r="AI30">
        <v>137</v>
      </c>
      <c r="AJ30">
        <v>48</v>
      </c>
      <c r="AK30">
        <v>0</v>
      </c>
      <c r="AL30">
        <v>120</v>
      </c>
      <c r="AM30">
        <v>84</v>
      </c>
      <c r="AN30">
        <v>0</v>
      </c>
      <c r="AO30">
        <v>166</v>
      </c>
      <c r="AP30">
        <v>77</v>
      </c>
      <c r="AQ30">
        <v>0</v>
      </c>
      <c r="AR30">
        <v>142</v>
      </c>
      <c r="AS30">
        <v>74</v>
      </c>
      <c r="AT30">
        <v>0</v>
      </c>
      <c r="AU30">
        <v>110</v>
      </c>
      <c r="AV30">
        <v>51</v>
      </c>
      <c r="AW30">
        <v>0</v>
      </c>
      <c r="AX30">
        <v>145</v>
      </c>
      <c r="AY30">
        <v>90</v>
      </c>
      <c r="AZ30">
        <v>0</v>
      </c>
      <c r="BA30">
        <v>147</v>
      </c>
      <c r="BB30">
        <v>74</v>
      </c>
      <c r="BC30">
        <v>0</v>
      </c>
      <c r="BD30">
        <v>104</v>
      </c>
      <c r="BE30">
        <v>74</v>
      </c>
      <c r="BF30">
        <v>0</v>
      </c>
      <c r="BG30">
        <v>136</v>
      </c>
      <c r="BH30">
        <v>58</v>
      </c>
      <c r="BI30">
        <v>0</v>
      </c>
      <c r="BJ30">
        <v>219</v>
      </c>
      <c r="BK30">
        <v>42</v>
      </c>
      <c r="BL30">
        <v>0</v>
      </c>
      <c r="BM30">
        <v>216</v>
      </c>
      <c r="BN30">
        <v>36</v>
      </c>
      <c r="BO30">
        <v>0</v>
      </c>
      <c r="BP30">
        <v>172</v>
      </c>
      <c r="BQ30">
        <v>71</v>
      </c>
      <c r="BR30">
        <v>0</v>
      </c>
      <c r="BS30">
        <v>179</v>
      </c>
      <c r="BT30">
        <v>64</v>
      </c>
      <c r="BU30">
        <v>0</v>
      </c>
      <c r="BV30">
        <v>142</v>
      </c>
      <c r="BW30">
        <v>46</v>
      </c>
      <c r="BX30">
        <v>0</v>
      </c>
      <c r="BY30">
        <v>185</v>
      </c>
      <c r="BZ30">
        <v>68</v>
      </c>
      <c r="CA30">
        <v>0</v>
      </c>
      <c r="CB30">
        <v>138</v>
      </c>
      <c r="CC30">
        <v>80</v>
      </c>
      <c r="CD30">
        <v>0</v>
      </c>
      <c r="CE30">
        <v>191</v>
      </c>
      <c r="CF30">
        <v>47</v>
      </c>
      <c r="CG30">
        <v>0</v>
      </c>
      <c r="CH30">
        <v>196</v>
      </c>
      <c r="CI30">
        <v>68</v>
      </c>
      <c r="CJ30">
        <v>0</v>
      </c>
      <c r="CK30">
        <v>122</v>
      </c>
      <c r="CL30">
        <v>59</v>
      </c>
      <c r="CM30">
        <v>0</v>
      </c>
      <c r="CN30">
        <v>147</v>
      </c>
      <c r="CO30">
        <v>63</v>
      </c>
      <c r="CP30">
        <v>0</v>
      </c>
      <c r="CQ30">
        <v>43</v>
      </c>
      <c r="CR30">
        <v>93</v>
      </c>
      <c r="CS30">
        <v>0</v>
      </c>
      <c r="CT30">
        <v>90</v>
      </c>
      <c r="CU30">
        <v>64</v>
      </c>
      <c r="CV30">
        <v>0</v>
      </c>
      <c r="CW30">
        <v>190</v>
      </c>
      <c r="CX30">
        <v>55</v>
      </c>
      <c r="CY30">
        <v>0</v>
      </c>
      <c r="CZ30">
        <v>178</v>
      </c>
      <c r="DA30">
        <v>85</v>
      </c>
      <c r="DB30">
        <v>0</v>
      </c>
      <c r="DC30">
        <v>120</v>
      </c>
      <c r="DD30">
        <v>71</v>
      </c>
      <c r="DE30">
        <v>0</v>
      </c>
      <c r="DF30">
        <v>151</v>
      </c>
      <c r="DG30">
        <v>69</v>
      </c>
      <c r="DH30">
        <v>0</v>
      </c>
      <c r="DI30">
        <v>69</v>
      </c>
      <c r="DJ30">
        <v>92</v>
      </c>
      <c r="DK30">
        <v>0</v>
      </c>
      <c r="DL30">
        <v>207</v>
      </c>
      <c r="DM30">
        <v>45</v>
      </c>
      <c r="DN30">
        <v>0</v>
      </c>
      <c r="DO30">
        <v>128</v>
      </c>
      <c r="DP30">
        <v>83</v>
      </c>
      <c r="DQ30">
        <v>0</v>
      </c>
      <c r="DR30">
        <v>136</v>
      </c>
      <c r="DS30">
        <v>66</v>
      </c>
      <c r="DT30">
        <v>0</v>
      </c>
      <c r="DU30">
        <v>131</v>
      </c>
      <c r="DV30">
        <v>74</v>
      </c>
      <c r="DW30">
        <v>0</v>
      </c>
      <c r="DX30">
        <v>153</v>
      </c>
      <c r="DY30">
        <v>65</v>
      </c>
      <c r="DZ30">
        <v>0</v>
      </c>
    </row>
    <row r="31" spans="1:130" hidden="1">
      <c r="A31">
        <v>4</v>
      </c>
      <c r="F31">
        <v>3628</v>
      </c>
      <c r="G31">
        <v>22</v>
      </c>
      <c r="H31">
        <v>1</v>
      </c>
      <c r="I31">
        <v>4</v>
      </c>
      <c r="J31">
        <v>6</v>
      </c>
      <c r="K31">
        <v>136</v>
      </c>
      <c r="L31">
        <v>50</v>
      </c>
      <c r="M31">
        <v>0</v>
      </c>
      <c r="N31">
        <v>153</v>
      </c>
      <c r="O31">
        <v>79</v>
      </c>
      <c r="P31">
        <v>0</v>
      </c>
      <c r="Q31">
        <v>156</v>
      </c>
      <c r="R31">
        <v>81</v>
      </c>
      <c r="S31">
        <v>0</v>
      </c>
      <c r="T31">
        <v>147</v>
      </c>
      <c r="U31">
        <v>73</v>
      </c>
      <c r="V31">
        <v>0</v>
      </c>
      <c r="W31">
        <v>157</v>
      </c>
      <c r="X31">
        <v>87</v>
      </c>
      <c r="Y31">
        <v>0</v>
      </c>
      <c r="Z31">
        <v>123</v>
      </c>
      <c r="AA31">
        <v>81</v>
      </c>
      <c r="AB31">
        <v>0</v>
      </c>
      <c r="AC31">
        <v>166</v>
      </c>
      <c r="AD31">
        <v>52</v>
      </c>
      <c r="AE31">
        <v>0</v>
      </c>
      <c r="AF31">
        <v>100</v>
      </c>
      <c r="AG31">
        <v>79</v>
      </c>
      <c r="AH31">
        <v>0</v>
      </c>
      <c r="AI31">
        <v>133</v>
      </c>
      <c r="AJ31">
        <v>48</v>
      </c>
      <c r="AK31">
        <v>0</v>
      </c>
      <c r="AL31">
        <v>119</v>
      </c>
      <c r="AM31">
        <v>81</v>
      </c>
      <c r="AN31">
        <v>0</v>
      </c>
      <c r="AO31">
        <v>158</v>
      </c>
      <c r="AP31">
        <v>76</v>
      </c>
      <c r="AQ31">
        <v>0</v>
      </c>
      <c r="AR31">
        <v>143</v>
      </c>
      <c r="AS31">
        <v>72</v>
      </c>
      <c r="AT31">
        <v>0</v>
      </c>
      <c r="AU31">
        <v>108</v>
      </c>
      <c r="AV31">
        <v>42</v>
      </c>
      <c r="AW31">
        <v>0</v>
      </c>
      <c r="AX31">
        <v>140</v>
      </c>
      <c r="AY31">
        <v>91</v>
      </c>
      <c r="AZ31">
        <v>0</v>
      </c>
      <c r="BA31">
        <v>143</v>
      </c>
      <c r="BB31">
        <v>75</v>
      </c>
      <c r="BC31">
        <v>0</v>
      </c>
      <c r="BD31">
        <v>104</v>
      </c>
      <c r="BE31">
        <v>74</v>
      </c>
      <c r="BF31">
        <v>0</v>
      </c>
      <c r="BG31">
        <v>139</v>
      </c>
      <c r="BH31">
        <v>56</v>
      </c>
      <c r="BI31">
        <v>0</v>
      </c>
      <c r="BJ31">
        <v>213</v>
      </c>
      <c r="BK31">
        <v>44</v>
      </c>
      <c r="BL31">
        <v>0</v>
      </c>
      <c r="BM31">
        <v>211</v>
      </c>
      <c r="BN31">
        <v>41</v>
      </c>
      <c r="BO31">
        <v>0</v>
      </c>
      <c r="BP31">
        <v>169</v>
      </c>
      <c r="BQ31">
        <v>70</v>
      </c>
      <c r="BR31">
        <v>0</v>
      </c>
      <c r="BS31">
        <v>159</v>
      </c>
      <c r="BT31">
        <v>72</v>
      </c>
      <c r="BU31">
        <v>0</v>
      </c>
      <c r="BV31">
        <v>136</v>
      </c>
      <c r="BW31">
        <v>49</v>
      </c>
      <c r="BX31">
        <v>0</v>
      </c>
      <c r="BY31">
        <v>175</v>
      </c>
      <c r="BZ31">
        <v>74</v>
      </c>
      <c r="CA31">
        <v>0</v>
      </c>
      <c r="CB31">
        <v>131</v>
      </c>
      <c r="CC31">
        <v>84</v>
      </c>
      <c r="CD31">
        <v>0</v>
      </c>
      <c r="CE31">
        <v>183</v>
      </c>
      <c r="CF31">
        <v>48</v>
      </c>
      <c r="CG31">
        <v>0</v>
      </c>
      <c r="CH31">
        <v>194</v>
      </c>
      <c r="CI31">
        <v>70</v>
      </c>
      <c r="CJ31">
        <v>0</v>
      </c>
      <c r="CK31">
        <v>120</v>
      </c>
      <c r="CL31">
        <v>61</v>
      </c>
      <c r="CM31">
        <v>0</v>
      </c>
      <c r="CN31">
        <v>143</v>
      </c>
      <c r="CO31">
        <v>65</v>
      </c>
      <c r="CP31">
        <v>0</v>
      </c>
      <c r="CQ31">
        <v>41</v>
      </c>
      <c r="CR31">
        <v>94</v>
      </c>
      <c r="CS31">
        <v>0</v>
      </c>
      <c r="CT31">
        <v>88</v>
      </c>
      <c r="CU31">
        <v>60</v>
      </c>
      <c r="CV31">
        <v>0</v>
      </c>
      <c r="CW31">
        <v>191</v>
      </c>
      <c r="CX31">
        <v>53</v>
      </c>
      <c r="CY31">
        <v>0</v>
      </c>
      <c r="CZ31">
        <v>167</v>
      </c>
      <c r="DA31">
        <v>88</v>
      </c>
      <c r="DB31">
        <v>0</v>
      </c>
      <c r="DC31">
        <v>113</v>
      </c>
      <c r="DD31">
        <v>73</v>
      </c>
      <c r="DE31">
        <v>0</v>
      </c>
      <c r="DF31">
        <v>149</v>
      </c>
      <c r="DG31">
        <v>69</v>
      </c>
      <c r="DH31">
        <v>0</v>
      </c>
      <c r="DI31">
        <v>63</v>
      </c>
      <c r="DJ31">
        <v>92</v>
      </c>
      <c r="DK31">
        <v>0</v>
      </c>
      <c r="DL31">
        <v>200</v>
      </c>
      <c r="DM31">
        <v>47</v>
      </c>
      <c r="DN31">
        <v>0</v>
      </c>
      <c r="DO31">
        <v>119</v>
      </c>
      <c r="DP31">
        <v>89</v>
      </c>
      <c r="DQ31">
        <v>0</v>
      </c>
      <c r="DR31">
        <v>132</v>
      </c>
      <c r="DS31">
        <v>67</v>
      </c>
      <c r="DT31">
        <v>0</v>
      </c>
      <c r="DU31">
        <v>123</v>
      </c>
      <c r="DV31">
        <v>78</v>
      </c>
      <c r="DW31">
        <v>0</v>
      </c>
      <c r="DX31">
        <v>148</v>
      </c>
      <c r="DY31">
        <v>68</v>
      </c>
      <c r="DZ31">
        <v>0</v>
      </c>
    </row>
    <row r="32" spans="1:130" hidden="1">
      <c r="A32">
        <v>5</v>
      </c>
      <c r="F32">
        <v>3629</v>
      </c>
      <c r="G32">
        <v>22</v>
      </c>
      <c r="H32">
        <v>1</v>
      </c>
      <c r="I32">
        <v>5</v>
      </c>
      <c r="J32">
        <v>6</v>
      </c>
      <c r="K32">
        <v>132</v>
      </c>
      <c r="L32">
        <v>51</v>
      </c>
      <c r="M32">
        <v>8</v>
      </c>
      <c r="N32">
        <v>154</v>
      </c>
      <c r="O32">
        <v>76</v>
      </c>
      <c r="P32">
        <v>5</v>
      </c>
      <c r="Q32">
        <v>158</v>
      </c>
      <c r="R32">
        <v>80</v>
      </c>
      <c r="S32">
        <v>7</v>
      </c>
      <c r="T32">
        <v>146</v>
      </c>
      <c r="U32">
        <v>73</v>
      </c>
      <c r="V32">
        <v>17</v>
      </c>
      <c r="W32">
        <v>161</v>
      </c>
      <c r="X32">
        <v>86</v>
      </c>
      <c r="Y32">
        <v>15</v>
      </c>
      <c r="Z32">
        <v>125</v>
      </c>
      <c r="AA32">
        <v>81</v>
      </c>
      <c r="AB32">
        <v>16</v>
      </c>
      <c r="AC32">
        <v>154</v>
      </c>
      <c r="AD32">
        <v>58</v>
      </c>
      <c r="AE32">
        <v>7</v>
      </c>
      <c r="AF32">
        <v>99</v>
      </c>
      <c r="AG32">
        <v>80</v>
      </c>
      <c r="AH32">
        <v>8</v>
      </c>
      <c r="AI32">
        <v>134</v>
      </c>
      <c r="AJ32">
        <v>47</v>
      </c>
      <c r="AK32">
        <v>14</v>
      </c>
      <c r="AL32">
        <v>115</v>
      </c>
      <c r="AM32">
        <v>80</v>
      </c>
      <c r="AN32">
        <v>5</v>
      </c>
      <c r="AO32">
        <v>157</v>
      </c>
      <c r="AP32">
        <v>76</v>
      </c>
      <c r="AQ32">
        <v>13</v>
      </c>
      <c r="AR32">
        <v>139</v>
      </c>
      <c r="AS32">
        <v>74</v>
      </c>
      <c r="AT32">
        <v>5</v>
      </c>
      <c r="AU32">
        <v>108</v>
      </c>
      <c r="AV32">
        <v>40</v>
      </c>
      <c r="AW32">
        <v>5</v>
      </c>
      <c r="AX32">
        <v>154</v>
      </c>
      <c r="AY32">
        <v>87</v>
      </c>
      <c r="AZ32">
        <v>24</v>
      </c>
      <c r="BA32">
        <v>140</v>
      </c>
      <c r="BB32">
        <v>76</v>
      </c>
      <c r="BC32">
        <v>17</v>
      </c>
      <c r="BD32">
        <v>108</v>
      </c>
      <c r="BE32">
        <v>73</v>
      </c>
      <c r="BF32">
        <v>19</v>
      </c>
      <c r="BG32">
        <v>142</v>
      </c>
      <c r="BH32">
        <v>58</v>
      </c>
      <c r="BI32">
        <v>16</v>
      </c>
      <c r="BJ32">
        <v>209</v>
      </c>
      <c r="BK32">
        <v>45</v>
      </c>
      <c r="BL32">
        <v>9</v>
      </c>
      <c r="BM32">
        <v>208</v>
      </c>
      <c r="BN32">
        <v>43</v>
      </c>
      <c r="BO32">
        <v>9</v>
      </c>
      <c r="BP32">
        <v>170</v>
      </c>
      <c r="BQ32">
        <v>69</v>
      </c>
      <c r="BR32">
        <v>16</v>
      </c>
      <c r="BS32">
        <v>159</v>
      </c>
      <c r="BT32">
        <v>74</v>
      </c>
      <c r="BU32">
        <v>12</v>
      </c>
      <c r="BV32">
        <v>133</v>
      </c>
      <c r="BW32">
        <v>50</v>
      </c>
      <c r="BX32">
        <v>12</v>
      </c>
      <c r="BY32">
        <v>167</v>
      </c>
      <c r="BZ32">
        <v>66</v>
      </c>
      <c r="CA32">
        <v>15</v>
      </c>
      <c r="CB32">
        <v>125</v>
      </c>
      <c r="CC32">
        <v>86</v>
      </c>
      <c r="CD32">
        <v>17</v>
      </c>
      <c r="CE32">
        <v>170</v>
      </c>
      <c r="CF32">
        <v>54</v>
      </c>
      <c r="CG32">
        <v>4</v>
      </c>
      <c r="CH32">
        <v>191</v>
      </c>
      <c r="CI32">
        <v>73</v>
      </c>
      <c r="CJ32">
        <v>7</v>
      </c>
      <c r="CK32">
        <v>122</v>
      </c>
      <c r="CL32">
        <v>63</v>
      </c>
      <c r="CM32">
        <v>10</v>
      </c>
      <c r="CN32">
        <v>143</v>
      </c>
      <c r="CO32">
        <v>64</v>
      </c>
      <c r="CP32">
        <v>19</v>
      </c>
      <c r="CQ32">
        <v>37</v>
      </c>
      <c r="CR32">
        <v>95</v>
      </c>
      <c r="CS32">
        <v>9</v>
      </c>
      <c r="CT32">
        <v>113</v>
      </c>
      <c r="CU32">
        <v>50</v>
      </c>
      <c r="CV32">
        <v>4</v>
      </c>
      <c r="CW32">
        <v>197</v>
      </c>
      <c r="CX32">
        <v>50</v>
      </c>
      <c r="CY32">
        <v>22</v>
      </c>
      <c r="CZ32">
        <v>168</v>
      </c>
      <c r="DA32">
        <v>88</v>
      </c>
      <c r="DB32">
        <v>19</v>
      </c>
      <c r="DC32">
        <v>114</v>
      </c>
      <c r="DD32">
        <v>73</v>
      </c>
      <c r="DE32">
        <v>22</v>
      </c>
      <c r="DF32">
        <v>155</v>
      </c>
      <c r="DG32">
        <v>66</v>
      </c>
      <c r="DH32">
        <v>14</v>
      </c>
      <c r="DI32">
        <v>60</v>
      </c>
      <c r="DJ32">
        <v>92</v>
      </c>
      <c r="DK32">
        <v>7</v>
      </c>
      <c r="DL32">
        <v>200</v>
      </c>
      <c r="DM32">
        <v>47</v>
      </c>
      <c r="DN32">
        <v>8</v>
      </c>
      <c r="DO32">
        <v>121</v>
      </c>
      <c r="DP32">
        <v>90</v>
      </c>
      <c r="DQ32">
        <v>18</v>
      </c>
      <c r="DR32">
        <v>127</v>
      </c>
      <c r="DS32">
        <v>70</v>
      </c>
      <c r="DT32">
        <v>3</v>
      </c>
      <c r="DU32">
        <v>120</v>
      </c>
      <c r="DV32">
        <v>79</v>
      </c>
      <c r="DW32">
        <v>20</v>
      </c>
      <c r="DX32">
        <v>145</v>
      </c>
      <c r="DY32">
        <v>70</v>
      </c>
      <c r="DZ32">
        <v>12</v>
      </c>
    </row>
    <row r="33" spans="1:130" hidden="1">
      <c r="A33">
        <v>6</v>
      </c>
      <c r="F33">
        <v>3630</v>
      </c>
      <c r="G33">
        <v>22</v>
      </c>
      <c r="H33">
        <v>1</v>
      </c>
      <c r="I33">
        <v>6</v>
      </c>
      <c r="J33">
        <v>6</v>
      </c>
      <c r="K33">
        <v>146</v>
      </c>
      <c r="L33">
        <v>51</v>
      </c>
      <c r="M33">
        <v>44</v>
      </c>
      <c r="N33">
        <v>176</v>
      </c>
      <c r="O33">
        <v>65</v>
      </c>
      <c r="P33">
        <v>40</v>
      </c>
      <c r="Q33">
        <v>165</v>
      </c>
      <c r="R33">
        <v>78</v>
      </c>
      <c r="S33">
        <v>45</v>
      </c>
      <c r="T33">
        <v>161</v>
      </c>
      <c r="U33">
        <v>70</v>
      </c>
      <c r="V33">
        <v>47</v>
      </c>
      <c r="W33">
        <v>177</v>
      </c>
      <c r="X33">
        <v>82</v>
      </c>
      <c r="Y33">
        <v>46</v>
      </c>
      <c r="Z33">
        <v>159</v>
      </c>
      <c r="AA33">
        <v>66</v>
      </c>
      <c r="AB33">
        <v>48</v>
      </c>
      <c r="AC33">
        <v>169</v>
      </c>
      <c r="AD33">
        <v>53</v>
      </c>
      <c r="AE33">
        <v>35</v>
      </c>
      <c r="AF33">
        <v>112</v>
      </c>
      <c r="AG33">
        <v>73</v>
      </c>
      <c r="AH33">
        <v>51</v>
      </c>
      <c r="AI33">
        <v>151</v>
      </c>
      <c r="AJ33">
        <v>49</v>
      </c>
      <c r="AK33">
        <v>48</v>
      </c>
      <c r="AL33">
        <v>121</v>
      </c>
      <c r="AM33">
        <v>76</v>
      </c>
      <c r="AN33">
        <v>22</v>
      </c>
      <c r="AO33">
        <v>179</v>
      </c>
      <c r="AP33">
        <v>70</v>
      </c>
      <c r="AQ33">
        <v>40</v>
      </c>
      <c r="AR33">
        <v>137</v>
      </c>
      <c r="AS33">
        <v>76</v>
      </c>
      <c r="AT33">
        <v>10</v>
      </c>
      <c r="AU33">
        <v>120</v>
      </c>
      <c r="AV33">
        <v>36</v>
      </c>
      <c r="AW33">
        <v>46</v>
      </c>
      <c r="AX33">
        <v>182</v>
      </c>
      <c r="AY33">
        <v>78</v>
      </c>
      <c r="AZ33">
        <v>50</v>
      </c>
      <c r="BA33">
        <v>163</v>
      </c>
      <c r="BB33">
        <v>68</v>
      </c>
      <c r="BC33">
        <v>46</v>
      </c>
      <c r="BD33">
        <v>138</v>
      </c>
      <c r="BE33">
        <v>70</v>
      </c>
      <c r="BF33">
        <v>47</v>
      </c>
      <c r="BG33">
        <v>162</v>
      </c>
      <c r="BH33">
        <v>57</v>
      </c>
      <c r="BI33">
        <v>43</v>
      </c>
      <c r="BJ33">
        <v>212</v>
      </c>
      <c r="BK33">
        <v>48</v>
      </c>
      <c r="BL33">
        <v>46</v>
      </c>
      <c r="BM33">
        <v>205</v>
      </c>
      <c r="BN33">
        <v>49</v>
      </c>
      <c r="BO33">
        <v>42</v>
      </c>
      <c r="BP33">
        <v>188</v>
      </c>
      <c r="BQ33">
        <v>69</v>
      </c>
      <c r="BR33">
        <v>47</v>
      </c>
      <c r="BS33">
        <v>189</v>
      </c>
      <c r="BT33">
        <v>66</v>
      </c>
      <c r="BU33">
        <v>48</v>
      </c>
      <c r="BV33">
        <v>142</v>
      </c>
      <c r="BW33">
        <v>52</v>
      </c>
      <c r="BX33">
        <v>44</v>
      </c>
      <c r="BY33">
        <v>183</v>
      </c>
      <c r="BZ33">
        <v>66</v>
      </c>
      <c r="CA33">
        <v>44</v>
      </c>
      <c r="CB33">
        <v>144</v>
      </c>
      <c r="CC33">
        <v>81</v>
      </c>
      <c r="CD33">
        <v>45</v>
      </c>
      <c r="CE33">
        <v>186</v>
      </c>
      <c r="CF33">
        <v>47</v>
      </c>
      <c r="CG33">
        <v>10</v>
      </c>
      <c r="CH33">
        <v>200</v>
      </c>
      <c r="CI33">
        <v>71</v>
      </c>
      <c r="CJ33">
        <v>43</v>
      </c>
      <c r="CK33">
        <v>132</v>
      </c>
      <c r="CL33">
        <v>67</v>
      </c>
      <c r="CM33">
        <v>19</v>
      </c>
      <c r="CN33">
        <v>152</v>
      </c>
      <c r="CO33">
        <v>62</v>
      </c>
      <c r="CP33">
        <v>45</v>
      </c>
      <c r="CQ33">
        <v>47</v>
      </c>
      <c r="CR33">
        <v>92</v>
      </c>
      <c r="CS33">
        <v>38</v>
      </c>
      <c r="CT33">
        <v>121</v>
      </c>
      <c r="CU33">
        <v>52</v>
      </c>
      <c r="CV33">
        <v>10</v>
      </c>
      <c r="CW33">
        <v>200</v>
      </c>
      <c r="CX33">
        <v>56</v>
      </c>
      <c r="CY33">
        <v>49</v>
      </c>
      <c r="CZ33">
        <v>182</v>
      </c>
      <c r="DA33">
        <v>76</v>
      </c>
      <c r="DB33">
        <v>46</v>
      </c>
      <c r="DC33">
        <v>130</v>
      </c>
      <c r="DD33">
        <v>68</v>
      </c>
      <c r="DE33">
        <v>49</v>
      </c>
      <c r="DF33">
        <v>174</v>
      </c>
      <c r="DG33">
        <v>59</v>
      </c>
      <c r="DH33">
        <v>44</v>
      </c>
      <c r="DI33">
        <v>84</v>
      </c>
      <c r="DJ33">
        <v>86</v>
      </c>
      <c r="DK33">
        <v>44</v>
      </c>
      <c r="DL33">
        <v>204</v>
      </c>
      <c r="DM33">
        <v>46</v>
      </c>
      <c r="DN33">
        <v>17</v>
      </c>
      <c r="DO33">
        <v>148</v>
      </c>
      <c r="DP33">
        <v>77</v>
      </c>
      <c r="DQ33">
        <v>45</v>
      </c>
      <c r="DR33">
        <v>129</v>
      </c>
      <c r="DS33">
        <v>68</v>
      </c>
      <c r="DT33">
        <v>7</v>
      </c>
      <c r="DU33">
        <v>155</v>
      </c>
      <c r="DV33">
        <v>66</v>
      </c>
      <c r="DW33">
        <v>49</v>
      </c>
      <c r="DX33">
        <v>154</v>
      </c>
      <c r="DY33">
        <v>68</v>
      </c>
      <c r="DZ33">
        <v>50</v>
      </c>
    </row>
    <row r="34" spans="1:130" hidden="1">
      <c r="A34">
        <v>7</v>
      </c>
      <c r="F34">
        <v>3631</v>
      </c>
      <c r="G34">
        <v>22</v>
      </c>
      <c r="H34">
        <v>1</v>
      </c>
      <c r="I34">
        <v>7</v>
      </c>
      <c r="J34">
        <v>6</v>
      </c>
      <c r="K34">
        <v>171</v>
      </c>
      <c r="L34">
        <v>50</v>
      </c>
      <c r="M34">
        <v>69</v>
      </c>
      <c r="N34">
        <v>206</v>
      </c>
      <c r="O34">
        <v>53</v>
      </c>
      <c r="P34">
        <v>75</v>
      </c>
      <c r="Q34">
        <v>188</v>
      </c>
      <c r="R34">
        <v>71</v>
      </c>
      <c r="S34">
        <v>71</v>
      </c>
      <c r="T34">
        <v>197</v>
      </c>
      <c r="U34">
        <v>56</v>
      </c>
      <c r="V34">
        <v>71</v>
      </c>
      <c r="W34">
        <v>195</v>
      </c>
      <c r="X34">
        <v>76</v>
      </c>
      <c r="Y34">
        <v>73</v>
      </c>
      <c r="Z34">
        <v>186</v>
      </c>
      <c r="AA34">
        <v>53</v>
      </c>
      <c r="AB34">
        <v>74</v>
      </c>
      <c r="AC34">
        <v>194</v>
      </c>
      <c r="AD34">
        <v>45</v>
      </c>
      <c r="AE34">
        <v>82</v>
      </c>
      <c r="AF34">
        <v>144</v>
      </c>
      <c r="AG34">
        <v>61</v>
      </c>
      <c r="AH34">
        <v>79</v>
      </c>
      <c r="AI34">
        <v>163</v>
      </c>
      <c r="AJ34">
        <v>47</v>
      </c>
      <c r="AK34">
        <v>71</v>
      </c>
      <c r="AL34">
        <v>145</v>
      </c>
      <c r="AM34">
        <v>71</v>
      </c>
      <c r="AN34">
        <v>80</v>
      </c>
      <c r="AO34">
        <v>206</v>
      </c>
      <c r="AP34">
        <v>59</v>
      </c>
      <c r="AQ34">
        <v>69</v>
      </c>
      <c r="AR34">
        <v>149</v>
      </c>
      <c r="AS34">
        <v>77</v>
      </c>
      <c r="AT34">
        <v>71</v>
      </c>
      <c r="AU34">
        <v>135</v>
      </c>
      <c r="AV34">
        <v>34</v>
      </c>
      <c r="AW34">
        <v>74</v>
      </c>
      <c r="AX34">
        <v>194</v>
      </c>
      <c r="AY34">
        <v>78</v>
      </c>
      <c r="AZ34">
        <v>66</v>
      </c>
      <c r="BA34">
        <v>175</v>
      </c>
      <c r="BB34">
        <v>64</v>
      </c>
      <c r="BC34">
        <v>68</v>
      </c>
      <c r="BD34">
        <v>197</v>
      </c>
      <c r="BE34">
        <v>52</v>
      </c>
      <c r="BF34">
        <v>66</v>
      </c>
      <c r="BG34">
        <v>185</v>
      </c>
      <c r="BH34">
        <v>52</v>
      </c>
      <c r="BI34">
        <v>65</v>
      </c>
      <c r="BJ34">
        <v>224</v>
      </c>
      <c r="BK34">
        <v>46</v>
      </c>
      <c r="BL34">
        <v>68</v>
      </c>
      <c r="BM34">
        <v>222</v>
      </c>
      <c r="BN34">
        <v>49</v>
      </c>
      <c r="BO34">
        <v>83</v>
      </c>
      <c r="BP34">
        <v>219</v>
      </c>
      <c r="BQ34">
        <v>60</v>
      </c>
      <c r="BR34">
        <v>78</v>
      </c>
      <c r="BS34">
        <v>226</v>
      </c>
      <c r="BT34">
        <v>53</v>
      </c>
      <c r="BU34">
        <v>75</v>
      </c>
      <c r="BV34">
        <v>170</v>
      </c>
      <c r="BW34">
        <v>47</v>
      </c>
      <c r="BX34">
        <v>68</v>
      </c>
      <c r="BY34">
        <v>198</v>
      </c>
      <c r="BZ34">
        <v>64</v>
      </c>
      <c r="CA34">
        <v>71</v>
      </c>
      <c r="CB34">
        <v>172</v>
      </c>
      <c r="CC34">
        <v>68</v>
      </c>
      <c r="CD34">
        <v>65</v>
      </c>
      <c r="CE34">
        <v>208</v>
      </c>
      <c r="CF34">
        <v>43</v>
      </c>
      <c r="CG34">
        <v>83</v>
      </c>
      <c r="CH34">
        <v>211</v>
      </c>
      <c r="CI34">
        <v>71</v>
      </c>
      <c r="CJ34">
        <v>65</v>
      </c>
      <c r="CK34">
        <v>139</v>
      </c>
      <c r="CL34">
        <v>67</v>
      </c>
      <c r="CM34">
        <v>49</v>
      </c>
      <c r="CN34">
        <v>168</v>
      </c>
      <c r="CO34">
        <v>59</v>
      </c>
      <c r="CP34">
        <v>70</v>
      </c>
      <c r="CQ34">
        <v>93</v>
      </c>
      <c r="CR34">
        <v>83</v>
      </c>
      <c r="CS34">
        <v>83</v>
      </c>
      <c r="CT34">
        <v>174</v>
      </c>
      <c r="CU34">
        <v>35</v>
      </c>
      <c r="CV34">
        <v>82</v>
      </c>
      <c r="CW34">
        <v>210</v>
      </c>
      <c r="CX34">
        <v>59</v>
      </c>
      <c r="CY34">
        <v>72</v>
      </c>
      <c r="CZ34">
        <v>202</v>
      </c>
      <c r="DA34">
        <v>68</v>
      </c>
      <c r="DB34">
        <v>67</v>
      </c>
      <c r="DC34">
        <v>155</v>
      </c>
      <c r="DD34">
        <v>61</v>
      </c>
      <c r="DE34">
        <v>73</v>
      </c>
      <c r="DF34">
        <v>194</v>
      </c>
      <c r="DG34">
        <v>53</v>
      </c>
      <c r="DH34">
        <v>67</v>
      </c>
      <c r="DI34">
        <v>134</v>
      </c>
      <c r="DJ34">
        <v>71</v>
      </c>
      <c r="DK34">
        <v>67</v>
      </c>
      <c r="DL34">
        <v>218</v>
      </c>
      <c r="DM34">
        <v>46</v>
      </c>
      <c r="DN34">
        <v>82</v>
      </c>
      <c r="DO34">
        <v>176</v>
      </c>
      <c r="DP34">
        <v>63</v>
      </c>
      <c r="DQ34">
        <v>67</v>
      </c>
      <c r="DR34">
        <v>147</v>
      </c>
      <c r="DS34">
        <v>68</v>
      </c>
      <c r="DT34">
        <v>63</v>
      </c>
      <c r="DU34">
        <v>181</v>
      </c>
      <c r="DV34">
        <v>57</v>
      </c>
      <c r="DW34">
        <v>71</v>
      </c>
      <c r="DX34">
        <v>168</v>
      </c>
      <c r="DY34">
        <v>62</v>
      </c>
      <c r="DZ34">
        <v>78</v>
      </c>
    </row>
    <row r="35" spans="1:130" hidden="1">
      <c r="A35">
        <v>8</v>
      </c>
      <c r="F35">
        <v>3632</v>
      </c>
      <c r="G35">
        <v>22</v>
      </c>
      <c r="H35">
        <v>1</v>
      </c>
      <c r="I35">
        <v>8</v>
      </c>
      <c r="J35">
        <v>6</v>
      </c>
      <c r="K35">
        <v>193</v>
      </c>
      <c r="L35">
        <v>41</v>
      </c>
      <c r="M35">
        <v>89</v>
      </c>
      <c r="N35">
        <v>222</v>
      </c>
      <c r="O35">
        <v>51</v>
      </c>
      <c r="P35">
        <v>86</v>
      </c>
      <c r="Q35">
        <v>202</v>
      </c>
      <c r="R35">
        <v>69</v>
      </c>
      <c r="S35">
        <v>91</v>
      </c>
      <c r="T35">
        <v>220</v>
      </c>
      <c r="U35">
        <v>45</v>
      </c>
      <c r="V35">
        <v>91</v>
      </c>
      <c r="W35">
        <v>220</v>
      </c>
      <c r="X35">
        <v>67</v>
      </c>
      <c r="Y35">
        <v>89</v>
      </c>
      <c r="Z35">
        <v>204</v>
      </c>
      <c r="AA35">
        <v>49</v>
      </c>
      <c r="AB35">
        <v>91</v>
      </c>
      <c r="AC35">
        <v>218</v>
      </c>
      <c r="AD35">
        <v>40</v>
      </c>
      <c r="AE35">
        <v>90</v>
      </c>
      <c r="AF35">
        <v>173</v>
      </c>
      <c r="AG35">
        <v>56</v>
      </c>
      <c r="AH35">
        <v>91</v>
      </c>
      <c r="AI35">
        <v>186</v>
      </c>
      <c r="AJ35">
        <v>43</v>
      </c>
      <c r="AK35">
        <v>90</v>
      </c>
      <c r="AL35">
        <v>189</v>
      </c>
      <c r="AM35">
        <v>51</v>
      </c>
      <c r="AN35">
        <v>92</v>
      </c>
      <c r="AO35">
        <v>223</v>
      </c>
      <c r="AP35">
        <v>56</v>
      </c>
      <c r="AQ35">
        <v>92</v>
      </c>
      <c r="AR35">
        <v>191</v>
      </c>
      <c r="AS35">
        <v>65</v>
      </c>
      <c r="AT35">
        <v>99</v>
      </c>
      <c r="AU35">
        <v>147</v>
      </c>
      <c r="AV35">
        <v>28</v>
      </c>
      <c r="AW35">
        <v>90</v>
      </c>
      <c r="AX35">
        <v>205</v>
      </c>
      <c r="AY35">
        <v>75</v>
      </c>
      <c r="AZ35">
        <v>83</v>
      </c>
      <c r="BA35">
        <v>194</v>
      </c>
      <c r="BB35">
        <v>62</v>
      </c>
      <c r="BC35">
        <v>87</v>
      </c>
      <c r="BD35">
        <v>222</v>
      </c>
      <c r="BE35">
        <v>40</v>
      </c>
      <c r="BF35">
        <v>84</v>
      </c>
      <c r="BG35">
        <v>182</v>
      </c>
      <c r="BH35">
        <v>53</v>
      </c>
      <c r="BI35">
        <v>87</v>
      </c>
      <c r="BJ35">
        <v>243</v>
      </c>
      <c r="BK35">
        <v>41</v>
      </c>
      <c r="BL35">
        <v>89</v>
      </c>
      <c r="BM35">
        <v>226</v>
      </c>
      <c r="BN35">
        <v>49</v>
      </c>
      <c r="BO35">
        <v>98</v>
      </c>
      <c r="BP35">
        <v>246</v>
      </c>
      <c r="BQ35">
        <v>47</v>
      </c>
      <c r="BR35">
        <v>101</v>
      </c>
      <c r="BS35">
        <v>246</v>
      </c>
      <c r="BT35">
        <v>46</v>
      </c>
      <c r="BU35">
        <v>92</v>
      </c>
      <c r="BV35">
        <v>183</v>
      </c>
      <c r="BW35">
        <v>45</v>
      </c>
      <c r="BX35">
        <v>86</v>
      </c>
      <c r="BY35">
        <v>210</v>
      </c>
      <c r="BZ35">
        <v>61</v>
      </c>
      <c r="CA35">
        <v>92</v>
      </c>
      <c r="CB35">
        <v>196</v>
      </c>
      <c r="CC35">
        <v>60</v>
      </c>
      <c r="CD35">
        <v>84</v>
      </c>
      <c r="CE35">
        <v>228</v>
      </c>
      <c r="CF35">
        <v>37</v>
      </c>
      <c r="CG35">
        <v>90</v>
      </c>
      <c r="CH35">
        <v>220</v>
      </c>
      <c r="CI35">
        <v>69</v>
      </c>
      <c r="CJ35">
        <v>82</v>
      </c>
      <c r="CK35">
        <v>196</v>
      </c>
      <c r="CL35">
        <v>42</v>
      </c>
      <c r="CM35">
        <v>107</v>
      </c>
      <c r="CN35">
        <v>191</v>
      </c>
      <c r="CO35">
        <v>53</v>
      </c>
      <c r="CP35">
        <v>84</v>
      </c>
      <c r="CQ35">
        <v>142</v>
      </c>
      <c r="CR35">
        <v>65</v>
      </c>
      <c r="CS35">
        <v>92</v>
      </c>
      <c r="CT35">
        <v>193</v>
      </c>
      <c r="CU35">
        <v>29</v>
      </c>
      <c r="CV35">
        <v>96</v>
      </c>
      <c r="CW35">
        <v>218</v>
      </c>
      <c r="CX35">
        <v>57</v>
      </c>
      <c r="CY35">
        <v>90</v>
      </c>
      <c r="CZ35">
        <v>213</v>
      </c>
      <c r="DA35">
        <v>62</v>
      </c>
      <c r="DB35">
        <v>88</v>
      </c>
      <c r="DC35">
        <v>184</v>
      </c>
      <c r="DD35">
        <v>53</v>
      </c>
      <c r="DE35">
        <v>92</v>
      </c>
      <c r="DF35">
        <v>216</v>
      </c>
      <c r="DG35">
        <v>48</v>
      </c>
      <c r="DH35">
        <v>86</v>
      </c>
      <c r="DI35">
        <v>171</v>
      </c>
      <c r="DJ35">
        <v>56</v>
      </c>
      <c r="DK35">
        <v>87</v>
      </c>
      <c r="DL35">
        <v>240</v>
      </c>
      <c r="DM35">
        <v>44</v>
      </c>
      <c r="DN35">
        <v>106</v>
      </c>
      <c r="DO35">
        <v>200</v>
      </c>
      <c r="DP35">
        <v>52</v>
      </c>
      <c r="DQ35">
        <v>87</v>
      </c>
      <c r="DR35">
        <v>186</v>
      </c>
      <c r="DS35">
        <v>55</v>
      </c>
      <c r="DT35">
        <v>99</v>
      </c>
      <c r="DU35">
        <v>199</v>
      </c>
      <c r="DV35">
        <v>54</v>
      </c>
      <c r="DW35">
        <v>84</v>
      </c>
      <c r="DX35">
        <v>188</v>
      </c>
      <c r="DY35">
        <v>56</v>
      </c>
      <c r="DZ35">
        <v>89</v>
      </c>
    </row>
    <row r="36" spans="1:130" hidden="1">
      <c r="A36">
        <v>9</v>
      </c>
      <c r="F36">
        <v>3633</v>
      </c>
      <c r="G36">
        <v>22</v>
      </c>
      <c r="H36">
        <v>1</v>
      </c>
      <c r="I36">
        <v>9</v>
      </c>
      <c r="J36">
        <v>6</v>
      </c>
      <c r="K36">
        <v>222</v>
      </c>
      <c r="L36">
        <v>32</v>
      </c>
      <c r="M36">
        <v>105</v>
      </c>
      <c r="N36">
        <v>239</v>
      </c>
      <c r="O36">
        <v>46</v>
      </c>
      <c r="P36">
        <v>102</v>
      </c>
      <c r="Q36">
        <v>226</v>
      </c>
      <c r="R36">
        <v>61</v>
      </c>
      <c r="S36">
        <v>109</v>
      </c>
      <c r="T36">
        <v>241</v>
      </c>
      <c r="U36">
        <v>41</v>
      </c>
      <c r="V36">
        <v>108</v>
      </c>
      <c r="W36">
        <v>237</v>
      </c>
      <c r="X36">
        <v>59</v>
      </c>
      <c r="Y36">
        <v>108</v>
      </c>
      <c r="Z36">
        <v>222</v>
      </c>
      <c r="AA36">
        <v>45</v>
      </c>
      <c r="AB36">
        <v>106</v>
      </c>
      <c r="AC36">
        <v>240</v>
      </c>
      <c r="AD36">
        <v>33</v>
      </c>
      <c r="AE36">
        <v>111</v>
      </c>
      <c r="AF36">
        <v>204</v>
      </c>
      <c r="AG36">
        <v>42</v>
      </c>
      <c r="AH36">
        <v>107</v>
      </c>
      <c r="AI36">
        <v>208</v>
      </c>
      <c r="AJ36">
        <v>35</v>
      </c>
      <c r="AK36">
        <v>107</v>
      </c>
      <c r="AL36">
        <v>213</v>
      </c>
      <c r="AM36">
        <v>45</v>
      </c>
      <c r="AN36">
        <v>109</v>
      </c>
      <c r="AO36">
        <v>244</v>
      </c>
      <c r="AP36">
        <v>49</v>
      </c>
      <c r="AQ36">
        <v>111</v>
      </c>
      <c r="AR36">
        <v>221</v>
      </c>
      <c r="AS36">
        <v>51</v>
      </c>
      <c r="AT36">
        <v>109</v>
      </c>
      <c r="AU36">
        <v>156</v>
      </c>
      <c r="AV36">
        <v>28</v>
      </c>
      <c r="AW36">
        <v>103</v>
      </c>
      <c r="AX36">
        <v>223</v>
      </c>
      <c r="AY36">
        <v>68</v>
      </c>
      <c r="AZ36">
        <v>97</v>
      </c>
      <c r="BA36">
        <v>212</v>
      </c>
      <c r="BB36">
        <v>57</v>
      </c>
      <c r="BC36">
        <v>102</v>
      </c>
      <c r="BD36">
        <v>242</v>
      </c>
      <c r="BE36">
        <v>35</v>
      </c>
      <c r="BF36">
        <v>100</v>
      </c>
      <c r="BG36">
        <v>185</v>
      </c>
      <c r="BH36">
        <v>59</v>
      </c>
      <c r="BI36">
        <v>98</v>
      </c>
      <c r="BJ36">
        <v>259</v>
      </c>
      <c r="BK36">
        <v>37</v>
      </c>
      <c r="BL36">
        <v>111</v>
      </c>
      <c r="BM36">
        <v>237</v>
      </c>
      <c r="BN36">
        <v>45</v>
      </c>
      <c r="BO36">
        <v>112</v>
      </c>
      <c r="BP36">
        <v>268</v>
      </c>
      <c r="BQ36">
        <v>44</v>
      </c>
      <c r="BR36">
        <v>107</v>
      </c>
      <c r="BS36">
        <v>264</v>
      </c>
      <c r="BT36">
        <v>46</v>
      </c>
      <c r="BU36">
        <v>112</v>
      </c>
      <c r="BV36">
        <v>196</v>
      </c>
      <c r="BW36">
        <v>42</v>
      </c>
      <c r="BX36">
        <v>102</v>
      </c>
      <c r="BY36">
        <v>225</v>
      </c>
      <c r="BZ36">
        <v>57</v>
      </c>
      <c r="CA36">
        <v>107</v>
      </c>
      <c r="CB36">
        <v>211</v>
      </c>
      <c r="CC36">
        <v>56</v>
      </c>
      <c r="CD36">
        <v>98</v>
      </c>
      <c r="CE36">
        <v>247</v>
      </c>
      <c r="CF36">
        <v>29</v>
      </c>
      <c r="CG36">
        <v>107</v>
      </c>
      <c r="CH36">
        <v>225</v>
      </c>
      <c r="CI36">
        <v>69</v>
      </c>
      <c r="CJ36">
        <v>101</v>
      </c>
      <c r="CK36">
        <v>232</v>
      </c>
      <c r="CL36">
        <v>29</v>
      </c>
      <c r="CM36">
        <v>110</v>
      </c>
      <c r="CN36">
        <v>215</v>
      </c>
      <c r="CO36">
        <v>49</v>
      </c>
      <c r="CP36">
        <v>101</v>
      </c>
      <c r="CQ36">
        <v>176</v>
      </c>
      <c r="CR36">
        <v>41</v>
      </c>
      <c r="CS36">
        <v>105</v>
      </c>
      <c r="CT36">
        <v>201</v>
      </c>
      <c r="CU36">
        <v>27</v>
      </c>
      <c r="CV36">
        <v>106</v>
      </c>
      <c r="CW36">
        <v>225</v>
      </c>
      <c r="CX36">
        <v>57</v>
      </c>
      <c r="CY36">
        <v>107</v>
      </c>
      <c r="CZ36">
        <v>229</v>
      </c>
      <c r="DA36">
        <v>57</v>
      </c>
      <c r="DB36">
        <v>107</v>
      </c>
      <c r="DC36">
        <v>210</v>
      </c>
      <c r="DD36">
        <v>45</v>
      </c>
      <c r="DE36">
        <v>106</v>
      </c>
      <c r="DF36">
        <v>239</v>
      </c>
      <c r="DG36">
        <v>42</v>
      </c>
      <c r="DH36">
        <v>113</v>
      </c>
      <c r="DI36">
        <v>203</v>
      </c>
      <c r="DJ36">
        <v>43</v>
      </c>
      <c r="DK36">
        <v>106</v>
      </c>
      <c r="DL36">
        <v>263</v>
      </c>
      <c r="DM36">
        <v>36</v>
      </c>
      <c r="DN36">
        <v>116</v>
      </c>
      <c r="DO36">
        <v>219</v>
      </c>
      <c r="DP36">
        <v>48</v>
      </c>
      <c r="DQ36">
        <v>106</v>
      </c>
      <c r="DR36">
        <v>207</v>
      </c>
      <c r="DS36">
        <v>50</v>
      </c>
      <c r="DT36">
        <v>109</v>
      </c>
      <c r="DU36">
        <v>219</v>
      </c>
      <c r="DV36">
        <v>48</v>
      </c>
      <c r="DW36">
        <v>102</v>
      </c>
      <c r="DX36">
        <v>212</v>
      </c>
      <c r="DY36">
        <v>50</v>
      </c>
      <c r="DZ36">
        <v>109</v>
      </c>
    </row>
    <row r="37" spans="1:130" hidden="1">
      <c r="A37">
        <v>10</v>
      </c>
      <c r="F37">
        <v>3634</v>
      </c>
      <c r="G37">
        <v>22</v>
      </c>
      <c r="H37">
        <v>1</v>
      </c>
      <c r="I37">
        <v>10</v>
      </c>
      <c r="J37">
        <v>6</v>
      </c>
      <c r="K37">
        <v>237</v>
      </c>
      <c r="L37">
        <v>32</v>
      </c>
      <c r="M37">
        <v>120</v>
      </c>
      <c r="N37">
        <v>249</v>
      </c>
      <c r="O37">
        <v>49</v>
      </c>
      <c r="P37">
        <v>117</v>
      </c>
      <c r="Q37">
        <v>245</v>
      </c>
      <c r="R37">
        <v>57</v>
      </c>
      <c r="S37">
        <v>122</v>
      </c>
      <c r="T37">
        <v>258</v>
      </c>
      <c r="U37">
        <v>40</v>
      </c>
      <c r="V37">
        <v>124</v>
      </c>
      <c r="W37">
        <v>251</v>
      </c>
      <c r="X37">
        <v>55</v>
      </c>
      <c r="Y37">
        <v>120</v>
      </c>
      <c r="Z37">
        <v>245</v>
      </c>
      <c r="AA37">
        <v>40</v>
      </c>
      <c r="AB37">
        <v>120</v>
      </c>
      <c r="AC37">
        <v>263</v>
      </c>
      <c r="AD37">
        <v>30</v>
      </c>
      <c r="AE37">
        <v>124</v>
      </c>
      <c r="AF37">
        <v>221</v>
      </c>
      <c r="AG37">
        <v>32</v>
      </c>
      <c r="AH37">
        <v>120</v>
      </c>
      <c r="AI37">
        <v>230</v>
      </c>
      <c r="AJ37">
        <v>28</v>
      </c>
      <c r="AK37">
        <v>120</v>
      </c>
      <c r="AL37">
        <v>226</v>
      </c>
      <c r="AM37">
        <v>44</v>
      </c>
      <c r="AN37">
        <v>119</v>
      </c>
      <c r="AO37">
        <v>263</v>
      </c>
      <c r="AP37">
        <v>44</v>
      </c>
      <c r="AQ37">
        <v>123</v>
      </c>
      <c r="AR37">
        <v>243</v>
      </c>
      <c r="AS37">
        <v>44</v>
      </c>
      <c r="AT37">
        <v>124</v>
      </c>
      <c r="AU37">
        <v>161</v>
      </c>
      <c r="AV37">
        <v>33</v>
      </c>
      <c r="AW37">
        <v>116</v>
      </c>
      <c r="AX37">
        <v>244</v>
      </c>
      <c r="AY37">
        <v>53</v>
      </c>
      <c r="AZ37">
        <v>114</v>
      </c>
      <c r="BA37">
        <v>233</v>
      </c>
      <c r="BB37">
        <v>48</v>
      </c>
      <c r="BC37">
        <v>118</v>
      </c>
      <c r="BD37">
        <v>260</v>
      </c>
      <c r="BE37">
        <v>28</v>
      </c>
      <c r="BF37">
        <v>112</v>
      </c>
      <c r="BG37">
        <v>195</v>
      </c>
      <c r="BH37">
        <v>62</v>
      </c>
      <c r="BI37">
        <v>114</v>
      </c>
      <c r="BJ37">
        <v>287</v>
      </c>
      <c r="BK37">
        <v>33</v>
      </c>
      <c r="BL37">
        <v>125</v>
      </c>
      <c r="BM37">
        <v>251</v>
      </c>
      <c r="BN37">
        <v>43</v>
      </c>
      <c r="BO37">
        <v>129</v>
      </c>
      <c r="BP37">
        <v>284</v>
      </c>
      <c r="BQ37">
        <v>42</v>
      </c>
      <c r="BR37">
        <v>122</v>
      </c>
      <c r="BS37">
        <v>277</v>
      </c>
      <c r="BT37">
        <v>47</v>
      </c>
      <c r="BU37">
        <v>127</v>
      </c>
      <c r="BV37">
        <v>217</v>
      </c>
      <c r="BW37">
        <v>39</v>
      </c>
      <c r="BX37">
        <v>114</v>
      </c>
      <c r="BY37">
        <v>233</v>
      </c>
      <c r="BZ37">
        <v>53</v>
      </c>
      <c r="CA37">
        <v>119</v>
      </c>
      <c r="CB37">
        <v>233</v>
      </c>
      <c r="CC37">
        <v>50</v>
      </c>
      <c r="CD37">
        <v>113</v>
      </c>
      <c r="CE37">
        <v>264</v>
      </c>
      <c r="CF37">
        <v>23</v>
      </c>
      <c r="CG37">
        <v>120</v>
      </c>
      <c r="CH37">
        <v>234</v>
      </c>
      <c r="CI37">
        <v>65</v>
      </c>
      <c r="CJ37">
        <v>113</v>
      </c>
      <c r="CK37">
        <v>250</v>
      </c>
      <c r="CL37">
        <v>25</v>
      </c>
      <c r="CM37">
        <v>124</v>
      </c>
      <c r="CN37">
        <v>238</v>
      </c>
      <c r="CO37">
        <v>42</v>
      </c>
      <c r="CP37">
        <v>115</v>
      </c>
      <c r="CQ37">
        <v>200</v>
      </c>
      <c r="CR37">
        <v>26</v>
      </c>
      <c r="CS37">
        <v>117</v>
      </c>
      <c r="CT37">
        <v>208</v>
      </c>
      <c r="CU37">
        <v>22</v>
      </c>
      <c r="CV37">
        <v>119</v>
      </c>
      <c r="CW37">
        <v>236</v>
      </c>
      <c r="CX37">
        <v>53</v>
      </c>
      <c r="CY37">
        <v>116</v>
      </c>
      <c r="CZ37">
        <v>240</v>
      </c>
      <c r="DA37">
        <v>53</v>
      </c>
      <c r="DB37">
        <v>118</v>
      </c>
      <c r="DC37">
        <v>241</v>
      </c>
      <c r="DD37">
        <v>39</v>
      </c>
      <c r="DE37">
        <v>120</v>
      </c>
      <c r="DF37">
        <v>263</v>
      </c>
      <c r="DG37">
        <v>33</v>
      </c>
      <c r="DH37">
        <v>134</v>
      </c>
      <c r="DI37">
        <v>220</v>
      </c>
      <c r="DJ37">
        <v>34</v>
      </c>
      <c r="DK37">
        <v>121</v>
      </c>
      <c r="DL37">
        <v>284</v>
      </c>
      <c r="DM37">
        <v>28</v>
      </c>
      <c r="DN37">
        <v>127</v>
      </c>
      <c r="DO37">
        <v>242</v>
      </c>
      <c r="DP37">
        <v>44</v>
      </c>
      <c r="DQ37">
        <v>119</v>
      </c>
      <c r="DR37">
        <v>225</v>
      </c>
      <c r="DS37">
        <v>49</v>
      </c>
      <c r="DT37">
        <v>124</v>
      </c>
      <c r="DU37">
        <v>242</v>
      </c>
      <c r="DV37">
        <v>43</v>
      </c>
      <c r="DW37">
        <v>118</v>
      </c>
      <c r="DX37">
        <v>235</v>
      </c>
      <c r="DY37">
        <v>44</v>
      </c>
      <c r="DZ37">
        <v>119</v>
      </c>
    </row>
    <row r="38" spans="1:130" hidden="1">
      <c r="A38">
        <v>11</v>
      </c>
      <c r="F38">
        <v>3635</v>
      </c>
      <c r="G38">
        <v>22</v>
      </c>
      <c r="H38">
        <v>1</v>
      </c>
      <c r="I38">
        <v>11</v>
      </c>
      <c r="J38">
        <v>6</v>
      </c>
      <c r="K38">
        <v>242</v>
      </c>
      <c r="L38">
        <v>35</v>
      </c>
      <c r="M38">
        <v>130</v>
      </c>
      <c r="N38">
        <v>256</v>
      </c>
      <c r="O38">
        <v>50</v>
      </c>
      <c r="P38">
        <v>125</v>
      </c>
      <c r="Q38">
        <v>255</v>
      </c>
      <c r="R38">
        <v>56</v>
      </c>
      <c r="S38">
        <v>136</v>
      </c>
      <c r="T38">
        <v>281</v>
      </c>
      <c r="U38">
        <v>36</v>
      </c>
      <c r="V38">
        <v>133</v>
      </c>
      <c r="W38">
        <v>258</v>
      </c>
      <c r="X38">
        <v>54</v>
      </c>
      <c r="Y38">
        <v>133</v>
      </c>
      <c r="Z38">
        <v>268</v>
      </c>
      <c r="AA38">
        <v>36</v>
      </c>
      <c r="AB38">
        <v>130</v>
      </c>
      <c r="AC38">
        <v>280</v>
      </c>
      <c r="AD38">
        <v>31</v>
      </c>
      <c r="AE38">
        <v>134</v>
      </c>
      <c r="AF38">
        <v>229</v>
      </c>
      <c r="AG38">
        <v>29</v>
      </c>
      <c r="AH38">
        <v>133</v>
      </c>
      <c r="AI38">
        <v>252</v>
      </c>
      <c r="AJ38">
        <v>26</v>
      </c>
      <c r="AK38">
        <v>129</v>
      </c>
      <c r="AL38">
        <v>238</v>
      </c>
      <c r="AM38">
        <v>44</v>
      </c>
      <c r="AN38">
        <v>128</v>
      </c>
      <c r="AO38">
        <v>282</v>
      </c>
      <c r="AP38">
        <v>40</v>
      </c>
      <c r="AQ38">
        <v>132</v>
      </c>
      <c r="AR38">
        <v>267</v>
      </c>
      <c r="AS38">
        <v>43</v>
      </c>
      <c r="AT38">
        <v>133</v>
      </c>
      <c r="AU38">
        <v>169</v>
      </c>
      <c r="AV38">
        <v>34</v>
      </c>
      <c r="AW38">
        <v>123</v>
      </c>
      <c r="AX38">
        <v>256</v>
      </c>
      <c r="AY38">
        <v>50</v>
      </c>
      <c r="AZ38">
        <v>120</v>
      </c>
      <c r="BA38">
        <v>254</v>
      </c>
      <c r="BB38">
        <v>41</v>
      </c>
      <c r="BC38">
        <v>127</v>
      </c>
      <c r="BD38">
        <v>270</v>
      </c>
      <c r="BE38">
        <v>26</v>
      </c>
      <c r="BF38">
        <v>120</v>
      </c>
      <c r="BG38">
        <v>207</v>
      </c>
      <c r="BH38">
        <v>55</v>
      </c>
      <c r="BI38">
        <v>122</v>
      </c>
      <c r="BJ38">
        <v>309</v>
      </c>
      <c r="BK38">
        <v>29</v>
      </c>
      <c r="BL38">
        <v>136</v>
      </c>
      <c r="BM38">
        <v>262</v>
      </c>
      <c r="BN38">
        <v>43</v>
      </c>
      <c r="BO38">
        <v>136</v>
      </c>
      <c r="BP38">
        <v>299</v>
      </c>
      <c r="BQ38">
        <v>37</v>
      </c>
      <c r="BR38">
        <v>137</v>
      </c>
      <c r="BS38">
        <v>287</v>
      </c>
      <c r="BT38">
        <v>42</v>
      </c>
      <c r="BU38">
        <v>139</v>
      </c>
      <c r="BV38">
        <v>236</v>
      </c>
      <c r="BW38">
        <v>37</v>
      </c>
      <c r="BX38">
        <v>122</v>
      </c>
      <c r="BY38">
        <v>244</v>
      </c>
      <c r="BZ38">
        <v>47</v>
      </c>
      <c r="CA38">
        <v>134</v>
      </c>
      <c r="CB38">
        <v>252</v>
      </c>
      <c r="CC38">
        <v>40</v>
      </c>
      <c r="CD38">
        <v>122</v>
      </c>
      <c r="CE38">
        <v>272</v>
      </c>
      <c r="CF38">
        <v>20</v>
      </c>
      <c r="CG38">
        <v>129</v>
      </c>
      <c r="CH38">
        <v>248</v>
      </c>
      <c r="CI38">
        <v>59</v>
      </c>
      <c r="CJ38">
        <v>123</v>
      </c>
      <c r="CK38">
        <v>262</v>
      </c>
      <c r="CL38">
        <v>25</v>
      </c>
      <c r="CM38">
        <v>132</v>
      </c>
      <c r="CN38">
        <v>250</v>
      </c>
      <c r="CO38">
        <v>39</v>
      </c>
      <c r="CP38">
        <v>123</v>
      </c>
      <c r="CQ38">
        <v>215</v>
      </c>
      <c r="CR38">
        <v>29</v>
      </c>
      <c r="CS38">
        <v>125</v>
      </c>
      <c r="CT38">
        <v>217</v>
      </c>
      <c r="CU38">
        <v>16</v>
      </c>
      <c r="CV38">
        <v>127</v>
      </c>
      <c r="CW38">
        <v>244</v>
      </c>
      <c r="CX38">
        <v>50</v>
      </c>
      <c r="CY38">
        <v>123</v>
      </c>
      <c r="CZ38">
        <v>252</v>
      </c>
      <c r="DA38">
        <v>49</v>
      </c>
      <c r="DB38">
        <v>134</v>
      </c>
      <c r="DC38">
        <v>261</v>
      </c>
      <c r="DD38">
        <v>31</v>
      </c>
      <c r="DE38">
        <v>127</v>
      </c>
      <c r="DF38">
        <v>281</v>
      </c>
      <c r="DG38">
        <v>30</v>
      </c>
      <c r="DH38">
        <v>137</v>
      </c>
      <c r="DI38">
        <v>233</v>
      </c>
      <c r="DJ38">
        <v>26</v>
      </c>
      <c r="DK38">
        <v>130</v>
      </c>
      <c r="DL38">
        <v>292</v>
      </c>
      <c r="DM38">
        <v>27</v>
      </c>
      <c r="DN38">
        <v>138</v>
      </c>
      <c r="DO38">
        <v>260</v>
      </c>
      <c r="DP38">
        <v>40</v>
      </c>
      <c r="DQ38">
        <v>132</v>
      </c>
      <c r="DR38">
        <v>239</v>
      </c>
      <c r="DS38">
        <v>42</v>
      </c>
      <c r="DT38">
        <v>135</v>
      </c>
      <c r="DU38">
        <v>266</v>
      </c>
      <c r="DV38">
        <v>37</v>
      </c>
      <c r="DW38">
        <v>126</v>
      </c>
      <c r="DX38">
        <v>255</v>
      </c>
      <c r="DY38">
        <v>40</v>
      </c>
      <c r="DZ38">
        <v>129</v>
      </c>
    </row>
    <row r="39" spans="1:130" hidden="1">
      <c r="A39">
        <v>12</v>
      </c>
      <c r="F39">
        <v>3636</v>
      </c>
      <c r="G39">
        <v>22</v>
      </c>
      <c r="H39">
        <v>1</v>
      </c>
      <c r="I39">
        <v>12</v>
      </c>
      <c r="J39">
        <v>6</v>
      </c>
      <c r="K39">
        <v>249</v>
      </c>
      <c r="L39">
        <v>34</v>
      </c>
      <c r="M39">
        <v>138</v>
      </c>
      <c r="N39">
        <v>268</v>
      </c>
      <c r="O39">
        <v>48</v>
      </c>
      <c r="P39">
        <v>135</v>
      </c>
      <c r="Q39">
        <v>266</v>
      </c>
      <c r="R39">
        <v>52</v>
      </c>
      <c r="S39">
        <v>148</v>
      </c>
      <c r="T39">
        <v>298</v>
      </c>
      <c r="U39">
        <v>33</v>
      </c>
      <c r="V39">
        <v>153</v>
      </c>
      <c r="W39">
        <v>265</v>
      </c>
      <c r="X39">
        <v>52</v>
      </c>
      <c r="Y39">
        <v>148</v>
      </c>
      <c r="Z39">
        <v>287</v>
      </c>
      <c r="AA39">
        <v>31</v>
      </c>
      <c r="AB39">
        <v>145</v>
      </c>
      <c r="AC39">
        <v>293</v>
      </c>
      <c r="AD39">
        <v>27</v>
      </c>
      <c r="AE39">
        <v>146</v>
      </c>
      <c r="AF39">
        <v>239</v>
      </c>
      <c r="AG39">
        <v>26</v>
      </c>
      <c r="AH39">
        <v>141</v>
      </c>
      <c r="AI39">
        <v>260</v>
      </c>
      <c r="AJ39">
        <v>25</v>
      </c>
      <c r="AK39">
        <v>139</v>
      </c>
      <c r="AL39">
        <v>247</v>
      </c>
      <c r="AM39">
        <v>43</v>
      </c>
      <c r="AN39">
        <v>137</v>
      </c>
      <c r="AO39">
        <v>294</v>
      </c>
      <c r="AP39">
        <v>33</v>
      </c>
      <c r="AQ39">
        <v>138</v>
      </c>
      <c r="AR39">
        <v>279</v>
      </c>
      <c r="AS39">
        <v>41</v>
      </c>
      <c r="AT39">
        <v>150</v>
      </c>
      <c r="AU39">
        <v>177</v>
      </c>
      <c r="AV39">
        <v>33</v>
      </c>
      <c r="AW39">
        <v>130</v>
      </c>
      <c r="AX39">
        <v>274</v>
      </c>
      <c r="AY39">
        <v>48</v>
      </c>
      <c r="AZ39">
        <v>129</v>
      </c>
      <c r="BA39">
        <v>262</v>
      </c>
      <c r="BB39">
        <v>36</v>
      </c>
      <c r="BC39">
        <v>141</v>
      </c>
      <c r="BD39">
        <v>279</v>
      </c>
      <c r="BE39">
        <v>25</v>
      </c>
      <c r="BF39">
        <v>145</v>
      </c>
      <c r="BG39">
        <v>224</v>
      </c>
      <c r="BH39">
        <v>45</v>
      </c>
      <c r="BI39">
        <v>129</v>
      </c>
      <c r="BJ39">
        <v>310</v>
      </c>
      <c r="BK39">
        <v>24</v>
      </c>
      <c r="BL39">
        <v>151</v>
      </c>
      <c r="BM39">
        <v>272</v>
      </c>
      <c r="BN39">
        <v>43</v>
      </c>
      <c r="BO39">
        <v>155</v>
      </c>
      <c r="BP39">
        <v>312</v>
      </c>
      <c r="BQ39">
        <v>38</v>
      </c>
      <c r="BR39">
        <v>151</v>
      </c>
      <c r="BS39">
        <v>299</v>
      </c>
      <c r="BT39">
        <v>34</v>
      </c>
      <c r="BU39">
        <v>155</v>
      </c>
      <c r="BV39">
        <v>252</v>
      </c>
      <c r="BW39">
        <v>27</v>
      </c>
      <c r="BX39">
        <v>132</v>
      </c>
      <c r="BY39">
        <v>258</v>
      </c>
      <c r="BZ39">
        <v>40</v>
      </c>
      <c r="CA39">
        <v>144</v>
      </c>
      <c r="CB39">
        <v>271</v>
      </c>
      <c r="CC39">
        <v>39</v>
      </c>
      <c r="CD39">
        <v>133</v>
      </c>
      <c r="CE39">
        <v>278</v>
      </c>
      <c r="CF39">
        <v>20</v>
      </c>
      <c r="CG39">
        <v>138</v>
      </c>
      <c r="CH39">
        <v>255</v>
      </c>
      <c r="CI39">
        <v>54</v>
      </c>
      <c r="CJ39">
        <v>128</v>
      </c>
      <c r="CK39">
        <v>269</v>
      </c>
      <c r="CL39">
        <v>25</v>
      </c>
      <c r="CM39">
        <v>140</v>
      </c>
      <c r="CN39">
        <v>269</v>
      </c>
      <c r="CO39">
        <v>35</v>
      </c>
      <c r="CP39">
        <v>137</v>
      </c>
      <c r="CQ39">
        <v>217</v>
      </c>
      <c r="CR39">
        <v>29</v>
      </c>
      <c r="CS39">
        <v>134</v>
      </c>
      <c r="CT39">
        <v>222</v>
      </c>
      <c r="CU39">
        <v>17</v>
      </c>
      <c r="CV39">
        <v>137</v>
      </c>
      <c r="CW39">
        <v>251</v>
      </c>
      <c r="CX39">
        <v>43</v>
      </c>
      <c r="CY39">
        <v>131</v>
      </c>
      <c r="CZ39">
        <v>266</v>
      </c>
      <c r="DA39">
        <v>45</v>
      </c>
      <c r="DB39">
        <v>151</v>
      </c>
      <c r="DC39">
        <v>273</v>
      </c>
      <c r="DD39">
        <v>27</v>
      </c>
      <c r="DE39">
        <v>135</v>
      </c>
      <c r="DF39">
        <v>299</v>
      </c>
      <c r="DG39">
        <v>28</v>
      </c>
      <c r="DH39">
        <v>135</v>
      </c>
      <c r="DI39">
        <v>245</v>
      </c>
      <c r="DJ39">
        <v>23</v>
      </c>
      <c r="DK39">
        <v>144</v>
      </c>
      <c r="DL39">
        <v>295</v>
      </c>
      <c r="DM39">
        <v>25</v>
      </c>
      <c r="DN39">
        <v>154</v>
      </c>
      <c r="DO39">
        <v>284</v>
      </c>
      <c r="DP39">
        <v>34</v>
      </c>
      <c r="DQ39">
        <v>157</v>
      </c>
      <c r="DR39">
        <v>248</v>
      </c>
      <c r="DS39">
        <v>38</v>
      </c>
      <c r="DT39">
        <v>160</v>
      </c>
      <c r="DU39">
        <v>283</v>
      </c>
      <c r="DV39">
        <v>33</v>
      </c>
      <c r="DW39">
        <v>153</v>
      </c>
      <c r="DX39">
        <v>273</v>
      </c>
      <c r="DY39">
        <v>36</v>
      </c>
      <c r="DZ39">
        <v>147</v>
      </c>
    </row>
    <row r="40" spans="1:130" hidden="1">
      <c r="A40">
        <v>13</v>
      </c>
      <c r="F40">
        <v>3637</v>
      </c>
      <c r="G40">
        <v>22</v>
      </c>
      <c r="H40">
        <v>1</v>
      </c>
      <c r="I40">
        <v>13</v>
      </c>
      <c r="J40">
        <v>6</v>
      </c>
      <c r="K40">
        <v>256</v>
      </c>
      <c r="L40">
        <v>33</v>
      </c>
      <c r="M40">
        <v>284</v>
      </c>
      <c r="N40">
        <v>281</v>
      </c>
      <c r="O40">
        <v>43</v>
      </c>
      <c r="P40">
        <v>269</v>
      </c>
      <c r="Q40">
        <v>271</v>
      </c>
      <c r="R40">
        <v>53</v>
      </c>
      <c r="S40">
        <v>295</v>
      </c>
      <c r="T40">
        <v>314</v>
      </c>
      <c r="U40">
        <v>30</v>
      </c>
      <c r="V40">
        <v>277</v>
      </c>
      <c r="W40">
        <v>274</v>
      </c>
      <c r="X40">
        <v>50</v>
      </c>
      <c r="Y40">
        <v>275</v>
      </c>
      <c r="Z40">
        <v>311</v>
      </c>
      <c r="AA40">
        <v>26</v>
      </c>
      <c r="AB40">
        <v>285</v>
      </c>
      <c r="AC40">
        <v>303</v>
      </c>
      <c r="AD40">
        <v>27</v>
      </c>
      <c r="AE40">
        <v>310</v>
      </c>
      <c r="AF40">
        <v>246</v>
      </c>
      <c r="AG40">
        <v>29</v>
      </c>
      <c r="AH40">
        <v>327</v>
      </c>
      <c r="AI40">
        <v>267</v>
      </c>
      <c r="AJ40">
        <v>27</v>
      </c>
      <c r="AK40">
        <v>301</v>
      </c>
      <c r="AL40">
        <v>261</v>
      </c>
      <c r="AM40">
        <v>39</v>
      </c>
      <c r="AN40">
        <v>294</v>
      </c>
      <c r="AO40">
        <v>300</v>
      </c>
      <c r="AP40">
        <v>29</v>
      </c>
      <c r="AQ40">
        <v>256</v>
      </c>
      <c r="AR40">
        <v>286</v>
      </c>
      <c r="AS40">
        <v>39</v>
      </c>
      <c r="AT40">
        <v>306</v>
      </c>
      <c r="AU40">
        <v>180</v>
      </c>
      <c r="AV40">
        <v>33</v>
      </c>
      <c r="AW40">
        <v>281</v>
      </c>
      <c r="AX40">
        <v>290</v>
      </c>
      <c r="AY40">
        <v>41</v>
      </c>
      <c r="AZ40">
        <v>298</v>
      </c>
      <c r="BA40">
        <v>278</v>
      </c>
      <c r="BB40">
        <v>37</v>
      </c>
      <c r="BC40">
        <v>284</v>
      </c>
      <c r="BD40">
        <v>290</v>
      </c>
      <c r="BE40">
        <v>19</v>
      </c>
      <c r="BF40">
        <v>273</v>
      </c>
      <c r="BG40">
        <v>237</v>
      </c>
      <c r="BH40">
        <v>41</v>
      </c>
      <c r="BI40">
        <v>262</v>
      </c>
      <c r="BJ40">
        <v>309</v>
      </c>
      <c r="BK40">
        <v>27</v>
      </c>
      <c r="BL40">
        <v>299</v>
      </c>
      <c r="BM40">
        <v>286</v>
      </c>
      <c r="BN40">
        <v>41</v>
      </c>
      <c r="BO40">
        <v>299</v>
      </c>
      <c r="BP40">
        <v>317</v>
      </c>
      <c r="BQ40">
        <v>38</v>
      </c>
      <c r="BR40">
        <v>287</v>
      </c>
      <c r="BS40">
        <v>319</v>
      </c>
      <c r="BT40">
        <v>34</v>
      </c>
      <c r="BU40">
        <v>298</v>
      </c>
      <c r="BV40">
        <v>265</v>
      </c>
      <c r="BW40">
        <v>18</v>
      </c>
      <c r="BX40">
        <v>276</v>
      </c>
      <c r="BY40">
        <v>271</v>
      </c>
      <c r="BZ40">
        <v>38</v>
      </c>
      <c r="CA40">
        <v>270</v>
      </c>
      <c r="CB40">
        <v>284</v>
      </c>
      <c r="CC40">
        <v>37</v>
      </c>
      <c r="CD40">
        <v>266</v>
      </c>
      <c r="CE40">
        <v>278</v>
      </c>
      <c r="CF40">
        <v>19</v>
      </c>
      <c r="CG40">
        <v>299</v>
      </c>
      <c r="CH40">
        <v>264</v>
      </c>
      <c r="CI40">
        <v>45</v>
      </c>
      <c r="CJ40">
        <v>265</v>
      </c>
      <c r="CK40">
        <v>280</v>
      </c>
      <c r="CL40">
        <v>26</v>
      </c>
      <c r="CM40">
        <v>325</v>
      </c>
      <c r="CN40">
        <v>282</v>
      </c>
      <c r="CO40">
        <v>31</v>
      </c>
      <c r="CP40">
        <v>280</v>
      </c>
      <c r="CQ40">
        <v>216</v>
      </c>
      <c r="CR40">
        <v>32</v>
      </c>
      <c r="CS40">
        <v>315</v>
      </c>
      <c r="CT40">
        <v>226</v>
      </c>
      <c r="CU40">
        <v>21</v>
      </c>
      <c r="CV40">
        <v>304</v>
      </c>
      <c r="CW40">
        <v>266</v>
      </c>
      <c r="CX40">
        <v>36</v>
      </c>
      <c r="CY40">
        <v>300</v>
      </c>
      <c r="CZ40">
        <v>277</v>
      </c>
      <c r="DA40">
        <v>42</v>
      </c>
      <c r="DB40">
        <v>289</v>
      </c>
      <c r="DC40">
        <v>275</v>
      </c>
      <c r="DD40">
        <v>24</v>
      </c>
      <c r="DE40">
        <v>332</v>
      </c>
      <c r="DF40">
        <v>310</v>
      </c>
      <c r="DG40">
        <v>28</v>
      </c>
      <c r="DH40">
        <v>281</v>
      </c>
      <c r="DI40">
        <v>249</v>
      </c>
      <c r="DJ40">
        <v>25</v>
      </c>
      <c r="DK40">
        <v>291</v>
      </c>
      <c r="DL40">
        <v>300</v>
      </c>
      <c r="DM40">
        <v>23</v>
      </c>
      <c r="DN40">
        <v>315</v>
      </c>
      <c r="DO40">
        <v>300</v>
      </c>
      <c r="DP40">
        <v>28</v>
      </c>
      <c r="DQ40">
        <v>280</v>
      </c>
      <c r="DR40">
        <v>256</v>
      </c>
      <c r="DS40">
        <v>35</v>
      </c>
      <c r="DT40">
        <v>313</v>
      </c>
      <c r="DU40">
        <v>302</v>
      </c>
      <c r="DV40">
        <v>27</v>
      </c>
      <c r="DW40">
        <v>289</v>
      </c>
      <c r="DX40">
        <v>293</v>
      </c>
      <c r="DY40">
        <v>32</v>
      </c>
      <c r="DZ40">
        <v>289</v>
      </c>
    </row>
    <row r="41" spans="1:130" hidden="1">
      <c r="A41">
        <v>14</v>
      </c>
      <c r="F41">
        <v>3638</v>
      </c>
      <c r="G41">
        <v>22</v>
      </c>
      <c r="H41">
        <v>1</v>
      </c>
      <c r="I41">
        <v>14</v>
      </c>
      <c r="J41">
        <v>6</v>
      </c>
      <c r="K41">
        <v>257</v>
      </c>
      <c r="L41">
        <v>35</v>
      </c>
      <c r="M41">
        <v>486</v>
      </c>
      <c r="N41">
        <v>280</v>
      </c>
      <c r="O41">
        <v>45</v>
      </c>
      <c r="P41">
        <v>465</v>
      </c>
      <c r="Q41">
        <v>281</v>
      </c>
      <c r="R41">
        <v>48</v>
      </c>
      <c r="S41">
        <v>500</v>
      </c>
      <c r="T41">
        <v>327</v>
      </c>
      <c r="U41">
        <v>25</v>
      </c>
      <c r="V41">
        <v>466</v>
      </c>
      <c r="W41">
        <v>280</v>
      </c>
      <c r="X41">
        <v>48</v>
      </c>
      <c r="Y41">
        <v>459</v>
      </c>
      <c r="Z41">
        <v>323</v>
      </c>
      <c r="AA41">
        <v>22</v>
      </c>
      <c r="AB41">
        <v>473</v>
      </c>
      <c r="AC41">
        <v>310</v>
      </c>
      <c r="AD41">
        <v>28</v>
      </c>
      <c r="AE41">
        <v>500</v>
      </c>
      <c r="AF41">
        <v>244</v>
      </c>
      <c r="AG41">
        <v>35</v>
      </c>
      <c r="AH41">
        <v>558</v>
      </c>
      <c r="AI41">
        <v>267</v>
      </c>
      <c r="AJ41">
        <v>27</v>
      </c>
      <c r="AK41">
        <v>505</v>
      </c>
      <c r="AL41">
        <v>265</v>
      </c>
      <c r="AM41">
        <v>34</v>
      </c>
      <c r="AN41">
        <v>495</v>
      </c>
      <c r="AO41">
        <v>309</v>
      </c>
      <c r="AP41">
        <v>28</v>
      </c>
      <c r="AQ41">
        <v>458</v>
      </c>
      <c r="AR41">
        <v>287</v>
      </c>
      <c r="AS41">
        <v>41</v>
      </c>
      <c r="AT41">
        <v>493</v>
      </c>
      <c r="AU41">
        <v>186</v>
      </c>
      <c r="AV41">
        <v>31</v>
      </c>
      <c r="AW41">
        <v>503</v>
      </c>
      <c r="AX41">
        <v>300</v>
      </c>
      <c r="AY41">
        <v>37</v>
      </c>
      <c r="AZ41">
        <v>486</v>
      </c>
      <c r="BA41">
        <v>291</v>
      </c>
      <c r="BB41">
        <v>35</v>
      </c>
      <c r="BC41">
        <v>473</v>
      </c>
      <c r="BD41">
        <v>287</v>
      </c>
      <c r="BE41">
        <v>25</v>
      </c>
      <c r="BF41">
        <v>463</v>
      </c>
      <c r="BG41">
        <v>244</v>
      </c>
      <c r="BH41">
        <v>37</v>
      </c>
      <c r="BI41">
        <v>474</v>
      </c>
      <c r="BJ41">
        <v>321</v>
      </c>
      <c r="BK41">
        <v>28</v>
      </c>
      <c r="BL41">
        <v>478</v>
      </c>
      <c r="BM41">
        <v>296</v>
      </c>
      <c r="BN41">
        <v>41</v>
      </c>
      <c r="BO41">
        <v>473</v>
      </c>
      <c r="BP41">
        <v>332</v>
      </c>
      <c r="BQ41">
        <v>27</v>
      </c>
      <c r="BR41">
        <v>466</v>
      </c>
      <c r="BS41">
        <v>323</v>
      </c>
      <c r="BT41">
        <v>35</v>
      </c>
      <c r="BU41">
        <v>474</v>
      </c>
      <c r="BV41">
        <v>268</v>
      </c>
      <c r="BW41">
        <v>16</v>
      </c>
      <c r="BX41">
        <v>489</v>
      </c>
      <c r="BY41">
        <v>285</v>
      </c>
      <c r="BZ41">
        <v>24</v>
      </c>
      <c r="CA41">
        <v>452</v>
      </c>
      <c r="CB41">
        <v>301</v>
      </c>
      <c r="CC41">
        <v>36</v>
      </c>
      <c r="CD41">
        <v>461</v>
      </c>
      <c r="CE41">
        <v>279</v>
      </c>
      <c r="CF41">
        <v>20</v>
      </c>
      <c r="CG41">
        <v>500</v>
      </c>
      <c r="CH41">
        <v>276</v>
      </c>
      <c r="CI41">
        <v>33</v>
      </c>
      <c r="CJ41">
        <v>461</v>
      </c>
      <c r="CK41">
        <v>286</v>
      </c>
      <c r="CL41">
        <v>28</v>
      </c>
      <c r="CM41">
        <v>525</v>
      </c>
      <c r="CN41">
        <v>296</v>
      </c>
      <c r="CO41">
        <v>28</v>
      </c>
      <c r="CP41">
        <v>473</v>
      </c>
      <c r="CQ41">
        <v>218</v>
      </c>
      <c r="CR41">
        <v>35</v>
      </c>
      <c r="CS41">
        <v>520</v>
      </c>
      <c r="CT41">
        <v>235</v>
      </c>
      <c r="CU41">
        <v>18</v>
      </c>
      <c r="CV41">
        <v>509</v>
      </c>
      <c r="CW41">
        <v>273</v>
      </c>
      <c r="CX41">
        <v>33</v>
      </c>
      <c r="CY41">
        <v>494</v>
      </c>
      <c r="CZ41">
        <v>281</v>
      </c>
      <c r="DA41">
        <v>41</v>
      </c>
      <c r="DB41">
        <v>480</v>
      </c>
      <c r="DC41">
        <v>287</v>
      </c>
      <c r="DD41">
        <v>24</v>
      </c>
      <c r="DE41">
        <v>571</v>
      </c>
      <c r="DF41">
        <v>313</v>
      </c>
      <c r="DG41">
        <v>34</v>
      </c>
      <c r="DH41">
        <v>465</v>
      </c>
      <c r="DI41">
        <v>251</v>
      </c>
      <c r="DJ41">
        <v>26</v>
      </c>
      <c r="DK41">
        <v>489</v>
      </c>
      <c r="DL41">
        <v>301</v>
      </c>
      <c r="DM41">
        <v>23</v>
      </c>
      <c r="DN41">
        <v>503</v>
      </c>
      <c r="DO41">
        <v>311</v>
      </c>
      <c r="DP41">
        <v>23</v>
      </c>
      <c r="DQ41">
        <v>471</v>
      </c>
      <c r="DR41">
        <v>268</v>
      </c>
      <c r="DS41">
        <v>32</v>
      </c>
      <c r="DT41">
        <v>541</v>
      </c>
      <c r="DU41">
        <v>311</v>
      </c>
      <c r="DV41">
        <v>22</v>
      </c>
      <c r="DW41">
        <v>478</v>
      </c>
      <c r="DX41">
        <v>306</v>
      </c>
      <c r="DY41">
        <v>28</v>
      </c>
      <c r="DZ41">
        <v>478</v>
      </c>
    </row>
    <row r="42" spans="1:130" hidden="1">
      <c r="A42">
        <v>15</v>
      </c>
      <c r="F42">
        <v>3639</v>
      </c>
      <c r="G42">
        <v>22</v>
      </c>
      <c r="H42">
        <v>1</v>
      </c>
      <c r="I42">
        <v>15</v>
      </c>
      <c r="J42">
        <v>6</v>
      </c>
      <c r="K42">
        <v>260</v>
      </c>
      <c r="L42">
        <v>34</v>
      </c>
      <c r="M42">
        <v>650</v>
      </c>
      <c r="N42">
        <v>287</v>
      </c>
      <c r="O42">
        <v>42</v>
      </c>
      <c r="P42">
        <v>631</v>
      </c>
      <c r="Q42">
        <v>291</v>
      </c>
      <c r="R42">
        <v>37</v>
      </c>
      <c r="S42">
        <v>624</v>
      </c>
      <c r="T42">
        <v>331</v>
      </c>
      <c r="U42">
        <v>22</v>
      </c>
      <c r="V42">
        <v>631</v>
      </c>
      <c r="W42">
        <v>287</v>
      </c>
      <c r="X42">
        <v>44</v>
      </c>
      <c r="Y42">
        <v>609</v>
      </c>
      <c r="Z42">
        <v>330</v>
      </c>
      <c r="AA42">
        <v>20</v>
      </c>
      <c r="AB42">
        <v>553</v>
      </c>
      <c r="AC42">
        <v>310</v>
      </c>
      <c r="AD42">
        <v>28</v>
      </c>
      <c r="AE42">
        <v>639</v>
      </c>
      <c r="AF42">
        <v>244</v>
      </c>
      <c r="AG42">
        <v>33</v>
      </c>
      <c r="AH42">
        <v>701</v>
      </c>
      <c r="AI42">
        <v>265</v>
      </c>
      <c r="AJ42">
        <v>27</v>
      </c>
      <c r="AK42">
        <v>656</v>
      </c>
      <c r="AL42">
        <v>270</v>
      </c>
      <c r="AM42">
        <v>32</v>
      </c>
      <c r="AN42">
        <v>658</v>
      </c>
      <c r="AO42">
        <v>313</v>
      </c>
      <c r="AP42">
        <v>28</v>
      </c>
      <c r="AQ42">
        <v>618</v>
      </c>
      <c r="AR42">
        <v>295</v>
      </c>
      <c r="AS42">
        <v>36</v>
      </c>
      <c r="AT42">
        <v>644</v>
      </c>
      <c r="AU42">
        <v>183</v>
      </c>
      <c r="AV42">
        <v>36</v>
      </c>
      <c r="AW42">
        <v>687</v>
      </c>
      <c r="AX42">
        <v>308</v>
      </c>
      <c r="AY42">
        <v>30</v>
      </c>
      <c r="AZ42">
        <v>631</v>
      </c>
      <c r="BA42">
        <v>286</v>
      </c>
      <c r="BB42">
        <v>41</v>
      </c>
      <c r="BC42">
        <v>618</v>
      </c>
      <c r="BD42">
        <v>288</v>
      </c>
      <c r="BE42">
        <v>26</v>
      </c>
      <c r="BF42">
        <v>602</v>
      </c>
      <c r="BG42">
        <v>248</v>
      </c>
      <c r="BH42">
        <v>35</v>
      </c>
      <c r="BI42">
        <v>643</v>
      </c>
      <c r="BJ42">
        <v>334</v>
      </c>
      <c r="BK42">
        <v>22</v>
      </c>
      <c r="BL42">
        <v>623</v>
      </c>
      <c r="BM42">
        <v>306</v>
      </c>
      <c r="BN42">
        <v>35</v>
      </c>
      <c r="BO42">
        <v>606</v>
      </c>
      <c r="BP42">
        <v>338</v>
      </c>
      <c r="BQ42">
        <v>20</v>
      </c>
      <c r="BR42">
        <v>600</v>
      </c>
      <c r="BS42">
        <v>313</v>
      </c>
      <c r="BT42">
        <v>34</v>
      </c>
      <c r="BU42">
        <v>619</v>
      </c>
      <c r="BV42">
        <v>270</v>
      </c>
      <c r="BW42">
        <v>17</v>
      </c>
      <c r="BX42">
        <v>658</v>
      </c>
      <c r="BY42">
        <v>287</v>
      </c>
      <c r="BZ42">
        <v>25</v>
      </c>
      <c r="CA42">
        <v>546</v>
      </c>
      <c r="CB42">
        <v>305</v>
      </c>
      <c r="CC42">
        <v>37</v>
      </c>
      <c r="CD42">
        <v>618</v>
      </c>
      <c r="CE42">
        <v>279</v>
      </c>
      <c r="CF42">
        <v>20</v>
      </c>
      <c r="CG42">
        <v>665</v>
      </c>
      <c r="CH42">
        <v>291</v>
      </c>
      <c r="CI42">
        <v>26</v>
      </c>
      <c r="CJ42">
        <v>623</v>
      </c>
      <c r="CK42">
        <v>292</v>
      </c>
      <c r="CL42">
        <v>28</v>
      </c>
      <c r="CM42">
        <v>691</v>
      </c>
      <c r="CN42">
        <v>306</v>
      </c>
      <c r="CO42">
        <v>27</v>
      </c>
      <c r="CP42">
        <v>619</v>
      </c>
      <c r="CQ42">
        <v>219</v>
      </c>
      <c r="CR42">
        <v>35</v>
      </c>
      <c r="CS42">
        <v>687</v>
      </c>
      <c r="CT42">
        <v>230</v>
      </c>
      <c r="CU42">
        <v>20</v>
      </c>
      <c r="CV42">
        <v>666</v>
      </c>
      <c r="CW42">
        <v>280</v>
      </c>
      <c r="CX42">
        <v>33</v>
      </c>
      <c r="CY42">
        <v>645</v>
      </c>
      <c r="CZ42">
        <v>290</v>
      </c>
      <c r="DA42">
        <v>37</v>
      </c>
      <c r="DB42">
        <v>633</v>
      </c>
      <c r="DC42">
        <v>286</v>
      </c>
      <c r="DD42">
        <v>23</v>
      </c>
      <c r="DE42">
        <v>679</v>
      </c>
      <c r="DF42">
        <v>321</v>
      </c>
      <c r="DG42">
        <v>29</v>
      </c>
      <c r="DH42">
        <v>625</v>
      </c>
      <c r="DI42">
        <v>252</v>
      </c>
      <c r="DJ42">
        <v>28</v>
      </c>
      <c r="DK42">
        <v>659</v>
      </c>
      <c r="DL42">
        <v>302</v>
      </c>
      <c r="DM42">
        <v>23</v>
      </c>
      <c r="DN42">
        <v>650</v>
      </c>
      <c r="DO42">
        <v>323</v>
      </c>
      <c r="DP42">
        <v>19</v>
      </c>
      <c r="DQ42">
        <v>624</v>
      </c>
      <c r="DR42">
        <v>266</v>
      </c>
      <c r="DS42">
        <v>34</v>
      </c>
      <c r="DT42">
        <v>689</v>
      </c>
      <c r="DU42">
        <v>319</v>
      </c>
      <c r="DV42">
        <v>21</v>
      </c>
      <c r="DW42">
        <v>616</v>
      </c>
      <c r="DX42">
        <v>311</v>
      </c>
      <c r="DY42">
        <v>25</v>
      </c>
      <c r="DZ42">
        <v>629</v>
      </c>
    </row>
    <row r="43" spans="1:130" hidden="1">
      <c r="A43">
        <v>16</v>
      </c>
      <c r="F43">
        <v>3640</v>
      </c>
      <c r="G43">
        <v>22</v>
      </c>
      <c r="H43">
        <v>1</v>
      </c>
      <c r="I43">
        <v>16</v>
      </c>
      <c r="J43">
        <v>6</v>
      </c>
      <c r="K43">
        <v>253</v>
      </c>
      <c r="L43">
        <v>36</v>
      </c>
      <c r="M43">
        <v>753</v>
      </c>
      <c r="N43">
        <v>295</v>
      </c>
      <c r="O43">
        <v>41</v>
      </c>
      <c r="P43">
        <v>724</v>
      </c>
      <c r="Q43">
        <v>291</v>
      </c>
      <c r="R43">
        <v>35</v>
      </c>
      <c r="S43">
        <v>637</v>
      </c>
      <c r="T43">
        <v>335</v>
      </c>
      <c r="U43">
        <v>20</v>
      </c>
      <c r="V43">
        <v>731</v>
      </c>
      <c r="W43">
        <v>292</v>
      </c>
      <c r="X43">
        <v>39</v>
      </c>
      <c r="Y43">
        <v>751</v>
      </c>
      <c r="Z43">
        <v>334</v>
      </c>
      <c r="AA43">
        <v>20</v>
      </c>
      <c r="AB43">
        <v>584</v>
      </c>
      <c r="AC43">
        <v>308</v>
      </c>
      <c r="AD43">
        <v>29</v>
      </c>
      <c r="AE43">
        <v>721</v>
      </c>
      <c r="AF43">
        <v>242</v>
      </c>
      <c r="AG43">
        <v>30</v>
      </c>
      <c r="AH43">
        <v>827</v>
      </c>
      <c r="AI43">
        <v>258</v>
      </c>
      <c r="AJ43">
        <v>28</v>
      </c>
      <c r="AK43">
        <v>735</v>
      </c>
      <c r="AL43">
        <v>266</v>
      </c>
      <c r="AM43">
        <v>33</v>
      </c>
      <c r="AN43">
        <v>772</v>
      </c>
      <c r="AO43">
        <v>311</v>
      </c>
      <c r="AP43">
        <v>27</v>
      </c>
      <c r="AQ43">
        <v>717</v>
      </c>
      <c r="AR43">
        <v>296</v>
      </c>
      <c r="AS43">
        <v>30</v>
      </c>
      <c r="AT43">
        <v>723</v>
      </c>
      <c r="AU43">
        <v>178</v>
      </c>
      <c r="AV43">
        <v>40</v>
      </c>
      <c r="AW43">
        <v>816</v>
      </c>
      <c r="AX43">
        <v>308</v>
      </c>
      <c r="AY43">
        <v>30</v>
      </c>
      <c r="AZ43">
        <v>707</v>
      </c>
      <c r="BA43">
        <v>288</v>
      </c>
      <c r="BB43">
        <v>37</v>
      </c>
      <c r="BC43">
        <v>723</v>
      </c>
      <c r="BD43">
        <v>287</v>
      </c>
      <c r="BE43">
        <v>25</v>
      </c>
      <c r="BF43">
        <v>659</v>
      </c>
      <c r="BG43">
        <v>250</v>
      </c>
      <c r="BH43">
        <v>32</v>
      </c>
      <c r="BI43">
        <v>740</v>
      </c>
      <c r="BJ43">
        <v>330</v>
      </c>
      <c r="BK43">
        <v>24</v>
      </c>
      <c r="BL43">
        <v>723</v>
      </c>
      <c r="BM43">
        <v>322</v>
      </c>
      <c r="BN43">
        <v>23</v>
      </c>
      <c r="BO43">
        <v>688</v>
      </c>
      <c r="BP43">
        <v>333</v>
      </c>
      <c r="BQ43">
        <v>18</v>
      </c>
      <c r="BR43">
        <v>602</v>
      </c>
      <c r="BS43">
        <v>317</v>
      </c>
      <c r="BT43">
        <v>35</v>
      </c>
      <c r="BU43">
        <v>694</v>
      </c>
      <c r="BV43">
        <v>269</v>
      </c>
      <c r="BW43">
        <v>18</v>
      </c>
      <c r="BX43">
        <v>763</v>
      </c>
      <c r="BY43">
        <v>291</v>
      </c>
      <c r="BZ43">
        <v>24</v>
      </c>
      <c r="CA43">
        <v>647</v>
      </c>
      <c r="CB43">
        <v>307</v>
      </c>
      <c r="CC43">
        <v>36</v>
      </c>
      <c r="CD43">
        <v>716</v>
      </c>
      <c r="CE43">
        <v>277</v>
      </c>
      <c r="CF43">
        <v>22</v>
      </c>
      <c r="CG43">
        <v>668</v>
      </c>
      <c r="CH43">
        <v>294</v>
      </c>
      <c r="CI43">
        <v>26</v>
      </c>
      <c r="CJ43">
        <v>718</v>
      </c>
      <c r="CK43">
        <v>290</v>
      </c>
      <c r="CL43">
        <v>27</v>
      </c>
      <c r="CM43">
        <v>755</v>
      </c>
      <c r="CN43">
        <v>305</v>
      </c>
      <c r="CO43">
        <v>25</v>
      </c>
      <c r="CP43">
        <v>703</v>
      </c>
      <c r="CQ43">
        <v>209</v>
      </c>
      <c r="CR43">
        <v>37</v>
      </c>
      <c r="CS43">
        <v>795</v>
      </c>
      <c r="CT43">
        <v>231</v>
      </c>
      <c r="CU43">
        <v>22</v>
      </c>
      <c r="CV43">
        <v>746</v>
      </c>
      <c r="CW43">
        <v>282</v>
      </c>
      <c r="CX43">
        <v>33</v>
      </c>
      <c r="CY43">
        <v>713</v>
      </c>
      <c r="CZ43">
        <v>290</v>
      </c>
      <c r="DA43">
        <v>37</v>
      </c>
      <c r="DB43">
        <v>712</v>
      </c>
      <c r="DC43">
        <v>280</v>
      </c>
      <c r="DD43">
        <v>23</v>
      </c>
      <c r="DE43">
        <v>841</v>
      </c>
      <c r="DF43">
        <v>324</v>
      </c>
      <c r="DG43">
        <v>28</v>
      </c>
      <c r="DH43">
        <v>715</v>
      </c>
      <c r="DI43">
        <v>246</v>
      </c>
      <c r="DJ43">
        <v>31</v>
      </c>
      <c r="DK43">
        <v>773</v>
      </c>
      <c r="DL43">
        <v>299</v>
      </c>
      <c r="DM43">
        <v>23</v>
      </c>
      <c r="DN43">
        <v>727</v>
      </c>
      <c r="DO43">
        <v>326</v>
      </c>
      <c r="DP43">
        <v>18</v>
      </c>
      <c r="DQ43">
        <v>712</v>
      </c>
      <c r="DR43">
        <v>247</v>
      </c>
      <c r="DS43">
        <v>36</v>
      </c>
      <c r="DT43">
        <v>647</v>
      </c>
      <c r="DU43">
        <v>322</v>
      </c>
      <c r="DV43">
        <v>19</v>
      </c>
      <c r="DW43">
        <v>729</v>
      </c>
      <c r="DX43">
        <v>310</v>
      </c>
      <c r="DY43">
        <v>24</v>
      </c>
      <c r="DZ43">
        <v>709</v>
      </c>
    </row>
    <row r="44" spans="1:130" hidden="1">
      <c r="A44">
        <v>17</v>
      </c>
      <c r="F44">
        <v>3641</v>
      </c>
      <c r="G44">
        <v>22</v>
      </c>
      <c r="H44">
        <v>1</v>
      </c>
      <c r="I44">
        <v>17</v>
      </c>
      <c r="J44">
        <v>6</v>
      </c>
      <c r="K44">
        <v>251</v>
      </c>
      <c r="L44">
        <v>35</v>
      </c>
      <c r="M44">
        <v>675</v>
      </c>
      <c r="N44">
        <v>288</v>
      </c>
      <c r="O44">
        <v>39</v>
      </c>
      <c r="P44">
        <v>543</v>
      </c>
      <c r="Q44">
        <v>273</v>
      </c>
      <c r="R44">
        <v>39</v>
      </c>
      <c r="S44">
        <v>88</v>
      </c>
      <c r="T44">
        <v>333</v>
      </c>
      <c r="U44">
        <v>19</v>
      </c>
      <c r="V44">
        <v>789</v>
      </c>
      <c r="W44">
        <v>292</v>
      </c>
      <c r="X44">
        <v>40</v>
      </c>
      <c r="Y44">
        <v>842</v>
      </c>
      <c r="Z44">
        <v>332</v>
      </c>
      <c r="AA44">
        <v>20</v>
      </c>
      <c r="AB44">
        <v>684</v>
      </c>
      <c r="AC44">
        <v>300</v>
      </c>
      <c r="AD44">
        <v>32</v>
      </c>
      <c r="AE44">
        <v>632</v>
      </c>
      <c r="AF44">
        <v>234</v>
      </c>
      <c r="AG44">
        <v>29</v>
      </c>
      <c r="AH44">
        <v>825</v>
      </c>
      <c r="AI44">
        <v>248</v>
      </c>
      <c r="AJ44">
        <v>28</v>
      </c>
      <c r="AK44">
        <v>675</v>
      </c>
      <c r="AL44">
        <v>263</v>
      </c>
      <c r="AM44">
        <v>32</v>
      </c>
      <c r="AN44">
        <v>788</v>
      </c>
      <c r="AO44">
        <v>308</v>
      </c>
      <c r="AP44">
        <v>27</v>
      </c>
      <c r="AQ44">
        <v>723</v>
      </c>
      <c r="AR44">
        <v>298</v>
      </c>
      <c r="AS44">
        <v>21</v>
      </c>
      <c r="AT44">
        <v>717</v>
      </c>
      <c r="AU44">
        <v>169</v>
      </c>
      <c r="AV44">
        <v>46</v>
      </c>
      <c r="AW44">
        <v>861</v>
      </c>
      <c r="AX44">
        <v>305</v>
      </c>
      <c r="AY44">
        <v>30</v>
      </c>
      <c r="AZ44">
        <v>716</v>
      </c>
      <c r="BA44">
        <v>287</v>
      </c>
      <c r="BB44">
        <v>35</v>
      </c>
      <c r="BC44">
        <v>750</v>
      </c>
      <c r="BD44">
        <v>284</v>
      </c>
      <c r="BE44">
        <v>27</v>
      </c>
      <c r="BF44">
        <v>657</v>
      </c>
      <c r="BG44">
        <v>249</v>
      </c>
      <c r="BH44">
        <v>35</v>
      </c>
      <c r="BI44">
        <v>783</v>
      </c>
      <c r="BJ44">
        <v>326</v>
      </c>
      <c r="BK44">
        <v>26</v>
      </c>
      <c r="BL44">
        <v>727</v>
      </c>
      <c r="BM44">
        <v>321</v>
      </c>
      <c r="BN44">
        <v>22</v>
      </c>
      <c r="BO44">
        <v>653</v>
      </c>
      <c r="BP44">
        <v>326</v>
      </c>
      <c r="BQ44">
        <v>17</v>
      </c>
      <c r="BR44">
        <v>679</v>
      </c>
      <c r="BS44">
        <v>310</v>
      </c>
      <c r="BT44">
        <v>36</v>
      </c>
      <c r="BU44">
        <v>681</v>
      </c>
      <c r="BV44">
        <v>261</v>
      </c>
      <c r="BW44">
        <v>19</v>
      </c>
      <c r="BX44">
        <v>783</v>
      </c>
      <c r="BY44">
        <v>288</v>
      </c>
      <c r="BZ44">
        <v>25</v>
      </c>
      <c r="CA44">
        <v>562</v>
      </c>
      <c r="CB44">
        <v>303</v>
      </c>
      <c r="CC44">
        <v>35</v>
      </c>
      <c r="CD44">
        <v>724</v>
      </c>
      <c r="CE44">
        <v>268</v>
      </c>
      <c r="CF44">
        <v>25</v>
      </c>
      <c r="CG44">
        <v>689</v>
      </c>
      <c r="CH44">
        <v>292</v>
      </c>
      <c r="CI44">
        <v>28</v>
      </c>
      <c r="CJ44">
        <v>732</v>
      </c>
      <c r="CK44">
        <v>274</v>
      </c>
      <c r="CL44">
        <v>28</v>
      </c>
      <c r="CM44">
        <v>366</v>
      </c>
      <c r="CN44">
        <v>305</v>
      </c>
      <c r="CO44">
        <v>25</v>
      </c>
      <c r="CP44">
        <v>739</v>
      </c>
      <c r="CQ44">
        <v>201</v>
      </c>
      <c r="CR44">
        <v>42</v>
      </c>
      <c r="CS44">
        <v>772</v>
      </c>
      <c r="CT44">
        <v>220</v>
      </c>
      <c r="CU44">
        <v>25</v>
      </c>
      <c r="CV44">
        <v>673</v>
      </c>
      <c r="CW44">
        <v>280</v>
      </c>
      <c r="CX44">
        <v>33</v>
      </c>
      <c r="CY44">
        <v>735</v>
      </c>
      <c r="CZ44">
        <v>289</v>
      </c>
      <c r="DA44">
        <v>36</v>
      </c>
      <c r="DB44">
        <v>710</v>
      </c>
      <c r="DC44">
        <v>274</v>
      </c>
      <c r="DD44">
        <v>24</v>
      </c>
      <c r="DE44">
        <v>741</v>
      </c>
      <c r="DF44">
        <v>321</v>
      </c>
      <c r="DG44">
        <v>27</v>
      </c>
      <c r="DH44">
        <v>715</v>
      </c>
      <c r="DI44">
        <v>237</v>
      </c>
      <c r="DJ44">
        <v>37</v>
      </c>
      <c r="DK44">
        <v>750</v>
      </c>
      <c r="DL44">
        <v>294</v>
      </c>
      <c r="DM44">
        <v>23</v>
      </c>
      <c r="DN44">
        <v>703</v>
      </c>
      <c r="DO44">
        <v>327</v>
      </c>
      <c r="DP44">
        <v>18</v>
      </c>
      <c r="DQ44">
        <v>749</v>
      </c>
      <c r="DR44">
        <v>228</v>
      </c>
      <c r="DS44">
        <v>39</v>
      </c>
      <c r="DT44">
        <v>17</v>
      </c>
      <c r="DU44">
        <v>324</v>
      </c>
      <c r="DV44">
        <v>19</v>
      </c>
      <c r="DW44">
        <v>732</v>
      </c>
      <c r="DX44">
        <v>308</v>
      </c>
      <c r="DY44">
        <v>25</v>
      </c>
      <c r="DZ44">
        <v>735</v>
      </c>
    </row>
    <row r="45" spans="1:130" hidden="1">
      <c r="A45">
        <v>18</v>
      </c>
      <c r="F45">
        <v>3642</v>
      </c>
      <c r="G45">
        <v>22</v>
      </c>
      <c r="H45">
        <v>1</v>
      </c>
      <c r="I45">
        <v>18</v>
      </c>
      <c r="J45">
        <v>6</v>
      </c>
      <c r="K45">
        <v>230</v>
      </c>
      <c r="L45">
        <v>40</v>
      </c>
      <c r="M45">
        <v>30</v>
      </c>
      <c r="N45">
        <v>277</v>
      </c>
      <c r="O45">
        <v>45</v>
      </c>
      <c r="P45">
        <v>22</v>
      </c>
      <c r="Q45">
        <v>260</v>
      </c>
      <c r="R45">
        <v>44</v>
      </c>
      <c r="S45">
        <v>16</v>
      </c>
      <c r="T45">
        <v>326</v>
      </c>
      <c r="U45">
        <v>20</v>
      </c>
      <c r="V45">
        <v>736</v>
      </c>
      <c r="W45">
        <v>290</v>
      </c>
      <c r="X45">
        <v>38</v>
      </c>
      <c r="Y45">
        <v>812</v>
      </c>
      <c r="Z45">
        <v>325</v>
      </c>
      <c r="AA45">
        <v>22</v>
      </c>
      <c r="AB45">
        <v>553</v>
      </c>
      <c r="AC45">
        <v>276</v>
      </c>
      <c r="AD45">
        <v>38</v>
      </c>
      <c r="AE45">
        <v>77</v>
      </c>
      <c r="AF45">
        <v>215</v>
      </c>
      <c r="AG45">
        <v>32</v>
      </c>
      <c r="AH45">
        <v>401</v>
      </c>
      <c r="AI45">
        <v>230</v>
      </c>
      <c r="AJ45">
        <v>29</v>
      </c>
      <c r="AK45">
        <v>52</v>
      </c>
      <c r="AL45">
        <v>240</v>
      </c>
      <c r="AM45">
        <v>48</v>
      </c>
      <c r="AN45">
        <v>599</v>
      </c>
      <c r="AO45">
        <v>297</v>
      </c>
      <c r="AP45">
        <v>31</v>
      </c>
      <c r="AQ45">
        <v>522</v>
      </c>
      <c r="AR45">
        <v>288</v>
      </c>
      <c r="AS45">
        <v>23</v>
      </c>
      <c r="AT45">
        <v>527</v>
      </c>
      <c r="AU45">
        <v>159</v>
      </c>
      <c r="AV45">
        <v>55</v>
      </c>
      <c r="AW45">
        <v>685</v>
      </c>
      <c r="AX45">
        <v>291</v>
      </c>
      <c r="AY45">
        <v>42</v>
      </c>
      <c r="AZ45">
        <v>592</v>
      </c>
      <c r="BA45">
        <v>274</v>
      </c>
      <c r="BB45">
        <v>42</v>
      </c>
      <c r="BC45">
        <v>582</v>
      </c>
      <c r="BD45">
        <v>276</v>
      </c>
      <c r="BE45">
        <v>29</v>
      </c>
      <c r="BF45">
        <v>609</v>
      </c>
      <c r="BG45">
        <v>247</v>
      </c>
      <c r="BH45">
        <v>29</v>
      </c>
      <c r="BI45">
        <v>607</v>
      </c>
      <c r="BJ45">
        <v>314</v>
      </c>
      <c r="BK45">
        <v>28</v>
      </c>
      <c r="BL45">
        <v>578</v>
      </c>
      <c r="BM45">
        <v>308</v>
      </c>
      <c r="BN45">
        <v>25</v>
      </c>
      <c r="BO45">
        <v>592</v>
      </c>
      <c r="BP45">
        <v>313</v>
      </c>
      <c r="BQ45">
        <v>19</v>
      </c>
      <c r="BR45">
        <v>358</v>
      </c>
      <c r="BS45">
        <v>306</v>
      </c>
      <c r="BT45">
        <v>38</v>
      </c>
      <c r="BU45">
        <v>609</v>
      </c>
      <c r="BV45">
        <v>248</v>
      </c>
      <c r="BW45">
        <v>21</v>
      </c>
      <c r="BX45">
        <v>585</v>
      </c>
      <c r="BY45">
        <v>283</v>
      </c>
      <c r="BZ45">
        <v>28</v>
      </c>
      <c r="CA45">
        <v>572</v>
      </c>
      <c r="CB45">
        <v>299</v>
      </c>
      <c r="CC45">
        <v>37</v>
      </c>
      <c r="CD45">
        <v>640</v>
      </c>
      <c r="CE45">
        <v>256</v>
      </c>
      <c r="CF45">
        <v>25</v>
      </c>
      <c r="CG45">
        <v>458</v>
      </c>
      <c r="CH45">
        <v>288</v>
      </c>
      <c r="CI45">
        <v>31</v>
      </c>
      <c r="CJ45">
        <v>562</v>
      </c>
      <c r="CK45">
        <v>256</v>
      </c>
      <c r="CL45">
        <v>38</v>
      </c>
      <c r="CM45">
        <v>12</v>
      </c>
      <c r="CN45">
        <v>300</v>
      </c>
      <c r="CO45">
        <v>25</v>
      </c>
      <c r="CP45">
        <v>637</v>
      </c>
      <c r="CQ45">
        <v>183</v>
      </c>
      <c r="CR45">
        <v>46</v>
      </c>
      <c r="CS45">
        <v>386</v>
      </c>
      <c r="CT45">
        <v>195</v>
      </c>
      <c r="CU45">
        <v>28</v>
      </c>
      <c r="CV45">
        <v>26</v>
      </c>
      <c r="CW45">
        <v>272</v>
      </c>
      <c r="CX45">
        <v>38</v>
      </c>
      <c r="CY45">
        <v>668</v>
      </c>
      <c r="CZ45">
        <v>282</v>
      </c>
      <c r="DA45">
        <v>38</v>
      </c>
      <c r="DB45">
        <v>525</v>
      </c>
      <c r="DC45">
        <v>252</v>
      </c>
      <c r="DD45">
        <v>30</v>
      </c>
      <c r="DE45">
        <v>288</v>
      </c>
      <c r="DF45">
        <v>312</v>
      </c>
      <c r="DG45">
        <v>27</v>
      </c>
      <c r="DH45">
        <v>561</v>
      </c>
      <c r="DI45">
        <v>222</v>
      </c>
      <c r="DJ45">
        <v>43</v>
      </c>
      <c r="DK45">
        <v>392</v>
      </c>
      <c r="DL45">
        <v>287</v>
      </c>
      <c r="DM45">
        <v>24</v>
      </c>
      <c r="DN45">
        <v>557</v>
      </c>
      <c r="DO45">
        <v>312</v>
      </c>
      <c r="DP45">
        <v>27</v>
      </c>
      <c r="DQ45">
        <v>644</v>
      </c>
      <c r="DR45">
        <v>226</v>
      </c>
      <c r="DS45">
        <v>42</v>
      </c>
      <c r="DT45">
        <v>40</v>
      </c>
      <c r="DU45">
        <v>318</v>
      </c>
      <c r="DV45">
        <v>19</v>
      </c>
      <c r="DW45">
        <v>687</v>
      </c>
      <c r="DX45">
        <v>299</v>
      </c>
      <c r="DY45">
        <v>27</v>
      </c>
      <c r="DZ45">
        <v>647</v>
      </c>
    </row>
    <row r="46" spans="1:130" hidden="1">
      <c r="A46">
        <v>19</v>
      </c>
      <c r="F46">
        <v>3643</v>
      </c>
      <c r="G46">
        <v>22</v>
      </c>
      <c r="H46">
        <v>1</v>
      </c>
      <c r="I46">
        <v>19</v>
      </c>
      <c r="J46">
        <v>6</v>
      </c>
      <c r="K46">
        <v>213</v>
      </c>
      <c r="L46">
        <v>41</v>
      </c>
      <c r="M46">
        <v>5</v>
      </c>
      <c r="N46">
        <v>257</v>
      </c>
      <c r="O46">
        <v>49</v>
      </c>
      <c r="P46">
        <v>53</v>
      </c>
      <c r="Q46">
        <v>259</v>
      </c>
      <c r="R46">
        <v>41</v>
      </c>
      <c r="S46">
        <v>8</v>
      </c>
      <c r="T46">
        <v>311</v>
      </c>
      <c r="U46">
        <v>25</v>
      </c>
      <c r="V46">
        <v>520</v>
      </c>
      <c r="W46">
        <v>278</v>
      </c>
      <c r="X46">
        <v>46</v>
      </c>
      <c r="Y46">
        <v>613</v>
      </c>
      <c r="Z46">
        <v>298</v>
      </c>
      <c r="AA46">
        <v>34</v>
      </c>
      <c r="AB46">
        <v>323</v>
      </c>
      <c r="AC46">
        <v>259</v>
      </c>
      <c r="AD46">
        <v>42</v>
      </c>
      <c r="AE46">
        <v>6</v>
      </c>
      <c r="AF46">
        <v>202</v>
      </c>
      <c r="AG46">
        <v>33</v>
      </c>
      <c r="AH46">
        <v>11</v>
      </c>
      <c r="AI46">
        <v>216</v>
      </c>
      <c r="AJ46">
        <v>32</v>
      </c>
      <c r="AK46">
        <v>3</v>
      </c>
      <c r="AL46">
        <v>208</v>
      </c>
      <c r="AM46">
        <v>57</v>
      </c>
      <c r="AN46">
        <v>59</v>
      </c>
      <c r="AO46">
        <v>278</v>
      </c>
      <c r="AP46">
        <v>36</v>
      </c>
      <c r="AQ46">
        <v>222</v>
      </c>
      <c r="AR46">
        <v>244</v>
      </c>
      <c r="AS46">
        <v>36</v>
      </c>
      <c r="AT46">
        <v>16</v>
      </c>
      <c r="AU46">
        <v>145</v>
      </c>
      <c r="AV46">
        <v>63</v>
      </c>
      <c r="AW46">
        <v>61</v>
      </c>
      <c r="AX46">
        <v>255</v>
      </c>
      <c r="AY46">
        <v>54</v>
      </c>
      <c r="AZ46">
        <v>325</v>
      </c>
      <c r="BA46">
        <v>241</v>
      </c>
      <c r="BB46">
        <v>49</v>
      </c>
      <c r="BC46">
        <v>244</v>
      </c>
      <c r="BD46">
        <v>247</v>
      </c>
      <c r="BE46">
        <v>33</v>
      </c>
      <c r="BF46">
        <v>317</v>
      </c>
      <c r="BG46">
        <v>234</v>
      </c>
      <c r="BH46">
        <v>31</v>
      </c>
      <c r="BI46">
        <v>43</v>
      </c>
      <c r="BJ46">
        <v>293</v>
      </c>
      <c r="BK46">
        <v>29</v>
      </c>
      <c r="BL46">
        <v>147</v>
      </c>
      <c r="BM46">
        <v>299</v>
      </c>
      <c r="BN46">
        <v>26</v>
      </c>
      <c r="BO46">
        <v>266</v>
      </c>
      <c r="BP46">
        <v>309</v>
      </c>
      <c r="BQ46">
        <v>21</v>
      </c>
      <c r="BR46">
        <v>449</v>
      </c>
      <c r="BS46">
        <v>295</v>
      </c>
      <c r="BT46">
        <v>40</v>
      </c>
      <c r="BU46">
        <v>280</v>
      </c>
      <c r="BV46">
        <v>223</v>
      </c>
      <c r="BW46">
        <v>28</v>
      </c>
      <c r="BX46">
        <v>20</v>
      </c>
      <c r="BY46">
        <v>269</v>
      </c>
      <c r="BZ46">
        <v>26</v>
      </c>
      <c r="CA46">
        <v>131</v>
      </c>
      <c r="CB46">
        <v>293</v>
      </c>
      <c r="CC46">
        <v>36</v>
      </c>
      <c r="CD46">
        <v>324</v>
      </c>
      <c r="CE46">
        <v>235</v>
      </c>
      <c r="CF46">
        <v>32</v>
      </c>
      <c r="CG46">
        <v>8</v>
      </c>
      <c r="CH46">
        <v>275</v>
      </c>
      <c r="CI46">
        <v>34</v>
      </c>
      <c r="CJ46">
        <v>319</v>
      </c>
      <c r="CK46">
        <v>232</v>
      </c>
      <c r="CL46">
        <v>52</v>
      </c>
      <c r="CM46">
        <v>3</v>
      </c>
      <c r="CN46">
        <v>288</v>
      </c>
      <c r="CO46">
        <v>29</v>
      </c>
      <c r="CP46">
        <v>423</v>
      </c>
      <c r="CQ46">
        <v>161</v>
      </c>
      <c r="CR46">
        <v>52</v>
      </c>
      <c r="CS46">
        <v>6</v>
      </c>
      <c r="CT46">
        <v>179</v>
      </c>
      <c r="CU46">
        <v>31</v>
      </c>
      <c r="CV46">
        <v>5</v>
      </c>
      <c r="CW46">
        <v>257</v>
      </c>
      <c r="CX46">
        <v>47</v>
      </c>
      <c r="CY46">
        <v>432</v>
      </c>
      <c r="CZ46">
        <v>253</v>
      </c>
      <c r="DA46">
        <v>46</v>
      </c>
      <c r="DB46">
        <v>32</v>
      </c>
      <c r="DC46">
        <v>223</v>
      </c>
      <c r="DD46">
        <v>42</v>
      </c>
      <c r="DE46">
        <v>22</v>
      </c>
      <c r="DF46">
        <v>295</v>
      </c>
      <c r="DG46">
        <v>27</v>
      </c>
      <c r="DH46">
        <v>57</v>
      </c>
      <c r="DI46">
        <v>205</v>
      </c>
      <c r="DJ46">
        <v>53</v>
      </c>
      <c r="DK46">
        <v>6</v>
      </c>
      <c r="DL46">
        <v>276</v>
      </c>
      <c r="DM46">
        <v>26</v>
      </c>
      <c r="DN46">
        <v>255</v>
      </c>
      <c r="DO46">
        <v>279</v>
      </c>
      <c r="DP46">
        <v>37</v>
      </c>
      <c r="DQ46">
        <v>457</v>
      </c>
      <c r="DR46">
        <v>198</v>
      </c>
      <c r="DS46">
        <v>53</v>
      </c>
      <c r="DT46">
        <v>31</v>
      </c>
      <c r="DU46">
        <v>300</v>
      </c>
      <c r="DV46">
        <v>29</v>
      </c>
      <c r="DW46">
        <v>275</v>
      </c>
      <c r="DX46">
        <v>278</v>
      </c>
      <c r="DY46">
        <v>35</v>
      </c>
      <c r="DZ46">
        <v>428</v>
      </c>
    </row>
    <row r="47" spans="1:130" hidden="1">
      <c r="A47">
        <v>20</v>
      </c>
      <c r="F47">
        <v>3644</v>
      </c>
      <c r="G47">
        <v>22</v>
      </c>
      <c r="H47">
        <v>1</v>
      </c>
      <c r="I47">
        <v>20</v>
      </c>
      <c r="J47">
        <v>6</v>
      </c>
      <c r="K47">
        <v>195</v>
      </c>
      <c r="L47">
        <v>45</v>
      </c>
      <c r="M47">
        <v>2</v>
      </c>
      <c r="N47">
        <v>209</v>
      </c>
      <c r="O47">
        <v>76</v>
      </c>
      <c r="P47">
        <v>1</v>
      </c>
      <c r="Q47">
        <v>257</v>
      </c>
      <c r="R47">
        <v>39</v>
      </c>
      <c r="S47">
        <v>1</v>
      </c>
      <c r="T47">
        <v>279</v>
      </c>
      <c r="U47">
        <v>36</v>
      </c>
      <c r="V47">
        <v>49</v>
      </c>
      <c r="W47">
        <v>252</v>
      </c>
      <c r="X47">
        <v>58</v>
      </c>
      <c r="Y47">
        <v>15</v>
      </c>
      <c r="Z47">
        <v>253</v>
      </c>
      <c r="AA47">
        <v>50</v>
      </c>
      <c r="AB47">
        <v>8</v>
      </c>
      <c r="AC47">
        <v>252</v>
      </c>
      <c r="AD47">
        <v>42</v>
      </c>
      <c r="AE47">
        <v>1</v>
      </c>
      <c r="AF47">
        <v>181</v>
      </c>
      <c r="AG47">
        <v>42</v>
      </c>
      <c r="AH47">
        <v>3</v>
      </c>
      <c r="AI47">
        <v>195</v>
      </c>
      <c r="AJ47">
        <v>37</v>
      </c>
      <c r="AK47">
        <v>1</v>
      </c>
      <c r="AL47">
        <v>195</v>
      </c>
      <c r="AM47">
        <v>56</v>
      </c>
      <c r="AN47">
        <v>2</v>
      </c>
      <c r="AO47">
        <v>255</v>
      </c>
      <c r="AP47">
        <v>42</v>
      </c>
      <c r="AQ47">
        <v>22</v>
      </c>
      <c r="AR47">
        <v>229</v>
      </c>
      <c r="AS47">
        <v>41</v>
      </c>
      <c r="AT47">
        <v>3</v>
      </c>
      <c r="AU47">
        <v>134</v>
      </c>
      <c r="AV47">
        <v>67</v>
      </c>
      <c r="AW47">
        <v>2</v>
      </c>
      <c r="AX47">
        <v>223</v>
      </c>
      <c r="AY47">
        <v>60</v>
      </c>
      <c r="AZ47">
        <v>8</v>
      </c>
      <c r="BA47">
        <v>224</v>
      </c>
      <c r="BB47">
        <v>53</v>
      </c>
      <c r="BC47">
        <v>3</v>
      </c>
      <c r="BD47">
        <v>208</v>
      </c>
      <c r="BE47">
        <v>40</v>
      </c>
      <c r="BF47">
        <v>1</v>
      </c>
      <c r="BG47">
        <v>211</v>
      </c>
      <c r="BH47">
        <v>35</v>
      </c>
      <c r="BI47">
        <v>2</v>
      </c>
      <c r="BJ47">
        <v>285</v>
      </c>
      <c r="BK47">
        <v>25</v>
      </c>
      <c r="BL47">
        <v>1</v>
      </c>
      <c r="BM47">
        <v>277</v>
      </c>
      <c r="BN47">
        <v>29</v>
      </c>
      <c r="BO47">
        <v>0</v>
      </c>
      <c r="BP47">
        <v>278</v>
      </c>
      <c r="BQ47">
        <v>29</v>
      </c>
      <c r="BR47">
        <v>8</v>
      </c>
      <c r="BS47">
        <v>260</v>
      </c>
      <c r="BT47">
        <v>51</v>
      </c>
      <c r="BU47">
        <v>1</v>
      </c>
      <c r="BV47">
        <v>209</v>
      </c>
      <c r="BW47">
        <v>31</v>
      </c>
      <c r="BX47">
        <v>2</v>
      </c>
      <c r="BY47">
        <v>251</v>
      </c>
      <c r="BZ47">
        <v>28</v>
      </c>
      <c r="CA47">
        <v>2</v>
      </c>
      <c r="CB47">
        <v>245</v>
      </c>
      <c r="CC47">
        <v>53</v>
      </c>
      <c r="CD47">
        <v>0</v>
      </c>
      <c r="CE47">
        <v>206</v>
      </c>
      <c r="CF47">
        <v>44</v>
      </c>
      <c r="CG47">
        <v>2</v>
      </c>
      <c r="CH47">
        <v>263</v>
      </c>
      <c r="CI47">
        <v>34</v>
      </c>
      <c r="CJ47">
        <v>13</v>
      </c>
      <c r="CK47">
        <v>192</v>
      </c>
      <c r="CL47">
        <v>69</v>
      </c>
      <c r="CM47">
        <v>2</v>
      </c>
      <c r="CN47">
        <v>269</v>
      </c>
      <c r="CO47">
        <v>33</v>
      </c>
      <c r="CP47">
        <v>12</v>
      </c>
      <c r="CQ47">
        <v>151</v>
      </c>
      <c r="CR47">
        <v>58</v>
      </c>
      <c r="CS47">
        <v>0</v>
      </c>
      <c r="CT47">
        <v>157</v>
      </c>
      <c r="CU47">
        <v>37</v>
      </c>
      <c r="CV47">
        <v>1</v>
      </c>
      <c r="CW47">
        <v>244</v>
      </c>
      <c r="CX47">
        <v>40</v>
      </c>
      <c r="CY47">
        <v>12</v>
      </c>
      <c r="CZ47">
        <v>231</v>
      </c>
      <c r="DA47">
        <v>58</v>
      </c>
      <c r="DB47">
        <v>3</v>
      </c>
      <c r="DC47">
        <v>189</v>
      </c>
      <c r="DD47">
        <v>61</v>
      </c>
      <c r="DE47">
        <v>0</v>
      </c>
      <c r="DF47">
        <v>256</v>
      </c>
      <c r="DG47">
        <v>43</v>
      </c>
      <c r="DH47">
        <v>1</v>
      </c>
      <c r="DI47">
        <v>185</v>
      </c>
      <c r="DJ47">
        <v>57</v>
      </c>
      <c r="DK47">
        <v>2</v>
      </c>
      <c r="DL47">
        <v>268</v>
      </c>
      <c r="DM47">
        <v>27</v>
      </c>
      <c r="DN47">
        <v>0</v>
      </c>
      <c r="DO47">
        <v>244</v>
      </c>
      <c r="DP47">
        <v>49</v>
      </c>
      <c r="DQ47">
        <v>9</v>
      </c>
      <c r="DR47">
        <v>149</v>
      </c>
      <c r="DS47">
        <v>82</v>
      </c>
      <c r="DT47">
        <v>0</v>
      </c>
      <c r="DU47">
        <v>267</v>
      </c>
      <c r="DV47">
        <v>40</v>
      </c>
      <c r="DW47">
        <v>0</v>
      </c>
      <c r="DX47">
        <v>246</v>
      </c>
      <c r="DY47">
        <v>46</v>
      </c>
      <c r="DZ47">
        <v>11</v>
      </c>
    </row>
    <row r="48" spans="1:130" hidden="1">
      <c r="A48">
        <v>21</v>
      </c>
      <c r="F48">
        <v>3645</v>
      </c>
      <c r="G48">
        <v>22</v>
      </c>
      <c r="H48">
        <v>1</v>
      </c>
      <c r="I48">
        <v>21</v>
      </c>
      <c r="J48">
        <v>6</v>
      </c>
      <c r="K48">
        <v>177</v>
      </c>
      <c r="L48">
        <v>50</v>
      </c>
      <c r="M48">
        <v>0</v>
      </c>
      <c r="N48">
        <v>203</v>
      </c>
      <c r="O48">
        <v>66</v>
      </c>
      <c r="P48">
        <v>0</v>
      </c>
      <c r="Q48">
        <v>253</v>
      </c>
      <c r="R48">
        <v>39</v>
      </c>
      <c r="S48">
        <v>0</v>
      </c>
      <c r="T48">
        <v>242</v>
      </c>
      <c r="U48">
        <v>51</v>
      </c>
      <c r="V48">
        <v>0</v>
      </c>
      <c r="W48">
        <v>226</v>
      </c>
      <c r="X48">
        <v>66</v>
      </c>
      <c r="Y48">
        <v>0</v>
      </c>
      <c r="Z48">
        <v>213</v>
      </c>
      <c r="AA48">
        <v>64</v>
      </c>
      <c r="AB48">
        <v>0</v>
      </c>
      <c r="AC48">
        <v>222</v>
      </c>
      <c r="AD48">
        <v>55</v>
      </c>
      <c r="AE48">
        <v>0</v>
      </c>
      <c r="AF48">
        <v>151</v>
      </c>
      <c r="AG48">
        <v>52</v>
      </c>
      <c r="AH48">
        <v>0</v>
      </c>
      <c r="AI48">
        <v>183</v>
      </c>
      <c r="AJ48">
        <v>42</v>
      </c>
      <c r="AK48">
        <v>0</v>
      </c>
      <c r="AL48">
        <v>175</v>
      </c>
      <c r="AM48">
        <v>63</v>
      </c>
      <c r="AN48">
        <v>0</v>
      </c>
      <c r="AO48">
        <v>242</v>
      </c>
      <c r="AP48">
        <v>45</v>
      </c>
      <c r="AQ48">
        <v>0</v>
      </c>
      <c r="AR48">
        <v>218</v>
      </c>
      <c r="AS48">
        <v>44</v>
      </c>
      <c r="AT48">
        <v>0</v>
      </c>
      <c r="AU48">
        <v>128</v>
      </c>
      <c r="AV48">
        <v>65</v>
      </c>
      <c r="AW48">
        <v>0</v>
      </c>
      <c r="AX48">
        <v>209</v>
      </c>
      <c r="AY48">
        <v>64</v>
      </c>
      <c r="AZ48">
        <v>0</v>
      </c>
      <c r="BA48">
        <v>209</v>
      </c>
      <c r="BB48">
        <v>57</v>
      </c>
      <c r="BC48">
        <v>0</v>
      </c>
      <c r="BD48">
        <v>183</v>
      </c>
      <c r="BE48">
        <v>51</v>
      </c>
      <c r="BF48">
        <v>0</v>
      </c>
      <c r="BG48">
        <v>206</v>
      </c>
      <c r="BH48">
        <v>36</v>
      </c>
      <c r="BI48">
        <v>0</v>
      </c>
      <c r="BJ48">
        <v>273</v>
      </c>
      <c r="BK48">
        <v>28</v>
      </c>
      <c r="BL48">
        <v>0</v>
      </c>
      <c r="BM48">
        <v>267</v>
      </c>
      <c r="BN48">
        <v>31</v>
      </c>
      <c r="BO48">
        <v>0</v>
      </c>
      <c r="BP48">
        <v>255</v>
      </c>
      <c r="BQ48">
        <v>36</v>
      </c>
      <c r="BR48">
        <v>0</v>
      </c>
      <c r="BS48">
        <v>240</v>
      </c>
      <c r="BT48">
        <v>51</v>
      </c>
      <c r="BU48">
        <v>0</v>
      </c>
      <c r="BV48">
        <v>196</v>
      </c>
      <c r="BW48">
        <v>32</v>
      </c>
      <c r="BX48">
        <v>0</v>
      </c>
      <c r="BY48">
        <v>235</v>
      </c>
      <c r="BZ48">
        <v>35</v>
      </c>
      <c r="CA48">
        <v>0</v>
      </c>
      <c r="CB48">
        <v>221</v>
      </c>
      <c r="CC48">
        <v>59</v>
      </c>
      <c r="CD48">
        <v>0</v>
      </c>
      <c r="CE48">
        <v>202</v>
      </c>
      <c r="CF48">
        <v>46</v>
      </c>
      <c r="CG48">
        <v>0</v>
      </c>
      <c r="CH48">
        <v>251</v>
      </c>
      <c r="CI48">
        <v>36</v>
      </c>
      <c r="CJ48">
        <v>0</v>
      </c>
      <c r="CK48">
        <v>169</v>
      </c>
      <c r="CL48">
        <v>78</v>
      </c>
      <c r="CM48">
        <v>0</v>
      </c>
      <c r="CN48">
        <v>256</v>
      </c>
      <c r="CO48">
        <v>36</v>
      </c>
      <c r="CP48">
        <v>0</v>
      </c>
      <c r="CQ48">
        <v>145</v>
      </c>
      <c r="CR48">
        <v>61</v>
      </c>
      <c r="CS48">
        <v>0</v>
      </c>
      <c r="CT48">
        <v>138</v>
      </c>
      <c r="CU48">
        <v>44</v>
      </c>
      <c r="CV48">
        <v>0</v>
      </c>
      <c r="CW48">
        <v>233</v>
      </c>
      <c r="CX48">
        <v>42</v>
      </c>
      <c r="CY48">
        <v>0</v>
      </c>
      <c r="CZ48">
        <v>213</v>
      </c>
      <c r="DA48">
        <v>68</v>
      </c>
      <c r="DB48">
        <v>0</v>
      </c>
      <c r="DC48">
        <v>163</v>
      </c>
      <c r="DD48">
        <v>72</v>
      </c>
      <c r="DE48">
        <v>0</v>
      </c>
      <c r="DF48">
        <v>235</v>
      </c>
      <c r="DG48">
        <v>45</v>
      </c>
      <c r="DH48">
        <v>0</v>
      </c>
      <c r="DI48">
        <v>150</v>
      </c>
      <c r="DJ48">
        <v>66</v>
      </c>
      <c r="DK48">
        <v>0</v>
      </c>
      <c r="DL48">
        <v>263</v>
      </c>
      <c r="DM48">
        <v>28</v>
      </c>
      <c r="DN48">
        <v>0</v>
      </c>
      <c r="DO48">
        <v>211</v>
      </c>
      <c r="DP48">
        <v>64</v>
      </c>
      <c r="DQ48">
        <v>0</v>
      </c>
      <c r="DR48">
        <v>143</v>
      </c>
      <c r="DS48">
        <v>84</v>
      </c>
      <c r="DT48">
        <v>0</v>
      </c>
      <c r="DU48">
        <v>219</v>
      </c>
      <c r="DV48">
        <v>55</v>
      </c>
      <c r="DW48">
        <v>0</v>
      </c>
      <c r="DX48">
        <v>230</v>
      </c>
      <c r="DY48">
        <v>45</v>
      </c>
      <c r="DZ48">
        <v>0</v>
      </c>
    </row>
    <row r="49" spans="1:130" hidden="1">
      <c r="A49">
        <v>22</v>
      </c>
      <c r="F49">
        <v>3646</v>
      </c>
      <c r="G49">
        <v>22</v>
      </c>
      <c r="H49">
        <v>1</v>
      </c>
      <c r="I49">
        <v>22</v>
      </c>
      <c r="J49">
        <v>6</v>
      </c>
      <c r="K49">
        <v>183</v>
      </c>
      <c r="L49">
        <v>40</v>
      </c>
      <c r="M49">
        <v>0</v>
      </c>
      <c r="N49">
        <v>198</v>
      </c>
      <c r="O49">
        <v>62</v>
      </c>
      <c r="P49">
        <v>0</v>
      </c>
      <c r="Q49">
        <v>240</v>
      </c>
      <c r="R49">
        <v>46</v>
      </c>
      <c r="S49">
        <v>0</v>
      </c>
      <c r="T49">
        <v>234</v>
      </c>
      <c r="U49">
        <v>52</v>
      </c>
      <c r="V49">
        <v>0</v>
      </c>
      <c r="W49">
        <v>210</v>
      </c>
      <c r="X49">
        <v>72</v>
      </c>
      <c r="Y49">
        <v>0</v>
      </c>
      <c r="Z49">
        <v>205</v>
      </c>
      <c r="AA49">
        <v>65</v>
      </c>
      <c r="AB49">
        <v>0</v>
      </c>
      <c r="AC49">
        <v>206</v>
      </c>
      <c r="AD49">
        <v>62</v>
      </c>
      <c r="AE49">
        <v>0</v>
      </c>
      <c r="AF49">
        <v>139</v>
      </c>
      <c r="AG49">
        <v>57</v>
      </c>
      <c r="AH49">
        <v>0</v>
      </c>
      <c r="AI49">
        <v>181</v>
      </c>
      <c r="AJ49">
        <v>45</v>
      </c>
      <c r="AK49">
        <v>0</v>
      </c>
      <c r="AL49">
        <v>174</v>
      </c>
      <c r="AM49">
        <v>60</v>
      </c>
      <c r="AN49">
        <v>0</v>
      </c>
      <c r="AO49">
        <v>248</v>
      </c>
      <c r="AP49">
        <v>41</v>
      </c>
      <c r="AQ49">
        <v>0</v>
      </c>
      <c r="AR49">
        <v>208</v>
      </c>
      <c r="AS49">
        <v>48</v>
      </c>
      <c r="AT49">
        <v>0</v>
      </c>
      <c r="AU49">
        <v>117</v>
      </c>
      <c r="AV49">
        <v>73</v>
      </c>
      <c r="AW49">
        <v>0</v>
      </c>
      <c r="AX49">
        <v>207</v>
      </c>
      <c r="AY49">
        <v>62</v>
      </c>
      <c r="AZ49">
        <v>0</v>
      </c>
      <c r="BA49">
        <v>200</v>
      </c>
      <c r="BB49">
        <v>59</v>
      </c>
      <c r="BC49">
        <v>0</v>
      </c>
      <c r="BD49">
        <v>172</v>
      </c>
      <c r="BE49">
        <v>60</v>
      </c>
      <c r="BF49">
        <v>0</v>
      </c>
      <c r="BG49">
        <v>213</v>
      </c>
      <c r="BH49">
        <v>29</v>
      </c>
      <c r="BI49">
        <v>0</v>
      </c>
      <c r="BJ49">
        <v>262</v>
      </c>
      <c r="BK49">
        <v>26</v>
      </c>
      <c r="BL49">
        <v>0</v>
      </c>
      <c r="BM49">
        <v>257</v>
      </c>
      <c r="BN49">
        <v>34</v>
      </c>
      <c r="BO49">
        <v>0</v>
      </c>
      <c r="BP49">
        <v>243</v>
      </c>
      <c r="BQ49">
        <v>40</v>
      </c>
      <c r="BR49">
        <v>0</v>
      </c>
      <c r="BS49">
        <v>238</v>
      </c>
      <c r="BT49">
        <v>40</v>
      </c>
      <c r="BU49">
        <v>0</v>
      </c>
      <c r="BV49">
        <v>191</v>
      </c>
      <c r="BW49">
        <v>35</v>
      </c>
      <c r="BX49">
        <v>0</v>
      </c>
      <c r="BY49">
        <v>227</v>
      </c>
      <c r="BZ49">
        <v>39</v>
      </c>
      <c r="CA49">
        <v>0</v>
      </c>
      <c r="CB49">
        <v>214</v>
      </c>
      <c r="CC49">
        <v>64</v>
      </c>
      <c r="CD49">
        <v>0</v>
      </c>
      <c r="CE49">
        <v>193</v>
      </c>
      <c r="CF49">
        <v>47</v>
      </c>
      <c r="CG49">
        <v>0</v>
      </c>
      <c r="CH49">
        <v>242</v>
      </c>
      <c r="CI49">
        <v>39</v>
      </c>
      <c r="CJ49">
        <v>0</v>
      </c>
      <c r="CK49">
        <v>165</v>
      </c>
      <c r="CL49">
        <v>79</v>
      </c>
      <c r="CM49">
        <v>0</v>
      </c>
      <c r="CN49">
        <v>244</v>
      </c>
      <c r="CO49">
        <v>40</v>
      </c>
      <c r="CP49">
        <v>0</v>
      </c>
      <c r="CQ49">
        <v>124</v>
      </c>
      <c r="CR49">
        <v>72</v>
      </c>
      <c r="CS49">
        <v>0</v>
      </c>
      <c r="CT49">
        <v>134</v>
      </c>
      <c r="CU49">
        <v>44</v>
      </c>
      <c r="CV49">
        <v>0</v>
      </c>
      <c r="CW49">
        <v>232</v>
      </c>
      <c r="CX49">
        <v>43</v>
      </c>
      <c r="CY49">
        <v>0</v>
      </c>
      <c r="CZ49">
        <v>199</v>
      </c>
      <c r="DA49">
        <v>73</v>
      </c>
      <c r="DB49">
        <v>0</v>
      </c>
      <c r="DC49">
        <v>145</v>
      </c>
      <c r="DD49">
        <v>76</v>
      </c>
      <c r="DE49">
        <v>0</v>
      </c>
      <c r="DF49">
        <v>230</v>
      </c>
      <c r="DG49">
        <v>42</v>
      </c>
      <c r="DH49">
        <v>0</v>
      </c>
      <c r="DI49">
        <v>123</v>
      </c>
      <c r="DJ49">
        <v>76</v>
      </c>
      <c r="DK49">
        <v>0</v>
      </c>
      <c r="DL49">
        <v>260</v>
      </c>
      <c r="DM49">
        <v>29</v>
      </c>
      <c r="DN49">
        <v>0</v>
      </c>
      <c r="DO49">
        <v>192</v>
      </c>
      <c r="DP49">
        <v>70</v>
      </c>
      <c r="DQ49">
        <v>0</v>
      </c>
      <c r="DR49">
        <v>145</v>
      </c>
      <c r="DS49">
        <v>79</v>
      </c>
      <c r="DT49">
        <v>0</v>
      </c>
      <c r="DU49">
        <v>200</v>
      </c>
      <c r="DV49">
        <v>61</v>
      </c>
      <c r="DW49">
        <v>0</v>
      </c>
      <c r="DX49">
        <v>225</v>
      </c>
      <c r="DY49">
        <v>44</v>
      </c>
      <c r="DZ49">
        <v>0</v>
      </c>
    </row>
    <row r="50" spans="1:130" hidden="1">
      <c r="A50">
        <v>23</v>
      </c>
      <c r="F50">
        <v>3647</v>
      </c>
      <c r="G50">
        <v>22</v>
      </c>
      <c r="H50">
        <v>1</v>
      </c>
      <c r="I50">
        <v>23</v>
      </c>
      <c r="J50">
        <v>6</v>
      </c>
      <c r="K50">
        <v>197</v>
      </c>
      <c r="L50">
        <v>34</v>
      </c>
      <c r="M50">
        <v>0</v>
      </c>
      <c r="N50">
        <v>191</v>
      </c>
      <c r="O50">
        <v>64</v>
      </c>
      <c r="P50">
        <v>0</v>
      </c>
      <c r="Q50">
        <v>217</v>
      </c>
      <c r="R50">
        <v>60</v>
      </c>
      <c r="S50">
        <v>0</v>
      </c>
      <c r="T50">
        <v>223</v>
      </c>
      <c r="U50">
        <v>53</v>
      </c>
      <c r="V50">
        <v>0</v>
      </c>
      <c r="W50">
        <v>204</v>
      </c>
      <c r="X50">
        <v>71</v>
      </c>
      <c r="Y50">
        <v>0</v>
      </c>
      <c r="Z50">
        <v>187</v>
      </c>
      <c r="AA50">
        <v>72</v>
      </c>
      <c r="AB50">
        <v>0</v>
      </c>
      <c r="AC50">
        <v>194</v>
      </c>
      <c r="AD50">
        <v>66</v>
      </c>
      <c r="AE50">
        <v>0</v>
      </c>
      <c r="AF50">
        <v>131</v>
      </c>
      <c r="AG50">
        <v>60</v>
      </c>
      <c r="AH50">
        <v>0</v>
      </c>
      <c r="AI50">
        <v>173</v>
      </c>
      <c r="AJ50">
        <v>46</v>
      </c>
      <c r="AK50">
        <v>0</v>
      </c>
      <c r="AL50">
        <v>175</v>
      </c>
      <c r="AM50">
        <v>59</v>
      </c>
      <c r="AN50">
        <v>0</v>
      </c>
      <c r="AO50">
        <v>243</v>
      </c>
      <c r="AP50">
        <v>40</v>
      </c>
      <c r="AQ50">
        <v>0</v>
      </c>
      <c r="AR50">
        <v>194</v>
      </c>
      <c r="AS50">
        <v>53</v>
      </c>
      <c r="AT50">
        <v>0</v>
      </c>
      <c r="AU50">
        <v>122</v>
      </c>
      <c r="AV50">
        <v>57</v>
      </c>
      <c r="AW50">
        <v>0</v>
      </c>
      <c r="AX50">
        <v>204</v>
      </c>
      <c r="AY50">
        <v>63</v>
      </c>
      <c r="AZ50">
        <v>0</v>
      </c>
      <c r="BA50">
        <v>193</v>
      </c>
      <c r="BB50">
        <v>60</v>
      </c>
      <c r="BC50">
        <v>0</v>
      </c>
      <c r="BD50">
        <v>165</v>
      </c>
      <c r="BE50">
        <v>60</v>
      </c>
      <c r="BF50">
        <v>0</v>
      </c>
      <c r="BG50">
        <v>211</v>
      </c>
      <c r="BH50">
        <v>28</v>
      </c>
      <c r="BI50">
        <v>0</v>
      </c>
      <c r="BJ50">
        <v>260</v>
      </c>
      <c r="BK50">
        <v>26</v>
      </c>
      <c r="BL50">
        <v>0</v>
      </c>
      <c r="BM50">
        <v>245</v>
      </c>
      <c r="BN50">
        <v>40</v>
      </c>
      <c r="BO50">
        <v>0</v>
      </c>
      <c r="BP50">
        <v>230</v>
      </c>
      <c r="BQ50">
        <v>47</v>
      </c>
      <c r="BR50">
        <v>0</v>
      </c>
      <c r="BS50">
        <v>249</v>
      </c>
      <c r="BT50">
        <v>35</v>
      </c>
      <c r="BU50">
        <v>0</v>
      </c>
      <c r="BV50">
        <v>191</v>
      </c>
      <c r="BW50">
        <v>47</v>
      </c>
      <c r="BX50">
        <v>0</v>
      </c>
      <c r="BY50">
        <v>219</v>
      </c>
      <c r="BZ50">
        <v>41</v>
      </c>
      <c r="CA50">
        <v>0</v>
      </c>
      <c r="CB50">
        <v>195</v>
      </c>
      <c r="CC50">
        <v>74</v>
      </c>
      <c r="CD50">
        <v>0</v>
      </c>
      <c r="CE50">
        <v>185</v>
      </c>
      <c r="CF50">
        <v>45</v>
      </c>
      <c r="CG50">
        <v>0</v>
      </c>
      <c r="CH50">
        <v>225</v>
      </c>
      <c r="CI50">
        <v>45</v>
      </c>
      <c r="CJ50">
        <v>0</v>
      </c>
      <c r="CK50">
        <v>155</v>
      </c>
      <c r="CL50">
        <v>83</v>
      </c>
      <c r="CM50">
        <v>0</v>
      </c>
      <c r="CN50">
        <v>245</v>
      </c>
      <c r="CO50">
        <v>41</v>
      </c>
      <c r="CP50">
        <v>0</v>
      </c>
      <c r="CQ50">
        <v>101</v>
      </c>
      <c r="CR50">
        <v>79</v>
      </c>
      <c r="CS50">
        <v>0</v>
      </c>
      <c r="CT50">
        <v>138</v>
      </c>
      <c r="CU50">
        <v>44</v>
      </c>
      <c r="CV50">
        <v>0</v>
      </c>
      <c r="CW50">
        <v>227</v>
      </c>
      <c r="CX50">
        <v>45</v>
      </c>
      <c r="CY50">
        <v>0</v>
      </c>
      <c r="CZ50">
        <v>196</v>
      </c>
      <c r="DA50">
        <v>76</v>
      </c>
      <c r="DB50">
        <v>0</v>
      </c>
      <c r="DC50">
        <v>138</v>
      </c>
      <c r="DD50">
        <v>78</v>
      </c>
      <c r="DE50">
        <v>0</v>
      </c>
      <c r="DF50">
        <v>202</v>
      </c>
      <c r="DG50">
        <v>54</v>
      </c>
      <c r="DH50">
        <v>0</v>
      </c>
      <c r="DI50">
        <v>106</v>
      </c>
      <c r="DJ50">
        <v>81</v>
      </c>
      <c r="DK50">
        <v>0</v>
      </c>
      <c r="DL50">
        <v>257</v>
      </c>
      <c r="DM50">
        <v>30</v>
      </c>
      <c r="DN50">
        <v>0</v>
      </c>
      <c r="DO50">
        <v>181</v>
      </c>
      <c r="DP50">
        <v>77</v>
      </c>
      <c r="DQ50">
        <v>0</v>
      </c>
      <c r="DR50">
        <v>150</v>
      </c>
      <c r="DS50">
        <v>68</v>
      </c>
      <c r="DT50">
        <v>0</v>
      </c>
      <c r="DU50">
        <v>185</v>
      </c>
      <c r="DV50">
        <v>67</v>
      </c>
      <c r="DW50">
        <v>0</v>
      </c>
      <c r="DX50">
        <v>216</v>
      </c>
      <c r="DY50">
        <v>49</v>
      </c>
      <c r="DZ50">
        <v>0</v>
      </c>
    </row>
    <row r="51" spans="1:130" hidden="1">
      <c r="A51">
        <v>24</v>
      </c>
      <c r="F51">
        <v>3648</v>
      </c>
      <c r="G51">
        <v>22</v>
      </c>
      <c r="H51">
        <v>1</v>
      </c>
      <c r="I51">
        <v>24</v>
      </c>
      <c r="J51">
        <v>6</v>
      </c>
      <c r="K51">
        <v>191</v>
      </c>
      <c r="L51">
        <v>36</v>
      </c>
      <c r="M51">
        <v>0</v>
      </c>
      <c r="N51">
        <v>179</v>
      </c>
      <c r="O51">
        <v>71</v>
      </c>
      <c r="P51">
        <v>0</v>
      </c>
      <c r="Q51">
        <v>212</v>
      </c>
      <c r="R51">
        <v>64</v>
      </c>
      <c r="S51">
        <v>0</v>
      </c>
      <c r="T51">
        <v>221</v>
      </c>
      <c r="U51">
        <v>51</v>
      </c>
      <c r="V51">
        <v>0</v>
      </c>
      <c r="W51">
        <v>199</v>
      </c>
      <c r="X51">
        <v>74</v>
      </c>
      <c r="Y51">
        <v>0</v>
      </c>
      <c r="Z51">
        <v>180</v>
      </c>
      <c r="AA51">
        <v>75</v>
      </c>
      <c r="AB51">
        <v>0</v>
      </c>
      <c r="AC51">
        <v>186</v>
      </c>
      <c r="AD51">
        <v>67</v>
      </c>
      <c r="AE51">
        <v>0</v>
      </c>
      <c r="AF51">
        <v>125</v>
      </c>
      <c r="AG51">
        <v>63</v>
      </c>
      <c r="AH51">
        <v>0</v>
      </c>
      <c r="AI51">
        <v>154</v>
      </c>
      <c r="AJ51">
        <v>54</v>
      </c>
      <c r="AK51">
        <v>0</v>
      </c>
      <c r="AL51">
        <v>174</v>
      </c>
      <c r="AM51">
        <v>58</v>
      </c>
      <c r="AN51">
        <v>0</v>
      </c>
      <c r="AO51">
        <v>240</v>
      </c>
      <c r="AP51">
        <v>36</v>
      </c>
      <c r="AQ51">
        <v>0</v>
      </c>
      <c r="AR51">
        <v>187</v>
      </c>
      <c r="AS51">
        <v>56</v>
      </c>
      <c r="AT51">
        <v>0</v>
      </c>
      <c r="AU51">
        <v>129</v>
      </c>
      <c r="AV51">
        <v>36</v>
      </c>
      <c r="AW51">
        <v>0</v>
      </c>
      <c r="AX51">
        <v>198</v>
      </c>
      <c r="AY51">
        <v>68</v>
      </c>
      <c r="AZ51">
        <v>0</v>
      </c>
      <c r="BA51">
        <v>184</v>
      </c>
      <c r="BB51">
        <v>61</v>
      </c>
      <c r="BC51">
        <v>0</v>
      </c>
      <c r="BD51">
        <v>163</v>
      </c>
      <c r="BE51">
        <v>58</v>
      </c>
      <c r="BF51">
        <v>0</v>
      </c>
      <c r="BG51">
        <v>203</v>
      </c>
      <c r="BH51">
        <v>33</v>
      </c>
      <c r="BI51">
        <v>0</v>
      </c>
      <c r="BJ51">
        <v>253</v>
      </c>
      <c r="BK51">
        <v>28</v>
      </c>
      <c r="BL51">
        <v>0</v>
      </c>
      <c r="BM51">
        <v>233</v>
      </c>
      <c r="BN51">
        <v>43</v>
      </c>
      <c r="BO51">
        <v>0</v>
      </c>
      <c r="BP51">
        <v>221</v>
      </c>
      <c r="BQ51">
        <v>51</v>
      </c>
      <c r="BR51">
        <v>0</v>
      </c>
      <c r="BS51">
        <v>244</v>
      </c>
      <c r="BT51">
        <v>36</v>
      </c>
      <c r="BU51">
        <v>0</v>
      </c>
      <c r="BV51">
        <v>184</v>
      </c>
      <c r="BW51">
        <v>52</v>
      </c>
      <c r="BX51">
        <v>0</v>
      </c>
      <c r="BY51">
        <v>214</v>
      </c>
      <c r="BZ51">
        <v>41</v>
      </c>
      <c r="CA51">
        <v>0</v>
      </c>
      <c r="CB51">
        <v>187</v>
      </c>
      <c r="CC51">
        <v>71</v>
      </c>
      <c r="CD51">
        <v>0</v>
      </c>
      <c r="CE51">
        <v>177</v>
      </c>
      <c r="CF51">
        <v>44</v>
      </c>
      <c r="CG51">
        <v>0</v>
      </c>
      <c r="CH51">
        <v>217</v>
      </c>
      <c r="CI51">
        <v>49</v>
      </c>
      <c r="CJ51">
        <v>0</v>
      </c>
      <c r="CK51">
        <v>153</v>
      </c>
      <c r="CL51">
        <v>84</v>
      </c>
      <c r="CM51">
        <v>0</v>
      </c>
      <c r="CN51">
        <v>227</v>
      </c>
      <c r="CO51">
        <v>46</v>
      </c>
      <c r="CP51">
        <v>0</v>
      </c>
      <c r="CQ51">
        <v>89</v>
      </c>
      <c r="CR51">
        <v>84</v>
      </c>
      <c r="CS51">
        <v>0</v>
      </c>
      <c r="CT51">
        <v>124</v>
      </c>
      <c r="CU51">
        <v>49</v>
      </c>
      <c r="CV51">
        <v>0</v>
      </c>
      <c r="CW51">
        <v>213</v>
      </c>
      <c r="CX51">
        <v>51</v>
      </c>
      <c r="CY51">
        <v>0</v>
      </c>
      <c r="CZ51">
        <v>190</v>
      </c>
      <c r="DA51">
        <v>80</v>
      </c>
      <c r="DB51">
        <v>0</v>
      </c>
      <c r="DC51">
        <v>130</v>
      </c>
      <c r="DD51">
        <v>79</v>
      </c>
      <c r="DE51">
        <v>0</v>
      </c>
      <c r="DF51">
        <v>199</v>
      </c>
      <c r="DG51">
        <v>54</v>
      </c>
      <c r="DH51">
        <v>0</v>
      </c>
      <c r="DI51">
        <v>96</v>
      </c>
      <c r="DJ51">
        <v>84</v>
      </c>
      <c r="DK51">
        <v>0</v>
      </c>
      <c r="DL51">
        <v>253</v>
      </c>
      <c r="DM51">
        <v>30</v>
      </c>
      <c r="DN51">
        <v>0</v>
      </c>
      <c r="DO51">
        <v>170</v>
      </c>
      <c r="DP51">
        <v>82</v>
      </c>
      <c r="DQ51">
        <v>0</v>
      </c>
      <c r="DR51">
        <v>145</v>
      </c>
      <c r="DS51">
        <v>65</v>
      </c>
      <c r="DT51">
        <v>0</v>
      </c>
      <c r="DU51">
        <v>162</v>
      </c>
      <c r="DV51">
        <v>74</v>
      </c>
      <c r="DW51">
        <v>0</v>
      </c>
      <c r="DX51">
        <v>205</v>
      </c>
      <c r="DY51">
        <v>58</v>
      </c>
      <c r="DZ51">
        <v>0</v>
      </c>
    </row>
    <row r="52" spans="1:130" hidden="1">
      <c r="A52">
        <v>1</v>
      </c>
      <c r="F52">
        <v>3625</v>
      </c>
      <c r="G52">
        <v>22</v>
      </c>
      <c r="H52">
        <v>1</v>
      </c>
      <c r="I52">
        <v>1</v>
      </c>
      <c r="J52">
        <v>6</v>
      </c>
      <c r="K52">
        <v>129</v>
      </c>
      <c r="L52">
        <v>68</v>
      </c>
      <c r="M52">
        <v>0</v>
      </c>
      <c r="N52">
        <v>163</v>
      </c>
      <c r="O52">
        <v>80</v>
      </c>
      <c r="P52">
        <v>0</v>
      </c>
      <c r="Q52">
        <v>175</v>
      </c>
      <c r="R52">
        <v>75</v>
      </c>
      <c r="S52">
        <v>0</v>
      </c>
      <c r="T52">
        <v>158</v>
      </c>
      <c r="U52">
        <v>73</v>
      </c>
      <c r="V52">
        <v>0</v>
      </c>
      <c r="W52">
        <v>171</v>
      </c>
      <c r="X52">
        <v>84</v>
      </c>
      <c r="Y52">
        <v>0</v>
      </c>
      <c r="Z52">
        <v>136</v>
      </c>
      <c r="AA52">
        <v>77</v>
      </c>
      <c r="AB52">
        <v>0</v>
      </c>
      <c r="AC52">
        <v>194</v>
      </c>
      <c r="AD52">
        <v>42</v>
      </c>
      <c r="AE52">
        <v>0</v>
      </c>
      <c r="AF52">
        <v>112</v>
      </c>
      <c r="AG52">
        <v>77</v>
      </c>
      <c r="AH52">
        <v>0</v>
      </c>
      <c r="AI52">
        <v>154</v>
      </c>
      <c r="AJ52">
        <v>44</v>
      </c>
      <c r="AK52">
        <v>0</v>
      </c>
      <c r="AL52">
        <v>127</v>
      </c>
      <c r="AM52">
        <v>86</v>
      </c>
      <c r="AN52">
        <v>0</v>
      </c>
      <c r="AO52">
        <v>184</v>
      </c>
      <c r="AP52">
        <v>74</v>
      </c>
      <c r="AQ52">
        <v>0</v>
      </c>
      <c r="AR52">
        <v>157</v>
      </c>
      <c r="AS52">
        <v>67</v>
      </c>
      <c r="AT52">
        <v>0</v>
      </c>
      <c r="AU52">
        <v>113</v>
      </c>
      <c r="AV52">
        <v>55</v>
      </c>
      <c r="AW52">
        <v>0</v>
      </c>
      <c r="AX52">
        <v>159</v>
      </c>
      <c r="AY52">
        <v>86</v>
      </c>
      <c r="AZ52">
        <v>0</v>
      </c>
      <c r="BA52">
        <v>162</v>
      </c>
      <c r="BB52">
        <v>70</v>
      </c>
      <c r="BC52">
        <v>0</v>
      </c>
      <c r="BD52">
        <v>117</v>
      </c>
      <c r="BE52">
        <v>71</v>
      </c>
      <c r="BF52">
        <v>0</v>
      </c>
      <c r="BG52">
        <v>142</v>
      </c>
      <c r="BH52">
        <v>59</v>
      </c>
      <c r="BI52">
        <v>0</v>
      </c>
      <c r="BJ52">
        <v>232</v>
      </c>
      <c r="BK52">
        <v>38</v>
      </c>
      <c r="BL52">
        <v>0</v>
      </c>
      <c r="BM52">
        <v>230</v>
      </c>
      <c r="BN52">
        <v>28</v>
      </c>
      <c r="BO52">
        <v>0</v>
      </c>
      <c r="BP52">
        <v>186</v>
      </c>
      <c r="BQ52">
        <v>67</v>
      </c>
      <c r="BR52">
        <v>0</v>
      </c>
      <c r="BS52">
        <v>200</v>
      </c>
      <c r="BT52">
        <v>55</v>
      </c>
      <c r="BU52">
        <v>0</v>
      </c>
      <c r="BV52">
        <v>146</v>
      </c>
      <c r="BW52">
        <v>47</v>
      </c>
      <c r="BX52">
        <v>0</v>
      </c>
      <c r="BY52">
        <v>205</v>
      </c>
      <c r="BZ52">
        <v>64</v>
      </c>
      <c r="CA52">
        <v>0</v>
      </c>
      <c r="CB52">
        <v>154</v>
      </c>
      <c r="CC52">
        <v>78</v>
      </c>
      <c r="CD52">
        <v>0</v>
      </c>
      <c r="CE52">
        <v>173</v>
      </c>
      <c r="CF52">
        <v>54</v>
      </c>
      <c r="CG52">
        <v>0</v>
      </c>
      <c r="CH52">
        <v>208</v>
      </c>
      <c r="CI52">
        <v>64</v>
      </c>
      <c r="CJ52">
        <v>0</v>
      </c>
      <c r="CK52">
        <v>136</v>
      </c>
      <c r="CL52">
        <v>52</v>
      </c>
      <c r="CM52">
        <v>0</v>
      </c>
      <c r="CN52">
        <v>159</v>
      </c>
      <c r="CO52">
        <v>59</v>
      </c>
      <c r="CP52">
        <v>0</v>
      </c>
      <c r="CQ52">
        <v>70</v>
      </c>
      <c r="CR52">
        <v>87</v>
      </c>
      <c r="CS52">
        <v>0</v>
      </c>
      <c r="CT52">
        <v>113</v>
      </c>
      <c r="CU52">
        <v>59</v>
      </c>
      <c r="CV52">
        <v>0</v>
      </c>
      <c r="CW52">
        <v>195</v>
      </c>
      <c r="CX52">
        <v>58</v>
      </c>
      <c r="CY52">
        <v>0</v>
      </c>
      <c r="CZ52">
        <v>179</v>
      </c>
      <c r="DA52">
        <v>83</v>
      </c>
      <c r="DB52">
        <v>0</v>
      </c>
      <c r="DC52">
        <v>129</v>
      </c>
      <c r="DD52">
        <v>69</v>
      </c>
      <c r="DE52">
        <v>0</v>
      </c>
      <c r="DF52">
        <v>173</v>
      </c>
      <c r="DG52">
        <v>62</v>
      </c>
      <c r="DH52">
        <v>0</v>
      </c>
      <c r="DI52">
        <v>84</v>
      </c>
      <c r="DJ52">
        <v>90</v>
      </c>
      <c r="DK52">
        <v>0</v>
      </c>
      <c r="DL52">
        <v>158</v>
      </c>
      <c r="DM52">
        <v>75</v>
      </c>
      <c r="DN52">
        <v>0</v>
      </c>
      <c r="DO52">
        <v>142</v>
      </c>
      <c r="DP52">
        <v>81</v>
      </c>
      <c r="DQ52">
        <v>0</v>
      </c>
      <c r="DR52">
        <v>139</v>
      </c>
      <c r="DS52">
        <v>67</v>
      </c>
      <c r="DT52">
        <v>0</v>
      </c>
      <c r="DU52">
        <v>131</v>
      </c>
      <c r="DV52">
        <v>70</v>
      </c>
      <c r="DW52">
        <v>0</v>
      </c>
      <c r="DX52">
        <v>161</v>
      </c>
      <c r="DY52">
        <v>56</v>
      </c>
      <c r="DZ52">
        <v>0</v>
      </c>
    </row>
    <row r="53" spans="1:130" hidden="1">
      <c r="A53">
        <v>2</v>
      </c>
      <c r="F53">
        <v>3626</v>
      </c>
      <c r="G53">
        <v>22</v>
      </c>
      <c r="H53">
        <v>1</v>
      </c>
      <c r="I53">
        <v>2</v>
      </c>
      <c r="J53">
        <v>6</v>
      </c>
      <c r="K53">
        <v>130</v>
      </c>
      <c r="L53">
        <v>63</v>
      </c>
      <c r="M53">
        <v>0</v>
      </c>
      <c r="N53">
        <v>152</v>
      </c>
      <c r="O53">
        <v>85</v>
      </c>
      <c r="P53">
        <v>0</v>
      </c>
      <c r="Q53">
        <v>169</v>
      </c>
      <c r="R53">
        <v>77</v>
      </c>
      <c r="S53">
        <v>0</v>
      </c>
      <c r="T53">
        <v>157</v>
      </c>
      <c r="U53">
        <v>74</v>
      </c>
      <c r="V53">
        <v>0</v>
      </c>
      <c r="W53">
        <v>163</v>
      </c>
      <c r="X53">
        <v>86</v>
      </c>
      <c r="Y53">
        <v>0</v>
      </c>
      <c r="Z53">
        <v>135</v>
      </c>
      <c r="AA53">
        <v>78</v>
      </c>
      <c r="AB53">
        <v>0</v>
      </c>
      <c r="AC53">
        <v>186</v>
      </c>
      <c r="AD53">
        <v>45</v>
      </c>
      <c r="AE53">
        <v>0</v>
      </c>
      <c r="AF53">
        <v>106</v>
      </c>
      <c r="AG53">
        <v>79</v>
      </c>
      <c r="AH53">
        <v>0</v>
      </c>
      <c r="AI53">
        <v>147</v>
      </c>
      <c r="AJ53">
        <v>45</v>
      </c>
      <c r="AK53">
        <v>0</v>
      </c>
      <c r="AL53">
        <v>127</v>
      </c>
      <c r="AM53">
        <v>83</v>
      </c>
      <c r="AN53">
        <v>0</v>
      </c>
      <c r="AO53">
        <v>179</v>
      </c>
      <c r="AP53">
        <v>72</v>
      </c>
      <c r="AQ53">
        <v>0</v>
      </c>
      <c r="AR53">
        <v>150</v>
      </c>
      <c r="AS53">
        <v>71</v>
      </c>
      <c r="AT53">
        <v>0</v>
      </c>
      <c r="AU53">
        <v>108</v>
      </c>
      <c r="AV53">
        <v>54</v>
      </c>
      <c r="AW53">
        <v>0</v>
      </c>
      <c r="AX53">
        <v>154</v>
      </c>
      <c r="AY53">
        <v>88</v>
      </c>
      <c r="AZ53">
        <v>0</v>
      </c>
      <c r="BA53">
        <v>153</v>
      </c>
      <c r="BB53">
        <v>72</v>
      </c>
      <c r="BC53">
        <v>0</v>
      </c>
      <c r="BD53">
        <v>112</v>
      </c>
      <c r="BE53">
        <v>71</v>
      </c>
      <c r="BF53">
        <v>0</v>
      </c>
      <c r="BG53">
        <v>141</v>
      </c>
      <c r="BH53">
        <v>57</v>
      </c>
      <c r="BI53">
        <v>0</v>
      </c>
      <c r="BJ53">
        <v>225</v>
      </c>
      <c r="BK53">
        <v>40</v>
      </c>
      <c r="BL53">
        <v>0</v>
      </c>
      <c r="BM53">
        <v>221</v>
      </c>
      <c r="BN53">
        <v>32</v>
      </c>
      <c r="BO53">
        <v>0</v>
      </c>
      <c r="BP53">
        <v>171</v>
      </c>
      <c r="BQ53">
        <v>73</v>
      </c>
      <c r="BR53">
        <v>0</v>
      </c>
      <c r="BS53">
        <v>192</v>
      </c>
      <c r="BT53">
        <v>58</v>
      </c>
      <c r="BU53">
        <v>0</v>
      </c>
      <c r="BV53">
        <v>141</v>
      </c>
      <c r="BW53">
        <v>47</v>
      </c>
      <c r="BX53">
        <v>0</v>
      </c>
      <c r="BY53">
        <v>195</v>
      </c>
      <c r="BZ53">
        <v>66</v>
      </c>
      <c r="CA53">
        <v>0</v>
      </c>
      <c r="CB53">
        <v>145</v>
      </c>
      <c r="CC53">
        <v>79</v>
      </c>
      <c r="CD53">
        <v>0</v>
      </c>
      <c r="CE53">
        <v>186</v>
      </c>
      <c r="CF53">
        <v>50</v>
      </c>
      <c r="CG53">
        <v>0</v>
      </c>
      <c r="CH53">
        <v>203</v>
      </c>
      <c r="CI53">
        <v>66</v>
      </c>
      <c r="CJ53">
        <v>0</v>
      </c>
      <c r="CK53">
        <v>122</v>
      </c>
      <c r="CL53">
        <v>58</v>
      </c>
      <c r="CM53">
        <v>0</v>
      </c>
      <c r="CN53">
        <v>150</v>
      </c>
      <c r="CO53">
        <v>60</v>
      </c>
      <c r="CP53">
        <v>0</v>
      </c>
      <c r="CQ53">
        <v>56</v>
      </c>
      <c r="CR53">
        <v>89</v>
      </c>
      <c r="CS53">
        <v>0</v>
      </c>
      <c r="CT53">
        <v>98</v>
      </c>
      <c r="CU53">
        <v>63</v>
      </c>
      <c r="CV53">
        <v>0</v>
      </c>
      <c r="CW53">
        <v>189</v>
      </c>
      <c r="CX53">
        <v>57</v>
      </c>
      <c r="CY53">
        <v>0</v>
      </c>
      <c r="CZ53">
        <v>181</v>
      </c>
      <c r="DA53">
        <v>84</v>
      </c>
      <c r="DB53">
        <v>0</v>
      </c>
      <c r="DC53">
        <v>127</v>
      </c>
      <c r="DD53">
        <v>69</v>
      </c>
      <c r="DE53">
        <v>0</v>
      </c>
      <c r="DF53">
        <v>164</v>
      </c>
      <c r="DG53">
        <v>65</v>
      </c>
      <c r="DH53">
        <v>0</v>
      </c>
      <c r="DI53">
        <v>76</v>
      </c>
      <c r="DJ53">
        <v>91</v>
      </c>
      <c r="DK53">
        <v>0</v>
      </c>
      <c r="DL53">
        <v>205</v>
      </c>
      <c r="DM53">
        <v>47</v>
      </c>
      <c r="DN53">
        <v>0</v>
      </c>
      <c r="DO53">
        <v>133</v>
      </c>
      <c r="DP53">
        <v>83</v>
      </c>
      <c r="DQ53">
        <v>0</v>
      </c>
      <c r="DR53">
        <v>134</v>
      </c>
      <c r="DS53">
        <v>68</v>
      </c>
      <c r="DT53">
        <v>0</v>
      </c>
      <c r="DU53">
        <v>133</v>
      </c>
      <c r="DV53">
        <v>71</v>
      </c>
      <c r="DW53">
        <v>0</v>
      </c>
      <c r="DX53">
        <v>158</v>
      </c>
      <c r="DY53">
        <v>61</v>
      </c>
      <c r="DZ53">
        <v>0</v>
      </c>
    </row>
    <row r="54" spans="1:130" hidden="1">
      <c r="A54">
        <v>3</v>
      </c>
      <c r="F54">
        <v>3627</v>
      </c>
      <c r="G54">
        <v>22</v>
      </c>
      <c r="H54">
        <v>1</v>
      </c>
      <c r="I54">
        <v>3</v>
      </c>
      <c r="J54">
        <v>6</v>
      </c>
      <c r="K54">
        <v>128</v>
      </c>
      <c r="L54">
        <v>58</v>
      </c>
      <c r="M54">
        <v>0</v>
      </c>
      <c r="N54">
        <v>146</v>
      </c>
      <c r="O54">
        <v>87</v>
      </c>
      <c r="P54">
        <v>0</v>
      </c>
      <c r="Q54">
        <v>158</v>
      </c>
      <c r="R54">
        <v>81</v>
      </c>
      <c r="S54">
        <v>0</v>
      </c>
      <c r="T54">
        <v>155</v>
      </c>
      <c r="U54">
        <v>73</v>
      </c>
      <c r="V54">
        <v>0</v>
      </c>
      <c r="W54">
        <v>162</v>
      </c>
      <c r="X54">
        <v>86</v>
      </c>
      <c r="Y54">
        <v>0</v>
      </c>
      <c r="Z54">
        <v>133</v>
      </c>
      <c r="AA54">
        <v>77</v>
      </c>
      <c r="AB54">
        <v>0</v>
      </c>
      <c r="AC54">
        <v>179</v>
      </c>
      <c r="AD54">
        <v>47</v>
      </c>
      <c r="AE54">
        <v>0</v>
      </c>
      <c r="AF54">
        <v>102</v>
      </c>
      <c r="AG54">
        <v>79</v>
      </c>
      <c r="AH54">
        <v>0</v>
      </c>
      <c r="AI54">
        <v>137</v>
      </c>
      <c r="AJ54">
        <v>48</v>
      </c>
      <c r="AK54">
        <v>0</v>
      </c>
      <c r="AL54">
        <v>120</v>
      </c>
      <c r="AM54">
        <v>84</v>
      </c>
      <c r="AN54">
        <v>0</v>
      </c>
      <c r="AO54">
        <v>166</v>
      </c>
      <c r="AP54">
        <v>77</v>
      </c>
      <c r="AQ54">
        <v>0</v>
      </c>
      <c r="AR54">
        <v>142</v>
      </c>
      <c r="AS54">
        <v>74</v>
      </c>
      <c r="AT54">
        <v>0</v>
      </c>
      <c r="AU54">
        <v>110</v>
      </c>
      <c r="AV54">
        <v>51</v>
      </c>
      <c r="AW54">
        <v>0</v>
      </c>
      <c r="AX54">
        <v>145</v>
      </c>
      <c r="AY54">
        <v>90</v>
      </c>
      <c r="AZ54">
        <v>0</v>
      </c>
      <c r="BA54">
        <v>147</v>
      </c>
      <c r="BB54">
        <v>74</v>
      </c>
      <c r="BC54">
        <v>0</v>
      </c>
      <c r="BD54">
        <v>104</v>
      </c>
      <c r="BE54">
        <v>74</v>
      </c>
      <c r="BF54">
        <v>0</v>
      </c>
      <c r="BG54">
        <v>136</v>
      </c>
      <c r="BH54">
        <v>58</v>
      </c>
      <c r="BI54">
        <v>0</v>
      </c>
      <c r="BJ54">
        <v>219</v>
      </c>
      <c r="BK54">
        <v>42</v>
      </c>
      <c r="BL54">
        <v>0</v>
      </c>
      <c r="BM54">
        <v>216</v>
      </c>
      <c r="BN54">
        <v>36</v>
      </c>
      <c r="BO54">
        <v>0</v>
      </c>
      <c r="BP54">
        <v>172</v>
      </c>
      <c r="BQ54">
        <v>71</v>
      </c>
      <c r="BR54">
        <v>0</v>
      </c>
      <c r="BS54">
        <v>179</v>
      </c>
      <c r="BT54">
        <v>64</v>
      </c>
      <c r="BU54">
        <v>0</v>
      </c>
      <c r="BV54">
        <v>142</v>
      </c>
      <c r="BW54">
        <v>46</v>
      </c>
      <c r="BX54">
        <v>0</v>
      </c>
      <c r="BY54">
        <v>185</v>
      </c>
      <c r="BZ54">
        <v>68</v>
      </c>
      <c r="CA54">
        <v>0</v>
      </c>
      <c r="CB54">
        <v>138</v>
      </c>
      <c r="CC54">
        <v>80</v>
      </c>
      <c r="CD54">
        <v>0</v>
      </c>
      <c r="CE54">
        <v>191</v>
      </c>
      <c r="CF54">
        <v>47</v>
      </c>
      <c r="CG54">
        <v>0</v>
      </c>
      <c r="CH54">
        <v>196</v>
      </c>
      <c r="CI54">
        <v>68</v>
      </c>
      <c r="CJ54">
        <v>0</v>
      </c>
      <c r="CK54">
        <v>122</v>
      </c>
      <c r="CL54">
        <v>59</v>
      </c>
      <c r="CM54">
        <v>0</v>
      </c>
      <c r="CN54">
        <v>147</v>
      </c>
      <c r="CO54">
        <v>63</v>
      </c>
      <c r="CP54">
        <v>0</v>
      </c>
      <c r="CQ54">
        <v>43</v>
      </c>
      <c r="CR54">
        <v>93</v>
      </c>
      <c r="CS54">
        <v>0</v>
      </c>
      <c r="CT54">
        <v>90</v>
      </c>
      <c r="CU54">
        <v>64</v>
      </c>
      <c r="CV54">
        <v>0</v>
      </c>
      <c r="CW54">
        <v>190</v>
      </c>
      <c r="CX54">
        <v>55</v>
      </c>
      <c r="CY54">
        <v>0</v>
      </c>
      <c r="CZ54">
        <v>178</v>
      </c>
      <c r="DA54">
        <v>85</v>
      </c>
      <c r="DB54">
        <v>0</v>
      </c>
      <c r="DC54">
        <v>120</v>
      </c>
      <c r="DD54">
        <v>71</v>
      </c>
      <c r="DE54">
        <v>0</v>
      </c>
      <c r="DF54">
        <v>151</v>
      </c>
      <c r="DG54">
        <v>69</v>
      </c>
      <c r="DH54">
        <v>0</v>
      </c>
      <c r="DI54">
        <v>69</v>
      </c>
      <c r="DJ54">
        <v>92</v>
      </c>
      <c r="DK54">
        <v>0</v>
      </c>
      <c r="DL54">
        <v>207</v>
      </c>
      <c r="DM54">
        <v>45</v>
      </c>
      <c r="DN54">
        <v>0</v>
      </c>
      <c r="DO54">
        <v>128</v>
      </c>
      <c r="DP54">
        <v>83</v>
      </c>
      <c r="DQ54">
        <v>0</v>
      </c>
      <c r="DR54">
        <v>136</v>
      </c>
      <c r="DS54">
        <v>66</v>
      </c>
      <c r="DT54">
        <v>0</v>
      </c>
      <c r="DU54">
        <v>131</v>
      </c>
      <c r="DV54">
        <v>74</v>
      </c>
      <c r="DW54">
        <v>0</v>
      </c>
      <c r="DX54">
        <v>153</v>
      </c>
      <c r="DY54">
        <v>65</v>
      </c>
      <c r="DZ54">
        <v>0</v>
      </c>
    </row>
    <row r="55" spans="1:130" hidden="1">
      <c r="A55">
        <v>4</v>
      </c>
      <c r="F55">
        <v>3628</v>
      </c>
      <c r="G55">
        <v>22</v>
      </c>
      <c r="H55">
        <v>1</v>
      </c>
      <c r="I55">
        <v>4</v>
      </c>
      <c r="J55">
        <v>6</v>
      </c>
      <c r="K55">
        <v>136</v>
      </c>
      <c r="L55">
        <v>50</v>
      </c>
      <c r="M55">
        <v>0</v>
      </c>
      <c r="N55">
        <v>153</v>
      </c>
      <c r="O55">
        <v>79</v>
      </c>
      <c r="P55">
        <v>0</v>
      </c>
      <c r="Q55">
        <v>156</v>
      </c>
      <c r="R55">
        <v>81</v>
      </c>
      <c r="S55">
        <v>0</v>
      </c>
      <c r="T55">
        <v>147</v>
      </c>
      <c r="U55">
        <v>73</v>
      </c>
      <c r="V55">
        <v>0</v>
      </c>
      <c r="W55">
        <v>157</v>
      </c>
      <c r="X55">
        <v>87</v>
      </c>
      <c r="Y55">
        <v>0</v>
      </c>
      <c r="Z55">
        <v>123</v>
      </c>
      <c r="AA55">
        <v>81</v>
      </c>
      <c r="AB55">
        <v>0</v>
      </c>
      <c r="AC55">
        <v>166</v>
      </c>
      <c r="AD55">
        <v>52</v>
      </c>
      <c r="AE55">
        <v>0</v>
      </c>
      <c r="AF55">
        <v>100</v>
      </c>
      <c r="AG55">
        <v>79</v>
      </c>
      <c r="AH55">
        <v>0</v>
      </c>
      <c r="AI55">
        <v>133</v>
      </c>
      <c r="AJ55">
        <v>48</v>
      </c>
      <c r="AK55">
        <v>0</v>
      </c>
      <c r="AL55">
        <v>119</v>
      </c>
      <c r="AM55">
        <v>81</v>
      </c>
      <c r="AN55">
        <v>0</v>
      </c>
      <c r="AO55">
        <v>158</v>
      </c>
      <c r="AP55">
        <v>76</v>
      </c>
      <c r="AQ55">
        <v>0</v>
      </c>
      <c r="AR55">
        <v>143</v>
      </c>
      <c r="AS55">
        <v>72</v>
      </c>
      <c r="AT55">
        <v>0</v>
      </c>
      <c r="AU55">
        <v>108</v>
      </c>
      <c r="AV55">
        <v>42</v>
      </c>
      <c r="AW55">
        <v>0</v>
      </c>
      <c r="AX55">
        <v>140</v>
      </c>
      <c r="AY55">
        <v>91</v>
      </c>
      <c r="AZ55">
        <v>0</v>
      </c>
      <c r="BA55">
        <v>143</v>
      </c>
      <c r="BB55">
        <v>75</v>
      </c>
      <c r="BC55">
        <v>0</v>
      </c>
      <c r="BD55">
        <v>104</v>
      </c>
      <c r="BE55">
        <v>74</v>
      </c>
      <c r="BF55">
        <v>0</v>
      </c>
      <c r="BG55">
        <v>139</v>
      </c>
      <c r="BH55">
        <v>56</v>
      </c>
      <c r="BI55">
        <v>0</v>
      </c>
      <c r="BJ55">
        <v>213</v>
      </c>
      <c r="BK55">
        <v>44</v>
      </c>
      <c r="BL55">
        <v>0</v>
      </c>
      <c r="BM55">
        <v>211</v>
      </c>
      <c r="BN55">
        <v>41</v>
      </c>
      <c r="BO55">
        <v>0</v>
      </c>
      <c r="BP55">
        <v>169</v>
      </c>
      <c r="BQ55">
        <v>70</v>
      </c>
      <c r="BR55">
        <v>0</v>
      </c>
      <c r="BS55">
        <v>159</v>
      </c>
      <c r="BT55">
        <v>72</v>
      </c>
      <c r="BU55">
        <v>0</v>
      </c>
      <c r="BV55">
        <v>136</v>
      </c>
      <c r="BW55">
        <v>49</v>
      </c>
      <c r="BX55">
        <v>0</v>
      </c>
      <c r="BY55">
        <v>175</v>
      </c>
      <c r="BZ55">
        <v>74</v>
      </c>
      <c r="CA55">
        <v>0</v>
      </c>
      <c r="CB55">
        <v>131</v>
      </c>
      <c r="CC55">
        <v>84</v>
      </c>
      <c r="CD55">
        <v>0</v>
      </c>
      <c r="CE55">
        <v>183</v>
      </c>
      <c r="CF55">
        <v>48</v>
      </c>
      <c r="CG55">
        <v>0</v>
      </c>
      <c r="CH55">
        <v>194</v>
      </c>
      <c r="CI55">
        <v>70</v>
      </c>
      <c r="CJ55">
        <v>0</v>
      </c>
      <c r="CK55">
        <v>120</v>
      </c>
      <c r="CL55">
        <v>61</v>
      </c>
      <c r="CM55">
        <v>0</v>
      </c>
      <c r="CN55">
        <v>143</v>
      </c>
      <c r="CO55">
        <v>65</v>
      </c>
      <c r="CP55">
        <v>0</v>
      </c>
      <c r="CQ55">
        <v>41</v>
      </c>
      <c r="CR55">
        <v>94</v>
      </c>
      <c r="CS55">
        <v>0</v>
      </c>
      <c r="CT55">
        <v>88</v>
      </c>
      <c r="CU55">
        <v>60</v>
      </c>
      <c r="CV55">
        <v>0</v>
      </c>
      <c r="CW55">
        <v>191</v>
      </c>
      <c r="CX55">
        <v>53</v>
      </c>
      <c r="CY55">
        <v>0</v>
      </c>
      <c r="CZ55">
        <v>167</v>
      </c>
      <c r="DA55">
        <v>88</v>
      </c>
      <c r="DB55">
        <v>0</v>
      </c>
      <c r="DC55">
        <v>113</v>
      </c>
      <c r="DD55">
        <v>73</v>
      </c>
      <c r="DE55">
        <v>0</v>
      </c>
      <c r="DF55">
        <v>149</v>
      </c>
      <c r="DG55">
        <v>69</v>
      </c>
      <c r="DH55">
        <v>0</v>
      </c>
      <c r="DI55">
        <v>63</v>
      </c>
      <c r="DJ55">
        <v>92</v>
      </c>
      <c r="DK55">
        <v>0</v>
      </c>
      <c r="DL55">
        <v>200</v>
      </c>
      <c r="DM55">
        <v>47</v>
      </c>
      <c r="DN55">
        <v>0</v>
      </c>
      <c r="DO55">
        <v>119</v>
      </c>
      <c r="DP55">
        <v>89</v>
      </c>
      <c r="DQ55">
        <v>0</v>
      </c>
      <c r="DR55">
        <v>132</v>
      </c>
      <c r="DS55">
        <v>67</v>
      </c>
      <c r="DT55">
        <v>0</v>
      </c>
      <c r="DU55">
        <v>123</v>
      </c>
      <c r="DV55">
        <v>78</v>
      </c>
      <c r="DW55">
        <v>0</v>
      </c>
      <c r="DX55">
        <v>148</v>
      </c>
      <c r="DY55">
        <v>68</v>
      </c>
      <c r="DZ55">
        <v>0</v>
      </c>
    </row>
    <row r="56" spans="1:130" hidden="1">
      <c r="A56">
        <v>5</v>
      </c>
      <c r="F56">
        <v>3629</v>
      </c>
      <c r="G56">
        <v>22</v>
      </c>
      <c r="H56">
        <v>1</v>
      </c>
      <c r="I56">
        <v>5</v>
      </c>
      <c r="J56">
        <v>6</v>
      </c>
      <c r="K56">
        <v>132</v>
      </c>
      <c r="L56">
        <v>51</v>
      </c>
      <c r="M56">
        <v>8</v>
      </c>
      <c r="N56">
        <v>154</v>
      </c>
      <c r="O56">
        <v>76</v>
      </c>
      <c r="P56">
        <v>5</v>
      </c>
      <c r="Q56">
        <v>158</v>
      </c>
      <c r="R56">
        <v>80</v>
      </c>
      <c r="S56">
        <v>7</v>
      </c>
      <c r="T56">
        <v>146</v>
      </c>
      <c r="U56">
        <v>73</v>
      </c>
      <c r="V56">
        <v>17</v>
      </c>
      <c r="W56">
        <v>161</v>
      </c>
      <c r="X56">
        <v>86</v>
      </c>
      <c r="Y56">
        <v>15</v>
      </c>
      <c r="Z56">
        <v>125</v>
      </c>
      <c r="AA56">
        <v>81</v>
      </c>
      <c r="AB56">
        <v>16</v>
      </c>
      <c r="AC56">
        <v>154</v>
      </c>
      <c r="AD56">
        <v>58</v>
      </c>
      <c r="AE56">
        <v>7</v>
      </c>
      <c r="AF56">
        <v>99</v>
      </c>
      <c r="AG56">
        <v>80</v>
      </c>
      <c r="AH56">
        <v>8</v>
      </c>
      <c r="AI56">
        <v>134</v>
      </c>
      <c r="AJ56">
        <v>47</v>
      </c>
      <c r="AK56">
        <v>14</v>
      </c>
      <c r="AL56">
        <v>115</v>
      </c>
      <c r="AM56">
        <v>80</v>
      </c>
      <c r="AN56">
        <v>5</v>
      </c>
      <c r="AO56">
        <v>157</v>
      </c>
      <c r="AP56">
        <v>76</v>
      </c>
      <c r="AQ56">
        <v>13</v>
      </c>
      <c r="AR56">
        <v>139</v>
      </c>
      <c r="AS56">
        <v>74</v>
      </c>
      <c r="AT56">
        <v>5</v>
      </c>
      <c r="AU56">
        <v>108</v>
      </c>
      <c r="AV56">
        <v>40</v>
      </c>
      <c r="AW56">
        <v>5</v>
      </c>
      <c r="AX56">
        <v>154</v>
      </c>
      <c r="AY56">
        <v>87</v>
      </c>
      <c r="AZ56">
        <v>24</v>
      </c>
      <c r="BA56">
        <v>140</v>
      </c>
      <c r="BB56">
        <v>76</v>
      </c>
      <c r="BC56">
        <v>17</v>
      </c>
      <c r="BD56">
        <v>108</v>
      </c>
      <c r="BE56">
        <v>73</v>
      </c>
      <c r="BF56">
        <v>19</v>
      </c>
      <c r="BG56">
        <v>142</v>
      </c>
      <c r="BH56">
        <v>58</v>
      </c>
      <c r="BI56">
        <v>16</v>
      </c>
      <c r="BJ56">
        <v>209</v>
      </c>
      <c r="BK56">
        <v>45</v>
      </c>
      <c r="BL56">
        <v>9</v>
      </c>
      <c r="BM56">
        <v>208</v>
      </c>
      <c r="BN56">
        <v>43</v>
      </c>
      <c r="BO56">
        <v>9</v>
      </c>
      <c r="BP56">
        <v>170</v>
      </c>
      <c r="BQ56">
        <v>69</v>
      </c>
      <c r="BR56">
        <v>16</v>
      </c>
      <c r="BS56">
        <v>159</v>
      </c>
      <c r="BT56">
        <v>74</v>
      </c>
      <c r="BU56">
        <v>12</v>
      </c>
      <c r="BV56">
        <v>133</v>
      </c>
      <c r="BW56">
        <v>50</v>
      </c>
      <c r="BX56">
        <v>12</v>
      </c>
      <c r="BY56">
        <v>167</v>
      </c>
      <c r="BZ56">
        <v>66</v>
      </c>
      <c r="CA56">
        <v>15</v>
      </c>
      <c r="CB56">
        <v>125</v>
      </c>
      <c r="CC56">
        <v>86</v>
      </c>
      <c r="CD56">
        <v>17</v>
      </c>
      <c r="CE56">
        <v>170</v>
      </c>
      <c r="CF56">
        <v>54</v>
      </c>
      <c r="CG56">
        <v>4</v>
      </c>
      <c r="CH56">
        <v>191</v>
      </c>
      <c r="CI56">
        <v>73</v>
      </c>
      <c r="CJ56">
        <v>7</v>
      </c>
      <c r="CK56">
        <v>122</v>
      </c>
      <c r="CL56">
        <v>63</v>
      </c>
      <c r="CM56">
        <v>10</v>
      </c>
      <c r="CN56">
        <v>143</v>
      </c>
      <c r="CO56">
        <v>64</v>
      </c>
      <c r="CP56">
        <v>19</v>
      </c>
      <c r="CQ56">
        <v>37</v>
      </c>
      <c r="CR56">
        <v>95</v>
      </c>
      <c r="CS56">
        <v>9</v>
      </c>
      <c r="CT56">
        <v>113</v>
      </c>
      <c r="CU56">
        <v>50</v>
      </c>
      <c r="CV56">
        <v>4</v>
      </c>
      <c r="CW56">
        <v>197</v>
      </c>
      <c r="CX56">
        <v>50</v>
      </c>
      <c r="CY56">
        <v>22</v>
      </c>
      <c r="CZ56">
        <v>168</v>
      </c>
      <c r="DA56">
        <v>88</v>
      </c>
      <c r="DB56">
        <v>19</v>
      </c>
      <c r="DC56">
        <v>114</v>
      </c>
      <c r="DD56">
        <v>73</v>
      </c>
      <c r="DE56">
        <v>22</v>
      </c>
      <c r="DF56">
        <v>155</v>
      </c>
      <c r="DG56">
        <v>66</v>
      </c>
      <c r="DH56">
        <v>14</v>
      </c>
      <c r="DI56">
        <v>60</v>
      </c>
      <c r="DJ56">
        <v>92</v>
      </c>
      <c r="DK56">
        <v>7</v>
      </c>
      <c r="DL56">
        <v>200</v>
      </c>
      <c r="DM56">
        <v>47</v>
      </c>
      <c r="DN56">
        <v>8</v>
      </c>
      <c r="DO56">
        <v>121</v>
      </c>
      <c r="DP56">
        <v>90</v>
      </c>
      <c r="DQ56">
        <v>18</v>
      </c>
      <c r="DR56">
        <v>127</v>
      </c>
      <c r="DS56">
        <v>70</v>
      </c>
      <c r="DT56">
        <v>3</v>
      </c>
      <c r="DU56">
        <v>120</v>
      </c>
      <c r="DV56">
        <v>79</v>
      </c>
      <c r="DW56">
        <v>20</v>
      </c>
      <c r="DX56">
        <v>145</v>
      </c>
      <c r="DY56">
        <v>70</v>
      </c>
      <c r="DZ56">
        <v>12</v>
      </c>
    </row>
    <row r="57" spans="1:130" hidden="1">
      <c r="A57">
        <v>6</v>
      </c>
      <c r="F57">
        <v>3630</v>
      </c>
      <c r="G57">
        <v>22</v>
      </c>
      <c r="H57">
        <v>1</v>
      </c>
      <c r="I57">
        <v>6</v>
      </c>
      <c r="J57">
        <v>6</v>
      </c>
      <c r="K57">
        <v>146</v>
      </c>
      <c r="L57">
        <v>51</v>
      </c>
      <c r="M57">
        <v>44</v>
      </c>
      <c r="N57">
        <v>176</v>
      </c>
      <c r="O57">
        <v>65</v>
      </c>
      <c r="P57">
        <v>40</v>
      </c>
      <c r="Q57">
        <v>165</v>
      </c>
      <c r="R57">
        <v>78</v>
      </c>
      <c r="S57">
        <v>45</v>
      </c>
      <c r="T57">
        <v>161</v>
      </c>
      <c r="U57">
        <v>70</v>
      </c>
      <c r="V57">
        <v>47</v>
      </c>
      <c r="W57">
        <v>177</v>
      </c>
      <c r="X57">
        <v>82</v>
      </c>
      <c r="Y57">
        <v>46</v>
      </c>
      <c r="Z57">
        <v>159</v>
      </c>
      <c r="AA57">
        <v>66</v>
      </c>
      <c r="AB57">
        <v>48</v>
      </c>
      <c r="AC57">
        <v>169</v>
      </c>
      <c r="AD57">
        <v>53</v>
      </c>
      <c r="AE57">
        <v>35</v>
      </c>
      <c r="AF57">
        <v>112</v>
      </c>
      <c r="AG57">
        <v>73</v>
      </c>
      <c r="AH57">
        <v>51</v>
      </c>
      <c r="AI57">
        <v>151</v>
      </c>
      <c r="AJ57">
        <v>49</v>
      </c>
      <c r="AK57">
        <v>48</v>
      </c>
      <c r="AL57">
        <v>121</v>
      </c>
      <c r="AM57">
        <v>76</v>
      </c>
      <c r="AN57">
        <v>22</v>
      </c>
      <c r="AO57">
        <v>179</v>
      </c>
      <c r="AP57">
        <v>70</v>
      </c>
      <c r="AQ57">
        <v>40</v>
      </c>
      <c r="AR57">
        <v>137</v>
      </c>
      <c r="AS57">
        <v>76</v>
      </c>
      <c r="AT57">
        <v>10</v>
      </c>
      <c r="AU57">
        <v>120</v>
      </c>
      <c r="AV57">
        <v>36</v>
      </c>
      <c r="AW57">
        <v>46</v>
      </c>
      <c r="AX57">
        <v>182</v>
      </c>
      <c r="AY57">
        <v>78</v>
      </c>
      <c r="AZ57">
        <v>50</v>
      </c>
      <c r="BA57">
        <v>163</v>
      </c>
      <c r="BB57">
        <v>68</v>
      </c>
      <c r="BC57">
        <v>46</v>
      </c>
      <c r="BD57">
        <v>138</v>
      </c>
      <c r="BE57">
        <v>70</v>
      </c>
      <c r="BF57">
        <v>47</v>
      </c>
      <c r="BG57">
        <v>162</v>
      </c>
      <c r="BH57">
        <v>57</v>
      </c>
      <c r="BI57">
        <v>43</v>
      </c>
      <c r="BJ57">
        <v>212</v>
      </c>
      <c r="BK57">
        <v>48</v>
      </c>
      <c r="BL57">
        <v>46</v>
      </c>
      <c r="BM57">
        <v>205</v>
      </c>
      <c r="BN57">
        <v>49</v>
      </c>
      <c r="BO57">
        <v>42</v>
      </c>
      <c r="BP57">
        <v>188</v>
      </c>
      <c r="BQ57">
        <v>69</v>
      </c>
      <c r="BR57">
        <v>47</v>
      </c>
      <c r="BS57">
        <v>189</v>
      </c>
      <c r="BT57">
        <v>66</v>
      </c>
      <c r="BU57">
        <v>48</v>
      </c>
      <c r="BV57">
        <v>142</v>
      </c>
      <c r="BW57">
        <v>52</v>
      </c>
      <c r="BX57">
        <v>44</v>
      </c>
      <c r="BY57">
        <v>183</v>
      </c>
      <c r="BZ57">
        <v>66</v>
      </c>
      <c r="CA57">
        <v>44</v>
      </c>
      <c r="CB57">
        <v>144</v>
      </c>
      <c r="CC57">
        <v>81</v>
      </c>
      <c r="CD57">
        <v>45</v>
      </c>
      <c r="CE57">
        <v>186</v>
      </c>
      <c r="CF57">
        <v>47</v>
      </c>
      <c r="CG57">
        <v>10</v>
      </c>
      <c r="CH57">
        <v>200</v>
      </c>
      <c r="CI57">
        <v>71</v>
      </c>
      <c r="CJ57">
        <v>43</v>
      </c>
      <c r="CK57">
        <v>132</v>
      </c>
      <c r="CL57">
        <v>67</v>
      </c>
      <c r="CM57">
        <v>19</v>
      </c>
      <c r="CN57">
        <v>152</v>
      </c>
      <c r="CO57">
        <v>62</v>
      </c>
      <c r="CP57">
        <v>45</v>
      </c>
      <c r="CQ57">
        <v>47</v>
      </c>
      <c r="CR57">
        <v>92</v>
      </c>
      <c r="CS57">
        <v>38</v>
      </c>
      <c r="CT57">
        <v>121</v>
      </c>
      <c r="CU57">
        <v>52</v>
      </c>
      <c r="CV57">
        <v>10</v>
      </c>
      <c r="CW57">
        <v>200</v>
      </c>
      <c r="CX57">
        <v>56</v>
      </c>
      <c r="CY57">
        <v>49</v>
      </c>
      <c r="CZ57">
        <v>182</v>
      </c>
      <c r="DA57">
        <v>76</v>
      </c>
      <c r="DB57">
        <v>46</v>
      </c>
      <c r="DC57">
        <v>130</v>
      </c>
      <c r="DD57">
        <v>68</v>
      </c>
      <c r="DE57">
        <v>49</v>
      </c>
      <c r="DF57">
        <v>174</v>
      </c>
      <c r="DG57">
        <v>59</v>
      </c>
      <c r="DH57">
        <v>44</v>
      </c>
      <c r="DI57">
        <v>84</v>
      </c>
      <c r="DJ57">
        <v>86</v>
      </c>
      <c r="DK57">
        <v>44</v>
      </c>
      <c r="DL57">
        <v>204</v>
      </c>
      <c r="DM57">
        <v>46</v>
      </c>
      <c r="DN57">
        <v>17</v>
      </c>
      <c r="DO57">
        <v>148</v>
      </c>
      <c r="DP57">
        <v>77</v>
      </c>
      <c r="DQ57">
        <v>45</v>
      </c>
      <c r="DR57">
        <v>129</v>
      </c>
      <c r="DS57">
        <v>68</v>
      </c>
      <c r="DT57">
        <v>7</v>
      </c>
      <c r="DU57">
        <v>155</v>
      </c>
      <c r="DV57">
        <v>66</v>
      </c>
      <c r="DW57">
        <v>49</v>
      </c>
      <c r="DX57">
        <v>154</v>
      </c>
      <c r="DY57">
        <v>68</v>
      </c>
      <c r="DZ57">
        <v>50</v>
      </c>
    </row>
    <row r="58" spans="1:130" hidden="1">
      <c r="A58">
        <v>7</v>
      </c>
      <c r="F58">
        <v>3631</v>
      </c>
      <c r="G58">
        <v>22</v>
      </c>
      <c r="H58">
        <v>1</v>
      </c>
      <c r="I58">
        <v>7</v>
      </c>
      <c r="J58">
        <v>6</v>
      </c>
      <c r="K58">
        <v>171</v>
      </c>
      <c r="L58">
        <v>50</v>
      </c>
      <c r="M58">
        <v>69</v>
      </c>
      <c r="N58">
        <v>206</v>
      </c>
      <c r="O58">
        <v>53</v>
      </c>
      <c r="P58">
        <v>75</v>
      </c>
      <c r="Q58">
        <v>188</v>
      </c>
      <c r="R58">
        <v>71</v>
      </c>
      <c r="S58">
        <v>71</v>
      </c>
      <c r="T58">
        <v>197</v>
      </c>
      <c r="U58">
        <v>56</v>
      </c>
      <c r="V58">
        <v>71</v>
      </c>
      <c r="W58">
        <v>195</v>
      </c>
      <c r="X58">
        <v>76</v>
      </c>
      <c r="Y58">
        <v>73</v>
      </c>
      <c r="Z58">
        <v>186</v>
      </c>
      <c r="AA58">
        <v>53</v>
      </c>
      <c r="AB58">
        <v>74</v>
      </c>
      <c r="AC58">
        <v>194</v>
      </c>
      <c r="AD58">
        <v>45</v>
      </c>
      <c r="AE58">
        <v>82</v>
      </c>
      <c r="AF58">
        <v>144</v>
      </c>
      <c r="AG58">
        <v>61</v>
      </c>
      <c r="AH58">
        <v>79</v>
      </c>
      <c r="AI58">
        <v>163</v>
      </c>
      <c r="AJ58">
        <v>47</v>
      </c>
      <c r="AK58">
        <v>71</v>
      </c>
      <c r="AL58">
        <v>145</v>
      </c>
      <c r="AM58">
        <v>71</v>
      </c>
      <c r="AN58">
        <v>80</v>
      </c>
      <c r="AO58">
        <v>206</v>
      </c>
      <c r="AP58">
        <v>59</v>
      </c>
      <c r="AQ58">
        <v>69</v>
      </c>
      <c r="AR58">
        <v>149</v>
      </c>
      <c r="AS58">
        <v>77</v>
      </c>
      <c r="AT58">
        <v>71</v>
      </c>
      <c r="AU58">
        <v>135</v>
      </c>
      <c r="AV58">
        <v>34</v>
      </c>
      <c r="AW58">
        <v>74</v>
      </c>
      <c r="AX58">
        <v>194</v>
      </c>
      <c r="AY58">
        <v>78</v>
      </c>
      <c r="AZ58">
        <v>66</v>
      </c>
      <c r="BA58">
        <v>175</v>
      </c>
      <c r="BB58">
        <v>64</v>
      </c>
      <c r="BC58">
        <v>68</v>
      </c>
      <c r="BD58">
        <v>197</v>
      </c>
      <c r="BE58">
        <v>52</v>
      </c>
      <c r="BF58">
        <v>66</v>
      </c>
      <c r="BG58">
        <v>185</v>
      </c>
      <c r="BH58">
        <v>52</v>
      </c>
      <c r="BI58">
        <v>65</v>
      </c>
      <c r="BJ58">
        <v>224</v>
      </c>
      <c r="BK58">
        <v>46</v>
      </c>
      <c r="BL58">
        <v>68</v>
      </c>
      <c r="BM58">
        <v>222</v>
      </c>
      <c r="BN58">
        <v>49</v>
      </c>
      <c r="BO58">
        <v>83</v>
      </c>
      <c r="BP58">
        <v>219</v>
      </c>
      <c r="BQ58">
        <v>60</v>
      </c>
      <c r="BR58">
        <v>78</v>
      </c>
      <c r="BS58">
        <v>226</v>
      </c>
      <c r="BT58">
        <v>53</v>
      </c>
      <c r="BU58">
        <v>75</v>
      </c>
      <c r="BV58">
        <v>170</v>
      </c>
      <c r="BW58">
        <v>47</v>
      </c>
      <c r="BX58">
        <v>68</v>
      </c>
      <c r="BY58">
        <v>198</v>
      </c>
      <c r="BZ58">
        <v>64</v>
      </c>
      <c r="CA58">
        <v>71</v>
      </c>
      <c r="CB58">
        <v>172</v>
      </c>
      <c r="CC58">
        <v>68</v>
      </c>
      <c r="CD58">
        <v>65</v>
      </c>
      <c r="CE58">
        <v>208</v>
      </c>
      <c r="CF58">
        <v>43</v>
      </c>
      <c r="CG58">
        <v>83</v>
      </c>
      <c r="CH58">
        <v>211</v>
      </c>
      <c r="CI58">
        <v>71</v>
      </c>
      <c r="CJ58">
        <v>65</v>
      </c>
      <c r="CK58">
        <v>139</v>
      </c>
      <c r="CL58">
        <v>67</v>
      </c>
      <c r="CM58">
        <v>49</v>
      </c>
      <c r="CN58">
        <v>168</v>
      </c>
      <c r="CO58">
        <v>59</v>
      </c>
      <c r="CP58">
        <v>70</v>
      </c>
      <c r="CQ58">
        <v>93</v>
      </c>
      <c r="CR58">
        <v>83</v>
      </c>
      <c r="CS58">
        <v>83</v>
      </c>
      <c r="CT58">
        <v>174</v>
      </c>
      <c r="CU58">
        <v>35</v>
      </c>
      <c r="CV58">
        <v>82</v>
      </c>
      <c r="CW58">
        <v>210</v>
      </c>
      <c r="CX58">
        <v>59</v>
      </c>
      <c r="CY58">
        <v>72</v>
      </c>
      <c r="CZ58">
        <v>202</v>
      </c>
      <c r="DA58">
        <v>68</v>
      </c>
      <c r="DB58">
        <v>67</v>
      </c>
      <c r="DC58">
        <v>155</v>
      </c>
      <c r="DD58">
        <v>61</v>
      </c>
      <c r="DE58">
        <v>73</v>
      </c>
      <c r="DF58">
        <v>194</v>
      </c>
      <c r="DG58">
        <v>53</v>
      </c>
      <c r="DH58">
        <v>67</v>
      </c>
      <c r="DI58">
        <v>134</v>
      </c>
      <c r="DJ58">
        <v>71</v>
      </c>
      <c r="DK58">
        <v>67</v>
      </c>
      <c r="DL58">
        <v>218</v>
      </c>
      <c r="DM58">
        <v>46</v>
      </c>
      <c r="DN58">
        <v>82</v>
      </c>
      <c r="DO58">
        <v>176</v>
      </c>
      <c r="DP58">
        <v>63</v>
      </c>
      <c r="DQ58">
        <v>67</v>
      </c>
      <c r="DR58">
        <v>147</v>
      </c>
      <c r="DS58">
        <v>68</v>
      </c>
      <c r="DT58">
        <v>63</v>
      </c>
      <c r="DU58">
        <v>181</v>
      </c>
      <c r="DV58">
        <v>57</v>
      </c>
      <c r="DW58">
        <v>71</v>
      </c>
      <c r="DX58">
        <v>168</v>
      </c>
      <c r="DY58">
        <v>62</v>
      </c>
      <c r="DZ58">
        <v>78</v>
      </c>
    </row>
    <row r="59" spans="1:130" hidden="1">
      <c r="A59">
        <v>8</v>
      </c>
      <c r="F59">
        <v>3632</v>
      </c>
      <c r="G59">
        <v>22</v>
      </c>
      <c r="H59">
        <v>1</v>
      </c>
      <c r="I59">
        <v>8</v>
      </c>
      <c r="J59">
        <v>6</v>
      </c>
      <c r="K59">
        <v>193</v>
      </c>
      <c r="L59">
        <v>41</v>
      </c>
      <c r="M59">
        <v>89</v>
      </c>
      <c r="N59">
        <v>222</v>
      </c>
      <c r="O59">
        <v>51</v>
      </c>
      <c r="P59">
        <v>86</v>
      </c>
      <c r="Q59">
        <v>202</v>
      </c>
      <c r="R59">
        <v>69</v>
      </c>
      <c r="S59">
        <v>91</v>
      </c>
      <c r="T59">
        <v>220</v>
      </c>
      <c r="U59">
        <v>45</v>
      </c>
      <c r="V59">
        <v>91</v>
      </c>
      <c r="W59">
        <v>220</v>
      </c>
      <c r="X59">
        <v>67</v>
      </c>
      <c r="Y59">
        <v>89</v>
      </c>
      <c r="Z59">
        <v>204</v>
      </c>
      <c r="AA59">
        <v>49</v>
      </c>
      <c r="AB59">
        <v>91</v>
      </c>
      <c r="AC59">
        <v>218</v>
      </c>
      <c r="AD59">
        <v>40</v>
      </c>
      <c r="AE59">
        <v>90</v>
      </c>
      <c r="AF59">
        <v>173</v>
      </c>
      <c r="AG59">
        <v>56</v>
      </c>
      <c r="AH59">
        <v>91</v>
      </c>
      <c r="AI59">
        <v>186</v>
      </c>
      <c r="AJ59">
        <v>43</v>
      </c>
      <c r="AK59">
        <v>90</v>
      </c>
      <c r="AL59">
        <v>189</v>
      </c>
      <c r="AM59">
        <v>51</v>
      </c>
      <c r="AN59">
        <v>92</v>
      </c>
      <c r="AO59">
        <v>223</v>
      </c>
      <c r="AP59">
        <v>56</v>
      </c>
      <c r="AQ59">
        <v>92</v>
      </c>
      <c r="AR59">
        <v>191</v>
      </c>
      <c r="AS59">
        <v>65</v>
      </c>
      <c r="AT59">
        <v>99</v>
      </c>
      <c r="AU59">
        <v>147</v>
      </c>
      <c r="AV59">
        <v>28</v>
      </c>
      <c r="AW59">
        <v>90</v>
      </c>
      <c r="AX59">
        <v>205</v>
      </c>
      <c r="AY59">
        <v>75</v>
      </c>
      <c r="AZ59">
        <v>83</v>
      </c>
      <c r="BA59">
        <v>194</v>
      </c>
      <c r="BB59">
        <v>62</v>
      </c>
      <c r="BC59">
        <v>87</v>
      </c>
      <c r="BD59">
        <v>222</v>
      </c>
      <c r="BE59">
        <v>40</v>
      </c>
      <c r="BF59">
        <v>84</v>
      </c>
      <c r="BG59">
        <v>182</v>
      </c>
      <c r="BH59">
        <v>53</v>
      </c>
      <c r="BI59">
        <v>87</v>
      </c>
      <c r="BJ59">
        <v>243</v>
      </c>
      <c r="BK59">
        <v>41</v>
      </c>
      <c r="BL59">
        <v>89</v>
      </c>
      <c r="BM59">
        <v>226</v>
      </c>
      <c r="BN59">
        <v>49</v>
      </c>
      <c r="BO59">
        <v>98</v>
      </c>
      <c r="BP59">
        <v>246</v>
      </c>
      <c r="BQ59">
        <v>47</v>
      </c>
      <c r="BR59">
        <v>101</v>
      </c>
      <c r="BS59">
        <v>246</v>
      </c>
      <c r="BT59">
        <v>46</v>
      </c>
      <c r="BU59">
        <v>92</v>
      </c>
      <c r="BV59">
        <v>183</v>
      </c>
      <c r="BW59">
        <v>45</v>
      </c>
      <c r="BX59">
        <v>86</v>
      </c>
      <c r="BY59">
        <v>210</v>
      </c>
      <c r="BZ59">
        <v>61</v>
      </c>
      <c r="CA59">
        <v>92</v>
      </c>
      <c r="CB59">
        <v>196</v>
      </c>
      <c r="CC59">
        <v>60</v>
      </c>
      <c r="CD59">
        <v>84</v>
      </c>
      <c r="CE59">
        <v>228</v>
      </c>
      <c r="CF59">
        <v>37</v>
      </c>
      <c r="CG59">
        <v>90</v>
      </c>
      <c r="CH59">
        <v>220</v>
      </c>
      <c r="CI59">
        <v>69</v>
      </c>
      <c r="CJ59">
        <v>82</v>
      </c>
      <c r="CK59">
        <v>196</v>
      </c>
      <c r="CL59">
        <v>42</v>
      </c>
      <c r="CM59">
        <v>107</v>
      </c>
      <c r="CN59">
        <v>191</v>
      </c>
      <c r="CO59">
        <v>53</v>
      </c>
      <c r="CP59">
        <v>84</v>
      </c>
      <c r="CQ59">
        <v>142</v>
      </c>
      <c r="CR59">
        <v>65</v>
      </c>
      <c r="CS59">
        <v>92</v>
      </c>
      <c r="CT59">
        <v>193</v>
      </c>
      <c r="CU59">
        <v>29</v>
      </c>
      <c r="CV59">
        <v>96</v>
      </c>
      <c r="CW59">
        <v>218</v>
      </c>
      <c r="CX59">
        <v>57</v>
      </c>
      <c r="CY59">
        <v>90</v>
      </c>
      <c r="CZ59">
        <v>213</v>
      </c>
      <c r="DA59">
        <v>62</v>
      </c>
      <c r="DB59">
        <v>88</v>
      </c>
      <c r="DC59">
        <v>184</v>
      </c>
      <c r="DD59">
        <v>53</v>
      </c>
      <c r="DE59">
        <v>92</v>
      </c>
      <c r="DF59">
        <v>216</v>
      </c>
      <c r="DG59">
        <v>48</v>
      </c>
      <c r="DH59">
        <v>86</v>
      </c>
      <c r="DI59">
        <v>171</v>
      </c>
      <c r="DJ59">
        <v>56</v>
      </c>
      <c r="DK59">
        <v>87</v>
      </c>
      <c r="DL59">
        <v>240</v>
      </c>
      <c r="DM59">
        <v>44</v>
      </c>
      <c r="DN59">
        <v>106</v>
      </c>
      <c r="DO59">
        <v>200</v>
      </c>
      <c r="DP59">
        <v>52</v>
      </c>
      <c r="DQ59">
        <v>87</v>
      </c>
      <c r="DR59">
        <v>186</v>
      </c>
      <c r="DS59">
        <v>55</v>
      </c>
      <c r="DT59">
        <v>99</v>
      </c>
      <c r="DU59">
        <v>199</v>
      </c>
      <c r="DV59">
        <v>54</v>
      </c>
      <c r="DW59">
        <v>84</v>
      </c>
      <c r="DX59">
        <v>188</v>
      </c>
      <c r="DY59">
        <v>56</v>
      </c>
      <c r="DZ59">
        <v>89</v>
      </c>
    </row>
    <row r="60" spans="1:130" hidden="1">
      <c r="A60">
        <v>9</v>
      </c>
      <c r="F60">
        <v>3633</v>
      </c>
      <c r="G60">
        <v>22</v>
      </c>
      <c r="H60">
        <v>1</v>
      </c>
      <c r="I60">
        <v>9</v>
      </c>
      <c r="J60">
        <v>6</v>
      </c>
      <c r="K60">
        <v>222</v>
      </c>
      <c r="L60">
        <v>32</v>
      </c>
      <c r="M60">
        <v>105</v>
      </c>
      <c r="N60">
        <v>239</v>
      </c>
      <c r="O60">
        <v>46</v>
      </c>
      <c r="P60">
        <v>102</v>
      </c>
      <c r="Q60">
        <v>226</v>
      </c>
      <c r="R60">
        <v>61</v>
      </c>
      <c r="S60">
        <v>109</v>
      </c>
      <c r="T60">
        <v>241</v>
      </c>
      <c r="U60">
        <v>41</v>
      </c>
      <c r="V60">
        <v>108</v>
      </c>
      <c r="W60">
        <v>237</v>
      </c>
      <c r="X60">
        <v>59</v>
      </c>
      <c r="Y60">
        <v>108</v>
      </c>
      <c r="Z60">
        <v>222</v>
      </c>
      <c r="AA60">
        <v>45</v>
      </c>
      <c r="AB60">
        <v>106</v>
      </c>
      <c r="AC60">
        <v>240</v>
      </c>
      <c r="AD60">
        <v>33</v>
      </c>
      <c r="AE60">
        <v>111</v>
      </c>
      <c r="AF60">
        <v>204</v>
      </c>
      <c r="AG60">
        <v>42</v>
      </c>
      <c r="AH60">
        <v>107</v>
      </c>
      <c r="AI60">
        <v>208</v>
      </c>
      <c r="AJ60">
        <v>35</v>
      </c>
      <c r="AK60">
        <v>107</v>
      </c>
      <c r="AL60">
        <v>213</v>
      </c>
      <c r="AM60">
        <v>45</v>
      </c>
      <c r="AN60">
        <v>109</v>
      </c>
      <c r="AO60">
        <v>244</v>
      </c>
      <c r="AP60">
        <v>49</v>
      </c>
      <c r="AQ60">
        <v>111</v>
      </c>
      <c r="AR60">
        <v>221</v>
      </c>
      <c r="AS60">
        <v>51</v>
      </c>
      <c r="AT60">
        <v>109</v>
      </c>
      <c r="AU60">
        <v>156</v>
      </c>
      <c r="AV60">
        <v>28</v>
      </c>
      <c r="AW60">
        <v>103</v>
      </c>
      <c r="AX60">
        <v>223</v>
      </c>
      <c r="AY60">
        <v>68</v>
      </c>
      <c r="AZ60">
        <v>97</v>
      </c>
      <c r="BA60">
        <v>212</v>
      </c>
      <c r="BB60">
        <v>57</v>
      </c>
      <c r="BC60">
        <v>102</v>
      </c>
      <c r="BD60">
        <v>242</v>
      </c>
      <c r="BE60">
        <v>35</v>
      </c>
      <c r="BF60">
        <v>100</v>
      </c>
      <c r="BG60">
        <v>185</v>
      </c>
      <c r="BH60">
        <v>59</v>
      </c>
      <c r="BI60">
        <v>98</v>
      </c>
      <c r="BJ60">
        <v>259</v>
      </c>
      <c r="BK60">
        <v>37</v>
      </c>
      <c r="BL60">
        <v>111</v>
      </c>
      <c r="BM60">
        <v>237</v>
      </c>
      <c r="BN60">
        <v>45</v>
      </c>
      <c r="BO60">
        <v>112</v>
      </c>
      <c r="BP60">
        <v>268</v>
      </c>
      <c r="BQ60">
        <v>44</v>
      </c>
      <c r="BR60">
        <v>107</v>
      </c>
      <c r="BS60">
        <v>264</v>
      </c>
      <c r="BT60">
        <v>46</v>
      </c>
      <c r="BU60">
        <v>112</v>
      </c>
      <c r="BV60">
        <v>196</v>
      </c>
      <c r="BW60">
        <v>42</v>
      </c>
      <c r="BX60">
        <v>102</v>
      </c>
      <c r="BY60">
        <v>225</v>
      </c>
      <c r="BZ60">
        <v>57</v>
      </c>
      <c r="CA60">
        <v>107</v>
      </c>
      <c r="CB60">
        <v>211</v>
      </c>
      <c r="CC60">
        <v>56</v>
      </c>
      <c r="CD60">
        <v>98</v>
      </c>
      <c r="CE60">
        <v>247</v>
      </c>
      <c r="CF60">
        <v>29</v>
      </c>
      <c r="CG60">
        <v>107</v>
      </c>
      <c r="CH60">
        <v>225</v>
      </c>
      <c r="CI60">
        <v>69</v>
      </c>
      <c r="CJ60">
        <v>101</v>
      </c>
      <c r="CK60">
        <v>232</v>
      </c>
      <c r="CL60">
        <v>29</v>
      </c>
      <c r="CM60">
        <v>110</v>
      </c>
      <c r="CN60">
        <v>215</v>
      </c>
      <c r="CO60">
        <v>49</v>
      </c>
      <c r="CP60">
        <v>101</v>
      </c>
      <c r="CQ60">
        <v>176</v>
      </c>
      <c r="CR60">
        <v>41</v>
      </c>
      <c r="CS60">
        <v>105</v>
      </c>
      <c r="CT60">
        <v>201</v>
      </c>
      <c r="CU60">
        <v>27</v>
      </c>
      <c r="CV60">
        <v>106</v>
      </c>
      <c r="CW60">
        <v>225</v>
      </c>
      <c r="CX60">
        <v>57</v>
      </c>
      <c r="CY60">
        <v>107</v>
      </c>
      <c r="CZ60">
        <v>229</v>
      </c>
      <c r="DA60">
        <v>57</v>
      </c>
      <c r="DB60">
        <v>107</v>
      </c>
      <c r="DC60">
        <v>210</v>
      </c>
      <c r="DD60">
        <v>45</v>
      </c>
      <c r="DE60">
        <v>106</v>
      </c>
      <c r="DF60">
        <v>239</v>
      </c>
      <c r="DG60">
        <v>42</v>
      </c>
      <c r="DH60">
        <v>113</v>
      </c>
      <c r="DI60">
        <v>203</v>
      </c>
      <c r="DJ60">
        <v>43</v>
      </c>
      <c r="DK60">
        <v>106</v>
      </c>
      <c r="DL60">
        <v>263</v>
      </c>
      <c r="DM60">
        <v>36</v>
      </c>
      <c r="DN60">
        <v>116</v>
      </c>
      <c r="DO60">
        <v>219</v>
      </c>
      <c r="DP60">
        <v>48</v>
      </c>
      <c r="DQ60">
        <v>106</v>
      </c>
      <c r="DR60">
        <v>207</v>
      </c>
      <c r="DS60">
        <v>50</v>
      </c>
      <c r="DT60">
        <v>109</v>
      </c>
      <c r="DU60">
        <v>219</v>
      </c>
      <c r="DV60">
        <v>48</v>
      </c>
      <c r="DW60">
        <v>102</v>
      </c>
      <c r="DX60">
        <v>212</v>
      </c>
      <c r="DY60">
        <v>50</v>
      </c>
      <c r="DZ60">
        <v>109</v>
      </c>
    </row>
    <row r="61" spans="1:130" hidden="1">
      <c r="A61">
        <v>10</v>
      </c>
      <c r="F61">
        <v>3634</v>
      </c>
      <c r="G61">
        <v>22</v>
      </c>
      <c r="H61">
        <v>1</v>
      </c>
      <c r="I61">
        <v>10</v>
      </c>
      <c r="J61">
        <v>6</v>
      </c>
      <c r="K61">
        <v>237</v>
      </c>
      <c r="L61">
        <v>32</v>
      </c>
      <c r="M61">
        <v>120</v>
      </c>
      <c r="N61">
        <v>249</v>
      </c>
      <c r="O61">
        <v>49</v>
      </c>
      <c r="P61">
        <v>117</v>
      </c>
      <c r="Q61">
        <v>245</v>
      </c>
      <c r="R61">
        <v>57</v>
      </c>
      <c r="S61">
        <v>122</v>
      </c>
      <c r="T61">
        <v>258</v>
      </c>
      <c r="U61">
        <v>40</v>
      </c>
      <c r="V61">
        <v>124</v>
      </c>
      <c r="W61">
        <v>251</v>
      </c>
      <c r="X61">
        <v>55</v>
      </c>
      <c r="Y61">
        <v>120</v>
      </c>
      <c r="Z61">
        <v>245</v>
      </c>
      <c r="AA61">
        <v>40</v>
      </c>
      <c r="AB61">
        <v>120</v>
      </c>
      <c r="AC61">
        <v>263</v>
      </c>
      <c r="AD61">
        <v>30</v>
      </c>
      <c r="AE61">
        <v>124</v>
      </c>
      <c r="AF61">
        <v>221</v>
      </c>
      <c r="AG61">
        <v>32</v>
      </c>
      <c r="AH61">
        <v>120</v>
      </c>
      <c r="AI61">
        <v>230</v>
      </c>
      <c r="AJ61">
        <v>28</v>
      </c>
      <c r="AK61">
        <v>120</v>
      </c>
      <c r="AL61">
        <v>226</v>
      </c>
      <c r="AM61">
        <v>44</v>
      </c>
      <c r="AN61">
        <v>119</v>
      </c>
      <c r="AO61">
        <v>263</v>
      </c>
      <c r="AP61">
        <v>44</v>
      </c>
      <c r="AQ61">
        <v>123</v>
      </c>
      <c r="AR61">
        <v>243</v>
      </c>
      <c r="AS61">
        <v>44</v>
      </c>
      <c r="AT61">
        <v>124</v>
      </c>
      <c r="AU61">
        <v>161</v>
      </c>
      <c r="AV61">
        <v>33</v>
      </c>
      <c r="AW61">
        <v>116</v>
      </c>
      <c r="AX61">
        <v>244</v>
      </c>
      <c r="AY61">
        <v>53</v>
      </c>
      <c r="AZ61">
        <v>114</v>
      </c>
      <c r="BA61">
        <v>233</v>
      </c>
      <c r="BB61">
        <v>48</v>
      </c>
      <c r="BC61">
        <v>118</v>
      </c>
      <c r="BD61">
        <v>260</v>
      </c>
      <c r="BE61">
        <v>28</v>
      </c>
      <c r="BF61">
        <v>112</v>
      </c>
      <c r="BG61">
        <v>195</v>
      </c>
      <c r="BH61">
        <v>62</v>
      </c>
      <c r="BI61">
        <v>114</v>
      </c>
      <c r="BJ61">
        <v>287</v>
      </c>
      <c r="BK61">
        <v>33</v>
      </c>
      <c r="BL61">
        <v>125</v>
      </c>
      <c r="BM61">
        <v>251</v>
      </c>
      <c r="BN61">
        <v>43</v>
      </c>
      <c r="BO61">
        <v>129</v>
      </c>
      <c r="BP61">
        <v>284</v>
      </c>
      <c r="BQ61">
        <v>42</v>
      </c>
      <c r="BR61">
        <v>122</v>
      </c>
      <c r="BS61">
        <v>277</v>
      </c>
      <c r="BT61">
        <v>47</v>
      </c>
      <c r="BU61">
        <v>127</v>
      </c>
      <c r="BV61">
        <v>217</v>
      </c>
      <c r="BW61">
        <v>39</v>
      </c>
      <c r="BX61">
        <v>114</v>
      </c>
      <c r="BY61">
        <v>233</v>
      </c>
      <c r="BZ61">
        <v>53</v>
      </c>
      <c r="CA61">
        <v>119</v>
      </c>
      <c r="CB61">
        <v>233</v>
      </c>
      <c r="CC61">
        <v>50</v>
      </c>
      <c r="CD61">
        <v>113</v>
      </c>
      <c r="CE61">
        <v>264</v>
      </c>
      <c r="CF61">
        <v>23</v>
      </c>
      <c r="CG61">
        <v>120</v>
      </c>
      <c r="CH61">
        <v>234</v>
      </c>
      <c r="CI61">
        <v>65</v>
      </c>
      <c r="CJ61">
        <v>113</v>
      </c>
      <c r="CK61">
        <v>250</v>
      </c>
      <c r="CL61">
        <v>25</v>
      </c>
      <c r="CM61">
        <v>124</v>
      </c>
      <c r="CN61">
        <v>238</v>
      </c>
      <c r="CO61">
        <v>42</v>
      </c>
      <c r="CP61">
        <v>115</v>
      </c>
      <c r="CQ61">
        <v>200</v>
      </c>
      <c r="CR61">
        <v>26</v>
      </c>
      <c r="CS61">
        <v>117</v>
      </c>
      <c r="CT61">
        <v>208</v>
      </c>
      <c r="CU61">
        <v>22</v>
      </c>
      <c r="CV61">
        <v>119</v>
      </c>
      <c r="CW61">
        <v>236</v>
      </c>
      <c r="CX61">
        <v>53</v>
      </c>
      <c r="CY61">
        <v>116</v>
      </c>
      <c r="CZ61">
        <v>240</v>
      </c>
      <c r="DA61">
        <v>53</v>
      </c>
      <c r="DB61">
        <v>118</v>
      </c>
      <c r="DC61">
        <v>241</v>
      </c>
      <c r="DD61">
        <v>39</v>
      </c>
      <c r="DE61">
        <v>120</v>
      </c>
      <c r="DF61">
        <v>263</v>
      </c>
      <c r="DG61">
        <v>33</v>
      </c>
      <c r="DH61">
        <v>134</v>
      </c>
      <c r="DI61">
        <v>220</v>
      </c>
      <c r="DJ61">
        <v>34</v>
      </c>
      <c r="DK61">
        <v>121</v>
      </c>
      <c r="DL61">
        <v>284</v>
      </c>
      <c r="DM61">
        <v>28</v>
      </c>
      <c r="DN61">
        <v>127</v>
      </c>
      <c r="DO61">
        <v>242</v>
      </c>
      <c r="DP61">
        <v>44</v>
      </c>
      <c r="DQ61">
        <v>119</v>
      </c>
      <c r="DR61">
        <v>225</v>
      </c>
      <c r="DS61">
        <v>49</v>
      </c>
      <c r="DT61">
        <v>124</v>
      </c>
      <c r="DU61">
        <v>242</v>
      </c>
      <c r="DV61">
        <v>43</v>
      </c>
      <c r="DW61">
        <v>118</v>
      </c>
      <c r="DX61">
        <v>235</v>
      </c>
      <c r="DY61">
        <v>44</v>
      </c>
      <c r="DZ61">
        <v>119</v>
      </c>
    </row>
    <row r="62" spans="1:130" hidden="1">
      <c r="A62">
        <v>11</v>
      </c>
      <c r="F62">
        <v>3635</v>
      </c>
      <c r="G62">
        <v>22</v>
      </c>
      <c r="H62">
        <v>1</v>
      </c>
      <c r="I62">
        <v>11</v>
      </c>
      <c r="J62">
        <v>6</v>
      </c>
      <c r="K62">
        <v>242</v>
      </c>
      <c r="L62">
        <v>35</v>
      </c>
      <c r="M62">
        <v>130</v>
      </c>
      <c r="N62">
        <v>256</v>
      </c>
      <c r="O62">
        <v>50</v>
      </c>
      <c r="P62">
        <v>125</v>
      </c>
      <c r="Q62">
        <v>255</v>
      </c>
      <c r="R62">
        <v>56</v>
      </c>
      <c r="S62">
        <v>136</v>
      </c>
      <c r="T62">
        <v>281</v>
      </c>
      <c r="U62">
        <v>36</v>
      </c>
      <c r="V62">
        <v>133</v>
      </c>
      <c r="W62">
        <v>258</v>
      </c>
      <c r="X62">
        <v>54</v>
      </c>
      <c r="Y62">
        <v>133</v>
      </c>
      <c r="Z62">
        <v>268</v>
      </c>
      <c r="AA62">
        <v>36</v>
      </c>
      <c r="AB62">
        <v>130</v>
      </c>
      <c r="AC62">
        <v>280</v>
      </c>
      <c r="AD62">
        <v>31</v>
      </c>
      <c r="AE62">
        <v>134</v>
      </c>
      <c r="AF62">
        <v>229</v>
      </c>
      <c r="AG62">
        <v>29</v>
      </c>
      <c r="AH62">
        <v>133</v>
      </c>
      <c r="AI62">
        <v>252</v>
      </c>
      <c r="AJ62">
        <v>26</v>
      </c>
      <c r="AK62">
        <v>129</v>
      </c>
      <c r="AL62">
        <v>238</v>
      </c>
      <c r="AM62">
        <v>44</v>
      </c>
      <c r="AN62">
        <v>128</v>
      </c>
      <c r="AO62">
        <v>282</v>
      </c>
      <c r="AP62">
        <v>40</v>
      </c>
      <c r="AQ62">
        <v>132</v>
      </c>
      <c r="AR62">
        <v>267</v>
      </c>
      <c r="AS62">
        <v>43</v>
      </c>
      <c r="AT62">
        <v>133</v>
      </c>
      <c r="AU62">
        <v>169</v>
      </c>
      <c r="AV62">
        <v>34</v>
      </c>
      <c r="AW62">
        <v>123</v>
      </c>
      <c r="AX62">
        <v>256</v>
      </c>
      <c r="AY62">
        <v>50</v>
      </c>
      <c r="AZ62">
        <v>120</v>
      </c>
      <c r="BA62">
        <v>254</v>
      </c>
      <c r="BB62">
        <v>41</v>
      </c>
      <c r="BC62">
        <v>127</v>
      </c>
      <c r="BD62">
        <v>270</v>
      </c>
      <c r="BE62">
        <v>26</v>
      </c>
      <c r="BF62">
        <v>120</v>
      </c>
      <c r="BG62">
        <v>207</v>
      </c>
      <c r="BH62">
        <v>55</v>
      </c>
      <c r="BI62">
        <v>122</v>
      </c>
      <c r="BJ62">
        <v>309</v>
      </c>
      <c r="BK62">
        <v>29</v>
      </c>
      <c r="BL62">
        <v>136</v>
      </c>
      <c r="BM62">
        <v>262</v>
      </c>
      <c r="BN62">
        <v>43</v>
      </c>
      <c r="BO62">
        <v>136</v>
      </c>
      <c r="BP62">
        <v>299</v>
      </c>
      <c r="BQ62">
        <v>37</v>
      </c>
      <c r="BR62">
        <v>137</v>
      </c>
      <c r="BS62">
        <v>287</v>
      </c>
      <c r="BT62">
        <v>42</v>
      </c>
      <c r="BU62">
        <v>139</v>
      </c>
      <c r="BV62">
        <v>236</v>
      </c>
      <c r="BW62">
        <v>37</v>
      </c>
      <c r="BX62">
        <v>122</v>
      </c>
      <c r="BY62">
        <v>244</v>
      </c>
      <c r="BZ62">
        <v>47</v>
      </c>
      <c r="CA62">
        <v>134</v>
      </c>
      <c r="CB62">
        <v>252</v>
      </c>
      <c r="CC62">
        <v>40</v>
      </c>
      <c r="CD62">
        <v>122</v>
      </c>
      <c r="CE62">
        <v>272</v>
      </c>
      <c r="CF62">
        <v>20</v>
      </c>
      <c r="CG62">
        <v>129</v>
      </c>
      <c r="CH62">
        <v>248</v>
      </c>
      <c r="CI62">
        <v>59</v>
      </c>
      <c r="CJ62">
        <v>123</v>
      </c>
      <c r="CK62">
        <v>262</v>
      </c>
      <c r="CL62">
        <v>25</v>
      </c>
      <c r="CM62">
        <v>132</v>
      </c>
      <c r="CN62">
        <v>250</v>
      </c>
      <c r="CO62">
        <v>39</v>
      </c>
      <c r="CP62">
        <v>123</v>
      </c>
      <c r="CQ62">
        <v>215</v>
      </c>
      <c r="CR62">
        <v>29</v>
      </c>
      <c r="CS62">
        <v>125</v>
      </c>
      <c r="CT62">
        <v>217</v>
      </c>
      <c r="CU62">
        <v>16</v>
      </c>
      <c r="CV62">
        <v>127</v>
      </c>
      <c r="CW62">
        <v>244</v>
      </c>
      <c r="CX62">
        <v>50</v>
      </c>
      <c r="CY62">
        <v>123</v>
      </c>
      <c r="CZ62">
        <v>252</v>
      </c>
      <c r="DA62">
        <v>49</v>
      </c>
      <c r="DB62">
        <v>134</v>
      </c>
      <c r="DC62">
        <v>261</v>
      </c>
      <c r="DD62">
        <v>31</v>
      </c>
      <c r="DE62">
        <v>127</v>
      </c>
      <c r="DF62">
        <v>281</v>
      </c>
      <c r="DG62">
        <v>30</v>
      </c>
      <c r="DH62">
        <v>137</v>
      </c>
      <c r="DI62">
        <v>233</v>
      </c>
      <c r="DJ62">
        <v>26</v>
      </c>
      <c r="DK62">
        <v>130</v>
      </c>
      <c r="DL62">
        <v>292</v>
      </c>
      <c r="DM62">
        <v>27</v>
      </c>
      <c r="DN62">
        <v>138</v>
      </c>
      <c r="DO62">
        <v>260</v>
      </c>
      <c r="DP62">
        <v>40</v>
      </c>
      <c r="DQ62">
        <v>132</v>
      </c>
      <c r="DR62">
        <v>239</v>
      </c>
      <c r="DS62">
        <v>42</v>
      </c>
      <c r="DT62">
        <v>135</v>
      </c>
      <c r="DU62">
        <v>266</v>
      </c>
      <c r="DV62">
        <v>37</v>
      </c>
      <c r="DW62">
        <v>126</v>
      </c>
      <c r="DX62">
        <v>255</v>
      </c>
      <c r="DY62">
        <v>40</v>
      </c>
      <c r="DZ62">
        <v>129</v>
      </c>
    </row>
    <row r="63" spans="1:130" hidden="1">
      <c r="A63">
        <v>12</v>
      </c>
      <c r="F63">
        <v>3636</v>
      </c>
      <c r="G63">
        <v>22</v>
      </c>
      <c r="H63">
        <v>1</v>
      </c>
      <c r="I63">
        <v>12</v>
      </c>
      <c r="J63">
        <v>6</v>
      </c>
      <c r="K63">
        <v>249</v>
      </c>
      <c r="L63">
        <v>34</v>
      </c>
      <c r="M63">
        <v>138</v>
      </c>
      <c r="N63">
        <v>268</v>
      </c>
      <c r="O63">
        <v>48</v>
      </c>
      <c r="P63">
        <v>135</v>
      </c>
      <c r="Q63">
        <v>266</v>
      </c>
      <c r="R63">
        <v>52</v>
      </c>
      <c r="S63">
        <v>148</v>
      </c>
      <c r="T63">
        <v>298</v>
      </c>
      <c r="U63">
        <v>33</v>
      </c>
      <c r="V63">
        <v>153</v>
      </c>
      <c r="W63">
        <v>265</v>
      </c>
      <c r="X63">
        <v>52</v>
      </c>
      <c r="Y63">
        <v>148</v>
      </c>
      <c r="Z63">
        <v>287</v>
      </c>
      <c r="AA63">
        <v>31</v>
      </c>
      <c r="AB63">
        <v>145</v>
      </c>
      <c r="AC63">
        <v>293</v>
      </c>
      <c r="AD63">
        <v>27</v>
      </c>
      <c r="AE63">
        <v>146</v>
      </c>
      <c r="AF63">
        <v>239</v>
      </c>
      <c r="AG63">
        <v>26</v>
      </c>
      <c r="AH63">
        <v>141</v>
      </c>
      <c r="AI63">
        <v>260</v>
      </c>
      <c r="AJ63">
        <v>25</v>
      </c>
      <c r="AK63">
        <v>139</v>
      </c>
      <c r="AL63">
        <v>247</v>
      </c>
      <c r="AM63">
        <v>43</v>
      </c>
      <c r="AN63">
        <v>137</v>
      </c>
      <c r="AO63">
        <v>294</v>
      </c>
      <c r="AP63">
        <v>33</v>
      </c>
      <c r="AQ63">
        <v>138</v>
      </c>
      <c r="AR63">
        <v>279</v>
      </c>
      <c r="AS63">
        <v>41</v>
      </c>
      <c r="AT63">
        <v>150</v>
      </c>
      <c r="AU63">
        <v>177</v>
      </c>
      <c r="AV63">
        <v>33</v>
      </c>
      <c r="AW63">
        <v>130</v>
      </c>
      <c r="AX63">
        <v>274</v>
      </c>
      <c r="AY63">
        <v>48</v>
      </c>
      <c r="AZ63">
        <v>129</v>
      </c>
      <c r="BA63">
        <v>262</v>
      </c>
      <c r="BB63">
        <v>36</v>
      </c>
      <c r="BC63">
        <v>141</v>
      </c>
      <c r="BD63">
        <v>279</v>
      </c>
      <c r="BE63">
        <v>25</v>
      </c>
      <c r="BF63">
        <v>145</v>
      </c>
      <c r="BG63">
        <v>224</v>
      </c>
      <c r="BH63">
        <v>45</v>
      </c>
      <c r="BI63">
        <v>129</v>
      </c>
      <c r="BJ63">
        <v>310</v>
      </c>
      <c r="BK63">
        <v>24</v>
      </c>
      <c r="BL63">
        <v>151</v>
      </c>
      <c r="BM63">
        <v>272</v>
      </c>
      <c r="BN63">
        <v>43</v>
      </c>
      <c r="BO63">
        <v>155</v>
      </c>
      <c r="BP63">
        <v>312</v>
      </c>
      <c r="BQ63">
        <v>38</v>
      </c>
      <c r="BR63">
        <v>151</v>
      </c>
      <c r="BS63">
        <v>299</v>
      </c>
      <c r="BT63">
        <v>34</v>
      </c>
      <c r="BU63">
        <v>155</v>
      </c>
      <c r="BV63">
        <v>252</v>
      </c>
      <c r="BW63">
        <v>27</v>
      </c>
      <c r="BX63">
        <v>132</v>
      </c>
      <c r="BY63">
        <v>258</v>
      </c>
      <c r="BZ63">
        <v>40</v>
      </c>
      <c r="CA63">
        <v>144</v>
      </c>
      <c r="CB63">
        <v>271</v>
      </c>
      <c r="CC63">
        <v>39</v>
      </c>
      <c r="CD63">
        <v>133</v>
      </c>
      <c r="CE63">
        <v>278</v>
      </c>
      <c r="CF63">
        <v>20</v>
      </c>
      <c r="CG63">
        <v>138</v>
      </c>
      <c r="CH63">
        <v>255</v>
      </c>
      <c r="CI63">
        <v>54</v>
      </c>
      <c r="CJ63">
        <v>128</v>
      </c>
      <c r="CK63">
        <v>269</v>
      </c>
      <c r="CL63">
        <v>25</v>
      </c>
      <c r="CM63">
        <v>140</v>
      </c>
      <c r="CN63">
        <v>269</v>
      </c>
      <c r="CO63">
        <v>35</v>
      </c>
      <c r="CP63">
        <v>137</v>
      </c>
      <c r="CQ63">
        <v>217</v>
      </c>
      <c r="CR63">
        <v>29</v>
      </c>
      <c r="CS63">
        <v>134</v>
      </c>
      <c r="CT63">
        <v>222</v>
      </c>
      <c r="CU63">
        <v>17</v>
      </c>
      <c r="CV63">
        <v>137</v>
      </c>
      <c r="CW63">
        <v>251</v>
      </c>
      <c r="CX63">
        <v>43</v>
      </c>
      <c r="CY63">
        <v>131</v>
      </c>
      <c r="CZ63">
        <v>266</v>
      </c>
      <c r="DA63">
        <v>45</v>
      </c>
      <c r="DB63">
        <v>151</v>
      </c>
      <c r="DC63">
        <v>273</v>
      </c>
      <c r="DD63">
        <v>27</v>
      </c>
      <c r="DE63">
        <v>135</v>
      </c>
      <c r="DF63">
        <v>299</v>
      </c>
      <c r="DG63">
        <v>28</v>
      </c>
      <c r="DH63">
        <v>135</v>
      </c>
      <c r="DI63">
        <v>245</v>
      </c>
      <c r="DJ63">
        <v>23</v>
      </c>
      <c r="DK63">
        <v>144</v>
      </c>
      <c r="DL63">
        <v>295</v>
      </c>
      <c r="DM63">
        <v>25</v>
      </c>
      <c r="DN63">
        <v>154</v>
      </c>
      <c r="DO63">
        <v>284</v>
      </c>
      <c r="DP63">
        <v>34</v>
      </c>
      <c r="DQ63">
        <v>157</v>
      </c>
      <c r="DR63">
        <v>248</v>
      </c>
      <c r="DS63">
        <v>38</v>
      </c>
      <c r="DT63">
        <v>160</v>
      </c>
      <c r="DU63">
        <v>283</v>
      </c>
      <c r="DV63">
        <v>33</v>
      </c>
      <c r="DW63">
        <v>153</v>
      </c>
      <c r="DX63">
        <v>273</v>
      </c>
      <c r="DY63">
        <v>36</v>
      </c>
      <c r="DZ63">
        <v>147</v>
      </c>
    </row>
    <row r="64" spans="1:130" hidden="1">
      <c r="A64">
        <v>13</v>
      </c>
      <c r="F64">
        <v>3637</v>
      </c>
      <c r="G64">
        <v>22</v>
      </c>
      <c r="H64">
        <v>1</v>
      </c>
      <c r="I64">
        <v>13</v>
      </c>
      <c r="J64">
        <v>6</v>
      </c>
      <c r="K64">
        <v>256</v>
      </c>
      <c r="L64">
        <v>33</v>
      </c>
      <c r="M64">
        <v>284</v>
      </c>
      <c r="N64">
        <v>281</v>
      </c>
      <c r="O64">
        <v>43</v>
      </c>
      <c r="P64">
        <v>269</v>
      </c>
      <c r="Q64">
        <v>271</v>
      </c>
      <c r="R64">
        <v>53</v>
      </c>
      <c r="S64">
        <v>295</v>
      </c>
      <c r="T64">
        <v>314</v>
      </c>
      <c r="U64">
        <v>30</v>
      </c>
      <c r="V64">
        <v>277</v>
      </c>
      <c r="W64">
        <v>274</v>
      </c>
      <c r="X64">
        <v>50</v>
      </c>
      <c r="Y64">
        <v>275</v>
      </c>
      <c r="Z64">
        <v>311</v>
      </c>
      <c r="AA64">
        <v>26</v>
      </c>
      <c r="AB64">
        <v>285</v>
      </c>
      <c r="AC64">
        <v>303</v>
      </c>
      <c r="AD64">
        <v>27</v>
      </c>
      <c r="AE64">
        <v>310</v>
      </c>
      <c r="AF64">
        <v>246</v>
      </c>
      <c r="AG64">
        <v>29</v>
      </c>
      <c r="AH64">
        <v>327</v>
      </c>
      <c r="AI64">
        <v>267</v>
      </c>
      <c r="AJ64">
        <v>27</v>
      </c>
      <c r="AK64">
        <v>301</v>
      </c>
      <c r="AL64">
        <v>261</v>
      </c>
      <c r="AM64">
        <v>39</v>
      </c>
      <c r="AN64">
        <v>294</v>
      </c>
      <c r="AO64">
        <v>300</v>
      </c>
      <c r="AP64">
        <v>29</v>
      </c>
      <c r="AQ64">
        <v>256</v>
      </c>
      <c r="AR64">
        <v>286</v>
      </c>
      <c r="AS64">
        <v>39</v>
      </c>
      <c r="AT64">
        <v>306</v>
      </c>
      <c r="AU64">
        <v>180</v>
      </c>
      <c r="AV64">
        <v>33</v>
      </c>
      <c r="AW64">
        <v>281</v>
      </c>
      <c r="AX64">
        <v>290</v>
      </c>
      <c r="AY64">
        <v>41</v>
      </c>
      <c r="AZ64">
        <v>298</v>
      </c>
      <c r="BA64">
        <v>278</v>
      </c>
      <c r="BB64">
        <v>37</v>
      </c>
      <c r="BC64">
        <v>284</v>
      </c>
      <c r="BD64">
        <v>290</v>
      </c>
      <c r="BE64">
        <v>19</v>
      </c>
      <c r="BF64">
        <v>273</v>
      </c>
      <c r="BG64">
        <v>237</v>
      </c>
      <c r="BH64">
        <v>41</v>
      </c>
      <c r="BI64">
        <v>262</v>
      </c>
      <c r="BJ64">
        <v>309</v>
      </c>
      <c r="BK64">
        <v>27</v>
      </c>
      <c r="BL64">
        <v>299</v>
      </c>
      <c r="BM64">
        <v>286</v>
      </c>
      <c r="BN64">
        <v>41</v>
      </c>
      <c r="BO64">
        <v>299</v>
      </c>
      <c r="BP64">
        <v>317</v>
      </c>
      <c r="BQ64">
        <v>38</v>
      </c>
      <c r="BR64">
        <v>287</v>
      </c>
      <c r="BS64">
        <v>319</v>
      </c>
      <c r="BT64">
        <v>34</v>
      </c>
      <c r="BU64">
        <v>298</v>
      </c>
      <c r="BV64">
        <v>265</v>
      </c>
      <c r="BW64">
        <v>18</v>
      </c>
      <c r="BX64">
        <v>276</v>
      </c>
      <c r="BY64">
        <v>271</v>
      </c>
      <c r="BZ64">
        <v>38</v>
      </c>
      <c r="CA64">
        <v>270</v>
      </c>
      <c r="CB64">
        <v>284</v>
      </c>
      <c r="CC64">
        <v>37</v>
      </c>
      <c r="CD64">
        <v>266</v>
      </c>
      <c r="CE64">
        <v>278</v>
      </c>
      <c r="CF64">
        <v>19</v>
      </c>
      <c r="CG64">
        <v>299</v>
      </c>
      <c r="CH64">
        <v>264</v>
      </c>
      <c r="CI64">
        <v>45</v>
      </c>
      <c r="CJ64">
        <v>265</v>
      </c>
      <c r="CK64">
        <v>280</v>
      </c>
      <c r="CL64">
        <v>26</v>
      </c>
      <c r="CM64">
        <v>325</v>
      </c>
      <c r="CN64">
        <v>282</v>
      </c>
      <c r="CO64">
        <v>31</v>
      </c>
      <c r="CP64">
        <v>280</v>
      </c>
      <c r="CQ64">
        <v>216</v>
      </c>
      <c r="CR64">
        <v>32</v>
      </c>
      <c r="CS64">
        <v>315</v>
      </c>
      <c r="CT64">
        <v>226</v>
      </c>
      <c r="CU64">
        <v>21</v>
      </c>
      <c r="CV64">
        <v>304</v>
      </c>
      <c r="CW64">
        <v>266</v>
      </c>
      <c r="CX64">
        <v>36</v>
      </c>
      <c r="CY64">
        <v>300</v>
      </c>
      <c r="CZ64">
        <v>277</v>
      </c>
      <c r="DA64">
        <v>42</v>
      </c>
      <c r="DB64">
        <v>289</v>
      </c>
      <c r="DC64">
        <v>275</v>
      </c>
      <c r="DD64">
        <v>24</v>
      </c>
      <c r="DE64">
        <v>332</v>
      </c>
      <c r="DF64">
        <v>310</v>
      </c>
      <c r="DG64">
        <v>28</v>
      </c>
      <c r="DH64">
        <v>281</v>
      </c>
      <c r="DI64">
        <v>249</v>
      </c>
      <c r="DJ64">
        <v>25</v>
      </c>
      <c r="DK64">
        <v>291</v>
      </c>
      <c r="DL64">
        <v>300</v>
      </c>
      <c r="DM64">
        <v>23</v>
      </c>
      <c r="DN64">
        <v>315</v>
      </c>
      <c r="DO64">
        <v>300</v>
      </c>
      <c r="DP64">
        <v>28</v>
      </c>
      <c r="DQ64">
        <v>280</v>
      </c>
      <c r="DR64">
        <v>256</v>
      </c>
      <c r="DS64">
        <v>35</v>
      </c>
      <c r="DT64">
        <v>313</v>
      </c>
      <c r="DU64">
        <v>302</v>
      </c>
      <c r="DV64">
        <v>27</v>
      </c>
      <c r="DW64">
        <v>289</v>
      </c>
      <c r="DX64">
        <v>293</v>
      </c>
      <c r="DY64">
        <v>32</v>
      </c>
      <c r="DZ64">
        <v>289</v>
      </c>
    </row>
    <row r="65" spans="1:130" hidden="1">
      <c r="A65">
        <v>14</v>
      </c>
      <c r="F65">
        <v>3638</v>
      </c>
      <c r="G65">
        <v>22</v>
      </c>
      <c r="H65">
        <v>1</v>
      </c>
      <c r="I65">
        <v>14</v>
      </c>
      <c r="J65">
        <v>6</v>
      </c>
      <c r="K65">
        <v>257</v>
      </c>
      <c r="L65">
        <v>35</v>
      </c>
      <c r="M65">
        <v>486</v>
      </c>
      <c r="N65">
        <v>280</v>
      </c>
      <c r="O65">
        <v>45</v>
      </c>
      <c r="P65">
        <v>465</v>
      </c>
      <c r="Q65">
        <v>281</v>
      </c>
      <c r="R65">
        <v>48</v>
      </c>
      <c r="S65">
        <v>500</v>
      </c>
      <c r="T65">
        <v>327</v>
      </c>
      <c r="U65">
        <v>25</v>
      </c>
      <c r="V65">
        <v>466</v>
      </c>
      <c r="W65">
        <v>280</v>
      </c>
      <c r="X65">
        <v>48</v>
      </c>
      <c r="Y65">
        <v>459</v>
      </c>
      <c r="Z65">
        <v>323</v>
      </c>
      <c r="AA65">
        <v>22</v>
      </c>
      <c r="AB65">
        <v>473</v>
      </c>
      <c r="AC65">
        <v>310</v>
      </c>
      <c r="AD65">
        <v>28</v>
      </c>
      <c r="AE65">
        <v>500</v>
      </c>
      <c r="AF65">
        <v>244</v>
      </c>
      <c r="AG65">
        <v>35</v>
      </c>
      <c r="AH65">
        <v>558</v>
      </c>
      <c r="AI65">
        <v>267</v>
      </c>
      <c r="AJ65">
        <v>27</v>
      </c>
      <c r="AK65">
        <v>505</v>
      </c>
      <c r="AL65">
        <v>265</v>
      </c>
      <c r="AM65">
        <v>34</v>
      </c>
      <c r="AN65">
        <v>495</v>
      </c>
      <c r="AO65">
        <v>309</v>
      </c>
      <c r="AP65">
        <v>28</v>
      </c>
      <c r="AQ65">
        <v>458</v>
      </c>
      <c r="AR65">
        <v>287</v>
      </c>
      <c r="AS65">
        <v>41</v>
      </c>
      <c r="AT65">
        <v>493</v>
      </c>
      <c r="AU65">
        <v>186</v>
      </c>
      <c r="AV65">
        <v>31</v>
      </c>
      <c r="AW65">
        <v>503</v>
      </c>
      <c r="AX65">
        <v>300</v>
      </c>
      <c r="AY65">
        <v>37</v>
      </c>
      <c r="AZ65">
        <v>486</v>
      </c>
      <c r="BA65">
        <v>291</v>
      </c>
      <c r="BB65">
        <v>35</v>
      </c>
      <c r="BC65">
        <v>473</v>
      </c>
      <c r="BD65">
        <v>287</v>
      </c>
      <c r="BE65">
        <v>25</v>
      </c>
      <c r="BF65">
        <v>463</v>
      </c>
      <c r="BG65">
        <v>244</v>
      </c>
      <c r="BH65">
        <v>37</v>
      </c>
      <c r="BI65">
        <v>474</v>
      </c>
      <c r="BJ65">
        <v>321</v>
      </c>
      <c r="BK65">
        <v>28</v>
      </c>
      <c r="BL65">
        <v>478</v>
      </c>
      <c r="BM65">
        <v>296</v>
      </c>
      <c r="BN65">
        <v>41</v>
      </c>
      <c r="BO65">
        <v>473</v>
      </c>
      <c r="BP65">
        <v>332</v>
      </c>
      <c r="BQ65">
        <v>27</v>
      </c>
      <c r="BR65">
        <v>466</v>
      </c>
      <c r="BS65">
        <v>323</v>
      </c>
      <c r="BT65">
        <v>35</v>
      </c>
      <c r="BU65">
        <v>474</v>
      </c>
      <c r="BV65">
        <v>268</v>
      </c>
      <c r="BW65">
        <v>16</v>
      </c>
      <c r="BX65">
        <v>489</v>
      </c>
      <c r="BY65">
        <v>285</v>
      </c>
      <c r="BZ65">
        <v>24</v>
      </c>
      <c r="CA65">
        <v>452</v>
      </c>
      <c r="CB65">
        <v>301</v>
      </c>
      <c r="CC65">
        <v>36</v>
      </c>
      <c r="CD65">
        <v>461</v>
      </c>
      <c r="CE65">
        <v>279</v>
      </c>
      <c r="CF65">
        <v>20</v>
      </c>
      <c r="CG65">
        <v>500</v>
      </c>
      <c r="CH65">
        <v>276</v>
      </c>
      <c r="CI65">
        <v>33</v>
      </c>
      <c r="CJ65">
        <v>461</v>
      </c>
      <c r="CK65">
        <v>286</v>
      </c>
      <c r="CL65">
        <v>28</v>
      </c>
      <c r="CM65">
        <v>525</v>
      </c>
      <c r="CN65">
        <v>296</v>
      </c>
      <c r="CO65">
        <v>28</v>
      </c>
      <c r="CP65">
        <v>473</v>
      </c>
      <c r="CQ65">
        <v>218</v>
      </c>
      <c r="CR65">
        <v>35</v>
      </c>
      <c r="CS65">
        <v>520</v>
      </c>
      <c r="CT65">
        <v>235</v>
      </c>
      <c r="CU65">
        <v>18</v>
      </c>
      <c r="CV65">
        <v>509</v>
      </c>
      <c r="CW65">
        <v>273</v>
      </c>
      <c r="CX65">
        <v>33</v>
      </c>
      <c r="CY65">
        <v>494</v>
      </c>
      <c r="CZ65">
        <v>281</v>
      </c>
      <c r="DA65">
        <v>41</v>
      </c>
      <c r="DB65">
        <v>480</v>
      </c>
      <c r="DC65">
        <v>287</v>
      </c>
      <c r="DD65">
        <v>24</v>
      </c>
      <c r="DE65">
        <v>571</v>
      </c>
      <c r="DF65">
        <v>313</v>
      </c>
      <c r="DG65">
        <v>34</v>
      </c>
      <c r="DH65">
        <v>465</v>
      </c>
      <c r="DI65">
        <v>251</v>
      </c>
      <c r="DJ65">
        <v>26</v>
      </c>
      <c r="DK65">
        <v>489</v>
      </c>
      <c r="DL65">
        <v>301</v>
      </c>
      <c r="DM65">
        <v>23</v>
      </c>
      <c r="DN65">
        <v>503</v>
      </c>
      <c r="DO65">
        <v>311</v>
      </c>
      <c r="DP65">
        <v>23</v>
      </c>
      <c r="DQ65">
        <v>471</v>
      </c>
      <c r="DR65">
        <v>268</v>
      </c>
      <c r="DS65">
        <v>32</v>
      </c>
      <c r="DT65">
        <v>541</v>
      </c>
      <c r="DU65">
        <v>311</v>
      </c>
      <c r="DV65">
        <v>22</v>
      </c>
      <c r="DW65">
        <v>478</v>
      </c>
      <c r="DX65">
        <v>306</v>
      </c>
      <c r="DY65">
        <v>28</v>
      </c>
      <c r="DZ65">
        <v>478</v>
      </c>
    </row>
    <row r="66" spans="1:130" hidden="1">
      <c r="A66">
        <v>15</v>
      </c>
      <c r="F66">
        <v>3639</v>
      </c>
      <c r="G66">
        <v>22</v>
      </c>
      <c r="H66">
        <v>1</v>
      </c>
      <c r="I66">
        <v>15</v>
      </c>
      <c r="J66">
        <v>6</v>
      </c>
      <c r="K66">
        <v>260</v>
      </c>
      <c r="L66">
        <v>34</v>
      </c>
      <c r="M66">
        <v>650</v>
      </c>
      <c r="N66">
        <v>287</v>
      </c>
      <c r="O66">
        <v>42</v>
      </c>
      <c r="P66">
        <v>631</v>
      </c>
      <c r="Q66">
        <v>291</v>
      </c>
      <c r="R66">
        <v>37</v>
      </c>
      <c r="S66">
        <v>624</v>
      </c>
      <c r="T66">
        <v>331</v>
      </c>
      <c r="U66">
        <v>22</v>
      </c>
      <c r="V66">
        <v>631</v>
      </c>
      <c r="W66">
        <v>287</v>
      </c>
      <c r="X66">
        <v>44</v>
      </c>
      <c r="Y66">
        <v>609</v>
      </c>
      <c r="Z66">
        <v>330</v>
      </c>
      <c r="AA66">
        <v>20</v>
      </c>
      <c r="AB66">
        <v>553</v>
      </c>
      <c r="AC66">
        <v>310</v>
      </c>
      <c r="AD66">
        <v>28</v>
      </c>
      <c r="AE66">
        <v>639</v>
      </c>
      <c r="AF66">
        <v>244</v>
      </c>
      <c r="AG66">
        <v>33</v>
      </c>
      <c r="AH66">
        <v>701</v>
      </c>
      <c r="AI66">
        <v>265</v>
      </c>
      <c r="AJ66">
        <v>27</v>
      </c>
      <c r="AK66">
        <v>656</v>
      </c>
      <c r="AL66">
        <v>270</v>
      </c>
      <c r="AM66">
        <v>32</v>
      </c>
      <c r="AN66">
        <v>658</v>
      </c>
      <c r="AO66">
        <v>313</v>
      </c>
      <c r="AP66">
        <v>28</v>
      </c>
      <c r="AQ66">
        <v>618</v>
      </c>
      <c r="AR66">
        <v>295</v>
      </c>
      <c r="AS66">
        <v>36</v>
      </c>
      <c r="AT66">
        <v>644</v>
      </c>
      <c r="AU66">
        <v>183</v>
      </c>
      <c r="AV66">
        <v>36</v>
      </c>
      <c r="AW66">
        <v>687</v>
      </c>
      <c r="AX66">
        <v>308</v>
      </c>
      <c r="AY66">
        <v>30</v>
      </c>
      <c r="AZ66">
        <v>631</v>
      </c>
      <c r="BA66">
        <v>286</v>
      </c>
      <c r="BB66">
        <v>41</v>
      </c>
      <c r="BC66">
        <v>618</v>
      </c>
      <c r="BD66">
        <v>288</v>
      </c>
      <c r="BE66">
        <v>26</v>
      </c>
      <c r="BF66">
        <v>602</v>
      </c>
      <c r="BG66">
        <v>248</v>
      </c>
      <c r="BH66">
        <v>35</v>
      </c>
      <c r="BI66">
        <v>643</v>
      </c>
      <c r="BJ66">
        <v>334</v>
      </c>
      <c r="BK66">
        <v>22</v>
      </c>
      <c r="BL66">
        <v>623</v>
      </c>
      <c r="BM66">
        <v>306</v>
      </c>
      <c r="BN66">
        <v>35</v>
      </c>
      <c r="BO66">
        <v>606</v>
      </c>
      <c r="BP66">
        <v>338</v>
      </c>
      <c r="BQ66">
        <v>20</v>
      </c>
      <c r="BR66">
        <v>600</v>
      </c>
      <c r="BS66">
        <v>313</v>
      </c>
      <c r="BT66">
        <v>34</v>
      </c>
      <c r="BU66">
        <v>619</v>
      </c>
      <c r="BV66">
        <v>270</v>
      </c>
      <c r="BW66">
        <v>17</v>
      </c>
      <c r="BX66">
        <v>658</v>
      </c>
      <c r="BY66">
        <v>287</v>
      </c>
      <c r="BZ66">
        <v>25</v>
      </c>
      <c r="CA66">
        <v>546</v>
      </c>
      <c r="CB66">
        <v>305</v>
      </c>
      <c r="CC66">
        <v>37</v>
      </c>
      <c r="CD66">
        <v>618</v>
      </c>
      <c r="CE66">
        <v>279</v>
      </c>
      <c r="CF66">
        <v>20</v>
      </c>
      <c r="CG66">
        <v>665</v>
      </c>
      <c r="CH66">
        <v>291</v>
      </c>
      <c r="CI66">
        <v>26</v>
      </c>
      <c r="CJ66">
        <v>623</v>
      </c>
      <c r="CK66">
        <v>292</v>
      </c>
      <c r="CL66">
        <v>28</v>
      </c>
      <c r="CM66">
        <v>691</v>
      </c>
      <c r="CN66">
        <v>306</v>
      </c>
      <c r="CO66">
        <v>27</v>
      </c>
      <c r="CP66">
        <v>619</v>
      </c>
      <c r="CQ66">
        <v>219</v>
      </c>
      <c r="CR66">
        <v>35</v>
      </c>
      <c r="CS66">
        <v>687</v>
      </c>
      <c r="CT66">
        <v>230</v>
      </c>
      <c r="CU66">
        <v>20</v>
      </c>
      <c r="CV66">
        <v>666</v>
      </c>
      <c r="CW66">
        <v>280</v>
      </c>
      <c r="CX66">
        <v>33</v>
      </c>
      <c r="CY66">
        <v>645</v>
      </c>
      <c r="CZ66">
        <v>290</v>
      </c>
      <c r="DA66">
        <v>37</v>
      </c>
      <c r="DB66">
        <v>633</v>
      </c>
      <c r="DC66">
        <v>286</v>
      </c>
      <c r="DD66">
        <v>23</v>
      </c>
      <c r="DE66">
        <v>679</v>
      </c>
      <c r="DF66">
        <v>321</v>
      </c>
      <c r="DG66">
        <v>29</v>
      </c>
      <c r="DH66">
        <v>625</v>
      </c>
      <c r="DI66">
        <v>252</v>
      </c>
      <c r="DJ66">
        <v>28</v>
      </c>
      <c r="DK66">
        <v>659</v>
      </c>
      <c r="DL66">
        <v>302</v>
      </c>
      <c r="DM66">
        <v>23</v>
      </c>
      <c r="DN66">
        <v>650</v>
      </c>
      <c r="DO66">
        <v>323</v>
      </c>
      <c r="DP66">
        <v>19</v>
      </c>
      <c r="DQ66">
        <v>624</v>
      </c>
      <c r="DR66">
        <v>266</v>
      </c>
      <c r="DS66">
        <v>34</v>
      </c>
      <c r="DT66">
        <v>689</v>
      </c>
      <c r="DU66">
        <v>319</v>
      </c>
      <c r="DV66">
        <v>21</v>
      </c>
      <c r="DW66">
        <v>616</v>
      </c>
      <c r="DX66">
        <v>311</v>
      </c>
      <c r="DY66">
        <v>25</v>
      </c>
      <c r="DZ66">
        <v>629</v>
      </c>
    </row>
    <row r="67" spans="1:130" hidden="1">
      <c r="A67">
        <v>16</v>
      </c>
      <c r="F67">
        <v>3640</v>
      </c>
      <c r="G67">
        <v>22</v>
      </c>
      <c r="H67">
        <v>1</v>
      </c>
      <c r="I67">
        <v>16</v>
      </c>
      <c r="J67">
        <v>6</v>
      </c>
      <c r="K67">
        <v>253</v>
      </c>
      <c r="L67">
        <v>36</v>
      </c>
      <c r="M67">
        <v>753</v>
      </c>
      <c r="N67">
        <v>295</v>
      </c>
      <c r="O67">
        <v>41</v>
      </c>
      <c r="P67">
        <v>724</v>
      </c>
      <c r="Q67">
        <v>291</v>
      </c>
      <c r="R67">
        <v>35</v>
      </c>
      <c r="S67">
        <v>637</v>
      </c>
      <c r="T67">
        <v>335</v>
      </c>
      <c r="U67">
        <v>20</v>
      </c>
      <c r="V67">
        <v>731</v>
      </c>
      <c r="W67">
        <v>292</v>
      </c>
      <c r="X67">
        <v>39</v>
      </c>
      <c r="Y67">
        <v>751</v>
      </c>
      <c r="Z67">
        <v>334</v>
      </c>
      <c r="AA67">
        <v>20</v>
      </c>
      <c r="AB67">
        <v>584</v>
      </c>
      <c r="AC67">
        <v>308</v>
      </c>
      <c r="AD67">
        <v>29</v>
      </c>
      <c r="AE67">
        <v>721</v>
      </c>
      <c r="AF67">
        <v>242</v>
      </c>
      <c r="AG67">
        <v>30</v>
      </c>
      <c r="AH67">
        <v>827</v>
      </c>
      <c r="AI67">
        <v>258</v>
      </c>
      <c r="AJ67">
        <v>28</v>
      </c>
      <c r="AK67">
        <v>735</v>
      </c>
      <c r="AL67">
        <v>266</v>
      </c>
      <c r="AM67">
        <v>33</v>
      </c>
      <c r="AN67">
        <v>772</v>
      </c>
      <c r="AO67">
        <v>311</v>
      </c>
      <c r="AP67">
        <v>27</v>
      </c>
      <c r="AQ67">
        <v>717</v>
      </c>
      <c r="AR67">
        <v>296</v>
      </c>
      <c r="AS67">
        <v>30</v>
      </c>
      <c r="AT67">
        <v>723</v>
      </c>
      <c r="AU67">
        <v>178</v>
      </c>
      <c r="AV67">
        <v>40</v>
      </c>
      <c r="AW67">
        <v>816</v>
      </c>
      <c r="AX67">
        <v>308</v>
      </c>
      <c r="AY67">
        <v>30</v>
      </c>
      <c r="AZ67">
        <v>707</v>
      </c>
      <c r="BA67">
        <v>288</v>
      </c>
      <c r="BB67">
        <v>37</v>
      </c>
      <c r="BC67">
        <v>723</v>
      </c>
      <c r="BD67">
        <v>287</v>
      </c>
      <c r="BE67">
        <v>25</v>
      </c>
      <c r="BF67">
        <v>659</v>
      </c>
      <c r="BG67">
        <v>250</v>
      </c>
      <c r="BH67">
        <v>32</v>
      </c>
      <c r="BI67">
        <v>740</v>
      </c>
      <c r="BJ67">
        <v>330</v>
      </c>
      <c r="BK67">
        <v>24</v>
      </c>
      <c r="BL67">
        <v>723</v>
      </c>
      <c r="BM67">
        <v>322</v>
      </c>
      <c r="BN67">
        <v>23</v>
      </c>
      <c r="BO67">
        <v>688</v>
      </c>
      <c r="BP67">
        <v>333</v>
      </c>
      <c r="BQ67">
        <v>18</v>
      </c>
      <c r="BR67">
        <v>602</v>
      </c>
      <c r="BS67">
        <v>317</v>
      </c>
      <c r="BT67">
        <v>35</v>
      </c>
      <c r="BU67">
        <v>694</v>
      </c>
      <c r="BV67">
        <v>269</v>
      </c>
      <c r="BW67">
        <v>18</v>
      </c>
      <c r="BX67">
        <v>763</v>
      </c>
      <c r="BY67">
        <v>291</v>
      </c>
      <c r="BZ67">
        <v>24</v>
      </c>
      <c r="CA67">
        <v>647</v>
      </c>
      <c r="CB67">
        <v>307</v>
      </c>
      <c r="CC67">
        <v>36</v>
      </c>
      <c r="CD67">
        <v>716</v>
      </c>
      <c r="CE67">
        <v>277</v>
      </c>
      <c r="CF67">
        <v>22</v>
      </c>
      <c r="CG67">
        <v>668</v>
      </c>
      <c r="CH67">
        <v>294</v>
      </c>
      <c r="CI67">
        <v>26</v>
      </c>
      <c r="CJ67">
        <v>718</v>
      </c>
      <c r="CK67">
        <v>290</v>
      </c>
      <c r="CL67">
        <v>27</v>
      </c>
      <c r="CM67">
        <v>755</v>
      </c>
      <c r="CN67">
        <v>305</v>
      </c>
      <c r="CO67">
        <v>25</v>
      </c>
      <c r="CP67">
        <v>703</v>
      </c>
      <c r="CQ67">
        <v>209</v>
      </c>
      <c r="CR67">
        <v>37</v>
      </c>
      <c r="CS67">
        <v>795</v>
      </c>
      <c r="CT67">
        <v>231</v>
      </c>
      <c r="CU67">
        <v>22</v>
      </c>
      <c r="CV67">
        <v>746</v>
      </c>
      <c r="CW67">
        <v>282</v>
      </c>
      <c r="CX67">
        <v>33</v>
      </c>
      <c r="CY67">
        <v>713</v>
      </c>
      <c r="CZ67">
        <v>290</v>
      </c>
      <c r="DA67">
        <v>37</v>
      </c>
      <c r="DB67">
        <v>712</v>
      </c>
      <c r="DC67">
        <v>280</v>
      </c>
      <c r="DD67">
        <v>23</v>
      </c>
      <c r="DE67">
        <v>841</v>
      </c>
      <c r="DF67">
        <v>324</v>
      </c>
      <c r="DG67">
        <v>28</v>
      </c>
      <c r="DH67">
        <v>715</v>
      </c>
      <c r="DI67">
        <v>246</v>
      </c>
      <c r="DJ67">
        <v>31</v>
      </c>
      <c r="DK67">
        <v>773</v>
      </c>
      <c r="DL67">
        <v>299</v>
      </c>
      <c r="DM67">
        <v>23</v>
      </c>
      <c r="DN67">
        <v>727</v>
      </c>
      <c r="DO67">
        <v>326</v>
      </c>
      <c r="DP67">
        <v>18</v>
      </c>
      <c r="DQ67">
        <v>712</v>
      </c>
      <c r="DR67">
        <v>247</v>
      </c>
      <c r="DS67">
        <v>36</v>
      </c>
      <c r="DT67">
        <v>647</v>
      </c>
      <c r="DU67">
        <v>322</v>
      </c>
      <c r="DV67">
        <v>19</v>
      </c>
      <c r="DW67">
        <v>729</v>
      </c>
      <c r="DX67">
        <v>310</v>
      </c>
      <c r="DY67">
        <v>24</v>
      </c>
      <c r="DZ67">
        <v>709</v>
      </c>
    </row>
    <row r="68" spans="1:130" hidden="1">
      <c r="A68">
        <v>17</v>
      </c>
      <c r="F68">
        <v>3641</v>
      </c>
      <c r="G68">
        <v>22</v>
      </c>
      <c r="H68">
        <v>1</v>
      </c>
      <c r="I68">
        <v>17</v>
      </c>
      <c r="J68">
        <v>6</v>
      </c>
      <c r="K68">
        <v>251</v>
      </c>
      <c r="L68">
        <v>35</v>
      </c>
      <c r="M68">
        <v>675</v>
      </c>
      <c r="N68">
        <v>288</v>
      </c>
      <c r="O68">
        <v>39</v>
      </c>
      <c r="P68">
        <v>543</v>
      </c>
      <c r="Q68">
        <v>273</v>
      </c>
      <c r="R68">
        <v>39</v>
      </c>
      <c r="S68">
        <v>88</v>
      </c>
      <c r="T68">
        <v>333</v>
      </c>
      <c r="U68">
        <v>19</v>
      </c>
      <c r="V68">
        <v>789</v>
      </c>
      <c r="W68">
        <v>292</v>
      </c>
      <c r="X68">
        <v>40</v>
      </c>
      <c r="Y68">
        <v>842</v>
      </c>
      <c r="Z68">
        <v>332</v>
      </c>
      <c r="AA68">
        <v>20</v>
      </c>
      <c r="AB68">
        <v>684</v>
      </c>
      <c r="AC68">
        <v>300</v>
      </c>
      <c r="AD68">
        <v>32</v>
      </c>
      <c r="AE68">
        <v>632</v>
      </c>
      <c r="AF68">
        <v>234</v>
      </c>
      <c r="AG68">
        <v>29</v>
      </c>
      <c r="AH68">
        <v>825</v>
      </c>
      <c r="AI68">
        <v>248</v>
      </c>
      <c r="AJ68">
        <v>28</v>
      </c>
      <c r="AK68">
        <v>675</v>
      </c>
      <c r="AL68">
        <v>263</v>
      </c>
      <c r="AM68">
        <v>32</v>
      </c>
      <c r="AN68">
        <v>788</v>
      </c>
      <c r="AO68">
        <v>308</v>
      </c>
      <c r="AP68">
        <v>27</v>
      </c>
      <c r="AQ68">
        <v>723</v>
      </c>
      <c r="AR68">
        <v>298</v>
      </c>
      <c r="AS68">
        <v>21</v>
      </c>
      <c r="AT68">
        <v>717</v>
      </c>
      <c r="AU68">
        <v>169</v>
      </c>
      <c r="AV68">
        <v>46</v>
      </c>
      <c r="AW68">
        <v>861</v>
      </c>
      <c r="AX68">
        <v>305</v>
      </c>
      <c r="AY68">
        <v>30</v>
      </c>
      <c r="AZ68">
        <v>716</v>
      </c>
      <c r="BA68">
        <v>287</v>
      </c>
      <c r="BB68">
        <v>35</v>
      </c>
      <c r="BC68">
        <v>750</v>
      </c>
      <c r="BD68">
        <v>284</v>
      </c>
      <c r="BE68">
        <v>27</v>
      </c>
      <c r="BF68">
        <v>657</v>
      </c>
      <c r="BG68">
        <v>249</v>
      </c>
      <c r="BH68">
        <v>35</v>
      </c>
      <c r="BI68">
        <v>783</v>
      </c>
      <c r="BJ68">
        <v>326</v>
      </c>
      <c r="BK68">
        <v>26</v>
      </c>
      <c r="BL68">
        <v>727</v>
      </c>
      <c r="BM68">
        <v>321</v>
      </c>
      <c r="BN68">
        <v>22</v>
      </c>
      <c r="BO68">
        <v>653</v>
      </c>
      <c r="BP68">
        <v>326</v>
      </c>
      <c r="BQ68">
        <v>17</v>
      </c>
      <c r="BR68">
        <v>679</v>
      </c>
      <c r="BS68">
        <v>310</v>
      </c>
      <c r="BT68">
        <v>36</v>
      </c>
      <c r="BU68">
        <v>681</v>
      </c>
      <c r="BV68">
        <v>261</v>
      </c>
      <c r="BW68">
        <v>19</v>
      </c>
      <c r="BX68">
        <v>783</v>
      </c>
      <c r="BY68">
        <v>288</v>
      </c>
      <c r="BZ68">
        <v>25</v>
      </c>
      <c r="CA68">
        <v>562</v>
      </c>
      <c r="CB68">
        <v>303</v>
      </c>
      <c r="CC68">
        <v>35</v>
      </c>
      <c r="CD68">
        <v>724</v>
      </c>
      <c r="CE68">
        <v>268</v>
      </c>
      <c r="CF68">
        <v>25</v>
      </c>
      <c r="CG68">
        <v>689</v>
      </c>
      <c r="CH68">
        <v>292</v>
      </c>
      <c r="CI68">
        <v>28</v>
      </c>
      <c r="CJ68">
        <v>732</v>
      </c>
      <c r="CK68">
        <v>274</v>
      </c>
      <c r="CL68">
        <v>28</v>
      </c>
      <c r="CM68">
        <v>366</v>
      </c>
      <c r="CN68">
        <v>305</v>
      </c>
      <c r="CO68">
        <v>25</v>
      </c>
      <c r="CP68">
        <v>739</v>
      </c>
      <c r="CQ68">
        <v>201</v>
      </c>
      <c r="CR68">
        <v>42</v>
      </c>
      <c r="CS68">
        <v>772</v>
      </c>
      <c r="CT68">
        <v>220</v>
      </c>
      <c r="CU68">
        <v>25</v>
      </c>
      <c r="CV68">
        <v>673</v>
      </c>
      <c r="CW68">
        <v>280</v>
      </c>
      <c r="CX68">
        <v>33</v>
      </c>
      <c r="CY68">
        <v>735</v>
      </c>
      <c r="CZ68">
        <v>289</v>
      </c>
      <c r="DA68">
        <v>36</v>
      </c>
      <c r="DB68">
        <v>710</v>
      </c>
      <c r="DC68">
        <v>274</v>
      </c>
      <c r="DD68">
        <v>24</v>
      </c>
      <c r="DE68">
        <v>741</v>
      </c>
      <c r="DF68">
        <v>321</v>
      </c>
      <c r="DG68">
        <v>27</v>
      </c>
      <c r="DH68">
        <v>715</v>
      </c>
      <c r="DI68">
        <v>237</v>
      </c>
      <c r="DJ68">
        <v>37</v>
      </c>
      <c r="DK68">
        <v>750</v>
      </c>
      <c r="DL68">
        <v>294</v>
      </c>
      <c r="DM68">
        <v>23</v>
      </c>
      <c r="DN68">
        <v>703</v>
      </c>
      <c r="DO68">
        <v>327</v>
      </c>
      <c r="DP68">
        <v>18</v>
      </c>
      <c r="DQ68">
        <v>749</v>
      </c>
      <c r="DR68">
        <v>228</v>
      </c>
      <c r="DS68">
        <v>39</v>
      </c>
      <c r="DT68">
        <v>17</v>
      </c>
      <c r="DU68">
        <v>324</v>
      </c>
      <c r="DV68">
        <v>19</v>
      </c>
      <c r="DW68">
        <v>732</v>
      </c>
      <c r="DX68">
        <v>308</v>
      </c>
      <c r="DY68">
        <v>25</v>
      </c>
      <c r="DZ68">
        <v>735</v>
      </c>
    </row>
    <row r="69" spans="1:130" hidden="1">
      <c r="A69">
        <v>18</v>
      </c>
      <c r="F69">
        <v>3642</v>
      </c>
      <c r="G69">
        <v>22</v>
      </c>
      <c r="H69">
        <v>1</v>
      </c>
      <c r="I69">
        <v>18</v>
      </c>
      <c r="J69">
        <v>6</v>
      </c>
      <c r="K69">
        <v>230</v>
      </c>
      <c r="L69">
        <v>40</v>
      </c>
      <c r="M69">
        <v>30</v>
      </c>
      <c r="N69">
        <v>277</v>
      </c>
      <c r="O69">
        <v>45</v>
      </c>
      <c r="P69">
        <v>22</v>
      </c>
      <c r="Q69">
        <v>260</v>
      </c>
      <c r="R69">
        <v>44</v>
      </c>
      <c r="S69">
        <v>16</v>
      </c>
      <c r="T69">
        <v>326</v>
      </c>
      <c r="U69">
        <v>20</v>
      </c>
      <c r="V69">
        <v>736</v>
      </c>
      <c r="W69">
        <v>290</v>
      </c>
      <c r="X69">
        <v>38</v>
      </c>
      <c r="Y69">
        <v>812</v>
      </c>
      <c r="Z69">
        <v>325</v>
      </c>
      <c r="AA69">
        <v>22</v>
      </c>
      <c r="AB69">
        <v>553</v>
      </c>
      <c r="AC69">
        <v>276</v>
      </c>
      <c r="AD69">
        <v>38</v>
      </c>
      <c r="AE69">
        <v>77</v>
      </c>
      <c r="AF69">
        <v>215</v>
      </c>
      <c r="AG69">
        <v>32</v>
      </c>
      <c r="AH69">
        <v>401</v>
      </c>
      <c r="AI69">
        <v>230</v>
      </c>
      <c r="AJ69">
        <v>29</v>
      </c>
      <c r="AK69">
        <v>52</v>
      </c>
      <c r="AL69">
        <v>240</v>
      </c>
      <c r="AM69">
        <v>48</v>
      </c>
      <c r="AN69">
        <v>599</v>
      </c>
      <c r="AO69">
        <v>297</v>
      </c>
      <c r="AP69">
        <v>31</v>
      </c>
      <c r="AQ69">
        <v>522</v>
      </c>
      <c r="AR69">
        <v>288</v>
      </c>
      <c r="AS69">
        <v>23</v>
      </c>
      <c r="AT69">
        <v>527</v>
      </c>
      <c r="AU69">
        <v>159</v>
      </c>
      <c r="AV69">
        <v>55</v>
      </c>
      <c r="AW69">
        <v>685</v>
      </c>
      <c r="AX69">
        <v>291</v>
      </c>
      <c r="AY69">
        <v>42</v>
      </c>
      <c r="AZ69">
        <v>592</v>
      </c>
      <c r="BA69">
        <v>274</v>
      </c>
      <c r="BB69">
        <v>42</v>
      </c>
      <c r="BC69">
        <v>582</v>
      </c>
      <c r="BD69">
        <v>276</v>
      </c>
      <c r="BE69">
        <v>29</v>
      </c>
      <c r="BF69">
        <v>609</v>
      </c>
      <c r="BG69">
        <v>247</v>
      </c>
      <c r="BH69">
        <v>29</v>
      </c>
      <c r="BI69">
        <v>607</v>
      </c>
      <c r="BJ69">
        <v>314</v>
      </c>
      <c r="BK69">
        <v>28</v>
      </c>
      <c r="BL69">
        <v>578</v>
      </c>
      <c r="BM69">
        <v>308</v>
      </c>
      <c r="BN69">
        <v>25</v>
      </c>
      <c r="BO69">
        <v>592</v>
      </c>
      <c r="BP69">
        <v>313</v>
      </c>
      <c r="BQ69">
        <v>19</v>
      </c>
      <c r="BR69">
        <v>358</v>
      </c>
      <c r="BS69">
        <v>306</v>
      </c>
      <c r="BT69">
        <v>38</v>
      </c>
      <c r="BU69">
        <v>609</v>
      </c>
      <c r="BV69">
        <v>248</v>
      </c>
      <c r="BW69">
        <v>21</v>
      </c>
      <c r="BX69">
        <v>585</v>
      </c>
      <c r="BY69">
        <v>283</v>
      </c>
      <c r="BZ69">
        <v>28</v>
      </c>
      <c r="CA69">
        <v>572</v>
      </c>
      <c r="CB69">
        <v>299</v>
      </c>
      <c r="CC69">
        <v>37</v>
      </c>
      <c r="CD69">
        <v>640</v>
      </c>
      <c r="CE69">
        <v>256</v>
      </c>
      <c r="CF69">
        <v>25</v>
      </c>
      <c r="CG69">
        <v>458</v>
      </c>
      <c r="CH69">
        <v>288</v>
      </c>
      <c r="CI69">
        <v>31</v>
      </c>
      <c r="CJ69">
        <v>562</v>
      </c>
      <c r="CK69">
        <v>256</v>
      </c>
      <c r="CL69">
        <v>38</v>
      </c>
      <c r="CM69">
        <v>12</v>
      </c>
      <c r="CN69">
        <v>300</v>
      </c>
      <c r="CO69">
        <v>25</v>
      </c>
      <c r="CP69">
        <v>637</v>
      </c>
      <c r="CQ69">
        <v>183</v>
      </c>
      <c r="CR69">
        <v>46</v>
      </c>
      <c r="CS69">
        <v>386</v>
      </c>
      <c r="CT69">
        <v>195</v>
      </c>
      <c r="CU69">
        <v>28</v>
      </c>
      <c r="CV69">
        <v>26</v>
      </c>
      <c r="CW69">
        <v>272</v>
      </c>
      <c r="CX69">
        <v>38</v>
      </c>
      <c r="CY69">
        <v>668</v>
      </c>
      <c r="CZ69">
        <v>282</v>
      </c>
      <c r="DA69">
        <v>38</v>
      </c>
      <c r="DB69">
        <v>525</v>
      </c>
      <c r="DC69">
        <v>252</v>
      </c>
      <c r="DD69">
        <v>30</v>
      </c>
      <c r="DE69">
        <v>288</v>
      </c>
      <c r="DF69">
        <v>312</v>
      </c>
      <c r="DG69">
        <v>27</v>
      </c>
      <c r="DH69">
        <v>561</v>
      </c>
      <c r="DI69">
        <v>222</v>
      </c>
      <c r="DJ69">
        <v>43</v>
      </c>
      <c r="DK69">
        <v>392</v>
      </c>
      <c r="DL69">
        <v>287</v>
      </c>
      <c r="DM69">
        <v>24</v>
      </c>
      <c r="DN69">
        <v>557</v>
      </c>
      <c r="DO69">
        <v>312</v>
      </c>
      <c r="DP69">
        <v>27</v>
      </c>
      <c r="DQ69">
        <v>644</v>
      </c>
      <c r="DR69">
        <v>226</v>
      </c>
      <c r="DS69">
        <v>42</v>
      </c>
      <c r="DT69">
        <v>40</v>
      </c>
      <c r="DU69">
        <v>318</v>
      </c>
      <c r="DV69">
        <v>19</v>
      </c>
      <c r="DW69">
        <v>687</v>
      </c>
      <c r="DX69">
        <v>299</v>
      </c>
      <c r="DY69">
        <v>27</v>
      </c>
      <c r="DZ69">
        <v>647</v>
      </c>
    </row>
    <row r="70" spans="1:130" hidden="1">
      <c r="A70">
        <v>19</v>
      </c>
      <c r="F70">
        <v>3643</v>
      </c>
      <c r="G70">
        <v>22</v>
      </c>
      <c r="H70">
        <v>1</v>
      </c>
      <c r="I70">
        <v>19</v>
      </c>
      <c r="J70">
        <v>6</v>
      </c>
      <c r="K70">
        <v>213</v>
      </c>
      <c r="L70">
        <v>41</v>
      </c>
      <c r="M70">
        <v>5</v>
      </c>
      <c r="N70">
        <v>257</v>
      </c>
      <c r="O70">
        <v>49</v>
      </c>
      <c r="P70">
        <v>53</v>
      </c>
      <c r="Q70">
        <v>259</v>
      </c>
      <c r="R70">
        <v>41</v>
      </c>
      <c r="S70">
        <v>8</v>
      </c>
      <c r="T70">
        <v>311</v>
      </c>
      <c r="U70">
        <v>25</v>
      </c>
      <c r="V70">
        <v>520</v>
      </c>
      <c r="W70">
        <v>278</v>
      </c>
      <c r="X70">
        <v>46</v>
      </c>
      <c r="Y70">
        <v>613</v>
      </c>
      <c r="Z70">
        <v>298</v>
      </c>
      <c r="AA70">
        <v>34</v>
      </c>
      <c r="AB70">
        <v>323</v>
      </c>
      <c r="AC70">
        <v>259</v>
      </c>
      <c r="AD70">
        <v>42</v>
      </c>
      <c r="AE70">
        <v>6</v>
      </c>
      <c r="AF70">
        <v>202</v>
      </c>
      <c r="AG70">
        <v>33</v>
      </c>
      <c r="AH70">
        <v>11</v>
      </c>
      <c r="AI70">
        <v>216</v>
      </c>
      <c r="AJ70">
        <v>32</v>
      </c>
      <c r="AK70">
        <v>3</v>
      </c>
      <c r="AL70">
        <v>208</v>
      </c>
      <c r="AM70">
        <v>57</v>
      </c>
      <c r="AN70">
        <v>59</v>
      </c>
      <c r="AO70">
        <v>278</v>
      </c>
      <c r="AP70">
        <v>36</v>
      </c>
      <c r="AQ70">
        <v>222</v>
      </c>
      <c r="AR70">
        <v>244</v>
      </c>
      <c r="AS70">
        <v>36</v>
      </c>
      <c r="AT70">
        <v>16</v>
      </c>
      <c r="AU70">
        <v>145</v>
      </c>
      <c r="AV70">
        <v>63</v>
      </c>
      <c r="AW70">
        <v>61</v>
      </c>
      <c r="AX70">
        <v>255</v>
      </c>
      <c r="AY70">
        <v>54</v>
      </c>
      <c r="AZ70">
        <v>325</v>
      </c>
      <c r="BA70">
        <v>241</v>
      </c>
      <c r="BB70">
        <v>49</v>
      </c>
      <c r="BC70">
        <v>244</v>
      </c>
      <c r="BD70">
        <v>247</v>
      </c>
      <c r="BE70">
        <v>33</v>
      </c>
      <c r="BF70">
        <v>317</v>
      </c>
      <c r="BG70">
        <v>234</v>
      </c>
      <c r="BH70">
        <v>31</v>
      </c>
      <c r="BI70">
        <v>43</v>
      </c>
      <c r="BJ70">
        <v>293</v>
      </c>
      <c r="BK70">
        <v>29</v>
      </c>
      <c r="BL70">
        <v>147</v>
      </c>
      <c r="BM70">
        <v>299</v>
      </c>
      <c r="BN70">
        <v>26</v>
      </c>
      <c r="BO70">
        <v>266</v>
      </c>
      <c r="BP70">
        <v>309</v>
      </c>
      <c r="BQ70">
        <v>21</v>
      </c>
      <c r="BR70">
        <v>449</v>
      </c>
      <c r="BS70">
        <v>295</v>
      </c>
      <c r="BT70">
        <v>40</v>
      </c>
      <c r="BU70">
        <v>280</v>
      </c>
      <c r="BV70">
        <v>223</v>
      </c>
      <c r="BW70">
        <v>28</v>
      </c>
      <c r="BX70">
        <v>20</v>
      </c>
      <c r="BY70">
        <v>269</v>
      </c>
      <c r="BZ70">
        <v>26</v>
      </c>
      <c r="CA70">
        <v>131</v>
      </c>
      <c r="CB70">
        <v>293</v>
      </c>
      <c r="CC70">
        <v>36</v>
      </c>
      <c r="CD70">
        <v>324</v>
      </c>
      <c r="CE70">
        <v>235</v>
      </c>
      <c r="CF70">
        <v>32</v>
      </c>
      <c r="CG70">
        <v>8</v>
      </c>
      <c r="CH70">
        <v>275</v>
      </c>
      <c r="CI70">
        <v>34</v>
      </c>
      <c r="CJ70">
        <v>319</v>
      </c>
      <c r="CK70">
        <v>232</v>
      </c>
      <c r="CL70">
        <v>52</v>
      </c>
      <c r="CM70">
        <v>3</v>
      </c>
      <c r="CN70">
        <v>288</v>
      </c>
      <c r="CO70">
        <v>29</v>
      </c>
      <c r="CP70">
        <v>423</v>
      </c>
      <c r="CQ70">
        <v>161</v>
      </c>
      <c r="CR70">
        <v>52</v>
      </c>
      <c r="CS70">
        <v>6</v>
      </c>
      <c r="CT70">
        <v>179</v>
      </c>
      <c r="CU70">
        <v>31</v>
      </c>
      <c r="CV70">
        <v>5</v>
      </c>
      <c r="CW70">
        <v>257</v>
      </c>
      <c r="CX70">
        <v>47</v>
      </c>
      <c r="CY70">
        <v>432</v>
      </c>
      <c r="CZ70">
        <v>253</v>
      </c>
      <c r="DA70">
        <v>46</v>
      </c>
      <c r="DB70">
        <v>32</v>
      </c>
      <c r="DC70">
        <v>223</v>
      </c>
      <c r="DD70">
        <v>42</v>
      </c>
      <c r="DE70">
        <v>22</v>
      </c>
      <c r="DF70">
        <v>295</v>
      </c>
      <c r="DG70">
        <v>27</v>
      </c>
      <c r="DH70">
        <v>57</v>
      </c>
      <c r="DI70">
        <v>205</v>
      </c>
      <c r="DJ70">
        <v>53</v>
      </c>
      <c r="DK70">
        <v>6</v>
      </c>
      <c r="DL70">
        <v>276</v>
      </c>
      <c r="DM70">
        <v>26</v>
      </c>
      <c r="DN70">
        <v>255</v>
      </c>
      <c r="DO70">
        <v>279</v>
      </c>
      <c r="DP70">
        <v>37</v>
      </c>
      <c r="DQ70">
        <v>457</v>
      </c>
      <c r="DR70">
        <v>198</v>
      </c>
      <c r="DS70">
        <v>53</v>
      </c>
      <c r="DT70">
        <v>31</v>
      </c>
      <c r="DU70">
        <v>300</v>
      </c>
      <c r="DV70">
        <v>29</v>
      </c>
      <c r="DW70">
        <v>275</v>
      </c>
      <c r="DX70">
        <v>278</v>
      </c>
      <c r="DY70">
        <v>35</v>
      </c>
      <c r="DZ70">
        <v>428</v>
      </c>
    </row>
    <row r="71" spans="1:130" hidden="1">
      <c r="A71">
        <v>20</v>
      </c>
      <c r="F71">
        <v>3644</v>
      </c>
      <c r="G71">
        <v>22</v>
      </c>
      <c r="H71">
        <v>1</v>
      </c>
      <c r="I71">
        <v>20</v>
      </c>
      <c r="J71">
        <v>6</v>
      </c>
      <c r="K71">
        <v>195</v>
      </c>
      <c r="L71">
        <v>45</v>
      </c>
      <c r="M71">
        <v>2</v>
      </c>
      <c r="N71">
        <v>209</v>
      </c>
      <c r="O71">
        <v>76</v>
      </c>
      <c r="P71">
        <v>1</v>
      </c>
      <c r="Q71">
        <v>257</v>
      </c>
      <c r="R71">
        <v>39</v>
      </c>
      <c r="S71">
        <v>1</v>
      </c>
      <c r="T71">
        <v>279</v>
      </c>
      <c r="U71">
        <v>36</v>
      </c>
      <c r="V71">
        <v>49</v>
      </c>
      <c r="W71">
        <v>252</v>
      </c>
      <c r="X71">
        <v>58</v>
      </c>
      <c r="Y71">
        <v>15</v>
      </c>
      <c r="Z71">
        <v>253</v>
      </c>
      <c r="AA71">
        <v>50</v>
      </c>
      <c r="AB71">
        <v>8</v>
      </c>
      <c r="AC71">
        <v>252</v>
      </c>
      <c r="AD71">
        <v>42</v>
      </c>
      <c r="AE71">
        <v>1</v>
      </c>
      <c r="AF71">
        <v>181</v>
      </c>
      <c r="AG71">
        <v>42</v>
      </c>
      <c r="AH71">
        <v>3</v>
      </c>
      <c r="AI71">
        <v>195</v>
      </c>
      <c r="AJ71">
        <v>37</v>
      </c>
      <c r="AK71">
        <v>1</v>
      </c>
      <c r="AL71">
        <v>195</v>
      </c>
      <c r="AM71">
        <v>56</v>
      </c>
      <c r="AN71">
        <v>2</v>
      </c>
      <c r="AO71">
        <v>255</v>
      </c>
      <c r="AP71">
        <v>42</v>
      </c>
      <c r="AQ71">
        <v>22</v>
      </c>
      <c r="AR71">
        <v>229</v>
      </c>
      <c r="AS71">
        <v>41</v>
      </c>
      <c r="AT71">
        <v>3</v>
      </c>
      <c r="AU71">
        <v>134</v>
      </c>
      <c r="AV71">
        <v>67</v>
      </c>
      <c r="AW71">
        <v>2</v>
      </c>
      <c r="AX71">
        <v>223</v>
      </c>
      <c r="AY71">
        <v>60</v>
      </c>
      <c r="AZ71">
        <v>8</v>
      </c>
      <c r="BA71">
        <v>224</v>
      </c>
      <c r="BB71">
        <v>53</v>
      </c>
      <c r="BC71">
        <v>3</v>
      </c>
      <c r="BD71">
        <v>208</v>
      </c>
      <c r="BE71">
        <v>40</v>
      </c>
      <c r="BF71">
        <v>1</v>
      </c>
      <c r="BG71">
        <v>211</v>
      </c>
      <c r="BH71">
        <v>35</v>
      </c>
      <c r="BI71">
        <v>2</v>
      </c>
      <c r="BJ71">
        <v>285</v>
      </c>
      <c r="BK71">
        <v>25</v>
      </c>
      <c r="BL71">
        <v>1</v>
      </c>
      <c r="BM71">
        <v>277</v>
      </c>
      <c r="BN71">
        <v>29</v>
      </c>
      <c r="BO71">
        <v>0</v>
      </c>
      <c r="BP71">
        <v>278</v>
      </c>
      <c r="BQ71">
        <v>29</v>
      </c>
      <c r="BR71">
        <v>8</v>
      </c>
      <c r="BS71">
        <v>260</v>
      </c>
      <c r="BT71">
        <v>51</v>
      </c>
      <c r="BU71">
        <v>1</v>
      </c>
      <c r="BV71">
        <v>209</v>
      </c>
      <c r="BW71">
        <v>31</v>
      </c>
      <c r="BX71">
        <v>2</v>
      </c>
      <c r="BY71">
        <v>251</v>
      </c>
      <c r="BZ71">
        <v>28</v>
      </c>
      <c r="CA71">
        <v>2</v>
      </c>
      <c r="CB71">
        <v>245</v>
      </c>
      <c r="CC71">
        <v>53</v>
      </c>
      <c r="CD71">
        <v>0</v>
      </c>
      <c r="CE71">
        <v>206</v>
      </c>
      <c r="CF71">
        <v>44</v>
      </c>
      <c r="CG71">
        <v>2</v>
      </c>
      <c r="CH71">
        <v>263</v>
      </c>
      <c r="CI71">
        <v>34</v>
      </c>
      <c r="CJ71">
        <v>13</v>
      </c>
      <c r="CK71">
        <v>192</v>
      </c>
      <c r="CL71">
        <v>69</v>
      </c>
      <c r="CM71">
        <v>2</v>
      </c>
      <c r="CN71">
        <v>269</v>
      </c>
      <c r="CO71">
        <v>33</v>
      </c>
      <c r="CP71">
        <v>12</v>
      </c>
      <c r="CQ71">
        <v>151</v>
      </c>
      <c r="CR71">
        <v>58</v>
      </c>
      <c r="CS71">
        <v>0</v>
      </c>
      <c r="CT71">
        <v>157</v>
      </c>
      <c r="CU71">
        <v>37</v>
      </c>
      <c r="CV71">
        <v>1</v>
      </c>
      <c r="CW71">
        <v>244</v>
      </c>
      <c r="CX71">
        <v>40</v>
      </c>
      <c r="CY71">
        <v>12</v>
      </c>
      <c r="CZ71">
        <v>231</v>
      </c>
      <c r="DA71">
        <v>58</v>
      </c>
      <c r="DB71">
        <v>3</v>
      </c>
      <c r="DC71">
        <v>189</v>
      </c>
      <c r="DD71">
        <v>61</v>
      </c>
      <c r="DE71">
        <v>0</v>
      </c>
      <c r="DF71">
        <v>256</v>
      </c>
      <c r="DG71">
        <v>43</v>
      </c>
      <c r="DH71">
        <v>1</v>
      </c>
      <c r="DI71">
        <v>185</v>
      </c>
      <c r="DJ71">
        <v>57</v>
      </c>
      <c r="DK71">
        <v>2</v>
      </c>
      <c r="DL71">
        <v>268</v>
      </c>
      <c r="DM71">
        <v>27</v>
      </c>
      <c r="DN71">
        <v>0</v>
      </c>
      <c r="DO71">
        <v>244</v>
      </c>
      <c r="DP71">
        <v>49</v>
      </c>
      <c r="DQ71">
        <v>9</v>
      </c>
      <c r="DR71">
        <v>149</v>
      </c>
      <c r="DS71">
        <v>82</v>
      </c>
      <c r="DT71">
        <v>0</v>
      </c>
      <c r="DU71">
        <v>267</v>
      </c>
      <c r="DV71">
        <v>40</v>
      </c>
      <c r="DW71">
        <v>0</v>
      </c>
      <c r="DX71">
        <v>246</v>
      </c>
      <c r="DY71">
        <v>46</v>
      </c>
      <c r="DZ71">
        <v>11</v>
      </c>
    </row>
    <row r="72" spans="1:130" hidden="1">
      <c r="A72">
        <v>21</v>
      </c>
      <c r="F72">
        <v>3645</v>
      </c>
      <c r="G72">
        <v>22</v>
      </c>
      <c r="H72">
        <v>1</v>
      </c>
      <c r="I72">
        <v>21</v>
      </c>
      <c r="J72">
        <v>6</v>
      </c>
      <c r="K72">
        <v>177</v>
      </c>
      <c r="L72">
        <v>50</v>
      </c>
      <c r="M72">
        <v>0</v>
      </c>
      <c r="N72">
        <v>203</v>
      </c>
      <c r="O72">
        <v>66</v>
      </c>
      <c r="P72">
        <v>0</v>
      </c>
      <c r="Q72">
        <v>253</v>
      </c>
      <c r="R72">
        <v>39</v>
      </c>
      <c r="S72">
        <v>0</v>
      </c>
      <c r="T72">
        <v>242</v>
      </c>
      <c r="U72">
        <v>51</v>
      </c>
      <c r="V72">
        <v>0</v>
      </c>
      <c r="W72">
        <v>226</v>
      </c>
      <c r="X72">
        <v>66</v>
      </c>
      <c r="Y72">
        <v>0</v>
      </c>
      <c r="Z72">
        <v>213</v>
      </c>
      <c r="AA72">
        <v>64</v>
      </c>
      <c r="AB72">
        <v>0</v>
      </c>
      <c r="AC72">
        <v>222</v>
      </c>
      <c r="AD72">
        <v>55</v>
      </c>
      <c r="AE72">
        <v>0</v>
      </c>
      <c r="AF72">
        <v>151</v>
      </c>
      <c r="AG72">
        <v>52</v>
      </c>
      <c r="AH72">
        <v>0</v>
      </c>
      <c r="AI72">
        <v>183</v>
      </c>
      <c r="AJ72">
        <v>42</v>
      </c>
      <c r="AK72">
        <v>0</v>
      </c>
      <c r="AL72">
        <v>175</v>
      </c>
      <c r="AM72">
        <v>63</v>
      </c>
      <c r="AN72">
        <v>0</v>
      </c>
      <c r="AO72">
        <v>242</v>
      </c>
      <c r="AP72">
        <v>45</v>
      </c>
      <c r="AQ72">
        <v>0</v>
      </c>
      <c r="AR72">
        <v>218</v>
      </c>
      <c r="AS72">
        <v>44</v>
      </c>
      <c r="AT72">
        <v>0</v>
      </c>
      <c r="AU72">
        <v>128</v>
      </c>
      <c r="AV72">
        <v>65</v>
      </c>
      <c r="AW72">
        <v>0</v>
      </c>
      <c r="AX72">
        <v>209</v>
      </c>
      <c r="AY72">
        <v>64</v>
      </c>
      <c r="AZ72">
        <v>0</v>
      </c>
      <c r="BA72">
        <v>209</v>
      </c>
      <c r="BB72">
        <v>57</v>
      </c>
      <c r="BC72">
        <v>0</v>
      </c>
      <c r="BD72">
        <v>183</v>
      </c>
      <c r="BE72">
        <v>51</v>
      </c>
      <c r="BF72">
        <v>0</v>
      </c>
      <c r="BG72">
        <v>206</v>
      </c>
      <c r="BH72">
        <v>36</v>
      </c>
      <c r="BI72">
        <v>0</v>
      </c>
      <c r="BJ72">
        <v>273</v>
      </c>
      <c r="BK72">
        <v>28</v>
      </c>
      <c r="BL72">
        <v>0</v>
      </c>
      <c r="BM72">
        <v>267</v>
      </c>
      <c r="BN72">
        <v>31</v>
      </c>
      <c r="BO72">
        <v>0</v>
      </c>
      <c r="BP72">
        <v>255</v>
      </c>
      <c r="BQ72">
        <v>36</v>
      </c>
      <c r="BR72">
        <v>0</v>
      </c>
      <c r="BS72">
        <v>240</v>
      </c>
      <c r="BT72">
        <v>51</v>
      </c>
      <c r="BU72">
        <v>0</v>
      </c>
      <c r="BV72">
        <v>196</v>
      </c>
      <c r="BW72">
        <v>32</v>
      </c>
      <c r="BX72">
        <v>0</v>
      </c>
      <c r="BY72">
        <v>235</v>
      </c>
      <c r="BZ72">
        <v>35</v>
      </c>
      <c r="CA72">
        <v>0</v>
      </c>
      <c r="CB72">
        <v>221</v>
      </c>
      <c r="CC72">
        <v>59</v>
      </c>
      <c r="CD72">
        <v>0</v>
      </c>
      <c r="CE72">
        <v>202</v>
      </c>
      <c r="CF72">
        <v>46</v>
      </c>
      <c r="CG72">
        <v>0</v>
      </c>
      <c r="CH72">
        <v>251</v>
      </c>
      <c r="CI72">
        <v>36</v>
      </c>
      <c r="CJ72">
        <v>0</v>
      </c>
      <c r="CK72">
        <v>169</v>
      </c>
      <c r="CL72">
        <v>78</v>
      </c>
      <c r="CM72">
        <v>0</v>
      </c>
      <c r="CN72">
        <v>256</v>
      </c>
      <c r="CO72">
        <v>36</v>
      </c>
      <c r="CP72">
        <v>0</v>
      </c>
      <c r="CQ72">
        <v>145</v>
      </c>
      <c r="CR72">
        <v>61</v>
      </c>
      <c r="CS72">
        <v>0</v>
      </c>
      <c r="CT72">
        <v>138</v>
      </c>
      <c r="CU72">
        <v>44</v>
      </c>
      <c r="CV72">
        <v>0</v>
      </c>
      <c r="CW72">
        <v>233</v>
      </c>
      <c r="CX72">
        <v>42</v>
      </c>
      <c r="CY72">
        <v>0</v>
      </c>
      <c r="CZ72">
        <v>213</v>
      </c>
      <c r="DA72">
        <v>68</v>
      </c>
      <c r="DB72">
        <v>0</v>
      </c>
      <c r="DC72">
        <v>163</v>
      </c>
      <c r="DD72">
        <v>72</v>
      </c>
      <c r="DE72">
        <v>0</v>
      </c>
      <c r="DF72">
        <v>235</v>
      </c>
      <c r="DG72">
        <v>45</v>
      </c>
      <c r="DH72">
        <v>0</v>
      </c>
      <c r="DI72">
        <v>150</v>
      </c>
      <c r="DJ72">
        <v>66</v>
      </c>
      <c r="DK72">
        <v>0</v>
      </c>
      <c r="DL72">
        <v>263</v>
      </c>
      <c r="DM72">
        <v>28</v>
      </c>
      <c r="DN72">
        <v>0</v>
      </c>
      <c r="DO72">
        <v>211</v>
      </c>
      <c r="DP72">
        <v>64</v>
      </c>
      <c r="DQ72">
        <v>0</v>
      </c>
      <c r="DR72">
        <v>143</v>
      </c>
      <c r="DS72">
        <v>84</v>
      </c>
      <c r="DT72">
        <v>0</v>
      </c>
      <c r="DU72">
        <v>219</v>
      </c>
      <c r="DV72">
        <v>55</v>
      </c>
      <c r="DW72">
        <v>0</v>
      </c>
      <c r="DX72">
        <v>230</v>
      </c>
      <c r="DY72">
        <v>45</v>
      </c>
      <c r="DZ72">
        <v>0</v>
      </c>
    </row>
    <row r="73" spans="1:130" hidden="1">
      <c r="A73">
        <v>22</v>
      </c>
      <c r="F73">
        <v>3646</v>
      </c>
      <c r="G73">
        <v>22</v>
      </c>
      <c r="H73">
        <v>1</v>
      </c>
      <c r="I73">
        <v>22</v>
      </c>
      <c r="J73">
        <v>6</v>
      </c>
      <c r="K73">
        <v>183</v>
      </c>
      <c r="L73">
        <v>40</v>
      </c>
      <c r="M73">
        <v>0</v>
      </c>
      <c r="N73">
        <v>198</v>
      </c>
      <c r="O73">
        <v>62</v>
      </c>
      <c r="P73">
        <v>0</v>
      </c>
      <c r="Q73">
        <v>240</v>
      </c>
      <c r="R73">
        <v>46</v>
      </c>
      <c r="S73">
        <v>0</v>
      </c>
      <c r="T73">
        <v>234</v>
      </c>
      <c r="U73">
        <v>52</v>
      </c>
      <c r="V73">
        <v>0</v>
      </c>
      <c r="W73">
        <v>210</v>
      </c>
      <c r="X73">
        <v>72</v>
      </c>
      <c r="Y73">
        <v>0</v>
      </c>
      <c r="Z73">
        <v>205</v>
      </c>
      <c r="AA73">
        <v>65</v>
      </c>
      <c r="AB73">
        <v>0</v>
      </c>
      <c r="AC73">
        <v>206</v>
      </c>
      <c r="AD73">
        <v>62</v>
      </c>
      <c r="AE73">
        <v>0</v>
      </c>
      <c r="AF73">
        <v>139</v>
      </c>
      <c r="AG73">
        <v>57</v>
      </c>
      <c r="AH73">
        <v>0</v>
      </c>
      <c r="AI73">
        <v>181</v>
      </c>
      <c r="AJ73">
        <v>45</v>
      </c>
      <c r="AK73">
        <v>0</v>
      </c>
      <c r="AL73">
        <v>174</v>
      </c>
      <c r="AM73">
        <v>60</v>
      </c>
      <c r="AN73">
        <v>0</v>
      </c>
      <c r="AO73">
        <v>248</v>
      </c>
      <c r="AP73">
        <v>41</v>
      </c>
      <c r="AQ73">
        <v>0</v>
      </c>
      <c r="AR73">
        <v>208</v>
      </c>
      <c r="AS73">
        <v>48</v>
      </c>
      <c r="AT73">
        <v>0</v>
      </c>
      <c r="AU73">
        <v>117</v>
      </c>
      <c r="AV73">
        <v>73</v>
      </c>
      <c r="AW73">
        <v>0</v>
      </c>
      <c r="AX73">
        <v>207</v>
      </c>
      <c r="AY73">
        <v>62</v>
      </c>
      <c r="AZ73">
        <v>0</v>
      </c>
      <c r="BA73">
        <v>200</v>
      </c>
      <c r="BB73">
        <v>59</v>
      </c>
      <c r="BC73">
        <v>0</v>
      </c>
      <c r="BD73">
        <v>172</v>
      </c>
      <c r="BE73">
        <v>60</v>
      </c>
      <c r="BF73">
        <v>0</v>
      </c>
      <c r="BG73">
        <v>213</v>
      </c>
      <c r="BH73">
        <v>29</v>
      </c>
      <c r="BI73">
        <v>0</v>
      </c>
      <c r="BJ73">
        <v>262</v>
      </c>
      <c r="BK73">
        <v>26</v>
      </c>
      <c r="BL73">
        <v>0</v>
      </c>
      <c r="BM73">
        <v>257</v>
      </c>
      <c r="BN73">
        <v>34</v>
      </c>
      <c r="BO73">
        <v>0</v>
      </c>
      <c r="BP73">
        <v>243</v>
      </c>
      <c r="BQ73">
        <v>40</v>
      </c>
      <c r="BR73">
        <v>0</v>
      </c>
      <c r="BS73">
        <v>238</v>
      </c>
      <c r="BT73">
        <v>40</v>
      </c>
      <c r="BU73">
        <v>0</v>
      </c>
      <c r="BV73">
        <v>191</v>
      </c>
      <c r="BW73">
        <v>35</v>
      </c>
      <c r="BX73">
        <v>0</v>
      </c>
      <c r="BY73">
        <v>227</v>
      </c>
      <c r="BZ73">
        <v>39</v>
      </c>
      <c r="CA73">
        <v>0</v>
      </c>
      <c r="CB73">
        <v>214</v>
      </c>
      <c r="CC73">
        <v>64</v>
      </c>
      <c r="CD73">
        <v>0</v>
      </c>
      <c r="CE73">
        <v>193</v>
      </c>
      <c r="CF73">
        <v>47</v>
      </c>
      <c r="CG73">
        <v>0</v>
      </c>
      <c r="CH73">
        <v>242</v>
      </c>
      <c r="CI73">
        <v>39</v>
      </c>
      <c r="CJ73">
        <v>0</v>
      </c>
      <c r="CK73">
        <v>165</v>
      </c>
      <c r="CL73">
        <v>79</v>
      </c>
      <c r="CM73">
        <v>0</v>
      </c>
      <c r="CN73">
        <v>244</v>
      </c>
      <c r="CO73">
        <v>40</v>
      </c>
      <c r="CP73">
        <v>0</v>
      </c>
      <c r="CQ73">
        <v>124</v>
      </c>
      <c r="CR73">
        <v>72</v>
      </c>
      <c r="CS73">
        <v>0</v>
      </c>
      <c r="CT73">
        <v>134</v>
      </c>
      <c r="CU73">
        <v>44</v>
      </c>
      <c r="CV73">
        <v>0</v>
      </c>
      <c r="CW73">
        <v>232</v>
      </c>
      <c r="CX73">
        <v>43</v>
      </c>
      <c r="CY73">
        <v>0</v>
      </c>
      <c r="CZ73">
        <v>199</v>
      </c>
      <c r="DA73">
        <v>73</v>
      </c>
      <c r="DB73">
        <v>0</v>
      </c>
      <c r="DC73">
        <v>145</v>
      </c>
      <c r="DD73">
        <v>76</v>
      </c>
      <c r="DE73">
        <v>0</v>
      </c>
      <c r="DF73">
        <v>230</v>
      </c>
      <c r="DG73">
        <v>42</v>
      </c>
      <c r="DH73">
        <v>0</v>
      </c>
      <c r="DI73">
        <v>123</v>
      </c>
      <c r="DJ73">
        <v>76</v>
      </c>
      <c r="DK73">
        <v>0</v>
      </c>
      <c r="DL73">
        <v>260</v>
      </c>
      <c r="DM73">
        <v>29</v>
      </c>
      <c r="DN73">
        <v>0</v>
      </c>
      <c r="DO73">
        <v>192</v>
      </c>
      <c r="DP73">
        <v>70</v>
      </c>
      <c r="DQ73">
        <v>0</v>
      </c>
      <c r="DR73">
        <v>145</v>
      </c>
      <c r="DS73">
        <v>79</v>
      </c>
      <c r="DT73">
        <v>0</v>
      </c>
      <c r="DU73">
        <v>200</v>
      </c>
      <c r="DV73">
        <v>61</v>
      </c>
      <c r="DW73">
        <v>0</v>
      </c>
      <c r="DX73">
        <v>225</v>
      </c>
      <c r="DY73">
        <v>44</v>
      </c>
      <c r="DZ73">
        <v>0</v>
      </c>
    </row>
    <row r="74" spans="1:130" hidden="1">
      <c r="A74">
        <v>23</v>
      </c>
      <c r="F74">
        <v>3647</v>
      </c>
      <c r="G74">
        <v>22</v>
      </c>
      <c r="H74">
        <v>1</v>
      </c>
      <c r="I74">
        <v>23</v>
      </c>
      <c r="J74">
        <v>6</v>
      </c>
      <c r="K74">
        <v>197</v>
      </c>
      <c r="L74">
        <v>34</v>
      </c>
      <c r="M74">
        <v>0</v>
      </c>
      <c r="N74">
        <v>191</v>
      </c>
      <c r="O74">
        <v>64</v>
      </c>
      <c r="P74">
        <v>0</v>
      </c>
      <c r="Q74">
        <v>217</v>
      </c>
      <c r="R74">
        <v>60</v>
      </c>
      <c r="S74">
        <v>0</v>
      </c>
      <c r="T74">
        <v>223</v>
      </c>
      <c r="U74">
        <v>53</v>
      </c>
      <c r="V74">
        <v>0</v>
      </c>
      <c r="W74">
        <v>204</v>
      </c>
      <c r="X74">
        <v>71</v>
      </c>
      <c r="Y74">
        <v>0</v>
      </c>
      <c r="Z74">
        <v>187</v>
      </c>
      <c r="AA74">
        <v>72</v>
      </c>
      <c r="AB74">
        <v>0</v>
      </c>
      <c r="AC74">
        <v>194</v>
      </c>
      <c r="AD74">
        <v>66</v>
      </c>
      <c r="AE74">
        <v>0</v>
      </c>
      <c r="AF74">
        <v>131</v>
      </c>
      <c r="AG74">
        <v>60</v>
      </c>
      <c r="AH74">
        <v>0</v>
      </c>
      <c r="AI74">
        <v>173</v>
      </c>
      <c r="AJ74">
        <v>46</v>
      </c>
      <c r="AK74">
        <v>0</v>
      </c>
      <c r="AL74">
        <v>175</v>
      </c>
      <c r="AM74">
        <v>59</v>
      </c>
      <c r="AN74">
        <v>0</v>
      </c>
      <c r="AO74">
        <v>243</v>
      </c>
      <c r="AP74">
        <v>40</v>
      </c>
      <c r="AQ74">
        <v>0</v>
      </c>
      <c r="AR74">
        <v>194</v>
      </c>
      <c r="AS74">
        <v>53</v>
      </c>
      <c r="AT74">
        <v>0</v>
      </c>
      <c r="AU74">
        <v>122</v>
      </c>
      <c r="AV74">
        <v>57</v>
      </c>
      <c r="AW74">
        <v>0</v>
      </c>
      <c r="AX74">
        <v>204</v>
      </c>
      <c r="AY74">
        <v>63</v>
      </c>
      <c r="AZ74">
        <v>0</v>
      </c>
      <c r="BA74">
        <v>193</v>
      </c>
      <c r="BB74">
        <v>60</v>
      </c>
      <c r="BC74">
        <v>0</v>
      </c>
      <c r="BD74">
        <v>165</v>
      </c>
      <c r="BE74">
        <v>60</v>
      </c>
      <c r="BF74">
        <v>0</v>
      </c>
      <c r="BG74">
        <v>211</v>
      </c>
      <c r="BH74">
        <v>28</v>
      </c>
      <c r="BI74">
        <v>0</v>
      </c>
      <c r="BJ74">
        <v>260</v>
      </c>
      <c r="BK74">
        <v>26</v>
      </c>
      <c r="BL74">
        <v>0</v>
      </c>
      <c r="BM74">
        <v>245</v>
      </c>
      <c r="BN74">
        <v>40</v>
      </c>
      <c r="BO74">
        <v>0</v>
      </c>
      <c r="BP74">
        <v>230</v>
      </c>
      <c r="BQ74">
        <v>47</v>
      </c>
      <c r="BR74">
        <v>0</v>
      </c>
      <c r="BS74">
        <v>249</v>
      </c>
      <c r="BT74">
        <v>35</v>
      </c>
      <c r="BU74">
        <v>0</v>
      </c>
      <c r="BV74">
        <v>191</v>
      </c>
      <c r="BW74">
        <v>47</v>
      </c>
      <c r="BX74">
        <v>0</v>
      </c>
      <c r="BY74">
        <v>219</v>
      </c>
      <c r="BZ74">
        <v>41</v>
      </c>
      <c r="CA74">
        <v>0</v>
      </c>
      <c r="CB74">
        <v>195</v>
      </c>
      <c r="CC74">
        <v>74</v>
      </c>
      <c r="CD74">
        <v>0</v>
      </c>
      <c r="CE74">
        <v>185</v>
      </c>
      <c r="CF74">
        <v>45</v>
      </c>
      <c r="CG74">
        <v>0</v>
      </c>
      <c r="CH74">
        <v>225</v>
      </c>
      <c r="CI74">
        <v>45</v>
      </c>
      <c r="CJ74">
        <v>0</v>
      </c>
      <c r="CK74">
        <v>155</v>
      </c>
      <c r="CL74">
        <v>83</v>
      </c>
      <c r="CM74">
        <v>0</v>
      </c>
      <c r="CN74">
        <v>245</v>
      </c>
      <c r="CO74">
        <v>41</v>
      </c>
      <c r="CP74">
        <v>0</v>
      </c>
      <c r="CQ74">
        <v>101</v>
      </c>
      <c r="CR74">
        <v>79</v>
      </c>
      <c r="CS74">
        <v>0</v>
      </c>
      <c r="CT74">
        <v>138</v>
      </c>
      <c r="CU74">
        <v>44</v>
      </c>
      <c r="CV74">
        <v>0</v>
      </c>
      <c r="CW74">
        <v>227</v>
      </c>
      <c r="CX74">
        <v>45</v>
      </c>
      <c r="CY74">
        <v>0</v>
      </c>
      <c r="CZ74">
        <v>196</v>
      </c>
      <c r="DA74">
        <v>76</v>
      </c>
      <c r="DB74">
        <v>0</v>
      </c>
      <c r="DC74">
        <v>138</v>
      </c>
      <c r="DD74">
        <v>78</v>
      </c>
      <c r="DE74">
        <v>0</v>
      </c>
      <c r="DF74">
        <v>202</v>
      </c>
      <c r="DG74">
        <v>54</v>
      </c>
      <c r="DH74">
        <v>0</v>
      </c>
      <c r="DI74">
        <v>106</v>
      </c>
      <c r="DJ74">
        <v>81</v>
      </c>
      <c r="DK74">
        <v>0</v>
      </c>
      <c r="DL74">
        <v>257</v>
      </c>
      <c r="DM74">
        <v>30</v>
      </c>
      <c r="DN74">
        <v>0</v>
      </c>
      <c r="DO74">
        <v>181</v>
      </c>
      <c r="DP74">
        <v>77</v>
      </c>
      <c r="DQ74">
        <v>0</v>
      </c>
      <c r="DR74">
        <v>150</v>
      </c>
      <c r="DS74">
        <v>68</v>
      </c>
      <c r="DT74">
        <v>0</v>
      </c>
      <c r="DU74">
        <v>185</v>
      </c>
      <c r="DV74">
        <v>67</v>
      </c>
      <c r="DW74">
        <v>0</v>
      </c>
      <c r="DX74">
        <v>216</v>
      </c>
      <c r="DY74">
        <v>49</v>
      </c>
      <c r="DZ74">
        <v>0</v>
      </c>
    </row>
    <row r="75" spans="1:130" hidden="1">
      <c r="A75">
        <v>24</v>
      </c>
      <c r="F75">
        <v>3648</v>
      </c>
      <c r="G75">
        <v>22</v>
      </c>
      <c r="H75">
        <v>1</v>
      </c>
      <c r="I75">
        <v>24</v>
      </c>
      <c r="J75">
        <v>6</v>
      </c>
      <c r="K75">
        <v>191</v>
      </c>
      <c r="L75">
        <v>36</v>
      </c>
      <c r="M75">
        <v>0</v>
      </c>
      <c r="N75">
        <v>179</v>
      </c>
      <c r="O75">
        <v>71</v>
      </c>
      <c r="P75">
        <v>0</v>
      </c>
      <c r="Q75">
        <v>212</v>
      </c>
      <c r="R75">
        <v>64</v>
      </c>
      <c r="S75">
        <v>0</v>
      </c>
      <c r="T75">
        <v>221</v>
      </c>
      <c r="U75">
        <v>51</v>
      </c>
      <c r="V75">
        <v>0</v>
      </c>
      <c r="W75">
        <v>199</v>
      </c>
      <c r="X75">
        <v>74</v>
      </c>
      <c r="Y75">
        <v>0</v>
      </c>
      <c r="Z75">
        <v>180</v>
      </c>
      <c r="AA75">
        <v>75</v>
      </c>
      <c r="AB75">
        <v>0</v>
      </c>
      <c r="AC75">
        <v>186</v>
      </c>
      <c r="AD75">
        <v>67</v>
      </c>
      <c r="AE75">
        <v>0</v>
      </c>
      <c r="AF75">
        <v>125</v>
      </c>
      <c r="AG75">
        <v>63</v>
      </c>
      <c r="AH75">
        <v>0</v>
      </c>
      <c r="AI75">
        <v>154</v>
      </c>
      <c r="AJ75">
        <v>54</v>
      </c>
      <c r="AK75">
        <v>0</v>
      </c>
      <c r="AL75">
        <v>174</v>
      </c>
      <c r="AM75">
        <v>58</v>
      </c>
      <c r="AN75">
        <v>0</v>
      </c>
      <c r="AO75">
        <v>240</v>
      </c>
      <c r="AP75">
        <v>36</v>
      </c>
      <c r="AQ75">
        <v>0</v>
      </c>
      <c r="AR75">
        <v>187</v>
      </c>
      <c r="AS75">
        <v>56</v>
      </c>
      <c r="AT75">
        <v>0</v>
      </c>
      <c r="AU75">
        <v>129</v>
      </c>
      <c r="AV75">
        <v>36</v>
      </c>
      <c r="AW75">
        <v>0</v>
      </c>
      <c r="AX75">
        <v>198</v>
      </c>
      <c r="AY75">
        <v>68</v>
      </c>
      <c r="AZ75">
        <v>0</v>
      </c>
      <c r="BA75">
        <v>184</v>
      </c>
      <c r="BB75">
        <v>61</v>
      </c>
      <c r="BC75">
        <v>0</v>
      </c>
      <c r="BD75">
        <v>163</v>
      </c>
      <c r="BE75">
        <v>58</v>
      </c>
      <c r="BF75">
        <v>0</v>
      </c>
      <c r="BG75">
        <v>203</v>
      </c>
      <c r="BH75">
        <v>33</v>
      </c>
      <c r="BI75">
        <v>0</v>
      </c>
      <c r="BJ75">
        <v>253</v>
      </c>
      <c r="BK75">
        <v>28</v>
      </c>
      <c r="BL75">
        <v>0</v>
      </c>
      <c r="BM75">
        <v>233</v>
      </c>
      <c r="BN75">
        <v>43</v>
      </c>
      <c r="BO75">
        <v>0</v>
      </c>
      <c r="BP75">
        <v>221</v>
      </c>
      <c r="BQ75">
        <v>51</v>
      </c>
      <c r="BR75">
        <v>0</v>
      </c>
      <c r="BS75">
        <v>244</v>
      </c>
      <c r="BT75">
        <v>36</v>
      </c>
      <c r="BU75">
        <v>0</v>
      </c>
      <c r="BV75">
        <v>184</v>
      </c>
      <c r="BW75">
        <v>52</v>
      </c>
      <c r="BX75">
        <v>0</v>
      </c>
      <c r="BY75">
        <v>214</v>
      </c>
      <c r="BZ75">
        <v>41</v>
      </c>
      <c r="CA75">
        <v>0</v>
      </c>
      <c r="CB75">
        <v>187</v>
      </c>
      <c r="CC75">
        <v>71</v>
      </c>
      <c r="CD75">
        <v>0</v>
      </c>
      <c r="CE75">
        <v>177</v>
      </c>
      <c r="CF75">
        <v>44</v>
      </c>
      <c r="CG75">
        <v>0</v>
      </c>
      <c r="CH75">
        <v>217</v>
      </c>
      <c r="CI75">
        <v>49</v>
      </c>
      <c r="CJ75">
        <v>0</v>
      </c>
      <c r="CK75">
        <v>153</v>
      </c>
      <c r="CL75">
        <v>84</v>
      </c>
      <c r="CM75">
        <v>0</v>
      </c>
      <c r="CN75">
        <v>227</v>
      </c>
      <c r="CO75">
        <v>46</v>
      </c>
      <c r="CP75">
        <v>0</v>
      </c>
      <c r="CQ75">
        <v>89</v>
      </c>
      <c r="CR75">
        <v>84</v>
      </c>
      <c r="CS75">
        <v>0</v>
      </c>
      <c r="CT75">
        <v>124</v>
      </c>
      <c r="CU75">
        <v>49</v>
      </c>
      <c r="CV75">
        <v>0</v>
      </c>
      <c r="CW75">
        <v>213</v>
      </c>
      <c r="CX75">
        <v>51</v>
      </c>
      <c r="CY75">
        <v>0</v>
      </c>
      <c r="CZ75">
        <v>190</v>
      </c>
      <c r="DA75">
        <v>80</v>
      </c>
      <c r="DB75">
        <v>0</v>
      </c>
      <c r="DC75">
        <v>130</v>
      </c>
      <c r="DD75">
        <v>79</v>
      </c>
      <c r="DE75">
        <v>0</v>
      </c>
      <c r="DF75">
        <v>199</v>
      </c>
      <c r="DG75">
        <v>54</v>
      </c>
      <c r="DH75">
        <v>0</v>
      </c>
      <c r="DI75">
        <v>96</v>
      </c>
      <c r="DJ75">
        <v>84</v>
      </c>
      <c r="DK75">
        <v>0</v>
      </c>
      <c r="DL75">
        <v>253</v>
      </c>
      <c r="DM75">
        <v>30</v>
      </c>
      <c r="DN75">
        <v>0</v>
      </c>
      <c r="DO75">
        <v>170</v>
      </c>
      <c r="DP75">
        <v>82</v>
      </c>
      <c r="DQ75">
        <v>0</v>
      </c>
      <c r="DR75">
        <v>145</v>
      </c>
      <c r="DS75">
        <v>65</v>
      </c>
      <c r="DT75">
        <v>0</v>
      </c>
      <c r="DU75">
        <v>162</v>
      </c>
      <c r="DV75">
        <v>74</v>
      </c>
      <c r="DW75">
        <v>0</v>
      </c>
      <c r="DX75">
        <v>205</v>
      </c>
      <c r="DY75">
        <v>58</v>
      </c>
      <c r="DZ75">
        <v>0</v>
      </c>
    </row>
    <row r="76" spans="1:130" hidden="1">
      <c r="A76">
        <v>1</v>
      </c>
      <c r="F76">
        <v>3625</v>
      </c>
      <c r="G76">
        <v>22</v>
      </c>
      <c r="H76">
        <v>1</v>
      </c>
      <c r="I76">
        <v>1</v>
      </c>
      <c r="J76">
        <v>6</v>
      </c>
      <c r="K76">
        <v>129</v>
      </c>
      <c r="L76">
        <v>68</v>
      </c>
      <c r="M76">
        <v>0</v>
      </c>
      <c r="N76">
        <v>163</v>
      </c>
      <c r="O76">
        <v>80</v>
      </c>
      <c r="P76">
        <v>0</v>
      </c>
      <c r="Q76">
        <v>175</v>
      </c>
      <c r="R76">
        <v>75</v>
      </c>
      <c r="S76">
        <v>0</v>
      </c>
      <c r="T76">
        <v>158</v>
      </c>
      <c r="U76">
        <v>73</v>
      </c>
      <c r="V76">
        <v>0</v>
      </c>
      <c r="W76">
        <v>171</v>
      </c>
      <c r="X76">
        <v>84</v>
      </c>
      <c r="Y76">
        <v>0</v>
      </c>
      <c r="Z76">
        <v>136</v>
      </c>
      <c r="AA76">
        <v>77</v>
      </c>
      <c r="AB76">
        <v>0</v>
      </c>
      <c r="AC76">
        <v>194</v>
      </c>
      <c r="AD76">
        <v>42</v>
      </c>
      <c r="AE76">
        <v>0</v>
      </c>
      <c r="AF76">
        <v>112</v>
      </c>
      <c r="AG76">
        <v>77</v>
      </c>
      <c r="AH76">
        <v>0</v>
      </c>
      <c r="AI76">
        <v>154</v>
      </c>
      <c r="AJ76">
        <v>44</v>
      </c>
      <c r="AK76">
        <v>0</v>
      </c>
      <c r="AL76">
        <v>127</v>
      </c>
      <c r="AM76">
        <v>86</v>
      </c>
      <c r="AN76">
        <v>0</v>
      </c>
      <c r="AO76">
        <v>184</v>
      </c>
      <c r="AP76">
        <v>74</v>
      </c>
      <c r="AQ76">
        <v>0</v>
      </c>
      <c r="AR76">
        <v>157</v>
      </c>
      <c r="AS76">
        <v>67</v>
      </c>
      <c r="AT76">
        <v>0</v>
      </c>
      <c r="AU76">
        <v>113</v>
      </c>
      <c r="AV76">
        <v>55</v>
      </c>
      <c r="AW76">
        <v>0</v>
      </c>
      <c r="AX76">
        <v>159</v>
      </c>
      <c r="AY76">
        <v>86</v>
      </c>
      <c r="AZ76">
        <v>0</v>
      </c>
      <c r="BA76">
        <v>162</v>
      </c>
      <c r="BB76">
        <v>70</v>
      </c>
      <c r="BC76">
        <v>0</v>
      </c>
      <c r="BD76">
        <v>117</v>
      </c>
      <c r="BE76">
        <v>71</v>
      </c>
      <c r="BF76">
        <v>0</v>
      </c>
      <c r="BG76">
        <v>142</v>
      </c>
      <c r="BH76">
        <v>59</v>
      </c>
      <c r="BI76">
        <v>0</v>
      </c>
      <c r="BJ76">
        <v>232</v>
      </c>
      <c r="BK76">
        <v>38</v>
      </c>
      <c r="BL76">
        <v>0</v>
      </c>
      <c r="BM76">
        <v>230</v>
      </c>
      <c r="BN76">
        <v>28</v>
      </c>
      <c r="BO76">
        <v>0</v>
      </c>
      <c r="BP76">
        <v>186</v>
      </c>
      <c r="BQ76">
        <v>67</v>
      </c>
      <c r="BR76">
        <v>0</v>
      </c>
      <c r="BS76">
        <v>200</v>
      </c>
      <c r="BT76">
        <v>55</v>
      </c>
      <c r="BU76">
        <v>0</v>
      </c>
      <c r="BV76">
        <v>146</v>
      </c>
      <c r="BW76">
        <v>47</v>
      </c>
      <c r="BX76">
        <v>0</v>
      </c>
      <c r="BY76">
        <v>205</v>
      </c>
      <c r="BZ76">
        <v>64</v>
      </c>
      <c r="CA76">
        <v>0</v>
      </c>
      <c r="CB76">
        <v>154</v>
      </c>
      <c r="CC76">
        <v>78</v>
      </c>
      <c r="CD76">
        <v>0</v>
      </c>
      <c r="CE76">
        <v>173</v>
      </c>
      <c r="CF76">
        <v>54</v>
      </c>
      <c r="CG76">
        <v>0</v>
      </c>
      <c r="CH76">
        <v>208</v>
      </c>
      <c r="CI76">
        <v>64</v>
      </c>
      <c r="CJ76">
        <v>0</v>
      </c>
      <c r="CK76">
        <v>136</v>
      </c>
      <c r="CL76">
        <v>52</v>
      </c>
      <c r="CM76">
        <v>0</v>
      </c>
      <c r="CN76">
        <v>159</v>
      </c>
      <c r="CO76">
        <v>59</v>
      </c>
      <c r="CP76">
        <v>0</v>
      </c>
      <c r="CQ76">
        <v>70</v>
      </c>
      <c r="CR76">
        <v>87</v>
      </c>
      <c r="CS76">
        <v>0</v>
      </c>
      <c r="CT76">
        <v>113</v>
      </c>
      <c r="CU76">
        <v>59</v>
      </c>
      <c r="CV76">
        <v>0</v>
      </c>
      <c r="CW76">
        <v>195</v>
      </c>
      <c r="CX76">
        <v>58</v>
      </c>
      <c r="CY76">
        <v>0</v>
      </c>
      <c r="CZ76">
        <v>179</v>
      </c>
      <c r="DA76">
        <v>83</v>
      </c>
      <c r="DB76">
        <v>0</v>
      </c>
      <c r="DC76">
        <v>129</v>
      </c>
      <c r="DD76">
        <v>69</v>
      </c>
      <c r="DE76">
        <v>0</v>
      </c>
      <c r="DF76">
        <v>173</v>
      </c>
      <c r="DG76">
        <v>62</v>
      </c>
      <c r="DH76">
        <v>0</v>
      </c>
      <c r="DI76">
        <v>84</v>
      </c>
      <c r="DJ76">
        <v>90</v>
      </c>
      <c r="DK76">
        <v>0</v>
      </c>
      <c r="DL76">
        <v>158</v>
      </c>
      <c r="DM76">
        <v>75</v>
      </c>
      <c r="DN76">
        <v>0</v>
      </c>
      <c r="DO76">
        <v>142</v>
      </c>
      <c r="DP76">
        <v>81</v>
      </c>
      <c r="DQ76">
        <v>0</v>
      </c>
      <c r="DR76">
        <v>139</v>
      </c>
      <c r="DS76">
        <v>67</v>
      </c>
      <c r="DT76">
        <v>0</v>
      </c>
      <c r="DU76">
        <v>131</v>
      </c>
      <c r="DV76">
        <v>70</v>
      </c>
      <c r="DW76">
        <v>0</v>
      </c>
      <c r="DX76">
        <v>161</v>
      </c>
      <c r="DY76">
        <v>56</v>
      </c>
      <c r="DZ76">
        <v>0</v>
      </c>
    </row>
    <row r="77" spans="1:130" hidden="1">
      <c r="A77">
        <v>2</v>
      </c>
      <c r="F77">
        <v>3626</v>
      </c>
      <c r="G77">
        <v>22</v>
      </c>
      <c r="H77">
        <v>1</v>
      </c>
      <c r="I77">
        <v>2</v>
      </c>
      <c r="J77">
        <v>6</v>
      </c>
      <c r="K77">
        <v>130</v>
      </c>
      <c r="L77">
        <v>63</v>
      </c>
      <c r="M77">
        <v>0</v>
      </c>
      <c r="N77">
        <v>152</v>
      </c>
      <c r="O77">
        <v>85</v>
      </c>
      <c r="P77">
        <v>0</v>
      </c>
      <c r="Q77">
        <v>169</v>
      </c>
      <c r="R77">
        <v>77</v>
      </c>
      <c r="S77">
        <v>0</v>
      </c>
      <c r="T77">
        <v>157</v>
      </c>
      <c r="U77">
        <v>74</v>
      </c>
      <c r="V77">
        <v>0</v>
      </c>
      <c r="W77">
        <v>163</v>
      </c>
      <c r="X77">
        <v>86</v>
      </c>
      <c r="Y77">
        <v>0</v>
      </c>
      <c r="Z77">
        <v>135</v>
      </c>
      <c r="AA77">
        <v>78</v>
      </c>
      <c r="AB77">
        <v>0</v>
      </c>
      <c r="AC77">
        <v>186</v>
      </c>
      <c r="AD77">
        <v>45</v>
      </c>
      <c r="AE77">
        <v>0</v>
      </c>
      <c r="AF77">
        <v>106</v>
      </c>
      <c r="AG77">
        <v>79</v>
      </c>
      <c r="AH77">
        <v>0</v>
      </c>
      <c r="AI77">
        <v>147</v>
      </c>
      <c r="AJ77">
        <v>45</v>
      </c>
      <c r="AK77">
        <v>0</v>
      </c>
      <c r="AL77">
        <v>127</v>
      </c>
      <c r="AM77">
        <v>83</v>
      </c>
      <c r="AN77">
        <v>0</v>
      </c>
      <c r="AO77">
        <v>179</v>
      </c>
      <c r="AP77">
        <v>72</v>
      </c>
      <c r="AQ77">
        <v>0</v>
      </c>
      <c r="AR77">
        <v>150</v>
      </c>
      <c r="AS77">
        <v>71</v>
      </c>
      <c r="AT77">
        <v>0</v>
      </c>
      <c r="AU77">
        <v>108</v>
      </c>
      <c r="AV77">
        <v>54</v>
      </c>
      <c r="AW77">
        <v>0</v>
      </c>
      <c r="AX77">
        <v>154</v>
      </c>
      <c r="AY77">
        <v>88</v>
      </c>
      <c r="AZ77">
        <v>0</v>
      </c>
      <c r="BA77">
        <v>153</v>
      </c>
      <c r="BB77">
        <v>72</v>
      </c>
      <c r="BC77">
        <v>0</v>
      </c>
      <c r="BD77">
        <v>112</v>
      </c>
      <c r="BE77">
        <v>71</v>
      </c>
      <c r="BF77">
        <v>0</v>
      </c>
      <c r="BG77">
        <v>141</v>
      </c>
      <c r="BH77">
        <v>57</v>
      </c>
      <c r="BI77">
        <v>0</v>
      </c>
      <c r="BJ77">
        <v>225</v>
      </c>
      <c r="BK77">
        <v>40</v>
      </c>
      <c r="BL77">
        <v>0</v>
      </c>
      <c r="BM77">
        <v>221</v>
      </c>
      <c r="BN77">
        <v>32</v>
      </c>
      <c r="BO77">
        <v>0</v>
      </c>
      <c r="BP77">
        <v>171</v>
      </c>
      <c r="BQ77">
        <v>73</v>
      </c>
      <c r="BR77">
        <v>0</v>
      </c>
      <c r="BS77">
        <v>192</v>
      </c>
      <c r="BT77">
        <v>58</v>
      </c>
      <c r="BU77">
        <v>0</v>
      </c>
      <c r="BV77">
        <v>141</v>
      </c>
      <c r="BW77">
        <v>47</v>
      </c>
      <c r="BX77">
        <v>0</v>
      </c>
      <c r="BY77">
        <v>195</v>
      </c>
      <c r="BZ77">
        <v>66</v>
      </c>
      <c r="CA77">
        <v>0</v>
      </c>
      <c r="CB77">
        <v>145</v>
      </c>
      <c r="CC77">
        <v>79</v>
      </c>
      <c r="CD77">
        <v>0</v>
      </c>
      <c r="CE77">
        <v>186</v>
      </c>
      <c r="CF77">
        <v>50</v>
      </c>
      <c r="CG77">
        <v>0</v>
      </c>
      <c r="CH77">
        <v>203</v>
      </c>
      <c r="CI77">
        <v>66</v>
      </c>
      <c r="CJ77">
        <v>0</v>
      </c>
      <c r="CK77">
        <v>122</v>
      </c>
      <c r="CL77">
        <v>58</v>
      </c>
      <c r="CM77">
        <v>0</v>
      </c>
      <c r="CN77">
        <v>150</v>
      </c>
      <c r="CO77">
        <v>60</v>
      </c>
      <c r="CP77">
        <v>0</v>
      </c>
      <c r="CQ77">
        <v>56</v>
      </c>
      <c r="CR77">
        <v>89</v>
      </c>
      <c r="CS77">
        <v>0</v>
      </c>
      <c r="CT77">
        <v>98</v>
      </c>
      <c r="CU77">
        <v>63</v>
      </c>
      <c r="CV77">
        <v>0</v>
      </c>
      <c r="CW77">
        <v>189</v>
      </c>
      <c r="CX77">
        <v>57</v>
      </c>
      <c r="CY77">
        <v>0</v>
      </c>
      <c r="CZ77">
        <v>181</v>
      </c>
      <c r="DA77">
        <v>84</v>
      </c>
      <c r="DB77">
        <v>0</v>
      </c>
      <c r="DC77">
        <v>127</v>
      </c>
      <c r="DD77">
        <v>69</v>
      </c>
      <c r="DE77">
        <v>0</v>
      </c>
      <c r="DF77">
        <v>164</v>
      </c>
      <c r="DG77">
        <v>65</v>
      </c>
      <c r="DH77">
        <v>0</v>
      </c>
      <c r="DI77">
        <v>76</v>
      </c>
      <c r="DJ77">
        <v>91</v>
      </c>
      <c r="DK77">
        <v>0</v>
      </c>
      <c r="DL77">
        <v>205</v>
      </c>
      <c r="DM77">
        <v>47</v>
      </c>
      <c r="DN77">
        <v>0</v>
      </c>
      <c r="DO77">
        <v>133</v>
      </c>
      <c r="DP77">
        <v>83</v>
      </c>
      <c r="DQ77">
        <v>0</v>
      </c>
      <c r="DR77">
        <v>134</v>
      </c>
      <c r="DS77">
        <v>68</v>
      </c>
      <c r="DT77">
        <v>0</v>
      </c>
      <c r="DU77">
        <v>133</v>
      </c>
      <c r="DV77">
        <v>71</v>
      </c>
      <c r="DW77">
        <v>0</v>
      </c>
      <c r="DX77">
        <v>158</v>
      </c>
      <c r="DY77">
        <v>61</v>
      </c>
      <c r="DZ77">
        <v>0</v>
      </c>
    </row>
    <row r="78" spans="1:130" hidden="1">
      <c r="A78">
        <v>3</v>
      </c>
      <c r="F78">
        <v>3627</v>
      </c>
      <c r="G78">
        <v>22</v>
      </c>
      <c r="H78">
        <v>1</v>
      </c>
      <c r="I78">
        <v>3</v>
      </c>
      <c r="J78">
        <v>6</v>
      </c>
      <c r="K78">
        <v>128</v>
      </c>
      <c r="L78">
        <v>58</v>
      </c>
      <c r="M78">
        <v>0</v>
      </c>
      <c r="N78">
        <v>146</v>
      </c>
      <c r="O78">
        <v>87</v>
      </c>
      <c r="P78">
        <v>0</v>
      </c>
      <c r="Q78">
        <v>158</v>
      </c>
      <c r="R78">
        <v>81</v>
      </c>
      <c r="S78">
        <v>0</v>
      </c>
      <c r="T78">
        <v>155</v>
      </c>
      <c r="U78">
        <v>73</v>
      </c>
      <c r="V78">
        <v>0</v>
      </c>
      <c r="W78">
        <v>162</v>
      </c>
      <c r="X78">
        <v>86</v>
      </c>
      <c r="Y78">
        <v>0</v>
      </c>
      <c r="Z78">
        <v>133</v>
      </c>
      <c r="AA78">
        <v>77</v>
      </c>
      <c r="AB78">
        <v>0</v>
      </c>
      <c r="AC78">
        <v>179</v>
      </c>
      <c r="AD78">
        <v>47</v>
      </c>
      <c r="AE78">
        <v>0</v>
      </c>
      <c r="AF78">
        <v>102</v>
      </c>
      <c r="AG78">
        <v>79</v>
      </c>
      <c r="AH78">
        <v>0</v>
      </c>
      <c r="AI78">
        <v>137</v>
      </c>
      <c r="AJ78">
        <v>48</v>
      </c>
      <c r="AK78">
        <v>0</v>
      </c>
      <c r="AL78">
        <v>120</v>
      </c>
      <c r="AM78">
        <v>84</v>
      </c>
      <c r="AN78">
        <v>0</v>
      </c>
      <c r="AO78">
        <v>166</v>
      </c>
      <c r="AP78">
        <v>77</v>
      </c>
      <c r="AQ78">
        <v>0</v>
      </c>
      <c r="AR78">
        <v>142</v>
      </c>
      <c r="AS78">
        <v>74</v>
      </c>
      <c r="AT78">
        <v>0</v>
      </c>
      <c r="AU78">
        <v>110</v>
      </c>
      <c r="AV78">
        <v>51</v>
      </c>
      <c r="AW78">
        <v>0</v>
      </c>
      <c r="AX78">
        <v>145</v>
      </c>
      <c r="AY78">
        <v>90</v>
      </c>
      <c r="AZ78">
        <v>0</v>
      </c>
      <c r="BA78">
        <v>147</v>
      </c>
      <c r="BB78">
        <v>74</v>
      </c>
      <c r="BC78">
        <v>0</v>
      </c>
      <c r="BD78">
        <v>104</v>
      </c>
      <c r="BE78">
        <v>74</v>
      </c>
      <c r="BF78">
        <v>0</v>
      </c>
      <c r="BG78">
        <v>136</v>
      </c>
      <c r="BH78">
        <v>58</v>
      </c>
      <c r="BI78">
        <v>0</v>
      </c>
      <c r="BJ78">
        <v>219</v>
      </c>
      <c r="BK78">
        <v>42</v>
      </c>
      <c r="BL78">
        <v>0</v>
      </c>
      <c r="BM78">
        <v>216</v>
      </c>
      <c r="BN78">
        <v>36</v>
      </c>
      <c r="BO78">
        <v>0</v>
      </c>
      <c r="BP78">
        <v>172</v>
      </c>
      <c r="BQ78">
        <v>71</v>
      </c>
      <c r="BR78">
        <v>0</v>
      </c>
      <c r="BS78">
        <v>179</v>
      </c>
      <c r="BT78">
        <v>64</v>
      </c>
      <c r="BU78">
        <v>0</v>
      </c>
      <c r="BV78">
        <v>142</v>
      </c>
      <c r="BW78">
        <v>46</v>
      </c>
      <c r="BX78">
        <v>0</v>
      </c>
      <c r="BY78">
        <v>185</v>
      </c>
      <c r="BZ78">
        <v>68</v>
      </c>
      <c r="CA78">
        <v>0</v>
      </c>
      <c r="CB78">
        <v>138</v>
      </c>
      <c r="CC78">
        <v>80</v>
      </c>
      <c r="CD78">
        <v>0</v>
      </c>
      <c r="CE78">
        <v>191</v>
      </c>
      <c r="CF78">
        <v>47</v>
      </c>
      <c r="CG78">
        <v>0</v>
      </c>
      <c r="CH78">
        <v>196</v>
      </c>
      <c r="CI78">
        <v>68</v>
      </c>
      <c r="CJ78">
        <v>0</v>
      </c>
      <c r="CK78">
        <v>122</v>
      </c>
      <c r="CL78">
        <v>59</v>
      </c>
      <c r="CM78">
        <v>0</v>
      </c>
      <c r="CN78">
        <v>147</v>
      </c>
      <c r="CO78">
        <v>63</v>
      </c>
      <c r="CP78">
        <v>0</v>
      </c>
      <c r="CQ78">
        <v>43</v>
      </c>
      <c r="CR78">
        <v>93</v>
      </c>
      <c r="CS78">
        <v>0</v>
      </c>
      <c r="CT78">
        <v>90</v>
      </c>
      <c r="CU78">
        <v>64</v>
      </c>
      <c r="CV78">
        <v>0</v>
      </c>
      <c r="CW78">
        <v>190</v>
      </c>
      <c r="CX78">
        <v>55</v>
      </c>
      <c r="CY78">
        <v>0</v>
      </c>
      <c r="CZ78">
        <v>178</v>
      </c>
      <c r="DA78">
        <v>85</v>
      </c>
      <c r="DB78">
        <v>0</v>
      </c>
      <c r="DC78">
        <v>120</v>
      </c>
      <c r="DD78">
        <v>71</v>
      </c>
      <c r="DE78">
        <v>0</v>
      </c>
      <c r="DF78">
        <v>151</v>
      </c>
      <c r="DG78">
        <v>69</v>
      </c>
      <c r="DH78">
        <v>0</v>
      </c>
      <c r="DI78">
        <v>69</v>
      </c>
      <c r="DJ78">
        <v>92</v>
      </c>
      <c r="DK78">
        <v>0</v>
      </c>
      <c r="DL78">
        <v>207</v>
      </c>
      <c r="DM78">
        <v>45</v>
      </c>
      <c r="DN78">
        <v>0</v>
      </c>
      <c r="DO78">
        <v>128</v>
      </c>
      <c r="DP78">
        <v>83</v>
      </c>
      <c r="DQ78">
        <v>0</v>
      </c>
      <c r="DR78">
        <v>136</v>
      </c>
      <c r="DS78">
        <v>66</v>
      </c>
      <c r="DT78">
        <v>0</v>
      </c>
      <c r="DU78">
        <v>131</v>
      </c>
      <c r="DV78">
        <v>74</v>
      </c>
      <c r="DW78">
        <v>0</v>
      </c>
      <c r="DX78">
        <v>153</v>
      </c>
      <c r="DY78">
        <v>65</v>
      </c>
      <c r="DZ78">
        <v>0</v>
      </c>
    </row>
    <row r="79" spans="1:130" hidden="1">
      <c r="A79">
        <v>4</v>
      </c>
      <c r="F79">
        <v>3628</v>
      </c>
      <c r="G79">
        <v>22</v>
      </c>
      <c r="H79">
        <v>1</v>
      </c>
      <c r="I79">
        <v>4</v>
      </c>
      <c r="J79">
        <v>6</v>
      </c>
      <c r="K79">
        <v>136</v>
      </c>
      <c r="L79">
        <v>50</v>
      </c>
      <c r="M79">
        <v>0</v>
      </c>
      <c r="N79">
        <v>153</v>
      </c>
      <c r="O79">
        <v>79</v>
      </c>
      <c r="P79">
        <v>0</v>
      </c>
      <c r="Q79">
        <v>156</v>
      </c>
      <c r="R79">
        <v>81</v>
      </c>
      <c r="S79">
        <v>0</v>
      </c>
      <c r="T79">
        <v>147</v>
      </c>
      <c r="U79">
        <v>73</v>
      </c>
      <c r="V79">
        <v>0</v>
      </c>
      <c r="W79">
        <v>157</v>
      </c>
      <c r="X79">
        <v>87</v>
      </c>
      <c r="Y79">
        <v>0</v>
      </c>
      <c r="Z79">
        <v>123</v>
      </c>
      <c r="AA79">
        <v>81</v>
      </c>
      <c r="AB79">
        <v>0</v>
      </c>
      <c r="AC79">
        <v>166</v>
      </c>
      <c r="AD79">
        <v>52</v>
      </c>
      <c r="AE79">
        <v>0</v>
      </c>
      <c r="AF79">
        <v>100</v>
      </c>
      <c r="AG79">
        <v>79</v>
      </c>
      <c r="AH79">
        <v>0</v>
      </c>
      <c r="AI79">
        <v>133</v>
      </c>
      <c r="AJ79">
        <v>48</v>
      </c>
      <c r="AK79">
        <v>0</v>
      </c>
      <c r="AL79">
        <v>119</v>
      </c>
      <c r="AM79">
        <v>81</v>
      </c>
      <c r="AN79">
        <v>0</v>
      </c>
      <c r="AO79">
        <v>158</v>
      </c>
      <c r="AP79">
        <v>76</v>
      </c>
      <c r="AQ79">
        <v>0</v>
      </c>
      <c r="AR79">
        <v>143</v>
      </c>
      <c r="AS79">
        <v>72</v>
      </c>
      <c r="AT79">
        <v>0</v>
      </c>
      <c r="AU79">
        <v>108</v>
      </c>
      <c r="AV79">
        <v>42</v>
      </c>
      <c r="AW79">
        <v>0</v>
      </c>
      <c r="AX79">
        <v>140</v>
      </c>
      <c r="AY79">
        <v>91</v>
      </c>
      <c r="AZ79">
        <v>0</v>
      </c>
      <c r="BA79">
        <v>143</v>
      </c>
      <c r="BB79">
        <v>75</v>
      </c>
      <c r="BC79">
        <v>0</v>
      </c>
      <c r="BD79">
        <v>104</v>
      </c>
      <c r="BE79">
        <v>74</v>
      </c>
      <c r="BF79">
        <v>0</v>
      </c>
      <c r="BG79">
        <v>139</v>
      </c>
      <c r="BH79">
        <v>56</v>
      </c>
      <c r="BI79">
        <v>0</v>
      </c>
      <c r="BJ79">
        <v>213</v>
      </c>
      <c r="BK79">
        <v>44</v>
      </c>
      <c r="BL79">
        <v>0</v>
      </c>
      <c r="BM79">
        <v>211</v>
      </c>
      <c r="BN79">
        <v>41</v>
      </c>
      <c r="BO79">
        <v>0</v>
      </c>
      <c r="BP79">
        <v>169</v>
      </c>
      <c r="BQ79">
        <v>70</v>
      </c>
      <c r="BR79">
        <v>0</v>
      </c>
      <c r="BS79">
        <v>159</v>
      </c>
      <c r="BT79">
        <v>72</v>
      </c>
      <c r="BU79">
        <v>0</v>
      </c>
      <c r="BV79">
        <v>136</v>
      </c>
      <c r="BW79">
        <v>49</v>
      </c>
      <c r="BX79">
        <v>0</v>
      </c>
      <c r="BY79">
        <v>175</v>
      </c>
      <c r="BZ79">
        <v>74</v>
      </c>
      <c r="CA79">
        <v>0</v>
      </c>
      <c r="CB79">
        <v>131</v>
      </c>
      <c r="CC79">
        <v>84</v>
      </c>
      <c r="CD79">
        <v>0</v>
      </c>
      <c r="CE79">
        <v>183</v>
      </c>
      <c r="CF79">
        <v>48</v>
      </c>
      <c r="CG79">
        <v>0</v>
      </c>
      <c r="CH79">
        <v>194</v>
      </c>
      <c r="CI79">
        <v>70</v>
      </c>
      <c r="CJ79">
        <v>0</v>
      </c>
      <c r="CK79">
        <v>120</v>
      </c>
      <c r="CL79">
        <v>61</v>
      </c>
      <c r="CM79">
        <v>0</v>
      </c>
      <c r="CN79">
        <v>143</v>
      </c>
      <c r="CO79">
        <v>65</v>
      </c>
      <c r="CP79">
        <v>0</v>
      </c>
      <c r="CQ79">
        <v>41</v>
      </c>
      <c r="CR79">
        <v>94</v>
      </c>
      <c r="CS79">
        <v>0</v>
      </c>
      <c r="CT79">
        <v>88</v>
      </c>
      <c r="CU79">
        <v>60</v>
      </c>
      <c r="CV79">
        <v>0</v>
      </c>
      <c r="CW79">
        <v>191</v>
      </c>
      <c r="CX79">
        <v>53</v>
      </c>
      <c r="CY79">
        <v>0</v>
      </c>
      <c r="CZ79">
        <v>167</v>
      </c>
      <c r="DA79">
        <v>88</v>
      </c>
      <c r="DB79">
        <v>0</v>
      </c>
      <c r="DC79">
        <v>113</v>
      </c>
      <c r="DD79">
        <v>73</v>
      </c>
      <c r="DE79">
        <v>0</v>
      </c>
      <c r="DF79">
        <v>149</v>
      </c>
      <c r="DG79">
        <v>69</v>
      </c>
      <c r="DH79">
        <v>0</v>
      </c>
      <c r="DI79">
        <v>63</v>
      </c>
      <c r="DJ79">
        <v>92</v>
      </c>
      <c r="DK79">
        <v>0</v>
      </c>
      <c r="DL79">
        <v>200</v>
      </c>
      <c r="DM79">
        <v>47</v>
      </c>
      <c r="DN79">
        <v>0</v>
      </c>
      <c r="DO79">
        <v>119</v>
      </c>
      <c r="DP79">
        <v>89</v>
      </c>
      <c r="DQ79">
        <v>0</v>
      </c>
      <c r="DR79">
        <v>132</v>
      </c>
      <c r="DS79">
        <v>67</v>
      </c>
      <c r="DT79">
        <v>0</v>
      </c>
      <c r="DU79">
        <v>123</v>
      </c>
      <c r="DV79">
        <v>78</v>
      </c>
      <c r="DW79">
        <v>0</v>
      </c>
      <c r="DX79">
        <v>148</v>
      </c>
      <c r="DY79">
        <v>68</v>
      </c>
      <c r="DZ79">
        <v>0</v>
      </c>
    </row>
    <row r="80" spans="1:130" hidden="1">
      <c r="A80">
        <v>5</v>
      </c>
      <c r="F80">
        <v>3629</v>
      </c>
      <c r="G80">
        <v>22</v>
      </c>
      <c r="H80">
        <v>1</v>
      </c>
      <c r="I80">
        <v>5</v>
      </c>
      <c r="J80">
        <v>6</v>
      </c>
      <c r="K80">
        <v>132</v>
      </c>
      <c r="L80">
        <v>51</v>
      </c>
      <c r="M80">
        <v>8</v>
      </c>
      <c r="N80">
        <v>154</v>
      </c>
      <c r="O80">
        <v>76</v>
      </c>
      <c r="P80">
        <v>5</v>
      </c>
      <c r="Q80">
        <v>158</v>
      </c>
      <c r="R80">
        <v>80</v>
      </c>
      <c r="S80">
        <v>7</v>
      </c>
      <c r="T80">
        <v>146</v>
      </c>
      <c r="U80">
        <v>73</v>
      </c>
      <c r="V80">
        <v>17</v>
      </c>
      <c r="W80">
        <v>161</v>
      </c>
      <c r="X80">
        <v>86</v>
      </c>
      <c r="Y80">
        <v>15</v>
      </c>
      <c r="Z80">
        <v>125</v>
      </c>
      <c r="AA80">
        <v>81</v>
      </c>
      <c r="AB80">
        <v>16</v>
      </c>
      <c r="AC80">
        <v>154</v>
      </c>
      <c r="AD80">
        <v>58</v>
      </c>
      <c r="AE80">
        <v>7</v>
      </c>
      <c r="AF80">
        <v>99</v>
      </c>
      <c r="AG80">
        <v>80</v>
      </c>
      <c r="AH80">
        <v>8</v>
      </c>
      <c r="AI80">
        <v>134</v>
      </c>
      <c r="AJ80">
        <v>47</v>
      </c>
      <c r="AK80">
        <v>14</v>
      </c>
      <c r="AL80">
        <v>115</v>
      </c>
      <c r="AM80">
        <v>80</v>
      </c>
      <c r="AN80">
        <v>5</v>
      </c>
      <c r="AO80">
        <v>157</v>
      </c>
      <c r="AP80">
        <v>76</v>
      </c>
      <c r="AQ80">
        <v>13</v>
      </c>
      <c r="AR80">
        <v>139</v>
      </c>
      <c r="AS80">
        <v>74</v>
      </c>
      <c r="AT80">
        <v>5</v>
      </c>
      <c r="AU80">
        <v>108</v>
      </c>
      <c r="AV80">
        <v>40</v>
      </c>
      <c r="AW80">
        <v>5</v>
      </c>
      <c r="AX80">
        <v>154</v>
      </c>
      <c r="AY80">
        <v>87</v>
      </c>
      <c r="AZ80">
        <v>24</v>
      </c>
      <c r="BA80">
        <v>140</v>
      </c>
      <c r="BB80">
        <v>76</v>
      </c>
      <c r="BC80">
        <v>17</v>
      </c>
      <c r="BD80">
        <v>108</v>
      </c>
      <c r="BE80">
        <v>73</v>
      </c>
      <c r="BF80">
        <v>19</v>
      </c>
      <c r="BG80">
        <v>142</v>
      </c>
      <c r="BH80">
        <v>58</v>
      </c>
      <c r="BI80">
        <v>16</v>
      </c>
      <c r="BJ80">
        <v>209</v>
      </c>
      <c r="BK80">
        <v>45</v>
      </c>
      <c r="BL80">
        <v>9</v>
      </c>
      <c r="BM80">
        <v>208</v>
      </c>
      <c r="BN80">
        <v>43</v>
      </c>
      <c r="BO80">
        <v>9</v>
      </c>
      <c r="BP80">
        <v>170</v>
      </c>
      <c r="BQ80">
        <v>69</v>
      </c>
      <c r="BR80">
        <v>16</v>
      </c>
      <c r="BS80">
        <v>159</v>
      </c>
      <c r="BT80">
        <v>74</v>
      </c>
      <c r="BU80">
        <v>12</v>
      </c>
      <c r="BV80">
        <v>133</v>
      </c>
      <c r="BW80">
        <v>50</v>
      </c>
      <c r="BX80">
        <v>12</v>
      </c>
      <c r="BY80">
        <v>167</v>
      </c>
      <c r="BZ80">
        <v>66</v>
      </c>
      <c r="CA80">
        <v>15</v>
      </c>
      <c r="CB80">
        <v>125</v>
      </c>
      <c r="CC80">
        <v>86</v>
      </c>
      <c r="CD80">
        <v>17</v>
      </c>
      <c r="CE80">
        <v>170</v>
      </c>
      <c r="CF80">
        <v>54</v>
      </c>
      <c r="CG80">
        <v>4</v>
      </c>
      <c r="CH80">
        <v>191</v>
      </c>
      <c r="CI80">
        <v>73</v>
      </c>
      <c r="CJ80">
        <v>7</v>
      </c>
      <c r="CK80">
        <v>122</v>
      </c>
      <c r="CL80">
        <v>63</v>
      </c>
      <c r="CM80">
        <v>10</v>
      </c>
      <c r="CN80">
        <v>143</v>
      </c>
      <c r="CO80">
        <v>64</v>
      </c>
      <c r="CP80">
        <v>19</v>
      </c>
      <c r="CQ80">
        <v>37</v>
      </c>
      <c r="CR80">
        <v>95</v>
      </c>
      <c r="CS80">
        <v>9</v>
      </c>
      <c r="CT80">
        <v>113</v>
      </c>
      <c r="CU80">
        <v>50</v>
      </c>
      <c r="CV80">
        <v>4</v>
      </c>
      <c r="CW80">
        <v>197</v>
      </c>
      <c r="CX80">
        <v>50</v>
      </c>
      <c r="CY80">
        <v>22</v>
      </c>
      <c r="CZ80">
        <v>168</v>
      </c>
      <c r="DA80">
        <v>88</v>
      </c>
      <c r="DB80">
        <v>19</v>
      </c>
      <c r="DC80">
        <v>114</v>
      </c>
      <c r="DD80">
        <v>73</v>
      </c>
      <c r="DE80">
        <v>22</v>
      </c>
      <c r="DF80">
        <v>155</v>
      </c>
      <c r="DG80">
        <v>66</v>
      </c>
      <c r="DH80">
        <v>14</v>
      </c>
      <c r="DI80">
        <v>60</v>
      </c>
      <c r="DJ80">
        <v>92</v>
      </c>
      <c r="DK80">
        <v>7</v>
      </c>
      <c r="DL80">
        <v>200</v>
      </c>
      <c r="DM80">
        <v>47</v>
      </c>
      <c r="DN80">
        <v>8</v>
      </c>
      <c r="DO80">
        <v>121</v>
      </c>
      <c r="DP80">
        <v>90</v>
      </c>
      <c r="DQ80">
        <v>18</v>
      </c>
      <c r="DR80">
        <v>127</v>
      </c>
      <c r="DS80">
        <v>70</v>
      </c>
      <c r="DT80">
        <v>3</v>
      </c>
      <c r="DU80">
        <v>120</v>
      </c>
      <c r="DV80">
        <v>79</v>
      </c>
      <c r="DW80">
        <v>20</v>
      </c>
      <c r="DX80">
        <v>145</v>
      </c>
      <c r="DY80">
        <v>70</v>
      </c>
      <c r="DZ80">
        <v>12</v>
      </c>
    </row>
    <row r="81" spans="1:130" hidden="1">
      <c r="A81">
        <v>6</v>
      </c>
      <c r="F81">
        <v>3630</v>
      </c>
      <c r="G81">
        <v>22</v>
      </c>
      <c r="H81">
        <v>1</v>
      </c>
      <c r="I81">
        <v>6</v>
      </c>
      <c r="J81">
        <v>6</v>
      </c>
      <c r="K81">
        <v>146</v>
      </c>
      <c r="L81">
        <v>51</v>
      </c>
      <c r="M81">
        <v>44</v>
      </c>
      <c r="N81">
        <v>176</v>
      </c>
      <c r="O81">
        <v>65</v>
      </c>
      <c r="P81">
        <v>40</v>
      </c>
      <c r="Q81">
        <v>165</v>
      </c>
      <c r="R81">
        <v>78</v>
      </c>
      <c r="S81">
        <v>45</v>
      </c>
      <c r="T81">
        <v>161</v>
      </c>
      <c r="U81">
        <v>70</v>
      </c>
      <c r="V81">
        <v>47</v>
      </c>
      <c r="W81">
        <v>177</v>
      </c>
      <c r="X81">
        <v>82</v>
      </c>
      <c r="Y81">
        <v>46</v>
      </c>
      <c r="Z81">
        <v>159</v>
      </c>
      <c r="AA81">
        <v>66</v>
      </c>
      <c r="AB81">
        <v>48</v>
      </c>
      <c r="AC81">
        <v>169</v>
      </c>
      <c r="AD81">
        <v>53</v>
      </c>
      <c r="AE81">
        <v>35</v>
      </c>
      <c r="AF81">
        <v>112</v>
      </c>
      <c r="AG81">
        <v>73</v>
      </c>
      <c r="AH81">
        <v>51</v>
      </c>
      <c r="AI81">
        <v>151</v>
      </c>
      <c r="AJ81">
        <v>49</v>
      </c>
      <c r="AK81">
        <v>48</v>
      </c>
      <c r="AL81">
        <v>121</v>
      </c>
      <c r="AM81">
        <v>76</v>
      </c>
      <c r="AN81">
        <v>22</v>
      </c>
      <c r="AO81">
        <v>179</v>
      </c>
      <c r="AP81">
        <v>70</v>
      </c>
      <c r="AQ81">
        <v>40</v>
      </c>
      <c r="AR81">
        <v>137</v>
      </c>
      <c r="AS81">
        <v>76</v>
      </c>
      <c r="AT81">
        <v>10</v>
      </c>
      <c r="AU81">
        <v>120</v>
      </c>
      <c r="AV81">
        <v>36</v>
      </c>
      <c r="AW81">
        <v>46</v>
      </c>
      <c r="AX81">
        <v>182</v>
      </c>
      <c r="AY81">
        <v>78</v>
      </c>
      <c r="AZ81">
        <v>50</v>
      </c>
      <c r="BA81">
        <v>163</v>
      </c>
      <c r="BB81">
        <v>68</v>
      </c>
      <c r="BC81">
        <v>46</v>
      </c>
      <c r="BD81">
        <v>138</v>
      </c>
      <c r="BE81">
        <v>70</v>
      </c>
      <c r="BF81">
        <v>47</v>
      </c>
      <c r="BG81">
        <v>162</v>
      </c>
      <c r="BH81">
        <v>57</v>
      </c>
      <c r="BI81">
        <v>43</v>
      </c>
      <c r="BJ81">
        <v>212</v>
      </c>
      <c r="BK81">
        <v>48</v>
      </c>
      <c r="BL81">
        <v>46</v>
      </c>
      <c r="BM81">
        <v>205</v>
      </c>
      <c r="BN81">
        <v>49</v>
      </c>
      <c r="BO81">
        <v>42</v>
      </c>
      <c r="BP81">
        <v>188</v>
      </c>
      <c r="BQ81">
        <v>69</v>
      </c>
      <c r="BR81">
        <v>47</v>
      </c>
      <c r="BS81">
        <v>189</v>
      </c>
      <c r="BT81">
        <v>66</v>
      </c>
      <c r="BU81">
        <v>48</v>
      </c>
      <c r="BV81">
        <v>142</v>
      </c>
      <c r="BW81">
        <v>52</v>
      </c>
      <c r="BX81">
        <v>44</v>
      </c>
      <c r="BY81">
        <v>183</v>
      </c>
      <c r="BZ81">
        <v>66</v>
      </c>
      <c r="CA81">
        <v>44</v>
      </c>
      <c r="CB81">
        <v>144</v>
      </c>
      <c r="CC81">
        <v>81</v>
      </c>
      <c r="CD81">
        <v>45</v>
      </c>
      <c r="CE81">
        <v>186</v>
      </c>
      <c r="CF81">
        <v>47</v>
      </c>
      <c r="CG81">
        <v>10</v>
      </c>
      <c r="CH81">
        <v>200</v>
      </c>
      <c r="CI81">
        <v>71</v>
      </c>
      <c r="CJ81">
        <v>43</v>
      </c>
      <c r="CK81">
        <v>132</v>
      </c>
      <c r="CL81">
        <v>67</v>
      </c>
      <c r="CM81">
        <v>19</v>
      </c>
      <c r="CN81">
        <v>152</v>
      </c>
      <c r="CO81">
        <v>62</v>
      </c>
      <c r="CP81">
        <v>45</v>
      </c>
      <c r="CQ81">
        <v>47</v>
      </c>
      <c r="CR81">
        <v>92</v>
      </c>
      <c r="CS81">
        <v>38</v>
      </c>
      <c r="CT81">
        <v>121</v>
      </c>
      <c r="CU81">
        <v>52</v>
      </c>
      <c r="CV81">
        <v>10</v>
      </c>
      <c r="CW81">
        <v>200</v>
      </c>
      <c r="CX81">
        <v>56</v>
      </c>
      <c r="CY81">
        <v>49</v>
      </c>
      <c r="CZ81">
        <v>182</v>
      </c>
      <c r="DA81">
        <v>76</v>
      </c>
      <c r="DB81">
        <v>46</v>
      </c>
      <c r="DC81">
        <v>130</v>
      </c>
      <c r="DD81">
        <v>68</v>
      </c>
      <c r="DE81">
        <v>49</v>
      </c>
      <c r="DF81">
        <v>174</v>
      </c>
      <c r="DG81">
        <v>59</v>
      </c>
      <c r="DH81">
        <v>44</v>
      </c>
      <c r="DI81">
        <v>84</v>
      </c>
      <c r="DJ81">
        <v>86</v>
      </c>
      <c r="DK81">
        <v>44</v>
      </c>
      <c r="DL81">
        <v>204</v>
      </c>
      <c r="DM81">
        <v>46</v>
      </c>
      <c r="DN81">
        <v>17</v>
      </c>
      <c r="DO81">
        <v>148</v>
      </c>
      <c r="DP81">
        <v>77</v>
      </c>
      <c r="DQ81">
        <v>45</v>
      </c>
      <c r="DR81">
        <v>129</v>
      </c>
      <c r="DS81">
        <v>68</v>
      </c>
      <c r="DT81">
        <v>7</v>
      </c>
      <c r="DU81">
        <v>155</v>
      </c>
      <c r="DV81">
        <v>66</v>
      </c>
      <c r="DW81">
        <v>49</v>
      </c>
      <c r="DX81">
        <v>154</v>
      </c>
      <c r="DY81">
        <v>68</v>
      </c>
      <c r="DZ81">
        <v>50</v>
      </c>
    </row>
    <row r="82" spans="1:130" hidden="1">
      <c r="A82">
        <v>7</v>
      </c>
      <c r="F82">
        <v>3631</v>
      </c>
      <c r="G82">
        <v>22</v>
      </c>
      <c r="H82">
        <v>1</v>
      </c>
      <c r="I82">
        <v>7</v>
      </c>
      <c r="J82">
        <v>6</v>
      </c>
      <c r="K82">
        <v>171</v>
      </c>
      <c r="L82">
        <v>50</v>
      </c>
      <c r="M82">
        <v>69</v>
      </c>
      <c r="N82">
        <v>206</v>
      </c>
      <c r="O82">
        <v>53</v>
      </c>
      <c r="P82">
        <v>75</v>
      </c>
      <c r="Q82">
        <v>188</v>
      </c>
      <c r="R82">
        <v>71</v>
      </c>
      <c r="S82">
        <v>71</v>
      </c>
      <c r="T82">
        <v>197</v>
      </c>
      <c r="U82">
        <v>56</v>
      </c>
      <c r="V82">
        <v>71</v>
      </c>
      <c r="W82">
        <v>195</v>
      </c>
      <c r="X82">
        <v>76</v>
      </c>
      <c r="Y82">
        <v>73</v>
      </c>
      <c r="Z82">
        <v>186</v>
      </c>
      <c r="AA82">
        <v>53</v>
      </c>
      <c r="AB82">
        <v>74</v>
      </c>
      <c r="AC82">
        <v>194</v>
      </c>
      <c r="AD82">
        <v>45</v>
      </c>
      <c r="AE82">
        <v>82</v>
      </c>
      <c r="AF82">
        <v>144</v>
      </c>
      <c r="AG82">
        <v>61</v>
      </c>
      <c r="AH82">
        <v>79</v>
      </c>
      <c r="AI82">
        <v>163</v>
      </c>
      <c r="AJ82">
        <v>47</v>
      </c>
      <c r="AK82">
        <v>71</v>
      </c>
      <c r="AL82">
        <v>145</v>
      </c>
      <c r="AM82">
        <v>71</v>
      </c>
      <c r="AN82">
        <v>80</v>
      </c>
      <c r="AO82">
        <v>206</v>
      </c>
      <c r="AP82">
        <v>59</v>
      </c>
      <c r="AQ82">
        <v>69</v>
      </c>
      <c r="AR82">
        <v>149</v>
      </c>
      <c r="AS82">
        <v>77</v>
      </c>
      <c r="AT82">
        <v>71</v>
      </c>
      <c r="AU82">
        <v>135</v>
      </c>
      <c r="AV82">
        <v>34</v>
      </c>
      <c r="AW82">
        <v>74</v>
      </c>
      <c r="AX82">
        <v>194</v>
      </c>
      <c r="AY82">
        <v>78</v>
      </c>
      <c r="AZ82">
        <v>66</v>
      </c>
      <c r="BA82">
        <v>175</v>
      </c>
      <c r="BB82">
        <v>64</v>
      </c>
      <c r="BC82">
        <v>68</v>
      </c>
      <c r="BD82">
        <v>197</v>
      </c>
      <c r="BE82">
        <v>52</v>
      </c>
      <c r="BF82">
        <v>66</v>
      </c>
      <c r="BG82">
        <v>185</v>
      </c>
      <c r="BH82">
        <v>52</v>
      </c>
      <c r="BI82">
        <v>65</v>
      </c>
      <c r="BJ82">
        <v>224</v>
      </c>
      <c r="BK82">
        <v>46</v>
      </c>
      <c r="BL82">
        <v>68</v>
      </c>
      <c r="BM82">
        <v>222</v>
      </c>
      <c r="BN82">
        <v>49</v>
      </c>
      <c r="BO82">
        <v>83</v>
      </c>
      <c r="BP82">
        <v>219</v>
      </c>
      <c r="BQ82">
        <v>60</v>
      </c>
      <c r="BR82">
        <v>78</v>
      </c>
      <c r="BS82">
        <v>226</v>
      </c>
      <c r="BT82">
        <v>53</v>
      </c>
      <c r="BU82">
        <v>75</v>
      </c>
      <c r="BV82">
        <v>170</v>
      </c>
      <c r="BW82">
        <v>47</v>
      </c>
      <c r="BX82">
        <v>68</v>
      </c>
      <c r="BY82">
        <v>198</v>
      </c>
      <c r="BZ82">
        <v>64</v>
      </c>
      <c r="CA82">
        <v>71</v>
      </c>
      <c r="CB82">
        <v>172</v>
      </c>
      <c r="CC82">
        <v>68</v>
      </c>
      <c r="CD82">
        <v>65</v>
      </c>
      <c r="CE82">
        <v>208</v>
      </c>
      <c r="CF82">
        <v>43</v>
      </c>
      <c r="CG82">
        <v>83</v>
      </c>
      <c r="CH82">
        <v>211</v>
      </c>
      <c r="CI82">
        <v>71</v>
      </c>
      <c r="CJ82">
        <v>65</v>
      </c>
      <c r="CK82">
        <v>139</v>
      </c>
      <c r="CL82">
        <v>67</v>
      </c>
      <c r="CM82">
        <v>49</v>
      </c>
      <c r="CN82">
        <v>168</v>
      </c>
      <c r="CO82">
        <v>59</v>
      </c>
      <c r="CP82">
        <v>70</v>
      </c>
      <c r="CQ82">
        <v>93</v>
      </c>
      <c r="CR82">
        <v>83</v>
      </c>
      <c r="CS82">
        <v>83</v>
      </c>
      <c r="CT82">
        <v>174</v>
      </c>
      <c r="CU82">
        <v>35</v>
      </c>
      <c r="CV82">
        <v>82</v>
      </c>
      <c r="CW82">
        <v>210</v>
      </c>
      <c r="CX82">
        <v>59</v>
      </c>
      <c r="CY82">
        <v>72</v>
      </c>
      <c r="CZ82">
        <v>202</v>
      </c>
      <c r="DA82">
        <v>68</v>
      </c>
      <c r="DB82">
        <v>67</v>
      </c>
      <c r="DC82">
        <v>155</v>
      </c>
      <c r="DD82">
        <v>61</v>
      </c>
      <c r="DE82">
        <v>73</v>
      </c>
      <c r="DF82">
        <v>194</v>
      </c>
      <c r="DG82">
        <v>53</v>
      </c>
      <c r="DH82">
        <v>67</v>
      </c>
      <c r="DI82">
        <v>134</v>
      </c>
      <c r="DJ82">
        <v>71</v>
      </c>
      <c r="DK82">
        <v>67</v>
      </c>
      <c r="DL82">
        <v>218</v>
      </c>
      <c r="DM82">
        <v>46</v>
      </c>
      <c r="DN82">
        <v>82</v>
      </c>
      <c r="DO82">
        <v>176</v>
      </c>
      <c r="DP82">
        <v>63</v>
      </c>
      <c r="DQ82">
        <v>67</v>
      </c>
      <c r="DR82">
        <v>147</v>
      </c>
      <c r="DS82">
        <v>68</v>
      </c>
      <c r="DT82">
        <v>63</v>
      </c>
      <c r="DU82">
        <v>181</v>
      </c>
      <c r="DV82">
        <v>57</v>
      </c>
      <c r="DW82">
        <v>71</v>
      </c>
      <c r="DX82">
        <v>168</v>
      </c>
      <c r="DY82">
        <v>62</v>
      </c>
      <c r="DZ82">
        <v>78</v>
      </c>
    </row>
    <row r="83" spans="1:130" hidden="1">
      <c r="A83">
        <v>8</v>
      </c>
      <c r="F83">
        <v>3632</v>
      </c>
      <c r="G83">
        <v>22</v>
      </c>
      <c r="H83">
        <v>1</v>
      </c>
      <c r="I83">
        <v>8</v>
      </c>
      <c r="J83">
        <v>6</v>
      </c>
      <c r="K83">
        <v>193</v>
      </c>
      <c r="L83">
        <v>41</v>
      </c>
      <c r="M83">
        <v>89</v>
      </c>
      <c r="N83">
        <v>222</v>
      </c>
      <c r="O83">
        <v>51</v>
      </c>
      <c r="P83">
        <v>86</v>
      </c>
      <c r="Q83">
        <v>202</v>
      </c>
      <c r="R83">
        <v>69</v>
      </c>
      <c r="S83">
        <v>91</v>
      </c>
      <c r="T83">
        <v>220</v>
      </c>
      <c r="U83">
        <v>45</v>
      </c>
      <c r="V83">
        <v>91</v>
      </c>
      <c r="W83">
        <v>220</v>
      </c>
      <c r="X83">
        <v>67</v>
      </c>
      <c r="Y83">
        <v>89</v>
      </c>
      <c r="Z83">
        <v>204</v>
      </c>
      <c r="AA83">
        <v>49</v>
      </c>
      <c r="AB83">
        <v>91</v>
      </c>
      <c r="AC83">
        <v>218</v>
      </c>
      <c r="AD83">
        <v>40</v>
      </c>
      <c r="AE83">
        <v>90</v>
      </c>
      <c r="AF83">
        <v>173</v>
      </c>
      <c r="AG83">
        <v>56</v>
      </c>
      <c r="AH83">
        <v>91</v>
      </c>
      <c r="AI83">
        <v>186</v>
      </c>
      <c r="AJ83">
        <v>43</v>
      </c>
      <c r="AK83">
        <v>90</v>
      </c>
      <c r="AL83">
        <v>189</v>
      </c>
      <c r="AM83">
        <v>51</v>
      </c>
      <c r="AN83">
        <v>92</v>
      </c>
      <c r="AO83">
        <v>223</v>
      </c>
      <c r="AP83">
        <v>56</v>
      </c>
      <c r="AQ83">
        <v>92</v>
      </c>
      <c r="AR83">
        <v>191</v>
      </c>
      <c r="AS83">
        <v>65</v>
      </c>
      <c r="AT83">
        <v>99</v>
      </c>
      <c r="AU83">
        <v>147</v>
      </c>
      <c r="AV83">
        <v>28</v>
      </c>
      <c r="AW83">
        <v>90</v>
      </c>
      <c r="AX83">
        <v>205</v>
      </c>
      <c r="AY83">
        <v>75</v>
      </c>
      <c r="AZ83">
        <v>83</v>
      </c>
      <c r="BA83">
        <v>194</v>
      </c>
      <c r="BB83">
        <v>62</v>
      </c>
      <c r="BC83">
        <v>87</v>
      </c>
      <c r="BD83">
        <v>222</v>
      </c>
      <c r="BE83">
        <v>40</v>
      </c>
      <c r="BF83">
        <v>84</v>
      </c>
      <c r="BG83">
        <v>182</v>
      </c>
      <c r="BH83">
        <v>53</v>
      </c>
      <c r="BI83">
        <v>87</v>
      </c>
      <c r="BJ83">
        <v>243</v>
      </c>
      <c r="BK83">
        <v>41</v>
      </c>
      <c r="BL83">
        <v>89</v>
      </c>
      <c r="BM83">
        <v>226</v>
      </c>
      <c r="BN83">
        <v>49</v>
      </c>
      <c r="BO83">
        <v>98</v>
      </c>
      <c r="BP83">
        <v>246</v>
      </c>
      <c r="BQ83">
        <v>47</v>
      </c>
      <c r="BR83">
        <v>101</v>
      </c>
      <c r="BS83">
        <v>246</v>
      </c>
      <c r="BT83">
        <v>46</v>
      </c>
      <c r="BU83">
        <v>92</v>
      </c>
      <c r="BV83">
        <v>183</v>
      </c>
      <c r="BW83">
        <v>45</v>
      </c>
      <c r="BX83">
        <v>86</v>
      </c>
      <c r="BY83">
        <v>210</v>
      </c>
      <c r="BZ83">
        <v>61</v>
      </c>
      <c r="CA83">
        <v>92</v>
      </c>
      <c r="CB83">
        <v>196</v>
      </c>
      <c r="CC83">
        <v>60</v>
      </c>
      <c r="CD83">
        <v>84</v>
      </c>
      <c r="CE83">
        <v>228</v>
      </c>
      <c r="CF83">
        <v>37</v>
      </c>
      <c r="CG83">
        <v>90</v>
      </c>
      <c r="CH83">
        <v>220</v>
      </c>
      <c r="CI83">
        <v>69</v>
      </c>
      <c r="CJ83">
        <v>82</v>
      </c>
      <c r="CK83">
        <v>196</v>
      </c>
      <c r="CL83">
        <v>42</v>
      </c>
      <c r="CM83">
        <v>107</v>
      </c>
      <c r="CN83">
        <v>191</v>
      </c>
      <c r="CO83">
        <v>53</v>
      </c>
      <c r="CP83">
        <v>84</v>
      </c>
      <c r="CQ83">
        <v>142</v>
      </c>
      <c r="CR83">
        <v>65</v>
      </c>
      <c r="CS83">
        <v>92</v>
      </c>
      <c r="CT83">
        <v>193</v>
      </c>
      <c r="CU83">
        <v>29</v>
      </c>
      <c r="CV83">
        <v>96</v>
      </c>
      <c r="CW83">
        <v>218</v>
      </c>
      <c r="CX83">
        <v>57</v>
      </c>
      <c r="CY83">
        <v>90</v>
      </c>
      <c r="CZ83">
        <v>213</v>
      </c>
      <c r="DA83">
        <v>62</v>
      </c>
      <c r="DB83">
        <v>88</v>
      </c>
      <c r="DC83">
        <v>184</v>
      </c>
      <c r="DD83">
        <v>53</v>
      </c>
      <c r="DE83">
        <v>92</v>
      </c>
      <c r="DF83">
        <v>216</v>
      </c>
      <c r="DG83">
        <v>48</v>
      </c>
      <c r="DH83">
        <v>86</v>
      </c>
      <c r="DI83">
        <v>171</v>
      </c>
      <c r="DJ83">
        <v>56</v>
      </c>
      <c r="DK83">
        <v>87</v>
      </c>
      <c r="DL83">
        <v>240</v>
      </c>
      <c r="DM83">
        <v>44</v>
      </c>
      <c r="DN83">
        <v>106</v>
      </c>
      <c r="DO83">
        <v>200</v>
      </c>
      <c r="DP83">
        <v>52</v>
      </c>
      <c r="DQ83">
        <v>87</v>
      </c>
      <c r="DR83">
        <v>186</v>
      </c>
      <c r="DS83">
        <v>55</v>
      </c>
      <c r="DT83">
        <v>99</v>
      </c>
      <c r="DU83">
        <v>199</v>
      </c>
      <c r="DV83">
        <v>54</v>
      </c>
      <c r="DW83">
        <v>84</v>
      </c>
      <c r="DX83">
        <v>188</v>
      </c>
      <c r="DY83">
        <v>56</v>
      </c>
      <c r="DZ83">
        <v>89</v>
      </c>
    </row>
    <row r="84" spans="1:130" hidden="1">
      <c r="A84">
        <v>9</v>
      </c>
      <c r="F84">
        <v>3633</v>
      </c>
      <c r="G84">
        <v>22</v>
      </c>
      <c r="H84">
        <v>1</v>
      </c>
      <c r="I84">
        <v>9</v>
      </c>
      <c r="J84">
        <v>6</v>
      </c>
      <c r="K84">
        <v>222</v>
      </c>
      <c r="L84">
        <v>32</v>
      </c>
      <c r="M84">
        <v>105</v>
      </c>
      <c r="N84">
        <v>239</v>
      </c>
      <c r="O84">
        <v>46</v>
      </c>
      <c r="P84">
        <v>102</v>
      </c>
      <c r="Q84">
        <v>226</v>
      </c>
      <c r="R84">
        <v>61</v>
      </c>
      <c r="S84">
        <v>109</v>
      </c>
      <c r="T84">
        <v>241</v>
      </c>
      <c r="U84">
        <v>41</v>
      </c>
      <c r="V84">
        <v>108</v>
      </c>
      <c r="W84">
        <v>237</v>
      </c>
      <c r="X84">
        <v>59</v>
      </c>
      <c r="Y84">
        <v>108</v>
      </c>
      <c r="Z84">
        <v>222</v>
      </c>
      <c r="AA84">
        <v>45</v>
      </c>
      <c r="AB84">
        <v>106</v>
      </c>
      <c r="AC84">
        <v>240</v>
      </c>
      <c r="AD84">
        <v>33</v>
      </c>
      <c r="AE84">
        <v>111</v>
      </c>
      <c r="AF84">
        <v>204</v>
      </c>
      <c r="AG84">
        <v>42</v>
      </c>
      <c r="AH84">
        <v>107</v>
      </c>
      <c r="AI84">
        <v>208</v>
      </c>
      <c r="AJ84">
        <v>35</v>
      </c>
      <c r="AK84">
        <v>107</v>
      </c>
      <c r="AL84">
        <v>213</v>
      </c>
      <c r="AM84">
        <v>45</v>
      </c>
      <c r="AN84">
        <v>109</v>
      </c>
      <c r="AO84">
        <v>244</v>
      </c>
      <c r="AP84">
        <v>49</v>
      </c>
      <c r="AQ84">
        <v>111</v>
      </c>
      <c r="AR84">
        <v>221</v>
      </c>
      <c r="AS84">
        <v>51</v>
      </c>
      <c r="AT84">
        <v>109</v>
      </c>
      <c r="AU84">
        <v>156</v>
      </c>
      <c r="AV84">
        <v>28</v>
      </c>
      <c r="AW84">
        <v>103</v>
      </c>
      <c r="AX84">
        <v>223</v>
      </c>
      <c r="AY84">
        <v>68</v>
      </c>
      <c r="AZ84">
        <v>97</v>
      </c>
      <c r="BA84">
        <v>212</v>
      </c>
      <c r="BB84">
        <v>57</v>
      </c>
      <c r="BC84">
        <v>102</v>
      </c>
      <c r="BD84">
        <v>242</v>
      </c>
      <c r="BE84">
        <v>35</v>
      </c>
      <c r="BF84">
        <v>100</v>
      </c>
      <c r="BG84">
        <v>185</v>
      </c>
      <c r="BH84">
        <v>59</v>
      </c>
      <c r="BI84">
        <v>98</v>
      </c>
      <c r="BJ84">
        <v>259</v>
      </c>
      <c r="BK84">
        <v>37</v>
      </c>
      <c r="BL84">
        <v>111</v>
      </c>
      <c r="BM84">
        <v>237</v>
      </c>
      <c r="BN84">
        <v>45</v>
      </c>
      <c r="BO84">
        <v>112</v>
      </c>
      <c r="BP84">
        <v>268</v>
      </c>
      <c r="BQ84">
        <v>44</v>
      </c>
      <c r="BR84">
        <v>107</v>
      </c>
      <c r="BS84">
        <v>264</v>
      </c>
      <c r="BT84">
        <v>46</v>
      </c>
      <c r="BU84">
        <v>112</v>
      </c>
      <c r="BV84">
        <v>196</v>
      </c>
      <c r="BW84">
        <v>42</v>
      </c>
      <c r="BX84">
        <v>102</v>
      </c>
      <c r="BY84">
        <v>225</v>
      </c>
      <c r="BZ84">
        <v>57</v>
      </c>
      <c r="CA84">
        <v>107</v>
      </c>
      <c r="CB84">
        <v>211</v>
      </c>
      <c r="CC84">
        <v>56</v>
      </c>
      <c r="CD84">
        <v>98</v>
      </c>
      <c r="CE84">
        <v>247</v>
      </c>
      <c r="CF84">
        <v>29</v>
      </c>
      <c r="CG84">
        <v>107</v>
      </c>
      <c r="CH84">
        <v>225</v>
      </c>
      <c r="CI84">
        <v>69</v>
      </c>
      <c r="CJ84">
        <v>101</v>
      </c>
      <c r="CK84">
        <v>232</v>
      </c>
      <c r="CL84">
        <v>29</v>
      </c>
      <c r="CM84">
        <v>110</v>
      </c>
      <c r="CN84">
        <v>215</v>
      </c>
      <c r="CO84">
        <v>49</v>
      </c>
      <c r="CP84">
        <v>101</v>
      </c>
      <c r="CQ84">
        <v>176</v>
      </c>
      <c r="CR84">
        <v>41</v>
      </c>
      <c r="CS84">
        <v>105</v>
      </c>
      <c r="CT84">
        <v>201</v>
      </c>
      <c r="CU84">
        <v>27</v>
      </c>
      <c r="CV84">
        <v>106</v>
      </c>
      <c r="CW84">
        <v>225</v>
      </c>
      <c r="CX84">
        <v>57</v>
      </c>
      <c r="CY84">
        <v>107</v>
      </c>
      <c r="CZ84">
        <v>229</v>
      </c>
      <c r="DA84">
        <v>57</v>
      </c>
      <c r="DB84">
        <v>107</v>
      </c>
      <c r="DC84">
        <v>210</v>
      </c>
      <c r="DD84">
        <v>45</v>
      </c>
      <c r="DE84">
        <v>106</v>
      </c>
      <c r="DF84">
        <v>239</v>
      </c>
      <c r="DG84">
        <v>42</v>
      </c>
      <c r="DH84">
        <v>113</v>
      </c>
      <c r="DI84">
        <v>203</v>
      </c>
      <c r="DJ84">
        <v>43</v>
      </c>
      <c r="DK84">
        <v>106</v>
      </c>
      <c r="DL84">
        <v>263</v>
      </c>
      <c r="DM84">
        <v>36</v>
      </c>
      <c r="DN84">
        <v>116</v>
      </c>
      <c r="DO84">
        <v>219</v>
      </c>
      <c r="DP84">
        <v>48</v>
      </c>
      <c r="DQ84">
        <v>106</v>
      </c>
      <c r="DR84">
        <v>207</v>
      </c>
      <c r="DS84">
        <v>50</v>
      </c>
      <c r="DT84">
        <v>109</v>
      </c>
      <c r="DU84">
        <v>219</v>
      </c>
      <c r="DV84">
        <v>48</v>
      </c>
      <c r="DW84">
        <v>102</v>
      </c>
      <c r="DX84">
        <v>212</v>
      </c>
      <c r="DY84">
        <v>50</v>
      </c>
      <c r="DZ84">
        <v>109</v>
      </c>
    </row>
    <row r="85" spans="1:130" hidden="1">
      <c r="A85">
        <v>10</v>
      </c>
      <c r="F85">
        <v>3634</v>
      </c>
      <c r="G85">
        <v>22</v>
      </c>
      <c r="H85">
        <v>1</v>
      </c>
      <c r="I85">
        <v>10</v>
      </c>
      <c r="J85">
        <v>6</v>
      </c>
      <c r="K85">
        <v>237</v>
      </c>
      <c r="L85">
        <v>32</v>
      </c>
      <c r="M85">
        <v>120</v>
      </c>
      <c r="N85">
        <v>249</v>
      </c>
      <c r="O85">
        <v>49</v>
      </c>
      <c r="P85">
        <v>117</v>
      </c>
      <c r="Q85">
        <v>245</v>
      </c>
      <c r="R85">
        <v>57</v>
      </c>
      <c r="S85">
        <v>122</v>
      </c>
      <c r="T85">
        <v>258</v>
      </c>
      <c r="U85">
        <v>40</v>
      </c>
      <c r="V85">
        <v>124</v>
      </c>
      <c r="W85">
        <v>251</v>
      </c>
      <c r="X85">
        <v>55</v>
      </c>
      <c r="Y85">
        <v>120</v>
      </c>
      <c r="Z85">
        <v>245</v>
      </c>
      <c r="AA85">
        <v>40</v>
      </c>
      <c r="AB85">
        <v>120</v>
      </c>
      <c r="AC85">
        <v>263</v>
      </c>
      <c r="AD85">
        <v>30</v>
      </c>
      <c r="AE85">
        <v>124</v>
      </c>
      <c r="AF85">
        <v>221</v>
      </c>
      <c r="AG85">
        <v>32</v>
      </c>
      <c r="AH85">
        <v>120</v>
      </c>
      <c r="AI85">
        <v>230</v>
      </c>
      <c r="AJ85">
        <v>28</v>
      </c>
      <c r="AK85">
        <v>120</v>
      </c>
      <c r="AL85">
        <v>226</v>
      </c>
      <c r="AM85">
        <v>44</v>
      </c>
      <c r="AN85">
        <v>119</v>
      </c>
      <c r="AO85">
        <v>263</v>
      </c>
      <c r="AP85">
        <v>44</v>
      </c>
      <c r="AQ85">
        <v>123</v>
      </c>
      <c r="AR85">
        <v>243</v>
      </c>
      <c r="AS85">
        <v>44</v>
      </c>
      <c r="AT85">
        <v>124</v>
      </c>
      <c r="AU85">
        <v>161</v>
      </c>
      <c r="AV85">
        <v>33</v>
      </c>
      <c r="AW85">
        <v>116</v>
      </c>
      <c r="AX85">
        <v>244</v>
      </c>
      <c r="AY85">
        <v>53</v>
      </c>
      <c r="AZ85">
        <v>114</v>
      </c>
      <c r="BA85">
        <v>233</v>
      </c>
      <c r="BB85">
        <v>48</v>
      </c>
      <c r="BC85">
        <v>118</v>
      </c>
      <c r="BD85">
        <v>260</v>
      </c>
      <c r="BE85">
        <v>28</v>
      </c>
      <c r="BF85">
        <v>112</v>
      </c>
      <c r="BG85">
        <v>195</v>
      </c>
      <c r="BH85">
        <v>62</v>
      </c>
      <c r="BI85">
        <v>114</v>
      </c>
      <c r="BJ85">
        <v>287</v>
      </c>
      <c r="BK85">
        <v>33</v>
      </c>
      <c r="BL85">
        <v>125</v>
      </c>
      <c r="BM85">
        <v>251</v>
      </c>
      <c r="BN85">
        <v>43</v>
      </c>
      <c r="BO85">
        <v>129</v>
      </c>
      <c r="BP85">
        <v>284</v>
      </c>
      <c r="BQ85">
        <v>42</v>
      </c>
      <c r="BR85">
        <v>122</v>
      </c>
      <c r="BS85">
        <v>277</v>
      </c>
      <c r="BT85">
        <v>47</v>
      </c>
      <c r="BU85">
        <v>127</v>
      </c>
      <c r="BV85">
        <v>217</v>
      </c>
      <c r="BW85">
        <v>39</v>
      </c>
      <c r="BX85">
        <v>114</v>
      </c>
      <c r="BY85">
        <v>233</v>
      </c>
      <c r="BZ85">
        <v>53</v>
      </c>
      <c r="CA85">
        <v>119</v>
      </c>
      <c r="CB85">
        <v>233</v>
      </c>
      <c r="CC85">
        <v>50</v>
      </c>
      <c r="CD85">
        <v>113</v>
      </c>
      <c r="CE85">
        <v>264</v>
      </c>
      <c r="CF85">
        <v>23</v>
      </c>
      <c r="CG85">
        <v>120</v>
      </c>
      <c r="CH85">
        <v>234</v>
      </c>
      <c r="CI85">
        <v>65</v>
      </c>
      <c r="CJ85">
        <v>113</v>
      </c>
      <c r="CK85">
        <v>250</v>
      </c>
      <c r="CL85">
        <v>25</v>
      </c>
      <c r="CM85">
        <v>124</v>
      </c>
      <c r="CN85">
        <v>238</v>
      </c>
      <c r="CO85">
        <v>42</v>
      </c>
      <c r="CP85">
        <v>115</v>
      </c>
      <c r="CQ85">
        <v>200</v>
      </c>
      <c r="CR85">
        <v>26</v>
      </c>
      <c r="CS85">
        <v>117</v>
      </c>
      <c r="CT85">
        <v>208</v>
      </c>
      <c r="CU85">
        <v>22</v>
      </c>
      <c r="CV85">
        <v>119</v>
      </c>
      <c r="CW85">
        <v>236</v>
      </c>
      <c r="CX85">
        <v>53</v>
      </c>
      <c r="CY85">
        <v>116</v>
      </c>
      <c r="CZ85">
        <v>240</v>
      </c>
      <c r="DA85">
        <v>53</v>
      </c>
      <c r="DB85">
        <v>118</v>
      </c>
      <c r="DC85">
        <v>241</v>
      </c>
      <c r="DD85">
        <v>39</v>
      </c>
      <c r="DE85">
        <v>120</v>
      </c>
      <c r="DF85">
        <v>263</v>
      </c>
      <c r="DG85">
        <v>33</v>
      </c>
      <c r="DH85">
        <v>134</v>
      </c>
      <c r="DI85">
        <v>220</v>
      </c>
      <c r="DJ85">
        <v>34</v>
      </c>
      <c r="DK85">
        <v>121</v>
      </c>
      <c r="DL85">
        <v>284</v>
      </c>
      <c r="DM85">
        <v>28</v>
      </c>
      <c r="DN85">
        <v>127</v>
      </c>
      <c r="DO85">
        <v>242</v>
      </c>
      <c r="DP85">
        <v>44</v>
      </c>
      <c r="DQ85">
        <v>119</v>
      </c>
      <c r="DR85">
        <v>225</v>
      </c>
      <c r="DS85">
        <v>49</v>
      </c>
      <c r="DT85">
        <v>124</v>
      </c>
      <c r="DU85">
        <v>242</v>
      </c>
      <c r="DV85">
        <v>43</v>
      </c>
      <c r="DW85">
        <v>118</v>
      </c>
      <c r="DX85">
        <v>235</v>
      </c>
      <c r="DY85">
        <v>44</v>
      </c>
      <c r="DZ85">
        <v>119</v>
      </c>
    </row>
    <row r="86" spans="1:130" hidden="1">
      <c r="A86">
        <v>11</v>
      </c>
      <c r="F86">
        <v>3635</v>
      </c>
      <c r="G86">
        <v>22</v>
      </c>
      <c r="H86">
        <v>1</v>
      </c>
      <c r="I86">
        <v>11</v>
      </c>
      <c r="J86">
        <v>6</v>
      </c>
      <c r="K86">
        <v>242</v>
      </c>
      <c r="L86">
        <v>35</v>
      </c>
      <c r="M86">
        <v>130</v>
      </c>
      <c r="N86">
        <v>256</v>
      </c>
      <c r="O86">
        <v>50</v>
      </c>
      <c r="P86">
        <v>125</v>
      </c>
      <c r="Q86">
        <v>255</v>
      </c>
      <c r="R86">
        <v>56</v>
      </c>
      <c r="S86">
        <v>136</v>
      </c>
      <c r="T86">
        <v>281</v>
      </c>
      <c r="U86">
        <v>36</v>
      </c>
      <c r="V86">
        <v>133</v>
      </c>
      <c r="W86">
        <v>258</v>
      </c>
      <c r="X86">
        <v>54</v>
      </c>
      <c r="Y86">
        <v>133</v>
      </c>
      <c r="Z86">
        <v>268</v>
      </c>
      <c r="AA86">
        <v>36</v>
      </c>
      <c r="AB86">
        <v>130</v>
      </c>
      <c r="AC86">
        <v>280</v>
      </c>
      <c r="AD86">
        <v>31</v>
      </c>
      <c r="AE86">
        <v>134</v>
      </c>
      <c r="AF86">
        <v>229</v>
      </c>
      <c r="AG86">
        <v>29</v>
      </c>
      <c r="AH86">
        <v>133</v>
      </c>
      <c r="AI86">
        <v>252</v>
      </c>
      <c r="AJ86">
        <v>26</v>
      </c>
      <c r="AK86">
        <v>129</v>
      </c>
      <c r="AL86">
        <v>238</v>
      </c>
      <c r="AM86">
        <v>44</v>
      </c>
      <c r="AN86">
        <v>128</v>
      </c>
      <c r="AO86">
        <v>282</v>
      </c>
      <c r="AP86">
        <v>40</v>
      </c>
      <c r="AQ86">
        <v>132</v>
      </c>
      <c r="AR86">
        <v>267</v>
      </c>
      <c r="AS86">
        <v>43</v>
      </c>
      <c r="AT86">
        <v>133</v>
      </c>
      <c r="AU86">
        <v>169</v>
      </c>
      <c r="AV86">
        <v>34</v>
      </c>
      <c r="AW86">
        <v>123</v>
      </c>
      <c r="AX86">
        <v>256</v>
      </c>
      <c r="AY86">
        <v>50</v>
      </c>
      <c r="AZ86">
        <v>120</v>
      </c>
      <c r="BA86">
        <v>254</v>
      </c>
      <c r="BB86">
        <v>41</v>
      </c>
      <c r="BC86">
        <v>127</v>
      </c>
      <c r="BD86">
        <v>270</v>
      </c>
      <c r="BE86">
        <v>26</v>
      </c>
      <c r="BF86">
        <v>120</v>
      </c>
      <c r="BG86">
        <v>207</v>
      </c>
      <c r="BH86">
        <v>55</v>
      </c>
      <c r="BI86">
        <v>122</v>
      </c>
      <c r="BJ86">
        <v>309</v>
      </c>
      <c r="BK86">
        <v>29</v>
      </c>
      <c r="BL86">
        <v>136</v>
      </c>
      <c r="BM86">
        <v>262</v>
      </c>
      <c r="BN86">
        <v>43</v>
      </c>
      <c r="BO86">
        <v>136</v>
      </c>
      <c r="BP86">
        <v>299</v>
      </c>
      <c r="BQ86">
        <v>37</v>
      </c>
      <c r="BR86">
        <v>137</v>
      </c>
      <c r="BS86">
        <v>287</v>
      </c>
      <c r="BT86">
        <v>42</v>
      </c>
      <c r="BU86">
        <v>139</v>
      </c>
      <c r="BV86">
        <v>236</v>
      </c>
      <c r="BW86">
        <v>37</v>
      </c>
      <c r="BX86">
        <v>122</v>
      </c>
      <c r="BY86">
        <v>244</v>
      </c>
      <c r="BZ86">
        <v>47</v>
      </c>
      <c r="CA86">
        <v>134</v>
      </c>
      <c r="CB86">
        <v>252</v>
      </c>
      <c r="CC86">
        <v>40</v>
      </c>
      <c r="CD86">
        <v>122</v>
      </c>
      <c r="CE86">
        <v>272</v>
      </c>
      <c r="CF86">
        <v>20</v>
      </c>
      <c r="CG86">
        <v>129</v>
      </c>
      <c r="CH86">
        <v>248</v>
      </c>
      <c r="CI86">
        <v>59</v>
      </c>
      <c r="CJ86">
        <v>123</v>
      </c>
      <c r="CK86">
        <v>262</v>
      </c>
      <c r="CL86">
        <v>25</v>
      </c>
      <c r="CM86">
        <v>132</v>
      </c>
      <c r="CN86">
        <v>250</v>
      </c>
      <c r="CO86">
        <v>39</v>
      </c>
      <c r="CP86">
        <v>123</v>
      </c>
      <c r="CQ86">
        <v>215</v>
      </c>
      <c r="CR86">
        <v>29</v>
      </c>
      <c r="CS86">
        <v>125</v>
      </c>
      <c r="CT86">
        <v>217</v>
      </c>
      <c r="CU86">
        <v>16</v>
      </c>
      <c r="CV86">
        <v>127</v>
      </c>
      <c r="CW86">
        <v>244</v>
      </c>
      <c r="CX86">
        <v>50</v>
      </c>
      <c r="CY86">
        <v>123</v>
      </c>
      <c r="CZ86">
        <v>252</v>
      </c>
      <c r="DA86">
        <v>49</v>
      </c>
      <c r="DB86">
        <v>134</v>
      </c>
      <c r="DC86">
        <v>261</v>
      </c>
      <c r="DD86">
        <v>31</v>
      </c>
      <c r="DE86">
        <v>127</v>
      </c>
      <c r="DF86">
        <v>281</v>
      </c>
      <c r="DG86">
        <v>30</v>
      </c>
      <c r="DH86">
        <v>137</v>
      </c>
      <c r="DI86">
        <v>233</v>
      </c>
      <c r="DJ86">
        <v>26</v>
      </c>
      <c r="DK86">
        <v>130</v>
      </c>
      <c r="DL86">
        <v>292</v>
      </c>
      <c r="DM86">
        <v>27</v>
      </c>
      <c r="DN86">
        <v>138</v>
      </c>
      <c r="DO86">
        <v>260</v>
      </c>
      <c r="DP86">
        <v>40</v>
      </c>
      <c r="DQ86">
        <v>132</v>
      </c>
      <c r="DR86">
        <v>239</v>
      </c>
      <c r="DS86">
        <v>42</v>
      </c>
      <c r="DT86">
        <v>135</v>
      </c>
      <c r="DU86">
        <v>266</v>
      </c>
      <c r="DV86">
        <v>37</v>
      </c>
      <c r="DW86">
        <v>126</v>
      </c>
      <c r="DX86">
        <v>255</v>
      </c>
      <c r="DY86">
        <v>40</v>
      </c>
      <c r="DZ86">
        <v>129</v>
      </c>
    </row>
    <row r="87" spans="1:130" hidden="1">
      <c r="A87">
        <v>12</v>
      </c>
      <c r="F87">
        <v>3636</v>
      </c>
      <c r="G87">
        <v>22</v>
      </c>
      <c r="H87">
        <v>1</v>
      </c>
      <c r="I87">
        <v>12</v>
      </c>
      <c r="J87">
        <v>6</v>
      </c>
      <c r="K87">
        <v>249</v>
      </c>
      <c r="L87">
        <v>34</v>
      </c>
      <c r="M87">
        <v>138</v>
      </c>
      <c r="N87">
        <v>268</v>
      </c>
      <c r="O87">
        <v>48</v>
      </c>
      <c r="P87">
        <v>135</v>
      </c>
      <c r="Q87">
        <v>266</v>
      </c>
      <c r="R87">
        <v>52</v>
      </c>
      <c r="S87">
        <v>148</v>
      </c>
      <c r="T87">
        <v>298</v>
      </c>
      <c r="U87">
        <v>33</v>
      </c>
      <c r="V87">
        <v>153</v>
      </c>
      <c r="W87">
        <v>265</v>
      </c>
      <c r="X87">
        <v>52</v>
      </c>
      <c r="Y87">
        <v>148</v>
      </c>
      <c r="Z87">
        <v>287</v>
      </c>
      <c r="AA87">
        <v>31</v>
      </c>
      <c r="AB87">
        <v>145</v>
      </c>
      <c r="AC87">
        <v>293</v>
      </c>
      <c r="AD87">
        <v>27</v>
      </c>
      <c r="AE87">
        <v>146</v>
      </c>
      <c r="AF87">
        <v>239</v>
      </c>
      <c r="AG87">
        <v>26</v>
      </c>
      <c r="AH87">
        <v>141</v>
      </c>
      <c r="AI87">
        <v>260</v>
      </c>
      <c r="AJ87">
        <v>25</v>
      </c>
      <c r="AK87">
        <v>139</v>
      </c>
      <c r="AL87">
        <v>247</v>
      </c>
      <c r="AM87">
        <v>43</v>
      </c>
      <c r="AN87">
        <v>137</v>
      </c>
      <c r="AO87">
        <v>294</v>
      </c>
      <c r="AP87">
        <v>33</v>
      </c>
      <c r="AQ87">
        <v>138</v>
      </c>
      <c r="AR87">
        <v>279</v>
      </c>
      <c r="AS87">
        <v>41</v>
      </c>
      <c r="AT87">
        <v>150</v>
      </c>
      <c r="AU87">
        <v>177</v>
      </c>
      <c r="AV87">
        <v>33</v>
      </c>
      <c r="AW87">
        <v>130</v>
      </c>
      <c r="AX87">
        <v>274</v>
      </c>
      <c r="AY87">
        <v>48</v>
      </c>
      <c r="AZ87">
        <v>129</v>
      </c>
      <c r="BA87">
        <v>262</v>
      </c>
      <c r="BB87">
        <v>36</v>
      </c>
      <c r="BC87">
        <v>141</v>
      </c>
      <c r="BD87">
        <v>279</v>
      </c>
      <c r="BE87">
        <v>25</v>
      </c>
      <c r="BF87">
        <v>145</v>
      </c>
      <c r="BG87">
        <v>224</v>
      </c>
      <c r="BH87">
        <v>45</v>
      </c>
      <c r="BI87">
        <v>129</v>
      </c>
      <c r="BJ87">
        <v>310</v>
      </c>
      <c r="BK87">
        <v>24</v>
      </c>
      <c r="BL87">
        <v>151</v>
      </c>
      <c r="BM87">
        <v>272</v>
      </c>
      <c r="BN87">
        <v>43</v>
      </c>
      <c r="BO87">
        <v>155</v>
      </c>
      <c r="BP87">
        <v>312</v>
      </c>
      <c r="BQ87">
        <v>38</v>
      </c>
      <c r="BR87">
        <v>151</v>
      </c>
      <c r="BS87">
        <v>299</v>
      </c>
      <c r="BT87">
        <v>34</v>
      </c>
      <c r="BU87">
        <v>155</v>
      </c>
      <c r="BV87">
        <v>252</v>
      </c>
      <c r="BW87">
        <v>27</v>
      </c>
      <c r="BX87">
        <v>132</v>
      </c>
      <c r="BY87">
        <v>258</v>
      </c>
      <c r="BZ87">
        <v>40</v>
      </c>
      <c r="CA87">
        <v>144</v>
      </c>
      <c r="CB87">
        <v>271</v>
      </c>
      <c r="CC87">
        <v>39</v>
      </c>
      <c r="CD87">
        <v>133</v>
      </c>
      <c r="CE87">
        <v>278</v>
      </c>
      <c r="CF87">
        <v>20</v>
      </c>
      <c r="CG87">
        <v>138</v>
      </c>
      <c r="CH87">
        <v>255</v>
      </c>
      <c r="CI87">
        <v>54</v>
      </c>
      <c r="CJ87">
        <v>128</v>
      </c>
      <c r="CK87">
        <v>269</v>
      </c>
      <c r="CL87">
        <v>25</v>
      </c>
      <c r="CM87">
        <v>140</v>
      </c>
      <c r="CN87">
        <v>269</v>
      </c>
      <c r="CO87">
        <v>35</v>
      </c>
      <c r="CP87">
        <v>137</v>
      </c>
      <c r="CQ87">
        <v>217</v>
      </c>
      <c r="CR87">
        <v>29</v>
      </c>
      <c r="CS87">
        <v>134</v>
      </c>
      <c r="CT87">
        <v>222</v>
      </c>
      <c r="CU87">
        <v>17</v>
      </c>
      <c r="CV87">
        <v>137</v>
      </c>
      <c r="CW87">
        <v>251</v>
      </c>
      <c r="CX87">
        <v>43</v>
      </c>
      <c r="CY87">
        <v>131</v>
      </c>
      <c r="CZ87">
        <v>266</v>
      </c>
      <c r="DA87">
        <v>45</v>
      </c>
      <c r="DB87">
        <v>151</v>
      </c>
      <c r="DC87">
        <v>273</v>
      </c>
      <c r="DD87">
        <v>27</v>
      </c>
      <c r="DE87">
        <v>135</v>
      </c>
      <c r="DF87">
        <v>299</v>
      </c>
      <c r="DG87">
        <v>28</v>
      </c>
      <c r="DH87">
        <v>135</v>
      </c>
      <c r="DI87">
        <v>245</v>
      </c>
      <c r="DJ87">
        <v>23</v>
      </c>
      <c r="DK87">
        <v>144</v>
      </c>
      <c r="DL87">
        <v>295</v>
      </c>
      <c r="DM87">
        <v>25</v>
      </c>
      <c r="DN87">
        <v>154</v>
      </c>
      <c r="DO87">
        <v>284</v>
      </c>
      <c r="DP87">
        <v>34</v>
      </c>
      <c r="DQ87">
        <v>157</v>
      </c>
      <c r="DR87">
        <v>248</v>
      </c>
      <c r="DS87">
        <v>38</v>
      </c>
      <c r="DT87">
        <v>160</v>
      </c>
      <c r="DU87">
        <v>283</v>
      </c>
      <c r="DV87">
        <v>33</v>
      </c>
      <c r="DW87">
        <v>153</v>
      </c>
      <c r="DX87">
        <v>273</v>
      </c>
      <c r="DY87">
        <v>36</v>
      </c>
      <c r="DZ87">
        <v>147</v>
      </c>
    </row>
    <row r="88" spans="1:130" hidden="1">
      <c r="A88">
        <v>13</v>
      </c>
      <c r="F88">
        <v>3637</v>
      </c>
      <c r="G88">
        <v>22</v>
      </c>
      <c r="H88">
        <v>1</v>
      </c>
      <c r="I88">
        <v>13</v>
      </c>
      <c r="J88">
        <v>6</v>
      </c>
      <c r="K88">
        <v>256</v>
      </c>
      <c r="L88">
        <v>33</v>
      </c>
      <c r="M88">
        <v>284</v>
      </c>
      <c r="N88">
        <v>281</v>
      </c>
      <c r="O88">
        <v>43</v>
      </c>
      <c r="P88">
        <v>269</v>
      </c>
      <c r="Q88">
        <v>271</v>
      </c>
      <c r="R88">
        <v>53</v>
      </c>
      <c r="S88">
        <v>295</v>
      </c>
      <c r="T88">
        <v>314</v>
      </c>
      <c r="U88">
        <v>30</v>
      </c>
      <c r="V88">
        <v>277</v>
      </c>
      <c r="W88">
        <v>274</v>
      </c>
      <c r="X88">
        <v>50</v>
      </c>
      <c r="Y88">
        <v>275</v>
      </c>
      <c r="Z88">
        <v>311</v>
      </c>
      <c r="AA88">
        <v>26</v>
      </c>
      <c r="AB88">
        <v>285</v>
      </c>
      <c r="AC88">
        <v>303</v>
      </c>
      <c r="AD88">
        <v>27</v>
      </c>
      <c r="AE88">
        <v>310</v>
      </c>
      <c r="AF88">
        <v>246</v>
      </c>
      <c r="AG88">
        <v>29</v>
      </c>
      <c r="AH88">
        <v>327</v>
      </c>
      <c r="AI88">
        <v>267</v>
      </c>
      <c r="AJ88">
        <v>27</v>
      </c>
      <c r="AK88">
        <v>301</v>
      </c>
      <c r="AL88">
        <v>261</v>
      </c>
      <c r="AM88">
        <v>39</v>
      </c>
      <c r="AN88">
        <v>294</v>
      </c>
      <c r="AO88">
        <v>300</v>
      </c>
      <c r="AP88">
        <v>29</v>
      </c>
      <c r="AQ88">
        <v>256</v>
      </c>
      <c r="AR88">
        <v>286</v>
      </c>
      <c r="AS88">
        <v>39</v>
      </c>
      <c r="AT88">
        <v>306</v>
      </c>
      <c r="AU88">
        <v>180</v>
      </c>
      <c r="AV88">
        <v>33</v>
      </c>
      <c r="AW88">
        <v>281</v>
      </c>
      <c r="AX88">
        <v>290</v>
      </c>
      <c r="AY88">
        <v>41</v>
      </c>
      <c r="AZ88">
        <v>298</v>
      </c>
      <c r="BA88">
        <v>278</v>
      </c>
      <c r="BB88">
        <v>37</v>
      </c>
      <c r="BC88">
        <v>284</v>
      </c>
      <c r="BD88">
        <v>290</v>
      </c>
      <c r="BE88">
        <v>19</v>
      </c>
      <c r="BF88">
        <v>273</v>
      </c>
      <c r="BG88">
        <v>237</v>
      </c>
      <c r="BH88">
        <v>41</v>
      </c>
      <c r="BI88">
        <v>262</v>
      </c>
      <c r="BJ88">
        <v>309</v>
      </c>
      <c r="BK88">
        <v>27</v>
      </c>
      <c r="BL88">
        <v>299</v>
      </c>
      <c r="BM88">
        <v>286</v>
      </c>
      <c r="BN88">
        <v>41</v>
      </c>
      <c r="BO88">
        <v>299</v>
      </c>
      <c r="BP88">
        <v>317</v>
      </c>
      <c r="BQ88">
        <v>38</v>
      </c>
      <c r="BR88">
        <v>287</v>
      </c>
      <c r="BS88">
        <v>319</v>
      </c>
      <c r="BT88">
        <v>34</v>
      </c>
      <c r="BU88">
        <v>298</v>
      </c>
      <c r="BV88">
        <v>265</v>
      </c>
      <c r="BW88">
        <v>18</v>
      </c>
      <c r="BX88">
        <v>276</v>
      </c>
      <c r="BY88">
        <v>271</v>
      </c>
      <c r="BZ88">
        <v>38</v>
      </c>
      <c r="CA88">
        <v>270</v>
      </c>
      <c r="CB88">
        <v>284</v>
      </c>
      <c r="CC88">
        <v>37</v>
      </c>
      <c r="CD88">
        <v>266</v>
      </c>
      <c r="CE88">
        <v>278</v>
      </c>
      <c r="CF88">
        <v>19</v>
      </c>
      <c r="CG88">
        <v>299</v>
      </c>
      <c r="CH88">
        <v>264</v>
      </c>
      <c r="CI88">
        <v>45</v>
      </c>
      <c r="CJ88">
        <v>265</v>
      </c>
      <c r="CK88">
        <v>280</v>
      </c>
      <c r="CL88">
        <v>26</v>
      </c>
      <c r="CM88">
        <v>325</v>
      </c>
      <c r="CN88">
        <v>282</v>
      </c>
      <c r="CO88">
        <v>31</v>
      </c>
      <c r="CP88">
        <v>280</v>
      </c>
      <c r="CQ88">
        <v>216</v>
      </c>
      <c r="CR88">
        <v>32</v>
      </c>
      <c r="CS88">
        <v>315</v>
      </c>
      <c r="CT88">
        <v>226</v>
      </c>
      <c r="CU88">
        <v>21</v>
      </c>
      <c r="CV88">
        <v>304</v>
      </c>
      <c r="CW88">
        <v>266</v>
      </c>
      <c r="CX88">
        <v>36</v>
      </c>
      <c r="CY88">
        <v>300</v>
      </c>
      <c r="CZ88">
        <v>277</v>
      </c>
      <c r="DA88">
        <v>42</v>
      </c>
      <c r="DB88">
        <v>289</v>
      </c>
      <c r="DC88">
        <v>275</v>
      </c>
      <c r="DD88">
        <v>24</v>
      </c>
      <c r="DE88">
        <v>332</v>
      </c>
      <c r="DF88">
        <v>310</v>
      </c>
      <c r="DG88">
        <v>28</v>
      </c>
      <c r="DH88">
        <v>281</v>
      </c>
      <c r="DI88">
        <v>249</v>
      </c>
      <c r="DJ88">
        <v>25</v>
      </c>
      <c r="DK88">
        <v>291</v>
      </c>
      <c r="DL88">
        <v>300</v>
      </c>
      <c r="DM88">
        <v>23</v>
      </c>
      <c r="DN88">
        <v>315</v>
      </c>
      <c r="DO88">
        <v>300</v>
      </c>
      <c r="DP88">
        <v>28</v>
      </c>
      <c r="DQ88">
        <v>280</v>
      </c>
      <c r="DR88">
        <v>256</v>
      </c>
      <c r="DS88">
        <v>35</v>
      </c>
      <c r="DT88">
        <v>313</v>
      </c>
      <c r="DU88">
        <v>302</v>
      </c>
      <c r="DV88">
        <v>27</v>
      </c>
      <c r="DW88">
        <v>289</v>
      </c>
      <c r="DX88">
        <v>293</v>
      </c>
      <c r="DY88">
        <v>32</v>
      </c>
      <c r="DZ88">
        <v>289</v>
      </c>
    </row>
    <row r="89" spans="1:130" hidden="1">
      <c r="A89">
        <v>14</v>
      </c>
      <c r="F89">
        <v>3638</v>
      </c>
      <c r="G89">
        <v>22</v>
      </c>
      <c r="H89">
        <v>1</v>
      </c>
      <c r="I89">
        <v>14</v>
      </c>
      <c r="J89">
        <v>6</v>
      </c>
      <c r="K89">
        <v>257</v>
      </c>
      <c r="L89">
        <v>35</v>
      </c>
      <c r="M89">
        <v>486</v>
      </c>
      <c r="N89">
        <v>280</v>
      </c>
      <c r="O89">
        <v>45</v>
      </c>
      <c r="P89">
        <v>465</v>
      </c>
      <c r="Q89">
        <v>281</v>
      </c>
      <c r="R89">
        <v>48</v>
      </c>
      <c r="S89">
        <v>500</v>
      </c>
      <c r="T89">
        <v>327</v>
      </c>
      <c r="U89">
        <v>25</v>
      </c>
      <c r="V89">
        <v>466</v>
      </c>
      <c r="W89">
        <v>280</v>
      </c>
      <c r="X89">
        <v>48</v>
      </c>
      <c r="Y89">
        <v>459</v>
      </c>
      <c r="Z89">
        <v>323</v>
      </c>
      <c r="AA89">
        <v>22</v>
      </c>
      <c r="AB89">
        <v>473</v>
      </c>
      <c r="AC89">
        <v>310</v>
      </c>
      <c r="AD89">
        <v>28</v>
      </c>
      <c r="AE89">
        <v>500</v>
      </c>
      <c r="AF89">
        <v>244</v>
      </c>
      <c r="AG89">
        <v>35</v>
      </c>
      <c r="AH89">
        <v>558</v>
      </c>
      <c r="AI89">
        <v>267</v>
      </c>
      <c r="AJ89">
        <v>27</v>
      </c>
      <c r="AK89">
        <v>505</v>
      </c>
      <c r="AL89">
        <v>265</v>
      </c>
      <c r="AM89">
        <v>34</v>
      </c>
      <c r="AN89">
        <v>495</v>
      </c>
      <c r="AO89">
        <v>309</v>
      </c>
      <c r="AP89">
        <v>28</v>
      </c>
      <c r="AQ89">
        <v>458</v>
      </c>
      <c r="AR89">
        <v>287</v>
      </c>
      <c r="AS89">
        <v>41</v>
      </c>
      <c r="AT89">
        <v>493</v>
      </c>
      <c r="AU89">
        <v>186</v>
      </c>
      <c r="AV89">
        <v>31</v>
      </c>
      <c r="AW89">
        <v>503</v>
      </c>
      <c r="AX89">
        <v>300</v>
      </c>
      <c r="AY89">
        <v>37</v>
      </c>
      <c r="AZ89">
        <v>486</v>
      </c>
      <c r="BA89">
        <v>291</v>
      </c>
      <c r="BB89">
        <v>35</v>
      </c>
      <c r="BC89">
        <v>473</v>
      </c>
      <c r="BD89">
        <v>287</v>
      </c>
      <c r="BE89">
        <v>25</v>
      </c>
      <c r="BF89">
        <v>463</v>
      </c>
      <c r="BG89">
        <v>244</v>
      </c>
      <c r="BH89">
        <v>37</v>
      </c>
      <c r="BI89">
        <v>474</v>
      </c>
      <c r="BJ89">
        <v>321</v>
      </c>
      <c r="BK89">
        <v>28</v>
      </c>
      <c r="BL89">
        <v>478</v>
      </c>
      <c r="BM89">
        <v>296</v>
      </c>
      <c r="BN89">
        <v>41</v>
      </c>
      <c r="BO89">
        <v>473</v>
      </c>
      <c r="BP89">
        <v>332</v>
      </c>
      <c r="BQ89">
        <v>27</v>
      </c>
      <c r="BR89">
        <v>466</v>
      </c>
      <c r="BS89">
        <v>323</v>
      </c>
      <c r="BT89">
        <v>35</v>
      </c>
      <c r="BU89">
        <v>474</v>
      </c>
      <c r="BV89">
        <v>268</v>
      </c>
      <c r="BW89">
        <v>16</v>
      </c>
      <c r="BX89">
        <v>489</v>
      </c>
      <c r="BY89">
        <v>285</v>
      </c>
      <c r="BZ89">
        <v>24</v>
      </c>
      <c r="CA89">
        <v>452</v>
      </c>
      <c r="CB89">
        <v>301</v>
      </c>
      <c r="CC89">
        <v>36</v>
      </c>
      <c r="CD89">
        <v>461</v>
      </c>
      <c r="CE89">
        <v>279</v>
      </c>
      <c r="CF89">
        <v>20</v>
      </c>
      <c r="CG89">
        <v>500</v>
      </c>
      <c r="CH89">
        <v>276</v>
      </c>
      <c r="CI89">
        <v>33</v>
      </c>
      <c r="CJ89">
        <v>461</v>
      </c>
      <c r="CK89">
        <v>286</v>
      </c>
      <c r="CL89">
        <v>28</v>
      </c>
      <c r="CM89">
        <v>525</v>
      </c>
      <c r="CN89">
        <v>296</v>
      </c>
      <c r="CO89">
        <v>28</v>
      </c>
      <c r="CP89">
        <v>473</v>
      </c>
      <c r="CQ89">
        <v>218</v>
      </c>
      <c r="CR89">
        <v>35</v>
      </c>
      <c r="CS89">
        <v>520</v>
      </c>
      <c r="CT89">
        <v>235</v>
      </c>
      <c r="CU89">
        <v>18</v>
      </c>
      <c r="CV89">
        <v>509</v>
      </c>
      <c r="CW89">
        <v>273</v>
      </c>
      <c r="CX89">
        <v>33</v>
      </c>
      <c r="CY89">
        <v>494</v>
      </c>
      <c r="CZ89">
        <v>281</v>
      </c>
      <c r="DA89">
        <v>41</v>
      </c>
      <c r="DB89">
        <v>480</v>
      </c>
      <c r="DC89">
        <v>287</v>
      </c>
      <c r="DD89">
        <v>24</v>
      </c>
      <c r="DE89">
        <v>571</v>
      </c>
      <c r="DF89">
        <v>313</v>
      </c>
      <c r="DG89">
        <v>34</v>
      </c>
      <c r="DH89">
        <v>465</v>
      </c>
      <c r="DI89">
        <v>251</v>
      </c>
      <c r="DJ89">
        <v>26</v>
      </c>
      <c r="DK89">
        <v>489</v>
      </c>
      <c r="DL89">
        <v>301</v>
      </c>
      <c r="DM89">
        <v>23</v>
      </c>
      <c r="DN89">
        <v>503</v>
      </c>
      <c r="DO89">
        <v>311</v>
      </c>
      <c r="DP89">
        <v>23</v>
      </c>
      <c r="DQ89">
        <v>471</v>
      </c>
      <c r="DR89">
        <v>268</v>
      </c>
      <c r="DS89">
        <v>32</v>
      </c>
      <c r="DT89">
        <v>541</v>
      </c>
      <c r="DU89">
        <v>311</v>
      </c>
      <c r="DV89">
        <v>22</v>
      </c>
      <c r="DW89">
        <v>478</v>
      </c>
      <c r="DX89">
        <v>306</v>
      </c>
      <c r="DY89">
        <v>28</v>
      </c>
      <c r="DZ89">
        <v>478</v>
      </c>
    </row>
    <row r="90" spans="1:130" hidden="1">
      <c r="A90">
        <v>15</v>
      </c>
      <c r="F90">
        <v>3639</v>
      </c>
      <c r="G90">
        <v>22</v>
      </c>
      <c r="H90">
        <v>1</v>
      </c>
      <c r="I90">
        <v>15</v>
      </c>
      <c r="J90">
        <v>6</v>
      </c>
      <c r="K90">
        <v>260</v>
      </c>
      <c r="L90">
        <v>34</v>
      </c>
      <c r="M90">
        <v>650</v>
      </c>
      <c r="N90">
        <v>287</v>
      </c>
      <c r="O90">
        <v>42</v>
      </c>
      <c r="P90">
        <v>631</v>
      </c>
      <c r="Q90">
        <v>291</v>
      </c>
      <c r="R90">
        <v>37</v>
      </c>
      <c r="S90">
        <v>624</v>
      </c>
      <c r="T90">
        <v>331</v>
      </c>
      <c r="U90">
        <v>22</v>
      </c>
      <c r="V90">
        <v>631</v>
      </c>
      <c r="W90">
        <v>287</v>
      </c>
      <c r="X90">
        <v>44</v>
      </c>
      <c r="Y90">
        <v>609</v>
      </c>
      <c r="Z90">
        <v>330</v>
      </c>
      <c r="AA90">
        <v>20</v>
      </c>
      <c r="AB90">
        <v>553</v>
      </c>
      <c r="AC90">
        <v>310</v>
      </c>
      <c r="AD90">
        <v>28</v>
      </c>
      <c r="AE90">
        <v>639</v>
      </c>
      <c r="AF90">
        <v>244</v>
      </c>
      <c r="AG90">
        <v>33</v>
      </c>
      <c r="AH90">
        <v>701</v>
      </c>
      <c r="AI90">
        <v>265</v>
      </c>
      <c r="AJ90">
        <v>27</v>
      </c>
      <c r="AK90">
        <v>656</v>
      </c>
      <c r="AL90">
        <v>270</v>
      </c>
      <c r="AM90">
        <v>32</v>
      </c>
      <c r="AN90">
        <v>658</v>
      </c>
      <c r="AO90">
        <v>313</v>
      </c>
      <c r="AP90">
        <v>28</v>
      </c>
      <c r="AQ90">
        <v>618</v>
      </c>
      <c r="AR90">
        <v>295</v>
      </c>
      <c r="AS90">
        <v>36</v>
      </c>
      <c r="AT90">
        <v>644</v>
      </c>
      <c r="AU90">
        <v>183</v>
      </c>
      <c r="AV90">
        <v>36</v>
      </c>
      <c r="AW90">
        <v>687</v>
      </c>
      <c r="AX90">
        <v>308</v>
      </c>
      <c r="AY90">
        <v>30</v>
      </c>
      <c r="AZ90">
        <v>631</v>
      </c>
      <c r="BA90">
        <v>286</v>
      </c>
      <c r="BB90">
        <v>41</v>
      </c>
      <c r="BC90">
        <v>618</v>
      </c>
      <c r="BD90">
        <v>288</v>
      </c>
      <c r="BE90">
        <v>26</v>
      </c>
      <c r="BF90">
        <v>602</v>
      </c>
      <c r="BG90">
        <v>248</v>
      </c>
      <c r="BH90">
        <v>35</v>
      </c>
      <c r="BI90">
        <v>643</v>
      </c>
      <c r="BJ90">
        <v>334</v>
      </c>
      <c r="BK90">
        <v>22</v>
      </c>
      <c r="BL90">
        <v>623</v>
      </c>
      <c r="BM90">
        <v>306</v>
      </c>
      <c r="BN90">
        <v>35</v>
      </c>
      <c r="BO90">
        <v>606</v>
      </c>
      <c r="BP90">
        <v>338</v>
      </c>
      <c r="BQ90">
        <v>20</v>
      </c>
      <c r="BR90">
        <v>600</v>
      </c>
      <c r="BS90">
        <v>313</v>
      </c>
      <c r="BT90">
        <v>34</v>
      </c>
      <c r="BU90">
        <v>619</v>
      </c>
      <c r="BV90">
        <v>270</v>
      </c>
      <c r="BW90">
        <v>17</v>
      </c>
      <c r="BX90">
        <v>658</v>
      </c>
      <c r="BY90">
        <v>287</v>
      </c>
      <c r="BZ90">
        <v>25</v>
      </c>
      <c r="CA90">
        <v>546</v>
      </c>
      <c r="CB90">
        <v>305</v>
      </c>
      <c r="CC90">
        <v>37</v>
      </c>
      <c r="CD90">
        <v>618</v>
      </c>
      <c r="CE90">
        <v>279</v>
      </c>
      <c r="CF90">
        <v>20</v>
      </c>
      <c r="CG90">
        <v>665</v>
      </c>
      <c r="CH90">
        <v>291</v>
      </c>
      <c r="CI90">
        <v>26</v>
      </c>
      <c r="CJ90">
        <v>623</v>
      </c>
      <c r="CK90">
        <v>292</v>
      </c>
      <c r="CL90">
        <v>28</v>
      </c>
      <c r="CM90">
        <v>691</v>
      </c>
      <c r="CN90">
        <v>306</v>
      </c>
      <c r="CO90">
        <v>27</v>
      </c>
      <c r="CP90">
        <v>619</v>
      </c>
      <c r="CQ90">
        <v>219</v>
      </c>
      <c r="CR90">
        <v>35</v>
      </c>
      <c r="CS90">
        <v>687</v>
      </c>
      <c r="CT90">
        <v>230</v>
      </c>
      <c r="CU90">
        <v>20</v>
      </c>
      <c r="CV90">
        <v>666</v>
      </c>
      <c r="CW90">
        <v>280</v>
      </c>
      <c r="CX90">
        <v>33</v>
      </c>
      <c r="CY90">
        <v>645</v>
      </c>
      <c r="CZ90">
        <v>290</v>
      </c>
      <c r="DA90">
        <v>37</v>
      </c>
      <c r="DB90">
        <v>633</v>
      </c>
      <c r="DC90">
        <v>286</v>
      </c>
      <c r="DD90">
        <v>23</v>
      </c>
      <c r="DE90">
        <v>679</v>
      </c>
      <c r="DF90">
        <v>321</v>
      </c>
      <c r="DG90">
        <v>29</v>
      </c>
      <c r="DH90">
        <v>625</v>
      </c>
      <c r="DI90">
        <v>252</v>
      </c>
      <c r="DJ90">
        <v>28</v>
      </c>
      <c r="DK90">
        <v>659</v>
      </c>
      <c r="DL90">
        <v>302</v>
      </c>
      <c r="DM90">
        <v>23</v>
      </c>
      <c r="DN90">
        <v>650</v>
      </c>
      <c r="DO90">
        <v>323</v>
      </c>
      <c r="DP90">
        <v>19</v>
      </c>
      <c r="DQ90">
        <v>624</v>
      </c>
      <c r="DR90">
        <v>266</v>
      </c>
      <c r="DS90">
        <v>34</v>
      </c>
      <c r="DT90">
        <v>689</v>
      </c>
      <c r="DU90">
        <v>319</v>
      </c>
      <c r="DV90">
        <v>21</v>
      </c>
      <c r="DW90">
        <v>616</v>
      </c>
      <c r="DX90">
        <v>311</v>
      </c>
      <c r="DY90">
        <v>25</v>
      </c>
      <c r="DZ90">
        <v>629</v>
      </c>
    </row>
    <row r="91" spans="1:130" hidden="1">
      <c r="A91">
        <v>16</v>
      </c>
      <c r="F91">
        <v>3640</v>
      </c>
      <c r="G91">
        <v>22</v>
      </c>
      <c r="H91">
        <v>1</v>
      </c>
      <c r="I91">
        <v>16</v>
      </c>
      <c r="J91">
        <v>6</v>
      </c>
      <c r="K91">
        <v>253</v>
      </c>
      <c r="L91">
        <v>36</v>
      </c>
      <c r="M91">
        <v>753</v>
      </c>
      <c r="N91">
        <v>295</v>
      </c>
      <c r="O91">
        <v>41</v>
      </c>
      <c r="P91">
        <v>724</v>
      </c>
      <c r="Q91">
        <v>291</v>
      </c>
      <c r="R91">
        <v>35</v>
      </c>
      <c r="S91">
        <v>637</v>
      </c>
      <c r="T91">
        <v>335</v>
      </c>
      <c r="U91">
        <v>20</v>
      </c>
      <c r="V91">
        <v>731</v>
      </c>
      <c r="W91">
        <v>292</v>
      </c>
      <c r="X91">
        <v>39</v>
      </c>
      <c r="Y91">
        <v>751</v>
      </c>
      <c r="Z91">
        <v>334</v>
      </c>
      <c r="AA91">
        <v>20</v>
      </c>
      <c r="AB91">
        <v>584</v>
      </c>
      <c r="AC91">
        <v>308</v>
      </c>
      <c r="AD91">
        <v>29</v>
      </c>
      <c r="AE91">
        <v>721</v>
      </c>
      <c r="AF91">
        <v>242</v>
      </c>
      <c r="AG91">
        <v>30</v>
      </c>
      <c r="AH91">
        <v>827</v>
      </c>
      <c r="AI91">
        <v>258</v>
      </c>
      <c r="AJ91">
        <v>28</v>
      </c>
      <c r="AK91">
        <v>735</v>
      </c>
      <c r="AL91">
        <v>266</v>
      </c>
      <c r="AM91">
        <v>33</v>
      </c>
      <c r="AN91">
        <v>772</v>
      </c>
      <c r="AO91">
        <v>311</v>
      </c>
      <c r="AP91">
        <v>27</v>
      </c>
      <c r="AQ91">
        <v>717</v>
      </c>
      <c r="AR91">
        <v>296</v>
      </c>
      <c r="AS91">
        <v>30</v>
      </c>
      <c r="AT91">
        <v>723</v>
      </c>
      <c r="AU91">
        <v>178</v>
      </c>
      <c r="AV91">
        <v>40</v>
      </c>
      <c r="AW91">
        <v>816</v>
      </c>
      <c r="AX91">
        <v>308</v>
      </c>
      <c r="AY91">
        <v>30</v>
      </c>
      <c r="AZ91">
        <v>707</v>
      </c>
      <c r="BA91">
        <v>288</v>
      </c>
      <c r="BB91">
        <v>37</v>
      </c>
      <c r="BC91">
        <v>723</v>
      </c>
      <c r="BD91">
        <v>287</v>
      </c>
      <c r="BE91">
        <v>25</v>
      </c>
      <c r="BF91">
        <v>659</v>
      </c>
      <c r="BG91">
        <v>250</v>
      </c>
      <c r="BH91">
        <v>32</v>
      </c>
      <c r="BI91">
        <v>740</v>
      </c>
      <c r="BJ91">
        <v>330</v>
      </c>
      <c r="BK91">
        <v>24</v>
      </c>
      <c r="BL91">
        <v>723</v>
      </c>
      <c r="BM91">
        <v>322</v>
      </c>
      <c r="BN91">
        <v>23</v>
      </c>
      <c r="BO91">
        <v>688</v>
      </c>
      <c r="BP91">
        <v>333</v>
      </c>
      <c r="BQ91">
        <v>18</v>
      </c>
      <c r="BR91">
        <v>602</v>
      </c>
      <c r="BS91">
        <v>317</v>
      </c>
      <c r="BT91">
        <v>35</v>
      </c>
      <c r="BU91">
        <v>694</v>
      </c>
      <c r="BV91">
        <v>269</v>
      </c>
      <c r="BW91">
        <v>18</v>
      </c>
      <c r="BX91">
        <v>763</v>
      </c>
      <c r="BY91">
        <v>291</v>
      </c>
      <c r="BZ91">
        <v>24</v>
      </c>
      <c r="CA91">
        <v>647</v>
      </c>
      <c r="CB91">
        <v>307</v>
      </c>
      <c r="CC91">
        <v>36</v>
      </c>
      <c r="CD91">
        <v>716</v>
      </c>
      <c r="CE91">
        <v>277</v>
      </c>
      <c r="CF91">
        <v>22</v>
      </c>
      <c r="CG91">
        <v>668</v>
      </c>
      <c r="CH91">
        <v>294</v>
      </c>
      <c r="CI91">
        <v>26</v>
      </c>
      <c r="CJ91">
        <v>718</v>
      </c>
      <c r="CK91">
        <v>290</v>
      </c>
      <c r="CL91">
        <v>27</v>
      </c>
      <c r="CM91">
        <v>755</v>
      </c>
      <c r="CN91">
        <v>305</v>
      </c>
      <c r="CO91">
        <v>25</v>
      </c>
      <c r="CP91">
        <v>703</v>
      </c>
      <c r="CQ91">
        <v>209</v>
      </c>
      <c r="CR91">
        <v>37</v>
      </c>
      <c r="CS91">
        <v>795</v>
      </c>
      <c r="CT91">
        <v>231</v>
      </c>
      <c r="CU91">
        <v>22</v>
      </c>
      <c r="CV91">
        <v>746</v>
      </c>
      <c r="CW91">
        <v>282</v>
      </c>
      <c r="CX91">
        <v>33</v>
      </c>
      <c r="CY91">
        <v>713</v>
      </c>
      <c r="CZ91">
        <v>290</v>
      </c>
      <c r="DA91">
        <v>37</v>
      </c>
      <c r="DB91">
        <v>712</v>
      </c>
      <c r="DC91">
        <v>280</v>
      </c>
      <c r="DD91">
        <v>23</v>
      </c>
      <c r="DE91">
        <v>841</v>
      </c>
      <c r="DF91">
        <v>324</v>
      </c>
      <c r="DG91">
        <v>28</v>
      </c>
      <c r="DH91">
        <v>715</v>
      </c>
      <c r="DI91">
        <v>246</v>
      </c>
      <c r="DJ91">
        <v>31</v>
      </c>
      <c r="DK91">
        <v>773</v>
      </c>
      <c r="DL91">
        <v>299</v>
      </c>
      <c r="DM91">
        <v>23</v>
      </c>
      <c r="DN91">
        <v>727</v>
      </c>
      <c r="DO91">
        <v>326</v>
      </c>
      <c r="DP91">
        <v>18</v>
      </c>
      <c r="DQ91">
        <v>712</v>
      </c>
      <c r="DR91">
        <v>247</v>
      </c>
      <c r="DS91">
        <v>36</v>
      </c>
      <c r="DT91">
        <v>647</v>
      </c>
      <c r="DU91">
        <v>322</v>
      </c>
      <c r="DV91">
        <v>19</v>
      </c>
      <c r="DW91">
        <v>729</v>
      </c>
      <c r="DX91">
        <v>310</v>
      </c>
      <c r="DY91">
        <v>24</v>
      </c>
      <c r="DZ91">
        <v>709</v>
      </c>
    </row>
    <row r="92" spans="1:130" hidden="1">
      <c r="A92">
        <v>17</v>
      </c>
      <c r="F92">
        <v>3641</v>
      </c>
      <c r="G92">
        <v>22</v>
      </c>
      <c r="H92">
        <v>1</v>
      </c>
      <c r="I92">
        <v>17</v>
      </c>
      <c r="J92">
        <v>6</v>
      </c>
      <c r="K92">
        <v>251</v>
      </c>
      <c r="L92">
        <v>35</v>
      </c>
      <c r="M92">
        <v>675</v>
      </c>
      <c r="N92">
        <v>288</v>
      </c>
      <c r="O92">
        <v>39</v>
      </c>
      <c r="P92">
        <v>543</v>
      </c>
      <c r="Q92">
        <v>273</v>
      </c>
      <c r="R92">
        <v>39</v>
      </c>
      <c r="S92">
        <v>88</v>
      </c>
      <c r="T92">
        <v>333</v>
      </c>
      <c r="U92">
        <v>19</v>
      </c>
      <c r="V92">
        <v>789</v>
      </c>
      <c r="W92">
        <v>292</v>
      </c>
      <c r="X92">
        <v>40</v>
      </c>
      <c r="Y92">
        <v>842</v>
      </c>
      <c r="Z92">
        <v>332</v>
      </c>
      <c r="AA92">
        <v>20</v>
      </c>
      <c r="AB92">
        <v>684</v>
      </c>
      <c r="AC92">
        <v>300</v>
      </c>
      <c r="AD92">
        <v>32</v>
      </c>
      <c r="AE92">
        <v>632</v>
      </c>
      <c r="AF92">
        <v>234</v>
      </c>
      <c r="AG92">
        <v>29</v>
      </c>
      <c r="AH92">
        <v>825</v>
      </c>
      <c r="AI92">
        <v>248</v>
      </c>
      <c r="AJ92">
        <v>28</v>
      </c>
      <c r="AK92">
        <v>675</v>
      </c>
      <c r="AL92">
        <v>263</v>
      </c>
      <c r="AM92">
        <v>32</v>
      </c>
      <c r="AN92">
        <v>788</v>
      </c>
      <c r="AO92">
        <v>308</v>
      </c>
      <c r="AP92">
        <v>27</v>
      </c>
      <c r="AQ92">
        <v>723</v>
      </c>
      <c r="AR92">
        <v>298</v>
      </c>
      <c r="AS92">
        <v>21</v>
      </c>
      <c r="AT92">
        <v>717</v>
      </c>
      <c r="AU92">
        <v>169</v>
      </c>
      <c r="AV92">
        <v>46</v>
      </c>
      <c r="AW92">
        <v>861</v>
      </c>
      <c r="AX92">
        <v>305</v>
      </c>
      <c r="AY92">
        <v>30</v>
      </c>
      <c r="AZ92">
        <v>716</v>
      </c>
      <c r="BA92">
        <v>287</v>
      </c>
      <c r="BB92">
        <v>35</v>
      </c>
      <c r="BC92">
        <v>750</v>
      </c>
      <c r="BD92">
        <v>284</v>
      </c>
      <c r="BE92">
        <v>27</v>
      </c>
      <c r="BF92">
        <v>657</v>
      </c>
      <c r="BG92">
        <v>249</v>
      </c>
      <c r="BH92">
        <v>35</v>
      </c>
      <c r="BI92">
        <v>783</v>
      </c>
      <c r="BJ92">
        <v>326</v>
      </c>
      <c r="BK92">
        <v>26</v>
      </c>
      <c r="BL92">
        <v>727</v>
      </c>
      <c r="BM92">
        <v>321</v>
      </c>
      <c r="BN92">
        <v>22</v>
      </c>
      <c r="BO92">
        <v>653</v>
      </c>
      <c r="BP92">
        <v>326</v>
      </c>
      <c r="BQ92">
        <v>17</v>
      </c>
      <c r="BR92">
        <v>679</v>
      </c>
      <c r="BS92">
        <v>310</v>
      </c>
      <c r="BT92">
        <v>36</v>
      </c>
      <c r="BU92">
        <v>681</v>
      </c>
      <c r="BV92">
        <v>261</v>
      </c>
      <c r="BW92">
        <v>19</v>
      </c>
      <c r="BX92">
        <v>783</v>
      </c>
      <c r="BY92">
        <v>288</v>
      </c>
      <c r="BZ92">
        <v>25</v>
      </c>
      <c r="CA92">
        <v>562</v>
      </c>
      <c r="CB92">
        <v>303</v>
      </c>
      <c r="CC92">
        <v>35</v>
      </c>
      <c r="CD92">
        <v>724</v>
      </c>
      <c r="CE92">
        <v>268</v>
      </c>
      <c r="CF92">
        <v>25</v>
      </c>
      <c r="CG92">
        <v>689</v>
      </c>
      <c r="CH92">
        <v>292</v>
      </c>
      <c r="CI92">
        <v>28</v>
      </c>
      <c r="CJ92">
        <v>732</v>
      </c>
      <c r="CK92">
        <v>274</v>
      </c>
      <c r="CL92">
        <v>28</v>
      </c>
      <c r="CM92">
        <v>366</v>
      </c>
      <c r="CN92">
        <v>305</v>
      </c>
      <c r="CO92">
        <v>25</v>
      </c>
      <c r="CP92">
        <v>739</v>
      </c>
      <c r="CQ92">
        <v>201</v>
      </c>
      <c r="CR92">
        <v>42</v>
      </c>
      <c r="CS92">
        <v>772</v>
      </c>
      <c r="CT92">
        <v>220</v>
      </c>
      <c r="CU92">
        <v>25</v>
      </c>
      <c r="CV92">
        <v>673</v>
      </c>
      <c r="CW92">
        <v>280</v>
      </c>
      <c r="CX92">
        <v>33</v>
      </c>
      <c r="CY92">
        <v>735</v>
      </c>
      <c r="CZ92">
        <v>289</v>
      </c>
      <c r="DA92">
        <v>36</v>
      </c>
      <c r="DB92">
        <v>710</v>
      </c>
      <c r="DC92">
        <v>274</v>
      </c>
      <c r="DD92">
        <v>24</v>
      </c>
      <c r="DE92">
        <v>741</v>
      </c>
      <c r="DF92">
        <v>321</v>
      </c>
      <c r="DG92">
        <v>27</v>
      </c>
      <c r="DH92">
        <v>715</v>
      </c>
      <c r="DI92">
        <v>237</v>
      </c>
      <c r="DJ92">
        <v>37</v>
      </c>
      <c r="DK92">
        <v>750</v>
      </c>
      <c r="DL92">
        <v>294</v>
      </c>
      <c r="DM92">
        <v>23</v>
      </c>
      <c r="DN92">
        <v>703</v>
      </c>
      <c r="DO92">
        <v>327</v>
      </c>
      <c r="DP92">
        <v>18</v>
      </c>
      <c r="DQ92">
        <v>749</v>
      </c>
      <c r="DR92">
        <v>228</v>
      </c>
      <c r="DS92">
        <v>39</v>
      </c>
      <c r="DT92">
        <v>17</v>
      </c>
      <c r="DU92">
        <v>324</v>
      </c>
      <c r="DV92">
        <v>19</v>
      </c>
      <c r="DW92">
        <v>732</v>
      </c>
      <c r="DX92">
        <v>308</v>
      </c>
      <c r="DY92">
        <v>25</v>
      </c>
      <c r="DZ92">
        <v>735</v>
      </c>
    </row>
    <row r="93" spans="1:130" hidden="1">
      <c r="A93">
        <v>18</v>
      </c>
      <c r="F93">
        <v>3642</v>
      </c>
      <c r="G93">
        <v>22</v>
      </c>
      <c r="H93">
        <v>1</v>
      </c>
      <c r="I93">
        <v>18</v>
      </c>
      <c r="J93">
        <v>6</v>
      </c>
      <c r="K93">
        <v>230</v>
      </c>
      <c r="L93">
        <v>40</v>
      </c>
      <c r="M93">
        <v>30</v>
      </c>
      <c r="N93">
        <v>277</v>
      </c>
      <c r="O93">
        <v>45</v>
      </c>
      <c r="P93">
        <v>22</v>
      </c>
      <c r="Q93">
        <v>260</v>
      </c>
      <c r="R93">
        <v>44</v>
      </c>
      <c r="S93">
        <v>16</v>
      </c>
      <c r="T93">
        <v>326</v>
      </c>
      <c r="U93">
        <v>20</v>
      </c>
      <c r="V93">
        <v>736</v>
      </c>
      <c r="W93">
        <v>290</v>
      </c>
      <c r="X93">
        <v>38</v>
      </c>
      <c r="Y93">
        <v>812</v>
      </c>
      <c r="Z93">
        <v>325</v>
      </c>
      <c r="AA93">
        <v>22</v>
      </c>
      <c r="AB93">
        <v>553</v>
      </c>
      <c r="AC93">
        <v>276</v>
      </c>
      <c r="AD93">
        <v>38</v>
      </c>
      <c r="AE93">
        <v>77</v>
      </c>
      <c r="AF93">
        <v>215</v>
      </c>
      <c r="AG93">
        <v>32</v>
      </c>
      <c r="AH93">
        <v>401</v>
      </c>
      <c r="AI93">
        <v>230</v>
      </c>
      <c r="AJ93">
        <v>29</v>
      </c>
      <c r="AK93">
        <v>52</v>
      </c>
      <c r="AL93">
        <v>240</v>
      </c>
      <c r="AM93">
        <v>48</v>
      </c>
      <c r="AN93">
        <v>599</v>
      </c>
      <c r="AO93">
        <v>297</v>
      </c>
      <c r="AP93">
        <v>31</v>
      </c>
      <c r="AQ93">
        <v>522</v>
      </c>
      <c r="AR93">
        <v>288</v>
      </c>
      <c r="AS93">
        <v>23</v>
      </c>
      <c r="AT93">
        <v>527</v>
      </c>
      <c r="AU93">
        <v>159</v>
      </c>
      <c r="AV93">
        <v>55</v>
      </c>
      <c r="AW93">
        <v>685</v>
      </c>
      <c r="AX93">
        <v>291</v>
      </c>
      <c r="AY93">
        <v>42</v>
      </c>
      <c r="AZ93">
        <v>592</v>
      </c>
      <c r="BA93">
        <v>274</v>
      </c>
      <c r="BB93">
        <v>42</v>
      </c>
      <c r="BC93">
        <v>582</v>
      </c>
      <c r="BD93">
        <v>276</v>
      </c>
      <c r="BE93">
        <v>29</v>
      </c>
      <c r="BF93">
        <v>609</v>
      </c>
      <c r="BG93">
        <v>247</v>
      </c>
      <c r="BH93">
        <v>29</v>
      </c>
      <c r="BI93">
        <v>607</v>
      </c>
      <c r="BJ93">
        <v>314</v>
      </c>
      <c r="BK93">
        <v>28</v>
      </c>
      <c r="BL93">
        <v>578</v>
      </c>
      <c r="BM93">
        <v>308</v>
      </c>
      <c r="BN93">
        <v>25</v>
      </c>
      <c r="BO93">
        <v>592</v>
      </c>
      <c r="BP93">
        <v>313</v>
      </c>
      <c r="BQ93">
        <v>19</v>
      </c>
      <c r="BR93">
        <v>358</v>
      </c>
      <c r="BS93">
        <v>306</v>
      </c>
      <c r="BT93">
        <v>38</v>
      </c>
      <c r="BU93">
        <v>609</v>
      </c>
      <c r="BV93">
        <v>248</v>
      </c>
      <c r="BW93">
        <v>21</v>
      </c>
      <c r="BX93">
        <v>585</v>
      </c>
      <c r="BY93">
        <v>283</v>
      </c>
      <c r="BZ93">
        <v>28</v>
      </c>
      <c r="CA93">
        <v>572</v>
      </c>
      <c r="CB93">
        <v>299</v>
      </c>
      <c r="CC93">
        <v>37</v>
      </c>
      <c r="CD93">
        <v>640</v>
      </c>
      <c r="CE93">
        <v>256</v>
      </c>
      <c r="CF93">
        <v>25</v>
      </c>
      <c r="CG93">
        <v>458</v>
      </c>
      <c r="CH93">
        <v>288</v>
      </c>
      <c r="CI93">
        <v>31</v>
      </c>
      <c r="CJ93">
        <v>562</v>
      </c>
      <c r="CK93">
        <v>256</v>
      </c>
      <c r="CL93">
        <v>38</v>
      </c>
      <c r="CM93">
        <v>12</v>
      </c>
      <c r="CN93">
        <v>300</v>
      </c>
      <c r="CO93">
        <v>25</v>
      </c>
      <c r="CP93">
        <v>637</v>
      </c>
      <c r="CQ93">
        <v>183</v>
      </c>
      <c r="CR93">
        <v>46</v>
      </c>
      <c r="CS93">
        <v>386</v>
      </c>
      <c r="CT93">
        <v>195</v>
      </c>
      <c r="CU93">
        <v>28</v>
      </c>
      <c r="CV93">
        <v>26</v>
      </c>
      <c r="CW93">
        <v>272</v>
      </c>
      <c r="CX93">
        <v>38</v>
      </c>
      <c r="CY93">
        <v>668</v>
      </c>
      <c r="CZ93">
        <v>282</v>
      </c>
      <c r="DA93">
        <v>38</v>
      </c>
      <c r="DB93">
        <v>525</v>
      </c>
      <c r="DC93">
        <v>252</v>
      </c>
      <c r="DD93">
        <v>30</v>
      </c>
      <c r="DE93">
        <v>288</v>
      </c>
      <c r="DF93">
        <v>312</v>
      </c>
      <c r="DG93">
        <v>27</v>
      </c>
      <c r="DH93">
        <v>561</v>
      </c>
      <c r="DI93">
        <v>222</v>
      </c>
      <c r="DJ93">
        <v>43</v>
      </c>
      <c r="DK93">
        <v>392</v>
      </c>
      <c r="DL93">
        <v>287</v>
      </c>
      <c r="DM93">
        <v>24</v>
      </c>
      <c r="DN93">
        <v>557</v>
      </c>
      <c r="DO93">
        <v>312</v>
      </c>
      <c r="DP93">
        <v>27</v>
      </c>
      <c r="DQ93">
        <v>644</v>
      </c>
      <c r="DR93">
        <v>226</v>
      </c>
      <c r="DS93">
        <v>42</v>
      </c>
      <c r="DT93">
        <v>40</v>
      </c>
      <c r="DU93">
        <v>318</v>
      </c>
      <c r="DV93">
        <v>19</v>
      </c>
      <c r="DW93">
        <v>687</v>
      </c>
      <c r="DX93">
        <v>299</v>
      </c>
      <c r="DY93">
        <v>27</v>
      </c>
      <c r="DZ93">
        <v>647</v>
      </c>
    </row>
    <row r="94" spans="1:130" hidden="1">
      <c r="A94">
        <v>19</v>
      </c>
      <c r="F94">
        <v>3643</v>
      </c>
      <c r="G94">
        <v>22</v>
      </c>
      <c r="H94">
        <v>1</v>
      </c>
      <c r="I94">
        <v>19</v>
      </c>
      <c r="J94">
        <v>6</v>
      </c>
      <c r="K94">
        <v>213</v>
      </c>
      <c r="L94">
        <v>41</v>
      </c>
      <c r="M94">
        <v>5</v>
      </c>
      <c r="N94">
        <v>257</v>
      </c>
      <c r="O94">
        <v>49</v>
      </c>
      <c r="P94">
        <v>53</v>
      </c>
      <c r="Q94">
        <v>259</v>
      </c>
      <c r="R94">
        <v>41</v>
      </c>
      <c r="S94">
        <v>8</v>
      </c>
      <c r="T94">
        <v>311</v>
      </c>
      <c r="U94">
        <v>25</v>
      </c>
      <c r="V94">
        <v>520</v>
      </c>
      <c r="W94">
        <v>278</v>
      </c>
      <c r="X94">
        <v>46</v>
      </c>
      <c r="Y94">
        <v>613</v>
      </c>
      <c r="Z94">
        <v>298</v>
      </c>
      <c r="AA94">
        <v>34</v>
      </c>
      <c r="AB94">
        <v>323</v>
      </c>
      <c r="AC94">
        <v>259</v>
      </c>
      <c r="AD94">
        <v>42</v>
      </c>
      <c r="AE94">
        <v>6</v>
      </c>
      <c r="AF94">
        <v>202</v>
      </c>
      <c r="AG94">
        <v>33</v>
      </c>
      <c r="AH94">
        <v>11</v>
      </c>
      <c r="AI94">
        <v>216</v>
      </c>
      <c r="AJ94">
        <v>32</v>
      </c>
      <c r="AK94">
        <v>3</v>
      </c>
      <c r="AL94">
        <v>208</v>
      </c>
      <c r="AM94">
        <v>57</v>
      </c>
      <c r="AN94">
        <v>59</v>
      </c>
      <c r="AO94">
        <v>278</v>
      </c>
      <c r="AP94">
        <v>36</v>
      </c>
      <c r="AQ94">
        <v>222</v>
      </c>
      <c r="AR94">
        <v>244</v>
      </c>
      <c r="AS94">
        <v>36</v>
      </c>
      <c r="AT94">
        <v>16</v>
      </c>
      <c r="AU94">
        <v>145</v>
      </c>
      <c r="AV94">
        <v>63</v>
      </c>
      <c r="AW94">
        <v>61</v>
      </c>
      <c r="AX94">
        <v>255</v>
      </c>
      <c r="AY94">
        <v>54</v>
      </c>
      <c r="AZ94">
        <v>325</v>
      </c>
      <c r="BA94">
        <v>241</v>
      </c>
      <c r="BB94">
        <v>49</v>
      </c>
      <c r="BC94">
        <v>244</v>
      </c>
      <c r="BD94">
        <v>247</v>
      </c>
      <c r="BE94">
        <v>33</v>
      </c>
      <c r="BF94">
        <v>317</v>
      </c>
      <c r="BG94">
        <v>234</v>
      </c>
      <c r="BH94">
        <v>31</v>
      </c>
      <c r="BI94">
        <v>43</v>
      </c>
      <c r="BJ94">
        <v>293</v>
      </c>
      <c r="BK94">
        <v>29</v>
      </c>
      <c r="BL94">
        <v>147</v>
      </c>
      <c r="BM94">
        <v>299</v>
      </c>
      <c r="BN94">
        <v>26</v>
      </c>
      <c r="BO94">
        <v>266</v>
      </c>
      <c r="BP94">
        <v>309</v>
      </c>
      <c r="BQ94">
        <v>21</v>
      </c>
      <c r="BR94">
        <v>449</v>
      </c>
      <c r="BS94">
        <v>295</v>
      </c>
      <c r="BT94">
        <v>40</v>
      </c>
      <c r="BU94">
        <v>280</v>
      </c>
      <c r="BV94">
        <v>223</v>
      </c>
      <c r="BW94">
        <v>28</v>
      </c>
      <c r="BX94">
        <v>20</v>
      </c>
      <c r="BY94">
        <v>269</v>
      </c>
      <c r="BZ94">
        <v>26</v>
      </c>
      <c r="CA94">
        <v>131</v>
      </c>
      <c r="CB94">
        <v>293</v>
      </c>
      <c r="CC94">
        <v>36</v>
      </c>
      <c r="CD94">
        <v>324</v>
      </c>
      <c r="CE94">
        <v>235</v>
      </c>
      <c r="CF94">
        <v>32</v>
      </c>
      <c r="CG94">
        <v>8</v>
      </c>
      <c r="CH94">
        <v>275</v>
      </c>
      <c r="CI94">
        <v>34</v>
      </c>
      <c r="CJ94">
        <v>319</v>
      </c>
      <c r="CK94">
        <v>232</v>
      </c>
      <c r="CL94">
        <v>52</v>
      </c>
      <c r="CM94">
        <v>3</v>
      </c>
      <c r="CN94">
        <v>288</v>
      </c>
      <c r="CO94">
        <v>29</v>
      </c>
      <c r="CP94">
        <v>423</v>
      </c>
      <c r="CQ94">
        <v>161</v>
      </c>
      <c r="CR94">
        <v>52</v>
      </c>
      <c r="CS94">
        <v>6</v>
      </c>
      <c r="CT94">
        <v>179</v>
      </c>
      <c r="CU94">
        <v>31</v>
      </c>
      <c r="CV94">
        <v>5</v>
      </c>
      <c r="CW94">
        <v>257</v>
      </c>
      <c r="CX94">
        <v>47</v>
      </c>
      <c r="CY94">
        <v>432</v>
      </c>
      <c r="CZ94">
        <v>253</v>
      </c>
      <c r="DA94">
        <v>46</v>
      </c>
      <c r="DB94">
        <v>32</v>
      </c>
      <c r="DC94">
        <v>223</v>
      </c>
      <c r="DD94">
        <v>42</v>
      </c>
      <c r="DE94">
        <v>22</v>
      </c>
      <c r="DF94">
        <v>295</v>
      </c>
      <c r="DG94">
        <v>27</v>
      </c>
      <c r="DH94">
        <v>57</v>
      </c>
      <c r="DI94">
        <v>205</v>
      </c>
      <c r="DJ94">
        <v>53</v>
      </c>
      <c r="DK94">
        <v>6</v>
      </c>
      <c r="DL94">
        <v>276</v>
      </c>
      <c r="DM94">
        <v>26</v>
      </c>
      <c r="DN94">
        <v>255</v>
      </c>
      <c r="DO94">
        <v>279</v>
      </c>
      <c r="DP94">
        <v>37</v>
      </c>
      <c r="DQ94">
        <v>457</v>
      </c>
      <c r="DR94">
        <v>198</v>
      </c>
      <c r="DS94">
        <v>53</v>
      </c>
      <c r="DT94">
        <v>31</v>
      </c>
      <c r="DU94">
        <v>300</v>
      </c>
      <c r="DV94">
        <v>29</v>
      </c>
      <c r="DW94">
        <v>275</v>
      </c>
      <c r="DX94">
        <v>278</v>
      </c>
      <c r="DY94">
        <v>35</v>
      </c>
      <c r="DZ94">
        <v>428</v>
      </c>
    </row>
    <row r="95" spans="1:130" hidden="1">
      <c r="A95">
        <v>20</v>
      </c>
      <c r="F95">
        <v>3644</v>
      </c>
      <c r="G95">
        <v>22</v>
      </c>
      <c r="H95">
        <v>1</v>
      </c>
      <c r="I95">
        <v>20</v>
      </c>
      <c r="J95">
        <v>6</v>
      </c>
      <c r="K95">
        <v>195</v>
      </c>
      <c r="L95">
        <v>45</v>
      </c>
      <c r="M95">
        <v>2</v>
      </c>
      <c r="N95">
        <v>209</v>
      </c>
      <c r="O95">
        <v>76</v>
      </c>
      <c r="P95">
        <v>1</v>
      </c>
      <c r="Q95">
        <v>257</v>
      </c>
      <c r="R95">
        <v>39</v>
      </c>
      <c r="S95">
        <v>1</v>
      </c>
      <c r="T95">
        <v>279</v>
      </c>
      <c r="U95">
        <v>36</v>
      </c>
      <c r="V95">
        <v>49</v>
      </c>
      <c r="W95">
        <v>252</v>
      </c>
      <c r="X95">
        <v>58</v>
      </c>
      <c r="Y95">
        <v>15</v>
      </c>
      <c r="Z95">
        <v>253</v>
      </c>
      <c r="AA95">
        <v>50</v>
      </c>
      <c r="AB95">
        <v>8</v>
      </c>
      <c r="AC95">
        <v>252</v>
      </c>
      <c r="AD95">
        <v>42</v>
      </c>
      <c r="AE95">
        <v>1</v>
      </c>
      <c r="AF95">
        <v>181</v>
      </c>
      <c r="AG95">
        <v>42</v>
      </c>
      <c r="AH95">
        <v>3</v>
      </c>
      <c r="AI95">
        <v>195</v>
      </c>
      <c r="AJ95">
        <v>37</v>
      </c>
      <c r="AK95">
        <v>1</v>
      </c>
      <c r="AL95">
        <v>195</v>
      </c>
      <c r="AM95">
        <v>56</v>
      </c>
      <c r="AN95">
        <v>2</v>
      </c>
      <c r="AO95">
        <v>255</v>
      </c>
      <c r="AP95">
        <v>42</v>
      </c>
      <c r="AQ95">
        <v>22</v>
      </c>
      <c r="AR95">
        <v>229</v>
      </c>
      <c r="AS95">
        <v>41</v>
      </c>
      <c r="AT95">
        <v>3</v>
      </c>
      <c r="AU95">
        <v>134</v>
      </c>
      <c r="AV95">
        <v>67</v>
      </c>
      <c r="AW95">
        <v>2</v>
      </c>
      <c r="AX95">
        <v>223</v>
      </c>
      <c r="AY95">
        <v>60</v>
      </c>
      <c r="AZ95">
        <v>8</v>
      </c>
      <c r="BA95">
        <v>224</v>
      </c>
      <c r="BB95">
        <v>53</v>
      </c>
      <c r="BC95">
        <v>3</v>
      </c>
      <c r="BD95">
        <v>208</v>
      </c>
      <c r="BE95">
        <v>40</v>
      </c>
      <c r="BF95">
        <v>1</v>
      </c>
      <c r="BG95">
        <v>211</v>
      </c>
      <c r="BH95">
        <v>35</v>
      </c>
      <c r="BI95">
        <v>2</v>
      </c>
      <c r="BJ95">
        <v>285</v>
      </c>
      <c r="BK95">
        <v>25</v>
      </c>
      <c r="BL95">
        <v>1</v>
      </c>
      <c r="BM95">
        <v>277</v>
      </c>
      <c r="BN95">
        <v>29</v>
      </c>
      <c r="BO95">
        <v>0</v>
      </c>
      <c r="BP95">
        <v>278</v>
      </c>
      <c r="BQ95">
        <v>29</v>
      </c>
      <c r="BR95">
        <v>8</v>
      </c>
      <c r="BS95">
        <v>260</v>
      </c>
      <c r="BT95">
        <v>51</v>
      </c>
      <c r="BU95">
        <v>1</v>
      </c>
      <c r="BV95">
        <v>209</v>
      </c>
      <c r="BW95">
        <v>31</v>
      </c>
      <c r="BX95">
        <v>2</v>
      </c>
      <c r="BY95">
        <v>251</v>
      </c>
      <c r="BZ95">
        <v>28</v>
      </c>
      <c r="CA95">
        <v>2</v>
      </c>
      <c r="CB95">
        <v>245</v>
      </c>
      <c r="CC95">
        <v>53</v>
      </c>
      <c r="CD95">
        <v>0</v>
      </c>
      <c r="CE95">
        <v>206</v>
      </c>
      <c r="CF95">
        <v>44</v>
      </c>
      <c r="CG95">
        <v>2</v>
      </c>
      <c r="CH95">
        <v>263</v>
      </c>
      <c r="CI95">
        <v>34</v>
      </c>
      <c r="CJ95">
        <v>13</v>
      </c>
      <c r="CK95">
        <v>192</v>
      </c>
      <c r="CL95">
        <v>69</v>
      </c>
      <c r="CM95">
        <v>2</v>
      </c>
      <c r="CN95">
        <v>269</v>
      </c>
      <c r="CO95">
        <v>33</v>
      </c>
      <c r="CP95">
        <v>12</v>
      </c>
      <c r="CQ95">
        <v>151</v>
      </c>
      <c r="CR95">
        <v>58</v>
      </c>
      <c r="CS95">
        <v>0</v>
      </c>
      <c r="CT95">
        <v>157</v>
      </c>
      <c r="CU95">
        <v>37</v>
      </c>
      <c r="CV95">
        <v>1</v>
      </c>
      <c r="CW95">
        <v>244</v>
      </c>
      <c r="CX95">
        <v>40</v>
      </c>
      <c r="CY95">
        <v>12</v>
      </c>
      <c r="CZ95">
        <v>231</v>
      </c>
      <c r="DA95">
        <v>58</v>
      </c>
      <c r="DB95">
        <v>3</v>
      </c>
      <c r="DC95">
        <v>189</v>
      </c>
      <c r="DD95">
        <v>61</v>
      </c>
      <c r="DE95">
        <v>0</v>
      </c>
      <c r="DF95">
        <v>256</v>
      </c>
      <c r="DG95">
        <v>43</v>
      </c>
      <c r="DH95">
        <v>1</v>
      </c>
      <c r="DI95">
        <v>185</v>
      </c>
      <c r="DJ95">
        <v>57</v>
      </c>
      <c r="DK95">
        <v>2</v>
      </c>
      <c r="DL95">
        <v>268</v>
      </c>
      <c r="DM95">
        <v>27</v>
      </c>
      <c r="DN95">
        <v>0</v>
      </c>
      <c r="DO95">
        <v>244</v>
      </c>
      <c r="DP95">
        <v>49</v>
      </c>
      <c r="DQ95">
        <v>9</v>
      </c>
      <c r="DR95">
        <v>149</v>
      </c>
      <c r="DS95">
        <v>82</v>
      </c>
      <c r="DT95">
        <v>0</v>
      </c>
      <c r="DU95">
        <v>267</v>
      </c>
      <c r="DV95">
        <v>40</v>
      </c>
      <c r="DW95">
        <v>0</v>
      </c>
      <c r="DX95">
        <v>246</v>
      </c>
      <c r="DY95">
        <v>46</v>
      </c>
      <c r="DZ95">
        <v>11</v>
      </c>
    </row>
    <row r="96" spans="1:130" hidden="1">
      <c r="A96">
        <v>21</v>
      </c>
      <c r="F96">
        <v>3645</v>
      </c>
      <c r="G96">
        <v>22</v>
      </c>
      <c r="H96">
        <v>1</v>
      </c>
      <c r="I96">
        <v>21</v>
      </c>
      <c r="J96">
        <v>6</v>
      </c>
      <c r="K96">
        <v>177</v>
      </c>
      <c r="L96">
        <v>50</v>
      </c>
      <c r="M96">
        <v>0</v>
      </c>
      <c r="N96">
        <v>203</v>
      </c>
      <c r="O96">
        <v>66</v>
      </c>
      <c r="P96">
        <v>0</v>
      </c>
      <c r="Q96">
        <v>253</v>
      </c>
      <c r="R96">
        <v>39</v>
      </c>
      <c r="S96">
        <v>0</v>
      </c>
      <c r="T96">
        <v>242</v>
      </c>
      <c r="U96">
        <v>51</v>
      </c>
      <c r="V96">
        <v>0</v>
      </c>
      <c r="W96">
        <v>226</v>
      </c>
      <c r="X96">
        <v>66</v>
      </c>
      <c r="Y96">
        <v>0</v>
      </c>
      <c r="Z96">
        <v>213</v>
      </c>
      <c r="AA96">
        <v>64</v>
      </c>
      <c r="AB96">
        <v>0</v>
      </c>
      <c r="AC96">
        <v>222</v>
      </c>
      <c r="AD96">
        <v>55</v>
      </c>
      <c r="AE96">
        <v>0</v>
      </c>
      <c r="AF96">
        <v>151</v>
      </c>
      <c r="AG96">
        <v>52</v>
      </c>
      <c r="AH96">
        <v>0</v>
      </c>
      <c r="AI96">
        <v>183</v>
      </c>
      <c r="AJ96">
        <v>42</v>
      </c>
      <c r="AK96">
        <v>0</v>
      </c>
      <c r="AL96">
        <v>175</v>
      </c>
      <c r="AM96">
        <v>63</v>
      </c>
      <c r="AN96">
        <v>0</v>
      </c>
      <c r="AO96">
        <v>242</v>
      </c>
      <c r="AP96">
        <v>45</v>
      </c>
      <c r="AQ96">
        <v>0</v>
      </c>
      <c r="AR96">
        <v>218</v>
      </c>
      <c r="AS96">
        <v>44</v>
      </c>
      <c r="AT96">
        <v>0</v>
      </c>
      <c r="AU96">
        <v>128</v>
      </c>
      <c r="AV96">
        <v>65</v>
      </c>
      <c r="AW96">
        <v>0</v>
      </c>
      <c r="AX96">
        <v>209</v>
      </c>
      <c r="AY96">
        <v>64</v>
      </c>
      <c r="AZ96">
        <v>0</v>
      </c>
      <c r="BA96">
        <v>209</v>
      </c>
      <c r="BB96">
        <v>57</v>
      </c>
      <c r="BC96">
        <v>0</v>
      </c>
      <c r="BD96">
        <v>183</v>
      </c>
      <c r="BE96">
        <v>51</v>
      </c>
      <c r="BF96">
        <v>0</v>
      </c>
      <c r="BG96">
        <v>206</v>
      </c>
      <c r="BH96">
        <v>36</v>
      </c>
      <c r="BI96">
        <v>0</v>
      </c>
      <c r="BJ96">
        <v>273</v>
      </c>
      <c r="BK96">
        <v>28</v>
      </c>
      <c r="BL96">
        <v>0</v>
      </c>
      <c r="BM96">
        <v>267</v>
      </c>
      <c r="BN96">
        <v>31</v>
      </c>
      <c r="BO96">
        <v>0</v>
      </c>
      <c r="BP96">
        <v>255</v>
      </c>
      <c r="BQ96">
        <v>36</v>
      </c>
      <c r="BR96">
        <v>0</v>
      </c>
      <c r="BS96">
        <v>240</v>
      </c>
      <c r="BT96">
        <v>51</v>
      </c>
      <c r="BU96">
        <v>0</v>
      </c>
      <c r="BV96">
        <v>196</v>
      </c>
      <c r="BW96">
        <v>32</v>
      </c>
      <c r="BX96">
        <v>0</v>
      </c>
      <c r="BY96">
        <v>235</v>
      </c>
      <c r="BZ96">
        <v>35</v>
      </c>
      <c r="CA96">
        <v>0</v>
      </c>
      <c r="CB96">
        <v>221</v>
      </c>
      <c r="CC96">
        <v>59</v>
      </c>
      <c r="CD96">
        <v>0</v>
      </c>
      <c r="CE96">
        <v>202</v>
      </c>
      <c r="CF96">
        <v>46</v>
      </c>
      <c r="CG96">
        <v>0</v>
      </c>
      <c r="CH96">
        <v>251</v>
      </c>
      <c r="CI96">
        <v>36</v>
      </c>
      <c r="CJ96">
        <v>0</v>
      </c>
      <c r="CK96">
        <v>169</v>
      </c>
      <c r="CL96">
        <v>78</v>
      </c>
      <c r="CM96">
        <v>0</v>
      </c>
      <c r="CN96">
        <v>256</v>
      </c>
      <c r="CO96">
        <v>36</v>
      </c>
      <c r="CP96">
        <v>0</v>
      </c>
      <c r="CQ96">
        <v>145</v>
      </c>
      <c r="CR96">
        <v>61</v>
      </c>
      <c r="CS96">
        <v>0</v>
      </c>
      <c r="CT96">
        <v>138</v>
      </c>
      <c r="CU96">
        <v>44</v>
      </c>
      <c r="CV96">
        <v>0</v>
      </c>
      <c r="CW96">
        <v>233</v>
      </c>
      <c r="CX96">
        <v>42</v>
      </c>
      <c r="CY96">
        <v>0</v>
      </c>
      <c r="CZ96">
        <v>213</v>
      </c>
      <c r="DA96">
        <v>68</v>
      </c>
      <c r="DB96">
        <v>0</v>
      </c>
      <c r="DC96">
        <v>163</v>
      </c>
      <c r="DD96">
        <v>72</v>
      </c>
      <c r="DE96">
        <v>0</v>
      </c>
      <c r="DF96">
        <v>235</v>
      </c>
      <c r="DG96">
        <v>45</v>
      </c>
      <c r="DH96">
        <v>0</v>
      </c>
      <c r="DI96">
        <v>150</v>
      </c>
      <c r="DJ96">
        <v>66</v>
      </c>
      <c r="DK96">
        <v>0</v>
      </c>
      <c r="DL96">
        <v>263</v>
      </c>
      <c r="DM96">
        <v>28</v>
      </c>
      <c r="DN96">
        <v>0</v>
      </c>
      <c r="DO96">
        <v>211</v>
      </c>
      <c r="DP96">
        <v>64</v>
      </c>
      <c r="DQ96">
        <v>0</v>
      </c>
      <c r="DR96">
        <v>143</v>
      </c>
      <c r="DS96">
        <v>84</v>
      </c>
      <c r="DT96">
        <v>0</v>
      </c>
      <c r="DU96">
        <v>219</v>
      </c>
      <c r="DV96">
        <v>55</v>
      </c>
      <c r="DW96">
        <v>0</v>
      </c>
      <c r="DX96">
        <v>230</v>
      </c>
      <c r="DY96">
        <v>45</v>
      </c>
      <c r="DZ96">
        <v>0</v>
      </c>
    </row>
    <row r="97" spans="1:130" hidden="1">
      <c r="A97">
        <v>22</v>
      </c>
      <c r="F97">
        <v>3646</v>
      </c>
      <c r="G97">
        <v>22</v>
      </c>
      <c r="H97">
        <v>1</v>
      </c>
      <c r="I97">
        <v>22</v>
      </c>
      <c r="J97">
        <v>6</v>
      </c>
      <c r="K97">
        <v>183</v>
      </c>
      <c r="L97">
        <v>40</v>
      </c>
      <c r="M97">
        <v>0</v>
      </c>
      <c r="N97">
        <v>198</v>
      </c>
      <c r="O97">
        <v>62</v>
      </c>
      <c r="P97">
        <v>0</v>
      </c>
      <c r="Q97">
        <v>240</v>
      </c>
      <c r="R97">
        <v>46</v>
      </c>
      <c r="S97">
        <v>0</v>
      </c>
      <c r="T97">
        <v>234</v>
      </c>
      <c r="U97">
        <v>52</v>
      </c>
      <c r="V97">
        <v>0</v>
      </c>
      <c r="W97">
        <v>210</v>
      </c>
      <c r="X97">
        <v>72</v>
      </c>
      <c r="Y97">
        <v>0</v>
      </c>
      <c r="Z97">
        <v>205</v>
      </c>
      <c r="AA97">
        <v>65</v>
      </c>
      <c r="AB97">
        <v>0</v>
      </c>
      <c r="AC97">
        <v>206</v>
      </c>
      <c r="AD97">
        <v>62</v>
      </c>
      <c r="AE97">
        <v>0</v>
      </c>
      <c r="AF97">
        <v>139</v>
      </c>
      <c r="AG97">
        <v>57</v>
      </c>
      <c r="AH97">
        <v>0</v>
      </c>
      <c r="AI97">
        <v>181</v>
      </c>
      <c r="AJ97">
        <v>45</v>
      </c>
      <c r="AK97">
        <v>0</v>
      </c>
      <c r="AL97">
        <v>174</v>
      </c>
      <c r="AM97">
        <v>60</v>
      </c>
      <c r="AN97">
        <v>0</v>
      </c>
      <c r="AO97">
        <v>248</v>
      </c>
      <c r="AP97">
        <v>41</v>
      </c>
      <c r="AQ97">
        <v>0</v>
      </c>
      <c r="AR97">
        <v>208</v>
      </c>
      <c r="AS97">
        <v>48</v>
      </c>
      <c r="AT97">
        <v>0</v>
      </c>
      <c r="AU97">
        <v>117</v>
      </c>
      <c r="AV97">
        <v>73</v>
      </c>
      <c r="AW97">
        <v>0</v>
      </c>
      <c r="AX97">
        <v>207</v>
      </c>
      <c r="AY97">
        <v>62</v>
      </c>
      <c r="AZ97">
        <v>0</v>
      </c>
      <c r="BA97">
        <v>200</v>
      </c>
      <c r="BB97">
        <v>59</v>
      </c>
      <c r="BC97">
        <v>0</v>
      </c>
      <c r="BD97">
        <v>172</v>
      </c>
      <c r="BE97">
        <v>60</v>
      </c>
      <c r="BF97">
        <v>0</v>
      </c>
      <c r="BG97">
        <v>213</v>
      </c>
      <c r="BH97">
        <v>29</v>
      </c>
      <c r="BI97">
        <v>0</v>
      </c>
      <c r="BJ97">
        <v>262</v>
      </c>
      <c r="BK97">
        <v>26</v>
      </c>
      <c r="BL97">
        <v>0</v>
      </c>
      <c r="BM97">
        <v>257</v>
      </c>
      <c r="BN97">
        <v>34</v>
      </c>
      <c r="BO97">
        <v>0</v>
      </c>
      <c r="BP97">
        <v>243</v>
      </c>
      <c r="BQ97">
        <v>40</v>
      </c>
      <c r="BR97">
        <v>0</v>
      </c>
      <c r="BS97">
        <v>238</v>
      </c>
      <c r="BT97">
        <v>40</v>
      </c>
      <c r="BU97">
        <v>0</v>
      </c>
      <c r="BV97">
        <v>191</v>
      </c>
      <c r="BW97">
        <v>35</v>
      </c>
      <c r="BX97">
        <v>0</v>
      </c>
      <c r="BY97">
        <v>227</v>
      </c>
      <c r="BZ97">
        <v>39</v>
      </c>
      <c r="CA97">
        <v>0</v>
      </c>
      <c r="CB97">
        <v>214</v>
      </c>
      <c r="CC97">
        <v>64</v>
      </c>
      <c r="CD97">
        <v>0</v>
      </c>
      <c r="CE97">
        <v>193</v>
      </c>
      <c r="CF97">
        <v>47</v>
      </c>
      <c r="CG97">
        <v>0</v>
      </c>
      <c r="CH97">
        <v>242</v>
      </c>
      <c r="CI97">
        <v>39</v>
      </c>
      <c r="CJ97">
        <v>0</v>
      </c>
      <c r="CK97">
        <v>165</v>
      </c>
      <c r="CL97">
        <v>79</v>
      </c>
      <c r="CM97">
        <v>0</v>
      </c>
      <c r="CN97">
        <v>244</v>
      </c>
      <c r="CO97">
        <v>40</v>
      </c>
      <c r="CP97">
        <v>0</v>
      </c>
      <c r="CQ97">
        <v>124</v>
      </c>
      <c r="CR97">
        <v>72</v>
      </c>
      <c r="CS97">
        <v>0</v>
      </c>
      <c r="CT97">
        <v>134</v>
      </c>
      <c r="CU97">
        <v>44</v>
      </c>
      <c r="CV97">
        <v>0</v>
      </c>
      <c r="CW97">
        <v>232</v>
      </c>
      <c r="CX97">
        <v>43</v>
      </c>
      <c r="CY97">
        <v>0</v>
      </c>
      <c r="CZ97">
        <v>199</v>
      </c>
      <c r="DA97">
        <v>73</v>
      </c>
      <c r="DB97">
        <v>0</v>
      </c>
      <c r="DC97">
        <v>145</v>
      </c>
      <c r="DD97">
        <v>76</v>
      </c>
      <c r="DE97">
        <v>0</v>
      </c>
      <c r="DF97">
        <v>230</v>
      </c>
      <c r="DG97">
        <v>42</v>
      </c>
      <c r="DH97">
        <v>0</v>
      </c>
      <c r="DI97">
        <v>123</v>
      </c>
      <c r="DJ97">
        <v>76</v>
      </c>
      <c r="DK97">
        <v>0</v>
      </c>
      <c r="DL97">
        <v>260</v>
      </c>
      <c r="DM97">
        <v>29</v>
      </c>
      <c r="DN97">
        <v>0</v>
      </c>
      <c r="DO97">
        <v>192</v>
      </c>
      <c r="DP97">
        <v>70</v>
      </c>
      <c r="DQ97">
        <v>0</v>
      </c>
      <c r="DR97">
        <v>145</v>
      </c>
      <c r="DS97">
        <v>79</v>
      </c>
      <c r="DT97">
        <v>0</v>
      </c>
      <c r="DU97">
        <v>200</v>
      </c>
      <c r="DV97">
        <v>61</v>
      </c>
      <c r="DW97">
        <v>0</v>
      </c>
      <c r="DX97">
        <v>225</v>
      </c>
      <c r="DY97">
        <v>44</v>
      </c>
      <c r="DZ97">
        <v>0</v>
      </c>
    </row>
    <row r="98" spans="1:130" hidden="1">
      <c r="A98">
        <v>23</v>
      </c>
      <c r="F98">
        <v>3647</v>
      </c>
      <c r="G98">
        <v>22</v>
      </c>
      <c r="H98">
        <v>1</v>
      </c>
      <c r="I98">
        <v>23</v>
      </c>
      <c r="J98">
        <v>6</v>
      </c>
      <c r="K98">
        <v>197</v>
      </c>
      <c r="L98">
        <v>34</v>
      </c>
      <c r="M98">
        <v>0</v>
      </c>
      <c r="N98">
        <v>191</v>
      </c>
      <c r="O98">
        <v>64</v>
      </c>
      <c r="P98">
        <v>0</v>
      </c>
      <c r="Q98">
        <v>217</v>
      </c>
      <c r="R98">
        <v>60</v>
      </c>
      <c r="S98">
        <v>0</v>
      </c>
      <c r="T98">
        <v>223</v>
      </c>
      <c r="U98">
        <v>53</v>
      </c>
      <c r="V98">
        <v>0</v>
      </c>
      <c r="W98">
        <v>204</v>
      </c>
      <c r="X98">
        <v>71</v>
      </c>
      <c r="Y98">
        <v>0</v>
      </c>
      <c r="Z98">
        <v>187</v>
      </c>
      <c r="AA98">
        <v>72</v>
      </c>
      <c r="AB98">
        <v>0</v>
      </c>
      <c r="AC98">
        <v>194</v>
      </c>
      <c r="AD98">
        <v>66</v>
      </c>
      <c r="AE98">
        <v>0</v>
      </c>
      <c r="AF98">
        <v>131</v>
      </c>
      <c r="AG98">
        <v>60</v>
      </c>
      <c r="AH98">
        <v>0</v>
      </c>
      <c r="AI98">
        <v>173</v>
      </c>
      <c r="AJ98">
        <v>46</v>
      </c>
      <c r="AK98">
        <v>0</v>
      </c>
      <c r="AL98">
        <v>175</v>
      </c>
      <c r="AM98">
        <v>59</v>
      </c>
      <c r="AN98">
        <v>0</v>
      </c>
      <c r="AO98">
        <v>243</v>
      </c>
      <c r="AP98">
        <v>40</v>
      </c>
      <c r="AQ98">
        <v>0</v>
      </c>
      <c r="AR98">
        <v>194</v>
      </c>
      <c r="AS98">
        <v>53</v>
      </c>
      <c r="AT98">
        <v>0</v>
      </c>
      <c r="AU98">
        <v>122</v>
      </c>
      <c r="AV98">
        <v>57</v>
      </c>
      <c r="AW98">
        <v>0</v>
      </c>
      <c r="AX98">
        <v>204</v>
      </c>
      <c r="AY98">
        <v>63</v>
      </c>
      <c r="AZ98">
        <v>0</v>
      </c>
      <c r="BA98">
        <v>193</v>
      </c>
      <c r="BB98">
        <v>60</v>
      </c>
      <c r="BC98">
        <v>0</v>
      </c>
      <c r="BD98">
        <v>165</v>
      </c>
      <c r="BE98">
        <v>60</v>
      </c>
      <c r="BF98">
        <v>0</v>
      </c>
      <c r="BG98">
        <v>211</v>
      </c>
      <c r="BH98">
        <v>28</v>
      </c>
      <c r="BI98">
        <v>0</v>
      </c>
      <c r="BJ98">
        <v>260</v>
      </c>
      <c r="BK98">
        <v>26</v>
      </c>
      <c r="BL98">
        <v>0</v>
      </c>
      <c r="BM98">
        <v>245</v>
      </c>
      <c r="BN98">
        <v>40</v>
      </c>
      <c r="BO98">
        <v>0</v>
      </c>
      <c r="BP98">
        <v>230</v>
      </c>
      <c r="BQ98">
        <v>47</v>
      </c>
      <c r="BR98">
        <v>0</v>
      </c>
      <c r="BS98">
        <v>249</v>
      </c>
      <c r="BT98">
        <v>35</v>
      </c>
      <c r="BU98">
        <v>0</v>
      </c>
      <c r="BV98">
        <v>191</v>
      </c>
      <c r="BW98">
        <v>47</v>
      </c>
      <c r="BX98">
        <v>0</v>
      </c>
      <c r="BY98">
        <v>219</v>
      </c>
      <c r="BZ98">
        <v>41</v>
      </c>
      <c r="CA98">
        <v>0</v>
      </c>
      <c r="CB98">
        <v>195</v>
      </c>
      <c r="CC98">
        <v>74</v>
      </c>
      <c r="CD98">
        <v>0</v>
      </c>
      <c r="CE98">
        <v>185</v>
      </c>
      <c r="CF98">
        <v>45</v>
      </c>
      <c r="CG98">
        <v>0</v>
      </c>
      <c r="CH98">
        <v>225</v>
      </c>
      <c r="CI98">
        <v>45</v>
      </c>
      <c r="CJ98">
        <v>0</v>
      </c>
      <c r="CK98">
        <v>155</v>
      </c>
      <c r="CL98">
        <v>83</v>
      </c>
      <c r="CM98">
        <v>0</v>
      </c>
      <c r="CN98">
        <v>245</v>
      </c>
      <c r="CO98">
        <v>41</v>
      </c>
      <c r="CP98">
        <v>0</v>
      </c>
      <c r="CQ98">
        <v>101</v>
      </c>
      <c r="CR98">
        <v>79</v>
      </c>
      <c r="CS98">
        <v>0</v>
      </c>
      <c r="CT98">
        <v>138</v>
      </c>
      <c r="CU98">
        <v>44</v>
      </c>
      <c r="CV98">
        <v>0</v>
      </c>
      <c r="CW98">
        <v>227</v>
      </c>
      <c r="CX98">
        <v>45</v>
      </c>
      <c r="CY98">
        <v>0</v>
      </c>
      <c r="CZ98">
        <v>196</v>
      </c>
      <c r="DA98">
        <v>76</v>
      </c>
      <c r="DB98">
        <v>0</v>
      </c>
      <c r="DC98">
        <v>138</v>
      </c>
      <c r="DD98">
        <v>78</v>
      </c>
      <c r="DE98">
        <v>0</v>
      </c>
      <c r="DF98">
        <v>202</v>
      </c>
      <c r="DG98">
        <v>54</v>
      </c>
      <c r="DH98">
        <v>0</v>
      </c>
      <c r="DI98">
        <v>106</v>
      </c>
      <c r="DJ98">
        <v>81</v>
      </c>
      <c r="DK98">
        <v>0</v>
      </c>
      <c r="DL98">
        <v>257</v>
      </c>
      <c r="DM98">
        <v>30</v>
      </c>
      <c r="DN98">
        <v>0</v>
      </c>
      <c r="DO98">
        <v>181</v>
      </c>
      <c r="DP98">
        <v>77</v>
      </c>
      <c r="DQ98">
        <v>0</v>
      </c>
      <c r="DR98">
        <v>150</v>
      </c>
      <c r="DS98">
        <v>68</v>
      </c>
      <c r="DT98">
        <v>0</v>
      </c>
      <c r="DU98">
        <v>185</v>
      </c>
      <c r="DV98">
        <v>67</v>
      </c>
      <c r="DW98">
        <v>0</v>
      </c>
      <c r="DX98">
        <v>216</v>
      </c>
      <c r="DY98">
        <v>49</v>
      </c>
      <c r="DZ98">
        <v>0</v>
      </c>
    </row>
    <row r="99" spans="1:130" hidden="1">
      <c r="A99">
        <v>24</v>
      </c>
      <c r="F99">
        <v>3648</v>
      </c>
      <c r="G99">
        <v>22</v>
      </c>
      <c r="H99">
        <v>1</v>
      </c>
      <c r="I99">
        <v>24</v>
      </c>
      <c r="J99">
        <v>6</v>
      </c>
      <c r="K99">
        <v>191</v>
      </c>
      <c r="L99">
        <v>36</v>
      </c>
      <c r="M99">
        <v>0</v>
      </c>
      <c r="N99">
        <v>179</v>
      </c>
      <c r="O99">
        <v>71</v>
      </c>
      <c r="P99">
        <v>0</v>
      </c>
      <c r="Q99">
        <v>212</v>
      </c>
      <c r="R99">
        <v>64</v>
      </c>
      <c r="S99">
        <v>0</v>
      </c>
      <c r="T99">
        <v>221</v>
      </c>
      <c r="U99">
        <v>51</v>
      </c>
      <c r="V99">
        <v>0</v>
      </c>
      <c r="W99">
        <v>199</v>
      </c>
      <c r="X99">
        <v>74</v>
      </c>
      <c r="Y99">
        <v>0</v>
      </c>
      <c r="Z99">
        <v>180</v>
      </c>
      <c r="AA99">
        <v>75</v>
      </c>
      <c r="AB99">
        <v>0</v>
      </c>
      <c r="AC99">
        <v>186</v>
      </c>
      <c r="AD99">
        <v>67</v>
      </c>
      <c r="AE99">
        <v>0</v>
      </c>
      <c r="AF99">
        <v>125</v>
      </c>
      <c r="AG99">
        <v>63</v>
      </c>
      <c r="AH99">
        <v>0</v>
      </c>
      <c r="AI99">
        <v>154</v>
      </c>
      <c r="AJ99">
        <v>54</v>
      </c>
      <c r="AK99">
        <v>0</v>
      </c>
      <c r="AL99">
        <v>174</v>
      </c>
      <c r="AM99">
        <v>58</v>
      </c>
      <c r="AN99">
        <v>0</v>
      </c>
      <c r="AO99">
        <v>240</v>
      </c>
      <c r="AP99">
        <v>36</v>
      </c>
      <c r="AQ99">
        <v>0</v>
      </c>
      <c r="AR99">
        <v>187</v>
      </c>
      <c r="AS99">
        <v>56</v>
      </c>
      <c r="AT99">
        <v>0</v>
      </c>
      <c r="AU99">
        <v>129</v>
      </c>
      <c r="AV99">
        <v>36</v>
      </c>
      <c r="AW99">
        <v>0</v>
      </c>
      <c r="AX99">
        <v>198</v>
      </c>
      <c r="AY99">
        <v>68</v>
      </c>
      <c r="AZ99">
        <v>0</v>
      </c>
      <c r="BA99">
        <v>184</v>
      </c>
      <c r="BB99">
        <v>61</v>
      </c>
      <c r="BC99">
        <v>0</v>
      </c>
      <c r="BD99">
        <v>163</v>
      </c>
      <c r="BE99">
        <v>58</v>
      </c>
      <c r="BF99">
        <v>0</v>
      </c>
      <c r="BG99">
        <v>203</v>
      </c>
      <c r="BH99">
        <v>33</v>
      </c>
      <c r="BI99">
        <v>0</v>
      </c>
      <c r="BJ99">
        <v>253</v>
      </c>
      <c r="BK99">
        <v>28</v>
      </c>
      <c r="BL99">
        <v>0</v>
      </c>
      <c r="BM99">
        <v>233</v>
      </c>
      <c r="BN99">
        <v>43</v>
      </c>
      <c r="BO99">
        <v>0</v>
      </c>
      <c r="BP99">
        <v>221</v>
      </c>
      <c r="BQ99">
        <v>51</v>
      </c>
      <c r="BR99">
        <v>0</v>
      </c>
      <c r="BS99">
        <v>244</v>
      </c>
      <c r="BT99">
        <v>36</v>
      </c>
      <c r="BU99">
        <v>0</v>
      </c>
      <c r="BV99">
        <v>184</v>
      </c>
      <c r="BW99">
        <v>52</v>
      </c>
      <c r="BX99">
        <v>0</v>
      </c>
      <c r="BY99">
        <v>214</v>
      </c>
      <c r="BZ99">
        <v>41</v>
      </c>
      <c r="CA99">
        <v>0</v>
      </c>
      <c r="CB99">
        <v>187</v>
      </c>
      <c r="CC99">
        <v>71</v>
      </c>
      <c r="CD99">
        <v>0</v>
      </c>
      <c r="CE99">
        <v>177</v>
      </c>
      <c r="CF99">
        <v>44</v>
      </c>
      <c r="CG99">
        <v>0</v>
      </c>
      <c r="CH99">
        <v>217</v>
      </c>
      <c r="CI99">
        <v>49</v>
      </c>
      <c r="CJ99">
        <v>0</v>
      </c>
      <c r="CK99">
        <v>153</v>
      </c>
      <c r="CL99">
        <v>84</v>
      </c>
      <c r="CM99">
        <v>0</v>
      </c>
      <c r="CN99">
        <v>227</v>
      </c>
      <c r="CO99">
        <v>46</v>
      </c>
      <c r="CP99">
        <v>0</v>
      </c>
      <c r="CQ99">
        <v>89</v>
      </c>
      <c r="CR99">
        <v>84</v>
      </c>
      <c r="CS99">
        <v>0</v>
      </c>
      <c r="CT99">
        <v>124</v>
      </c>
      <c r="CU99">
        <v>49</v>
      </c>
      <c r="CV99">
        <v>0</v>
      </c>
      <c r="CW99">
        <v>213</v>
      </c>
      <c r="CX99">
        <v>51</v>
      </c>
      <c r="CY99">
        <v>0</v>
      </c>
      <c r="CZ99">
        <v>190</v>
      </c>
      <c r="DA99">
        <v>80</v>
      </c>
      <c r="DB99">
        <v>0</v>
      </c>
      <c r="DC99">
        <v>130</v>
      </c>
      <c r="DD99">
        <v>79</v>
      </c>
      <c r="DE99">
        <v>0</v>
      </c>
      <c r="DF99">
        <v>199</v>
      </c>
      <c r="DG99">
        <v>54</v>
      </c>
      <c r="DH99">
        <v>0</v>
      </c>
      <c r="DI99">
        <v>96</v>
      </c>
      <c r="DJ99">
        <v>84</v>
      </c>
      <c r="DK99">
        <v>0</v>
      </c>
      <c r="DL99">
        <v>253</v>
      </c>
      <c r="DM99">
        <v>30</v>
      </c>
      <c r="DN99">
        <v>0</v>
      </c>
      <c r="DO99">
        <v>170</v>
      </c>
      <c r="DP99">
        <v>82</v>
      </c>
      <c r="DQ99">
        <v>0</v>
      </c>
      <c r="DR99">
        <v>145</v>
      </c>
      <c r="DS99">
        <v>65</v>
      </c>
      <c r="DT99">
        <v>0</v>
      </c>
      <c r="DU99">
        <v>162</v>
      </c>
      <c r="DV99">
        <v>74</v>
      </c>
      <c r="DW99">
        <v>0</v>
      </c>
      <c r="DX99">
        <v>205</v>
      </c>
      <c r="DY99">
        <v>58</v>
      </c>
      <c r="DZ99">
        <v>0</v>
      </c>
    </row>
    <row r="100" spans="1:130">
      <c r="A100">
        <v>1</v>
      </c>
      <c r="B100" s="1332">
        <f>INDEX($I100:$DZ100,3*$A$3)/10</f>
        <v>13.4</v>
      </c>
      <c r="C100" s="1332">
        <f>INDEX($I100:$DZ100,3*$A$3+1)</f>
        <v>89</v>
      </c>
      <c r="D100" s="1332">
        <f>INDEX($I100:$DZ100,3*$A$3+2)</f>
        <v>0</v>
      </c>
      <c r="F100">
        <v>5089</v>
      </c>
      <c r="G100">
        <v>31</v>
      </c>
      <c r="H100">
        <v>1</v>
      </c>
      <c r="I100">
        <v>1</v>
      </c>
      <c r="J100">
        <v>8</v>
      </c>
      <c r="K100">
        <v>134</v>
      </c>
      <c r="L100">
        <v>89</v>
      </c>
      <c r="M100">
        <v>0</v>
      </c>
      <c r="N100">
        <v>232</v>
      </c>
      <c r="O100">
        <v>57</v>
      </c>
      <c r="P100">
        <v>0</v>
      </c>
      <c r="Q100">
        <v>197</v>
      </c>
      <c r="R100">
        <v>81</v>
      </c>
      <c r="S100">
        <v>0</v>
      </c>
      <c r="T100">
        <v>207</v>
      </c>
      <c r="U100">
        <v>80</v>
      </c>
      <c r="V100">
        <v>0</v>
      </c>
      <c r="W100">
        <v>183</v>
      </c>
      <c r="X100">
        <v>81</v>
      </c>
      <c r="Y100">
        <v>0</v>
      </c>
      <c r="Z100">
        <v>185</v>
      </c>
      <c r="AA100">
        <v>88</v>
      </c>
      <c r="AB100">
        <v>0</v>
      </c>
      <c r="AC100">
        <v>201</v>
      </c>
      <c r="AD100">
        <v>77</v>
      </c>
      <c r="AE100">
        <v>0</v>
      </c>
      <c r="AF100">
        <v>151</v>
      </c>
      <c r="AG100">
        <v>82</v>
      </c>
      <c r="AH100">
        <v>0</v>
      </c>
      <c r="AI100">
        <v>169</v>
      </c>
      <c r="AJ100">
        <v>77</v>
      </c>
      <c r="AK100">
        <v>0</v>
      </c>
      <c r="AL100">
        <v>177</v>
      </c>
      <c r="AM100">
        <v>67</v>
      </c>
      <c r="AN100">
        <v>0</v>
      </c>
      <c r="AO100">
        <v>197</v>
      </c>
      <c r="AP100">
        <v>65</v>
      </c>
      <c r="AQ100">
        <v>0</v>
      </c>
      <c r="AR100">
        <v>187</v>
      </c>
      <c r="AS100">
        <v>78</v>
      </c>
      <c r="AT100">
        <v>0</v>
      </c>
      <c r="AU100">
        <v>101</v>
      </c>
      <c r="AV100">
        <v>95</v>
      </c>
      <c r="AW100">
        <v>0</v>
      </c>
      <c r="AX100">
        <v>181</v>
      </c>
      <c r="AY100">
        <v>89</v>
      </c>
      <c r="AZ100">
        <v>0</v>
      </c>
      <c r="BA100">
        <v>163</v>
      </c>
      <c r="BB100">
        <v>78</v>
      </c>
      <c r="BC100">
        <v>0</v>
      </c>
      <c r="BD100">
        <v>158</v>
      </c>
      <c r="BE100">
        <v>83</v>
      </c>
      <c r="BF100">
        <v>0</v>
      </c>
      <c r="BG100">
        <v>211</v>
      </c>
      <c r="BH100">
        <v>55</v>
      </c>
      <c r="BI100">
        <v>0</v>
      </c>
      <c r="BJ100">
        <v>223</v>
      </c>
      <c r="BK100">
        <v>38</v>
      </c>
      <c r="BL100">
        <v>0</v>
      </c>
      <c r="BM100">
        <v>243</v>
      </c>
      <c r="BN100">
        <v>33</v>
      </c>
      <c r="BO100">
        <v>0</v>
      </c>
      <c r="BP100">
        <v>208</v>
      </c>
      <c r="BQ100">
        <v>79</v>
      </c>
      <c r="BR100">
        <v>0</v>
      </c>
      <c r="BS100">
        <v>219</v>
      </c>
      <c r="BT100">
        <v>43</v>
      </c>
      <c r="BU100">
        <v>0</v>
      </c>
      <c r="BV100">
        <v>167</v>
      </c>
      <c r="BW100">
        <v>72</v>
      </c>
      <c r="BX100">
        <v>0</v>
      </c>
      <c r="BY100">
        <v>220</v>
      </c>
      <c r="BZ100">
        <v>61</v>
      </c>
      <c r="CA100">
        <v>0</v>
      </c>
      <c r="CB100">
        <v>200</v>
      </c>
      <c r="CC100">
        <v>75</v>
      </c>
      <c r="CD100">
        <v>0</v>
      </c>
      <c r="CE100">
        <v>186</v>
      </c>
      <c r="CF100">
        <v>82</v>
      </c>
      <c r="CG100">
        <v>0</v>
      </c>
      <c r="CH100">
        <v>227</v>
      </c>
      <c r="CI100">
        <v>67</v>
      </c>
      <c r="CJ100">
        <v>0</v>
      </c>
      <c r="CK100">
        <v>173</v>
      </c>
      <c r="CL100">
        <v>43</v>
      </c>
      <c r="CM100">
        <v>0</v>
      </c>
      <c r="CN100">
        <v>240</v>
      </c>
      <c r="CO100">
        <v>49</v>
      </c>
      <c r="CP100">
        <v>0</v>
      </c>
      <c r="CQ100">
        <v>94</v>
      </c>
      <c r="CR100">
        <v>96</v>
      </c>
      <c r="CS100">
        <v>0</v>
      </c>
      <c r="CT100">
        <v>150</v>
      </c>
      <c r="CU100">
        <v>84</v>
      </c>
      <c r="CV100">
        <v>0</v>
      </c>
      <c r="CW100">
        <v>194</v>
      </c>
      <c r="CX100">
        <v>72</v>
      </c>
      <c r="CY100">
        <v>0</v>
      </c>
      <c r="CZ100">
        <v>183</v>
      </c>
      <c r="DA100">
        <v>81</v>
      </c>
      <c r="DB100">
        <v>0</v>
      </c>
      <c r="DC100">
        <v>144</v>
      </c>
      <c r="DD100">
        <v>78</v>
      </c>
      <c r="DE100">
        <v>0</v>
      </c>
      <c r="DF100">
        <v>180</v>
      </c>
      <c r="DG100">
        <v>81</v>
      </c>
      <c r="DH100">
        <v>0</v>
      </c>
      <c r="DI100">
        <v>116</v>
      </c>
      <c r="DJ100">
        <v>93</v>
      </c>
      <c r="DK100">
        <v>0</v>
      </c>
      <c r="DL100">
        <v>222</v>
      </c>
      <c r="DM100">
        <v>66</v>
      </c>
      <c r="DN100">
        <v>0</v>
      </c>
      <c r="DO100">
        <v>177</v>
      </c>
      <c r="DP100">
        <v>93</v>
      </c>
      <c r="DQ100">
        <v>0</v>
      </c>
      <c r="DR100">
        <v>146</v>
      </c>
      <c r="DS100">
        <v>58</v>
      </c>
      <c r="DT100">
        <v>0</v>
      </c>
      <c r="DU100">
        <v>171</v>
      </c>
      <c r="DV100">
        <v>90</v>
      </c>
      <c r="DW100">
        <v>0</v>
      </c>
      <c r="DX100">
        <v>199</v>
      </c>
      <c r="DY100">
        <v>84</v>
      </c>
      <c r="DZ100">
        <v>0</v>
      </c>
    </row>
    <row r="101" spans="1:130">
      <c r="A101">
        <v>2</v>
      </c>
      <c r="B101" s="1332">
        <f t="shared" ref="B101:B164" si="0">INDEX($I101:$DZ101,3*$A$3)/10</f>
        <v>13.1</v>
      </c>
      <c r="C101" s="1332">
        <f t="shared" ref="C101:C164" si="1">INDEX($I101:$DZ101,3*$A$3+1)</f>
        <v>87</v>
      </c>
      <c r="D101" s="1332">
        <f t="shared" ref="D101:D164" si="2">INDEX($I101:$DZ101,3*$A$3+2)</f>
        <v>0</v>
      </c>
      <c r="F101">
        <v>5090</v>
      </c>
      <c r="G101">
        <v>31</v>
      </c>
      <c r="H101">
        <v>1</v>
      </c>
      <c r="I101">
        <v>2</v>
      </c>
      <c r="J101">
        <v>8</v>
      </c>
      <c r="K101">
        <v>131</v>
      </c>
      <c r="L101">
        <v>87</v>
      </c>
      <c r="M101">
        <v>0</v>
      </c>
      <c r="N101">
        <v>229</v>
      </c>
      <c r="O101">
        <v>56</v>
      </c>
      <c r="P101">
        <v>0</v>
      </c>
      <c r="Q101">
        <v>196</v>
      </c>
      <c r="R101">
        <v>80</v>
      </c>
      <c r="S101">
        <v>0</v>
      </c>
      <c r="T101">
        <v>199</v>
      </c>
      <c r="U101">
        <v>83</v>
      </c>
      <c r="V101">
        <v>0</v>
      </c>
      <c r="W101">
        <v>177</v>
      </c>
      <c r="X101">
        <v>84</v>
      </c>
      <c r="Y101">
        <v>0</v>
      </c>
      <c r="Z101">
        <v>182</v>
      </c>
      <c r="AA101">
        <v>89</v>
      </c>
      <c r="AB101">
        <v>0</v>
      </c>
      <c r="AC101">
        <v>199</v>
      </c>
      <c r="AD101">
        <v>76</v>
      </c>
      <c r="AE101">
        <v>0</v>
      </c>
      <c r="AF101">
        <v>142</v>
      </c>
      <c r="AG101">
        <v>83</v>
      </c>
      <c r="AH101">
        <v>0</v>
      </c>
      <c r="AI101">
        <v>169</v>
      </c>
      <c r="AJ101">
        <v>76</v>
      </c>
      <c r="AK101">
        <v>0</v>
      </c>
      <c r="AL101">
        <v>168</v>
      </c>
      <c r="AM101">
        <v>70</v>
      </c>
      <c r="AN101">
        <v>0</v>
      </c>
      <c r="AO101">
        <v>194</v>
      </c>
      <c r="AP101">
        <v>68</v>
      </c>
      <c r="AQ101">
        <v>0</v>
      </c>
      <c r="AR101">
        <v>179</v>
      </c>
      <c r="AS101">
        <v>81</v>
      </c>
      <c r="AT101">
        <v>0</v>
      </c>
      <c r="AU101">
        <v>100</v>
      </c>
      <c r="AV101">
        <v>95</v>
      </c>
      <c r="AW101">
        <v>0</v>
      </c>
      <c r="AX101">
        <v>179</v>
      </c>
      <c r="AY101">
        <v>91</v>
      </c>
      <c r="AZ101">
        <v>0</v>
      </c>
      <c r="BA101">
        <v>157</v>
      </c>
      <c r="BB101">
        <v>78</v>
      </c>
      <c r="BC101">
        <v>0</v>
      </c>
      <c r="BD101">
        <v>152</v>
      </c>
      <c r="BE101">
        <v>84</v>
      </c>
      <c r="BF101">
        <v>0</v>
      </c>
      <c r="BG101">
        <v>207</v>
      </c>
      <c r="BH101">
        <v>59</v>
      </c>
      <c r="BI101">
        <v>0</v>
      </c>
      <c r="BJ101">
        <v>224</v>
      </c>
      <c r="BK101">
        <v>37</v>
      </c>
      <c r="BL101">
        <v>0</v>
      </c>
      <c r="BM101">
        <v>240</v>
      </c>
      <c r="BN101">
        <v>33</v>
      </c>
      <c r="BO101">
        <v>0</v>
      </c>
      <c r="BP101">
        <v>208</v>
      </c>
      <c r="BQ101">
        <v>78</v>
      </c>
      <c r="BR101">
        <v>0</v>
      </c>
      <c r="BS101">
        <v>210</v>
      </c>
      <c r="BT101">
        <v>47</v>
      </c>
      <c r="BU101">
        <v>0</v>
      </c>
      <c r="BV101">
        <v>168</v>
      </c>
      <c r="BW101">
        <v>72</v>
      </c>
      <c r="BX101">
        <v>0</v>
      </c>
      <c r="BY101">
        <v>208</v>
      </c>
      <c r="BZ101">
        <v>67</v>
      </c>
      <c r="CA101">
        <v>0</v>
      </c>
      <c r="CB101">
        <v>192</v>
      </c>
      <c r="CC101">
        <v>79</v>
      </c>
      <c r="CD101">
        <v>0</v>
      </c>
      <c r="CE101">
        <v>183</v>
      </c>
      <c r="CF101">
        <v>83</v>
      </c>
      <c r="CG101">
        <v>0</v>
      </c>
      <c r="CH101">
        <v>220</v>
      </c>
      <c r="CI101">
        <v>70</v>
      </c>
      <c r="CJ101">
        <v>0</v>
      </c>
      <c r="CK101">
        <v>172</v>
      </c>
      <c r="CL101">
        <v>43</v>
      </c>
      <c r="CM101">
        <v>0</v>
      </c>
      <c r="CN101">
        <v>228</v>
      </c>
      <c r="CO101">
        <v>56</v>
      </c>
      <c r="CP101">
        <v>0</v>
      </c>
      <c r="CQ101">
        <v>81</v>
      </c>
      <c r="CR101">
        <v>94</v>
      </c>
      <c r="CS101">
        <v>0</v>
      </c>
      <c r="CT101">
        <v>146</v>
      </c>
      <c r="CU101">
        <v>92</v>
      </c>
      <c r="CV101">
        <v>0</v>
      </c>
      <c r="CW101">
        <v>193</v>
      </c>
      <c r="CX101">
        <v>74</v>
      </c>
      <c r="CY101">
        <v>0</v>
      </c>
      <c r="CZ101">
        <v>181</v>
      </c>
      <c r="DA101">
        <v>82</v>
      </c>
      <c r="DB101">
        <v>0</v>
      </c>
      <c r="DC101">
        <v>137</v>
      </c>
      <c r="DD101">
        <v>80</v>
      </c>
      <c r="DE101">
        <v>0</v>
      </c>
      <c r="DF101">
        <v>174</v>
      </c>
      <c r="DG101">
        <v>85</v>
      </c>
      <c r="DH101">
        <v>0</v>
      </c>
      <c r="DI101">
        <v>110</v>
      </c>
      <c r="DJ101">
        <v>93</v>
      </c>
      <c r="DK101">
        <v>0</v>
      </c>
      <c r="DL101">
        <v>219</v>
      </c>
      <c r="DM101">
        <v>66</v>
      </c>
      <c r="DN101">
        <v>0</v>
      </c>
      <c r="DO101">
        <v>170</v>
      </c>
      <c r="DP101">
        <v>94</v>
      </c>
      <c r="DQ101">
        <v>0</v>
      </c>
      <c r="DR101">
        <v>140</v>
      </c>
      <c r="DS101">
        <v>59</v>
      </c>
      <c r="DT101">
        <v>0</v>
      </c>
      <c r="DU101">
        <v>169</v>
      </c>
      <c r="DV101">
        <v>90</v>
      </c>
      <c r="DW101">
        <v>0</v>
      </c>
      <c r="DX101">
        <v>193</v>
      </c>
      <c r="DY101">
        <v>85</v>
      </c>
      <c r="DZ101">
        <v>0</v>
      </c>
    </row>
    <row r="102" spans="1:130">
      <c r="A102">
        <v>3</v>
      </c>
      <c r="B102" s="1332">
        <f t="shared" si="0"/>
        <v>13.4</v>
      </c>
      <c r="C102" s="1332">
        <f t="shared" si="1"/>
        <v>83</v>
      </c>
      <c r="D102" s="1332">
        <f t="shared" si="2"/>
        <v>0</v>
      </c>
      <c r="F102">
        <v>5091</v>
      </c>
      <c r="G102">
        <v>31</v>
      </c>
      <c r="H102">
        <v>1</v>
      </c>
      <c r="I102">
        <v>3</v>
      </c>
      <c r="J102">
        <v>8</v>
      </c>
      <c r="K102">
        <v>134</v>
      </c>
      <c r="L102">
        <v>83</v>
      </c>
      <c r="M102">
        <v>0</v>
      </c>
      <c r="N102">
        <v>226</v>
      </c>
      <c r="O102">
        <v>57</v>
      </c>
      <c r="P102">
        <v>0</v>
      </c>
      <c r="Q102">
        <v>189</v>
      </c>
      <c r="R102">
        <v>79</v>
      </c>
      <c r="S102">
        <v>0</v>
      </c>
      <c r="T102">
        <v>199</v>
      </c>
      <c r="U102">
        <v>82</v>
      </c>
      <c r="V102">
        <v>0</v>
      </c>
      <c r="W102">
        <v>173</v>
      </c>
      <c r="X102">
        <v>85</v>
      </c>
      <c r="Y102">
        <v>0</v>
      </c>
      <c r="Z102">
        <v>176</v>
      </c>
      <c r="AA102">
        <v>91</v>
      </c>
      <c r="AB102">
        <v>0</v>
      </c>
      <c r="AC102">
        <v>203</v>
      </c>
      <c r="AD102">
        <v>72</v>
      </c>
      <c r="AE102">
        <v>0</v>
      </c>
      <c r="AF102">
        <v>138</v>
      </c>
      <c r="AG102">
        <v>85</v>
      </c>
      <c r="AH102">
        <v>0</v>
      </c>
      <c r="AI102">
        <v>165</v>
      </c>
      <c r="AJ102">
        <v>77</v>
      </c>
      <c r="AK102">
        <v>0</v>
      </c>
      <c r="AL102">
        <v>170</v>
      </c>
      <c r="AM102">
        <v>67</v>
      </c>
      <c r="AN102">
        <v>0</v>
      </c>
      <c r="AO102">
        <v>184</v>
      </c>
      <c r="AP102">
        <v>73</v>
      </c>
      <c r="AQ102">
        <v>0</v>
      </c>
      <c r="AR102">
        <v>176</v>
      </c>
      <c r="AS102">
        <v>84</v>
      </c>
      <c r="AT102">
        <v>0</v>
      </c>
      <c r="AU102">
        <v>101</v>
      </c>
      <c r="AV102">
        <v>91</v>
      </c>
      <c r="AW102">
        <v>0</v>
      </c>
      <c r="AX102">
        <v>174</v>
      </c>
      <c r="AY102">
        <v>94</v>
      </c>
      <c r="AZ102">
        <v>0</v>
      </c>
      <c r="BA102">
        <v>153</v>
      </c>
      <c r="BB102">
        <v>78</v>
      </c>
      <c r="BC102">
        <v>0</v>
      </c>
      <c r="BD102">
        <v>142</v>
      </c>
      <c r="BE102">
        <v>86</v>
      </c>
      <c r="BF102">
        <v>0</v>
      </c>
      <c r="BG102">
        <v>203</v>
      </c>
      <c r="BH102">
        <v>62</v>
      </c>
      <c r="BI102">
        <v>0</v>
      </c>
      <c r="BJ102">
        <v>215</v>
      </c>
      <c r="BK102">
        <v>40</v>
      </c>
      <c r="BL102">
        <v>0</v>
      </c>
      <c r="BM102">
        <v>232</v>
      </c>
      <c r="BN102">
        <v>38</v>
      </c>
      <c r="BO102">
        <v>0</v>
      </c>
      <c r="BP102">
        <v>200</v>
      </c>
      <c r="BQ102">
        <v>81</v>
      </c>
      <c r="BR102">
        <v>0</v>
      </c>
      <c r="BS102">
        <v>224</v>
      </c>
      <c r="BT102">
        <v>40</v>
      </c>
      <c r="BU102">
        <v>0</v>
      </c>
      <c r="BV102">
        <v>161</v>
      </c>
      <c r="BW102">
        <v>74</v>
      </c>
      <c r="BX102">
        <v>0</v>
      </c>
      <c r="BY102">
        <v>201</v>
      </c>
      <c r="BZ102">
        <v>68</v>
      </c>
      <c r="CA102">
        <v>0</v>
      </c>
      <c r="CB102">
        <v>184</v>
      </c>
      <c r="CC102">
        <v>85</v>
      </c>
      <c r="CD102">
        <v>0</v>
      </c>
      <c r="CE102">
        <v>175</v>
      </c>
      <c r="CF102">
        <v>85</v>
      </c>
      <c r="CG102">
        <v>0</v>
      </c>
      <c r="CH102">
        <v>215</v>
      </c>
      <c r="CI102">
        <v>72</v>
      </c>
      <c r="CJ102">
        <v>0</v>
      </c>
      <c r="CK102">
        <v>172</v>
      </c>
      <c r="CL102">
        <v>43</v>
      </c>
      <c r="CM102">
        <v>0</v>
      </c>
      <c r="CN102">
        <v>227</v>
      </c>
      <c r="CO102">
        <v>52</v>
      </c>
      <c r="CP102">
        <v>0</v>
      </c>
      <c r="CQ102">
        <v>77</v>
      </c>
      <c r="CR102">
        <v>96</v>
      </c>
      <c r="CS102">
        <v>0</v>
      </c>
      <c r="CT102">
        <v>143</v>
      </c>
      <c r="CU102">
        <v>86</v>
      </c>
      <c r="CV102">
        <v>0</v>
      </c>
      <c r="CW102">
        <v>187</v>
      </c>
      <c r="CX102">
        <v>77</v>
      </c>
      <c r="CY102">
        <v>0</v>
      </c>
      <c r="CZ102">
        <v>176</v>
      </c>
      <c r="DA102">
        <v>84</v>
      </c>
      <c r="DB102">
        <v>0</v>
      </c>
      <c r="DC102">
        <v>134</v>
      </c>
      <c r="DD102">
        <v>80</v>
      </c>
      <c r="DE102">
        <v>0</v>
      </c>
      <c r="DF102">
        <v>171</v>
      </c>
      <c r="DG102">
        <v>82</v>
      </c>
      <c r="DH102">
        <v>0</v>
      </c>
      <c r="DI102">
        <v>105</v>
      </c>
      <c r="DJ102">
        <v>93</v>
      </c>
      <c r="DK102">
        <v>0</v>
      </c>
      <c r="DL102">
        <v>212</v>
      </c>
      <c r="DM102">
        <v>68</v>
      </c>
      <c r="DN102">
        <v>0</v>
      </c>
      <c r="DO102">
        <v>166</v>
      </c>
      <c r="DP102">
        <v>95</v>
      </c>
      <c r="DQ102">
        <v>0</v>
      </c>
      <c r="DR102">
        <v>140</v>
      </c>
      <c r="DS102">
        <v>58</v>
      </c>
      <c r="DT102">
        <v>0</v>
      </c>
      <c r="DU102">
        <v>161</v>
      </c>
      <c r="DV102">
        <v>94</v>
      </c>
      <c r="DW102">
        <v>0</v>
      </c>
      <c r="DX102">
        <v>188</v>
      </c>
      <c r="DY102">
        <v>85</v>
      </c>
      <c r="DZ102">
        <v>0</v>
      </c>
    </row>
    <row r="103" spans="1:130">
      <c r="A103">
        <v>4</v>
      </c>
      <c r="B103" s="1332">
        <f t="shared" si="0"/>
        <v>12.7</v>
      </c>
      <c r="C103" s="1332">
        <f t="shared" si="1"/>
        <v>85</v>
      </c>
      <c r="D103" s="1332">
        <f t="shared" si="2"/>
        <v>0</v>
      </c>
      <c r="F103">
        <v>5092</v>
      </c>
      <c r="G103">
        <v>31</v>
      </c>
      <c r="H103">
        <v>1</v>
      </c>
      <c r="I103">
        <v>4</v>
      </c>
      <c r="J103">
        <v>8</v>
      </c>
      <c r="K103">
        <v>127</v>
      </c>
      <c r="L103">
        <v>85</v>
      </c>
      <c r="M103">
        <v>0</v>
      </c>
      <c r="N103">
        <v>217</v>
      </c>
      <c r="O103">
        <v>60</v>
      </c>
      <c r="P103">
        <v>0</v>
      </c>
      <c r="Q103">
        <v>170</v>
      </c>
      <c r="R103">
        <v>86</v>
      </c>
      <c r="S103">
        <v>0</v>
      </c>
      <c r="T103">
        <v>195</v>
      </c>
      <c r="U103">
        <v>84</v>
      </c>
      <c r="V103">
        <v>0</v>
      </c>
      <c r="W103">
        <v>169</v>
      </c>
      <c r="X103">
        <v>86</v>
      </c>
      <c r="Y103">
        <v>0</v>
      </c>
      <c r="Z103">
        <v>172</v>
      </c>
      <c r="AA103">
        <v>93</v>
      </c>
      <c r="AB103">
        <v>0</v>
      </c>
      <c r="AC103">
        <v>198</v>
      </c>
      <c r="AD103">
        <v>73</v>
      </c>
      <c r="AE103">
        <v>0</v>
      </c>
      <c r="AF103">
        <v>132</v>
      </c>
      <c r="AG103">
        <v>87</v>
      </c>
      <c r="AH103">
        <v>0</v>
      </c>
      <c r="AI103">
        <v>160</v>
      </c>
      <c r="AJ103">
        <v>79</v>
      </c>
      <c r="AK103">
        <v>0</v>
      </c>
      <c r="AL103">
        <v>166</v>
      </c>
      <c r="AM103">
        <v>67</v>
      </c>
      <c r="AN103">
        <v>0</v>
      </c>
      <c r="AO103">
        <v>179</v>
      </c>
      <c r="AP103">
        <v>78</v>
      </c>
      <c r="AQ103">
        <v>0</v>
      </c>
      <c r="AR103">
        <v>177</v>
      </c>
      <c r="AS103">
        <v>82</v>
      </c>
      <c r="AT103">
        <v>0</v>
      </c>
      <c r="AU103">
        <v>98</v>
      </c>
      <c r="AV103">
        <v>90</v>
      </c>
      <c r="AW103">
        <v>0</v>
      </c>
      <c r="AX103">
        <v>175</v>
      </c>
      <c r="AY103">
        <v>94</v>
      </c>
      <c r="AZ103">
        <v>0</v>
      </c>
      <c r="BA103">
        <v>149</v>
      </c>
      <c r="BB103">
        <v>76</v>
      </c>
      <c r="BC103">
        <v>0</v>
      </c>
      <c r="BD103">
        <v>139</v>
      </c>
      <c r="BE103">
        <v>88</v>
      </c>
      <c r="BF103">
        <v>0</v>
      </c>
      <c r="BG103">
        <v>201</v>
      </c>
      <c r="BH103">
        <v>63</v>
      </c>
      <c r="BI103">
        <v>0</v>
      </c>
      <c r="BJ103">
        <v>217</v>
      </c>
      <c r="BK103">
        <v>38</v>
      </c>
      <c r="BL103">
        <v>0</v>
      </c>
      <c r="BM103">
        <v>225</v>
      </c>
      <c r="BN103">
        <v>41</v>
      </c>
      <c r="BO103">
        <v>0</v>
      </c>
      <c r="BP103">
        <v>196</v>
      </c>
      <c r="BQ103">
        <v>83</v>
      </c>
      <c r="BR103">
        <v>0</v>
      </c>
      <c r="BS103">
        <v>202</v>
      </c>
      <c r="BT103">
        <v>48</v>
      </c>
      <c r="BU103">
        <v>0</v>
      </c>
      <c r="BV103">
        <v>160</v>
      </c>
      <c r="BW103">
        <v>74</v>
      </c>
      <c r="BX103">
        <v>0</v>
      </c>
      <c r="BY103">
        <v>196</v>
      </c>
      <c r="BZ103">
        <v>69</v>
      </c>
      <c r="CA103">
        <v>0</v>
      </c>
      <c r="CB103">
        <v>181</v>
      </c>
      <c r="CC103">
        <v>84</v>
      </c>
      <c r="CD103">
        <v>0</v>
      </c>
      <c r="CE103">
        <v>171</v>
      </c>
      <c r="CF103">
        <v>86</v>
      </c>
      <c r="CG103">
        <v>0</v>
      </c>
      <c r="CH103">
        <v>209</v>
      </c>
      <c r="CI103">
        <v>75</v>
      </c>
      <c r="CJ103">
        <v>0</v>
      </c>
      <c r="CK103">
        <v>172</v>
      </c>
      <c r="CL103">
        <v>44</v>
      </c>
      <c r="CM103">
        <v>0</v>
      </c>
      <c r="CN103">
        <v>218</v>
      </c>
      <c r="CO103">
        <v>53</v>
      </c>
      <c r="CP103">
        <v>0</v>
      </c>
      <c r="CQ103">
        <v>68</v>
      </c>
      <c r="CR103">
        <v>97</v>
      </c>
      <c r="CS103">
        <v>0</v>
      </c>
      <c r="CT103">
        <v>134</v>
      </c>
      <c r="CU103">
        <v>93</v>
      </c>
      <c r="CV103">
        <v>0</v>
      </c>
      <c r="CW103">
        <v>186</v>
      </c>
      <c r="CX103">
        <v>79</v>
      </c>
      <c r="CY103">
        <v>0</v>
      </c>
      <c r="CZ103">
        <v>170</v>
      </c>
      <c r="DA103">
        <v>89</v>
      </c>
      <c r="DB103">
        <v>0</v>
      </c>
      <c r="DC103">
        <v>131</v>
      </c>
      <c r="DD103">
        <v>82</v>
      </c>
      <c r="DE103">
        <v>0</v>
      </c>
      <c r="DF103">
        <v>170</v>
      </c>
      <c r="DG103">
        <v>82</v>
      </c>
      <c r="DH103">
        <v>0</v>
      </c>
      <c r="DI103">
        <v>98</v>
      </c>
      <c r="DJ103">
        <v>95</v>
      </c>
      <c r="DK103">
        <v>0</v>
      </c>
      <c r="DL103">
        <v>210</v>
      </c>
      <c r="DM103">
        <v>69</v>
      </c>
      <c r="DN103">
        <v>0</v>
      </c>
      <c r="DO103">
        <v>162</v>
      </c>
      <c r="DP103">
        <v>94</v>
      </c>
      <c r="DQ103">
        <v>0</v>
      </c>
      <c r="DR103">
        <v>134</v>
      </c>
      <c r="DS103">
        <v>59</v>
      </c>
      <c r="DT103">
        <v>0</v>
      </c>
      <c r="DU103">
        <v>157</v>
      </c>
      <c r="DV103">
        <v>96</v>
      </c>
      <c r="DW103">
        <v>0</v>
      </c>
      <c r="DX103">
        <v>184</v>
      </c>
      <c r="DY103">
        <v>88</v>
      </c>
      <c r="DZ103">
        <v>0</v>
      </c>
    </row>
    <row r="104" spans="1:130">
      <c r="A104">
        <v>5</v>
      </c>
      <c r="B104" s="1332">
        <f t="shared" si="0"/>
        <v>12.9</v>
      </c>
      <c r="C104" s="1332">
        <f t="shared" si="1"/>
        <v>85</v>
      </c>
      <c r="D104" s="1332">
        <f t="shared" si="2"/>
        <v>0</v>
      </c>
      <c r="F104">
        <v>5093</v>
      </c>
      <c r="G104">
        <v>31</v>
      </c>
      <c r="H104">
        <v>1</v>
      </c>
      <c r="I104">
        <v>5</v>
      </c>
      <c r="J104">
        <v>8</v>
      </c>
      <c r="K104">
        <v>129</v>
      </c>
      <c r="L104">
        <v>85</v>
      </c>
      <c r="M104">
        <v>0</v>
      </c>
      <c r="N104">
        <v>213</v>
      </c>
      <c r="O104">
        <v>61</v>
      </c>
      <c r="P104">
        <v>0</v>
      </c>
      <c r="Q104">
        <v>172</v>
      </c>
      <c r="R104">
        <v>89</v>
      </c>
      <c r="S104">
        <v>0</v>
      </c>
      <c r="T104">
        <v>191</v>
      </c>
      <c r="U104">
        <v>85</v>
      </c>
      <c r="V104">
        <v>0</v>
      </c>
      <c r="W104">
        <v>164</v>
      </c>
      <c r="X104">
        <v>88</v>
      </c>
      <c r="Y104">
        <v>0</v>
      </c>
      <c r="Z104">
        <v>165</v>
      </c>
      <c r="AA104">
        <v>95</v>
      </c>
      <c r="AB104">
        <v>0</v>
      </c>
      <c r="AC104">
        <v>196</v>
      </c>
      <c r="AD104">
        <v>73</v>
      </c>
      <c r="AE104">
        <v>3</v>
      </c>
      <c r="AF104">
        <v>126</v>
      </c>
      <c r="AG104">
        <v>87</v>
      </c>
      <c r="AH104">
        <v>3</v>
      </c>
      <c r="AI104">
        <v>163</v>
      </c>
      <c r="AJ104">
        <v>77</v>
      </c>
      <c r="AK104">
        <v>0</v>
      </c>
      <c r="AL104">
        <v>160</v>
      </c>
      <c r="AM104">
        <v>70</v>
      </c>
      <c r="AN104">
        <v>0</v>
      </c>
      <c r="AO104">
        <v>176</v>
      </c>
      <c r="AP104">
        <v>81</v>
      </c>
      <c r="AQ104">
        <v>0</v>
      </c>
      <c r="AR104">
        <v>171</v>
      </c>
      <c r="AS104">
        <v>85</v>
      </c>
      <c r="AT104">
        <v>2</v>
      </c>
      <c r="AU104">
        <v>99</v>
      </c>
      <c r="AV104">
        <v>81</v>
      </c>
      <c r="AW104">
        <v>0</v>
      </c>
      <c r="AX104">
        <v>176</v>
      </c>
      <c r="AY104">
        <v>94</v>
      </c>
      <c r="AZ104">
        <v>6</v>
      </c>
      <c r="BA104">
        <v>146</v>
      </c>
      <c r="BB104">
        <v>76</v>
      </c>
      <c r="BC104">
        <v>0</v>
      </c>
      <c r="BD104">
        <v>140</v>
      </c>
      <c r="BE104">
        <v>90</v>
      </c>
      <c r="BF104">
        <v>0</v>
      </c>
      <c r="BG104">
        <v>196</v>
      </c>
      <c r="BH104">
        <v>68</v>
      </c>
      <c r="BI104">
        <v>0</v>
      </c>
      <c r="BJ104">
        <v>216</v>
      </c>
      <c r="BK104">
        <v>39</v>
      </c>
      <c r="BL104">
        <v>0</v>
      </c>
      <c r="BM104">
        <v>219</v>
      </c>
      <c r="BN104">
        <v>44</v>
      </c>
      <c r="BO104">
        <v>0</v>
      </c>
      <c r="BP104">
        <v>194</v>
      </c>
      <c r="BQ104">
        <v>83</v>
      </c>
      <c r="BR104">
        <v>0</v>
      </c>
      <c r="BS104">
        <v>177</v>
      </c>
      <c r="BT104">
        <v>59</v>
      </c>
      <c r="BU104">
        <v>0</v>
      </c>
      <c r="BV104">
        <v>159</v>
      </c>
      <c r="BW104">
        <v>74</v>
      </c>
      <c r="BX104">
        <v>0</v>
      </c>
      <c r="BY104">
        <v>192</v>
      </c>
      <c r="BZ104">
        <v>73</v>
      </c>
      <c r="CA104">
        <v>0</v>
      </c>
      <c r="CB104">
        <v>178</v>
      </c>
      <c r="CC104">
        <v>86</v>
      </c>
      <c r="CD104">
        <v>0</v>
      </c>
      <c r="CE104">
        <v>167</v>
      </c>
      <c r="CF104">
        <v>86</v>
      </c>
      <c r="CG104">
        <v>0</v>
      </c>
      <c r="CH104">
        <v>204</v>
      </c>
      <c r="CI104">
        <v>76</v>
      </c>
      <c r="CJ104">
        <v>0</v>
      </c>
      <c r="CK104">
        <v>174</v>
      </c>
      <c r="CL104">
        <v>43</v>
      </c>
      <c r="CM104">
        <v>2</v>
      </c>
      <c r="CN104">
        <v>215</v>
      </c>
      <c r="CO104">
        <v>55</v>
      </c>
      <c r="CP104">
        <v>0</v>
      </c>
      <c r="CQ104">
        <v>62</v>
      </c>
      <c r="CR104">
        <v>99</v>
      </c>
      <c r="CS104">
        <v>3</v>
      </c>
      <c r="CT104">
        <v>127</v>
      </c>
      <c r="CU104">
        <v>91</v>
      </c>
      <c r="CV104">
        <v>2</v>
      </c>
      <c r="CW104">
        <v>185</v>
      </c>
      <c r="CX104">
        <v>80</v>
      </c>
      <c r="CY104">
        <v>5</v>
      </c>
      <c r="CZ104">
        <v>164</v>
      </c>
      <c r="DA104">
        <v>90</v>
      </c>
      <c r="DB104">
        <v>3</v>
      </c>
      <c r="DC104">
        <v>130</v>
      </c>
      <c r="DD104">
        <v>83</v>
      </c>
      <c r="DE104">
        <v>4</v>
      </c>
      <c r="DF104">
        <v>168</v>
      </c>
      <c r="DG104">
        <v>83</v>
      </c>
      <c r="DH104">
        <v>0</v>
      </c>
      <c r="DI104">
        <v>95</v>
      </c>
      <c r="DJ104">
        <v>95</v>
      </c>
      <c r="DK104">
        <v>0</v>
      </c>
      <c r="DL104">
        <v>207</v>
      </c>
      <c r="DM104">
        <v>68</v>
      </c>
      <c r="DN104">
        <v>3</v>
      </c>
      <c r="DO104">
        <v>158</v>
      </c>
      <c r="DP104">
        <v>95</v>
      </c>
      <c r="DQ104">
        <v>0</v>
      </c>
      <c r="DR104">
        <v>128</v>
      </c>
      <c r="DS104">
        <v>61</v>
      </c>
      <c r="DT104">
        <v>0</v>
      </c>
      <c r="DU104">
        <v>153</v>
      </c>
      <c r="DV104">
        <v>96</v>
      </c>
      <c r="DW104">
        <v>0</v>
      </c>
      <c r="DX104">
        <v>183</v>
      </c>
      <c r="DY104">
        <v>87</v>
      </c>
      <c r="DZ104">
        <v>3</v>
      </c>
    </row>
    <row r="105" spans="1:130">
      <c r="A105">
        <v>6</v>
      </c>
      <c r="B105" s="1332">
        <f t="shared" si="0"/>
        <v>13.4</v>
      </c>
      <c r="C105" s="1332">
        <f t="shared" si="1"/>
        <v>82</v>
      </c>
      <c r="D105" s="1332">
        <f t="shared" si="2"/>
        <v>19</v>
      </c>
      <c r="F105">
        <v>5094</v>
      </c>
      <c r="G105">
        <v>31</v>
      </c>
      <c r="H105">
        <v>1</v>
      </c>
      <c r="I105">
        <v>6</v>
      </c>
      <c r="J105">
        <v>8</v>
      </c>
      <c r="K105">
        <v>134</v>
      </c>
      <c r="L105">
        <v>82</v>
      </c>
      <c r="M105">
        <v>19</v>
      </c>
      <c r="N105">
        <v>214</v>
      </c>
      <c r="O105">
        <v>60</v>
      </c>
      <c r="P105">
        <v>15</v>
      </c>
      <c r="Q105">
        <v>170</v>
      </c>
      <c r="R105">
        <v>88</v>
      </c>
      <c r="S105">
        <v>21</v>
      </c>
      <c r="T105">
        <v>197</v>
      </c>
      <c r="U105">
        <v>83</v>
      </c>
      <c r="V105">
        <v>31</v>
      </c>
      <c r="W105">
        <v>173</v>
      </c>
      <c r="X105">
        <v>85</v>
      </c>
      <c r="Y105">
        <v>31</v>
      </c>
      <c r="Z105">
        <v>177</v>
      </c>
      <c r="AA105">
        <v>92</v>
      </c>
      <c r="AB105">
        <v>30</v>
      </c>
      <c r="AC105">
        <v>191</v>
      </c>
      <c r="AD105">
        <v>77</v>
      </c>
      <c r="AE105">
        <v>12</v>
      </c>
      <c r="AF105">
        <v>124</v>
      </c>
      <c r="AG105">
        <v>87</v>
      </c>
      <c r="AH105">
        <v>18</v>
      </c>
      <c r="AI105">
        <v>169</v>
      </c>
      <c r="AJ105">
        <v>76</v>
      </c>
      <c r="AK105">
        <v>30</v>
      </c>
      <c r="AL105">
        <v>162</v>
      </c>
      <c r="AM105">
        <v>69</v>
      </c>
      <c r="AN105">
        <v>13</v>
      </c>
      <c r="AO105">
        <v>189</v>
      </c>
      <c r="AP105">
        <v>77</v>
      </c>
      <c r="AQ105">
        <v>26</v>
      </c>
      <c r="AR105">
        <v>168</v>
      </c>
      <c r="AS105">
        <v>87</v>
      </c>
      <c r="AT105">
        <v>10</v>
      </c>
      <c r="AU105">
        <v>105</v>
      </c>
      <c r="AV105">
        <v>79</v>
      </c>
      <c r="AW105">
        <v>30</v>
      </c>
      <c r="AX105">
        <v>194</v>
      </c>
      <c r="AY105">
        <v>89</v>
      </c>
      <c r="AZ105">
        <v>36</v>
      </c>
      <c r="BA105">
        <v>143</v>
      </c>
      <c r="BB105">
        <v>79</v>
      </c>
      <c r="BC105">
        <v>11</v>
      </c>
      <c r="BD105">
        <v>150</v>
      </c>
      <c r="BE105">
        <v>88</v>
      </c>
      <c r="BF105">
        <v>30</v>
      </c>
      <c r="BG105">
        <v>207</v>
      </c>
      <c r="BH105">
        <v>64</v>
      </c>
      <c r="BI105">
        <v>29</v>
      </c>
      <c r="BJ105">
        <v>218</v>
      </c>
      <c r="BK105">
        <v>40</v>
      </c>
      <c r="BL105">
        <v>31</v>
      </c>
      <c r="BM105">
        <v>215</v>
      </c>
      <c r="BN105">
        <v>46</v>
      </c>
      <c r="BO105">
        <v>18</v>
      </c>
      <c r="BP105">
        <v>205</v>
      </c>
      <c r="BQ105">
        <v>79</v>
      </c>
      <c r="BR105">
        <v>30</v>
      </c>
      <c r="BS105">
        <v>187</v>
      </c>
      <c r="BT105">
        <v>59</v>
      </c>
      <c r="BU105">
        <v>31</v>
      </c>
      <c r="BV105">
        <v>161</v>
      </c>
      <c r="BW105">
        <v>74</v>
      </c>
      <c r="BX105">
        <v>29</v>
      </c>
      <c r="BY105">
        <v>197</v>
      </c>
      <c r="BZ105">
        <v>75</v>
      </c>
      <c r="CA105">
        <v>26</v>
      </c>
      <c r="CB105">
        <v>184</v>
      </c>
      <c r="CC105">
        <v>86</v>
      </c>
      <c r="CD105">
        <v>29</v>
      </c>
      <c r="CE105">
        <v>162</v>
      </c>
      <c r="CF105">
        <v>87</v>
      </c>
      <c r="CG105">
        <v>10</v>
      </c>
      <c r="CH105">
        <v>208</v>
      </c>
      <c r="CI105">
        <v>75</v>
      </c>
      <c r="CJ105">
        <v>25</v>
      </c>
      <c r="CK105">
        <v>175</v>
      </c>
      <c r="CL105">
        <v>44</v>
      </c>
      <c r="CM105">
        <v>13</v>
      </c>
      <c r="CN105">
        <v>213</v>
      </c>
      <c r="CO105">
        <v>61</v>
      </c>
      <c r="CP105">
        <v>32</v>
      </c>
      <c r="CQ105">
        <v>60</v>
      </c>
      <c r="CR105">
        <v>96</v>
      </c>
      <c r="CS105">
        <v>15</v>
      </c>
      <c r="CT105">
        <v>128</v>
      </c>
      <c r="CU105">
        <v>90</v>
      </c>
      <c r="CV105">
        <v>9</v>
      </c>
      <c r="CW105">
        <v>194</v>
      </c>
      <c r="CX105">
        <v>78</v>
      </c>
      <c r="CY105">
        <v>37</v>
      </c>
      <c r="CZ105">
        <v>173</v>
      </c>
      <c r="DA105">
        <v>86</v>
      </c>
      <c r="DB105">
        <v>33</v>
      </c>
      <c r="DC105">
        <v>134</v>
      </c>
      <c r="DD105">
        <v>81</v>
      </c>
      <c r="DE105">
        <v>31</v>
      </c>
      <c r="DF105">
        <v>173</v>
      </c>
      <c r="DG105">
        <v>82</v>
      </c>
      <c r="DH105">
        <v>29</v>
      </c>
      <c r="DI105">
        <v>97</v>
      </c>
      <c r="DJ105">
        <v>95</v>
      </c>
      <c r="DK105">
        <v>14</v>
      </c>
      <c r="DL105">
        <v>210</v>
      </c>
      <c r="DM105">
        <v>66</v>
      </c>
      <c r="DN105">
        <v>14</v>
      </c>
      <c r="DO105">
        <v>166</v>
      </c>
      <c r="DP105">
        <v>94</v>
      </c>
      <c r="DQ105">
        <v>33</v>
      </c>
      <c r="DR105">
        <v>130</v>
      </c>
      <c r="DS105">
        <v>59</v>
      </c>
      <c r="DT105">
        <v>4</v>
      </c>
      <c r="DU105">
        <v>164</v>
      </c>
      <c r="DV105">
        <v>94</v>
      </c>
      <c r="DW105">
        <v>34</v>
      </c>
      <c r="DX105">
        <v>189</v>
      </c>
      <c r="DY105">
        <v>87</v>
      </c>
      <c r="DZ105">
        <v>32</v>
      </c>
    </row>
    <row r="106" spans="1:130">
      <c r="A106">
        <v>7</v>
      </c>
      <c r="B106" s="1332">
        <f t="shared" si="0"/>
        <v>16.3</v>
      </c>
      <c r="C106" s="1332">
        <f t="shared" si="1"/>
        <v>73</v>
      </c>
      <c r="D106" s="1332">
        <f t="shared" si="2"/>
        <v>58</v>
      </c>
      <c r="F106">
        <v>5095</v>
      </c>
      <c r="G106">
        <v>31</v>
      </c>
      <c r="H106">
        <v>1</v>
      </c>
      <c r="I106">
        <v>7</v>
      </c>
      <c r="J106">
        <v>8</v>
      </c>
      <c r="K106">
        <v>163</v>
      </c>
      <c r="L106">
        <v>73</v>
      </c>
      <c r="M106">
        <v>58</v>
      </c>
      <c r="N106">
        <v>227</v>
      </c>
      <c r="O106">
        <v>56</v>
      </c>
      <c r="P106">
        <v>58</v>
      </c>
      <c r="Q106">
        <v>196</v>
      </c>
      <c r="R106">
        <v>82</v>
      </c>
      <c r="S106">
        <v>60</v>
      </c>
      <c r="T106">
        <v>211</v>
      </c>
      <c r="U106">
        <v>78</v>
      </c>
      <c r="V106">
        <v>61</v>
      </c>
      <c r="W106">
        <v>197</v>
      </c>
      <c r="X106">
        <v>75</v>
      </c>
      <c r="Y106">
        <v>59</v>
      </c>
      <c r="Z106">
        <v>200</v>
      </c>
      <c r="AA106">
        <v>83</v>
      </c>
      <c r="AB106">
        <v>59</v>
      </c>
      <c r="AC106">
        <v>213</v>
      </c>
      <c r="AD106">
        <v>68</v>
      </c>
      <c r="AE106">
        <v>65</v>
      </c>
      <c r="AF106">
        <v>140</v>
      </c>
      <c r="AG106">
        <v>84</v>
      </c>
      <c r="AH106">
        <v>65</v>
      </c>
      <c r="AI106">
        <v>183</v>
      </c>
      <c r="AJ106">
        <v>71</v>
      </c>
      <c r="AK106">
        <v>56</v>
      </c>
      <c r="AL106">
        <v>165</v>
      </c>
      <c r="AM106">
        <v>71</v>
      </c>
      <c r="AN106">
        <v>30</v>
      </c>
      <c r="AO106">
        <v>212</v>
      </c>
      <c r="AP106">
        <v>70</v>
      </c>
      <c r="AQ106">
        <v>56</v>
      </c>
      <c r="AR106">
        <v>178</v>
      </c>
      <c r="AS106">
        <v>83</v>
      </c>
      <c r="AT106">
        <v>35</v>
      </c>
      <c r="AU106">
        <v>123</v>
      </c>
      <c r="AV106">
        <v>71</v>
      </c>
      <c r="AW106">
        <v>96</v>
      </c>
      <c r="AX106">
        <v>212</v>
      </c>
      <c r="AY106">
        <v>82</v>
      </c>
      <c r="AZ106">
        <v>62</v>
      </c>
      <c r="BA106">
        <v>159</v>
      </c>
      <c r="BB106">
        <v>75</v>
      </c>
      <c r="BC106">
        <v>61</v>
      </c>
      <c r="BD106">
        <v>191</v>
      </c>
      <c r="BE106">
        <v>80</v>
      </c>
      <c r="BF106">
        <v>54</v>
      </c>
      <c r="BG106">
        <v>218</v>
      </c>
      <c r="BH106">
        <v>65</v>
      </c>
      <c r="BI106">
        <v>57</v>
      </c>
      <c r="BJ106">
        <v>230</v>
      </c>
      <c r="BK106">
        <v>39</v>
      </c>
      <c r="BL106">
        <v>61</v>
      </c>
      <c r="BM106">
        <v>224</v>
      </c>
      <c r="BN106">
        <v>53</v>
      </c>
      <c r="BO106">
        <v>65</v>
      </c>
      <c r="BP106">
        <v>227</v>
      </c>
      <c r="BQ106">
        <v>70</v>
      </c>
      <c r="BR106">
        <v>61</v>
      </c>
      <c r="BS106">
        <v>217</v>
      </c>
      <c r="BT106">
        <v>54</v>
      </c>
      <c r="BU106">
        <v>60</v>
      </c>
      <c r="BV106">
        <v>179</v>
      </c>
      <c r="BW106">
        <v>69</v>
      </c>
      <c r="BX106">
        <v>57</v>
      </c>
      <c r="BY106">
        <v>204</v>
      </c>
      <c r="BZ106">
        <v>80</v>
      </c>
      <c r="CA106">
        <v>60</v>
      </c>
      <c r="CB106">
        <v>208</v>
      </c>
      <c r="CC106">
        <v>80</v>
      </c>
      <c r="CD106">
        <v>56</v>
      </c>
      <c r="CE106">
        <v>178</v>
      </c>
      <c r="CF106">
        <v>82</v>
      </c>
      <c r="CG106">
        <v>56</v>
      </c>
      <c r="CH106">
        <v>224</v>
      </c>
      <c r="CI106">
        <v>74</v>
      </c>
      <c r="CJ106">
        <v>57</v>
      </c>
      <c r="CK106">
        <v>182</v>
      </c>
      <c r="CL106">
        <v>42</v>
      </c>
      <c r="CM106">
        <v>26</v>
      </c>
      <c r="CN106">
        <v>233</v>
      </c>
      <c r="CO106">
        <v>56</v>
      </c>
      <c r="CP106">
        <v>59</v>
      </c>
      <c r="CQ106">
        <v>96</v>
      </c>
      <c r="CR106">
        <v>90</v>
      </c>
      <c r="CS106">
        <v>64</v>
      </c>
      <c r="CT106">
        <v>141</v>
      </c>
      <c r="CU106">
        <v>88</v>
      </c>
      <c r="CV106">
        <v>50</v>
      </c>
      <c r="CW106">
        <v>205</v>
      </c>
      <c r="CX106">
        <v>76</v>
      </c>
      <c r="CY106">
        <v>63</v>
      </c>
      <c r="CZ106">
        <v>194</v>
      </c>
      <c r="DA106">
        <v>78</v>
      </c>
      <c r="DB106">
        <v>61</v>
      </c>
      <c r="DC106">
        <v>153</v>
      </c>
      <c r="DD106">
        <v>77</v>
      </c>
      <c r="DE106">
        <v>66</v>
      </c>
      <c r="DF106">
        <v>192</v>
      </c>
      <c r="DG106">
        <v>74</v>
      </c>
      <c r="DH106">
        <v>59</v>
      </c>
      <c r="DI106">
        <v>137</v>
      </c>
      <c r="DJ106">
        <v>86</v>
      </c>
      <c r="DK106">
        <v>61</v>
      </c>
      <c r="DL106">
        <v>214</v>
      </c>
      <c r="DM106">
        <v>65</v>
      </c>
      <c r="DN106">
        <v>56</v>
      </c>
      <c r="DO106">
        <v>187</v>
      </c>
      <c r="DP106">
        <v>87</v>
      </c>
      <c r="DQ106">
        <v>59</v>
      </c>
      <c r="DR106">
        <v>129</v>
      </c>
      <c r="DS106">
        <v>61</v>
      </c>
      <c r="DT106">
        <v>18</v>
      </c>
      <c r="DU106">
        <v>190</v>
      </c>
      <c r="DV106">
        <v>84</v>
      </c>
      <c r="DW106">
        <v>63</v>
      </c>
      <c r="DX106">
        <v>203</v>
      </c>
      <c r="DY106">
        <v>81</v>
      </c>
      <c r="DZ106">
        <v>65</v>
      </c>
    </row>
    <row r="107" spans="1:130">
      <c r="A107">
        <v>8</v>
      </c>
      <c r="B107" s="1332">
        <f t="shared" si="0"/>
        <v>19.7</v>
      </c>
      <c r="C107" s="1332">
        <f t="shared" si="1"/>
        <v>64</v>
      </c>
      <c r="D107" s="1332">
        <f t="shared" si="2"/>
        <v>81</v>
      </c>
      <c r="F107">
        <v>5096</v>
      </c>
      <c r="G107">
        <v>31</v>
      </c>
      <c r="H107">
        <v>1</v>
      </c>
      <c r="I107">
        <v>8</v>
      </c>
      <c r="J107">
        <v>8</v>
      </c>
      <c r="K107">
        <v>197</v>
      </c>
      <c r="L107">
        <v>64</v>
      </c>
      <c r="M107">
        <v>81</v>
      </c>
      <c r="N107">
        <v>244</v>
      </c>
      <c r="O107">
        <v>51</v>
      </c>
      <c r="P107">
        <v>82</v>
      </c>
      <c r="Q107">
        <v>217</v>
      </c>
      <c r="R107">
        <v>72</v>
      </c>
      <c r="S107">
        <v>76</v>
      </c>
      <c r="T107">
        <v>237</v>
      </c>
      <c r="U107">
        <v>68</v>
      </c>
      <c r="V107">
        <v>77</v>
      </c>
      <c r="W107">
        <v>225</v>
      </c>
      <c r="X107">
        <v>67</v>
      </c>
      <c r="Y107">
        <v>78</v>
      </c>
      <c r="Z107">
        <v>223</v>
      </c>
      <c r="AA107">
        <v>73</v>
      </c>
      <c r="AB107">
        <v>83</v>
      </c>
      <c r="AC107">
        <v>233</v>
      </c>
      <c r="AD107">
        <v>60</v>
      </c>
      <c r="AE107">
        <v>90</v>
      </c>
      <c r="AF107">
        <v>163</v>
      </c>
      <c r="AG107">
        <v>75</v>
      </c>
      <c r="AH107">
        <v>92</v>
      </c>
      <c r="AI107">
        <v>199</v>
      </c>
      <c r="AJ107">
        <v>66</v>
      </c>
      <c r="AK107">
        <v>79</v>
      </c>
      <c r="AL107">
        <v>209</v>
      </c>
      <c r="AM107">
        <v>61</v>
      </c>
      <c r="AN107">
        <v>90</v>
      </c>
      <c r="AO107">
        <v>237</v>
      </c>
      <c r="AP107">
        <v>62</v>
      </c>
      <c r="AQ107">
        <v>85</v>
      </c>
      <c r="AR107">
        <v>209</v>
      </c>
      <c r="AS107">
        <v>64</v>
      </c>
      <c r="AT107">
        <v>93</v>
      </c>
      <c r="AU107">
        <v>122</v>
      </c>
      <c r="AV107">
        <v>76</v>
      </c>
      <c r="AW107">
        <v>124</v>
      </c>
      <c r="AX107">
        <v>217</v>
      </c>
      <c r="AY107">
        <v>80</v>
      </c>
      <c r="AZ107">
        <v>78</v>
      </c>
      <c r="BA107">
        <v>181</v>
      </c>
      <c r="BB107">
        <v>77</v>
      </c>
      <c r="BC107">
        <v>78</v>
      </c>
      <c r="BD107">
        <v>241</v>
      </c>
      <c r="BE107">
        <v>62</v>
      </c>
      <c r="BF107">
        <v>72</v>
      </c>
      <c r="BG107">
        <v>226</v>
      </c>
      <c r="BH107">
        <v>65</v>
      </c>
      <c r="BI107">
        <v>71</v>
      </c>
      <c r="BJ107">
        <v>245</v>
      </c>
      <c r="BK107">
        <v>34</v>
      </c>
      <c r="BL107">
        <v>84</v>
      </c>
      <c r="BM107">
        <v>236</v>
      </c>
      <c r="BN107">
        <v>47</v>
      </c>
      <c r="BO107">
        <v>85</v>
      </c>
      <c r="BP107">
        <v>244</v>
      </c>
      <c r="BQ107">
        <v>65</v>
      </c>
      <c r="BR107">
        <v>81</v>
      </c>
      <c r="BS107">
        <v>242</v>
      </c>
      <c r="BT107">
        <v>47</v>
      </c>
      <c r="BU107">
        <v>87</v>
      </c>
      <c r="BV107">
        <v>192</v>
      </c>
      <c r="BW107">
        <v>65</v>
      </c>
      <c r="BX107">
        <v>76</v>
      </c>
      <c r="BY107">
        <v>230</v>
      </c>
      <c r="BZ107">
        <v>70</v>
      </c>
      <c r="CA107">
        <v>83</v>
      </c>
      <c r="CB107">
        <v>233</v>
      </c>
      <c r="CC107">
        <v>71</v>
      </c>
      <c r="CD107">
        <v>74</v>
      </c>
      <c r="CE107">
        <v>207</v>
      </c>
      <c r="CF107">
        <v>69</v>
      </c>
      <c r="CG107">
        <v>88</v>
      </c>
      <c r="CH107">
        <v>234</v>
      </c>
      <c r="CI107">
        <v>72</v>
      </c>
      <c r="CJ107">
        <v>72</v>
      </c>
      <c r="CK107">
        <v>198</v>
      </c>
      <c r="CL107">
        <v>40</v>
      </c>
      <c r="CM107">
        <v>94</v>
      </c>
      <c r="CN107">
        <v>254</v>
      </c>
      <c r="CO107">
        <v>55</v>
      </c>
      <c r="CP107">
        <v>80</v>
      </c>
      <c r="CQ107">
        <v>138</v>
      </c>
      <c r="CR107">
        <v>78</v>
      </c>
      <c r="CS107">
        <v>91</v>
      </c>
      <c r="CT107">
        <v>185</v>
      </c>
      <c r="CU107">
        <v>69</v>
      </c>
      <c r="CV107">
        <v>95</v>
      </c>
      <c r="CW107">
        <v>218</v>
      </c>
      <c r="CX107">
        <v>73</v>
      </c>
      <c r="CY107">
        <v>78</v>
      </c>
      <c r="CZ107">
        <v>218</v>
      </c>
      <c r="DA107">
        <v>68</v>
      </c>
      <c r="DB107">
        <v>79</v>
      </c>
      <c r="DC107">
        <v>177</v>
      </c>
      <c r="DD107">
        <v>70</v>
      </c>
      <c r="DE107">
        <v>86</v>
      </c>
      <c r="DF107">
        <v>213</v>
      </c>
      <c r="DG107">
        <v>63</v>
      </c>
      <c r="DH107">
        <v>81</v>
      </c>
      <c r="DI107">
        <v>181</v>
      </c>
      <c r="DJ107">
        <v>68</v>
      </c>
      <c r="DK107">
        <v>81</v>
      </c>
      <c r="DL107">
        <v>234</v>
      </c>
      <c r="DM107">
        <v>59</v>
      </c>
      <c r="DN107">
        <v>99</v>
      </c>
      <c r="DO107">
        <v>212</v>
      </c>
      <c r="DP107">
        <v>77</v>
      </c>
      <c r="DQ107">
        <v>76</v>
      </c>
      <c r="DR107">
        <v>172</v>
      </c>
      <c r="DS107">
        <v>51</v>
      </c>
      <c r="DT107">
        <v>88</v>
      </c>
      <c r="DU107">
        <v>221</v>
      </c>
      <c r="DV107">
        <v>72</v>
      </c>
      <c r="DW107">
        <v>81</v>
      </c>
      <c r="DX107">
        <v>219</v>
      </c>
      <c r="DY107">
        <v>75</v>
      </c>
      <c r="DZ107">
        <v>77</v>
      </c>
    </row>
    <row r="108" spans="1:130">
      <c r="A108">
        <v>9</v>
      </c>
      <c r="B108" s="1332">
        <f t="shared" si="0"/>
        <v>22.1</v>
      </c>
      <c r="C108" s="1332">
        <f t="shared" si="1"/>
        <v>50</v>
      </c>
      <c r="D108" s="1332">
        <f t="shared" si="2"/>
        <v>108</v>
      </c>
      <c r="F108">
        <v>5097</v>
      </c>
      <c r="G108">
        <v>31</v>
      </c>
      <c r="H108">
        <v>1</v>
      </c>
      <c r="I108">
        <v>9</v>
      </c>
      <c r="J108">
        <v>8</v>
      </c>
      <c r="K108">
        <v>221</v>
      </c>
      <c r="L108">
        <v>50</v>
      </c>
      <c r="M108">
        <v>108</v>
      </c>
      <c r="N108">
        <v>262</v>
      </c>
      <c r="O108">
        <v>51</v>
      </c>
      <c r="P108">
        <v>101</v>
      </c>
      <c r="Q108">
        <v>231</v>
      </c>
      <c r="R108">
        <v>66</v>
      </c>
      <c r="S108">
        <v>102</v>
      </c>
      <c r="T108">
        <v>261</v>
      </c>
      <c r="U108">
        <v>59</v>
      </c>
      <c r="V108">
        <v>101</v>
      </c>
      <c r="W108">
        <v>244</v>
      </c>
      <c r="X108">
        <v>59</v>
      </c>
      <c r="Y108">
        <v>101</v>
      </c>
      <c r="Z108">
        <v>246</v>
      </c>
      <c r="AA108">
        <v>64</v>
      </c>
      <c r="AB108">
        <v>100</v>
      </c>
      <c r="AC108">
        <v>252</v>
      </c>
      <c r="AD108">
        <v>53</v>
      </c>
      <c r="AE108">
        <v>113</v>
      </c>
      <c r="AF108">
        <v>187</v>
      </c>
      <c r="AG108">
        <v>67</v>
      </c>
      <c r="AH108">
        <v>102</v>
      </c>
      <c r="AI108">
        <v>223</v>
      </c>
      <c r="AJ108">
        <v>59</v>
      </c>
      <c r="AK108">
        <v>100</v>
      </c>
      <c r="AL108">
        <v>237</v>
      </c>
      <c r="AM108">
        <v>49</v>
      </c>
      <c r="AN108">
        <v>106</v>
      </c>
      <c r="AO108">
        <v>257</v>
      </c>
      <c r="AP108">
        <v>52</v>
      </c>
      <c r="AQ108">
        <v>105</v>
      </c>
      <c r="AR108">
        <v>235</v>
      </c>
      <c r="AS108">
        <v>53</v>
      </c>
      <c r="AT108">
        <v>105</v>
      </c>
      <c r="AU108">
        <v>144</v>
      </c>
      <c r="AV108">
        <v>60</v>
      </c>
      <c r="AW108">
        <v>163</v>
      </c>
      <c r="AX108">
        <v>234</v>
      </c>
      <c r="AY108">
        <v>74</v>
      </c>
      <c r="AZ108">
        <v>90</v>
      </c>
      <c r="BA108">
        <v>207</v>
      </c>
      <c r="BB108">
        <v>68</v>
      </c>
      <c r="BC108">
        <v>96</v>
      </c>
      <c r="BD108">
        <v>259</v>
      </c>
      <c r="BE108">
        <v>49</v>
      </c>
      <c r="BF108">
        <v>92</v>
      </c>
      <c r="BG108">
        <v>228</v>
      </c>
      <c r="BH108">
        <v>69</v>
      </c>
      <c r="BI108">
        <v>90</v>
      </c>
      <c r="BJ108">
        <v>260</v>
      </c>
      <c r="BK108">
        <v>33</v>
      </c>
      <c r="BL108">
        <v>105</v>
      </c>
      <c r="BM108">
        <v>246</v>
      </c>
      <c r="BN108">
        <v>46</v>
      </c>
      <c r="BO108">
        <v>105</v>
      </c>
      <c r="BP108">
        <v>263</v>
      </c>
      <c r="BQ108">
        <v>60</v>
      </c>
      <c r="BR108">
        <v>99</v>
      </c>
      <c r="BS108">
        <v>268</v>
      </c>
      <c r="BT108">
        <v>39</v>
      </c>
      <c r="BU108">
        <v>113</v>
      </c>
      <c r="BV108">
        <v>210</v>
      </c>
      <c r="BW108">
        <v>59</v>
      </c>
      <c r="BX108">
        <v>97</v>
      </c>
      <c r="BY108">
        <v>251</v>
      </c>
      <c r="BZ108">
        <v>62</v>
      </c>
      <c r="CA108">
        <v>100</v>
      </c>
      <c r="CB108">
        <v>255</v>
      </c>
      <c r="CC108">
        <v>63</v>
      </c>
      <c r="CD108">
        <v>95</v>
      </c>
      <c r="CE108">
        <v>232</v>
      </c>
      <c r="CF108">
        <v>60</v>
      </c>
      <c r="CG108">
        <v>103</v>
      </c>
      <c r="CH108">
        <v>238</v>
      </c>
      <c r="CI108">
        <v>68</v>
      </c>
      <c r="CJ108">
        <v>97</v>
      </c>
      <c r="CK108">
        <v>210</v>
      </c>
      <c r="CL108">
        <v>39</v>
      </c>
      <c r="CM108">
        <v>103</v>
      </c>
      <c r="CN108">
        <v>273</v>
      </c>
      <c r="CO108">
        <v>51</v>
      </c>
      <c r="CP108">
        <v>98</v>
      </c>
      <c r="CQ108">
        <v>175</v>
      </c>
      <c r="CR108">
        <v>67</v>
      </c>
      <c r="CS108">
        <v>97</v>
      </c>
      <c r="CT108">
        <v>198</v>
      </c>
      <c r="CU108">
        <v>57</v>
      </c>
      <c r="CV108">
        <v>101</v>
      </c>
      <c r="CW108">
        <v>229</v>
      </c>
      <c r="CX108">
        <v>72</v>
      </c>
      <c r="CY108">
        <v>102</v>
      </c>
      <c r="CZ108">
        <v>237</v>
      </c>
      <c r="DA108">
        <v>60</v>
      </c>
      <c r="DB108">
        <v>99</v>
      </c>
      <c r="DC108">
        <v>198</v>
      </c>
      <c r="DD108">
        <v>63</v>
      </c>
      <c r="DE108">
        <v>101</v>
      </c>
      <c r="DF108">
        <v>229</v>
      </c>
      <c r="DG108">
        <v>56</v>
      </c>
      <c r="DH108">
        <v>100</v>
      </c>
      <c r="DI108">
        <v>210</v>
      </c>
      <c r="DJ108">
        <v>57</v>
      </c>
      <c r="DK108">
        <v>102</v>
      </c>
      <c r="DL108">
        <v>256</v>
      </c>
      <c r="DM108">
        <v>53</v>
      </c>
      <c r="DN108">
        <v>104</v>
      </c>
      <c r="DO108">
        <v>237</v>
      </c>
      <c r="DP108">
        <v>68</v>
      </c>
      <c r="DQ108">
        <v>100</v>
      </c>
      <c r="DR108">
        <v>203</v>
      </c>
      <c r="DS108">
        <v>41</v>
      </c>
      <c r="DT108">
        <v>99</v>
      </c>
      <c r="DU108">
        <v>253</v>
      </c>
      <c r="DV108">
        <v>61</v>
      </c>
      <c r="DW108">
        <v>98</v>
      </c>
      <c r="DX108">
        <v>240</v>
      </c>
      <c r="DY108">
        <v>66</v>
      </c>
      <c r="DZ108">
        <v>97</v>
      </c>
    </row>
    <row r="109" spans="1:130">
      <c r="A109">
        <v>10</v>
      </c>
      <c r="B109" s="1332">
        <f t="shared" si="0"/>
        <v>23.2</v>
      </c>
      <c r="C109" s="1332">
        <f t="shared" si="1"/>
        <v>46</v>
      </c>
      <c r="D109" s="1332">
        <f t="shared" si="2"/>
        <v>122</v>
      </c>
      <c r="F109">
        <v>5098</v>
      </c>
      <c r="G109">
        <v>31</v>
      </c>
      <c r="H109">
        <v>1</v>
      </c>
      <c r="I109">
        <v>10</v>
      </c>
      <c r="J109">
        <v>8</v>
      </c>
      <c r="K109">
        <v>232</v>
      </c>
      <c r="L109">
        <v>46</v>
      </c>
      <c r="M109">
        <v>122</v>
      </c>
      <c r="N109">
        <v>280</v>
      </c>
      <c r="O109">
        <v>47</v>
      </c>
      <c r="P109">
        <v>118</v>
      </c>
      <c r="Q109">
        <v>283</v>
      </c>
      <c r="R109">
        <v>47</v>
      </c>
      <c r="S109">
        <v>122</v>
      </c>
      <c r="T109">
        <v>288</v>
      </c>
      <c r="U109">
        <v>50</v>
      </c>
      <c r="V109">
        <v>116</v>
      </c>
      <c r="W109">
        <v>269</v>
      </c>
      <c r="X109">
        <v>51</v>
      </c>
      <c r="Y109">
        <v>115</v>
      </c>
      <c r="Z109">
        <v>271</v>
      </c>
      <c r="AA109">
        <v>56</v>
      </c>
      <c r="AB109">
        <v>118</v>
      </c>
      <c r="AC109">
        <v>274</v>
      </c>
      <c r="AD109">
        <v>48</v>
      </c>
      <c r="AE109">
        <v>121</v>
      </c>
      <c r="AF109">
        <v>198</v>
      </c>
      <c r="AG109">
        <v>58</v>
      </c>
      <c r="AH109">
        <v>112</v>
      </c>
      <c r="AI109">
        <v>243</v>
      </c>
      <c r="AJ109">
        <v>50</v>
      </c>
      <c r="AK109">
        <v>116</v>
      </c>
      <c r="AL109">
        <v>259</v>
      </c>
      <c r="AM109">
        <v>41</v>
      </c>
      <c r="AN109">
        <v>122</v>
      </c>
      <c r="AO109">
        <v>276</v>
      </c>
      <c r="AP109">
        <v>48</v>
      </c>
      <c r="AQ109">
        <v>118</v>
      </c>
      <c r="AR109">
        <v>257</v>
      </c>
      <c r="AS109">
        <v>42</v>
      </c>
      <c r="AT109">
        <v>122</v>
      </c>
      <c r="AU109">
        <v>154</v>
      </c>
      <c r="AV109">
        <v>56</v>
      </c>
      <c r="AW109">
        <v>189</v>
      </c>
      <c r="AX109">
        <v>247</v>
      </c>
      <c r="AY109">
        <v>69</v>
      </c>
      <c r="AZ109">
        <v>103</v>
      </c>
      <c r="BA109">
        <v>226</v>
      </c>
      <c r="BB109">
        <v>58</v>
      </c>
      <c r="BC109">
        <v>114</v>
      </c>
      <c r="BD109">
        <v>268</v>
      </c>
      <c r="BE109">
        <v>43</v>
      </c>
      <c r="BF109">
        <v>108</v>
      </c>
      <c r="BG109">
        <v>237</v>
      </c>
      <c r="BH109">
        <v>68</v>
      </c>
      <c r="BI109">
        <v>115</v>
      </c>
      <c r="BJ109">
        <v>277</v>
      </c>
      <c r="BK109">
        <v>31</v>
      </c>
      <c r="BL109">
        <v>122</v>
      </c>
      <c r="BM109">
        <v>258</v>
      </c>
      <c r="BN109">
        <v>45</v>
      </c>
      <c r="BO109">
        <v>121</v>
      </c>
      <c r="BP109">
        <v>283</v>
      </c>
      <c r="BQ109">
        <v>52</v>
      </c>
      <c r="BR109">
        <v>118</v>
      </c>
      <c r="BS109">
        <v>290</v>
      </c>
      <c r="BT109">
        <v>31</v>
      </c>
      <c r="BU109">
        <v>127</v>
      </c>
      <c r="BV109">
        <v>221</v>
      </c>
      <c r="BW109">
        <v>55</v>
      </c>
      <c r="BX109">
        <v>108</v>
      </c>
      <c r="BY109">
        <v>267</v>
      </c>
      <c r="BZ109">
        <v>55</v>
      </c>
      <c r="CA109">
        <v>114</v>
      </c>
      <c r="CB109">
        <v>273</v>
      </c>
      <c r="CC109">
        <v>57</v>
      </c>
      <c r="CD109">
        <v>113</v>
      </c>
      <c r="CE109">
        <v>253</v>
      </c>
      <c r="CF109">
        <v>54</v>
      </c>
      <c r="CG109">
        <v>118</v>
      </c>
      <c r="CH109">
        <v>250</v>
      </c>
      <c r="CI109">
        <v>64</v>
      </c>
      <c r="CJ109">
        <v>110</v>
      </c>
      <c r="CK109">
        <v>221</v>
      </c>
      <c r="CL109">
        <v>37</v>
      </c>
      <c r="CM109">
        <v>120</v>
      </c>
      <c r="CN109">
        <v>291</v>
      </c>
      <c r="CO109">
        <v>43</v>
      </c>
      <c r="CP109">
        <v>116</v>
      </c>
      <c r="CQ109">
        <v>195</v>
      </c>
      <c r="CR109">
        <v>57</v>
      </c>
      <c r="CS109">
        <v>113</v>
      </c>
      <c r="CT109">
        <v>210</v>
      </c>
      <c r="CU109">
        <v>52</v>
      </c>
      <c r="CV109">
        <v>114</v>
      </c>
      <c r="CW109">
        <v>242</v>
      </c>
      <c r="CX109">
        <v>71</v>
      </c>
      <c r="CY109">
        <v>110</v>
      </c>
      <c r="CZ109">
        <v>257</v>
      </c>
      <c r="DA109">
        <v>54</v>
      </c>
      <c r="DB109">
        <v>115</v>
      </c>
      <c r="DC109">
        <v>220</v>
      </c>
      <c r="DD109">
        <v>51</v>
      </c>
      <c r="DE109">
        <v>113</v>
      </c>
      <c r="DF109">
        <v>254</v>
      </c>
      <c r="DG109">
        <v>52</v>
      </c>
      <c r="DH109">
        <v>119</v>
      </c>
      <c r="DI109">
        <v>234</v>
      </c>
      <c r="DJ109">
        <v>46</v>
      </c>
      <c r="DK109">
        <v>119</v>
      </c>
      <c r="DL109">
        <v>279</v>
      </c>
      <c r="DM109">
        <v>45</v>
      </c>
      <c r="DN109">
        <v>120</v>
      </c>
      <c r="DO109">
        <v>258</v>
      </c>
      <c r="DP109">
        <v>61</v>
      </c>
      <c r="DQ109">
        <v>116</v>
      </c>
      <c r="DR109">
        <v>218</v>
      </c>
      <c r="DS109">
        <v>37</v>
      </c>
      <c r="DT109">
        <v>116</v>
      </c>
      <c r="DU109">
        <v>269</v>
      </c>
      <c r="DV109">
        <v>53</v>
      </c>
      <c r="DW109">
        <v>114</v>
      </c>
      <c r="DX109">
        <v>250</v>
      </c>
      <c r="DY109">
        <v>63</v>
      </c>
      <c r="DZ109">
        <v>112</v>
      </c>
    </row>
    <row r="110" spans="1:130">
      <c r="A110">
        <v>11</v>
      </c>
      <c r="B110" s="1332">
        <f t="shared" si="0"/>
        <v>23.1</v>
      </c>
      <c r="C110" s="1332">
        <f t="shared" si="1"/>
        <v>53</v>
      </c>
      <c r="D110" s="1332">
        <f t="shared" si="2"/>
        <v>131</v>
      </c>
      <c r="F110">
        <v>5099</v>
      </c>
      <c r="G110">
        <v>31</v>
      </c>
      <c r="H110">
        <v>1</v>
      </c>
      <c r="I110">
        <v>11</v>
      </c>
      <c r="J110">
        <v>8</v>
      </c>
      <c r="K110">
        <v>231</v>
      </c>
      <c r="L110">
        <v>53</v>
      </c>
      <c r="M110">
        <v>131</v>
      </c>
      <c r="N110">
        <v>296</v>
      </c>
      <c r="O110">
        <v>40</v>
      </c>
      <c r="P110">
        <v>129</v>
      </c>
      <c r="Q110">
        <v>326</v>
      </c>
      <c r="R110">
        <v>28</v>
      </c>
      <c r="S110">
        <v>136</v>
      </c>
      <c r="T110">
        <v>302</v>
      </c>
      <c r="U110">
        <v>44</v>
      </c>
      <c r="V110">
        <v>128</v>
      </c>
      <c r="W110">
        <v>283</v>
      </c>
      <c r="X110">
        <v>48</v>
      </c>
      <c r="Y110">
        <v>122</v>
      </c>
      <c r="Z110">
        <v>288</v>
      </c>
      <c r="AA110">
        <v>49</v>
      </c>
      <c r="AB110">
        <v>129</v>
      </c>
      <c r="AC110">
        <v>296</v>
      </c>
      <c r="AD110">
        <v>43</v>
      </c>
      <c r="AE110">
        <v>126</v>
      </c>
      <c r="AF110">
        <v>210</v>
      </c>
      <c r="AG110">
        <v>49</v>
      </c>
      <c r="AH110">
        <v>123</v>
      </c>
      <c r="AI110">
        <v>270</v>
      </c>
      <c r="AJ110">
        <v>41</v>
      </c>
      <c r="AK110">
        <v>127</v>
      </c>
      <c r="AL110">
        <v>270</v>
      </c>
      <c r="AM110">
        <v>41</v>
      </c>
      <c r="AN110">
        <v>133</v>
      </c>
      <c r="AO110">
        <v>288</v>
      </c>
      <c r="AP110">
        <v>45</v>
      </c>
      <c r="AQ110">
        <v>125</v>
      </c>
      <c r="AR110">
        <v>271</v>
      </c>
      <c r="AS110">
        <v>36</v>
      </c>
      <c r="AT110">
        <v>135</v>
      </c>
      <c r="AU110">
        <v>164</v>
      </c>
      <c r="AV110">
        <v>53</v>
      </c>
      <c r="AW110">
        <v>208</v>
      </c>
      <c r="AX110">
        <v>261</v>
      </c>
      <c r="AY110">
        <v>62</v>
      </c>
      <c r="AZ110">
        <v>116</v>
      </c>
      <c r="BA110">
        <v>252</v>
      </c>
      <c r="BB110">
        <v>47</v>
      </c>
      <c r="BC110">
        <v>126</v>
      </c>
      <c r="BD110">
        <v>278</v>
      </c>
      <c r="BE110">
        <v>37</v>
      </c>
      <c r="BF110">
        <v>118</v>
      </c>
      <c r="BG110">
        <v>240</v>
      </c>
      <c r="BH110">
        <v>66</v>
      </c>
      <c r="BI110">
        <v>121</v>
      </c>
      <c r="BJ110">
        <v>294</v>
      </c>
      <c r="BK110">
        <v>27</v>
      </c>
      <c r="BL110">
        <v>135</v>
      </c>
      <c r="BM110">
        <v>294</v>
      </c>
      <c r="BN110">
        <v>29</v>
      </c>
      <c r="BO110">
        <v>125</v>
      </c>
      <c r="BP110">
        <v>301</v>
      </c>
      <c r="BQ110">
        <v>47</v>
      </c>
      <c r="BR110">
        <v>129</v>
      </c>
      <c r="BS110">
        <v>303</v>
      </c>
      <c r="BT110">
        <v>31</v>
      </c>
      <c r="BU110">
        <v>137</v>
      </c>
      <c r="BV110">
        <v>238</v>
      </c>
      <c r="BW110">
        <v>50</v>
      </c>
      <c r="BX110">
        <v>118</v>
      </c>
      <c r="BY110">
        <v>285</v>
      </c>
      <c r="BZ110">
        <v>53</v>
      </c>
      <c r="CA110">
        <v>126</v>
      </c>
      <c r="CB110">
        <v>293</v>
      </c>
      <c r="CC110">
        <v>51</v>
      </c>
      <c r="CD110">
        <v>125</v>
      </c>
      <c r="CE110">
        <v>268</v>
      </c>
      <c r="CF110">
        <v>45</v>
      </c>
      <c r="CG110">
        <v>126</v>
      </c>
      <c r="CH110">
        <v>262</v>
      </c>
      <c r="CI110">
        <v>59</v>
      </c>
      <c r="CJ110">
        <v>118</v>
      </c>
      <c r="CK110">
        <v>230</v>
      </c>
      <c r="CL110">
        <v>35</v>
      </c>
      <c r="CM110">
        <v>132</v>
      </c>
      <c r="CN110">
        <v>308</v>
      </c>
      <c r="CO110">
        <v>37</v>
      </c>
      <c r="CP110">
        <v>125</v>
      </c>
      <c r="CQ110">
        <v>216</v>
      </c>
      <c r="CR110">
        <v>40</v>
      </c>
      <c r="CS110">
        <v>126</v>
      </c>
      <c r="CT110">
        <v>222</v>
      </c>
      <c r="CU110">
        <v>49</v>
      </c>
      <c r="CV110">
        <v>125</v>
      </c>
      <c r="CW110">
        <v>250</v>
      </c>
      <c r="CX110">
        <v>74</v>
      </c>
      <c r="CY110">
        <v>119</v>
      </c>
      <c r="CZ110">
        <v>269</v>
      </c>
      <c r="DA110">
        <v>48</v>
      </c>
      <c r="DB110">
        <v>131</v>
      </c>
      <c r="DC110">
        <v>244</v>
      </c>
      <c r="DD110">
        <v>45</v>
      </c>
      <c r="DE110">
        <v>123</v>
      </c>
      <c r="DF110">
        <v>266</v>
      </c>
      <c r="DG110">
        <v>50</v>
      </c>
      <c r="DH110">
        <v>125</v>
      </c>
      <c r="DI110">
        <v>259</v>
      </c>
      <c r="DJ110">
        <v>38</v>
      </c>
      <c r="DK110">
        <v>124</v>
      </c>
      <c r="DL110">
        <v>303</v>
      </c>
      <c r="DM110">
        <v>38</v>
      </c>
      <c r="DN110">
        <v>129</v>
      </c>
      <c r="DO110">
        <v>273</v>
      </c>
      <c r="DP110">
        <v>56</v>
      </c>
      <c r="DQ110">
        <v>127</v>
      </c>
      <c r="DR110">
        <v>229</v>
      </c>
      <c r="DS110">
        <v>36</v>
      </c>
      <c r="DT110">
        <v>129</v>
      </c>
      <c r="DU110">
        <v>287</v>
      </c>
      <c r="DV110">
        <v>47</v>
      </c>
      <c r="DW110">
        <v>130</v>
      </c>
      <c r="DX110">
        <v>267</v>
      </c>
      <c r="DY110">
        <v>57</v>
      </c>
      <c r="DZ110">
        <v>117</v>
      </c>
    </row>
    <row r="111" spans="1:130">
      <c r="A111">
        <v>12</v>
      </c>
      <c r="B111" s="1332">
        <f t="shared" si="0"/>
        <v>24.3</v>
      </c>
      <c r="C111" s="1332">
        <f t="shared" si="1"/>
        <v>46</v>
      </c>
      <c r="D111" s="1332">
        <f t="shared" si="2"/>
        <v>149</v>
      </c>
      <c r="F111">
        <v>5100</v>
      </c>
      <c r="G111">
        <v>31</v>
      </c>
      <c r="H111">
        <v>1</v>
      </c>
      <c r="I111">
        <v>12</v>
      </c>
      <c r="J111">
        <v>8</v>
      </c>
      <c r="K111">
        <v>243</v>
      </c>
      <c r="L111">
        <v>46</v>
      </c>
      <c r="M111">
        <v>149</v>
      </c>
      <c r="N111">
        <v>309</v>
      </c>
      <c r="O111">
        <v>41</v>
      </c>
      <c r="P111">
        <v>143</v>
      </c>
      <c r="Q111">
        <v>330</v>
      </c>
      <c r="R111">
        <v>28</v>
      </c>
      <c r="S111">
        <v>152</v>
      </c>
      <c r="T111">
        <v>315</v>
      </c>
      <c r="U111">
        <v>38</v>
      </c>
      <c r="V111">
        <v>146</v>
      </c>
      <c r="W111">
        <v>302</v>
      </c>
      <c r="X111">
        <v>43</v>
      </c>
      <c r="Y111">
        <v>140</v>
      </c>
      <c r="Z111">
        <v>304</v>
      </c>
      <c r="AA111">
        <v>45</v>
      </c>
      <c r="AB111">
        <v>147</v>
      </c>
      <c r="AC111">
        <v>306</v>
      </c>
      <c r="AD111">
        <v>42</v>
      </c>
      <c r="AE111">
        <v>138</v>
      </c>
      <c r="AF111">
        <v>219</v>
      </c>
      <c r="AG111">
        <v>44</v>
      </c>
      <c r="AH111">
        <v>133</v>
      </c>
      <c r="AI111">
        <v>296</v>
      </c>
      <c r="AJ111">
        <v>31</v>
      </c>
      <c r="AK111">
        <v>137</v>
      </c>
      <c r="AL111">
        <v>277</v>
      </c>
      <c r="AM111">
        <v>40</v>
      </c>
      <c r="AN111">
        <v>146</v>
      </c>
      <c r="AO111">
        <v>298</v>
      </c>
      <c r="AP111">
        <v>43</v>
      </c>
      <c r="AQ111">
        <v>135</v>
      </c>
      <c r="AR111">
        <v>287</v>
      </c>
      <c r="AS111">
        <v>36</v>
      </c>
      <c r="AT111">
        <v>150</v>
      </c>
      <c r="AU111">
        <v>172</v>
      </c>
      <c r="AV111">
        <v>45</v>
      </c>
      <c r="AW111">
        <v>220</v>
      </c>
      <c r="AX111">
        <v>277</v>
      </c>
      <c r="AY111">
        <v>55</v>
      </c>
      <c r="AZ111">
        <v>138</v>
      </c>
      <c r="BA111">
        <v>267</v>
      </c>
      <c r="BB111">
        <v>45</v>
      </c>
      <c r="BC111">
        <v>140</v>
      </c>
      <c r="BD111">
        <v>286</v>
      </c>
      <c r="BE111">
        <v>36</v>
      </c>
      <c r="BF111">
        <v>128</v>
      </c>
      <c r="BG111">
        <v>242</v>
      </c>
      <c r="BH111">
        <v>66</v>
      </c>
      <c r="BI111">
        <v>123</v>
      </c>
      <c r="BJ111">
        <v>309</v>
      </c>
      <c r="BK111">
        <v>26</v>
      </c>
      <c r="BL111">
        <v>150</v>
      </c>
      <c r="BM111">
        <v>301</v>
      </c>
      <c r="BN111">
        <v>27</v>
      </c>
      <c r="BO111">
        <v>128</v>
      </c>
      <c r="BP111">
        <v>316</v>
      </c>
      <c r="BQ111">
        <v>44</v>
      </c>
      <c r="BR111">
        <v>147</v>
      </c>
      <c r="BS111">
        <v>311</v>
      </c>
      <c r="BT111">
        <v>27</v>
      </c>
      <c r="BU111">
        <v>154</v>
      </c>
      <c r="BV111">
        <v>254</v>
      </c>
      <c r="BW111">
        <v>47</v>
      </c>
      <c r="BX111">
        <v>127</v>
      </c>
      <c r="BY111">
        <v>294</v>
      </c>
      <c r="BZ111">
        <v>49</v>
      </c>
      <c r="CA111">
        <v>137</v>
      </c>
      <c r="CB111">
        <v>310</v>
      </c>
      <c r="CC111">
        <v>47</v>
      </c>
      <c r="CD111">
        <v>136</v>
      </c>
      <c r="CE111">
        <v>271</v>
      </c>
      <c r="CF111">
        <v>43</v>
      </c>
      <c r="CG111">
        <v>136</v>
      </c>
      <c r="CH111">
        <v>273</v>
      </c>
      <c r="CI111">
        <v>53</v>
      </c>
      <c r="CJ111">
        <v>131</v>
      </c>
      <c r="CK111">
        <v>240</v>
      </c>
      <c r="CL111">
        <v>35</v>
      </c>
      <c r="CM111">
        <v>145</v>
      </c>
      <c r="CN111">
        <v>313</v>
      </c>
      <c r="CO111">
        <v>32</v>
      </c>
      <c r="CP111">
        <v>146</v>
      </c>
      <c r="CQ111">
        <v>229</v>
      </c>
      <c r="CR111">
        <v>32</v>
      </c>
      <c r="CS111">
        <v>136</v>
      </c>
      <c r="CT111">
        <v>224</v>
      </c>
      <c r="CU111">
        <v>48</v>
      </c>
      <c r="CV111">
        <v>140</v>
      </c>
      <c r="CW111">
        <v>257</v>
      </c>
      <c r="CX111">
        <v>69</v>
      </c>
      <c r="CY111">
        <v>131</v>
      </c>
      <c r="CZ111">
        <v>281</v>
      </c>
      <c r="DA111">
        <v>47</v>
      </c>
      <c r="DB111">
        <v>144</v>
      </c>
      <c r="DC111">
        <v>258</v>
      </c>
      <c r="DD111">
        <v>38</v>
      </c>
      <c r="DE111">
        <v>135</v>
      </c>
      <c r="DF111">
        <v>283</v>
      </c>
      <c r="DG111">
        <v>49</v>
      </c>
      <c r="DH111">
        <v>152</v>
      </c>
      <c r="DI111">
        <v>272</v>
      </c>
      <c r="DJ111">
        <v>33</v>
      </c>
      <c r="DK111">
        <v>133</v>
      </c>
      <c r="DL111">
        <v>327</v>
      </c>
      <c r="DM111">
        <v>32</v>
      </c>
      <c r="DN111">
        <v>147</v>
      </c>
      <c r="DO111">
        <v>288</v>
      </c>
      <c r="DP111">
        <v>50</v>
      </c>
      <c r="DQ111">
        <v>143</v>
      </c>
      <c r="DR111">
        <v>244</v>
      </c>
      <c r="DS111">
        <v>29</v>
      </c>
      <c r="DT111">
        <v>139</v>
      </c>
      <c r="DU111">
        <v>302</v>
      </c>
      <c r="DV111">
        <v>42</v>
      </c>
      <c r="DW111">
        <v>145</v>
      </c>
      <c r="DX111">
        <v>282</v>
      </c>
      <c r="DY111">
        <v>54</v>
      </c>
      <c r="DZ111">
        <v>128</v>
      </c>
    </row>
    <row r="112" spans="1:130">
      <c r="A112">
        <v>13</v>
      </c>
      <c r="B112" s="1332">
        <f t="shared" si="0"/>
        <v>24.6</v>
      </c>
      <c r="C112" s="1332">
        <f t="shared" si="1"/>
        <v>48</v>
      </c>
      <c r="D112" s="1332">
        <f t="shared" si="2"/>
        <v>271</v>
      </c>
      <c r="F112">
        <v>5101</v>
      </c>
      <c r="G112">
        <v>31</v>
      </c>
      <c r="H112">
        <v>1</v>
      </c>
      <c r="I112">
        <v>13</v>
      </c>
      <c r="J112">
        <v>8</v>
      </c>
      <c r="K112">
        <v>246</v>
      </c>
      <c r="L112">
        <v>48</v>
      </c>
      <c r="M112">
        <v>271</v>
      </c>
      <c r="N112">
        <v>303</v>
      </c>
      <c r="O112">
        <v>48</v>
      </c>
      <c r="P112">
        <v>253</v>
      </c>
      <c r="Q112">
        <v>334</v>
      </c>
      <c r="R112">
        <v>27</v>
      </c>
      <c r="S112">
        <v>281</v>
      </c>
      <c r="T112">
        <v>326</v>
      </c>
      <c r="U112">
        <v>34</v>
      </c>
      <c r="V112">
        <v>261</v>
      </c>
      <c r="W112">
        <v>314</v>
      </c>
      <c r="X112">
        <v>37</v>
      </c>
      <c r="Y112">
        <v>262</v>
      </c>
      <c r="Z112">
        <v>318</v>
      </c>
      <c r="AA112">
        <v>39</v>
      </c>
      <c r="AB112">
        <v>269</v>
      </c>
      <c r="AC112">
        <v>315</v>
      </c>
      <c r="AD112">
        <v>41</v>
      </c>
      <c r="AE112">
        <v>290</v>
      </c>
      <c r="AF112">
        <v>226</v>
      </c>
      <c r="AG112">
        <v>43</v>
      </c>
      <c r="AH112">
        <v>300</v>
      </c>
      <c r="AI112">
        <v>297</v>
      </c>
      <c r="AJ112">
        <v>29</v>
      </c>
      <c r="AK112">
        <v>287</v>
      </c>
      <c r="AL112">
        <v>288</v>
      </c>
      <c r="AM112">
        <v>41</v>
      </c>
      <c r="AN112">
        <v>278</v>
      </c>
      <c r="AO112">
        <v>313</v>
      </c>
      <c r="AP112">
        <v>38</v>
      </c>
      <c r="AQ112">
        <v>242</v>
      </c>
      <c r="AR112">
        <v>310</v>
      </c>
      <c r="AS112">
        <v>30</v>
      </c>
      <c r="AT112">
        <v>288</v>
      </c>
      <c r="AU112">
        <v>180</v>
      </c>
      <c r="AV112">
        <v>39</v>
      </c>
      <c r="AW112">
        <v>354</v>
      </c>
      <c r="AX112">
        <v>293</v>
      </c>
      <c r="AY112">
        <v>47</v>
      </c>
      <c r="AZ112">
        <v>288</v>
      </c>
      <c r="BA112">
        <v>280</v>
      </c>
      <c r="BB112">
        <v>45</v>
      </c>
      <c r="BC112">
        <v>269</v>
      </c>
      <c r="BD112">
        <v>286</v>
      </c>
      <c r="BE112">
        <v>41</v>
      </c>
      <c r="BF112">
        <v>254</v>
      </c>
      <c r="BG112">
        <v>252</v>
      </c>
      <c r="BH112">
        <v>58</v>
      </c>
      <c r="BI112">
        <v>243</v>
      </c>
      <c r="BJ112">
        <v>309</v>
      </c>
      <c r="BK112">
        <v>25</v>
      </c>
      <c r="BL112">
        <v>282</v>
      </c>
      <c r="BM112">
        <v>311</v>
      </c>
      <c r="BN112">
        <v>27</v>
      </c>
      <c r="BO112">
        <v>282</v>
      </c>
      <c r="BP112">
        <v>327</v>
      </c>
      <c r="BQ112">
        <v>41</v>
      </c>
      <c r="BR112">
        <v>270</v>
      </c>
      <c r="BS112">
        <v>317</v>
      </c>
      <c r="BT112">
        <v>29</v>
      </c>
      <c r="BU112">
        <v>286</v>
      </c>
      <c r="BV112">
        <v>269</v>
      </c>
      <c r="BW112">
        <v>34</v>
      </c>
      <c r="BX112">
        <v>265</v>
      </c>
      <c r="BY112">
        <v>298</v>
      </c>
      <c r="BZ112">
        <v>44</v>
      </c>
      <c r="CA112">
        <v>253</v>
      </c>
      <c r="CB112">
        <v>323</v>
      </c>
      <c r="CC112">
        <v>39</v>
      </c>
      <c r="CD112">
        <v>253</v>
      </c>
      <c r="CE112">
        <v>279</v>
      </c>
      <c r="CF112">
        <v>42</v>
      </c>
      <c r="CG112">
        <v>291</v>
      </c>
      <c r="CH112">
        <v>288</v>
      </c>
      <c r="CI112">
        <v>46</v>
      </c>
      <c r="CJ112">
        <v>246</v>
      </c>
      <c r="CK112">
        <v>245</v>
      </c>
      <c r="CL112">
        <v>35</v>
      </c>
      <c r="CM112">
        <v>310</v>
      </c>
      <c r="CN112">
        <v>322</v>
      </c>
      <c r="CO112">
        <v>29</v>
      </c>
      <c r="CP112">
        <v>267</v>
      </c>
      <c r="CQ112">
        <v>240</v>
      </c>
      <c r="CR112">
        <v>31</v>
      </c>
      <c r="CS112">
        <v>298</v>
      </c>
      <c r="CT112">
        <v>227</v>
      </c>
      <c r="CU112">
        <v>48</v>
      </c>
      <c r="CV112">
        <v>294</v>
      </c>
      <c r="CW112">
        <v>267</v>
      </c>
      <c r="CX112">
        <v>61</v>
      </c>
      <c r="CY112">
        <v>278</v>
      </c>
      <c r="CZ112">
        <v>291</v>
      </c>
      <c r="DA112">
        <v>44</v>
      </c>
      <c r="DB112">
        <v>276</v>
      </c>
      <c r="DC112">
        <v>272</v>
      </c>
      <c r="DD112">
        <v>36</v>
      </c>
      <c r="DE112">
        <v>305</v>
      </c>
      <c r="DF112">
        <v>297</v>
      </c>
      <c r="DG112">
        <v>45</v>
      </c>
      <c r="DH112">
        <v>262</v>
      </c>
      <c r="DI112">
        <v>280</v>
      </c>
      <c r="DJ112">
        <v>33</v>
      </c>
      <c r="DK112">
        <v>276</v>
      </c>
      <c r="DL112">
        <v>337</v>
      </c>
      <c r="DM112">
        <v>28</v>
      </c>
      <c r="DN112">
        <v>290</v>
      </c>
      <c r="DO112">
        <v>303</v>
      </c>
      <c r="DP112">
        <v>45</v>
      </c>
      <c r="DQ112">
        <v>262</v>
      </c>
      <c r="DR112">
        <v>253</v>
      </c>
      <c r="DS112">
        <v>24</v>
      </c>
      <c r="DT112">
        <v>277</v>
      </c>
      <c r="DU112">
        <v>313</v>
      </c>
      <c r="DV112">
        <v>37</v>
      </c>
      <c r="DW112">
        <v>276</v>
      </c>
      <c r="DX112">
        <v>296</v>
      </c>
      <c r="DY112">
        <v>50</v>
      </c>
      <c r="DZ112">
        <v>267</v>
      </c>
    </row>
    <row r="113" spans="1:130">
      <c r="A113">
        <v>14</v>
      </c>
      <c r="B113" s="1332">
        <f t="shared" si="0"/>
        <v>24</v>
      </c>
      <c r="C113" s="1332">
        <f t="shared" si="1"/>
        <v>49</v>
      </c>
      <c r="D113" s="1332">
        <f t="shared" si="2"/>
        <v>488</v>
      </c>
      <c r="F113">
        <v>5102</v>
      </c>
      <c r="G113">
        <v>31</v>
      </c>
      <c r="H113">
        <v>1</v>
      </c>
      <c r="I113">
        <v>14</v>
      </c>
      <c r="J113">
        <v>8</v>
      </c>
      <c r="K113">
        <v>240</v>
      </c>
      <c r="L113">
        <v>49</v>
      </c>
      <c r="M113">
        <v>488</v>
      </c>
      <c r="N113">
        <v>311</v>
      </c>
      <c r="O113">
        <v>45</v>
      </c>
      <c r="P113">
        <v>436</v>
      </c>
      <c r="Q113">
        <v>337</v>
      </c>
      <c r="R113">
        <v>27</v>
      </c>
      <c r="S113">
        <v>447</v>
      </c>
      <c r="T113">
        <v>337</v>
      </c>
      <c r="U113">
        <v>27</v>
      </c>
      <c r="V113">
        <v>454</v>
      </c>
      <c r="W113">
        <v>314</v>
      </c>
      <c r="X113">
        <v>35</v>
      </c>
      <c r="Y113">
        <v>447</v>
      </c>
      <c r="Z113">
        <v>328</v>
      </c>
      <c r="AA113">
        <v>35</v>
      </c>
      <c r="AB113">
        <v>447</v>
      </c>
      <c r="AC113">
        <v>320</v>
      </c>
      <c r="AD113">
        <v>39</v>
      </c>
      <c r="AE113">
        <v>475</v>
      </c>
      <c r="AF113">
        <v>230</v>
      </c>
      <c r="AG113">
        <v>45</v>
      </c>
      <c r="AH113">
        <v>506</v>
      </c>
      <c r="AI113">
        <v>301</v>
      </c>
      <c r="AJ113">
        <v>28</v>
      </c>
      <c r="AK113">
        <v>493</v>
      </c>
      <c r="AL113">
        <v>295</v>
      </c>
      <c r="AM113">
        <v>38</v>
      </c>
      <c r="AN113">
        <v>477</v>
      </c>
      <c r="AO113">
        <v>330</v>
      </c>
      <c r="AP113">
        <v>29</v>
      </c>
      <c r="AQ113">
        <v>439</v>
      </c>
      <c r="AR113">
        <v>329</v>
      </c>
      <c r="AS113">
        <v>20</v>
      </c>
      <c r="AT113">
        <v>463</v>
      </c>
      <c r="AU113">
        <v>175</v>
      </c>
      <c r="AV113">
        <v>56</v>
      </c>
      <c r="AW113">
        <v>576</v>
      </c>
      <c r="AX113">
        <v>302</v>
      </c>
      <c r="AY113">
        <v>45</v>
      </c>
      <c r="AZ113">
        <v>460</v>
      </c>
      <c r="BA113">
        <v>291</v>
      </c>
      <c r="BB113">
        <v>44</v>
      </c>
      <c r="BC113">
        <v>452</v>
      </c>
      <c r="BD113">
        <v>289</v>
      </c>
      <c r="BE113">
        <v>41</v>
      </c>
      <c r="BF113">
        <v>441</v>
      </c>
      <c r="BG113">
        <v>262</v>
      </c>
      <c r="BH113">
        <v>44</v>
      </c>
      <c r="BI113">
        <v>456</v>
      </c>
      <c r="BJ113">
        <v>312</v>
      </c>
      <c r="BK113">
        <v>25</v>
      </c>
      <c r="BL113">
        <v>461</v>
      </c>
      <c r="BM113">
        <v>317</v>
      </c>
      <c r="BN113">
        <v>27</v>
      </c>
      <c r="BO113">
        <v>490</v>
      </c>
      <c r="BP113">
        <v>332</v>
      </c>
      <c r="BQ113">
        <v>37</v>
      </c>
      <c r="BR113">
        <v>450</v>
      </c>
      <c r="BS113">
        <v>320</v>
      </c>
      <c r="BT113">
        <v>28</v>
      </c>
      <c r="BU113">
        <v>453</v>
      </c>
      <c r="BV113">
        <v>277</v>
      </c>
      <c r="BW113">
        <v>36</v>
      </c>
      <c r="BX113">
        <v>499</v>
      </c>
      <c r="BY113">
        <v>300</v>
      </c>
      <c r="BZ113">
        <v>43</v>
      </c>
      <c r="CA113">
        <v>433</v>
      </c>
      <c r="CB113">
        <v>329</v>
      </c>
      <c r="CC113">
        <v>37</v>
      </c>
      <c r="CD113">
        <v>438</v>
      </c>
      <c r="CE113">
        <v>287</v>
      </c>
      <c r="CF113">
        <v>42</v>
      </c>
      <c r="CG113">
        <v>415</v>
      </c>
      <c r="CH113">
        <v>303</v>
      </c>
      <c r="CI113">
        <v>40</v>
      </c>
      <c r="CJ113">
        <v>445</v>
      </c>
      <c r="CK113">
        <v>240</v>
      </c>
      <c r="CL113">
        <v>35</v>
      </c>
      <c r="CM113">
        <v>442</v>
      </c>
      <c r="CN113">
        <v>329</v>
      </c>
      <c r="CO113">
        <v>26</v>
      </c>
      <c r="CP113">
        <v>456</v>
      </c>
      <c r="CQ113">
        <v>246</v>
      </c>
      <c r="CR113">
        <v>30</v>
      </c>
      <c r="CS113">
        <v>503</v>
      </c>
      <c r="CT113">
        <v>235</v>
      </c>
      <c r="CU113">
        <v>46</v>
      </c>
      <c r="CV113">
        <v>496</v>
      </c>
      <c r="CW113">
        <v>272</v>
      </c>
      <c r="CX113">
        <v>53</v>
      </c>
      <c r="CY113">
        <v>476</v>
      </c>
      <c r="CZ113">
        <v>301</v>
      </c>
      <c r="DA113">
        <v>38</v>
      </c>
      <c r="DB113">
        <v>460</v>
      </c>
      <c r="DC113">
        <v>282</v>
      </c>
      <c r="DD113">
        <v>32</v>
      </c>
      <c r="DE113">
        <v>516</v>
      </c>
      <c r="DF113">
        <v>308</v>
      </c>
      <c r="DG113">
        <v>42</v>
      </c>
      <c r="DH113">
        <v>454</v>
      </c>
      <c r="DI113">
        <v>284</v>
      </c>
      <c r="DJ113">
        <v>33</v>
      </c>
      <c r="DK113">
        <v>487</v>
      </c>
      <c r="DL113">
        <v>340</v>
      </c>
      <c r="DM113">
        <v>28</v>
      </c>
      <c r="DN113">
        <v>477</v>
      </c>
      <c r="DO113">
        <v>315</v>
      </c>
      <c r="DP113">
        <v>39</v>
      </c>
      <c r="DQ113">
        <v>450</v>
      </c>
      <c r="DR113">
        <v>257</v>
      </c>
      <c r="DS113">
        <v>23</v>
      </c>
      <c r="DT113">
        <v>496</v>
      </c>
      <c r="DU113">
        <v>321</v>
      </c>
      <c r="DV113">
        <v>34</v>
      </c>
      <c r="DW113">
        <v>456</v>
      </c>
      <c r="DX113">
        <v>305</v>
      </c>
      <c r="DY113">
        <v>47</v>
      </c>
      <c r="DZ113">
        <v>456</v>
      </c>
    </row>
    <row r="114" spans="1:130">
      <c r="A114">
        <v>15</v>
      </c>
      <c r="B114" s="1332">
        <f t="shared" si="0"/>
        <v>24.4</v>
      </c>
      <c r="C114" s="1332">
        <f t="shared" si="1"/>
        <v>47</v>
      </c>
      <c r="D114" s="1332">
        <f t="shared" si="2"/>
        <v>578</v>
      </c>
      <c r="F114">
        <v>5103</v>
      </c>
      <c r="G114">
        <v>31</v>
      </c>
      <c r="H114">
        <v>1</v>
      </c>
      <c r="I114">
        <v>15</v>
      </c>
      <c r="J114">
        <v>8</v>
      </c>
      <c r="K114">
        <v>244</v>
      </c>
      <c r="L114">
        <v>47</v>
      </c>
      <c r="M114">
        <v>578</v>
      </c>
      <c r="N114">
        <v>319</v>
      </c>
      <c r="O114">
        <v>45</v>
      </c>
      <c r="P114">
        <v>587</v>
      </c>
      <c r="Q114">
        <v>334</v>
      </c>
      <c r="R114">
        <v>28</v>
      </c>
      <c r="S114">
        <v>441</v>
      </c>
      <c r="T114">
        <v>341</v>
      </c>
      <c r="U114">
        <v>26</v>
      </c>
      <c r="V114">
        <v>616</v>
      </c>
      <c r="W114">
        <v>322</v>
      </c>
      <c r="X114">
        <v>30</v>
      </c>
      <c r="Y114">
        <v>606</v>
      </c>
      <c r="Z114">
        <v>336</v>
      </c>
      <c r="AA114">
        <v>34</v>
      </c>
      <c r="AB114">
        <v>570</v>
      </c>
      <c r="AC114">
        <v>324</v>
      </c>
      <c r="AD114">
        <v>36</v>
      </c>
      <c r="AE114">
        <v>605</v>
      </c>
      <c r="AF114">
        <v>230</v>
      </c>
      <c r="AG114">
        <v>48</v>
      </c>
      <c r="AH114">
        <v>597</v>
      </c>
      <c r="AI114">
        <v>298</v>
      </c>
      <c r="AJ114">
        <v>28</v>
      </c>
      <c r="AK114">
        <v>629</v>
      </c>
      <c r="AL114">
        <v>299</v>
      </c>
      <c r="AM114">
        <v>33</v>
      </c>
      <c r="AN114">
        <v>612</v>
      </c>
      <c r="AO114">
        <v>340</v>
      </c>
      <c r="AP114">
        <v>24</v>
      </c>
      <c r="AQ114">
        <v>604</v>
      </c>
      <c r="AR114">
        <v>328</v>
      </c>
      <c r="AS114">
        <v>20</v>
      </c>
      <c r="AT114">
        <v>583</v>
      </c>
      <c r="AU114">
        <v>170</v>
      </c>
      <c r="AV114">
        <v>62</v>
      </c>
      <c r="AW114">
        <v>748</v>
      </c>
      <c r="AX114">
        <v>309</v>
      </c>
      <c r="AY114">
        <v>43</v>
      </c>
      <c r="AZ114">
        <v>612</v>
      </c>
      <c r="BA114">
        <v>295</v>
      </c>
      <c r="BB114">
        <v>43</v>
      </c>
      <c r="BC114">
        <v>596</v>
      </c>
      <c r="BD114">
        <v>291</v>
      </c>
      <c r="BE114">
        <v>39</v>
      </c>
      <c r="BF114">
        <v>585</v>
      </c>
      <c r="BG114">
        <v>263</v>
      </c>
      <c r="BH114">
        <v>38</v>
      </c>
      <c r="BI114">
        <v>624</v>
      </c>
      <c r="BJ114">
        <v>314</v>
      </c>
      <c r="BK114">
        <v>26</v>
      </c>
      <c r="BL114">
        <v>608</v>
      </c>
      <c r="BM114">
        <v>319</v>
      </c>
      <c r="BN114">
        <v>26</v>
      </c>
      <c r="BO114">
        <v>667</v>
      </c>
      <c r="BP114">
        <v>338</v>
      </c>
      <c r="BQ114">
        <v>33</v>
      </c>
      <c r="BR114">
        <v>580</v>
      </c>
      <c r="BS114">
        <v>322</v>
      </c>
      <c r="BT114">
        <v>28</v>
      </c>
      <c r="BU114">
        <v>616</v>
      </c>
      <c r="BV114">
        <v>274</v>
      </c>
      <c r="BW114">
        <v>37</v>
      </c>
      <c r="BX114">
        <v>678</v>
      </c>
      <c r="BY114">
        <v>303</v>
      </c>
      <c r="BZ114">
        <v>41</v>
      </c>
      <c r="CA114">
        <v>568</v>
      </c>
      <c r="CB114">
        <v>333</v>
      </c>
      <c r="CC114">
        <v>33</v>
      </c>
      <c r="CD114">
        <v>600</v>
      </c>
      <c r="CE114">
        <v>289</v>
      </c>
      <c r="CF114">
        <v>42</v>
      </c>
      <c r="CG114">
        <v>654</v>
      </c>
      <c r="CH114">
        <v>309</v>
      </c>
      <c r="CI114">
        <v>34</v>
      </c>
      <c r="CJ114">
        <v>607</v>
      </c>
      <c r="CK114">
        <v>242</v>
      </c>
      <c r="CL114">
        <v>36</v>
      </c>
      <c r="CM114">
        <v>665</v>
      </c>
      <c r="CN114">
        <v>332</v>
      </c>
      <c r="CO114">
        <v>25</v>
      </c>
      <c r="CP114">
        <v>603</v>
      </c>
      <c r="CQ114">
        <v>244</v>
      </c>
      <c r="CR114">
        <v>32</v>
      </c>
      <c r="CS114">
        <v>681</v>
      </c>
      <c r="CT114">
        <v>236</v>
      </c>
      <c r="CU114">
        <v>47</v>
      </c>
      <c r="CV114">
        <v>663</v>
      </c>
      <c r="CW114">
        <v>279</v>
      </c>
      <c r="CX114">
        <v>43</v>
      </c>
      <c r="CY114">
        <v>628</v>
      </c>
      <c r="CZ114">
        <v>306</v>
      </c>
      <c r="DA114">
        <v>36</v>
      </c>
      <c r="DB114">
        <v>557</v>
      </c>
      <c r="DC114">
        <v>282</v>
      </c>
      <c r="DD114">
        <v>31</v>
      </c>
      <c r="DE114">
        <v>667</v>
      </c>
      <c r="DF114">
        <v>311</v>
      </c>
      <c r="DG114">
        <v>41</v>
      </c>
      <c r="DH114">
        <v>606</v>
      </c>
      <c r="DI114">
        <v>280</v>
      </c>
      <c r="DJ114">
        <v>35</v>
      </c>
      <c r="DK114">
        <v>646</v>
      </c>
      <c r="DL114">
        <v>339</v>
      </c>
      <c r="DM114">
        <v>28</v>
      </c>
      <c r="DN114">
        <v>617</v>
      </c>
      <c r="DO114">
        <v>324</v>
      </c>
      <c r="DP114">
        <v>36</v>
      </c>
      <c r="DQ114">
        <v>600</v>
      </c>
      <c r="DR114">
        <v>251</v>
      </c>
      <c r="DS114">
        <v>28</v>
      </c>
      <c r="DT114">
        <v>548</v>
      </c>
      <c r="DU114">
        <v>328</v>
      </c>
      <c r="DV114">
        <v>30</v>
      </c>
      <c r="DW114">
        <v>600</v>
      </c>
      <c r="DX114">
        <v>314</v>
      </c>
      <c r="DY114">
        <v>42</v>
      </c>
      <c r="DZ114">
        <v>602</v>
      </c>
    </row>
    <row r="115" spans="1:130">
      <c r="A115">
        <v>16</v>
      </c>
      <c r="B115" s="1332">
        <f t="shared" si="0"/>
        <v>23.8</v>
      </c>
      <c r="C115" s="1332">
        <f t="shared" si="1"/>
        <v>52</v>
      </c>
      <c r="D115" s="1332">
        <f t="shared" si="2"/>
        <v>601</v>
      </c>
      <c r="F115">
        <v>5104</v>
      </c>
      <c r="G115">
        <v>31</v>
      </c>
      <c r="H115">
        <v>1</v>
      </c>
      <c r="I115">
        <v>16</v>
      </c>
      <c r="J115">
        <v>8</v>
      </c>
      <c r="K115">
        <v>238</v>
      </c>
      <c r="L115">
        <v>52</v>
      </c>
      <c r="M115">
        <v>601</v>
      </c>
      <c r="N115">
        <v>324</v>
      </c>
      <c r="O115">
        <v>43</v>
      </c>
      <c r="P115">
        <v>739</v>
      </c>
      <c r="Q115">
        <v>330</v>
      </c>
      <c r="R115">
        <v>28</v>
      </c>
      <c r="S115">
        <v>563</v>
      </c>
      <c r="T115">
        <v>343</v>
      </c>
      <c r="U115">
        <v>25</v>
      </c>
      <c r="V115">
        <v>739</v>
      </c>
      <c r="W115">
        <v>327</v>
      </c>
      <c r="X115">
        <v>25</v>
      </c>
      <c r="Y115">
        <v>678</v>
      </c>
      <c r="Z115">
        <v>336</v>
      </c>
      <c r="AA115">
        <v>32</v>
      </c>
      <c r="AB115">
        <v>608</v>
      </c>
      <c r="AC115">
        <v>321</v>
      </c>
      <c r="AD115">
        <v>38</v>
      </c>
      <c r="AE115">
        <v>565</v>
      </c>
      <c r="AF115">
        <v>228</v>
      </c>
      <c r="AG115">
        <v>48</v>
      </c>
      <c r="AH115">
        <v>651</v>
      </c>
      <c r="AI115">
        <v>291</v>
      </c>
      <c r="AJ115">
        <v>28</v>
      </c>
      <c r="AK115">
        <v>672</v>
      </c>
      <c r="AL115">
        <v>297</v>
      </c>
      <c r="AM115">
        <v>30</v>
      </c>
      <c r="AN115">
        <v>732</v>
      </c>
      <c r="AO115">
        <v>339</v>
      </c>
      <c r="AP115">
        <v>26</v>
      </c>
      <c r="AQ115">
        <v>691</v>
      </c>
      <c r="AR115">
        <v>321</v>
      </c>
      <c r="AS115">
        <v>20</v>
      </c>
      <c r="AT115">
        <v>641</v>
      </c>
      <c r="AU115">
        <v>162</v>
      </c>
      <c r="AV115">
        <v>67</v>
      </c>
      <c r="AW115">
        <v>860</v>
      </c>
      <c r="AX115">
        <v>313</v>
      </c>
      <c r="AY115">
        <v>44</v>
      </c>
      <c r="AZ115">
        <v>683</v>
      </c>
      <c r="BA115">
        <v>301</v>
      </c>
      <c r="BB115">
        <v>42</v>
      </c>
      <c r="BC115">
        <v>654</v>
      </c>
      <c r="BD115">
        <v>293</v>
      </c>
      <c r="BE115">
        <v>37</v>
      </c>
      <c r="BF115">
        <v>655</v>
      </c>
      <c r="BG115">
        <v>264</v>
      </c>
      <c r="BH115">
        <v>39</v>
      </c>
      <c r="BI115">
        <v>730</v>
      </c>
      <c r="BJ115">
        <v>312</v>
      </c>
      <c r="BK115">
        <v>27</v>
      </c>
      <c r="BL115">
        <v>676</v>
      </c>
      <c r="BM115">
        <v>314</v>
      </c>
      <c r="BN115">
        <v>28</v>
      </c>
      <c r="BO115">
        <v>764</v>
      </c>
      <c r="BP115">
        <v>337</v>
      </c>
      <c r="BQ115">
        <v>34</v>
      </c>
      <c r="BR115">
        <v>700</v>
      </c>
      <c r="BS115">
        <v>319</v>
      </c>
      <c r="BT115">
        <v>30</v>
      </c>
      <c r="BU115">
        <v>700</v>
      </c>
      <c r="BV115">
        <v>272</v>
      </c>
      <c r="BW115">
        <v>40</v>
      </c>
      <c r="BX115">
        <v>736</v>
      </c>
      <c r="BY115">
        <v>302</v>
      </c>
      <c r="BZ115">
        <v>41</v>
      </c>
      <c r="CA115">
        <v>621</v>
      </c>
      <c r="CB115">
        <v>334</v>
      </c>
      <c r="CC115">
        <v>31</v>
      </c>
      <c r="CD115">
        <v>700</v>
      </c>
      <c r="CE115">
        <v>283</v>
      </c>
      <c r="CF115">
        <v>42</v>
      </c>
      <c r="CG115">
        <v>778</v>
      </c>
      <c r="CH115">
        <v>313</v>
      </c>
      <c r="CI115">
        <v>32</v>
      </c>
      <c r="CJ115">
        <v>704</v>
      </c>
      <c r="CK115">
        <v>234</v>
      </c>
      <c r="CL115">
        <v>36</v>
      </c>
      <c r="CM115">
        <v>427</v>
      </c>
      <c r="CN115">
        <v>332</v>
      </c>
      <c r="CO115">
        <v>25</v>
      </c>
      <c r="CP115">
        <v>664</v>
      </c>
      <c r="CQ115">
        <v>239</v>
      </c>
      <c r="CR115">
        <v>35</v>
      </c>
      <c r="CS115">
        <v>787</v>
      </c>
      <c r="CT115">
        <v>236</v>
      </c>
      <c r="CU115">
        <v>48</v>
      </c>
      <c r="CV115">
        <v>727</v>
      </c>
      <c r="CW115">
        <v>283</v>
      </c>
      <c r="CX115">
        <v>36</v>
      </c>
      <c r="CY115">
        <v>721</v>
      </c>
      <c r="CZ115">
        <v>301</v>
      </c>
      <c r="DA115">
        <v>39</v>
      </c>
      <c r="DB115">
        <v>671</v>
      </c>
      <c r="DC115">
        <v>276</v>
      </c>
      <c r="DD115">
        <v>34</v>
      </c>
      <c r="DE115">
        <v>751</v>
      </c>
      <c r="DF115">
        <v>310</v>
      </c>
      <c r="DG115">
        <v>42</v>
      </c>
      <c r="DH115">
        <v>682</v>
      </c>
      <c r="DI115">
        <v>273</v>
      </c>
      <c r="DJ115">
        <v>36</v>
      </c>
      <c r="DK115">
        <v>719</v>
      </c>
      <c r="DL115">
        <v>331</v>
      </c>
      <c r="DM115">
        <v>29</v>
      </c>
      <c r="DN115">
        <v>660</v>
      </c>
      <c r="DO115">
        <v>324</v>
      </c>
      <c r="DP115">
        <v>34</v>
      </c>
      <c r="DQ115">
        <v>667</v>
      </c>
      <c r="DR115">
        <v>240</v>
      </c>
      <c r="DS115">
        <v>31</v>
      </c>
      <c r="DT115">
        <v>436</v>
      </c>
      <c r="DU115">
        <v>329</v>
      </c>
      <c r="DV115">
        <v>28</v>
      </c>
      <c r="DW115">
        <v>665</v>
      </c>
      <c r="DX115">
        <v>319</v>
      </c>
      <c r="DY115">
        <v>34</v>
      </c>
      <c r="DZ115">
        <v>680</v>
      </c>
    </row>
    <row r="116" spans="1:130">
      <c r="A116">
        <v>17</v>
      </c>
      <c r="B116" s="1332">
        <f t="shared" si="0"/>
        <v>23.2</v>
      </c>
      <c r="C116" s="1332">
        <f t="shared" si="1"/>
        <v>58</v>
      </c>
      <c r="D116" s="1332">
        <f t="shared" si="2"/>
        <v>434</v>
      </c>
      <c r="F116">
        <v>5105</v>
      </c>
      <c r="G116">
        <v>31</v>
      </c>
      <c r="H116">
        <v>1</v>
      </c>
      <c r="I116">
        <v>17</v>
      </c>
      <c r="J116">
        <v>8</v>
      </c>
      <c r="K116">
        <v>232</v>
      </c>
      <c r="L116">
        <v>58</v>
      </c>
      <c r="M116">
        <v>434</v>
      </c>
      <c r="N116">
        <v>316</v>
      </c>
      <c r="O116">
        <v>48</v>
      </c>
      <c r="P116">
        <v>657</v>
      </c>
      <c r="Q116">
        <v>316</v>
      </c>
      <c r="R116">
        <v>30</v>
      </c>
      <c r="S116">
        <v>395</v>
      </c>
      <c r="T116">
        <v>338</v>
      </c>
      <c r="U116">
        <v>28</v>
      </c>
      <c r="V116">
        <v>777</v>
      </c>
      <c r="W116">
        <v>325</v>
      </c>
      <c r="X116">
        <v>26</v>
      </c>
      <c r="Y116">
        <v>548</v>
      </c>
      <c r="Z116">
        <v>335</v>
      </c>
      <c r="AA116">
        <v>29</v>
      </c>
      <c r="AB116">
        <v>596</v>
      </c>
      <c r="AC116">
        <v>314</v>
      </c>
      <c r="AD116">
        <v>40</v>
      </c>
      <c r="AE116">
        <v>464</v>
      </c>
      <c r="AF116">
        <v>218</v>
      </c>
      <c r="AG116">
        <v>57</v>
      </c>
      <c r="AH116">
        <v>606</v>
      </c>
      <c r="AI116">
        <v>275</v>
      </c>
      <c r="AJ116">
        <v>34</v>
      </c>
      <c r="AK116">
        <v>491</v>
      </c>
      <c r="AL116">
        <v>288</v>
      </c>
      <c r="AM116">
        <v>30</v>
      </c>
      <c r="AN116">
        <v>643</v>
      </c>
      <c r="AO116">
        <v>337</v>
      </c>
      <c r="AP116">
        <v>25</v>
      </c>
      <c r="AQ116">
        <v>674</v>
      </c>
      <c r="AR116">
        <v>313</v>
      </c>
      <c r="AS116">
        <v>20</v>
      </c>
      <c r="AT116">
        <v>570</v>
      </c>
      <c r="AU116">
        <v>157</v>
      </c>
      <c r="AV116">
        <v>69</v>
      </c>
      <c r="AW116">
        <v>863</v>
      </c>
      <c r="AX116">
        <v>311</v>
      </c>
      <c r="AY116">
        <v>42</v>
      </c>
      <c r="AZ116">
        <v>658</v>
      </c>
      <c r="BA116">
        <v>297</v>
      </c>
      <c r="BB116">
        <v>43</v>
      </c>
      <c r="BC116">
        <v>591</v>
      </c>
      <c r="BD116">
        <v>290</v>
      </c>
      <c r="BE116">
        <v>38</v>
      </c>
      <c r="BF116">
        <v>671</v>
      </c>
      <c r="BG116">
        <v>261</v>
      </c>
      <c r="BH116">
        <v>40</v>
      </c>
      <c r="BI116">
        <v>723</v>
      </c>
      <c r="BJ116">
        <v>306</v>
      </c>
      <c r="BK116">
        <v>26</v>
      </c>
      <c r="BL116">
        <v>579</v>
      </c>
      <c r="BM116">
        <v>303</v>
      </c>
      <c r="BN116">
        <v>29</v>
      </c>
      <c r="BO116">
        <v>696</v>
      </c>
      <c r="BP116">
        <v>325</v>
      </c>
      <c r="BQ116">
        <v>38</v>
      </c>
      <c r="BR116">
        <v>536</v>
      </c>
      <c r="BS116">
        <v>309</v>
      </c>
      <c r="BT116">
        <v>32</v>
      </c>
      <c r="BU116">
        <v>594</v>
      </c>
      <c r="BV116">
        <v>263</v>
      </c>
      <c r="BW116">
        <v>40</v>
      </c>
      <c r="BX116">
        <v>702</v>
      </c>
      <c r="BY116">
        <v>293</v>
      </c>
      <c r="BZ116">
        <v>42</v>
      </c>
      <c r="CA116">
        <v>555</v>
      </c>
      <c r="CB116">
        <v>334</v>
      </c>
      <c r="CC116">
        <v>26</v>
      </c>
      <c r="CD116">
        <v>751</v>
      </c>
      <c r="CE116">
        <v>275</v>
      </c>
      <c r="CF116">
        <v>44</v>
      </c>
      <c r="CG116">
        <v>657</v>
      </c>
      <c r="CH116">
        <v>317</v>
      </c>
      <c r="CI116">
        <v>31</v>
      </c>
      <c r="CJ116">
        <v>715</v>
      </c>
      <c r="CK116">
        <v>221</v>
      </c>
      <c r="CL116">
        <v>38</v>
      </c>
      <c r="CM116">
        <v>44</v>
      </c>
      <c r="CN116">
        <v>329</v>
      </c>
      <c r="CO116">
        <v>25</v>
      </c>
      <c r="CP116">
        <v>659</v>
      </c>
      <c r="CQ116">
        <v>233</v>
      </c>
      <c r="CR116">
        <v>36</v>
      </c>
      <c r="CS116">
        <v>664</v>
      </c>
      <c r="CT116">
        <v>219</v>
      </c>
      <c r="CU116">
        <v>54</v>
      </c>
      <c r="CV116">
        <v>422</v>
      </c>
      <c r="CW116">
        <v>283</v>
      </c>
      <c r="CX116">
        <v>35</v>
      </c>
      <c r="CY116">
        <v>736</v>
      </c>
      <c r="CZ116">
        <v>297</v>
      </c>
      <c r="DA116">
        <v>41</v>
      </c>
      <c r="DB116">
        <v>606</v>
      </c>
      <c r="DC116">
        <v>261</v>
      </c>
      <c r="DD116">
        <v>39</v>
      </c>
      <c r="DE116">
        <v>684</v>
      </c>
      <c r="DF116">
        <v>304</v>
      </c>
      <c r="DG116">
        <v>44</v>
      </c>
      <c r="DH116">
        <v>636</v>
      </c>
      <c r="DI116">
        <v>265</v>
      </c>
      <c r="DJ116">
        <v>42</v>
      </c>
      <c r="DK116">
        <v>639</v>
      </c>
      <c r="DL116">
        <v>326</v>
      </c>
      <c r="DM116">
        <v>29</v>
      </c>
      <c r="DN116">
        <v>626</v>
      </c>
      <c r="DO116">
        <v>326</v>
      </c>
      <c r="DP116">
        <v>32</v>
      </c>
      <c r="DQ116">
        <v>695</v>
      </c>
      <c r="DR116">
        <v>228</v>
      </c>
      <c r="DS116">
        <v>34</v>
      </c>
      <c r="DT116">
        <v>39</v>
      </c>
      <c r="DU116">
        <v>323</v>
      </c>
      <c r="DV116">
        <v>33</v>
      </c>
      <c r="DW116">
        <v>621</v>
      </c>
      <c r="DX116">
        <v>320</v>
      </c>
      <c r="DY116">
        <v>34</v>
      </c>
      <c r="DZ116">
        <v>670</v>
      </c>
    </row>
    <row r="117" spans="1:130">
      <c r="A117">
        <v>18</v>
      </c>
      <c r="B117" s="1332">
        <f t="shared" si="0"/>
        <v>21.8</v>
      </c>
      <c r="C117" s="1332">
        <f t="shared" si="1"/>
        <v>62</v>
      </c>
      <c r="D117" s="1332">
        <f t="shared" si="2"/>
        <v>56</v>
      </c>
      <c r="F117">
        <v>5106</v>
      </c>
      <c r="G117">
        <v>31</v>
      </c>
      <c r="H117">
        <v>1</v>
      </c>
      <c r="I117">
        <v>18</v>
      </c>
      <c r="J117">
        <v>8</v>
      </c>
      <c r="K117">
        <v>218</v>
      </c>
      <c r="L117">
        <v>62</v>
      </c>
      <c r="M117">
        <v>56</v>
      </c>
      <c r="N117">
        <v>288</v>
      </c>
      <c r="O117">
        <v>62</v>
      </c>
      <c r="P117">
        <v>156</v>
      </c>
      <c r="Q117">
        <v>303</v>
      </c>
      <c r="R117">
        <v>31</v>
      </c>
      <c r="S117">
        <v>14</v>
      </c>
      <c r="T117">
        <v>327</v>
      </c>
      <c r="U117">
        <v>34</v>
      </c>
      <c r="V117">
        <v>643</v>
      </c>
      <c r="W117">
        <v>318</v>
      </c>
      <c r="X117">
        <v>29</v>
      </c>
      <c r="Y117">
        <v>585</v>
      </c>
      <c r="Z117">
        <v>327</v>
      </c>
      <c r="AA117">
        <v>30</v>
      </c>
      <c r="AB117">
        <v>373</v>
      </c>
      <c r="AC117">
        <v>297</v>
      </c>
      <c r="AD117">
        <v>44</v>
      </c>
      <c r="AE117">
        <v>28</v>
      </c>
      <c r="AF117">
        <v>193</v>
      </c>
      <c r="AG117">
        <v>70</v>
      </c>
      <c r="AH117">
        <v>26</v>
      </c>
      <c r="AI117">
        <v>257</v>
      </c>
      <c r="AJ117">
        <v>36</v>
      </c>
      <c r="AK117">
        <v>16</v>
      </c>
      <c r="AL117">
        <v>257</v>
      </c>
      <c r="AM117">
        <v>43</v>
      </c>
      <c r="AN117">
        <v>393</v>
      </c>
      <c r="AO117">
        <v>336</v>
      </c>
      <c r="AP117">
        <v>25</v>
      </c>
      <c r="AQ117">
        <v>572</v>
      </c>
      <c r="AR117">
        <v>301</v>
      </c>
      <c r="AS117">
        <v>20</v>
      </c>
      <c r="AT117">
        <v>321</v>
      </c>
      <c r="AU117">
        <v>150</v>
      </c>
      <c r="AV117">
        <v>76</v>
      </c>
      <c r="AW117">
        <v>681</v>
      </c>
      <c r="AX117">
        <v>303</v>
      </c>
      <c r="AY117">
        <v>45</v>
      </c>
      <c r="AZ117">
        <v>534</v>
      </c>
      <c r="BA117">
        <v>284</v>
      </c>
      <c r="BB117">
        <v>49</v>
      </c>
      <c r="BC117">
        <v>445</v>
      </c>
      <c r="BD117">
        <v>282</v>
      </c>
      <c r="BE117">
        <v>39</v>
      </c>
      <c r="BF117">
        <v>503</v>
      </c>
      <c r="BG117">
        <v>250</v>
      </c>
      <c r="BH117">
        <v>46</v>
      </c>
      <c r="BI117">
        <v>529</v>
      </c>
      <c r="BJ117">
        <v>292</v>
      </c>
      <c r="BK117">
        <v>28</v>
      </c>
      <c r="BL117">
        <v>491</v>
      </c>
      <c r="BM117">
        <v>287</v>
      </c>
      <c r="BN117">
        <v>32</v>
      </c>
      <c r="BO117">
        <v>541</v>
      </c>
      <c r="BP117">
        <v>307</v>
      </c>
      <c r="BQ117">
        <v>46</v>
      </c>
      <c r="BR117">
        <v>504</v>
      </c>
      <c r="BS117">
        <v>294</v>
      </c>
      <c r="BT117">
        <v>31</v>
      </c>
      <c r="BU117">
        <v>400</v>
      </c>
      <c r="BV117">
        <v>245</v>
      </c>
      <c r="BW117">
        <v>44</v>
      </c>
      <c r="BX117">
        <v>288</v>
      </c>
      <c r="BY117">
        <v>286</v>
      </c>
      <c r="BZ117">
        <v>42</v>
      </c>
      <c r="CA117">
        <v>350</v>
      </c>
      <c r="CB117">
        <v>325</v>
      </c>
      <c r="CC117">
        <v>28</v>
      </c>
      <c r="CD117">
        <v>594</v>
      </c>
      <c r="CE117">
        <v>264</v>
      </c>
      <c r="CF117">
        <v>47</v>
      </c>
      <c r="CG117">
        <v>388</v>
      </c>
      <c r="CH117">
        <v>314</v>
      </c>
      <c r="CI117">
        <v>32</v>
      </c>
      <c r="CJ117">
        <v>559</v>
      </c>
      <c r="CK117">
        <v>210</v>
      </c>
      <c r="CL117">
        <v>40</v>
      </c>
      <c r="CM117">
        <v>13</v>
      </c>
      <c r="CN117">
        <v>321</v>
      </c>
      <c r="CO117">
        <v>27</v>
      </c>
      <c r="CP117">
        <v>519</v>
      </c>
      <c r="CQ117">
        <v>210</v>
      </c>
      <c r="CR117">
        <v>43</v>
      </c>
      <c r="CS117">
        <v>40</v>
      </c>
      <c r="CT117">
        <v>186</v>
      </c>
      <c r="CU117">
        <v>64</v>
      </c>
      <c r="CV117">
        <v>9</v>
      </c>
      <c r="CW117">
        <v>269</v>
      </c>
      <c r="CX117">
        <v>49</v>
      </c>
      <c r="CY117">
        <v>610</v>
      </c>
      <c r="CZ117">
        <v>291</v>
      </c>
      <c r="DA117">
        <v>43</v>
      </c>
      <c r="DB117">
        <v>317</v>
      </c>
      <c r="DC117">
        <v>238</v>
      </c>
      <c r="DD117">
        <v>44</v>
      </c>
      <c r="DE117">
        <v>321</v>
      </c>
      <c r="DF117">
        <v>295</v>
      </c>
      <c r="DG117">
        <v>47</v>
      </c>
      <c r="DH117">
        <v>430</v>
      </c>
      <c r="DI117">
        <v>252</v>
      </c>
      <c r="DJ117">
        <v>47</v>
      </c>
      <c r="DK117">
        <v>276</v>
      </c>
      <c r="DL117">
        <v>319</v>
      </c>
      <c r="DM117">
        <v>29</v>
      </c>
      <c r="DN117">
        <v>431</v>
      </c>
      <c r="DO117">
        <v>299</v>
      </c>
      <c r="DP117">
        <v>51</v>
      </c>
      <c r="DQ117">
        <v>635</v>
      </c>
      <c r="DR117">
        <v>221</v>
      </c>
      <c r="DS117">
        <v>37</v>
      </c>
      <c r="DT117">
        <v>17</v>
      </c>
      <c r="DU117">
        <v>316</v>
      </c>
      <c r="DV117">
        <v>36</v>
      </c>
      <c r="DW117">
        <v>493</v>
      </c>
      <c r="DX117">
        <v>306</v>
      </c>
      <c r="DY117">
        <v>42</v>
      </c>
      <c r="DZ117">
        <v>551</v>
      </c>
    </row>
    <row r="118" spans="1:130">
      <c r="A118">
        <v>19</v>
      </c>
      <c r="B118" s="1332">
        <f t="shared" si="0"/>
        <v>20.9</v>
      </c>
      <c r="C118" s="1332">
        <f t="shared" si="1"/>
        <v>66</v>
      </c>
      <c r="D118" s="1332">
        <f t="shared" si="2"/>
        <v>19</v>
      </c>
      <c r="F118">
        <v>5107</v>
      </c>
      <c r="G118">
        <v>31</v>
      </c>
      <c r="H118">
        <v>1</v>
      </c>
      <c r="I118">
        <v>19</v>
      </c>
      <c r="J118">
        <v>8</v>
      </c>
      <c r="K118">
        <v>209</v>
      </c>
      <c r="L118">
        <v>66</v>
      </c>
      <c r="M118">
        <v>19</v>
      </c>
      <c r="N118">
        <v>260</v>
      </c>
      <c r="O118">
        <v>80</v>
      </c>
      <c r="P118">
        <v>17</v>
      </c>
      <c r="Q118">
        <v>296</v>
      </c>
      <c r="R118">
        <v>32</v>
      </c>
      <c r="S118">
        <v>4</v>
      </c>
      <c r="T118">
        <v>314</v>
      </c>
      <c r="U118">
        <v>43</v>
      </c>
      <c r="V118">
        <v>338</v>
      </c>
      <c r="W118">
        <v>294</v>
      </c>
      <c r="X118">
        <v>41</v>
      </c>
      <c r="Y118">
        <v>245</v>
      </c>
      <c r="Z118">
        <v>300</v>
      </c>
      <c r="AA118">
        <v>40</v>
      </c>
      <c r="AB118">
        <v>18</v>
      </c>
      <c r="AC118">
        <v>279</v>
      </c>
      <c r="AD118">
        <v>48</v>
      </c>
      <c r="AE118">
        <v>4</v>
      </c>
      <c r="AF118">
        <v>182</v>
      </c>
      <c r="AG118">
        <v>75</v>
      </c>
      <c r="AH118">
        <v>6</v>
      </c>
      <c r="AI118">
        <v>235</v>
      </c>
      <c r="AJ118">
        <v>46</v>
      </c>
      <c r="AK118">
        <v>5</v>
      </c>
      <c r="AL118">
        <v>213</v>
      </c>
      <c r="AM118">
        <v>58</v>
      </c>
      <c r="AN118">
        <v>16</v>
      </c>
      <c r="AO118">
        <v>320</v>
      </c>
      <c r="AP118">
        <v>33</v>
      </c>
      <c r="AQ118">
        <v>293</v>
      </c>
      <c r="AR118">
        <v>291</v>
      </c>
      <c r="AS118">
        <v>20</v>
      </c>
      <c r="AT118">
        <v>4</v>
      </c>
      <c r="AU118">
        <v>147</v>
      </c>
      <c r="AV118">
        <v>76</v>
      </c>
      <c r="AW118">
        <v>51</v>
      </c>
      <c r="AX118">
        <v>258</v>
      </c>
      <c r="AY118">
        <v>59</v>
      </c>
      <c r="AZ118">
        <v>186</v>
      </c>
      <c r="BA118">
        <v>250</v>
      </c>
      <c r="BB118">
        <v>62</v>
      </c>
      <c r="BC118">
        <v>28</v>
      </c>
      <c r="BD118">
        <v>256</v>
      </c>
      <c r="BE118">
        <v>46</v>
      </c>
      <c r="BF118">
        <v>36</v>
      </c>
      <c r="BG118">
        <v>241</v>
      </c>
      <c r="BH118">
        <v>43</v>
      </c>
      <c r="BI118">
        <v>12</v>
      </c>
      <c r="BJ118">
        <v>280</v>
      </c>
      <c r="BK118">
        <v>28</v>
      </c>
      <c r="BL118">
        <v>30</v>
      </c>
      <c r="BM118">
        <v>279</v>
      </c>
      <c r="BN118">
        <v>31</v>
      </c>
      <c r="BO118">
        <v>38</v>
      </c>
      <c r="BP118">
        <v>294</v>
      </c>
      <c r="BQ118">
        <v>47</v>
      </c>
      <c r="BR118">
        <v>300</v>
      </c>
      <c r="BS118">
        <v>280</v>
      </c>
      <c r="BT118">
        <v>32</v>
      </c>
      <c r="BU118">
        <v>36</v>
      </c>
      <c r="BV118">
        <v>238</v>
      </c>
      <c r="BW118">
        <v>46</v>
      </c>
      <c r="BX118">
        <v>12</v>
      </c>
      <c r="BY118">
        <v>271</v>
      </c>
      <c r="BZ118">
        <v>46</v>
      </c>
      <c r="CA118">
        <v>77</v>
      </c>
      <c r="CB118">
        <v>303</v>
      </c>
      <c r="CC118">
        <v>33</v>
      </c>
      <c r="CD118">
        <v>212</v>
      </c>
      <c r="CE118">
        <v>233</v>
      </c>
      <c r="CF118">
        <v>61</v>
      </c>
      <c r="CG118">
        <v>5</v>
      </c>
      <c r="CH118">
        <v>297</v>
      </c>
      <c r="CI118">
        <v>37</v>
      </c>
      <c r="CJ118">
        <v>236</v>
      </c>
      <c r="CK118">
        <v>203</v>
      </c>
      <c r="CL118">
        <v>41</v>
      </c>
      <c r="CM118">
        <v>2</v>
      </c>
      <c r="CN118">
        <v>306</v>
      </c>
      <c r="CO118">
        <v>28</v>
      </c>
      <c r="CP118">
        <v>231</v>
      </c>
      <c r="CQ118">
        <v>178</v>
      </c>
      <c r="CR118">
        <v>65</v>
      </c>
      <c r="CS118">
        <v>8</v>
      </c>
      <c r="CT118">
        <v>172</v>
      </c>
      <c r="CU118">
        <v>67</v>
      </c>
      <c r="CV118">
        <v>3</v>
      </c>
      <c r="CW118">
        <v>258</v>
      </c>
      <c r="CX118">
        <v>51</v>
      </c>
      <c r="CY118">
        <v>342</v>
      </c>
      <c r="CZ118">
        <v>277</v>
      </c>
      <c r="DA118">
        <v>48</v>
      </c>
      <c r="DB118">
        <v>13</v>
      </c>
      <c r="DC118">
        <v>218</v>
      </c>
      <c r="DD118">
        <v>51</v>
      </c>
      <c r="DE118">
        <v>7</v>
      </c>
      <c r="DF118">
        <v>278</v>
      </c>
      <c r="DG118">
        <v>50</v>
      </c>
      <c r="DH118">
        <v>9</v>
      </c>
      <c r="DI118">
        <v>236</v>
      </c>
      <c r="DJ118">
        <v>53</v>
      </c>
      <c r="DK118">
        <v>1</v>
      </c>
      <c r="DL118">
        <v>307</v>
      </c>
      <c r="DM118">
        <v>29</v>
      </c>
      <c r="DN118">
        <v>14</v>
      </c>
      <c r="DO118">
        <v>274</v>
      </c>
      <c r="DP118">
        <v>55</v>
      </c>
      <c r="DQ118">
        <v>326</v>
      </c>
      <c r="DR118">
        <v>199</v>
      </c>
      <c r="DS118">
        <v>41</v>
      </c>
      <c r="DT118">
        <v>6</v>
      </c>
      <c r="DU118">
        <v>301</v>
      </c>
      <c r="DV118">
        <v>37</v>
      </c>
      <c r="DW118">
        <v>166</v>
      </c>
      <c r="DX118">
        <v>274</v>
      </c>
      <c r="DY118">
        <v>58</v>
      </c>
      <c r="DZ118">
        <v>238</v>
      </c>
    </row>
    <row r="119" spans="1:130">
      <c r="A119">
        <v>20</v>
      </c>
      <c r="B119" s="1332">
        <f t="shared" si="0"/>
        <v>19.899999999999999</v>
      </c>
      <c r="C119" s="1332">
        <f t="shared" si="1"/>
        <v>70</v>
      </c>
      <c r="D119" s="1332">
        <f t="shared" si="2"/>
        <v>0</v>
      </c>
      <c r="F119">
        <v>5108</v>
      </c>
      <c r="G119">
        <v>31</v>
      </c>
      <c r="H119">
        <v>1</v>
      </c>
      <c r="I119">
        <v>20</v>
      </c>
      <c r="J119">
        <v>8</v>
      </c>
      <c r="K119">
        <v>199</v>
      </c>
      <c r="L119">
        <v>70</v>
      </c>
      <c r="M119">
        <v>0</v>
      </c>
      <c r="N119">
        <v>233</v>
      </c>
      <c r="O119">
        <v>91</v>
      </c>
      <c r="P119">
        <v>0</v>
      </c>
      <c r="Q119">
        <v>291</v>
      </c>
      <c r="R119">
        <v>32</v>
      </c>
      <c r="S119">
        <v>0</v>
      </c>
      <c r="T119">
        <v>296</v>
      </c>
      <c r="U119">
        <v>49</v>
      </c>
      <c r="V119">
        <v>0</v>
      </c>
      <c r="W119">
        <v>250</v>
      </c>
      <c r="X119">
        <v>54</v>
      </c>
      <c r="Y119">
        <v>0</v>
      </c>
      <c r="Z119">
        <v>255</v>
      </c>
      <c r="AA119">
        <v>60</v>
      </c>
      <c r="AB119">
        <v>0</v>
      </c>
      <c r="AC119">
        <v>269</v>
      </c>
      <c r="AD119">
        <v>49</v>
      </c>
      <c r="AE119">
        <v>0</v>
      </c>
      <c r="AF119">
        <v>173</v>
      </c>
      <c r="AG119">
        <v>80</v>
      </c>
      <c r="AH119">
        <v>0</v>
      </c>
      <c r="AI119">
        <v>228</v>
      </c>
      <c r="AJ119">
        <v>54</v>
      </c>
      <c r="AK119">
        <v>0</v>
      </c>
      <c r="AL119">
        <v>204</v>
      </c>
      <c r="AM119">
        <v>58</v>
      </c>
      <c r="AN119">
        <v>0</v>
      </c>
      <c r="AO119">
        <v>290</v>
      </c>
      <c r="AP119">
        <v>41</v>
      </c>
      <c r="AQ119">
        <v>0</v>
      </c>
      <c r="AR119">
        <v>286</v>
      </c>
      <c r="AS119">
        <v>20</v>
      </c>
      <c r="AT119">
        <v>0</v>
      </c>
      <c r="AU119">
        <v>143</v>
      </c>
      <c r="AV119">
        <v>73</v>
      </c>
      <c r="AW119">
        <v>0</v>
      </c>
      <c r="AX119">
        <v>233</v>
      </c>
      <c r="AY119">
        <v>64</v>
      </c>
      <c r="AZ119">
        <v>0</v>
      </c>
      <c r="BA119">
        <v>224</v>
      </c>
      <c r="BB119">
        <v>70</v>
      </c>
      <c r="BC119">
        <v>0</v>
      </c>
      <c r="BD119">
        <v>219</v>
      </c>
      <c r="BE119">
        <v>57</v>
      </c>
      <c r="BF119">
        <v>0</v>
      </c>
      <c r="BG119">
        <v>226</v>
      </c>
      <c r="BH119">
        <v>46</v>
      </c>
      <c r="BI119">
        <v>0</v>
      </c>
      <c r="BJ119">
        <v>263</v>
      </c>
      <c r="BK119">
        <v>33</v>
      </c>
      <c r="BL119">
        <v>0</v>
      </c>
      <c r="BM119">
        <v>268</v>
      </c>
      <c r="BN119">
        <v>32</v>
      </c>
      <c r="BO119">
        <v>0</v>
      </c>
      <c r="BP119">
        <v>270</v>
      </c>
      <c r="BQ119">
        <v>54</v>
      </c>
      <c r="BR119">
        <v>0</v>
      </c>
      <c r="BS119">
        <v>270</v>
      </c>
      <c r="BT119">
        <v>34</v>
      </c>
      <c r="BU119">
        <v>0</v>
      </c>
      <c r="BV119">
        <v>225</v>
      </c>
      <c r="BW119">
        <v>51</v>
      </c>
      <c r="BX119">
        <v>0</v>
      </c>
      <c r="BY119">
        <v>261</v>
      </c>
      <c r="BZ119">
        <v>49</v>
      </c>
      <c r="CA119">
        <v>0</v>
      </c>
      <c r="CB119">
        <v>275</v>
      </c>
      <c r="CC119">
        <v>42</v>
      </c>
      <c r="CD119">
        <v>0</v>
      </c>
      <c r="CE119">
        <v>215</v>
      </c>
      <c r="CF119">
        <v>67</v>
      </c>
      <c r="CG119">
        <v>0</v>
      </c>
      <c r="CH119">
        <v>287</v>
      </c>
      <c r="CI119">
        <v>43</v>
      </c>
      <c r="CJ119">
        <v>0</v>
      </c>
      <c r="CK119">
        <v>194</v>
      </c>
      <c r="CL119">
        <v>43</v>
      </c>
      <c r="CM119">
        <v>0</v>
      </c>
      <c r="CN119">
        <v>286</v>
      </c>
      <c r="CO119">
        <v>30</v>
      </c>
      <c r="CP119">
        <v>0</v>
      </c>
      <c r="CQ119">
        <v>162</v>
      </c>
      <c r="CR119">
        <v>73</v>
      </c>
      <c r="CS119">
        <v>0</v>
      </c>
      <c r="CT119">
        <v>159</v>
      </c>
      <c r="CU119">
        <v>71</v>
      </c>
      <c r="CV119">
        <v>0</v>
      </c>
      <c r="CW119">
        <v>249</v>
      </c>
      <c r="CX119">
        <v>47</v>
      </c>
      <c r="CY119">
        <v>0</v>
      </c>
      <c r="CZ119">
        <v>251</v>
      </c>
      <c r="DA119">
        <v>59</v>
      </c>
      <c r="DB119">
        <v>0</v>
      </c>
      <c r="DC119">
        <v>196</v>
      </c>
      <c r="DD119">
        <v>62</v>
      </c>
      <c r="DE119">
        <v>0</v>
      </c>
      <c r="DF119">
        <v>268</v>
      </c>
      <c r="DG119">
        <v>52</v>
      </c>
      <c r="DH119">
        <v>0</v>
      </c>
      <c r="DI119">
        <v>228</v>
      </c>
      <c r="DJ119">
        <v>56</v>
      </c>
      <c r="DK119">
        <v>0</v>
      </c>
      <c r="DL119">
        <v>304</v>
      </c>
      <c r="DM119">
        <v>28</v>
      </c>
      <c r="DN119">
        <v>0</v>
      </c>
      <c r="DO119">
        <v>242</v>
      </c>
      <c r="DP119">
        <v>70</v>
      </c>
      <c r="DQ119">
        <v>0</v>
      </c>
      <c r="DR119">
        <v>183</v>
      </c>
      <c r="DS119">
        <v>45</v>
      </c>
      <c r="DT119">
        <v>0</v>
      </c>
      <c r="DU119">
        <v>263</v>
      </c>
      <c r="DV119">
        <v>50</v>
      </c>
      <c r="DW119">
        <v>0</v>
      </c>
      <c r="DX119">
        <v>264</v>
      </c>
      <c r="DY119">
        <v>47</v>
      </c>
      <c r="DZ119">
        <v>0</v>
      </c>
    </row>
    <row r="120" spans="1:130">
      <c r="A120">
        <v>21</v>
      </c>
      <c r="B120" s="1332">
        <f t="shared" si="0"/>
        <v>18.899999999999999</v>
      </c>
      <c r="C120" s="1332">
        <f t="shared" si="1"/>
        <v>76</v>
      </c>
      <c r="D120" s="1332">
        <f t="shared" si="2"/>
        <v>0</v>
      </c>
      <c r="F120">
        <v>5109</v>
      </c>
      <c r="G120">
        <v>31</v>
      </c>
      <c r="H120">
        <v>1</v>
      </c>
      <c r="I120">
        <v>21</v>
      </c>
      <c r="J120">
        <v>8</v>
      </c>
      <c r="K120">
        <v>189</v>
      </c>
      <c r="L120">
        <v>76</v>
      </c>
      <c r="M120">
        <v>0</v>
      </c>
      <c r="N120">
        <v>221</v>
      </c>
      <c r="O120">
        <v>87</v>
      </c>
      <c r="P120">
        <v>0</v>
      </c>
      <c r="Q120">
        <v>288</v>
      </c>
      <c r="R120">
        <v>31</v>
      </c>
      <c r="S120">
        <v>0</v>
      </c>
      <c r="T120">
        <v>262</v>
      </c>
      <c r="U120">
        <v>63</v>
      </c>
      <c r="V120">
        <v>0</v>
      </c>
      <c r="W120">
        <v>234</v>
      </c>
      <c r="X120">
        <v>60</v>
      </c>
      <c r="Y120">
        <v>0</v>
      </c>
      <c r="Z120">
        <v>236</v>
      </c>
      <c r="AA120">
        <v>64</v>
      </c>
      <c r="AB120">
        <v>0</v>
      </c>
      <c r="AC120">
        <v>241</v>
      </c>
      <c r="AD120">
        <v>61</v>
      </c>
      <c r="AE120">
        <v>0</v>
      </c>
      <c r="AF120">
        <v>163</v>
      </c>
      <c r="AG120">
        <v>82</v>
      </c>
      <c r="AH120">
        <v>0</v>
      </c>
      <c r="AI120">
        <v>213</v>
      </c>
      <c r="AJ120">
        <v>58</v>
      </c>
      <c r="AK120">
        <v>0</v>
      </c>
      <c r="AL120">
        <v>189</v>
      </c>
      <c r="AM120">
        <v>63</v>
      </c>
      <c r="AN120">
        <v>0</v>
      </c>
      <c r="AO120">
        <v>277</v>
      </c>
      <c r="AP120">
        <v>48</v>
      </c>
      <c r="AQ120">
        <v>0</v>
      </c>
      <c r="AR120">
        <v>283</v>
      </c>
      <c r="AS120">
        <v>19</v>
      </c>
      <c r="AT120">
        <v>0</v>
      </c>
      <c r="AU120">
        <v>142</v>
      </c>
      <c r="AV120">
        <v>58</v>
      </c>
      <c r="AW120">
        <v>0</v>
      </c>
      <c r="AX120">
        <v>221</v>
      </c>
      <c r="AY120">
        <v>67</v>
      </c>
      <c r="AZ120">
        <v>0</v>
      </c>
      <c r="BA120">
        <v>217</v>
      </c>
      <c r="BB120">
        <v>71</v>
      </c>
      <c r="BC120">
        <v>0</v>
      </c>
      <c r="BD120">
        <v>199</v>
      </c>
      <c r="BE120">
        <v>63</v>
      </c>
      <c r="BF120">
        <v>0</v>
      </c>
      <c r="BG120">
        <v>221</v>
      </c>
      <c r="BH120">
        <v>45</v>
      </c>
      <c r="BI120">
        <v>0</v>
      </c>
      <c r="BJ120">
        <v>253</v>
      </c>
      <c r="BK120">
        <v>35</v>
      </c>
      <c r="BL120">
        <v>0</v>
      </c>
      <c r="BM120">
        <v>260</v>
      </c>
      <c r="BN120">
        <v>34</v>
      </c>
      <c r="BO120">
        <v>0</v>
      </c>
      <c r="BP120">
        <v>250</v>
      </c>
      <c r="BQ120">
        <v>57</v>
      </c>
      <c r="BR120">
        <v>0</v>
      </c>
      <c r="BS120">
        <v>249</v>
      </c>
      <c r="BT120">
        <v>40</v>
      </c>
      <c r="BU120">
        <v>0</v>
      </c>
      <c r="BV120">
        <v>211</v>
      </c>
      <c r="BW120">
        <v>55</v>
      </c>
      <c r="BX120">
        <v>0</v>
      </c>
      <c r="BY120">
        <v>253</v>
      </c>
      <c r="BZ120">
        <v>52</v>
      </c>
      <c r="CA120">
        <v>0</v>
      </c>
      <c r="CB120">
        <v>251</v>
      </c>
      <c r="CC120">
        <v>50</v>
      </c>
      <c r="CD120">
        <v>0</v>
      </c>
      <c r="CE120">
        <v>199</v>
      </c>
      <c r="CF120">
        <v>73</v>
      </c>
      <c r="CG120">
        <v>0</v>
      </c>
      <c r="CH120">
        <v>272</v>
      </c>
      <c r="CI120">
        <v>47</v>
      </c>
      <c r="CJ120">
        <v>0</v>
      </c>
      <c r="CK120">
        <v>191</v>
      </c>
      <c r="CL120">
        <v>43</v>
      </c>
      <c r="CM120">
        <v>0</v>
      </c>
      <c r="CN120">
        <v>272</v>
      </c>
      <c r="CO120">
        <v>32</v>
      </c>
      <c r="CP120">
        <v>0</v>
      </c>
      <c r="CQ120">
        <v>138</v>
      </c>
      <c r="CR120">
        <v>81</v>
      </c>
      <c r="CS120">
        <v>0</v>
      </c>
      <c r="CT120">
        <v>150</v>
      </c>
      <c r="CU120">
        <v>75</v>
      </c>
      <c r="CV120">
        <v>0</v>
      </c>
      <c r="CW120">
        <v>243</v>
      </c>
      <c r="CX120">
        <v>48</v>
      </c>
      <c r="CY120">
        <v>0</v>
      </c>
      <c r="CZ120">
        <v>234</v>
      </c>
      <c r="DA120">
        <v>65</v>
      </c>
      <c r="DB120">
        <v>0</v>
      </c>
      <c r="DC120">
        <v>189</v>
      </c>
      <c r="DD120">
        <v>64</v>
      </c>
      <c r="DE120">
        <v>0</v>
      </c>
      <c r="DF120">
        <v>261</v>
      </c>
      <c r="DG120">
        <v>54</v>
      </c>
      <c r="DH120">
        <v>0</v>
      </c>
      <c r="DI120">
        <v>200</v>
      </c>
      <c r="DJ120">
        <v>65</v>
      </c>
      <c r="DK120">
        <v>0</v>
      </c>
      <c r="DL120">
        <v>297</v>
      </c>
      <c r="DM120">
        <v>28</v>
      </c>
      <c r="DN120">
        <v>0</v>
      </c>
      <c r="DO120">
        <v>224</v>
      </c>
      <c r="DP120">
        <v>76</v>
      </c>
      <c r="DQ120">
        <v>0</v>
      </c>
      <c r="DR120">
        <v>172</v>
      </c>
      <c r="DS120">
        <v>48</v>
      </c>
      <c r="DT120">
        <v>0</v>
      </c>
      <c r="DU120">
        <v>235</v>
      </c>
      <c r="DV120">
        <v>60</v>
      </c>
      <c r="DW120">
        <v>0</v>
      </c>
      <c r="DX120">
        <v>269</v>
      </c>
      <c r="DY120">
        <v>39</v>
      </c>
      <c r="DZ120">
        <v>0</v>
      </c>
    </row>
    <row r="121" spans="1:130">
      <c r="A121">
        <v>22</v>
      </c>
      <c r="B121" s="1332">
        <f t="shared" si="0"/>
        <v>17.399999999999999</v>
      </c>
      <c r="C121" s="1332">
        <f t="shared" si="1"/>
        <v>82</v>
      </c>
      <c r="D121" s="1332">
        <f t="shared" si="2"/>
        <v>0</v>
      </c>
      <c r="F121">
        <v>5110</v>
      </c>
      <c r="G121">
        <v>31</v>
      </c>
      <c r="H121">
        <v>1</v>
      </c>
      <c r="I121">
        <v>22</v>
      </c>
      <c r="J121">
        <v>8</v>
      </c>
      <c r="K121">
        <v>174</v>
      </c>
      <c r="L121">
        <v>82</v>
      </c>
      <c r="M121">
        <v>0</v>
      </c>
      <c r="N121">
        <v>216</v>
      </c>
      <c r="O121">
        <v>86</v>
      </c>
      <c r="P121">
        <v>0</v>
      </c>
      <c r="Q121">
        <v>288</v>
      </c>
      <c r="R121">
        <v>31</v>
      </c>
      <c r="S121">
        <v>0</v>
      </c>
      <c r="T121">
        <v>250</v>
      </c>
      <c r="U121">
        <v>67</v>
      </c>
      <c r="V121">
        <v>0</v>
      </c>
      <c r="W121">
        <v>222</v>
      </c>
      <c r="X121">
        <v>64</v>
      </c>
      <c r="Y121">
        <v>0</v>
      </c>
      <c r="Z121">
        <v>219</v>
      </c>
      <c r="AA121">
        <v>71</v>
      </c>
      <c r="AB121">
        <v>0</v>
      </c>
      <c r="AC121">
        <v>224</v>
      </c>
      <c r="AD121">
        <v>69</v>
      </c>
      <c r="AE121">
        <v>0</v>
      </c>
      <c r="AF121">
        <v>150</v>
      </c>
      <c r="AG121">
        <v>85</v>
      </c>
      <c r="AH121">
        <v>0</v>
      </c>
      <c r="AI121">
        <v>202</v>
      </c>
      <c r="AJ121">
        <v>64</v>
      </c>
      <c r="AK121">
        <v>0</v>
      </c>
      <c r="AL121">
        <v>183</v>
      </c>
      <c r="AM121">
        <v>63</v>
      </c>
      <c r="AN121">
        <v>0</v>
      </c>
      <c r="AO121">
        <v>258</v>
      </c>
      <c r="AP121">
        <v>57</v>
      </c>
      <c r="AQ121">
        <v>0</v>
      </c>
      <c r="AR121">
        <v>261</v>
      </c>
      <c r="AS121">
        <v>21</v>
      </c>
      <c r="AT121">
        <v>0</v>
      </c>
      <c r="AU121">
        <v>135</v>
      </c>
      <c r="AV121">
        <v>57</v>
      </c>
      <c r="AW121">
        <v>0</v>
      </c>
      <c r="AX121">
        <v>214</v>
      </c>
      <c r="AY121">
        <v>70</v>
      </c>
      <c r="AZ121">
        <v>0</v>
      </c>
      <c r="BA121">
        <v>211</v>
      </c>
      <c r="BB121">
        <v>70</v>
      </c>
      <c r="BC121">
        <v>0</v>
      </c>
      <c r="BD121">
        <v>187</v>
      </c>
      <c r="BE121">
        <v>67</v>
      </c>
      <c r="BF121">
        <v>0</v>
      </c>
      <c r="BG121">
        <v>220</v>
      </c>
      <c r="BH121">
        <v>43</v>
      </c>
      <c r="BI121">
        <v>0</v>
      </c>
      <c r="BJ121">
        <v>247</v>
      </c>
      <c r="BK121">
        <v>36</v>
      </c>
      <c r="BL121">
        <v>0</v>
      </c>
      <c r="BM121">
        <v>249</v>
      </c>
      <c r="BN121">
        <v>37</v>
      </c>
      <c r="BO121">
        <v>0</v>
      </c>
      <c r="BP121">
        <v>236</v>
      </c>
      <c r="BQ121">
        <v>62</v>
      </c>
      <c r="BR121">
        <v>0</v>
      </c>
      <c r="BS121">
        <v>242</v>
      </c>
      <c r="BT121">
        <v>42</v>
      </c>
      <c r="BU121">
        <v>0</v>
      </c>
      <c r="BV121">
        <v>201</v>
      </c>
      <c r="BW121">
        <v>59</v>
      </c>
      <c r="BX121">
        <v>0</v>
      </c>
      <c r="BY121">
        <v>238</v>
      </c>
      <c r="BZ121">
        <v>62</v>
      </c>
      <c r="CA121">
        <v>0</v>
      </c>
      <c r="CB121">
        <v>227</v>
      </c>
      <c r="CC121">
        <v>60</v>
      </c>
      <c r="CD121">
        <v>0</v>
      </c>
      <c r="CE121">
        <v>192</v>
      </c>
      <c r="CF121">
        <v>75</v>
      </c>
      <c r="CG121">
        <v>0</v>
      </c>
      <c r="CH121">
        <v>260</v>
      </c>
      <c r="CI121">
        <v>51</v>
      </c>
      <c r="CJ121">
        <v>0</v>
      </c>
      <c r="CK121">
        <v>175</v>
      </c>
      <c r="CL121">
        <v>49</v>
      </c>
      <c r="CM121">
        <v>0</v>
      </c>
      <c r="CN121">
        <v>263</v>
      </c>
      <c r="CO121">
        <v>34</v>
      </c>
      <c r="CP121">
        <v>0</v>
      </c>
      <c r="CQ121">
        <v>120</v>
      </c>
      <c r="CR121">
        <v>86</v>
      </c>
      <c r="CS121">
        <v>0</v>
      </c>
      <c r="CT121">
        <v>143</v>
      </c>
      <c r="CU121">
        <v>78</v>
      </c>
      <c r="CV121">
        <v>0</v>
      </c>
      <c r="CW121">
        <v>239</v>
      </c>
      <c r="CX121">
        <v>51</v>
      </c>
      <c r="CY121">
        <v>0</v>
      </c>
      <c r="CZ121">
        <v>222</v>
      </c>
      <c r="DA121">
        <v>70</v>
      </c>
      <c r="DB121">
        <v>0</v>
      </c>
      <c r="DC121">
        <v>177</v>
      </c>
      <c r="DD121">
        <v>70</v>
      </c>
      <c r="DE121">
        <v>0</v>
      </c>
      <c r="DF121">
        <v>242</v>
      </c>
      <c r="DG121">
        <v>60</v>
      </c>
      <c r="DH121">
        <v>0</v>
      </c>
      <c r="DI121">
        <v>190</v>
      </c>
      <c r="DJ121">
        <v>70</v>
      </c>
      <c r="DK121">
        <v>0</v>
      </c>
      <c r="DL121">
        <v>282</v>
      </c>
      <c r="DM121">
        <v>29</v>
      </c>
      <c r="DN121">
        <v>0</v>
      </c>
      <c r="DO121">
        <v>212</v>
      </c>
      <c r="DP121">
        <v>84</v>
      </c>
      <c r="DQ121">
        <v>0</v>
      </c>
      <c r="DR121">
        <v>161</v>
      </c>
      <c r="DS121">
        <v>53</v>
      </c>
      <c r="DT121">
        <v>0</v>
      </c>
      <c r="DU121">
        <v>213</v>
      </c>
      <c r="DV121">
        <v>71</v>
      </c>
      <c r="DW121">
        <v>0</v>
      </c>
      <c r="DX121">
        <v>249</v>
      </c>
      <c r="DY121">
        <v>45</v>
      </c>
      <c r="DZ121">
        <v>0</v>
      </c>
    </row>
    <row r="122" spans="1:130">
      <c r="A122">
        <v>23</v>
      </c>
      <c r="B122" s="1332">
        <f t="shared" si="0"/>
        <v>16.899999999999999</v>
      </c>
      <c r="C122" s="1332">
        <f t="shared" si="1"/>
        <v>83</v>
      </c>
      <c r="D122" s="1332">
        <f t="shared" si="2"/>
        <v>0</v>
      </c>
      <c r="F122">
        <v>5111</v>
      </c>
      <c r="G122">
        <v>31</v>
      </c>
      <c r="H122">
        <v>1</v>
      </c>
      <c r="I122">
        <v>23</v>
      </c>
      <c r="J122">
        <v>8</v>
      </c>
      <c r="K122">
        <v>169</v>
      </c>
      <c r="L122">
        <v>83</v>
      </c>
      <c r="M122">
        <v>0</v>
      </c>
      <c r="N122">
        <v>211</v>
      </c>
      <c r="O122">
        <v>85</v>
      </c>
      <c r="P122">
        <v>0</v>
      </c>
      <c r="Q122">
        <v>283</v>
      </c>
      <c r="R122">
        <v>31</v>
      </c>
      <c r="S122">
        <v>0</v>
      </c>
      <c r="T122">
        <v>241</v>
      </c>
      <c r="U122">
        <v>69</v>
      </c>
      <c r="V122">
        <v>0</v>
      </c>
      <c r="W122">
        <v>212</v>
      </c>
      <c r="X122">
        <v>69</v>
      </c>
      <c r="Y122">
        <v>0</v>
      </c>
      <c r="Z122">
        <v>212</v>
      </c>
      <c r="AA122">
        <v>75</v>
      </c>
      <c r="AB122">
        <v>0</v>
      </c>
      <c r="AC122">
        <v>213</v>
      </c>
      <c r="AD122">
        <v>72</v>
      </c>
      <c r="AE122">
        <v>0</v>
      </c>
      <c r="AF122">
        <v>142</v>
      </c>
      <c r="AG122">
        <v>86</v>
      </c>
      <c r="AH122">
        <v>0</v>
      </c>
      <c r="AI122">
        <v>195</v>
      </c>
      <c r="AJ122">
        <v>68</v>
      </c>
      <c r="AK122">
        <v>0</v>
      </c>
      <c r="AL122">
        <v>171</v>
      </c>
      <c r="AM122">
        <v>66</v>
      </c>
      <c r="AN122">
        <v>0</v>
      </c>
      <c r="AO122">
        <v>240</v>
      </c>
      <c r="AP122">
        <v>64</v>
      </c>
      <c r="AQ122">
        <v>0</v>
      </c>
      <c r="AR122">
        <v>230</v>
      </c>
      <c r="AS122">
        <v>28</v>
      </c>
      <c r="AT122">
        <v>0</v>
      </c>
      <c r="AU122">
        <v>127</v>
      </c>
      <c r="AV122">
        <v>75</v>
      </c>
      <c r="AW122">
        <v>0</v>
      </c>
      <c r="AX122">
        <v>212</v>
      </c>
      <c r="AY122">
        <v>69</v>
      </c>
      <c r="AZ122">
        <v>0</v>
      </c>
      <c r="BA122">
        <v>205</v>
      </c>
      <c r="BB122">
        <v>72</v>
      </c>
      <c r="BC122">
        <v>0</v>
      </c>
      <c r="BD122">
        <v>179</v>
      </c>
      <c r="BE122">
        <v>71</v>
      </c>
      <c r="BF122">
        <v>0</v>
      </c>
      <c r="BG122">
        <v>223</v>
      </c>
      <c r="BH122">
        <v>42</v>
      </c>
      <c r="BI122">
        <v>0</v>
      </c>
      <c r="BJ122">
        <v>238</v>
      </c>
      <c r="BK122">
        <v>38</v>
      </c>
      <c r="BL122">
        <v>0</v>
      </c>
      <c r="BM122">
        <v>232</v>
      </c>
      <c r="BN122">
        <v>51</v>
      </c>
      <c r="BO122">
        <v>0</v>
      </c>
      <c r="BP122">
        <v>226</v>
      </c>
      <c r="BQ122">
        <v>65</v>
      </c>
      <c r="BR122">
        <v>0</v>
      </c>
      <c r="BS122">
        <v>221</v>
      </c>
      <c r="BT122">
        <v>49</v>
      </c>
      <c r="BU122">
        <v>0</v>
      </c>
      <c r="BV122">
        <v>192</v>
      </c>
      <c r="BW122">
        <v>62</v>
      </c>
      <c r="BX122">
        <v>0</v>
      </c>
      <c r="BY122">
        <v>225</v>
      </c>
      <c r="BZ122">
        <v>66</v>
      </c>
      <c r="CA122">
        <v>0</v>
      </c>
      <c r="CB122">
        <v>217</v>
      </c>
      <c r="CC122">
        <v>65</v>
      </c>
      <c r="CD122">
        <v>0</v>
      </c>
      <c r="CE122">
        <v>181</v>
      </c>
      <c r="CF122">
        <v>80</v>
      </c>
      <c r="CG122">
        <v>0</v>
      </c>
      <c r="CH122">
        <v>252</v>
      </c>
      <c r="CI122">
        <v>55</v>
      </c>
      <c r="CJ122">
        <v>0</v>
      </c>
      <c r="CK122">
        <v>158</v>
      </c>
      <c r="CL122">
        <v>55</v>
      </c>
      <c r="CM122">
        <v>0</v>
      </c>
      <c r="CN122">
        <v>257</v>
      </c>
      <c r="CO122">
        <v>38</v>
      </c>
      <c r="CP122">
        <v>0</v>
      </c>
      <c r="CQ122">
        <v>130</v>
      </c>
      <c r="CR122">
        <v>88</v>
      </c>
      <c r="CS122">
        <v>0</v>
      </c>
      <c r="CT122">
        <v>140</v>
      </c>
      <c r="CU122">
        <v>80</v>
      </c>
      <c r="CV122">
        <v>0</v>
      </c>
      <c r="CW122">
        <v>231</v>
      </c>
      <c r="CX122">
        <v>55</v>
      </c>
      <c r="CY122">
        <v>0</v>
      </c>
      <c r="CZ122">
        <v>213</v>
      </c>
      <c r="DA122">
        <v>73</v>
      </c>
      <c r="DB122">
        <v>0</v>
      </c>
      <c r="DC122">
        <v>164</v>
      </c>
      <c r="DD122">
        <v>78</v>
      </c>
      <c r="DE122">
        <v>0</v>
      </c>
      <c r="DF122">
        <v>231</v>
      </c>
      <c r="DG122">
        <v>61</v>
      </c>
      <c r="DH122">
        <v>0</v>
      </c>
      <c r="DI122">
        <v>158</v>
      </c>
      <c r="DJ122">
        <v>85</v>
      </c>
      <c r="DK122">
        <v>0</v>
      </c>
      <c r="DL122">
        <v>268</v>
      </c>
      <c r="DM122">
        <v>31</v>
      </c>
      <c r="DN122">
        <v>0</v>
      </c>
      <c r="DO122">
        <v>202</v>
      </c>
      <c r="DP122">
        <v>87</v>
      </c>
      <c r="DQ122">
        <v>0</v>
      </c>
      <c r="DR122">
        <v>158</v>
      </c>
      <c r="DS122">
        <v>52</v>
      </c>
      <c r="DT122">
        <v>0</v>
      </c>
      <c r="DU122">
        <v>205</v>
      </c>
      <c r="DV122">
        <v>75</v>
      </c>
      <c r="DW122">
        <v>0</v>
      </c>
      <c r="DX122">
        <v>229</v>
      </c>
      <c r="DY122">
        <v>52</v>
      </c>
      <c r="DZ122">
        <v>0</v>
      </c>
    </row>
    <row r="123" spans="1:130">
      <c r="A123">
        <v>24</v>
      </c>
      <c r="B123" s="1332">
        <f t="shared" si="0"/>
        <v>16.3</v>
      </c>
      <c r="C123" s="1332">
        <f t="shared" si="1"/>
        <v>84</v>
      </c>
      <c r="D123" s="1332">
        <f t="shared" si="2"/>
        <v>0</v>
      </c>
      <c r="F123">
        <v>5112</v>
      </c>
      <c r="G123">
        <v>31</v>
      </c>
      <c r="H123">
        <v>1</v>
      </c>
      <c r="I123">
        <v>24</v>
      </c>
      <c r="J123">
        <v>8</v>
      </c>
      <c r="K123">
        <v>163</v>
      </c>
      <c r="L123">
        <v>84</v>
      </c>
      <c r="M123">
        <v>0</v>
      </c>
      <c r="N123">
        <v>213</v>
      </c>
      <c r="O123">
        <v>82</v>
      </c>
      <c r="P123">
        <v>0</v>
      </c>
      <c r="Q123">
        <v>276</v>
      </c>
      <c r="R123">
        <v>32</v>
      </c>
      <c r="S123">
        <v>0</v>
      </c>
      <c r="T123">
        <v>234</v>
      </c>
      <c r="U123">
        <v>69</v>
      </c>
      <c r="V123">
        <v>0</v>
      </c>
      <c r="W123">
        <v>206</v>
      </c>
      <c r="X123">
        <v>73</v>
      </c>
      <c r="Y123">
        <v>0</v>
      </c>
      <c r="Z123">
        <v>199</v>
      </c>
      <c r="AA123">
        <v>83</v>
      </c>
      <c r="AB123">
        <v>0</v>
      </c>
      <c r="AC123">
        <v>210</v>
      </c>
      <c r="AD123">
        <v>75</v>
      </c>
      <c r="AE123">
        <v>0</v>
      </c>
      <c r="AF123">
        <v>139</v>
      </c>
      <c r="AG123">
        <v>86</v>
      </c>
      <c r="AH123">
        <v>0</v>
      </c>
      <c r="AI123">
        <v>194</v>
      </c>
      <c r="AJ123">
        <v>69</v>
      </c>
      <c r="AK123">
        <v>0</v>
      </c>
      <c r="AL123">
        <v>173</v>
      </c>
      <c r="AM123">
        <v>60</v>
      </c>
      <c r="AN123">
        <v>0</v>
      </c>
      <c r="AO123">
        <v>227</v>
      </c>
      <c r="AP123">
        <v>66</v>
      </c>
      <c r="AQ123">
        <v>0</v>
      </c>
      <c r="AR123">
        <v>223</v>
      </c>
      <c r="AS123">
        <v>29</v>
      </c>
      <c r="AT123">
        <v>0</v>
      </c>
      <c r="AU123">
        <v>121</v>
      </c>
      <c r="AV123">
        <v>86</v>
      </c>
      <c r="AW123">
        <v>0</v>
      </c>
      <c r="AX123">
        <v>204</v>
      </c>
      <c r="AY123">
        <v>71</v>
      </c>
      <c r="AZ123">
        <v>0</v>
      </c>
      <c r="BA123">
        <v>199</v>
      </c>
      <c r="BB123">
        <v>72</v>
      </c>
      <c r="BC123">
        <v>0</v>
      </c>
      <c r="BD123">
        <v>178</v>
      </c>
      <c r="BE123">
        <v>72</v>
      </c>
      <c r="BF123">
        <v>0</v>
      </c>
      <c r="BG123">
        <v>217</v>
      </c>
      <c r="BH123">
        <v>48</v>
      </c>
      <c r="BI123">
        <v>0</v>
      </c>
      <c r="BJ123">
        <v>227</v>
      </c>
      <c r="BK123">
        <v>41</v>
      </c>
      <c r="BL123">
        <v>0</v>
      </c>
      <c r="BM123">
        <v>228</v>
      </c>
      <c r="BN123">
        <v>56</v>
      </c>
      <c r="BO123">
        <v>0</v>
      </c>
      <c r="BP123">
        <v>218</v>
      </c>
      <c r="BQ123">
        <v>67</v>
      </c>
      <c r="BR123">
        <v>0</v>
      </c>
      <c r="BS123">
        <v>205</v>
      </c>
      <c r="BT123">
        <v>55</v>
      </c>
      <c r="BU123">
        <v>0</v>
      </c>
      <c r="BV123">
        <v>186</v>
      </c>
      <c r="BW123">
        <v>64</v>
      </c>
      <c r="BX123">
        <v>0</v>
      </c>
      <c r="BY123">
        <v>216</v>
      </c>
      <c r="BZ123">
        <v>68</v>
      </c>
      <c r="CA123">
        <v>0</v>
      </c>
      <c r="CB123">
        <v>209</v>
      </c>
      <c r="CC123">
        <v>69</v>
      </c>
      <c r="CD123">
        <v>0</v>
      </c>
      <c r="CE123">
        <v>177</v>
      </c>
      <c r="CF123">
        <v>80</v>
      </c>
      <c r="CG123">
        <v>0</v>
      </c>
      <c r="CH123">
        <v>247</v>
      </c>
      <c r="CI123">
        <v>56</v>
      </c>
      <c r="CJ123">
        <v>0</v>
      </c>
      <c r="CK123">
        <v>192</v>
      </c>
      <c r="CL123">
        <v>41</v>
      </c>
      <c r="CM123">
        <v>0</v>
      </c>
      <c r="CN123">
        <v>252</v>
      </c>
      <c r="CO123">
        <v>44</v>
      </c>
      <c r="CP123">
        <v>0</v>
      </c>
      <c r="CQ123">
        <v>114</v>
      </c>
      <c r="CR123">
        <v>90</v>
      </c>
      <c r="CS123">
        <v>0</v>
      </c>
      <c r="CT123">
        <v>140</v>
      </c>
      <c r="CU123">
        <v>88</v>
      </c>
      <c r="CV123">
        <v>0</v>
      </c>
      <c r="CW123">
        <v>227</v>
      </c>
      <c r="CX123">
        <v>57</v>
      </c>
      <c r="CY123">
        <v>0</v>
      </c>
      <c r="CZ123">
        <v>205</v>
      </c>
      <c r="DA123">
        <v>76</v>
      </c>
      <c r="DB123">
        <v>0</v>
      </c>
      <c r="DC123">
        <v>155</v>
      </c>
      <c r="DD123">
        <v>80</v>
      </c>
      <c r="DE123">
        <v>0</v>
      </c>
      <c r="DF123">
        <v>219</v>
      </c>
      <c r="DG123">
        <v>66</v>
      </c>
      <c r="DH123">
        <v>0</v>
      </c>
      <c r="DI123">
        <v>153</v>
      </c>
      <c r="DJ123">
        <v>86</v>
      </c>
      <c r="DK123">
        <v>0</v>
      </c>
      <c r="DL123">
        <v>270</v>
      </c>
      <c r="DM123">
        <v>31</v>
      </c>
      <c r="DN123">
        <v>0</v>
      </c>
      <c r="DO123">
        <v>194</v>
      </c>
      <c r="DP123">
        <v>90</v>
      </c>
      <c r="DQ123">
        <v>0</v>
      </c>
      <c r="DR123">
        <v>147</v>
      </c>
      <c r="DS123">
        <v>57</v>
      </c>
      <c r="DT123">
        <v>0</v>
      </c>
      <c r="DU123">
        <v>202</v>
      </c>
      <c r="DV123">
        <v>78</v>
      </c>
      <c r="DW123">
        <v>0</v>
      </c>
      <c r="DX123">
        <v>218</v>
      </c>
      <c r="DY123">
        <v>61</v>
      </c>
      <c r="DZ123">
        <v>0</v>
      </c>
    </row>
    <row r="124" spans="1:130" hidden="1">
      <c r="B124" s="1332">
        <f t="shared" si="0"/>
        <v>13.4</v>
      </c>
      <c r="C124" s="1332">
        <f t="shared" si="1"/>
        <v>89</v>
      </c>
      <c r="D124" s="1332">
        <f t="shared" si="2"/>
        <v>0</v>
      </c>
      <c r="F124">
        <v>5089</v>
      </c>
      <c r="G124">
        <v>31</v>
      </c>
      <c r="H124">
        <v>1</v>
      </c>
      <c r="I124">
        <v>1</v>
      </c>
      <c r="J124">
        <v>8</v>
      </c>
      <c r="K124">
        <v>134</v>
      </c>
      <c r="L124">
        <v>89</v>
      </c>
      <c r="M124">
        <v>0</v>
      </c>
      <c r="N124">
        <v>232</v>
      </c>
      <c r="O124">
        <v>57</v>
      </c>
      <c r="P124">
        <v>0</v>
      </c>
      <c r="Q124">
        <v>197</v>
      </c>
      <c r="R124">
        <v>81</v>
      </c>
      <c r="S124">
        <v>0</v>
      </c>
      <c r="T124">
        <v>207</v>
      </c>
      <c r="U124">
        <v>80</v>
      </c>
      <c r="V124">
        <v>0</v>
      </c>
      <c r="W124">
        <v>183</v>
      </c>
      <c r="X124">
        <v>81</v>
      </c>
      <c r="Y124">
        <v>0</v>
      </c>
      <c r="Z124">
        <v>185</v>
      </c>
      <c r="AA124">
        <v>88</v>
      </c>
      <c r="AB124">
        <v>0</v>
      </c>
      <c r="AC124">
        <v>201</v>
      </c>
      <c r="AD124">
        <v>77</v>
      </c>
      <c r="AE124">
        <v>0</v>
      </c>
      <c r="AF124">
        <v>151</v>
      </c>
      <c r="AG124">
        <v>82</v>
      </c>
      <c r="AH124">
        <v>0</v>
      </c>
      <c r="AI124">
        <v>169</v>
      </c>
      <c r="AJ124">
        <v>77</v>
      </c>
      <c r="AK124">
        <v>0</v>
      </c>
      <c r="AL124">
        <v>177</v>
      </c>
      <c r="AM124">
        <v>67</v>
      </c>
      <c r="AN124">
        <v>0</v>
      </c>
      <c r="AO124">
        <v>197</v>
      </c>
      <c r="AP124">
        <v>65</v>
      </c>
      <c r="AQ124">
        <v>0</v>
      </c>
      <c r="AR124">
        <v>187</v>
      </c>
      <c r="AS124">
        <v>78</v>
      </c>
      <c r="AT124">
        <v>0</v>
      </c>
      <c r="AU124">
        <v>101</v>
      </c>
      <c r="AV124">
        <v>95</v>
      </c>
      <c r="AW124">
        <v>0</v>
      </c>
      <c r="AX124">
        <v>181</v>
      </c>
      <c r="AY124">
        <v>89</v>
      </c>
      <c r="AZ124">
        <v>0</v>
      </c>
      <c r="BA124">
        <v>163</v>
      </c>
      <c r="BB124">
        <v>78</v>
      </c>
      <c r="BC124">
        <v>0</v>
      </c>
      <c r="BD124">
        <v>158</v>
      </c>
      <c r="BE124">
        <v>83</v>
      </c>
      <c r="BF124">
        <v>0</v>
      </c>
      <c r="BG124">
        <v>211</v>
      </c>
      <c r="BH124">
        <v>55</v>
      </c>
      <c r="BI124">
        <v>0</v>
      </c>
      <c r="BJ124">
        <v>223</v>
      </c>
      <c r="BK124">
        <v>38</v>
      </c>
      <c r="BL124">
        <v>0</v>
      </c>
      <c r="BM124">
        <v>243</v>
      </c>
      <c r="BN124">
        <v>33</v>
      </c>
      <c r="BO124">
        <v>0</v>
      </c>
      <c r="BP124">
        <v>208</v>
      </c>
      <c r="BQ124">
        <v>79</v>
      </c>
      <c r="BR124">
        <v>0</v>
      </c>
      <c r="BS124">
        <v>219</v>
      </c>
      <c r="BT124">
        <v>43</v>
      </c>
      <c r="BU124">
        <v>0</v>
      </c>
      <c r="BV124">
        <v>167</v>
      </c>
      <c r="BW124">
        <v>72</v>
      </c>
      <c r="BX124">
        <v>0</v>
      </c>
      <c r="BY124">
        <v>220</v>
      </c>
      <c r="BZ124">
        <v>61</v>
      </c>
      <c r="CA124">
        <v>0</v>
      </c>
      <c r="CB124">
        <v>200</v>
      </c>
      <c r="CC124">
        <v>75</v>
      </c>
      <c r="CD124">
        <v>0</v>
      </c>
      <c r="CE124">
        <v>186</v>
      </c>
      <c r="CF124">
        <v>82</v>
      </c>
      <c r="CG124">
        <v>0</v>
      </c>
      <c r="CH124">
        <v>227</v>
      </c>
      <c r="CI124">
        <v>67</v>
      </c>
      <c r="CJ124">
        <v>0</v>
      </c>
      <c r="CK124">
        <v>173</v>
      </c>
      <c r="CL124">
        <v>43</v>
      </c>
      <c r="CM124">
        <v>0</v>
      </c>
      <c r="CN124">
        <v>240</v>
      </c>
      <c r="CO124">
        <v>49</v>
      </c>
      <c r="CP124">
        <v>0</v>
      </c>
      <c r="CQ124">
        <v>94</v>
      </c>
      <c r="CR124">
        <v>96</v>
      </c>
      <c r="CS124">
        <v>0</v>
      </c>
      <c r="CT124">
        <v>150</v>
      </c>
      <c r="CU124">
        <v>84</v>
      </c>
      <c r="CV124">
        <v>0</v>
      </c>
      <c r="CW124">
        <v>194</v>
      </c>
      <c r="CX124">
        <v>72</v>
      </c>
      <c r="CY124">
        <v>0</v>
      </c>
      <c r="CZ124">
        <v>183</v>
      </c>
      <c r="DA124">
        <v>81</v>
      </c>
      <c r="DB124">
        <v>0</v>
      </c>
      <c r="DC124">
        <v>144</v>
      </c>
      <c r="DD124">
        <v>78</v>
      </c>
      <c r="DE124">
        <v>0</v>
      </c>
      <c r="DF124">
        <v>180</v>
      </c>
      <c r="DG124">
        <v>81</v>
      </c>
      <c r="DH124">
        <v>0</v>
      </c>
      <c r="DI124">
        <v>116</v>
      </c>
      <c r="DJ124">
        <v>93</v>
      </c>
      <c r="DK124">
        <v>0</v>
      </c>
      <c r="DL124">
        <v>222</v>
      </c>
      <c r="DM124">
        <v>66</v>
      </c>
      <c r="DN124">
        <v>0</v>
      </c>
      <c r="DO124">
        <v>177</v>
      </c>
      <c r="DP124">
        <v>93</v>
      </c>
      <c r="DQ124">
        <v>0</v>
      </c>
      <c r="DR124">
        <v>146</v>
      </c>
      <c r="DS124">
        <v>58</v>
      </c>
      <c r="DT124">
        <v>0</v>
      </c>
      <c r="DU124">
        <v>171</v>
      </c>
      <c r="DV124">
        <v>90</v>
      </c>
      <c r="DW124">
        <v>0</v>
      </c>
      <c r="DX124">
        <v>199</v>
      </c>
      <c r="DY124">
        <v>84</v>
      </c>
      <c r="DZ124">
        <v>0</v>
      </c>
    </row>
    <row r="125" spans="1:130" hidden="1">
      <c r="B125" s="1332">
        <f t="shared" si="0"/>
        <v>13.1</v>
      </c>
      <c r="C125" s="1332">
        <f t="shared" si="1"/>
        <v>87</v>
      </c>
      <c r="D125" s="1332">
        <f t="shared" si="2"/>
        <v>0</v>
      </c>
      <c r="F125">
        <v>5090</v>
      </c>
      <c r="G125">
        <v>31</v>
      </c>
      <c r="H125">
        <v>1</v>
      </c>
      <c r="I125">
        <v>2</v>
      </c>
      <c r="J125">
        <v>8</v>
      </c>
      <c r="K125">
        <v>131</v>
      </c>
      <c r="L125">
        <v>87</v>
      </c>
      <c r="M125">
        <v>0</v>
      </c>
      <c r="N125">
        <v>229</v>
      </c>
      <c r="O125">
        <v>56</v>
      </c>
      <c r="P125">
        <v>0</v>
      </c>
      <c r="Q125">
        <v>196</v>
      </c>
      <c r="R125">
        <v>80</v>
      </c>
      <c r="S125">
        <v>0</v>
      </c>
      <c r="T125">
        <v>199</v>
      </c>
      <c r="U125">
        <v>83</v>
      </c>
      <c r="V125">
        <v>0</v>
      </c>
      <c r="W125">
        <v>177</v>
      </c>
      <c r="X125">
        <v>84</v>
      </c>
      <c r="Y125">
        <v>0</v>
      </c>
      <c r="Z125">
        <v>182</v>
      </c>
      <c r="AA125">
        <v>89</v>
      </c>
      <c r="AB125">
        <v>0</v>
      </c>
      <c r="AC125">
        <v>199</v>
      </c>
      <c r="AD125">
        <v>76</v>
      </c>
      <c r="AE125">
        <v>0</v>
      </c>
      <c r="AF125">
        <v>142</v>
      </c>
      <c r="AG125">
        <v>83</v>
      </c>
      <c r="AH125">
        <v>0</v>
      </c>
      <c r="AI125">
        <v>169</v>
      </c>
      <c r="AJ125">
        <v>76</v>
      </c>
      <c r="AK125">
        <v>0</v>
      </c>
      <c r="AL125">
        <v>168</v>
      </c>
      <c r="AM125">
        <v>70</v>
      </c>
      <c r="AN125">
        <v>0</v>
      </c>
      <c r="AO125">
        <v>194</v>
      </c>
      <c r="AP125">
        <v>68</v>
      </c>
      <c r="AQ125">
        <v>0</v>
      </c>
      <c r="AR125">
        <v>179</v>
      </c>
      <c r="AS125">
        <v>81</v>
      </c>
      <c r="AT125">
        <v>0</v>
      </c>
      <c r="AU125">
        <v>100</v>
      </c>
      <c r="AV125">
        <v>95</v>
      </c>
      <c r="AW125">
        <v>0</v>
      </c>
      <c r="AX125">
        <v>179</v>
      </c>
      <c r="AY125">
        <v>91</v>
      </c>
      <c r="AZ125">
        <v>0</v>
      </c>
      <c r="BA125">
        <v>157</v>
      </c>
      <c r="BB125">
        <v>78</v>
      </c>
      <c r="BC125">
        <v>0</v>
      </c>
      <c r="BD125">
        <v>152</v>
      </c>
      <c r="BE125">
        <v>84</v>
      </c>
      <c r="BF125">
        <v>0</v>
      </c>
      <c r="BG125">
        <v>207</v>
      </c>
      <c r="BH125">
        <v>59</v>
      </c>
      <c r="BI125">
        <v>0</v>
      </c>
      <c r="BJ125">
        <v>224</v>
      </c>
      <c r="BK125">
        <v>37</v>
      </c>
      <c r="BL125">
        <v>0</v>
      </c>
      <c r="BM125">
        <v>240</v>
      </c>
      <c r="BN125">
        <v>33</v>
      </c>
      <c r="BO125">
        <v>0</v>
      </c>
      <c r="BP125">
        <v>208</v>
      </c>
      <c r="BQ125">
        <v>78</v>
      </c>
      <c r="BR125">
        <v>0</v>
      </c>
      <c r="BS125">
        <v>210</v>
      </c>
      <c r="BT125">
        <v>47</v>
      </c>
      <c r="BU125">
        <v>0</v>
      </c>
      <c r="BV125">
        <v>168</v>
      </c>
      <c r="BW125">
        <v>72</v>
      </c>
      <c r="BX125">
        <v>0</v>
      </c>
      <c r="BY125">
        <v>208</v>
      </c>
      <c r="BZ125">
        <v>67</v>
      </c>
      <c r="CA125">
        <v>0</v>
      </c>
      <c r="CB125">
        <v>192</v>
      </c>
      <c r="CC125">
        <v>79</v>
      </c>
      <c r="CD125">
        <v>0</v>
      </c>
      <c r="CE125">
        <v>183</v>
      </c>
      <c r="CF125">
        <v>83</v>
      </c>
      <c r="CG125">
        <v>0</v>
      </c>
      <c r="CH125">
        <v>220</v>
      </c>
      <c r="CI125">
        <v>70</v>
      </c>
      <c r="CJ125">
        <v>0</v>
      </c>
      <c r="CK125">
        <v>172</v>
      </c>
      <c r="CL125">
        <v>43</v>
      </c>
      <c r="CM125">
        <v>0</v>
      </c>
      <c r="CN125">
        <v>228</v>
      </c>
      <c r="CO125">
        <v>56</v>
      </c>
      <c r="CP125">
        <v>0</v>
      </c>
      <c r="CQ125">
        <v>81</v>
      </c>
      <c r="CR125">
        <v>94</v>
      </c>
      <c r="CS125">
        <v>0</v>
      </c>
      <c r="CT125">
        <v>146</v>
      </c>
      <c r="CU125">
        <v>92</v>
      </c>
      <c r="CV125">
        <v>0</v>
      </c>
      <c r="CW125">
        <v>193</v>
      </c>
      <c r="CX125">
        <v>74</v>
      </c>
      <c r="CY125">
        <v>0</v>
      </c>
      <c r="CZ125">
        <v>181</v>
      </c>
      <c r="DA125">
        <v>82</v>
      </c>
      <c r="DB125">
        <v>0</v>
      </c>
      <c r="DC125">
        <v>137</v>
      </c>
      <c r="DD125">
        <v>80</v>
      </c>
      <c r="DE125">
        <v>0</v>
      </c>
      <c r="DF125">
        <v>174</v>
      </c>
      <c r="DG125">
        <v>85</v>
      </c>
      <c r="DH125">
        <v>0</v>
      </c>
      <c r="DI125">
        <v>110</v>
      </c>
      <c r="DJ125">
        <v>93</v>
      </c>
      <c r="DK125">
        <v>0</v>
      </c>
      <c r="DL125">
        <v>219</v>
      </c>
      <c r="DM125">
        <v>66</v>
      </c>
      <c r="DN125">
        <v>0</v>
      </c>
      <c r="DO125">
        <v>170</v>
      </c>
      <c r="DP125">
        <v>94</v>
      </c>
      <c r="DQ125">
        <v>0</v>
      </c>
      <c r="DR125">
        <v>140</v>
      </c>
      <c r="DS125">
        <v>59</v>
      </c>
      <c r="DT125">
        <v>0</v>
      </c>
      <c r="DU125">
        <v>169</v>
      </c>
      <c r="DV125">
        <v>90</v>
      </c>
      <c r="DW125">
        <v>0</v>
      </c>
      <c r="DX125">
        <v>193</v>
      </c>
      <c r="DY125">
        <v>85</v>
      </c>
      <c r="DZ125">
        <v>0</v>
      </c>
    </row>
    <row r="126" spans="1:130" hidden="1">
      <c r="B126" s="1332">
        <f t="shared" si="0"/>
        <v>13.4</v>
      </c>
      <c r="C126" s="1332">
        <f t="shared" si="1"/>
        <v>83</v>
      </c>
      <c r="D126" s="1332">
        <f t="shared" si="2"/>
        <v>0</v>
      </c>
      <c r="F126">
        <v>5091</v>
      </c>
      <c r="G126">
        <v>31</v>
      </c>
      <c r="H126">
        <v>1</v>
      </c>
      <c r="I126">
        <v>3</v>
      </c>
      <c r="J126">
        <v>8</v>
      </c>
      <c r="K126">
        <v>134</v>
      </c>
      <c r="L126">
        <v>83</v>
      </c>
      <c r="M126">
        <v>0</v>
      </c>
      <c r="N126">
        <v>226</v>
      </c>
      <c r="O126">
        <v>57</v>
      </c>
      <c r="P126">
        <v>0</v>
      </c>
      <c r="Q126">
        <v>189</v>
      </c>
      <c r="R126">
        <v>79</v>
      </c>
      <c r="S126">
        <v>0</v>
      </c>
      <c r="T126">
        <v>199</v>
      </c>
      <c r="U126">
        <v>82</v>
      </c>
      <c r="V126">
        <v>0</v>
      </c>
      <c r="W126">
        <v>173</v>
      </c>
      <c r="X126">
        <v>85</v>
      </c>
      <c r="Y126">
        <v>0</v>
      </c>
      <c r="Z126">
        <v>176</v>
      </c>
      <c r="AA126">
        <v>91</v>
      </c>
      <c r="AB126">
        <v>0</v>
      </c>
      <c r="AC126">
        <v>203</v>
      </c>
      <c r="AD126">
        <v>72</v>
      </c>
      <c r="AE126">
        <v>0</v>
      </c>
      <c r="AF126">
        <v>138</v>
      </c>
      <c r="AG126">
        <v>85</v>
      </c>
      <c r="AH126">
        <v>0</v>
      </c>
      <c r="AI126">
        <v>165</v>
      </c>
      <c r="AJ126">
        <v>77</v>
      </c>
      <c r="AK126">
        <v>0</v>
      </c>
      <c r="AL126">
        <v>170</v>
      </c>
      <c r="AM126">
        <v>67</v>
      </c>
      <c r="AN126">
        <v>0</v>
      </c>
      <c r="AO126">
        <v>184</v>
      </c>
      <c r="AP126">
        <v>73</v>
      </c>
      <c r="AQ126">
        <v>0</v>
      </c>
      <c r="AR126">
        <v>176</v>
      </c>
      <c r="AS126">
        <v>84</v>
      </c>
      <c r="AT126">
        <v>0</v>
      </c>
      <c r="AU126">
        <v>101</v>
      </c>
      <c r="AV126">
        <v>91</v>
      </c>
      <c r="AW126">
        <v>0</v>
      </c>
      <c r="AX126">
        <v>174</v>
      </c>
      <c r="AY126">
        <v>94</v>
      </c>
      <c r="AZ126">
        <v>0</v>
      </c>
      <c r="BA126">
        <v>153</v>
      </c>
      <c r="BB126">
        <v>78</v>
      </c>
      <c r="BC126">
        <v>0</v>
      </c>
      <c r="BD126">
        <v>142</v>
      </c>
      <c r="BE126">
        <v>86</v>
      </c>
      <c r="BF126">
        <v>0</v>
      </c>
      <c r="BG126">
        <v>203</v>
      </c>
      <c r="BH126">
        <v>62</v>
      </c>
      <c r="BI126">
        <v>0</v>
      </c>
      <c r="BJ126">
        <v>215</v>
      </c>
      <c r="BK126">
        <v>40</v>
      </c>
      <c r="BL126">
        <v>0</v>
      </c>
      <c r="BM126">
        <v>232</v>
      </c>
      <c r="BN126">
        <v>38</v>
      </c>
      <c r="BO126">
        <v>0</v>
      </c>
      <c r="BP126">
        <v>200</v>
      </c>
      <c r="BQ126">
        <v>81</v>
      </c>
      <c r="BR126">
        <v>0</v>
      </c>
      <c r="BS126">
        <v>224</v>
      </c>
      <c r="BT126">
        <v>40</v>
      </c>
      <c r="BU126">
        <v>0</v>
      </c>
      <c r="BV126">
        <v>161</v>
      </c>
      <c r="BW126">
        <v>74</v>
      </c>
      <c r="BX126">
        <v>0</v>
      </c>
      <c r="BY126">
        <v>201</v>
      </c>
      <c r="BZ126">
        <v>68</v>
      </c>
      <c r="CA126">
        <v>0</v>
      </c>
      <c r="CB126">
        <v>184</v>
      </c>
      <c r="CC126">
        <v>85</v>
      </c>
      <c r="CD126">
        <v>0</v>
      </c>
      <c r="CE126">
        <v>175</v>
      </c>
      <c r="CF126">
        <v>85</v>
      </c>
      <c r="CG126">
        <v>0</v>
      </c>
      <c r="CH126">
        <v>215</v>
      </c>
      <c r="CI126">
        <v>72</v>
      </c>
      <c r="CJ126">
        <v>0</v>
      </c>
      <c r="CK126">
        <v>172</v>
      </c>
      <c r="CL126">
        <v>43</v>
      </c>
      <c r="CM126">
        <v>0</v>
      </c>
      <c r="CN126">
        <v>227</v>
      </c>
      <c r="CO126">
        <v>52</v>
      </c>
      <c r="CP126">
        <v>0</v>
      </c>
      <c r="CQ126">
        <v>77</v>
      </c>
      <c r="CR126">
        <v>96</v>
      </c>
      <c r="CS126">
        <v>0</v>
      </c>
      <c r="CT126">
        <v>143</v>
      </c>
      <c r="CU126">
        <v>86</v>
      </c>
      <c r="CV126">
        <v>0</v>
      </c>
      <c r="CW126">
        <v>187</v>
      </c>
      <c r="CX126">
        <v>77</v>
      </c>
      <c r="CY126">
        <v>0</v>
      </c>
      <c r="CZ126">
        <v>176</v>
      </c>
      <c r="DA126">
        <v>84</v>
      </c>
      <c r="DB126">
        <v>0</v>
      </c>
      <c r="DC126">
        <v>134</v>
      </c>
      <c r="DD126">
        <v>80</v>
      </c>
      <c r="DE126">
        <v>0</v>
      </c>
      <c r="DF126">
        <v>171</v>
      </c>
      <c r="DG126">
        <v>82</v>
      </c>
      <c r="DH126">
        <v>0</v>
      </c>
      <c r="DI126">
        <v>105</v>
      </c>
      <c r="DJ126">
        <v>93</v>
      </c>
      <c r="DK126">
        <v>0</v>
      </c>
      <c r="DL126">
        <v>212</v>
      </c>
      <c r="DM126">
        <v>68</v>
      </c>
      <c r="DN126">
        <v>0</v>
      </c>
      <c r="DO126">
        <v>166</v>
      </c>
      <c r="DP126">
        <v>95</v>
      </c>
      <c r="DQ126">
        <v>0</v>
      </c>
      <c r="DR126">
        <v>140</v>
      </c>
      <c r="DS126">
        <v>58</v>
      </c>
      <c r="DT126">
        <v>0</v>
      </c>
      <c r="DU126">
        <v>161</v>
      </c>
      <c r="DV126">
        <v>94</v>
      </c>
      <c r="DW126">
        <v>0</v>
      </c>
      <c r="DX126">
        <v>188</v>
      </c>
      <c r="DY126">
        <v>85</v>
      </c>
      <c r="DZ126">
        <v>0</v>
      </c>
    </row>
    <row r="127" spans="1:130" hidden="1">
      <c r="B127" s="1332">
        <f t="shared" si="0"/>
        <v>12.7</v>
      </c>
      <c r="C127" s="1332">
        <f t="shared" si="1"/>
        <v>85</v>
      </c>
      <c r="D127" s="1332">
        <f t="shared" si="2"/>
        <v>0</v>
      </c>
      <c r="F127">
        <v>5092</v>
      </c>
      <c r="G127">
        <v>31</v>
      </c>
      <c r="H127">
        <v>1</v>
      </c>
      <c r="I127">
        <v>4</v>
      </c>
      <c r="J127">
        <v>8</v>
      </c>
      <c r="K127">
        <v>127</v>
      </c>
      <c r="L127">
        <v>85</v>
      </c>
      <c r="M127">
        <v>0</v>
      </c>
      <c r="N127">
        <v>217</v>
      </c>
      <c r="O127">
        <v>60</v>
      </c>
      <c r="P127">
        <v>0</v>
      </c>
      <c r="Q127">
        <v>170</v>
      </c>
      <c r="R127">
        <v>86</v>
      </c>
      <c r="S127">
        <v>0</v>
      </c>
      <c r="T127">
        <v>195</v>
      </c>
      <c r="U127">
        <v>84</v>
      </c>
      <c r="V127">
        <v>0</v>
      </c>
      <c r="W127">
        <v>169</v>
      </c>
      <c r="X127">
        <v>86</v>
      </c>
      <c r="Y127">
        <v>0</v>
      </c>
      <c r="Z127">
        <v>172</v>
      </c>
      <c r="AA127">
        <v>93</v>
      </c>
      <c r="AB127">
        <v>0</v>
      </c>
      <c r="AC127">
        <v>198</v>
      </c>
      <c r="AD127">
        <v>73</v>
      </c>
      <c r="AE127">
        <v>0</v>
      </c>
      <c r="AF127">
        <v>132</v>
      </c>
      <c r="AG127">
        <v>87</v>
      </c>
      <c r="AH127">
        <v>0</v>
      </c>
      <c r="AI127">
        <v>160</v>
      </c>
      <c r="AJ127">
        <v>79</v>
      </c>
      <c r="AK127">
        <v>0</v>
      </c>
      <c r="AL127">
        <v>166</v>
      </c>
      <c r="AM127">
        <v>67</v>
      </c>
      <c r="AN127">
        <v>0</v>
      </c>
      <c r="AO127">
        <v>179</v>
      </c>
      <c r="AP127">
        <v>78</v>
      </c>
      <c r="AQ127">
        <v>0</v>
      </c>
      <c r="AR127">
        <v>177</v>
      </c>
      <c r="AS127">
        <v>82</v>
      </c>
      <c r="AT127">
        <v>0</v>
      </c>
      <c r="AU127">
        <v>98</v>
      </c>
      <c r="AV127">
        <v>90</v>
      </c>
      <c r="AW127">
        <v>0</v>
      </c>
      <c r="AX127">
        <v>175</v>
      </c>
      <c r="AY127">
        <v>94</v>
      </c>
      <c r="AZ127">
        <v>0</v>
      </c>
      <c r="BA127">
        <v>149</v>
      </c>
      <c r="BB127">
        <v>76</v>
      </c>
      <c r="BC127">
        <v>0</v>
      </c>
      <c r="BD127">
        <v>139</v>
      </c>
      <c r="BE127">
        <v>88</v>
      </c>
      <c r="BF127">
        <v>0</v>
      </c>
      <c r="BG127">
        <v>201</v>
      </c>
      <c r="BH127">
        <v>63</v>
      </c>
      <c r="BI127">
        <v>0</v>
      </c>
      <c r="BJ127">
        <v>217</v>
      </c>
      <c r="BK127">
        <v>38</v>
      </c>
      <c r="BL127">
        <v>0</v>
      </c>
      <c r="BM127">
        <v>225</v>
      </c>
      <c r="BN127">
        <v>41</v>
      </c>
      <c r="BO127">
        <v>0</v>
      </c>
      <c r="BP127">
        <v>196</v>
      </c>
      <c r="BQ127">
        <v>83</v>
      </c>
      <c r="BR127">
        <v>0</v>
      </c>
      <c r="BS127">
        <v>202</v>
      </c>
      <c r="BT127">
        <v>48</v>
      </c>
      <c r="BU127">
        <v>0</v>
      </c>
      <c r="BV127">
        <v>160</v>
      </c>
      <c r="BW127">
        <v>74</v>
      </c>
      <c r="BX127">
        <v>0</v>
      </c>
      <c r="BY127">
        <v>196</v>
      </c>
      <c r="BZ127">
        <v>69</v>
      </c>
      <c r="CA127">
        <v>0</v>
      </c>
      <c r="CB127">
        <v>181</v>
      </c>
      <c r="CC127">
        <v>84</v>
      </c>
      <c r="CD127">
        <v>0</v>
      </c>
      <c r="CE127">
        <v>171</v>
      </c>
      <c r="CF127">
        <v>86</v>
      </c>
      <c r="CG127">
        <v>0</v>
      </c>
      <c r="CH127">
        <v>209</v>
      </c>
      <c r="CI127">
        <v>75</v>
      </c>
      <c r="CJ127">
        <v>0</v>
      </c>
      <c r="CK127">
        <v>172</v>
      </c>
      <c r="CL127">
        <v>44</v>
      </c>
      <c r="CM127">
        <v>0</v>
      </c>
      <c r="CN127">
        <v>218</v>
      </c>
      <c r="CO127">
        <v>53</v>
      </c>
      <c r="CP127">
        <v>0</v>
      </c>
      <c r="CQ127">
        <v>68</v>
      </c>
      <c r="CR127">
        <v>97</v>
      </c>
      <c r="CS127">
        <v>0</v>
      </c>
      <c r="CT127">
        <v>134</v>
      </c>
      <c r="CU127">
        <v>93</v>
      </c>
      <c r="CV127">
        <v>0</v>
      </c>
      <c r="CW127">
        <v>186</v>
      </c>
      <c r="CX127">
        <v>79</v>
      </c>
      <c r="CY127">
        <v>0</v>
      </c>
      <c r="CZ127">
        <v>170</v>
      </c>
      <c r="DA127">
        <v>89</v>
      </c>
      <c r="DB127">
        <v>0</v>
      </c>
      <c r="DC127">
        <v>131</v>
      </c>
      <c r="DD127">
        <v>82</v>
      </c>
      <c r="DE127">
        <v>0</v>
      </c>
      <c r="DF127">
        <v>170</v>
      </c>
      <c r="DG127">
        <v>82</v>
      </c>
      <c r="DH127">
        <v>0</v>
      </c>
      <c r="DI127">
        <v>98</v>
      </c>
      <c r="DJ127">
        <v>95</v>
      </c>
      <c r="DK127">
        <v>0</v>
      </c>
      <c r="DL127">
        <v>210</v>
      </c>
      <c r="DM127">
        <v>69</v>
      </c>
      <c r="DN127">
        <v>0</v>
      </c>
      <c r="DO127">
        <v>162</v>
      </c>
      <c r="DP127">
        <v>94</v>
      </c>
      <c r="DQ127">
        <v>0</v>
      </c>
      <c r="DR127">
        <v>134</v>
      </c>
      <c r="DS127">
        <v>59</v>
      </c>
      <c r="DT127">
        <v>0</v>
      </c>
      <c r="DU127">
        <v>157</v>
      </c>
      <c r="DV127">
        <v>96</v>
      </c>
      <c r="DW127">
        <v>0</v>
      </c>
      <c r="DX127">
        <v>184</v>
      </c>
      <c r="DY127">
        <v>88</v>
      </c>
      <c r="DZ127">
        <v>0</v>
      </c>
    </row>
    <row r="128" spans="1:130" hidden="1">
      <c r="B128" s="1332">
        <f t="shared" si="0"/>
        <v>12.9</v>
      </c>
      <c r="C128" s="1332">
        <f t="shared" si="1"/>
        <v>85</v>
      </c>
      <c r="D128" s="1332">
        <f t="shared" si="2"/>
        <v>0</v>
      </c>
      <c r="F128">
        <v>5093</v>
      </c>
      <c r="G128">
        <v>31</v>
      </c>
      <c r="H128">
        <v>1</v>
      </c>
      <c r="I128">
        <v>5</v>
      </c>
      <c r="J128">
        <v>8</v>
      </c>
      <c r="K128">
        <v>129</v>
      </c>
      <c r="L128">
        <v>85</v>
      </c>
      <c r="M128">
        <v>0</v>
      </c>
      <c r="N128">
        <v>213</v>
      </c>
      <c r="O128">
        <v>61</v>
      </c>
      <c r="P128">
        <v>0</v>
      </c>
      <c r="Q128">
        <v>172</v>
      </c>
      <c r="R128">
        <v>89</v>
      </c>
      <c r="S128">
        <v>0</v>
      </c>
      <c r="T128">
        <v>191</v>
      </c>
      <c r="U128">
        <v>85</v>
      </c>
      <c r="V128">
        <v>0</v>
      </c>
      <c r="W128">
        <v>164</v>
      </c>
      <c r="X128">
        <v>88</v>
      </c>
      <c r="Y128">
        <v>0</v>
      </c>
      <c r="Z128">
        <v>165</v>
      </c>
      <c r="AA128">
        <v>95</v>
      </c>
      <c r="AB128">
        <v>0</v>
      </c>
      <c r="AC128">
        <v>196</v>
      </c>
      <c r="AD128">
        <v>73</v>
      </c>
      <c r="AE128">
        <v>3</v>
      </c>
      <c r="AF128">
        <v>126</v>
      </c>
      <c r="AG128">
        <v>87</v>
      </c>
      <c r="AH128">
        <v>3</v>
      </c>
      <c r="AI128">
        <v>163</v>
      </c>
      <c r="AJ128">
        <v>77</v>
      </c>
      <c r="AK128">
        <v>0</v>
      </c>
      <c r="AL128">
        <v>160</v>
      </c>
      <c r="AM128">
        <v>70</v>
      </c>
      <c r="AN128">
        <v>0</v>
      </c>
      <c r="AO128">
        <v>176</v>
      </c>
      <c r="AP128">
        <v>81</v>
      </c>
      <c r="AQ128">
        <v>0</v>
      </c>
      <c r="AR128">
        <v>171</v>
      </c>
      <c r="AS128">
        <v>85</v>
      </c>
      <c r="AT128">
        <v>2</v>
      </c>
      <c r="AU128">
        <v>99</v>
      </c>
      <c r="AV128">
        <v>81</v>
      </c>
      <c r="AW128">
        <v>0</v>
      </c>
      <c r="AX128">
        <v>176</v>
      </c>
      <c r="AY128">
        <v>94</v>
      </c>
      <c r="AZ128">
        <v>6</v>
      </c>
      <c r="BA128">
        <v>146</v>
      </c>
      <c r="BB128">
        <v>76</v>
      </c>
      <c r="BC128">
        <v>0</v>
      </c>
      <c r="BD128">
        <v>140</v>
      </c>
      <c r="BE128">
        <v>90</v>
      </c>
      <c r="BF128">
        <v>0</v>
      </c>
      <c r="BG128">
        <v>196</v>
      </c>
      <c r="BH128">
        <v>68</v>
      </c>
      <c r="BI128">
        <v>0</v>
      </c>
      <c r="BJ128">
        <v>216</v>
      </c>
      <c r="BK128">
        <v>39</v>
      </c>
      <c r="BL128">
        <v>0</v>
      </c>
      <c r="BM128">
        <v>219</v>
      </c>
      <c r="BN128">
        <v>44</v>
      </c>
      <c r="BO128">
        <v>0</v>
      </c>
      <c r="BP128">
        <v>194</v>
      </c>
      <c r="BQ128">
        <v>83</v>
      </c>
      <c r="BR128">
        <v>0</v>
      </c>
      <c r="BS128">
        <v>177</v>
      </c>
      <c r="BT128">
        <v>59</v>
      </c>
      <c r="BU128">
        <v>0</v>
      </c>
      <c r="BV128">
        <v>159</v>
      </c>
      <c r="BW128">
        <v>74</v>
      </c>
      <c r="BX128">
        <v>0</v>
      </c>
      <c r="BY128">
        <v>192</v>
      </c>
      <c r="BZ128">
        <v>73</v>
      </c>
      <c r="CA128">
        <v>0</v>
      </c>
      <c r="CB128">
        <v>178</v>
      </c>
      <c r="CC128">
        <v>86</v>
      </c>
      <c r="CD128">
        <v>0</v>
      </c>
      <c r="CE128">
        <v>167</v>
      </c>
      <c r="CF128">
        <v>86</v>
      </c>
      <c r="CG128">
        <v>0</v>
      </c>
      <c r="CH128">
        <v>204</v>
      </c>
      <c r="CI128">
        <v>76</v>
      </c>
      <c r="CJ128">
        <v>0</v>
      </c>
      <c r="CK128">
        <v>174</v>
      </c>
      <c r="CL128">
        <v>43</v>
      </c>
      <c r="CM128">
        <v>2</v>
      </c>
      <c r="CN128">
        <v>215</v>
      </c>
      <c r="CO128">
        <v>55</v>
      </c>
      <c r="CP128">
        <v>0</v>
      </c>
      <c r="CQ128">
        <v>62</v>
      </c>
      <c r="CR128">
        <v>99</v>
      </c>
      <c r="CS128">
        <v>3</v>
      </c>
      <c r="CT128">
        <v>127</v>
      </c>
      <c r="CU128">
        <v>91</v>
      </c>
      <c r="CV128">
        <v>2</v>
      </c>
      <c r="CW128">
        <v>185</v>
      </c>
      <c r="CX128">
        <v>80</v>
      </c>
      <c r="CY128">
        <v>5</v>
      </c>
      <c r="CZ128">
        <v>164</v>
      </c>
      <c r="DA128">
        <v>90</v>
      </c>
      <c r="DB128">
        <v>3</v>
      </c>
      <c r="DC128">
        <v>130</v>
      </c>
      <c r="DD128">
        <v>83</v>
      </c>
      <c r="DE128">
        <v>4</v>
      </c>
      <c r="DF128">
        <v>168</v>
      </c>
      <c r="DG128">
        <v>83</v>
      </c>
      <c r="DH128">
        <v>0</v>
      </c>
      <c r="DI128">
        <v>95</v>
      </c>
      <c r="DJ128">
        <v>95</v>
      </c>
      <c r="DK128">
        <v>0</v>
      </c>
      <c r="DL128">
        <v>207</v>
      </c>
      <c r="DM128">
        <v>68</v>
      </c>
      <c r="DN128">
        <v>3</v>
      </c>
      <c r="DO128">
        <v>158</v>
      </c>
      <c r="DP128">
        <v>95</v>
      </c>
      <c r="DQ128">
        <v>0</v>
      </c>
      <c r="DR128">
        <v>128</v>
      </c>
      <c r="DS128">
        <v>61</v>
      </c>
      <c r="DT128">
        <v>0</v>
      </c>
      <c r="DU128">
        <v>153</v>
      </c>
      <c r="DV128">
        <v>96</v>
      </c>
      <c r="DW128">
        <v>0</v>
      </c>
      <c r="DX128">
        <v>183</v>
      </c>
      <c r="DY128">
        <v>87</v>
      </c>
      <c r="DZ128">
        <v>3</v>
      </c>
    </row>
    <row r="129" spans="2:130" hidden="1">
      <c r="B129" s="1332">
        <f t="shared" si="0"/>
        <v>13.4</v>
      </c>
      <c r="C129" s="1332">
        <f t="shared" si="1"/>
        <v>82</v>
      </c>
      <c r="D129" s="1332">
        <f t="shared" si="2"/>
        <v>19</v>
      </c>
      <c r="F129">
        <v>5094</v>
      </c>
      <c r="G129">
        <v>31</v>
      </c>
      <c r="H129">
        <v>1</v>
      </c>
      <c r="I129">
        <v>6</v>
      </c>
      <c r="J129">
        <v>8</v>
      </c>
      <c r="K129">
        <v>134</v>
      </c>
      <c r="L129">
        <v>82</v>
      </c>
      <c r="M129">
        <v>19</v>
      </c>
      <c r="N129">
        <v>214</v>
      </c>
      <c r="O129">
        <v>60</v>
      </c>
      <c r="P129">
        <v>15</v>
      </c>
      <c r="Q129">
        <v>170</v>
      </c>
      <c r="R129">
        <v>88</v>
      </c>
      <c r="S129">
        <v>21</v>
      </c>
      <c r="T129">
        <v>197</v>
      </c>
      <c r="U129">
        <v>83</v>
      </c>
      <c r="V129">
        <v>31</v>
      </c>
      <c r="W129">
        <v>173</v>
      </c>
      <c r="X129">
        <v>85</v>
      </c>
      <c r="Y129">
        <v>31</v>
      </c>
      <c r="Z129">
        <v>177</v>
      </c>
      <c r="AA129">
        <v>92</v>
      </c>
      <c r="AB129">
        <v>30</v>
      </c>
      <c r="AC129">
        <v>191</v>
      </c>
      <c r="AD129">
        <v>77</v>
      </c>
      <c r="AE129">
        <v>12</v>
      </c>
      <c r="AF129">
        <v>124</v>
      </c>
      <c r="AG129">
        <v>87</v>
      </c>
      <c r="AH129">
        <v>18</v>
      </c>
      <c r="AI129">
        <v>169</v>
      </c>
      <c r="AJ129">
        <v>76</v>
      </c>
      <c r="AK129">
        <v>30</v>
      </c>
      <c r="AL129">
        <v>162</v>
      </c>
      <c r="AM129">
        <v>69</v>
      </c>
      <c r="AN129">
        <v>13</v>
      </c>
      <c r="AO129">
        <v>189</v>
      </c>
      <c r="AP129">
        <v>77</v>
      </c>
      <c r="AQ129">
        <v>26</v>
      </c>
      <c r="AR129">
        <v>168</v>
      </c>
      <c r="AS129">
        <v>87</v>
      </c>
      <c r="AT129">
        <v>10</v>
      </c>
      <c r="AU129">
        <v>105</v>
      </c>
      <c r="AV129">
        <v>79</v>
      </c>
      <c r="AW129">
        <v>30</v>
      </c>
      <c r="AX129">
        <v>194</v>
      </c>
      <c r="AY129">
        <v>89</v>
      </c>
      <c r="AZ129">
        <v>36</v>
      </c>
      <c r="BA129">
        <v>143</v>
      </c>
      <c r="BB129">
        <v>79</v>
      </c>
      <c r="BC129">
        <v>11</v>
      </c>
      <c r="BD129">
        <v>150</v>
      </c>
      <c r="BE129">
        <v>88</v>
      </c>
      <c r="BF129">
        <v>30</v>
      </c>
      <c r="BG129">
        <v>207</v>
      </c>
      <c r="BH129">
        <v>64</v>
      </c>
      <c r="BI129">
        <v>29</v>
      </c>
      <c r="BJ129">
        <v>218</v>
      </c>
      <c r="BK129">
        <v>40</v>
      </c>
      <c r="BL129">
        <v>31</v>
      </c>
      <c r="BM129">
        <v>215</v>
      </c>
      <c r="BN129">
        <v>46</v>
      </c>
      <c r="BO129">
        <v>18</v>
      </c>
      <c r="BP129">
        <v>205</v>
      </c>
      <c r="BQ129">
        <v>79</v>
      </c>
      <c r="BR129">
        <v>30</v>
      </c>
      <c r="BS129">
        <v>187</v>
      </c>
      <c r="BT129">
        <v>59</v>
      </c>
      <c r="BU129">
        <v>31</v>
      </c>
      <c r="BV129">
        <v>161</v>
      </c>
      <c r="BW129">
        <v>74</v>
      </c>
      <c r="BX129">
        <v>29</v>
      </c>
      <c r="BY129">
        <v>197</v>
      </c>
      <c r="BZ129">
        <v>75</v>
      </c>
      <c r="CA129">
        <v>26</v>
      </c>
      <c r="CB129">
        <v>184</v>
      </c>
      <c r="CC129">
        <v>86</v>
      </c>
      <c r="CD129">
        <v>29</v>
      </c>
      <c r="CE129">
        <v>162</v>
      </c>
      <c r="CF129">
        <v>87</v>
      </c>
      <c r="CG129">
        <v>10</v>
      </c>
      <c r="CH129">
        <v>208</v>
      </c>
      <c r="CI129">
        <v>75</v>
      </c>
      <c r="CJ129">
        <v>25</v>
      </c>
      <c r="CK129">
        <v>175</v>
      </c>
      <c r="CL129">
        <v>44</v>
      </c>
      <c r="CM129">
        <v>13</v>
      </c>
      <c r="CN129">
        <v>213</v>
      </c>
      <c r="CO129">
        <v>61</v>
      </c>
      <c r="CP129">
        <v>32</v>
      </c>
      <c r="CQ129">
        <v>60</v>
      </c>
      <c r="CR129">
        <v>96</v>
      </c>
      <c r="CS129">
        <v>15</v>
      </c>
      <c r="CT129">
        <v>128</v>
      </c>
      <c r="CU129">
        <v>90</v>
      </c>
      <c r="CV129">
        <v>9</v>
      </c>
      <c r="CW129">
        <v>194</v>
      </c>
      <c r="CX129">
        <v>78</v>
      </c>
      <c r="CY129">
        <v>37</v>
      </c>
      <c r="CZ129">
        <v>173</v>
      </c>
      <c r="DA129">
        <v>86</v>
      </c>
      <c r="DB129">
        <v>33</v>
      </c>
      <c r="DC129">
        <v>134</v>
      </c>
      <c r="DD129">
        <v>81</v>
      </c>
      <c r="DE129">
        <v>31</v>
      </c>
      <c r="DF129">
        <v>173</v>
      </c>
      <c r="DG129">
        <v>82</v>
      </c>
      <c r="DH129">
        <v>29</v>
      </c>
      <c r="DI129">
        <v>97</v>
      </c>
      <c r="DJ129">
        <v>95</v>
      </c>
      <c r="DK129">
        <v>14</v>
      </c>
      <c r="DL129">
        <v>210</v>
      </c>
      <c r="DM129">
        <v>66</v>
      </c>
      <c r="DN129">
        <v>14</v>
      </c>
      <c r="DO129">
        <v>166</v>
      </c>
      <c r="DP129">
        <v>94</v>
      </c>
      <c r="DQ129">
        <v>33</v>
      </c>
      <c r="DR129">
        <v>130</v>
      </c>
      <c r="DS129">
        <v>59</v>
      </c>
      <c r="DT129">
        <v>4</v>
      </c>
      <c r="DU129">
        <v>164</v>
      </c>
      <c r="DV129">
        <v>94</v>
      </c>
      <c r="DW129">
        <v>34</v>
      </c>
      <c r="DX129">
        <v>189</v>
      </c>
      <c r="DY129">
        <v>87</v>
      </c>
      <c r="DZ129">
        <v>32</v>
      </c>
    </row>
    <row r="130" spans="2:130" hidden="1">
      <c r="B130" s="1332">
        <f t="shared" si="0"/>
        <v>16.3</v>
      </c>
      <c r="C130" s="1332">
        <f t="shared" si="1"/>
        <v>73</v>
      </c>
      <c r="D130" s="1332">
        <f t="shared" si="2"/>
        <v>58</v>
      </c>
      <c r="F130">
        <v>5095</v>
      </c>
      <c r="G130">
        <v>31</v>
      </c>
      <c r="H130">
        <v>1</v>
      </c>
      <c r="I130">
        <v>7</v>
      </c>
      <c r="J130">
        <v>8</v>
      </c>
      <c r="K130">
        <v>163</v>
      </c>
      <c r="L130">
        <v>73</v>
      </c>
      <c r="M130">
        <v>58</v>
      </c>
      <c r="N130">
        <v>227</v>
      </c>
      <c r="O130">
        <v>56</v>
      </c>
      <c r="P130">
        <v>58</v>
      </c>
      <c r="Q130">
        <v>196</v>
      </c>
      <c r="R130">
        <v>82</v>
      </c>
      <c r="S130">
        <v>60</v>
      </c>
      <c r="T130">
        <v>211</v>
      </c>
      <c r="U130">
        <v>78</v>
      </c>
      <c r="V130">
        <v>61</v>
      </c>
      <c r="W130">
        <v>197</v>
      </c>
      <c r="X130">
        <v>75</v>
      </c>
      <c r="Y130">
        <v>59</v>
      </c>
      <c r="Z130">
        <v>200</v>
      </c>
      <c r="AA130">
        <v>83</v>
      </c>
      <c r="AB130">
        <v>59</v>
      </c>
      <c r="AC130">
        <v>213</v>
      </c>
      <c r="AD130">
        <v>68</v>
      </c>
      <c r="AE130">
        <v>65</v>
      </c>
      <c r="AF130">
        <v>140</v>
      </c>
      <c r="AG130">
        <v>84</v>
      </c>
      <c r="AH130">
        <v>65</v>
      </c>
      <c r="AI130">
        <v>183</v>
      </c>
      <c r="AJ130">
        <v>71</v>
      </c>
      <c r="AK130">
        <v>56</v>
      </c>
      <c r="AL130">
        <v>165</v>
      </c>
      <c r="AM130">
        <v>71</v>
      </c>
      <c r="AN130">
        <v>30</v>
      </c>
      <c r="AO130">
        <v>212</v>
      </c>
      <c r="AP130">
        <v>70</v>
      </c>
      <c r="AQ130">
        <v>56</v>
      </c>
      <c r="AR130">
        <v>178</v>
      </c>
      <c r="AS130">
        <v>83</v>
      </c>
      <c r="AT130">
        <v>35</v>
      </c>
      <c r="AU130">
        <v>123</v>
      </c>
      <c r="AV130">
        <v>71</v>
      </c>
      <c r="AW130">
        <v>96</v>
      </c>
      <c r="AX130">
        <v>212</v>
      </c>
      <c r="AY130">
        <v>82</v>
      </c>
      <c r="AZ130">
        <v>62</v>
      </c>
      <c r="BA130">
        <v>159</v>
      </c>
      <c r="BB130">
        <v>75</v>
      </c>
      <c r="BC130">
        <v>61</v>
      </c>
      <c r="BD130">
        <v>191</v>
      </c>
      <c r="BE130">
        <v>80</v>
      </c>
      <c r="BF130">
        <v>54</v>
      </c>
      <c r="BG130">
        <v>218</v>
      </c>
      <c r="BH130">
        <v>65</v>
      </c>
      <c r="BI130">
        <v>57</v>
      </c>
      <c r="BJ130">
        <v>230</v>
      </c>
      <c r="BK130">
        <v>39</v>
      </c>
      <c r="BL130">
        <v>61</v>
      </c>
      <c r="BM130">
        <v>224</v>
      </c>
      <c r="BN130">
        <v>53</v>
      </c>
      <c r="BO130">
        <v>65</v>
      </c>
      <c r="BP130">
        <v>227</v>
      </c>
      <c r="BQ130">
        <v>70</v>
      </c>
      <c r="BR130">
        <v>61</v>
      </c>
      <c r="BS130">
        <v>217</v>
      </c>
      <c r="BT130">
        <v>54</v>
      </c>
      <c r="BU130">
        <v>60</v>
      </c>
      <c r="BV130">
        <v>179</v>
      </c>
      <c r="BW130">
        <v>69</v>
      </c>
      <c r="BX130">
        <v>57</v>
      </c>
      <c r="BY130">
        <v>204</v>
      </c>
      <c r="BZ130">
        <v>80</v>
      </c>
      <c r="CA130">
        <v>60</v>
      </c>
      <c r="CB130">
        <v>208</v>
      </c>
      <c r="CC130">
        <v>80</v>
      </c>
      <c r="CD130">
        <v>56</v>
      </c>
      <c r="CE130">
        <v>178</v>
      </c>
      <c r="CF130">
        <v>82</v>
      </c>
      <c r="CG130">
        <v>56</v>
      </c>
      <c r="CH130">
        <v>224</v>
      </c>
      <c r="CI130">
        <v>74</v>
      </c>
      <c r="CJ130">
        <v>57</v>
      </c>
      <c r="CK130">
        <v>182</v>
      </c>
      <c r="CL130">
        <v>42</v>
      </c>
      <c r="CM130">
        <v>26</v>
      </c>
      <c r="CN130">
        <v>233</v>
      </c>
      <c r="CO130">
        <v>56</v>
      </c>
      <c r="CP130">
        <v>59</v>
      </c>
      <c r="CQ130">
        <v>96</v>
      </c>
      <c r="CR130">
        <v>90</v>
      </c>
      <c r="CS130">
        <v>64</v>
      </c>
      <c r="CT130">
        <v>141</v>
      </c>
      <c r="CU130">
        <v>88</v>
      </c>
      <c r="CV130">
        <v>50</v>
      </c>
      <c r="CW130">
        <v>205</v>
      </c>
      <c r="CX130">
        <v>76</v>
      </c>
      <c r="CY130">
        <v>63</v>
      </c>
      <c r="CZ130">
        <v>194</v>
      </c>
      <c r="DA130">
        <v>78</v>
      </c>
      <c r="DB130">
        <v>61</v>
      </c>
      <c r="DC130">
        <v>153</v>
      </c>
      <c r="DD130">
        <v>77</v>
      </c>
      <c r="DE130">
        <v>66</v>
      </c>
      <c r="DF130">
        <v>192</v>
      </c>
      <c r="DG130">
        <v>74</v>
      </c>
      <c r="DH130">
        <v>59</v>
      </c>
      <c r="DI130">
        <v>137</v>
      </c>
      <c r="DJ130">
        <v>86</v>
      </c>
      <c r="DK130">
        <v>61</v>
      </c>
      <c r="DL130">
        <v>214</v>
      </c>
      <c r="DM130">
        <v>65</v>
      </c>
      <c r="DN130">
        <v>56</v>
      </c>
      <c r="DO130">
        <v>187</v>
      </c>
      <c r="DP130">
        <v>87</v>
      </c>
      <c r="DQ130">
        <v>59</v>
      </c>
      <c r="DR130">
        <v>129</v>
      </c>
      <c r="DS130">
        <v>61</v>
      </c>
      <c r="DT130">
        <v>18</v>
      </c>
      <c r="DU130">
        <v>190</v>
      </c>
      <c r="DV130">
        <v>84</v>
      </c>
      <c r="DW130">
        <v>63</v>
      </c>
      <c r="DX130">
        <v>203</v>
      </c>
      <c r="DY130">
        <v>81</v>
      </c>
      <c r="DZ130">
        <v>65</v>
      </c>
    </row>
    <row r="131" spans="2:130" hidden="1">
      <c r="B131" s="1332">
        <f t="shared" si="0"/>
        <v>19.7</v>
      </c>
      <c r="C131" s="1332">
        <f t="shared" si="1"/>
        <v>64</v>
      </c>
      <c r="D131" s="1332">
        <f t="shared" si="2"/>
        <v>81</v>
      </c>
      <c r="F131">
        <v>5096</v>
      </c>
      <c r="G131">
        <v>31</v>
      </c>
      <c r="H131">
        <v>1</v>
      </c>
      <c r="I131">
        <v>8</v>
      </c>
      <c r="J131">
        <v>8</v>
      </c>
      <c r="K131">
        <v>197</v>
      </c>
      <c r="L131">
        <v>64</v>
      </c>
      <c r="M131">
        <v>81</v>
      </c>
      <c r="N131">
        <v>244</v>
      </c>
      <c r="O131">
        <v>51</v>
      </c>
      <c r="P131">
        <v>82</v>
      </c>
      <c r="Q131">
        <v>217</v>
      </c>
      <c r="R131">
        <v>72</v>
      </c>
      <c r="S131">
        <v>76</v>
      </c>
      <c r="T131">
        <v>237</v>
      </c>
      <c r="U131">
        <v>68</v>
      </c>
      <c r="V131">
        <v>77</v>
      </c>
      <c r="W131">
        <v>225</v>
      </c>
      <c r="X131">
        <v>67</v>
      </c>
      <c r="Y131">
        <v>78</v>
      </c>
      <c r="Z131">
        <v>223</v>
      </c>
      <c r="AA131">
        <v>73</v>
      </c>
      <c r="AB131">
        <v>83</v>
      </c>
      <c r="AC131">
        <v>233</v>
      </c>
      <c r="AD131">
        <v>60</v>
      </c>
      <c r="AE131">
        <v>90</v>
      </c>
      <c r="AF131">
        <v>163</v>
      </c>
      <c r="AG131">
        <v>75</v>
      </c>
      <c r="AH131">
        <v>92</v>
      </c>
      <c r="AI131">
        <v>199</v>
      </c>
      <c r="AJ131">
        <v>66</v>
      </c>
      <c r="AK131">
        <v>79</v>
      </c>
      <c r="AL131">
        <v>209</v>
      </c>
      <c r="AM131">
        <v>61</v>
      </c>
      <c r="AN131">
        <v>90</v>
      </c>
      <c r="AO131">
        <v>237</v>
      </c>
      <c r="AP131">
        <v>62</v>
      </c>
      <c r="AQ131">
        <v>85</v>
      </c>
      <c r="AR131">
        <v>209</v>
      </c>
      <c r="AS131">
        <v>64</v>
      </c>
      <c r="AT131">
        <v>93</v>
      </c>
      <c r="AU131">
        <v>122</v>
      </c>
      <c r="AV131">
        <v>76</v>
      </c>
      <c r="AW131">
        <v>124</v>
      </c>
      <c r="AX131">
        <v>217</v>
      </c>
      <c r="AY131">
        <v>80</v>
      </c>
      <c r="AZ131">
        <v>78</v>
      </c>
      <c r="BA131">
        <v>181</v>
      </c>
      <c r="BB131">
        <v>77</v>
      </c>
      <c r="BC131">
        <v>78</v>
      </c>
      <c r="BD131">
        <v>241</v>
      </c>
      <c r="BE131">
        <v>62</v>
      </c>
      <c r="BF131">
        <v>72</v>
      </c>
      <c r="BG131">
        <v>226</v>
      </c>
      <c r="BH131">
        <v>65</v>
      </c>
      <c r="BI131">
        <v>71</v>
      </c>
      <c r="BJ131">
        <v>245</v>
      </c>
      <c r="BK131">
        <v>34</v>
      </c>
      <c r="BL131">
        <v>84</v>
      </c>
      <c r="BM131">
        <v>236</v>
      </c>
      <c r="BN131">
        <v>47</v>
      </c>
      <c r="BO131">
        <v>85</v>
      </c>
      <c r="BP131">
        <v>244</v>
      </c>
      <c r="BQ131">
        <v>65</v>
      </c>
      <c r="BR131">
        <v>81</v>
      </c>
      <c r="BS131">
        <v>242</v>
      </c>
      <c r="BT131">
        <v>47</v>
      </c>
      <c r="BU131">
        <v>87</v>
      </c>
      <c r="BV131">
        <v>192</v>
      </c>
      <c r="BW131">
        <v>65</v>
      </c>
      <c r="BX131">
        <v>76</v>
      </c>
      <c r="BY131">
        <v>230</v>
      </c>
      <c r="BZ131">
        <v>70</v>
      </c>
      <c r="CA131">
        <v>83</v>
      </c>
      <c r="CB131">
        <v>233</v>
      </c>
      <c r="CC131">
        <v>71</v>
      </c>
      <c r="CD131">
        <v>74</v>
      </c>
      <c r="CE131">
        <v>207</v>
      </c>
      <c r="CF131">
        <v>69</v>
      </c>
      <c r="CG131">
        <v>88</v>
      </c>
      <c r="CH131">
        <v>234</v>
      </c>
      <c r="CI131">
        <v>72</v>
      </c>
      <c r="CJ131">
        <v>72</v>
      </c>
      <c r="CK131">
        <v>198</v>
      </c>
      <c r="CL131">
        <v>40</v>
      </c>
      <c r="CM131">
        <v>94</v>
      </c>
      <c r="CN131">
        <v>254</v>
      </c>
      <c r="CO131">
        <v>55</v>
      </c>
      <c r="CP131">
        <v>80</v>
      </c>
      <c r="CQ131">
        <v>138</v>
      </c>
      <c r="CR131">
        <v>78</v>
      </c>
      <c r="CS131">
        <v>91</v>
      </c>
      <c r="CT131">
        <v>185</v>
      </c>
      <c r="CU131">
        <v>69</v>
      </c>
      <c r="CV131">
        <v>95</v>
      </c>
      <c r="CW131">
        <v>218</v>
      </c>
      <c r="CX131">
        <v>73</v>
      </c>
      <c r="CY131">
        <v>78</v>
      </c>
      <c r="CZ131">
        <v>218</v>
      </c>
      <c r="DA131">
        <v>68</v>
      </c>
      <c r="DB131">
        <v>79</v>
      </c>
      <c r="DC131">
        <v>177</v>
      </c>
      <c r="DD131">
        <v>70</v>
      </c>
      <c r="DE131">
        <v>86</v>
      </c>
      <c r="DF131">
        <v>213</v>
      </c>
      <c r="DG131">
        <v>63</v>
      </c>
      <c r="DH131">
        <v>81</v>
      </c>
      <c r="DI131">
        <v>181</v>
      </c>
      <c r="DJ131">
        <v>68</v>
      </c>
      <c r="DK131">
        <v>81</v>
      </c>
      <c r="DL131">
        <v>234</v>
      </c>
      <c r="DM131">
        <v>59</v>
      </c>
      <c r="DN131">
        <v>99</v>
      </c>
      <c r="DO131">
        <v>212</v>
      </c>
      <c r="DP131">
        <v>77</v>
      </c>
      <c r="DQ131">
        <v>76</v>
      </c>
      <c r="DR131">
        <v>172</v>
      </c>
      <c r="DS131">
        <v>51</v>
      </c>
      <c r="DT131">
        <v>88</v>
      </c>
      <c r="DU131">
        <v>221</v>
      </c>
      <c r="DV131">
        <v>72</v>
      </c>
      <c r="DW131">
        <v>81</v>
      </c>
      <c r="DX131">
        <v>219</v>
      </c>
      <c r="DY131">
        <v>75</v>
      </c>
      <c r="DZ131">
        <v>77</v>
      </c>
    </row>
    <row r="132" spans="2:130" hidden="1">
      <c r="B132" s="1332">
        <f t="shared" si="0"/>
        <v>22.1</v>
      </c>
      <c r="C132" s="1332">
        <f t="shared" si="1"/>
        <v>50</v>
      </c>
      <c r="D132" s="1332">
        <f t="shared" si="2"/>
        <v>108</v>
      </c>
      <c r="F132">
        <v>5097</v>
      </c>
      <c r="G132">
        <v>31</v>
      </c>
      <c r="H132">
        <v>1</v>
      </c>
      <c r="I132">
        <v>9</v>
      </c>
      <c r="J132">
        <v>8</v>
      </c>
      <c r="K132">
        <v>221</v>
      </c>
      <c r="L132">
        <v>50</v>
      </c>
      <c r="M132">
        <v>108</v>
      </c>
      <c r="N132">
        <v>262</v>
      </c>
      <c r="O132">
        <v>51</v>
      </c>
      <c r="P132">
        <v>101</v>
      </c>
      <c r="Q132">
        <v>231</v>
      </c>
      <c r="R132">
        <v>66</v>
      </c>
      <c r="S132">
        <v>102</v>
      </c>
      <c r="T132">
        <v>261</v>
      </c>
      <c r="U132">
        <v>59</v>
      </c>
      <c r="V132">
        <v>101</v>
      </c>
      <c r="W132">
        <v>244</v>
      </c>
      <c r="X132">
        <v>59</v>
      </c>
      <c r="Y132">
        <v>101</v>
      </c>
      <c r="Z132">
        <v>246</v>
      </c>
      <c r="AA132">
        <v>64</v>
      </c>
      <c r="AB132">
        <v>100</v>
      </c>
      <c r="AC132">
        <v>252</v>
      </c>
      <c r="AD132">
        <v>53</v>
      </c>
      <c r="AE132">
        <v>113</v>
      </c>
      <c r="AF132">
        <v>187</v>
      </c>
      <c r="AG132">
        <v>67</v>
      </c>
      <c r="AH132">
        <v>102</v>
      </c>
      <c r="AI132">
        <v>223</v>
      </c>
      <c r="AJ132">
        <v>59</v>
      </c>
      <c r="AK132">
        <v>100</v>
      </c>
      <c r="AL132">
        <v>237</v>
      </c>
      <c r="AM132">
        <v>49</v>
      </c>
      <c r="AN132">
        <v>106</v>
      </c>
      <c r="AO132">
        <v>257</v>
      </c>
      <c r="AP132">
        <v>52</v>
      </c>
      <c r="AQ132">
        <v>105</v>
      </c>
      <c r="AR132">
        <v>235</v>
      </c>
      <c r="AS132">
        <v>53</v>
      </c>
      <c r="AT132">
        <v>105</v>
      </c>
      <c r="AU132">
        <v>144</v>
      </c>
      <c r="AV132">
        <v>60</v>
      </c>
      <c r="AW132">
        <v>163</v>
      </c>
      <c r="AX132">
        <v>234</v>
      </c>
      <c r="AY132">
        <v>74</v>
      </c>
      <c r="AZ132">
        <v>90</v>
      </c>
      <c r="BA132">
        <v>207</v>
      </c>
      <c r="BB132">
        <v>68</v>
      </c>
      <c r="BC132">
        <v>96</v>
      </c>
      <c r="BD132">
        <v>259</v>
      </c>
      <c r="BE132">
        <v>49</v>
      </c>
      <c r="BF132">
        <v>92</v>
      </c>
      <c r="BG132">
        <v>228</v>
      </c>
      <c r="BH132">
        <v>69</v>
      </c>
      <c r="BI132">
        <v>90</v>
      </c>
      <c r="BJ132">
        <v>260</v>
      </c>
      <c r="BK132">
        <v>33</v>
      </c>
      <c r="BL132">
        <v>105</v>
      </c>
      <c r="BM132">
        <v>246</v>
      </c>
      <c r="BN132">
        <v>46</v>
      </c>
      <c r="BO132">
        <v>105</v>
      </c>
      <c r="BP132">
        <v>263</v>
      </c>
      <c r="BQ132">
        <v>60</v>
      </c>
      <c r="BR132">
        <v>99</v>
      </c>
      <c r="BS132">
        <v>268</v>
      </c>
      <c r="BT132">
        <v>39</v>
      </c>
      <c r="BU132">
        <v>113</v>
      </c>
      <c r="BV132">
        <v>210</v>
      </c>
      <c r="BW132">
        <v>59</v>
      </c>
      <c r="BX132">
        <v>97</v>
      </c>
      <c r="BY132">
        <v>251</v>
      </c>
      <c r="BZ132">
        <v>62</v>
      </c>
      <c r="CA132">
        <v>100</v>
      </c>
      <c r="CB132">
        <v>255</v>
      </c>
      <c r="CC132">
        <v>63</v>
      </c>
      <c r="CD132">
        <v>95</v>
      </c>
      <c r="CE132">
        <v>232</v>
      </c>
      <c r="CF132">
        <v>60</v>
      </c>
      <c r="CG132">
        <v>103</v>
      </c>
      <c r="CH132">
        <v>238</v>
      </c>
      <c r="CI132">
        <v>68</v>
      </c>
      <c r="CJ132">
        <v>97</v>
      </c>
      <c r="CK132">
        <v>210</v>
      </c>
      <c r="CL132">
        <v>39</v>
      </c>
      <c r="CM132">
        <v>103</v>
      </c>
      <c r="CN132">
        <v>273</v>
      </c>
      <c r="CO132">
        <v>51</v>
      </c>
      <c r="CP132">
        <v>98</v>
      </c>
      <c r="CQ132">
        <v>175</v>
      </c>
      <c r="CR132">
        <v>67</v>
      </c>
      <c r="CS132">
        <v>97</v>
      </c>
      <c r="CT132">
        <v>198</v>
      </c>
      <c r="CU132">
        <v>57</v>
      </c>
      <c r="CV132">
        <v>101</v>
      </c>
      <c r="CW132">
        <v>229</v>
      </c>
      <c r="CX132">
        <v>72</v>
      </c>
      <c r="CY132">
        <v>102</v>
      </c>
      <c r="CZ132">
        <v>237</v>
      </c>
      <c r="DA132">
        <v>60</v>
      </c>
      <c r="DB132">
        <v>99</v>
      </c>
      <c r="DC132">
        <v>198</v>
      </c>
      <c r="DD132">
        <v>63</v>
      </c>
      <c r="DE132">
        <v>101</v>
      </c>
      <c r="DF132">
        <v>229</v>
      </c>
      <c r="DG132">
        <v>56</v>
      </c>
      <c r="DH132">
        <v>100</v>
      </c>
      <c r="DI132">
        <v>210</v>
      </c>
      <c r="DJ132">
        <v>57</v>
      </c>
      <c r="DK132">
        <v>102</v>
      </c>
      <c r="DL132">
        <v>256</v>
      </c>
      <c r="DM132">
        <v>53</v>
      </c>
      <c r="DN132">
        <v>104</v>
      </c>
      <c r="DO132">
        <v>237</v>
      </c>
      <c r="DP132">
        <v>68</v>
      </c>
      <c r="DQ132">
        <v>100</v>
      </c>
      <c r="DR132">
        <v>203</v>
      </c>
      <c r="DS132">
        <v>41</v>
      </c>
      <c r="DT132">
        <v>99</v>
      </c>
      <c r="DU132">
        <v>253</v>
      </c>
      <c r="DV132">
        <v>61</v>
      </c>
      <c r="DW132">
        <v>98</v>
      </c>
      <c r="DX132">
        <v>240</v>
      </c>
      <c r="DY132">
        <v>66</v>
      </c>
      <c r="DZ132">
        <v>97</v>
      </c>
    </row>
    <row r="133" spans="2:130" hidden="1">
      <c r="B133" s="1332">
        <f t="shared" si="0"/>
        <v>23.2</v>
      </c>
      <c r="C133" s="1332">
        <f t="shared" si="1"/>
        <v>46</v>
      </c>
      <c r="D133" s="1332">
        <f t="shared" si="2"/>
        <v>122</v>
      </c>
      <c r="F133">
        <v>5098</v>
      </c>
      <c r="G133">
        <v>31</v>
      </c>
      <c r="H133">
        <v>1</v>
      </c>
      <c r="I133">
        <v>10</v>
      </c>
      <c r="J133">
        <v>8</v>
      </c>
      <c r="K133">
        <v>232</v>
      </c>
      <c r="L133">
        <v>46</v>
      </c>
      <c r="M133">
        <v>122</v>
      </c>
      <c r="N133">
        <v>280</v>
      </c>
      <c r="O133">
        <v>47</v>
      </c>
      <c r="P133">
        <v>118</v>
      </c>
      <c r="Q133">
        <v>283</v>
      </c>
      <c r="R133">
        <v>47</v>
      </c>
      <c r="S133">
        <v>122</v>
      </c>
      <c r="T133">
        <v>288</v>
      </c>
      <c r="U133">
        <v>50</v>
      </c>
      <c r="V133">
        <v>116</v>
      </c>
      <c r="W133">
        <v>269</v>
      </c>
      <c r="X133">
        <v>51</v>
      </c>
      <c r="Y133">
        <v>115</v>
      </c>
      <c r="Z133">
        <v>271</v>
      </c>
      <c r="AA133">
        <v>56</v>
      </c>
      <c r="AB133">
        <v>118</v>
      </c>
      <c r="AC133">
        <v>274</v>
      </c>
      <c r="AD133">
        <v>48</v>
      </c>
      <c r="AE133">
        <v>121</v>
      </c>
      <c r="AF133">
        <v>198</v>
      </c>
      <c r="AG133">
        <v>58</v>
      </c>
      <c r="AH133">
        <v>112</v>
      </c>
      <c r="AI133">
        <v>243</v>
      </c>
      <c r="AJ133">
        <v>50</v>
      </c>
      <c r="AK133">
        <v>116</v>
      </c>
      <c r="AL133">
        <v>259</v>
      </c>
      <c r="AM133">
        <v>41</v>
      </c>
      <c r="AN133">
        <v>122</v>
      </c>
      <c r="AO133">
        <v>276</v>
      </c>
      <c r="AP133">
        <v>48</v>
      </c>
      <c r="AQ133">
        <v>118</v>
      </c>
      <c r="AR133">
        <v>257</v>
      </c>
      <c r="AS133">
        <v>42</v>
      </c>
      <c r="AT133">
        <v>122</v>
      </c>
      <c r="AU133">
        <v>154</v>
      </c>
      <c r="AV133">
        <v>56</v>
      </c>
      <c r="AW133">
        <v>189</v>
      </c>
      <c r="AX133">
        <v>247</v>
      </c>
      <c r="AY133">
        <v>69</v>
      </c>
      <c r="AZ133">
        <v>103</v>
      </c>
      <c r="BA133">
        <v>226</v>
      </c>
      <c r="BB133">
        <v>58</v>
      </c>
      <c r="BC133">
        <v>114</v>
      </c>
      <c r="BD133">
        <v>268</v>
      </c>
      <c r="BE133">
        <v>43</v>
      </c>
      <c r="BF133">
        <v>108</v>
      </c>
      <c r="BG133">
        <v>237</v>
      </c>
      <c r="BH133">
        <v>68</v>
      </c>
      <c r="BI133">
        <v>115</v>
      </c>
      <c r="BJ133">
        <v>277</v>
      </c>
      <c r="BK133">
        <v>31</v>
      </c>
      <c r="BL133">
        <v>122</v>
      </c>
      <c r="BM133">
        <v>258</v>
      </c>
      <c r="BN133">
        <v>45</v>
      </c>
      <c r="BO133">
        <v>121</v>
      </c>
      <c r="BP133">
        <v>283</v>
      </c>
      <c r="BQ133">
        <v>52</v>
      </c>
      <c r="BR133">
        <v>118</v>
      </c>
      <c r="BS133">
        <v>290</v>
      </c>
      <c r="BT133">
        <v>31</v>
      </c>
      <c r="BU133">
        <v>127</v>
      </c>
      <c r="BV133">
        <v>221</v>
      </c>
      <c r="BW133">
        <v>55</v>
      </c>
      <c r="BX133">
        <v>108</v>
      </c>
      <c r="BY133">
        <v>267</v>
      </c>
      <c r="BZ133">
        <v>55</v>
      </c>
      <c r="CA133">
        <v>114</v>
      </c>
      <c r="CB133">
        <v>273</v>
      </c>
      <c r="CC133">
        <v>57</v>
      </c>
      <c r="CD133">
        <v>113</v>
      </c>
      <c r="CE133">
        <v>253</v>
      </c>
      <c r="CF133">
        <v>54</v>
      </c>
      <c r="CG133">
        <v>118</v>
      </c>
      <c r="CH133">
        <v>250</v>
      </c>
      <c r="CI133">
        <v>64</v>
      </c>
      <c r="CJ133">
        <v>110</v>
      </c>
      <c r="CK133">
        <v>221</v>
      </c>
      <c r="CL133">
        <v>37</v>
      </c>
      <c r="CM133">
        <v>120</v>
      </c>
      <c r="CN133">
        <v>291</v>
      </c>
      <c r="CO133">
        <v>43</v>
      </c>
      <c r="CP133">
        <v>116</v>
      </c>
      <c r="CQ133">
        <v>195</v>
      </c>
      <c r="CR133">
        <v>57</v>
      </c>
      <c r="CS133">
        <v>113</v>
      </c>
      <c r="CT133">
        <v>210</v>
      </c>
      <c r="CU133">
        <v>52</v>
      </c>
      <c r="CV133">
        <v>114</v>
      </c>
      <c r="CW133">
        <v>242</v>
      </c>
      <c r="CX133">
        <v>71</v>
      </c>
      <c r="CY133">
        <v>110</v>
      </c>
      <c r="CZ133">
        <v>257</v>
      </c>
      <c r="DA133">
        <v>54</v>
      </c>
      <c r="DB133">
        <v>115</v>
      </c>
      <c r="DC133">
        <v>220</v>
      </c>
      <c r="DD133">
        <v>51</v>
      </c>
      <c r="DE133">
        <v>113</v>
      </c>
      <c r="DF133">
        <v>254</v>
      </c>
      <c r="DG133">
        <v>52</v>
      </c>
      <c r="DH133">
        <v>119</v>
      </c>
      <c r="DI133">
        <v>234</v>
      </c>
      <c r="DJ133">
        <v>46</v>
      </c>
      <c r="DK133">
        <v>119</v>
      </c>
      <c r="DL133">
        <v>279</v>
      </c>
      <c r="DM133">
        <v>45</v>
      </c>
      <c r="DN133">
        <v>120</v>
      </c>
      <c r="DO133">
        <v>258</v>
      </c>
      <c r="DP133">
        <v>61</v>
      </c>
      <c r="DQ133">
        <v>116</v>
      </c>
      <c r="DR133">
        <v>218</v>
      </c>
      <c r="DS133">
        <v>37</v>
      </c>
      <c r="DT133">
        <v>116</v>
      </c>
      <c r="DU133">
        <v>269</v>
      </c>
      <c r="DV133">
        <v>53</v>
      </c>
      <c r="DW133">
        <v>114</v>
      </c>
      <c r="DX133">
        <v>250</v>
      </c>
      <c r="DY133">
        <v>63</v>
      </c>
      <c r="DZ133">
        <v>112</v>
      </c>
    </row>
    <row r="134" spans="2:130" hidden="1">
      <c r="B134" s="1332">
        <f t="shared" si="0"/>
        <v>23.1</v>
      </c>
      <c r="C134" s="1332">
        <f t="shared" si="1"/>
        <v>53</v>
      </c>
      <c r="D134" s="1332">
        <f t="shared" si="2"/>
        <v>131</v>
      </c>
      <c r="F134">
        <v>5099</v>
      </c>
      <c r="G134">
        <v>31</v>
      </c>
      <c r="H134">
        <v>1</v>
      </c>
      <c r="I134">
        <v>11</v>
      </c>
      <c r="J134">
        <v>8</v>
      </c>
      <c r="K134">
        <v>231</v>
      </c>
      <c r="L134">
        <v>53</v>
      </c>
      <c r="M134">
        <v>131</v>
      </c>
      <c r="N134">
        <v>296</v>
      </c>
      <c r="O134">
        <v>40</v>
      </c>
      <c r="P134">
        <v>129</v>
      </c>
      <c r="Q134">
        <v>326</v>
      </c>
      <c r="R134">
        <v>28</v>
      </c>
      <c r="S134">
        <v>136</v>
      </c>
      <c r="T134">
        <v>302</v>
      </c>
      <c r="U134">
        <v>44</v>
      </c>
      <c r="V134">
        <v>128</v>
      </c>
      <c r="W134">
        <v>283</v>
      </c>
      <c r="X134">
        <v>48</v>
      </c>
      <c r="Y134">
        <v>122</v>
      </c>
      <c r="Z134">
        <v>288</v>
      </c>
      <c r="AA134">
        <v>49</v>
      </c>
      <c r="AB134">
        <v>129</v>
      </c>
      <c r="AC134">
        <v>296</v>
      </c>
      <c r="AD134">
        <v>43</v>
      </c>
      <c r="AE134">
        <v>126</v>
      </c>
      <c r="AF134">
        <v>210</v>
      </c>
      <c r="AG134">
        <v>49</v>
      </c>
      <c r="AH134">
        <v>123</v>
      </c>
      <c r="AI134">
        <v>270</v>
      </c>
      <c r="AJ134">
        <v>41</v>
      </c>
      <c r="AK134">
        <v>127</v>
      </c>
      <c r="AL134">
        <v>270</v>
      </c>
      <c r="AM134">
        <v>41</v>
      </c>
      <c r="AN134">
        <v>133</v>
      </c>
      <c r="AO134">
        <v>288</v>
      </c>
      <c r="AP134">
        <v>45</v>
      </c>
      <c r="AQ134">
        <v>125</v>
      </c>
      <c r="AR134">
        <v>271</v>
      </c>
      <c r="AS134">
        <v>36</v>
      </c>
      <c r="AT134">
        <v>135</v>
      </c>
      <c r="AU134">
        <v>164</v>
      </c>
      <c r="AV134">
        <v>53</v>
      </c>
      <c r="AW134">
        <v>208</v>
      </c>
      <c r="AX134">
        <v>261</v>
      </c>
      <c r="AY134">
        <v>62</v>
      </c>
      <c r="AZ134">
        <v>116</v>
      </c>
      <c r="BA134">
        <v>252</v>
      </c>
      <c r="BB134">
        <v>47</v>
      </c>
      <c r="BC134">
        <v>126</v>
      </c>
      <c r="BD134">
        <v>278</v>
      </c>
      <c r="BE134">
        <v>37</v>
      </c>
      <c r="BF134">
        <v>118</v>
      </c>
      <c r="BG134">
        <v>240</v>
      </c>
      <c r="BH134">
        <v>66</v>
      </c>
      <c r="BI134">
        <v>121</v>
      </c>
      <c r="BJ134">
        <v>294</v>
      </c>
      <c r="BK134">
        <v>27</v>
      </c>
      <c r="BL134">
        <v>135</v>
      </c>
      <c r="BM134">
        <v>294</v>
      </c>
      <c r="BN134">
        <v>29</v>
      </c>
      <c r="BO134">
        <v>125</v>
      </c>
      <c r="BP134">
        <v>301</v>
      </c>
      <c r="BQ134">
        <v>47</v>
      </c>
      <c r="BR134">
        <v>129</v>
      </c>
      <c r="BS134">
        <v>303</v>
      </c>
      <c r="BT134">
        <v>31</v>
      </c>
      <c r="BU134">
        <v>137</v>
      </c>
      <c r="BV134">
        <v>238</v>
      </c>
      <c r="BW134">
        <v>50</v>
      </c>
      <c r="BX134">
        <v>118</v>
      </c>
      <c r="BY134">
        <v>285</v>
      </c>
      <c r="BZ134">
        <v>53</v>
      </c>
      <c r="CA134">
        <v>126</v>
      </c>
      <c r="CB134">
        <v>293</v>
      </c>
      <c r="CC134">
        <v>51</v>
      </c>
      <c r="CD134">
        <v>125</v>
      </c>
      <c r="CE134">
        <v>268</v>
      </c>
      <c r="CF134">
        <v>45</v>
      </c>
      <c r="CG134">
        <v>126</v>
      </c>
      <c r="CH134">
        <v>262</v>
      </c>
      <c r="CI134">
        <v>59</v>
      </c>
      <c r="CJ134">
        <v>118</v>
      </c>
      <c r="CK134">
        <v>230</v>
      </c>
      <c r="CL134">
        <v>35</v>
      </c>
      <c r="CM134">
        <v>132</v>
      </c>
      <c r="CN134">
        <v>308</v>
      </c>
      <c r="CO134">
        <v>37</v>
      </c>
      <c r="CP134">
        <v>125</v>
      </c>
      <c r="CQ134">
        <v>216</v>
      </c>
      <c r="CR134">
        <v>40</v>
      </c>
      <c r="CS134">
        <v>126</v>
      </c>
      <c r="CT134">
        <v>222</v>
      </c>
      <c r="CU134">
        <v>49</v>
      </c>
      <c r="CV134">
        <v>125</v>
      </c>
      <c r="CW134">
        <v>250</v>
      </c>
      <c r="CX134">
        <v>74</v>
      </c>
      <c r="CY134">
        <v>119</v>
      </c>
      <c r="CZ134">
        <v>269</v>
      </c>
      <c r="DA134">
        <v>48</v>
      </c>
      <c r="DB134">
        <v>131</v>
      </c>
      <c r="DC134">
        <v>244</v>
      </c>
      <c r="DD134">
        <v>45</v>
      </c>
      <c r="DE134">
        <v>123</v>
      </c>
      <c r="DF134">
        <v>266</v>
      </c>
      <c r="DG134">
        <v>50</v>
      </c>
      <c r="DH134">
        <v>125</v>
      </c>
      <c r="DI134">
        <v>259</v>
      </c>
      <c r="DJ134">
        <v>38</v>
      </c>
      <c r="DK134">
        <v>124</v>
      </c>
      <c r="DL134">
        <v>303</v>
      </c>
      <c r="DM134">
        <v>38</v>
      </c>
      <c r="DN134">
        <v>129</v>
      </c>
      <c r="DO134">
        <v>273</v>
      </c>
      <c r="DP134">
        <v>56</v>
      </c>
      <c r="DQ134">
        <v>127</v>
      </c>
      <c r="DR134">
        <v>229</v>
      </c>
      <c r="DS134">
        <v>36</v>
      </c>
      <c r="DT134">
        <v>129</v>
      </c>
      <c r="DU134">
        <v>287</v>
      </c>
      <c r="DV134">
        <v>47</v>
      </c>
      <c r="DW134">
        <v>130</v>
      </c>
      <c r="DX134">
        <v>267</v>
      </c>
      <c r="DY134">
        <v>57</v>
      </c>
      <c r="DZ134">
        <v>117</v>
      </c>
    </row>
    <row r="135" spans="2:130" hidden="1">
      <c r="B135" s="1332">
        <f t="shared" si="0"/>
        <v>24.3</v>
      </c>
      <c r="C135" s="1332">
        <f t="shared" si="1"/>
        <v>46</v>
      </c>
      <c r="D135" s="1332">
        <f t="shared" si="2"/>
        <v>149</v>
      </c>
      <c r="F135">
        <v>5100</v>
      </c>
      <c r="G135">
        <v>31</v>
      </c>
      <c r="H135">
        <v>1</v>
      </c>
      <c r="I135">
        <v>12</v>
      </c>
      <c r="J135">
        <v>8</v>
      </c>
      <c r="K135">
        <v>243</v>
      </c>
      <c r="L135">
        <v>46</v>
      </c>
      <c r="M135">
        <v>149</v>
      </c>
      <c r="N135">
        <v>309</v>
      </c>
      <c r="O135">
        <v>41</v>
      </c>
      <c r="P135">
        <v>143</v>
      </c>
      <c r="Q135">
        <v>330</v>
      </c>
      <c r="R135">
        <v>28</v>
      </c>
      <c r="S135">
        <v>152</v>
      </c>
      <c r="T135">
        <v>315</v>
      </c>
      <c r="U135">
        <v>38</v>
      </c>
      <c r="V135">
        <v>146</v>
      </c>
      <c r="W135">
        <v>302</v>
      </c>
      <c r="X135">
        <v>43</v>
      </c>
      <c r="Y135">
        <v>140</v>
      </c>
      <c r="Z135">
        <v>304</v>
      </c>
      <c r="AA135">
        <v>45</v>
      </c>
      <c r="AB135">
        <v>147</v>
      </c>
      <c r="AC135">
        <v>306</v>
      </c>
      <c r="AD135">
        <v>42</v>
      </c>
      <c r="AE135">
        <v>138</v>
      </c>
      <c r="AF135">
        <v>219</v>
      </c>
      <c r="AG135">
        <v>44</v>
      </c>
      <c r="AH135">
        <v>133</v>
      </c>
      <c r="AI135">
        <v>296</v>
      </c>
      <c r="AJ135">
        <v>31</v>
      </c>
      <c r="AK135">
        <v>137</v>
      </c>
      <c r="AL135">
        <v>277</v>
      </c>
      <c r="AM135">
        <v>40</v>
      </c>
      <c r="AN135">
        <v>146</v>
      </c>
      <c r="AO135">
        <v>298</v>
      </c>
      <c r="AP135">
        <v>43</v>
      </c>
      <c r="AQ135">
        <v>135</v>
      </c>
      <c r="AR135">
        <v>287</v>
      </c>
      <c r="AS135">
        <v>36</v>
      </c>
      <c r="AT135">
        <v>150</v>
      </c>
      <c r="AU135">
        <v>172</v>
      </c>
      <c r="AV135">
        <v>45</v>
      </c>
      <c r="AW135">
        <v>220</v>
      </c>
      <c r="AX135">
        <v>277</v>
      </c>
      <c r="AY135">
        <v>55</v>
      </c>
      <c r="AZ135">
        <v>138</v>
      </c>
      <c r="BA135">
        <v>267</v>
      </c>
      <c r="BB135">
        <v>45</v>
      </c>
      <c r="BC135">
        <v>140</v>
      </c>
      <c r="BD135">
        <v>286</v>
      </c>
      <c r="BE135">
        <v>36</v>
      </c>
      <c r="BF135">
        <v>128</v>
      </c>
      <c r="BG135">
        <v>242</v>
      </c>
      <c r="BH135">
        <v>66</v>
      </c>
      <c r="BI135">
        <v>123</v>
      </c>
      <c r="BJ135">
        <v>309</v>
      </c>
      <c r="BK135">
        <v>26</v>
      </c>
      <c r="BL135">
        <v>150</v>
      </c>
      <c r="BM135">
        <v>301</v>
      </c>
      <c r="BN135">
        <v>27</v>
      </c>
      <c r="BO135">
        <v>128</v>
      </c>
      <c r="BP135">
        <v>316</v>
      </c>
      <c r="BQ135">
        <v>44</v>
      </c>
      <c r="BR135">
        <v>147</v>
      </c>
      <c r="BS135">
        <v>311</v>
      </c>
      <c r="BT135">
        <v>27</v>
      </c>
      <c r="BU135">
        <v>154</v>
      </c>
      <c r="BV135">
        <v>254</v>
      </c>
      <c r="BW135">
        <v>47</v>
      </c>
      <c r="BX135">
        <v>127</v>
      </c>
      <c r="BY135">
        <v>294</v>
      </c>
      <c r="BZ135">
        <v>49</v>
      </c>
      <c r="CA135">
        <v>137</v>
      </c>
      <c r="CB135">
        <v>310</v>
      </c>
      <c r="CC135">
        <v>47</v>
      </c>
      <c r="CD135">
        <v>136</v>
      </c>
      <c r="CE135">
        <v>271</v>
      </c>
      <c r="CF135">
        <v>43</v>
      </c>
      <c r="CG135">
        <v>136</v>
      </c>
      <c r="CH135">
        <v>273</v>
      </c>
      <c r="CI135">
        <v>53</v>
      </c>
      <c r="CJ135">
        <v>131</v>
      </c>
      <c r="CK135">
        <v>240</v>
      </c>
      <c r="CL135">
        <v>35</v>
      </c>
      <c r="CM135">
        <v>145</v>
      </c>
      <c r="CN135">
        <v>313</v>
      </c>
      <c r="CO135">
        <v>32</v>
      </c>
      <c r="CP135">
        <v>146</v>
      </c>
      <c r="CQ135">
        <v>229</v>
      </c>
      <c r="CR135">
        <v>32</v>
      </c>
      <c r="CS135">
        <v>136</v>
      </c>
      <c r="CT135">
        <v>224</v>
      </c>
      <c r="CU135">
        <v>48</v>
      </c>
      <c r="CV135">
        <v>140</v>
      </c>
      <c r="CW135">
        <v>257</v>
      </c>
      <c r="CX135">
        <v>69</v>
      </c>
      <c r="CY135">
        <v>131</v>
      </c>
      <c r="CZ135">
        <v>281</v>
      </c>
      <c r="DA135">
        <v>47</v>
      </c>
      <c r="DB135">
        <v>144</v>
      </c>
      <c r="DC135">
        <v>258</v>
      </c>
      <c r="DD135">
        <v>38</v>
      </c>
      <c r="DE135">
        <v>135</v>
      </c>
      <c r="DF135">
        <v>283</v>
      </c>
      <c r="DG135">
        <v>49</v>
      </c>
      <c r="DH135">
        <v>152</v>
      </c>
      <c r="DI135">
        <v>272</v>
      </c>
      <c r="DJ135">
        <v>33</v>
      </c>
      <c r="DK135">
        <v>133</v>
      </c>
      <c r="DL135">
        <v>327</v>
      </c>
      <c r="DM135">
        <v>32</v>
      </c>
      <c r="DN135">
        <v>147</v>
      </c>
      <c r="DO135">
        <v>288</v>
      </c>
      <c r="DP135">
        <v>50</v>
      </c>
      <c r="DQ135">
        <v>143</v>
      </c>
      <c r="DR135">
        <v>244</v>
      </c>
      <c r="DS135">
        <v>29</v>
      </c>
      <c r="DT135">
        <v>139</v>
      </c>
      <c r="DU135">
        <v>302</v>
      </c>
      <c r="DV135">
        <v>42</v>
      </c>
      <c r="DW135">
        <v>145</v>
      </c>
      <c r="DX135">
        <v>282</v>
      </c>
      <c r="DY135">
        <v>54</v>
      </c>
      <c r="DZ135">
        <v>128</v>
      </c>
    </row>
    <row r="136" spans="2:130" hidden="1">
      <c r="B136" s="1332">
        <f t="shared" si="0"/>
        <v>24.6</v>
      </c>
      <c r="C136" s="1332">
        <f t="shared" si="1"/>
        <v>48</v>
      </c>
      <c r="D136" s="1332">
        <f t="shared" si="2"/>
        <v>271</v>
      </c>
      <c r="F136">
        <v>5101</v>
      </c>
      <c r="G136">
        <v>31</v>
      </c>
      <c r="H136">
        <v>1</v>
      </c>
      <c r="I136">
        <v>13</v>
      </c>
      <c r="J136">
        <v>8</v>
      </c>
      <c r="K136">
        <v>246</v>
      </c>
      <c r="L136">
        <v>48</v>
      </c>
      <c r="M136">
        <v>271</v>
      </c>
      <c r="N136">
        <v>303</v>
      </c>
      <c r="O136">
        <v>48</v>
      </c>
      <c r="P136">
        <v>253</v>
      </c>
      <c r="Q136">
        <v>334</v>
      </c>
      <c r="R136">
        <v>27</v>
      </c>
      <c r="S136">
        <v>281</v>
      </c>
      <c r="T136">
        <v>326</v>
      </c>
      <c r="U136">
        <v>34</v>
      </c>
      <c r="V136">
        <v>261</v>
      </c>
      <c r="W136">
        <v>314</v>
      </c>
      <c r="X136">
        <v>37</v>
      </c>
      <c r="Y136">
        <v>262</v>
      </c>
      <c r="Z136">
        <v>318</v>
      </c>
      <c r="AA136">
        <v>39</v>
      </c>
      <c r="AB136">
        <v>269</v>
      </c>
      <c r="AC136">
        <v>315</v>
      </c>
      <c r="AD136">
        <v>41</v>
      </c>
      <c r="AE136">
        <v>290</v>
      </c>
      <c r="AF136">
        <v>226</v>
      </c>
      <c r="AG136">
        <v>43</v>
      </c>
      <c r="AH136">
        <v>300</v>
      </c>
      <c r="AI136">
        <v>297</v>
      </c>
      <c r="AJ136">
        <v>29</v>
      </c>
      <c r="AK136">
        <v>287</v>
      </c>
      <c r="AL136">
        <v>288</v>
      </c>
      <c r="AM136">
        <v>41</v>
      </c>
      <c r="AN136">
        <v>278</v>
      </c>
      <c r="AO136">
        <v>313</v>
      </c>
      <c r="AP136">
        <v>38</v>
      </c>
      <c r="AQ136">
        <v>242</v>
      </c>
      <c r="AR136">
        <v>310</v>
      </c>
      <c r="AS136">
        <v>30</v>
      </c>
      <c r="AT136">
        <v>288</v>
      </c>
      <c r="AU136">
        <v>180</v>
      </c>
      <c r="AV136">
        <v>39</v>
      </c>
      <c r="AW136">
        <v>354</v>
      </c>
      <c r="AX136">
        <v>293</v>
      </c>
      <c r="AY136">
        <v>47</v>
      </c>
      <c r="AZ136">
        <v>288</v>
      </c>
      <c r="BA136">
        <v>280</v>
      </c>
      <c r="BB136">
        <v>45</v>
      </c>
      <c r="BC136">
        <v>269</v>
      </c>
      <c r="BD136">
        <v>286</v>
      </c>
      <c r="BE136">
        <v>41</v>
      </c>
      <c r="BF136">
        <v>254</v>
      </c>
      <c r="BG136">
        <v>252</v>
      </c>
      <c r="BH136">
        <v>58</v>
      </c>
      <c r="BI136">
        <v>243</v>
      </c>
      <c r="BJ136">
        <v>309</v>
      </c>
      <c r="BK136">
        <v>25</v>
      </c>
      <c r="BL136">
        <v>282</v>
      </c>
      <c r="BM136">
        <v>311</v>
      </c>
      <c r="BN136">
        <v>27</v>
      </c>
      <c r="BO136">
        <v>282</v>
      </c>
      <c r="BP136">
        <v>327</v>
      </c>
      <c r="BQ136">
        <v>41</v>
      </c>
      <c r="BR136">
        <v>270</v>
      </c>
      <c r="BS136">
        <v>317</v>
      </c>
      <c r="BT136">
        <v>29</v>
      </c>
      <c r="BU136">
        <v>286</v>
      </c>
      <c r="BV136">
        <v>269</v>
      </c>
      <c r="BW136">
        <v>34</v>
      </c>
      <c r="BX136">
        <v>265</v>
      </c>
      <c r="BY136">
        <v>298</v>
      </c>
      <c r="BZ136">
        <v>44</v>
      </c>
      <c r="CA136">
        <v>253</v>
      </c>
      <c r="CB136">
        <v>323</v>
      </c>
      <c r="CC136">
        <v>39</v>
      </c>
      <c r="CD136">
        <v>253</v>
      </c>
      <c r="CE136">
        <v>279</v>
      </c>
      <c r="CF136">
        <v>42</v>
      </c>
      <c r="CG136">
        <v>291</v>
      </c>
      <c r="CH136">
        <v>288</v>
      </c>
      <c r="CI136">
        <v>46</v>
      </c>
      <c r="CJ136">
        <v>246</v>
      </c>
      <c r="CK136">
        <v>245</v>
      </c>
      <c r="CL136">
        <v>35</v>
      </c>
      <c r="CM136">
        <v>310</v>
      </c>
      <c r="CN136">
        <v>322</v>
      </c>
      <c r="CO136">
        <v>29</v>
      </c>
      <c r="CP136">
        <v>267</v>
      </c>
      <c r="CQ136">
        <v>240</v>
      </c>
      <c r="CR136">
        <v>31</v>
      </c>
      <c r="CS136">
        <v>298</v>
      </c>
      <c r="CT136">
        <v>227</v>
      </c>
      <c r="CU136">
        <v>48</v>
      </c>
      <c r="CV136">
        <v>294</v>
      </c>
      <c r="CW136">
        <v>267</v>
      </c>
      <c r="CX136">
        <v>61</v>
      </c>
      <c r="CY136">
        <v>278</v>
      </c>
      <c r="CZ136">
        <v>291</v>
      </c>
      <c r="DA136">
        <v>44</v>
      </c>
      <c r="DB136">
        <v>276</v>
      </c>
      <c r="DC136">
        <v>272</v>
      </c>
      <c r="DD136">
        <v>36</v>
      </c>
      <c r="DE136">
        <v>305</v>
      </c>
      <c r="DF136">
        <v>297</v>
      </c>
      <c r="DG136">
        <v>45</v>
      </c>
      <c r="DH136">
        <v>262</v>
      </c>
      <c r="DI136">
        <v>280</v>
      </c>
      <c r="DJ136">
        <v>33</v>
      </c>
      <c r="DK136">
        <v>276</v>
      </c>
      <c r="DL136">
        <v>337</v>
      </c>
      <c r="DM136">
        <v>28</v>
      </c>
      <c r="DN136">
        <v>290</v>
      </c>
      <c r="DO136">
        <v>303</v>
      </c>
      <c r="DP136">
        <v>45</v>
      </c>
      <c r="DQ136">
        <v>262</v>
      </c>
      <c r="DR136">
        <v>253</v>
      </c>
      <c r="DS136">
        <v>24</v>
      </c>
      <c r="DT136">
        <v>277</v>
      </c>
      <c r="DU136">
        <v>313</v>
      </c>
      <c r="DV136">
        <v>37</v>
      </c>
      <c r="DW136">
        <v>276</v>
      </c>
      <c r="DX136">
        <v>296</v>
      </c>
      <c r="DY136">
        <v>50</v>
      </c>
      <c r="DZ136">
        <v>267</v>
      </c>
    </row>
    <row r="137" spans="2:130" hidden="1">
      <c r="B137" s="1332">
        <f t="shared" si="0"/>
        <v>24</v>
      </c>
      <c r="C137" s="1332">
        <f t="shared" si="1"/>
        <v>49</v>
      </c>
      <c r="D137" s="1332">
        <f t="shared" si="2"/>
        <v>488</v>
      </c>
      <c r="F137">
        <v>5102</v>
      </c>
      <c r="G137">
        <v>31</v>
      </c>
      <c r="H137">
        <v>1</v>
      </c>
      <c r="I137">
        <v>14</v>
      </c>
      <c r="J137">
        <v>8</v>
      </c>
      <c r="K137">
        <v>240</v>
      </c>
      <c r="L137">
        <v>49</v>
      </c>
      <c r="M137">
        <v>488</v>
      </c>
      <c r="N137">
        <v>311</v>
      </c>
      <c r="O137">
        <v>45</v>
      </c>
      <c r="P137">
        <v>436</v>
      </c>
      <c r="Q137">
        <v>337</v>
      </c>
      <c r="R137">
        <v>27</v>
      </c>
      <c r="S137">
        <v>447</v>
      </c>
      <c r="T137">
        <v>337</v>
      </c>
      <c r="U137">
        <v>27</v>
      </c>
      <c r="V137">
        <v>454</v>
      </c>
      <c r="W137">
        <v>314</v>
      </c>
      <c r="X137">
        <v>35</v>
      </c>
      <c r="Y137">
        <v>447</v>
      </c>
      <c r="Z137">
        <v>328</v>
      </c>
      <c r="AA137">
        <v>35</v>
      </c>
      <c r="AB137">
        <v>447</v>
      </c>
      <c r="AC137">
        <v>320</v>
      </c>
      <c r="AD137">
        <v>39</v>
      </c>
      <c r="AE137">
        <v>475</v>
      </c>
      <c r="AF137">
        <v>230</v>
      </c>
      <c r="AG137">
        <v>45</v>
      </c>
      <c r="AH137">
        <v>506</v>
      </c>
      <c r="AI137">
        <v>301</v>
      </c>
      <c r="AJ137">
        <v>28</v>
      </c>
      <c r="AK137">
        <v>493</v>
      </c>
      <c r="AL137">
        <v>295</v>
      </c>
      <c r="AM137">
        <v>38</v>
      </c>
      <c r="AN137">
        <v>477</v>
      </c>
      <c r="AO137">
        <v>330</v>
      </c>
      <c r="AP137">
        <v>29</v>
      </c>
      <c r="AQ137">
        <v>439</v>
      </c>
      <c r="AR137">
        <v>329</v>
      </c>
      <c r="AS137">
        <v>20</v>
      </c>
      <c r="AT137">
        <v>463</v>
      </c>
      <c r="AU137">
        <v>175</v>
      </c>
      <c r="AV137">
        <v>56</v>
      </c>
      <c r="AW137">
        <v>576</v>
      </c>
      <c r="AX137">
        <v>302</v>
      </c>
      <c r="AY137">
        <v>45</v>
      </c>
      <c r="AZ137">
        <v>460</v>
      </c>
      <c r="BA137">
        <v>291</v>
      </c>
      <c r="BB137">
        <v>44</v>
      </c>
      <c r="BC137">
        <v>452</v>
      </c>
      <c r="BD137">
        <v>289</v>
      </c>
      <c r="BE137">
        <v>41</v>
      </c>
      <c r="BF137">
        <v>441</v>
      </c>
      <c r="BG137">
        <v>262</v>
      </c>
      <c r="BH137">
        <v>44</v>
      </c>
      <c r="BI137">
        <v>456</v>
      </c>
      <c r="BJ137">
        <v>312</v>
      </c>
      <c r="BK137">
        <v>25</v>
      </c>
      <c r="BL137">
        <v>461</v>
      </c>
      <c r="BM137">
        <v>317</v>
      </c>
      <c r="BN137">
        <v>27</v>
      </c>
      <c r="BO137">
        <v>490</v>
      </c>
      <c r="BP137">
        <v>332</v>
      </c>
      <c r="BQ137">
        <v>37</v>
      </c>
      <c r="BR137">
        <v>450</v>
      </c>
      <c r="BS137">
        <v>320</v>
      </c>
      <c r="BT137">
        <v>28</v>
      </c>
      <c r="BU137">
        <v>453</v>
      </c>
      <c r="BV137">
        <v>277</v>
      </c>
      <c r="BW137">
        <v>36</v>
      </c>
      <c r="BX137">
        <v>499</v>
      </c>
      <c r="BY137">
        <v>300</v>
      </c>
      <c r="BZ137">
        <v>43</v>
      </c>
      <c r="CA137">
        <v>433</v>
      </c>
      <c r="CB137">
        <v>329</v>
      </c>
      <c r="CC137">
        <v>37</v>
      </c>
      <c r="CD137">
        <v>438</v>
      </c>
      <c r="CE137">
        <v>287</v>
      </c>
      <c r="CF137">
        <v>42</v>
      </c>
      <c r="CG137">
        <v>415</v>
      </c>
      <c r="CH137">
        <v>303</v>
      </c>
      <c r="CI137">
        <v>40</v>
      </c>
      <c r="CJ137">
        <v>445</v>
      </c>
      <c r="CK137">
        <v>240</v>
      </c>
      <c r="CL137">
        <v>35</v>
      </c>
      <c r="CM137">
        <v>442</v>
      </c>
      <c r="CN137">
        <v>329</v>
      </c>
      <c r="CO137">
        <v>26</v>
      </c>
      <c r="CP137">
        <v>456</v>
      </c>
      <c r="CQ137">
        <v>246</v>
      </c>
      <c r="CR137">
        <v>30</v>
      </c>
      <c r="CS137">
        <v>503</v>
      </c>
      <c r="CT137">
        <v>235</v>
      </c>
      <c r="CU137">
        <v>46</v>
      </c>
      <c r="CV137">
        <v>496</v>
      </c>
      <c r="CW137">
        <v>272</v>
      </c>
      <c r="CX137">
        <v>53</v>
      </c>
      <c r="CY137">
        <v>476</v>
      </c>
      <c r="CZ137">
        <v>301</v>
      </c>
      <c r="DA137">
        <v>38</v>
      </c>
      <c r="DB137">
        <v>460</v>
      </c>
      <c r="DC137">
        <v>282</v>
      </c>
      <c r="DD137">
        <v>32</v>
      </c>
      <c r="DE137">
        <v>516</v>
      </c>
      <c r="DF137">
        <v>308</v>
      </c>
      <c r="DG137">
        <v>42</v>
      </c>
      <c r="DH137">
        <v>454</v>
      </c>
      <c r="DI137">
        <v>284</v>
      </c>
      <c r="DJ137">
        <v>33</v>
      </c>
      <c r="DK137">
        <v>487</v>
      </c>
      <c r="DL137">
        <v>340</v>
      </c>
      <c r="DM137">
        <v>28</v>
      </c>
      <c r="DN137">
        <v>477</v>
      </c>
      <c r="DO137">
        <v>315</v>
      </c>
      <c r="DP137">
        <v>39</v>
      </c>
      <c r="DQ137">
        <v>450</v>
      </c>
      <c r="DR137">
        <v>257</v>
      </c>
      <c r="DS137">
        <v>23</v>
      </c>
      <c r="DT137">
        <v>496</v>
      </c>
      <c r="DU137">
        <v>321</v>
      </c>
      <c r="DV137">
        <v>34</v>
      </c>
      <c r="DW137">
        <v>456</v>
      </c>
      <c r="DX137">
        <v>305</v>
      </c>
      <c r="DY137">
        <v>47</v>
      </c>
      <c r="DZ137">
        <v>456</v>
      </c>
    </row>
    <row r="138" spans="2:130" hidden="1">
      <c r="B138" s="1332">
        <f t="shared" si="0"/>
        <v>24.4</v>
      </c>
      <c r="C138" s="1332">
        <f t="shared" si="1"/>
        <v>47</v>
      </c>
      <c r="D138" s="1332">
        <f t="shared" si="2"/>
        <v>578</v>
      </c>
      <c r="F138">
        <v>5103</v>
      </c>
      <c r="G138">
        <v>31</v>
      </c>
      <c r="H138">
        <v>1</v>
      </c>
      <c r="I138">
        <v>15</v>
      </c>
      <c r="J138">
        <v>8</v>
      </c>
      <c r="K138">
        <v>244</v>
      </c>
      <c r="L138">
        <v>47</v>
      </c>
      <c r="M138">
        <v>578</v>
      </c>
      <c r="N138">
        <v>319</v>
      </c>
      <c r="O138">
        <v>45</v>
      </c>
      <c r="P138">
        <v>587</v>
      </c>
      <c r="Q138">
        <v>334</v>
      </c>
      <c r="R138">
        <v>28</v>
      </c>
      <c r="S138">
        <v>441</v>
      </c>
      <c r="T138">
        <v>341</v>
      </c>
      <c r="U138">
        <v>26</v>
      </c>
      <c r="V138">
        <v>616</v>
      </c>
      <c r="W138">
        <v>322</v>
      </c>
      <c r="X138">
        <v>30</v>
      </c>
      <c r="Y138">
        <v>606</v>
      </c>
      <c r="Z138">
        <v>336</v>
      </c>
      <c r="AA138">
        <v>34</v>
      </c>
      <c r="AB138">
        <v>570</v>
      </c>
      <c r="AC138">
        <v>324</v>
      </c>
      <c r="AD138">
        <v>36</v>
      </c>
      <c r="AE138">
        <v>605</v>
      </c>
      <c r="AF138">
        <v>230</v>
      </c>
      <c r="AG138">
        <v>48</v>
      </c>
      <c r="AH138">
        <v>597</v>
      </c>
      <c r="AI138">
        <v>298</v>
      </c>
      <c r="AJ138">
        <v>28</v>
      </c>
      <c r="AK138">
        <v>629</v>
      </c>
      <c r="AL138">
        <v>299</v>
      </c>
      <c r="AM138">
        <v>33</v>
      </c>
      <c r="AN138">
        <v>612</v>
      </c>
      <c r="AO138">
        <v>340</v>
      </c>
      <c r="AP138">
        <v>24</v>
      </c>
      <c r="AQ138">
        <v>604</v>
      </c>
      <c r="AR138">
        <v>328</v>
      </c>
      <c r="AS138">
        <v>20</v>
      </c>
      <c r="AT138">
        <v>583</v>
      </c>
      <c r="AU138">
        <v>170</v>
      </c>
      <c r="AV138">
        <v>62</v>
      </c>
      <c r="AW138">
        <v>748</v>
      </c>
      <c r="AX138">
        <v>309</v>
      </c>
      <c r="AY138">
        <v>43</v>
      </c>
      <c r="AZ138">
        <v>612</v>
      </c>
      <c r="BA138">
        <v>295</v>
      </c>
      <c r="BB138">
        <v>43</v>
      </c>
      <c r="BC138">
        <v>596</v>
      </c>
      <c r="BD138">
        <v>291</v>
      </c>
      <c r="BE138">
        <v>39</v>
      </c>
      <c r="BF138">
        <v>585</v>
      </c>
      <c r="BG138">
        <v>263</v>
      </c>
      <c r="BH138">
        <v>38</v>
      </c>
      <c r="BI138">
        <v>624</v>
      </c>
      <c r="BJ138">
        <v>314</v>
      </c>
      <c r="BK138">
        <v>26</v>
      </c>
      <c r="BL138">
        <v>608</v>
      </c>
      <c r="BM138">
        <v>319</v>
      </c>
      <c r="BN138">
        <v>26</v>
      </c>
      <c r="BO138">
        <v>667</v>
      </c>
      <c r="BP138">
        <v>338</v>
      </c>
      <c r="BQ138">
        <v>33</v>
      </c>
      <c r="BR138">
        <v>580</v>
      </c>
      <c r="BS138">
        <v>322</v>
      </c>
      <c r="BT138">
        <v>28</v>
      </c>
      <c r="BU138">
        <v>616</v>
      </c>
      <c r="BV138">
        <v>274</v>
      </c>
      <c r="BW138">
        <v>37</v>
      </c>
      <c r="BX138">
        <v>678</v>
      </c>
      <c r="BY138">
        <v>303</v>
      </c>
      <c r="BZ138">
        <v>41</v>
      </c>
      <c r="CA138">
        <v>568</v>
      </c>
      <c r="CB138">
        <v>333</v>
      </c>
      <c r="CC138">
        <v>33</v>
      </c>
      <c r="CD138">
        <v>600</v>
      </c>
      <c r="CE138">
        <v>289</v>
      </c>
      <c r="CF138">
        <v>42</v>
      </c>
      <c r="CG138">
        <v>654</v>
      </c>
      <c r="CH138">
        <v>309</v>
      </c>
      <c r="CI138">
        <v>34</v>
      </c>
      <c r="CJ138">
        <v>607</v>
      </c>
      <c r="CK138">
        <v>242</v>
      </c>
      <c r="CL138">
        <v>36</v>
      </c>
      <c r="CM138">
        <v>665</v>
      </c>
      <c r="CN138">
        <v>332</v>
      </c>
      <c r="CO138">
        <v>25</v>
      </c>
      <c r="CP138">
        <v>603</v>
      </c>
      <c r="CQ138">
        <v>244</v>
      </c>
      <c r="CR138">
        <v>32</v>
      </c>
      <c r="CS138">
        <v>681</v>
      </c>
      <c r="CT138">
        <v>236</v>
      </c>
      <c r="CU138">
        <v>47</v>
      </c>
      <c r="CV138">
        <v>663</v>
      </c>
      <c r="CW138">
        <v>279</v>
      </c>
      <c r="CX138">
        <v>43</v>
      </c>
      <c r="CY138">
        <v>628</v>
      </c>
      <c r="CZ138">
        <v>306</v>
      </c>
      <c r="DA138">
        <v>36</v>
      </c>
      <c r="DB138">
        <v>557</v>
      </c>
      <c r="DC138">
        <v>282</v>
      </c>
      <c r="DD138">
        <v>31</v>
      </c>
      <c r="DE138">
        <v>667</v>
      </c>
      <c r="DF138">
        <v>311</v>
      </c>
      <c r="DG138">
        <v>41</v>
      </c>
      <c r="DH138">
        <v>606</v>
      </c>
      <c r="DI138">
        <v>280</v>
      </c>
      <c r="DJ138">
        <v>35</v>
      </c>
      <c r="DK138">
        <v>646</v>
      </c>
      <c r="DL138">
        <v>339</v>
      </c>
      <c r="DM138">
        <v>28</v>
      </c>
      <c r="DN138">
        <v>617</v>
      </c>
      <c r="DO138">
        <v>324</v>
      </c>
      <c r="DP138">
        <v>36</v>
      </c>
      <c r="DQ138">
        <v>600</v>
      </c>
      <c r="DR138">
        <v>251</v>
      </c>
      <c r="DS138">
        <v>28</v>
      </c>
      <c r="DT138">
        <v>548</v>
      </c>
      <c r="DU138">
        <v>328</v>
      </c>
      <c r="DV138">
        <v>30</v>
      </c>
      <c r="DW138">
        <v>600</v>
      </c>
      <c r="DX138">
        <v>314</v>
      </c>
      <c r="DY138">
        <v>42</v>
      </c>
      <c r="DZ138">
        <v>602</v>
      </c>
    </row>
    <row r="139" spans="2:130" hidden="1">
      <c r="B139" s="1332">
        <f t="shared" si="0"/>
        <v>23.8</v>
      </c>
      <c r="C139" s="1332">
        <f t="shared" si="1"/>
        <v>52</v>
      </c>
      <c r="D139" s="1332">
        <f t="shared" si="2"/>
        <v>601</v>
      </c>
      <c r="F139">
        <v>5104</v>
      </c>
      <c r="G139">
        <v>31</v>
      </c>
      <c r="H139">
        <v>1</v>
      </c>
      <c r="I139">
        <v>16</v>
      </c>
      <c r="J139">
        <v>8</v>
      </c>
      <c r="K139">
        <v>238</v>
      </c>
      <c r="L139">
        <v>52</v>
      </c>
      <c r="M139">
        <v>601</v>
      </c>
      <c r="N139">
        <v>324</v>
      </c>
      <c r="O139">
        <v>43</v>
      </c>
      <c r="P139">
        <v>739</v>
      </c>
      <c r="Q139">
        <v>330</v>
      </c>
      <c r="R139">
        <v>28</v>
      </c>
      <c r="S139">
        <v>563</v>
      </c>
      <c r="T139">
        <v>343</v>
      </c>
      <c r="U139">
        <v>25</v>
      </c>
      <c r="V139">
        <v>739</v>
      </c>
      <c r="W139">
        <v>327</v>
      </c>
      <c r="X139">
        <v>25</v>
      </c>
      <c r="Y139">
        <v>678</v>
      </c>
      <c r="Z139">
        <v>336</v>
      </c>
      <c r="AA139">
        <v>32</v>
      </c>
      <c r="AB139">
        <v>608</v>
      </c>
      <c r="AC139">
        <v>321</v>
      </c>
      <c r="AD139">
        <v>38</v>
      </c>
      <c r="AE139">
        <v>565</v>
      </c>
      <c r="AF139">
        <v>228</v>
      </c>
      <c r="AG139">
        <v>48</v>
      </c>
      <c r="AH139">
        <v>651</v>
      </c>
      <c r="AI139">
        <v>291</v>
      </c>
      <c r="AJ139">
        <v>28</v>
      </c>
      <c r="AK139">
        <v>672</v>
      </c>
      <c r="AL139">
        <v>297</v>
      </c>
      <c r="AM139">
        <v>30</v>
      </c>
      <c r="AN139">
        <v>732</v>
      </c>
      <c r="AO139">
        <v>339</v>
      </c>
      <c r="AP139">
        <v>26</v>
      </c>
      <c r="AQ139">
        <v>691</v>
      </c>
      <c r="AR139">
        <v>321</v>
      </c>
      <c r="AS139">
        <v>20</v>
      </c>
      <c r="AT139">
        <v>641</v>
      </c>
      <c r="AU139">
        <v>162</v>
      </c>
      <c r="AV139">
        <v>67</v>
      </c>
      <c r="AW139">
        <v>860</v>
      </c>
      <c r="AX139">
        <v>313</v>
      </c>
      <c r="AY139">
        <v>44</v>
      </c>
      <c r="AZ139">
        <v>683</v>
      </c>
      <c r="BA139">
        <v>301</v>
      </c>
      <c r="BB139">
        <v>42</v>
      </c>
      <c r="BC139">
        <v>654</v>
      </c>
      <c r="BD139">
        <v>293</v>
      </c>
      <c r="BE139">
        <v>37</v>
      </c>
      <c r="BF139">
        <v>655</v>
      </c>
      <c r="BG139">
        <v>264</v>
      </c>
      <c r="BH139">
        <v>39</v>
      </c>
      <c r="BI139">
        <v>730</v>
      </c>
      <c r="BJ139">
        <v>312</v>
      </c>
      <c r="BK139">
        <v>27</v>
      </c>
      <c r="BL139">
        <v>676</v>
      </c>
      <c r="BM139">
        <v>314</v>
      </c>
      <c r="BN139">
        <v>28</v>
      </c>
      <c r="BO139">
        <v>764</v>
      </c>
      <c r="BP139">
        <v>337</v>
      </c>
      <c r="BQ139">
        <v>34</v>
      </c>
      <c r="BR139">
        <v>700</v>
      </c>
      <c r="BS139">
        <v>319</v>
      </c>
      <c r="BT139">
        <v>30</v>
      </c>
      <c r="BU139">
        <v>700</v>
      </c>
      <c r="BV139">
        <v>272</v>
      </c>
      <c r="BW139">
        <v>40</v>
      </c>
      <c r="BX139">
        <v>736</v>
      </c>
      <c r="BY139">
        <v>302</v>
      </c>
      <c r="BZ139">
        <v>41</v>
      </c>
      <c r="CA139">
        <v>621</v>
      </c>
      <c r="CB139">
        <v>334</v>
      </c>
      <c r="CC139">
        <v>31</v>
      </c>
      <c r="CD139">
        <v>700</v>
      </c>
      <c r="CE139">
        <v>283</v>
      </c>
      <c r="CF139">
        <v>42</v>
      </c>
      <c r="CG139">
        <v>778</v>
      </c>
      <c r="CH139">
        <v>313</v>
      </c>
      <c r="CI139">
        <v>32</v>
      </c>
      <c r="CJ139">
        <v>704</v>
      </c>
      <c r="CK139">
        <v>234</v>
      </c>
      <c r="CL139">
        <v>36</v>
      </c>
      <c r="CM139">
        <v>427</v>
      </c>
      <c r="CN139">
        <v>332</v>
      </c>
      <c r="CO139">
        <v>25</v>
      </c>
      <c r="CP139">
        <v>664</v>
      </c>
      <c r="CQ139">
        <v>239</v>
      </c>
      <c r="CR139">
        <v>35</v>
      </c>
      <c r="CS139">
        <v>787</v>
      </c>
      <c r="CT139">
        <v>236</v>
      </c>
      <c r="CU139">
        <v>48</v>
      </c>
      <c r="CV139">
        <v>727</v>
      </c>
      <c r="CW139">
        <v>283</v>
      </c>
      <c r="CX139">
        <v>36</v>
      </c>
      <c r="CY139">
        <v>721</v>
      </c>
      <c r="CZ139">
        <v>301</v>
      </c>
      <c r="DA139">
        <v>39</v>
      </c>
      <c r="DB139">
        <v>671</v>
      </c>
      <c r="DC139">
        <v>276</v>
      </c>
      <c r="DD139">
        <v>34</v>
      </c>
      <c r="DE139">
        <v>751</v>
      </c>
      <c r="DF139">
        <v>310</v>
      </c>
      <c r="DG139">
        <v>42</v>
      </c>
      <c r="DH139">
        <v>682</v>
      </c>
      <c r="DI139">
        <v>273</v>
      </c>
      <c r="DJ139">
        <v>36</v>
      </c>
      <c r="DK139">
        <v>719</v>
      </c>
      <c r="DL139">
        <v>331</v>
      </c>
      <c r="DM139">
        <v>29</v>
      </c>
      <c r="DN139">
        <v>660</v>
      </c>
      <c r="DO139">
        <v>324</v>
      </c>
      <c r="DP139">
        <v>34</v>
      </c>
      <c r="DQ139">
        <v>667</v>
      </c>
      <c r="DR139">
        <v>240</v>
      </c>
      <c r="DS139">
        <v>31</v>
      </c>
      <c r="DT139">
        <v>436</v>
      </c>
      <c r="DU139">
        <v>329</v>
      </c>
      <c r="DV139">
        <v>28</v>
      </c>
      <c r="DW139">
        <v>665</v>
      </c>
      <c r="DX139">
        <v>319</v>
      </c>
      <c r="DY139">
        <v>34</v>
      </c>
      <c r="DZ139">
        <v>680</v>
      </c>
    </row>
    <row r="140" spans="2:130" hidden="1">
      <c r="B140" s="1332">
        <f t="shared" si="0"/>
        <v>23.2</v>
      </c>
      <c r="C140" s="1332">
        <f t="shared" si="1"/>
        <v>58</v>
      </c>
      <c r="D140" s="1332">
        <f t="shared" si="2"/>
        <v>434</v>
      </c>
      <c r="F140">
        <v>5105</v>
      </c>
      <c r="G140">
        <v>31</v>
      </c>
      <c r="H140">
        <v>1</v>
      </c>
      <c r="I140">
        <v>17</v>
      </c>
      <c r="J140">
        <v>8</v>
      </c>
      <c r="K140">
        <v>232</v>
      </c>
      <c r="L140">
        <v>58</v>
      </c>
      <c r="M140">
        <v>434</v>
      </c>
      <c r="N140">
        <v>316</v>
      </c>
      <c r="O140">
        <v>48</v>
      </c>
      <c r="P140">
        <v>657</v>
      </c>
      <c r="Q140">
        <v>316</v>
      </c>
      <c r="R140">
        <v>30</v>
      </c>
      <c r="S140">
        <v>395</v>
      </c>
      <c r="T140">
        <v>338</v>
      </c>
      <c r="U140">
        <v>28</v>
      </c>
      <c r="V140">
        <v>777</v>
      </c>
      <c r="W140">
        <v>325</v>
      </c>
      <c r="X140">
        <v>26</v>
      </c>
      <c r="Y140">
        <v>548</v>
      </c>
      <c r="Z140">
        <v>335</v>
      </c>
      <c r="AA140">
        <v>29</v>
      </c>
      <c r="AB140">
        <v>596</v>
      </c>
      <c r="AC140">
        <v>314</v>
      </c>
      <c r="AD140">
        <v>40</v>
      </c>
      <c r="AE140">
        <v>464</v>
      </c>
      <c r="AF140">
        <v>218</v>
      </c>
      <c r="AG140">
        <v>57</v>
      </c>
      <c r="AH140">
        <v>606</v>
      </c>
      <c r="AI140">
        <v>275</v>
      </c>
      <c r="AJ140">
        <v>34</v>
      </c>
      <c r="AK140">
        <v>491</v>
      </c>
      <c r="AL140">
        <v>288</v>
      </c>
      <c r="AM140">
        <v>30</v>
      </c>
      <c r="AN140">
        <v>643</v>
      </c>
      <c r="AO140">
        <v>337</v>
      </c>
      <c r="AP140">
        <v>25</v>
      </c>
      <c r="AQ140">
        <v>674</v>
      </c>
      <c r="AR140">
        <v>313</v>
      </c>
      <c r="AS140">
        <v>20</v>
      </c>
      <c r="AT140">
        <v>570</v>
      </c>
      <c r="AU140">
        <v>157</v>
      </c>
      <c r="AV140">
        <v>69</v>
      </c>
      <c r="AW140">
        <v>863</v>
      </c>
      <c r="AX140">
        <v>311</v>
      </c>
      <c r="AY140">
        <v>42</v>
      </c>
      <c r="AZ140">
        <v>658</v>
      </c>
      <c r="BA140">
        <v>297</v>
      </c>
      <c r="BB140">
        <v>43</v>
      </c>
      <c r="BC140">
        <v>591</v>
      </c>
      <c r="BD140">
        <v>290</v>
      </c>
      <c r="BE140">
        <v>38</v>
      </c>
      <c r="BF140">
        <v>671</v>
      </c>
      <c r="BG140">
        <v>261</v>
      </c>
      <c r="BH140">
        <v>40</v>
      </c>
      <c r="BI140">
        <v>723</v>
      </c>
      <c r="BJ140">
        <v>306</v>
      </c>
      <c r="BK140">
        <v>26</v>
      </c>
      <c r="BL140">
        <v>579</v>
      </c>
      <c r="BM140">
        <v>303</v>
      </c>
      <c r="BN140">
        <v>29</v>
      </c>
      <c r="BO140">
        <v>696</v>
      </c>
      <c r="BP140">
        <v>325</v>
      </c>
      <c r="BQ140">
        <v>38</v>
      </c>
      <c r="BR140">
        <v>536</v>
      </c>
      <c r="BS140">
        <v>309</v>
      </c>
      <c r="BT140">
        <v>32</v>
      </c>
      <c r="BU140">
        <v>594</v>
      </c>
      <c r="BV140">
        <v>263</v>
      </c>
      <c r="BW140">
        <v>40</v>
      </c>
      <c r="BX140">
        <v>702</v>
      </c>
      <c r="BY140">
        <v>293</v>
      </c>
      <c r="BZ140">
        <v>42</v>
      </c>
      <c r="CA140">
        <v>555</v>
      </c>
      <c r="CB140">
        <v>334</v>
      </c>
      <c r="CC140">
        <v>26</v>
      </c>
      <c r="CD140">
        <v>751</v>
      </c>
      <c r="CE140">
        <v>275</v>
      </c>
      <c r="CF140">
        <v>44</v>
      </c>
      <c r="CG140">
        <v>657</v>
      </c>
      <c r="CH140">
        <v>317</v>
      </c>
      <c r="CI140">
        <v>31</v>
      </c>
      <c r="CJ140">
        <v>715</v>
      </c>
      <c r="CK140">
        <v>221</v>
      </c>
      <c r="CL140">
        <v>38</v>
      </c>
      <c r="CM140">
        <v>44</v>
      </c>
      <c r="CN140">
        <v>329</v>
      </c>
      <c r="CO140">
        <v>25</v>
      </c>
      <c r="CP140">
        <v>659</v>
      </c>
      <c r="CQ140">
        <v>233</v>
      </c>
      <c r="CR140">
        <v>36</v>
      </c>
      <c r="CS140">
        <v>664</v>
      </c>
      <c r="CT140">
        <v>219</v>
      </c>
      <c r="CU140">
        <v>54</v>
      </c>
      <c r="CV140">
        <v>422</v>
      </c>
      <c r="CW140">
        <v>283</v>
      </c>
      <c r="CX140">
        <v>35</v>
      </c>
      <c r="CY140">
        <v>736</v>
      </c>
      <c r="CZ140">
        <v>297</v>
      </c>
      <c r="DA140">
        <v>41</v>
      </c>
      <c r="DB140">
        <v>606</v>
      </c>
      <c r="DC140">
        <v>261</v>
      </c>
      <c r="DD140">
        <v>39</v>
      </c>
      <c r="DE140">
        <v>684</v>
      </c>
      <c r="DF140">
        <v>304</v>
      </c>
      <c r="DG140">
        <v>44</v>
      </c>
      <c r="DH140">
        <v>636</v>
      </c>
      <c r="DI140">
        <v>265</v>
      </c>
      <c r="DJ140">
        <v>42</v>
      </c>
      <c r="DK140">
        <v>639</v>
      </c>
      <c r="DL140">
        <v>326</v>
      </c>
      <c r="DM140">
        <v>29</v>
      </c>
      <c r="DN140">
        <v>626</v>
      </c>
      <c r="DO140">
        <v>326</v>
      </c>
      <c r="DP140">
        <v>32</v>
      </c>
      <c r="DQ140">
        <v>695</v>
      </c>
      <c r="DR140">
        <v>228</v>
      </c>
      <c r="DS140">
        <v>34</v>
      </c>
      <c r="DT140">
        <v>39</v>
      </c>
      <c r="DU140">
        <v>323</v>
      </c>
      <c r="DV140">
        <v>33</v>
      </c>
      <c r="DW140">
        <v>621</v>
      </c>
      <c r="DX140">
        <v>320</v>
      </c>
      <c r="DY140">
        <v>34</v>
      </c>
      <c r="DZ140">
        <v>670</v>
      </c>
    </row>
    <row r="141" spans="2:130" hidden="1">
      <c r="B141" s="1332">
        <f t="shared" si="0"/>
        <v>21.8</v>
      </c>
      <c r="C141" s="1332">
        <f t="shared" si="1"/>
        <v>62</v>
      </c>
      <c r="D141" s="1332">
        <f t="shared" si="2"/>
        <v>56</v>
      </c>
      <c r="F141">
        <v>5106</v>
      </c>
      <c r="G141">
        <v>31</v>
      </c>
      <c r="H141">
        <v>1</v>
      </c>
      <c r="I141">
        <v>18</v>
      </c>
      <c r="J141">
        <v>8</v>
      </c>
      <c r="K141">
        <v>218</v>
      </c>
      <c r="L141">
        <v>62</v>
      </c>
      <c r="M141">
        <v>56</v>
      </c>
      <c r="N141">
        <v>288</v>
      </c>
      <c r="O141">
        <v>62</v>
      </c>
      <c r="P141">
        <v>156</v>
      </c>
      <c r="Q141">
        <v>303</v>
      </c>
      <c r="R141">
        <v>31</v>
      </c>
      <c r="S141">
        <v>14</v>
      </c>
      <c r="T141">
        <v>327</v>
      </c>
      <c r="U141">
        <v>34</v>
      </c>
      <c r="V141">
        <v>643</v>
      </c>
      <c r="W141">
        <v>318</v>
      </c>
      <c r="X141">
        <v>29</v>
      </c>
      <c r="Y141">
        <v>585</v>
      </c>
      <c r="Z141">
        <v>327</v>
      </c>
      <c r="AA141">
        <v>30</v>
      </c>
      <c r="AB141">
        <v>373</v>
      </c>
      <c r="AC141">
        <v>297</v>
      </c>
      <c r="AD141">
        <v>44</v>
      </c>
      <c r="AE141">
        <v>28</v>
      </c>
      <c r="AF141">
        <v>193</v>
      </c>
      <c r="AG141">
        <v>70</v>
      </c>
      <c r="AH141">
        <v>26</v>
      </c>
      <c r="AI141">
        <v>257</v>
      </c>
      <c r="AJ141">
        <v>36</v>
      </c>
      <c r="AK141">
        <v>16</v>
      </c>
      <c r="AL141">
        <v>257</v>
      </c>
      <c r="AM141">
        <v>43</v>
      </c>
      <c r="AN141">
        <v>393</v>
      </c>
      <c r="AO141">
        <v>336</v>
      </c>
      <c r="AP141">
        <v>25</v>
      </c>
      <c r="AQ141">
        <v>572</v>
      </c>
      <c r="AR141">
        <v>301</v>
      </c>
      <c r="AS141">
        <v>20</v>
      </c>
      <c r="AT141">
        <v>321</v>
      </c>
      <c r="AU141">
        <v>150</v>
      </c>
      <c r="AV141">
        <v>76</v>
      </c>
      <c r="AW141">
        <v>681</v>
      </c>
      <c r="AX141">
        <v>303</v>
      </c>
      <c r="AY141">
        <v>45</v>
      </c>
      <c r="AZ141">
        <v>534</v>
      </c>
      <c r="BA141">
        <v>284</v>
      </c>
      <c r="BB141">
        <v>49</v>
      </c>
      <c r="BC141">
        <v>445</v>
      </c>
      <c r="BD141">
        <v>282</v>
      </c>
      <c r="BE141">
        <v>39</v>
      </c>
      <c r="BF141">
        <v>503</v>
      </c>
      <c r="BG141">
        <v>250</v>
      </c>
      <c r="BH141">
        <v>46</v>
      </c>
      <c r="BI141">
        <v>529</v>
      </c>
      <c r="BJ141">
        <v>292</v>
      </c>
      <c r="BK141">
        <v>28</v>
      </c>
      <c r="BL141">
        <v>491</v>
      </c>
      <c r="BM141">
        <v>287</v>
      </c>
      <c r="BN141">
        <v>32</v>
      </c>
      <c r="BO141">
        <v>541</v>
      </c>
      <c r="BP141">
        <v>307</v>
      </c>
      <c r="BQ141">
        <v>46</v>
      </c>
      <c r="BR141">
        <v>504</v>
      </c>
      <c r="BS141">
        <v>294</v>
      </c>
      <c r="BT141">
        <v>31</v>
      </c>
      <c r="BU141">
        <v>400</v>
      </c>
      <c r="BV141">
        <v>245</v>
      </c>
      <c r="BW141">
        <v>44</v>
      </c>
      <c r="BX141">
        <v>288</v>
      </c>
      <c r="BY141">
        <v>286</v>
      </c>
      <c r="BZ141">
        <v>42</v>
      </c>
      <c r="CA141">
        <v>350</v>
      </c>
      <c r="CB141">
        <v>325</v>
      </c>
      <c r="CC141">
        <v>28</v>
      </c>
      <c r="CD141">
        <v>594</v>
      </c>
      <c r="CE141">
        <v>264</v>
      </c>
      <c r="CF141">
        <v>47</v>
      </c>
      <c r="CG141">
        <v>388</v>
      </c>
      <c r="CH141">
        <v>314</v>
      </c>
      <c r="CI141">
        <v>32</v>
      </c>
      <c r="CJ141">
        <v>559</v>
      </c>
      <c r="CK141">
        <v>210</v>
      </c>
      <c r="CL141">
        <v>40</v>
      </c>
      <c r="CM141">
        <v>13</v>
      </c>
      <c r="CN141">
        <v>321</v>
      </c>
      <c r="CO141">
        <v>27</v>
      </c>
      <c r="CP141">
        <v>519</v>
      </c>
      <c r="CQ141">
        <v>210</v>
      </c>
      <c r="CR141">
        <v>43</v>
      </c>
      <c r="CS141">
        <v>40</v>
      </c>
      <c r="CT141">
        <v>186</v>
      </c>
      <c r="CU141">
        <v>64</v>
      </c>
      <c r="CV141">
        <v>9</v>
      </c>
      <c r="CW141">
        <v>269</v>
      </c>
      <c r="CX141">
        <v>49</v>
      </c>
      <c r="CY141">
        <v>610</v>
      </c>
      <c r="CZ141">
        <v>291</v>
      </c>
      <c r="DA141">
        <v>43</v>
      </c>
      <c r="DB141">
        <v>317</v>
      </c>
      <c r="DC141">
        <v>238</v>
      </c>
      <c r="DD141">
        <v>44</v>
      </c>
      <c r="DE141">
        <v>321</v>
      </c>
      <c r="DF141">
        <v>295</v>
      </c>
      <c r="DG141">
        <v>47</v>
      </c>
      <c r="DH141">
        <v>430</v>
      </c>
      <c r="DI141">
        <v>252</v>
      </c>
      <c r="DJ141">
        <v>47</v>
      </c>
      <c r="DK141">
        <v>276</v>
      </c>
      <c r="DL141">
        <v>319</v>
      </c>
      <c r="DM141">
        <v>29</v>
      </c>
      <c r="DN141">
        <v>431</v>
      </c>
      <c r="DO141">
        <v>299</v>
      </c>
      <c r="DP141">
        <v>51</v>
      </c>
      <c r="DQ141">
        <v>635</v>
      </c>
      <c r="DR141">
        <v>221</v>
      </c>
      <c r="DS141">
        <v>37</v>
      </c>
      <c r="DT141">
        <v>17</v>
      </c>
      <c r="DU141">
        <v>316</v>
      </c>
      <c r="DV141">
        <v>36</v>
      </c>
      <c r="DW141">
        <v>493</v>
      </c>
      <c r="DX141">
        <v>306</v>
      </c>
      <c r="DY141">
        <v>42</v>
      </c>
      <c r="DZ141">
        <v>551</v>
      </c>
    </row>
    <row r="142" spans="2:130" hidden="1">
      <c r="B142" s="1332">
        <f t="shared" si="0"/>
        <v>20.9</v>
      </c>
      <c r="C142" s="1332">
        <f t="shared" si="1"/>
        <v>66</v>
      </c>
      <c r="D142" s="1332">
        <f t="shared" si="2"/>
        <v>19</v>
      </c>
      <c r="F142">
        <v>5107</v>
      </c>
      <c r="G142">
        <v>31</v>
      </c>
      <c r="H142">
        <v>1</v>
      </c>
      <c r="I142">
        <v>19</v>
      </c>
      <c r="J142">
        <v>8</v>
      </c>
      <c r="K142">
        <v>209</v>
      </c>
      <c r="L142">
        <v>66</v>
      </c>
      <c r="M142">
        <v>19</v>
      </c>
      <c r="N142">
        <v>260</v>
      </c>
      <c r="O142">
        <v>80</v>
      </c>
      <c r="P142">
        <v>17</v>
      </c>
      <c r="Q142">
        <v>296</v>
      </c>
      <c r="R142">
        <v>32</v>
      </c>
      <c r="S142">
        <v>4</v>
      </c>
      <c r="T142">
        <v>314</v>
      </c>
      <c r="U142">
        <v>43</v>
      </c>
      <c r="V142">
        <v>338</v>
      </c>
      <c r="W142">
        <v>294</v>
      </c>
      <c r="X142">
        <v>41</v>
      </c>
      <c r="Y142">
        <v>245</v>
      </c>
      <c r="Z142">
        <v>300</v>
      </c>
      <c r="AA142">
        <v>40</v>
      </c>
      <c r="AB142">
        <v>18</v>
      </c>
      <c r="AC142">
        <v>279</v>
      </c>
      <c r="AD142">
        <v>48</v>
      </c>
      <c r="AE142">
        <v>4</v>
      </c>
      <c r="AF142">
        <v>182</v>
      </c>
      <c r="AG142">
        <v>75</v>
      </c>
      <c r="AH142">
        <v>6</v>
      </c>
      <c r="AI142">
        <v>235</v>
      </c>
      <c r="AJ142">
        <v>46</v>
      </c>
      <c r="AK142">
        <v>5</v>
      </c>
      <c r="AL142">
        <v>213</v>
      </c>
      <c r="AM142">
        <v>58</v>
      </c>
      <c r="AN142">
        <v>16</v>
      </c>
      <c r="AO142">
        <v>320</v>
      </c>
      <c r="AP142">
        <v>33</v>
      </c>
      <c r="AQ142">
        <v>293</v>
      </c>
      <c r="AR142">
        <v>291</v>
      </c>
      <c r="AS142">
        <v>20</v>
      </c>
      <c r="AT142">
        <v>4</v>
      </c>
      <c r="AU142">
        <v>147</v>
      </c>
      <c r="AV142">
        <v>76</v>
      </c>
      <c r="AW142">
        <v>51</v>
      </c>
      <c r="AX142">
        <v>258</v>
      </c>
      <c r="AY142">
        <v>59</v>
      </c>
      <c r="AZ142">
        <v>186</v>
      </c>
      <c r="BA142">
        <v>250</v>
      </c>
      <c r="BB142">
        <v>62</v>
      </c>
      <c r="BC142">
        <v>28</v>
      </c>
      <c r="BD142">
        <v>256</v>
      </c>
      <c r="BE142">
        <v>46</v>
      </c>
      <c r="BF142">
        <v>36</v>
      </c>
      <c r="BG142">
        <v>241</v>
      </c>
      <c r="BH142">
        <v>43</v>
      </c>
      <c r="BI142">
        <v>12</v>
      </c>
      <c r="BJ142">
        <v>280</v>
      </c>
      <c r="BK142">
        <v>28</v>
      </c>
      <c r="BL142">
        <v>30</v>
      </c>
      <c r="BM142">
        <v>279</v>
      </c>
      <c r="BN142">
        <v>31</v>
      </c>
      <c r="BO142">
        <v>38</v>
      </c>
      <c r="BP142">
        <v>294</v>
      </c>
      <c r="BQ142">
        <v>47</v>
      </c>
      <c r="BR142">
        <v>300</v>
      </c>
      <c r="BS142">
        <v>280</v>
      </c>
      <c r="BT142">
        <v>32</v>
      </c>
      <c r="BU142">
        <v>36</v>
      </c>
      <c r="BV142">
        <v>238</v>
      </c>
      <c r="BW142">
        <v>46</v>
      </c>
      <c r="BX142">
        <v>12</v>
      </c>
      <c r="BY142">
        <v>271</v>
      </c>
      <c r="BZ142">
        <v>46</v>
      </c>
      <c r="CA142">
        <v>77</v>
      </c>
      <c r="CB142">
        <v>303</v>
      </c>
      <c r="CC142">
        <v>33</v>
      </c>
      <c r="CD142">
        <v>212</v>
      </c>
      <c r="CE142">
        <v>233</v>
      </c>
      <c r="CF142">
        <v>61</v>
      </c>
      <c r="CG142">
        <v>5</v>
      </c>
      <c r="CH142">
        <v>297</v>
      </c>
      <c r="CI142">
        <v>37</v>
      </c>
      <c r="CJ142">
        <v>236</v>
      </c>
      <c r="CK142">
        <v>203</v>
      </c>
      <c r="CL142">
        <v>41</v>
      </c>
      <c r="CM142">
        <v>2</v>
      </c>
      <c r="CN142">
        <v>306</v>
      </c>
      <c r="CO142">
        <v>28</v>
      </c>
      <c r="CP142">
        <v>231</v>
      </c>
      <c r="CQ142">
        <v>178</v>
      </c>
      <c r="CR142">
        <v>65</v>
      </c>
      <c r="CS142">
        <v>8</v>
      </c>
      <c r="CT142">
        <v>172</v>
      </c>
      <c r="CU142">
        <v>67</v>
      </c>
      <c r="CV142">
        <v>3</v>
      </c>
      <c r="CW142">
        <v>258</v>
      </c>
      <c r="CX142">
        <v>51</v>
      </c>
      <c r="CY142">
        <v>342</v>
      </c>
      <c r="CZ142">
        <v>277</v>
      </c>
      <c r="DA142">
        <v>48</v>
      </c>
      <c r="DB142">
        <v>13</v>
      </c>
      <c r="DC142">
        <v>218</v>
      </c>
      <c r="DD142">
        <v>51</v>
      </c>
      <c r="DE142">
        <v>7</v>
      </c>
      <c r="DF142">
        <v>278</v>
      </c>
      <c r="DG142">
        <v>50</v>
      </c>
      <c r="DH142">
        <v>9</v>
      </c>
      <c r="DI142">
        <v>236</v>
      </c>
      <c r="DJ142">
        <v>53</v>
      </c>
      <c r="DK142">
        <v>1</v>
      </c>
      <c r="DL142">
        <v>307</v>
      </c>
      <c r="DM142">
        <v>29</v>
      </c>
      <c r="DN142">
        <v>14</v>
      </c>
      <c r="DO142">
        <v>274</v>
      </c>
      <c r="DP142">
        <v>55</v>
      </c>
      <c r="DQ142">
        <v>326</v>
      </c>
      <c r="DR142">
        <v>199</v>
      </c>
      <c r="DS142">
        <v>41</v>
      </c>
      <c r="DT142">
        <v>6</v>
      </c>
      <c r="DU142">
        <v>301</v>
      </c>
      <c r="DV142">
        <v>37</v>
      </c>
      <c r="DW142">
        <v>166</v>
      </c>
      <c r="DX142">
        <v>274</v>
      </c>
      <c r="DY142">
        <v>58</v>
      </c>
      <c r="DZ142">
        <v>238</v>
      </c>
    </row>
    <row r="143" spans="2:130" hidden="1">
      <c r="B143" s="1332">
        <f t="shared" si="0"/>
        <v>19.899999999999999</v>
      </c>
      <c r="C143" s="1332">
        <f t="shared" si="1"/>
        <v>70</v>
      </c>
      <c r="D143" s="1332">
        <f t="shared" si="2"/>
        <v>0</v>
      </c>
      <c r="F143">
        <v>5108</v>
      </c>
      <c r="G143">
        <v>31</v>
      </c>
      <c r="H143">
        <v>1</v>
      </c>
      <c r="I143">
        <v>20</v>
      </c>
      <c r="J143">
        <v>8</v>
      </c>
      <c r="K143">
        <v>199</v>
      </c>
      <c r="L143">
        <v>70</v>
      </c>
      <c r="M143">
        <v>0</v>
      </c>
      <c r="N143">
        <v>233</v>
      </c>
      <c r="O143">
        <v>91</v>
      </c>
      <c r="P143">
        <v>0</v>
      </c>
      <c r="Q143">
        <v>291</v>
      </c>
      <c r="R143">
        <v>32</v>
      </c>
      <c r="S143">
        <v>0</v>
      </c>
      <c r="T143">
        <v>296</v>
      </c>
      <c r="U143">
        <v>49</v>
      </c>
      <c r="V143">
        <v>0</v>
      </c>
      <c r="W143">
        <v>250</v>
      </c>
      <c r="X143">
        <v>54</v>
      </c>
      <c r="Y143">
        <v>0</v>
      </c>
      <c r="Z143">
        <v>255</v>
      </c>
      <c r="AA143">
        <v>60</v>
      </c>
      <c r="AB143">
        <v>0</v>
      </c>
      <c r="AC143">
        <v>269</v>
      </c>
      <c r="AD143">
        <v>49</v>
      </c>
      <c r="AE143">
        <v>0</v>
      </c>
      <c r="AF143">
        <v>173</v>
      </c>
      <c r="AG143">
        <v>80</v>
      </c>
      <c r="AH143">
        <v>0</v>
      </c>
      <c r="AI143">
        <v>228</v>
      </c>
      <c r="AJ143">
        <v>54</v>
      </c>
      <c r="AK143">
        <v>0</v>
      </c>
      <c r="AL143">
        <v>204</v>
      </c>
      <c r="AM143">
        <v>58</v>
      </c>
      <c r="AN143">
        <v>0</v>
      </c>
      <c r="AO143">
        <v>290</v>
      </c>
      <c r="AP143">
        <v>41</v>
      </c>
      <c r="AQ143">
        <v>0</v>
      </c>
      <c r="AR143">
        <v>286</v>
      </c>
      <c r="AS143">
        <v>20</v>
      </c>
      <c r="AT143">
        <v>0</v>
      </c>
      <c r="AU143">
        <v>143</v>
      </c>
      <c r="AV143">
        <v>73</v>
      </c>
      <c r="AW143">
        <v>0</v>
      </c>
      <c r="AX143">
        <v>233</v>
      </c>
      <c r="AY143">
        <v>64</v>
      </c>
      <c r="AZ143">
        <v>0</v>
      </c>
      <c r="BA143">
        <v>224</v>
      </c>
      <c r="BB143">
        <v>70</v>
      </c>
      <c r="BC143">
        <v>0</v>
      </c>
      <c r="BD143">
        <v>219</v>
      </c>
      <c r="BE143">
        <v>57</v>
      </c>
      <c r="BF143">
        <v>0</v>
      </c>
      <c r="BG143">
        <v>226</v>
      </c>
      <c r="BH143">
        <v>46</v>
      </c>
      <c r="BI143">
        <v>0</v>
      </c>
      <c r="BJ143">
        <v>263</v>
      </c>
      <c r="BK143">
        <v>33</v>
      </c>
      <c r="BL143">
        <v>0</v>
      </c>
      <c r="BM143">
        <v>268</v>
      </c>
      <c r="BN143">
        <v>32</v>
      </c>
      <c r="BO143">
        <v>0</v>
      </c>
      <c r="BP143">
        <v>270</v>
      </c>
      <c r="BQ143">
        <v>54</v>
      </c>
      <c r="BR143">
        <v>0</v>
      </c>
      <c r="BS143">
        <v>270</v>
      </c>
      <c r="BT143">
        <v>34</v>
      </c>
      <c r="BU143">
        <v>0</v>
      </c>
      <c r="BV143">
        <v>225</v>
      </c>
      <c r="BW143">
        <v>51</v>
      </c>
      <c r="BX143">
        <v>0</v>
      </c>
      <c r="BY143">
        <v>261</v>
      </c>
      <c r="BZ143">
        <v>49</v>
      </c>
      <c r="CA143">
        <v>0</v>
      </c>
      <c r="CB143">
        <v>275</v>
      </c>
      <c r="CC143">
        <v>42</v>
      </c>
      <c r="CD143">
        <v>0</v>
      </c>
      <c r="CE143">
        <v>215</v>
      </c>
      <c r="CF143">
        <v>67</v>
      </c>
      <c r="CG143">
        <v>0</v>
      </c>
      <c r="CH143">
        <v>287</v>
      </c>
      <c r="CI143">
        <v>43</v>
      </c>
      <c r="CJ143">
        <v>0</v>
      </c>
      <c r="CK143">
        <v>194</v>
      </c>
      <c r="CL143">
        <v>43</v>
      </c>
      <c r="CM143">
        <v>0</v>
      </c>
      <c r="CN143">
        <v>286</v>
      </c>
      <c r="CO143">
        <v>30</v>
      </c>
      <c r="CP143">
        <v>0</v>
      </c>
      <c r="CQ143">
        <v>162</v>
      </c>
      <c r="CR143">
        <v>73</v>
      </c>
      <c r="CS143">
        <v>0</v>
      </c>
      <c r="CT143">
        <v>159</v>
      </c>
      <c r="CU143">
        <v>71</v>
      </c>
      <c r="CV143">
        <v>0</v>
      </c>
      <c r="CW143">
        <v>249</v>
      </c>
      <c r="CX143">
        <v>47</v>
      </c>
      <c r="CY143">
        <v>0</v>
      </c>
      <c r="CZ143">
        <v>251</v>
      </c>
      <c r="DA143">
        <v>59</v>
      </c>
      <c r="DB143">
        <v>0</v>
      </c>
      <c r="DC143">
        <v>196</v>
      </c>
      <c r="DD143">
        <v>62</v>
      </c>
      <c r="DE143">
        <v>0</v>
      </c>
      <c r="DF143">
        <v>268</v>
      </c>
      <c r="DG143">
        <v>52</v>
      </c>
      <c r="DH143">
        <v>0</v>
      </c>
      <c r="DI143">
        <v>228</v>
      </c>
      <c r="DJ143">
        <v>56</v>
      </c>
      <c r="DK143">
        <v>0</v>
      </c>
      <c r="DL143">
        <v>304</v>
      </c>
      <c r="DM143">
        <v>28</v>
      </c>
      <c r="DN143">
        <v>0</v>
      </c>
      <c r="DO143">
        <v>242</v>
      </c>
      <c r="DP143">
        <v>70</v>
      </c>
      <c r="DQ143">
        <v>0</v>
      </c>
      <c r="DR143">
        <v>183</v>
      </c>
      <c r="DS143">
        <v>45</v>
      </c>
      <c r="DT143">
        <v>0</v>
      </c>
      <c r="DU143">
        <v>263</v>
      </c>
      <c r="DV143">
        <v>50</v>
      </c>
      <c r="DW143">
        <v>0</v>
      </c>
      <c r="DX143">
        <v>264</v>
      </c>
      <c r="DY143">
        <v>47</v>
      </c>
      <c r="DZ143">
        <v>0</v>
      </c>
    </row>
    <row r="144" spans="2:130" hidden="1">
      <c r="B144" s="1332">
        <f t="shared" si="0"/>
        <v>18.899999999999999</v>
      </c>
      <c r="C144" s="1332">
        <f t="shared" si="1"/>
        <v>76</v>
      </c>
      <c r="D144" s="1332">
        <f t="shared" si="2"/>
        <v>0</v>
      </c>
      <c r="F144">
        <v>5109</v>
      </c>
      <c r="G144">
        <v>31</v>
      </c>
      <c r="H144">
        <v>1</v>
      </c>
      <c r="I144">
        <v>21</v>
      </c>
      <c r="J144">
        <v>8</v>
      </c>
      <c r="K144">
        <v>189</v>
      </c>
      <c r="L144">
        <v>76</v>
      </c>
      <c r="M144">
        <v>0</v>
      </c>
      <c r="N144">
        <v>221</v>
      </c>
      <c r="O144">
        <v>87</v>
      </c>
      <c r="P144">
        <v>0</v>
      </c>
      <c r="Q144">
        <v>288</v>
      </c>
      <c r="R144">
        <v>31</v>
      </c>
      <c r="S144">
        <v>0</v>
      </c>
      <c r="T144">
        <v>262</v>
      </c>
      <c r="U144">
        <v>63</v>
      </c>
      <c r="V144">
        <v>0</v>
      </c>
      <c r="W144">
        <v>234</v>
      </c>
      <c r="X144">
        <v>60</v>
      </c>
      <c r="Y144">
        <v>0</v>
      </c>
      <c r="Z144">
        <v>236</v>
      </c>
      <c r="AA144">
        <v>64</v>
      </c>
      <c r="AB144">
        <v>0</v>
      </c>
      <c r="AC144">
        <v>241</v>
      </c>
      <c r="AD144">
        <v>61</v>
      </c>
      <c r="AE144">
        <v>0</v>
      </c>
      <c r="AF144">
        <v>163</v>
      </c>
      <c r="AG144">
        <v>82</v>
      </c>
      <c r="AH144">
        <v>0</v>
      </c>
      <c r="AI144">
        <v>213</v>
      </c>
      <c r="AJ144">
        <v>58</v>
      </c>
      <c r="AK144">
        <v>0</v>
      </c>
      <c r="AL144">
        <v>189</v>
      </c>
      <c r="AM144">
        <v>63</v>
      </c>
      <c r="AN144">
        <v>0</v>
      </c>
      <c r="AO144">
        <v>277</v>
      </c>
      <c r="AP144">
        <v>48</v>
      </c>
      <c r="AQ144">
        <v>0</v>
      </c>
      <c r="AR144">
        <v>283</v>
      </c>
      <c r="AS144">
        <v>19</v>
      </c>
      <c r="AT144">
        <v>0</v>
      </c>
      <c r="AU144">
        <v>142</v>
      </c>
      <c r="AV144">
        <v>58</v>
      </c>
      <c r="AW144">
        <v>0</v>
      </c>
      <c r="AX144">
        <v>221</v>
      </c>
      <c r="AY144">
        <v>67</v>
      </c>
      <c r="AZ144">
        <v>0</v>
      </c>
      <c r="BA144">
        <v>217</v>
      </c>
      <c r="BB144">
        <v>71</v>
      </c>
      <c r="BC144">
        <v>0</v>
      </c>
      <c r="BD144">
        <v>199</v>
      </c>
      <c r="BE144">
        <v>63</v>
      </c>
      <c r="BF144">
        <v>0</v>
      </c>
      <c r="BG144">
        <v>221</v>
      </c>
      <c r="BH144">
        <v>45</v>
      </c>
      <c r="BI144">
        <v>0</v>
      </c>
      <c r="BJ144">
        <v>253</v>
      </c>
      <c r="BK144">
        <v>35</v>
      </c>
      <c r="BL144">
        <v>0</v>
      </c>
      <c r="BM144">
        <v>260</v>
      </c>
      <c r="BN144">
        <v>34</v>
      </c>
      <c r="BO144">
        <v>0</v>
      </c>
      <c r="BP144">
        <v>250</v>
      </c>
      <c r="BQ144">
        <v>57</v>
      </c>
      <c r="BR144">
        <v>0</v>
      </c>
      <c r="BS144">
        <v>249</v>
      </c>
      <c r="BT144">
        <v>40</v>
      </c>
      <c r="BU144">
        <v>0</v>
      </c>
      <c r="BV144">
        <v>211</v>
      </c>
      <c r="BW144">
        <v>55</v>
      </c>
      <c r="BX144">
        <v>0</v>
      </c>
      <c r="BY144">
        <v>253</v>
      </c>
      <c r="BZ144">
        <v>52</v>
      </c>
      <c r="CA144">
        <v>0</v>
      </c>
      <c r="CB144">
        <v>251</v>
      </c>
      <c r="CC144">
        <v>50</v>
      </c>
      <c r="CD144">
        <v>0</v>
      </c>
      <c r="CE144">
        <v>199</v>
      </c>
      <c r="CF144">
        <v>73</v>
      </c>
      <c r="CG144">
        <v>0</v>
      </c>
      <c r="CH144">
        <v>272</v>
      </c>
      <c r="CI144">
        <v>47</v>
      </c>
      <c r="CJ144">
        <v>0</v>
      </c>
      <c r="CK144">
        <v>191</v>
      </c>
      <c r="CL144">
        <v>43</v>
      </c>
      <c r="CM144">
        <v>0</v>
      </c>
      <c r="CN144">
        <v>272</v>
      </c>
      <c r="CO144">
        <v>32</v>
      </c>
      <c r="CP144">
        <v>0</v>
      </c>
      <c r="CQ144">
        <v>138</v>
      </c>
      <c r="CR144">
        <v>81</v>
      </c>
      <c r="CS144">
        <v>0</v>
      </c>
      <c r="CT144">
        <v>150</v>
      </c>
      <c r="CU144">
        <v>75</v>
      </c>
      <c r="CV144">
        <v>0</v>
      </c>
      <c r="CW144">
        <v>243</v>
      </c>
      <c r="CX144">
        <v>48</v>
      </c>
      <c r="CY144">
        <v>0</v>
      </c>
      <c r="CZ144">
        <v>234</v>
      </c>
      <c r="DA144">
        <v>65</v>
      </c>
      <c r="DB144">
        <v>0</v>
      </c>
      <c r="DC144">
        <v>189</v>
      </c>
      <c r="DD144">
        <v>64</v>
      </c>
      <c r="DE144">
        <v>0</v>
      </c>
      <c r="DF144">
        <v>261</v>
      </c>
      <c r="DG144">
        <v>54</v>
      </c>
      <c r="DH144">
        <v>0</v>
      </c>
      <c r="DI144">
        <v>200</v>
      </c>
      <c r="DJ144">
        <v>65</v>
      </c>
      <c r="DK144">
        <v>0</v>
      </c>
      <c r="DL144">
        <v>297</v>
      </c>
      <c r="DM144">
        <v>28</v>
      </c>
      <c r="DN144">
        <v>0</v>
      </c>
      <c r="DO144">
        <v>224</v>
      </c>
      <c r="DP144">
        <v>76</v>
      </c>
      <c r="DQ144">
        <v>0</v>
      </c>
      <c r="DR144">
        <v>172</v>
      </c>
      <c r="DS144">
        <v>48</v>
      </c>
      <c r="DT144">
        <v>0</v>
      </c>
      <c r="DU144">
        <v>235</v>
      </c>
      <c r="DV144">
        <v>60</v>
      </c>
      <c r="DW144">
        <v>0</v>
      </c>
      <c r="DX144">
        <v>269</v>
      </c>
      <c r="DY144">
        <v>39</v>
      </c>
      <c r="DZ144">
        <v>0</v>
      </c>
    </row>
    <row r="145" spans="2:130" hidden="1">
      <c r="B145" s="1332">
        <f t="shared" si="0"/>
        <v>17.399999999999999</v>
      </c>
      <c r="C145" s="1332">
        <f t="shared" si="1"/>
        <v>82</v>
      </c>
      <c r="D145" s="1332">
        <f t="shared" si="2"/>
        <v>0</v>
      </c>
      <c r="F145">
        <v>5110</v>
      </c>
      <c r="G145">
        <v>31</v>
      </c>
      <c r="H145">
        <v>1</v>
      </c>
      <c r="I145">
        <v>22</v>
      </c>
      <c r="J145">
        <v>8</v>
      </c>
      <c r="K145">
        <v>174</v>
      </c>
      <c r="L145">
        <v>82</v>
      </c>
      <c r="M145">
        <v>0</v>
      </c>
      <c r="N145">
        <v>216</v>
      </c>
      <c r="O145">
        <v>86</v>
      </c>
      <c r="P145">
        <v>0</v>
      </c>
      <c r="Q145">
        <v>288</v>
      </c>
      <c r="R145">
        <v>31</v>
      </c>
      <c r="S145">
        <v>0</v>
      </c>
      <c r="T145">
        <v>250</v>
      </c>
      <c r="U145">
        <v>67</v>
      </c>
      <c r="V145">
        <v>0</v>
      </c>
      <c r="W145">
        <v>222</v>
      </c>
      <c r="X145">
        <v>64</v>
      </c>
      <c r="Y145">
        <v>0</v>
      </c>
      <c r="Z145">
        <v>219</v>
      </c>
      <c r="AA145">
        <v>71</v>
      </c>
      <c r="AB145">
        <v>0</v>
      </c>
      <c r="AC145">
        <v>224</v>
      </c>
      <c r="AD145">
        <v>69</v>
      </c>
      <c r="AE145">
        <v>0</v>
      </c>
      <c r="AF145">
        <v>150</v>
      </c>
      <c r="AG145">
        <v>85</v>
      </c>
      <c r="AH145">
        <v>0</v>
      </c>
      <c r="AI145">
        <v>202</v>
      </c>
      <c r="AJ145">
        <v>64</v>
      </c>
      <c r="AK145">
        <v>0</v>
      </c>
      <c r="AL145">
        <v>183</v>
      </c>
      <c r="AM145">
        <v>63</v>
      </c>
      <c r="AN145">
        <v>0</v>
      </c>
      <c r="AO145">
        <v>258</v>
      </c>
      <c r="AP145">
        <v>57</v>
      </c>
      <c r="AQ145">
        <v>0</v>
      </c>
      <c r="AR145">
        <v>261</v>
      </c>
      <c r="AS145">
        <v>21</v>
      </c>
      <c r="AT145">
        <v>0</v>
      </c>
      <c r="AU145">
        <v>135</v>
      </c>
      <c r="AV145">
        <v>57</v>
      </c>
      <c r="AW145">
        <v>0</v>
      </c>
      <c r="AX145">
        <v>214</v>
      </c>
      <c r="AY145">
        <v>70</v>
      </c>
      <c r="AZ145">
        <v>0</v>
      </c>
      <c r="BA145">
        <v>211</v>
      </c>
      <c r="BB145">
        <v>70</v>
      </c>
      <c r="BC145">
        <v>0</v>
      </c>
      <c r="BD145">
        <v>187</v>
      </c>
      <c r="BE145">
        <v>67</v>
      </c>
      <c r="BF145">
        <v>0</v>
      </c>
      <c r="BG145">
        <v>220</v>
      </c>
      <c r="BH145">
        <v>43</v>
      </c>
      <c r="BI145">
        <v>0</v>
      </c>
      <c r="BJ145">
        <v>247</v>
      </c>
      <c r="BK145">
        <v>36</v>
      </c>
      <c r="BL145">
        <v>0</v>
      </c>
      <c r="BM145">
        <v>249</v>
      </c>
      <c r="BN145">
        <v>37</v>
      </c>
      <c r="BO145">
        <v>0</v>
      </c>
      <c r="BP145">
        <v>236</v>
      </c>
      <c r="BQ145">
        <v>62</v>
      </c>
      <c r="BR145">
        <v>0</v>
      </c>
      <c r="BS145">
        <v>242</v>
      </c>
      <c r="BT145">
        <v>42</v>
      </c>
      <c r="BU145">
        <v>0</v>
      </c>
      <c r="BV145">
        <v>201</v>
      </c>
      <c r="BW145">
        <v>59</v>
      </c>
      <c r="BX145">
        <v>0</v>
      </c>
      <c r="BY145">
        <v>238</v>
      </c>
      <c r="BZ145">
        <v>62</v>
      </c>
      <c r="CA145">
        <v>0</v>
      </c>
      <c r="CB145">
        <v>227</v>
      </c>
      <c r="CC145">
        <v>60</v>
      </c>
      <c r="CD145">
        <v>0</v>
      </c>
      <c r="CE145">
        <v>192</v>
      </c>
      <c r="CF145">
        <v>75</v>
      </c>
      <c r="CG145">
        <v>0</v>
      </c>
      <c r="CH145">
        <v>260</v>
      </c>
      <c r="CI145">
        <v>51</v>
      </c>
      <c r="CJ145">
        <v>0</v>
      </c>
      <c r="CK145">
        <v>175</v>
      </c>
      <c r="CL145">
        <v>49</v>
      </c>
      <c r="CM145">
        <v>0</v>
      </c>
      <c r="CN145">
        <v>263</v>
      </c>
      <c r="CO145">
        <v>34</v>
      </c>
      <c r="CP145">
        <v>0</v>
      </c>
      <c r="CQ145">
        <v>120</v>
      </c>
      <c r="CR145">
        <v>86</v>
      </c>
      <c r="CS145">
        <v>0</v>
      </c>
      <c r="CT145">
        <v>143</v>
      </c>
      <c r="CU145">
        <v>78</v>
      </c>
      <c r="CV145">
        <v>0</v>
      </c>
      <c r="CW145">
        <v>239</v>
      </c>
      <c r="CX145">
        <v>51</v>
      </c>
      <c r="CY145">
        <v>0</v>
      </c>
      <c r="CZ145">
        <v>222</v>
      </c>
      <c r="DA145">
        <v>70</v>
      </c>
      <c r="DB145">
        <v>0</v>
      </c>
      <c r="DC145">
        <v>177</v>
      </c>
      <c r="DD145">
        <v>70</v>
      </c>
      <c r="DE145">
        <v>0</v>
      </c>
      <c r="DF145">
        <v>242</v>
      </c>
      <c r="DG145">
        <v>60</v>
      </c>
      <c r="DH145">
        <v>0</v>
      </c>
      <c r="DI145">
        <v>190</v>
      </c>
      <c r="DJ145">
        <v>70</v>
      </c>
      <c r="DK145">
        <v>0</v>
      </c>
      <c r="DL145">
        <v>282</v>
      </c>
      <c r="DM145">
        <v>29</v>
      </c>
      <c r="DN145">
        <v>0</v>
      </c>
      <c r="DO145">
        <v>212</v>
      </c>
      <c r="DP145">
        <v>84</v>
      </c>
      <c r="DQ145">
        <v>0</v>
      </c>
      <c r="DR145">
        <v>161</v>
      </c>
      <c r="DS145">
        <v>53</v>
      </c>
      <c r="DT145">
        <v>0</v>
      </c>
      <c r="DU145">
        <v>213</v>
      </c>
      <c r="DV145">
        <v>71</v>
      </c>
      <c r="DW145">
        <v>0</v>
      </c>
      <c r="DX145">
        <v>249</v>
      </c>
      <c r="DY145">
        <v>45</v>
      </c>
      <c r="DZ145">
        <v>0</v>
      </c>
    </row>
    <row r="146" spans="2:130" hidden="1">
      <c r="B146" s="1332">
        <f t="shared" si="0"/>
        <v>16.899999999999999</v>
      </c>
      <c r="C146" s="1332">
        <f t="shared" si="1"/>
        <v>83</v>
      </c>
      <c r="D146" s="1332">
        <f t="shared" si="2"/>
        <v>0</v>
      </c>
      <c r="F146">
        <v>5111</v>
      </c>
      <c r="G146">
        <v>31</v>
      </c>
      <c r="H146">
        <v>1</v>
      </c>
      <c r="I146">
        <v>23</v>
      </c>
      <c r="J146">
        <v>8</v>
      </c>
      <c r="K146">
        <v>169</v>
      </c>
      <c r="L146">
        <v>83</v>
      </c>
      <c r="M146">
        <v>0</v>
      </c>
      <c r="N146">
        <v>211</v>
      </c>
      <c r="O146">
        <v>85</v>
      </c>
      <c r="P146">
        <v>0</v>
      </c>
      <c r="Q146">
        <v>283</v>
      </c>
      <c r="R146">
        <v>31</v>
      </c>
      <c r="S146">
        <v>0</v>
      </c>
      <c r="T146">
        <v>241</v>
      </c>
      <c r="U146">
        <v>69</v>
      </c>
      <c r="V146">
        <v>0</v>
      </c>
      <c r="W146">
        <v>212</v>
      </c>
      <c r="X146">
        <v>69</v>
      </c>
      <c r="Y146">
        <v>0</v>
      </c>
      <c r="Z146">
        <v>212</v>
      </c>
      <c r="AA146">
        <v>75</v>
      </c>
      <c r="AB146">
        <v>0</v>
      </c>
      <c r="AC146">
        <v>213</v>
      </c>
      <c r="AD146">
        <v>72</v>
      </c>
      <c r="AE146">
        <v>0</v>
      </c>
      <c r="AF146">
        <v>142</v>
      </c>
      <c r="AG146">
        <v>86</v>
      </c>
      <c r="AH146">
        <v>0</v>
      </c>
      <c r="AI146">
        <v>195</v>
      </c>
      <c r="AJ146">
        <v>68</v>
      </c>
      <c r="AK146">
        <v>0</v>
      </c>
      <c r="AL146">
        <v>171</v>
      </c>
      <c r="AM146">
        <v>66</v>
      </c>
      <c r="AN146">
        <v>0</v>
      </c>
      <c r="AO146">
        <v>240</v>
      </c>
      <c r="AP146">
        <v>64</v>
      </c>
      <c r="AQ146">
        <v>0</v>
      </c>
      <c r="AR146">
        <v>230</v>
      </c>
      <c r="AS146">
        <v>28</v>
      </c>
      <c r="AT146">
        <v>0</v>
      </c>
      <c r="AU146">
        <v>127</v>
      </c>
      <c r="AV146">
        <v>75</v>
      </c>
      <c r="AW146">
        <v>0</v>
      </c>
      <c r="AX146">
        <v>212</v>
      </c>
      <c r="AY146">
        <v>69</v>
      </c>
      <c r="AZ146">
        <v>0</v>
      </c>
      <c r="BA146">
        <v>205</v>
      </c>
      <c r="BB146">
        <v>72</v>
      </c>
      <c r="BC146">
        <v>0</v>
      </c>
      <c r="BD146">
        <v>179</v>
      </c>
      <c r="BE146">
        <v>71</v>
      </c>
      <c r="BF146">
        <v>0</v>
      </c>
      <c r="BG146">
        <v>223</v>
      </c>
      <c r="BH146">
        <v>42</v>
      </c>
      <c r="BI146">
        <v>0</v>
      </c>
      <c r="BJ146">
        <v>238</v>
      </c>
      <c r="BK146">
        <v>38</v>
      </c>
      <c r="BL146">
        <v>0</v>
      </c>
      <c r="BM146">
        <v>232</v>
      </c>
      <c r="BN146">
        <v>51</v>
      </c>
      <c r="BO146">
        <v>0</v>
      </c>
      <c r="BP146">
        <v>226</v>
      </c>
      <c r="BQ146">
        <v>65</v>
      </c>
      <c r="BR146">
        <v>0</v>
      </c>
      <c r="BS146">
        <v>221</v>
      </c>
      <c r="BT146">
        <v>49</v>
      </c>
      <c r="BU146">
        <v>0</v>
      </c>
      <c r="BV146">
        <v>192</v>
      </c>
      <c r="BW146">
        <v>62</v>
      </c>
      <c r="BX146">
        <v>0</v>
      </c>
      <c r="BY146">
        <v>225</v>
      </c>
      <c r="BZ146">
        <v>66</v>
      </c>
      <c r="CA146">
        <v>0</v>
      </c>
      <c r="CB146">
        <v>217</v>
      </c>
      <c r="CC146">
        <v>65</v>
      </c>
      <c r="CD146">
        <v>0</v>
      </c>
      <c r="CE146">
        <v>181</v>
      </c>
      <c r="CF146">
        <v>80</v>
      </c>
      <c r="CG146">
        <v>0</v>
      </c>
      <c r="CH146">
        <v>252</v>
      </c>
      <c r="CI146">
        <v>55</v>
      </c>
      <c r="CJ146">
        <v>0</v>
      </c>
      <c r="CK146">
        <v>158</v>
      </c>
      <c r="CL146">
        <v>55</v>
      </c>
      <c r="CM146">
        <v>0</v>
      </c>
      <c r="CN146">
        <v>257</v>
      </c>
      <c r="CO146">
        <v>38</v>
      </c>
      <c r="CP146">
        <v>0</v>
      </c>
      <c r="CQ146">
        <v>130</v>
      </c>
      <c r="CR146">
        <v>88</v>
      </c>
      <c r="CS146">
        <v>0</v>
      </c>
      <c r="CT146">
        <v>140</v>
      </c>
      <c r="CU146">
        <v>80</v>
      </c>
      <c r="CV146">
        <v>0</v>
      </c>
      <c r="CW146">
        <v>231</v>
      </c>
      <c r="CX146">
        <v>55</v>
      </c>
      <c r="CY146">
        <v>0</v>
      </c>
      <c r="CZ146">
        <v>213</v>
      </c>
      <c r="DA146">
        <v>73</v>
      </c>
      <c r="DB146">
        <v>0</v>
      </c>
      <c r="DC146">
        <v>164</v>
      </c>
      <c r="DD146">
        <v>78</v>
      </c>
      <c r="DE146">
        <v>0</v>
      </c>
      <c r="DF146">
        <v>231</v>
      </c>
      <c r="DG146">
        <v>61</v>
      </c>
      <c r="DH146">
        <v>0</v>
      </c>
      <c r="DI146">
        <v>158</v>
      </c>
      <c r="DJ146">
        <v>85</v>
      </c>
      <c r="DK146">
        <v>0</v>
      </c>
      <c r="DL146">
        <v>268</v>
      </c>
      <c r="DM146">
        <v>31</v>
      </c>
      <c r="DN146">
        <v>0</v>
      </c>
      <c r="DO146">
        <v>202</v>
      </c>
      <c r="DP146">
        <v>87</v>
      </c>
      <c r="DQ146">
        <v>0</v>
      </c>
      <c r="DR146">
        <v>158</v>
      </c>
      <c r="DS146">
        <v>52</v>
      </c>
      <c r="DT146">
        <v>0</v>
      </c>
      <c r="DU146">
        <v>205</v>
      </c>
      <c r="DV146">
        <v>75</v>
      </c>
      <c r="DW146">
        <v>0</v>
      </c>
      <c r="DX146">
        <v>229</v>
      </c>
      <c r="DY146">
        <v>52</v>
      </c>
      <c r="DZ146">
        <v>0</v>
      </c>
    </row>
    <row r="147" spans="2:130" hidden="1">
      <c r="B147" s="1332">
        <f t="shared" si="0"/>
        <v>16.3</v>
      </c>
      <c r="C147" s="1332">
        <f t="shared" si="1"/>
        <v>84</v>
      </c>
      <c r="D147" s="1332">
        <f t="shared" si="2"/>
        <v>0</v>
      </c>
      <c r="F147">
        <v>5112</v>
      </c>
      <c r="G147">
        <v>31</v>
      </c>
      <c r="H147">
        <v>1</v>
      </c>
      <c r="I147">
        <v>24</v>
      </c>
      <c r="J147">
        <v>8</v>
      </c>
      <c r="K147">
        <v>163</v>
      </c>
      <c r="L147">
        <v>84</v>
      </c>
      <c r="M147">
        <v>0</v>
      </c>
      <c r="N147">
        <v>213</v>
      </c>
      <c r="O147">
        <v>82</v>
      </c>
      <c r="P147">
        <v>0</v>
      </c>
      <c r="Q147">
        <v>276</v>
      </c>
      <c r="R147">
        <v>32</v>
      </c>
      <c r="S147">
        <v>0</v>
      </c>
      <c r="T147">
        <v>234</v>
      </c>
      <c r="U147">
        <v>69</v>
      </c>
      <c r="V147">
        <v>0</v>
      </c>
      <c r="W147">
        <v>206</v>
      </c>
      <c r="X147">
        <v>73</v>
      </c>
      <c r="Y147">
        <v>0</v>
      </c>
      <c r="Z147">
        <v>199</v>
      </c>
      <c r="AA147">
        <v>83</v>
      </c>
      <c r="AB147">
        <v>0</v>
      </c>
      <c r="AC147">
        <v>210</v>
      </c>
      <c r="AD147">
        <v>75</v>
      </c>
      <c r="AE147">
        <v>0</v>
      </c>
      <c r="AF147">
        <v>139</v>
      </c>
      <c r="AG147">
        <v>86</v>
      </c>
      <c r="AH147">
        <v>0</v>
      </c>
      <c r="AI147">
        <v>194</v>
      </c>
      <c r="AJ147">
        <v>69</v>
      </c>
      <c r="AK147">
        <v>0</v>
      </c>
      <c r="AL147">
        <v>173</v>
      </c>
      <c r="AM147">
        <v>60</v>
      </c>
      <c r="AN147">
        <v>0</v>
      </c>
      <c r="AO147">
        <v>227</v>
      </c>
      <c r="AP147">
        <v>66</v>
      </c>
      <c r="AQ147">
        <v>0</v>
      </c>
      <c r="AR147">
        <v>223</v>
      </c>
      <c r="AS147">
        <v>29</v>
      </c>
      <c r="AT147">
        <v>0</v>
      </c>
      <c r="AU147">
        <v>121</v>
      </c>
      <c r="AV147">
        <v>86</v>
      </c>
      <c r="AW147">
        <v>0</v>
      </c>
      <c r="AX147">
        <v>204</v>
      </c>
      <c r="AY147">
        <v>71</v>
      </c>
      <c r="AZ147">
        <v>0</v>
      </c>
      <c r="BA147">
        <v>199</v>
      </c>
      <c r="BB147">
        <v>72</v>
      </c>
      <c r="BC147">
        <v>0</v>
      </c>
      <c r="BD147">
        <v>178</v>
      </c>
      <c r="BE147">
        <v>72</v>
      </c>
      <c r="BF147">
        <v>0</v>
      </c>
      <c r="BG147">
        <v>217</v>
      </c>
      <c r="BH147">
        <v>48</v>
      </c>
      <c r="BI147">
        <v>0</v>
      </c>
      <c r="BJ147">
        <v>227</v>
      </c>
      <c r="BK147">
        <v>41</v>
      </c>
      <c r="BL147">
        <v>0</v>
      </c>
      <c r="BM147">
        <v>228</v>
      </c>
      <c r="BN147">
        <v>56</v>
      </c>
      <c r="BO147">
        <v>0</v>
      </c>
      <c r="BP147">
        <v>218</v>
      </c>
      <c r="BQ147">
        <v>67</v>
      </c>
      <c r="BR147">
        <v>0</v>
      </c>
      <c r="BS147">
        <v>205</v>
      </c>
      <c r="BT147">
        <v>55</v>
      </c>
      <c r="BU147">
        <v>0</v>
      </c>
      <c r="BV147">
        <v>186</v>
      </c>
      <c r="BW147">
        <v>64</v>
      </c>
      <c r="BX147">
        <v>0</v>
      </c>
      <c r="BY147">
        <v>216</v>
      </c>
      <c r="BZ147">
        <v>68</v>
      </c>
      <c r="CA147">
        <v>0</v>
      </c>
      <c r="CB147">
        <v>209</v>
      </c>
      <c r="CC147">
        <v>69</v>
      </c>
      <c r="CD147">
        <v>0</v>
      </c>
      <c r="CE147">
        <v>177</v>
      </c>
      <c r="CF147">
        <v>80</v>
      </c>
      <c r="CG147">
        <v>0</v>
      </c>
      <c r="CH147">
        <v>247</v>
      </c>
      <c r="CI147">
        <v>56</v>
      </c>
      <c r="CJ147">
        <v>0</v>
      </c>
      <c r="CK147">
        <v>192</v>
      </c>
      <c r="CL147">
        <v>41</v>
      </c>
      <c r="CM147">
        <v>0</v>
      </c>
      <c r="CN147">
        <v>252</v>
      </c>
      <c r="CO147">
        <v>44</v>
      </c>
      <c r="CP147">
        <v>0</v>
      </c>
      <c r="CQ147">
        <v>114</v>
      </c>
      <c r="CR147">
        <v>90</v>
      </c>
      <c r="CS147">
        <v>0</v>
      </c>
      <c r="CT147">
        <v>140</v>
      </c>
      <c r="CU147">
        <v>88</v>
      </c>
      <c r="CV147">
        <v>0</v>
      </c>
      <c r="CW147">
        <v>227</v>
      </c>
      <c r="CX147">
        <v>57</v>
      </c>
      <c r="CY147">
        <v>0</v>
      </c>
      <c r="CZ147">
        <v>205</v>
      </c>
      <c r="DA147">
        <v>76</v>
      </c>
      <c r="DB147">
        <v>0</v>
      </c>
      <c r="DC147">
        <v>155</v>
      </c>
      <c r="DD147">
        <v>80</v>
      </c>
      <c r="DE147">
        <v>0</v>
      </c>
      <c r="DF147">
        <v>219</v>
      </c>
      <c r="DG147">
        <v>66</v>
      </c>
      <c r="DH147">
        <v>0</v>
      </c>
      <c r="DI147">
        <v>153</v>
      </c>
      <c r="DJ147">
        <v>86</v>
      </c>
      <c r="DK147">
        <v>0</v>
      </c>
      <c r="DL147">
        <v>270</v>
      </c>
      <c r="DM147">
        <v>31</v>
      </c>
      <c r="DN147">
        <v>0</v>
      </c>
      <c r="DO147">
        <v>194</v>
      </c>
      <c r="DP147">
        <v>90</v>
      </c>
      <c r="DQ147">
        <v>0</v>
      </c>
      <c r="DR147">
        <v>147</v>
      </c>
      <c r="DS147">
        <v>57</v>
      </c>
      <c r="DT147">
        <v>0</v>
      </c>
      <c r="DU147">
        <v>202</v>
      </c>
      <c r="DV147">
        <v>78</v>
      </c>
      <c r="DW147">
        <v>0</v>
      </c>
      <c r="DX147">
        <v>218</v>
      </c>
      <c r="DY147">
        <v>61</v>
      </c>
      <c r="DZ147">
        <v>0</v>
      </c>
    </row>
    <row r="148" spans="2:130" hidden="1">
      <c r="B148" s="1332">
        <f t="shared" si="0"/>
        <v>15.8</v>
      </c>
      <c r="C148" s="1332">
        <f t="shared" si="1"/>
        <v>46</v>
      </c>
      <c r="D148" s="1332">
        <f t="shared" si="2"/>
        <v>0</v>
      </c>
      <c r="F148">
        <v>6553</v>
      </c>
      <c r="G148">
        <v>39</v>
      </c>
      <c r="H148">
        <v>1</v>
      </c>
      <c r="I148">
        <v>1</v>
      </c>
      <c r="J148">
        <v>10</v>
      </c>
      <c r="K148">
        <v>158</v>
      </c>
      <c r="L148">
        <v>46</v>
      </c>
      <c r="M148">
        <v>0</v>
      </c>
      <c r="N148">
        <v>115</v>
      </c>
      <c r="O148">
        <v>96</v>
      </c>
      <c r="P148">
        <v>0</v>
      </c>
      <c r="Q148">
        <v>163</v>
      </c>
      <c r="R148">
        <v>62</v>
      </c>
      <c r="S148">
        <v>0</v>
      </c>
      <c r="T148">
        <v>120</v>
      </c>
      <c r="U148">
        <v>86</v>
      </c>
      <c r="V148">
        <v>0</v>
      </c>
      <c r="W148">
        <v>124</v>
      </c>
      <c r="X148">
        <v>90</v>
      </c>
      <c r="Y148">
        <v>0</v>
      </c>
      <c r="Z148">
        <v>108</v>
      </c>
      <c r="AA148">
        <v>91</v>
      </c>
      <c r="AB148">
        <v>0</v>
      </c>
      <c r="AC148">
        <v>115</v>
      </c>
      <c r="AD148">
        <v>87</v>
      </c>
      <c r="AE148">
        <v>0</v>
      </c>
      <c r="AF148">
        <v>70</v>
      </c>
      <c r="AG148">
        <v>87</v>
      </c>
      <c r="AH148">
        <v>0</v>
      </c>
      <c r="AI148">
        <v>118</v>
      </c>
      <c r="AJ148">
        <v>45</v>
      </c>
      <c r="AK148">
        <v>0</v>
      </c>
      <c r="AL148">
        <v>121</v>
      </c>
      <c r="AM148">
        <v>81</v>
      </c>
      <c r="AN148">
        <v>0</v>
      </c>
      <c r="AO148">
        <v>120</v>
      </c>
      <c r="AP148">
        <v>95</v>
      </c>
      <c r="AQ148">
        <v>0</v>
      </c>
      <c r="AR148">
        <v>146</v>
      </c>
      <c r="AS148">
        <v>96</v>
      </c>
      <c r="AT148">
        <v>0</v>
      </c>
      <c r="AU148">
        <v>82</v>
      </c>
      <c r="AV148">
        <v>49</v>
      </c>
      <c r="AW148">
        <v>0</v>
      </c>
      <c r="AX148">
        <v>115</v>
      </c>
      <c r="AY148">
        <v>95</v>
      </c>
      <c r="AZ148">
        <v>0</v>
      </c>
      <c r="BA148">
        <v>134</v>
      </c>
      <c r="BB148">
        <v>100</v>
      </c>
      <c r="BC148">
        <v>0</v>
      </c>
      <c r="BD148">
        <v>158</v>
      </c>
      <c r="BE148">
        <v>69</v>
      </c>
      <c r="BF148">
        <v>0</v>
      </c>
      <c r="BG148">
        <v>140</v>
      </c>
      <c r="BH148">
        <v>27</v>
      </c>
      <c r="BI148">
        <v>0</v>
      </c>
      <c r="BJ148">
        <v>121</v>
      </c>
      <c r="BK148">
        <v>61</v>
      </c>
      <c r="BL148">
        <v>0</v>
      </c>
      <c r="BM148">
        <v>161</v>
      </c>
      <c r="BN148">
        <v>77</v>
      </c>
      <c r="BO148">
        <v>0</v>
      </c>
      <c r="BP148">
        <v>146</v>
      </c>
      <c r="BQ148">
        <v>90</v>
      </c>
      <c r="BR148">
        <v>0</v>
      </c>
      <c r="BS148">
        <v>130</v>
      </c>
      <c r="BT148">
        <v>71</v>
      </c>
      <c r="BU148">
        <v>0</v>
      </c>
      <c r="BV148">
        <v>97</v>
      </c>
      <c r="BW148">
        <v>65</v>
      </c>
      <c r="BX148">
        <v>0</v>
      </c>
      <c r="BY148">
        <v>132</v>
      </c>
      <c r="BZ148">
        <v>86</v>
      </c>
      <c r="CA148">
        <v>0</v>
      </c>
      <c r="CB148">
        <v>123</v>
      </c>
      <c r="CC148">
        <v>95</v>
      </c>
      <c r="CD148">
        <v>0</v>
      </c>
      <c r="CE148">
        <v>144</v>
      </c>
      <c r="CF148">
        <v>49</v>
      </c>
      <c r="CG148">
        <v>0</v>
      </c>
      <c r="CH148">
        <v>166</v>
      </c>
      <c r="CI148">
        <v>74</v>
      </c>
      <c r="CJ148">
        <v>0</v>
      </c>
      <c r="CK148">
        <v>33</v>
      </c>
      <c r="CL148">
        <v>75</v>
      </c>
      <c r="CM148">
        <v>0</v>
      </c>
      <c r="CN148">
        <v>146</v>
      </c>
      <c r="CO148">
        <v>61</v>
      </c>
      <c r="CP148">
        <v>0</v>
      </c>
      <c r="CQ148">
        <v>103</v>
      </c>
      <c r="CR148">
        <v>44</v>
      </c>
      <c r="CS148">
        <v>0</v>
      </c>
      <c r="CT148">
        <v>102</v>
      </c>
      <c r="CU148">
        <v>47</v>
      </c>
      <c r="CV148">
        <v>0</v>
      </c>
      <c r="CW148">
        <v>195</v>
      </c>
      <c r="CX148">
        <v>47</v>
      </c>
      <c r="CY148">
        <v>0</v>
      </c>
      <c r="CZ148">
        <v>155</v>
      </c>
      <c r="DA148">
        <v>89</v>
      </c>
      <c r="DB148">
        <v>0</v>
      </c>
      <c r="DC148">
        <v>90</v>
      </c>
      <c r="DD148">
        <v>75</v>
      </c>
      <c r="DE148">
        <v>0</v>
      </c>
      <c r="DF148">
        <v>114</v>
      </c>
      <c r="DG148">
        <v>90</v>
      </c>
      <c r="DH148">
        <v>0</v>
      </c>
      <c r="DI148">
        <v>73</v>
      </c>
      <c r="DJ148">
        <v>85</v>
      </c>
      <c r="DK148">
        <v>0</v>
      </c>
      <c r="DL148">
        <v>171</v>
      </c>
      <c r="DM148">
        <v>62</v>
      </c>
      <c r="DN148">
        <v>0</v>
      </c>
      <c r="DO148">
        <v>176</v>
      </c>
      <c r="DP148">
        <v>77</v>
      </c>
      <c r="DQ148">
        <v>0</v>
      </c>
      <c r="DR148">
        <v>78</v>
      </c>
      <c r="DS148">
        <v>62</v>
      </c>
      <c r="DT148">
        <v>0</v>
      </c>
      <c r="DU148">
        <v>128</v>
      </c>
      <c r="DV148">
        <v>90</v>
      </c>
      <c r="DW148">
        <v>0</v>
      </c>
      <c r="DX148">
        <v>180</v>
      </c>
      <c r="DY148">
        <v>70</v>
      </c>
      <c r="DZ148">
        <v>0</v>
      </c>
    </row>
    <row r="149" spans="2:130" hidden="1">
      <c r="B149" s="1332">
        <f t="shared" si="0"/>
        <v>13.5</v>
      </c>
      <c r="C149" s="1332">
        <f t="shared" si="1"/>
        <v>56</v>
      </c>
      <c r="D149" s="1332">
        <f t="shared" si="2"/>
        <v>0</v>
      </c>
      <c r="F149">
        <v>6554</v>
      </c>
      <c r="G149">
        <v>39</v>
      </c>
      <c r="H149">
        <v>1</v>
      </c>
      <c r="I149">
        <v>2</v>
      </c>
      <c r="J149">
        <v>10</v>
      </c>
      <c r="K149">
        <v>135</v>
      </c>
      <c r="L149">
        <v>56</v>
      </c>
      <c r="M149">
        <v>0</v>
      </c>
      <c r="N149">
        <v>112</v>
      </c>
      <c r="O149">
        <v>95</v>
      </c>
      <c r="P149">
        <v>0</v>
      </c>
      <c r="Q149">
        <v>143</v>
      </c>
      <c r="R149">
        <v>70</v>
      </c>
      <c r="S149">
        <v>0</v>
      </c>
      <c r="T149">
        <v>117</v>
      </c>
      <c r="U149">
        <v>87</v>
      </c>
      <c r="V149">
        <v>0</v>
      </c>
      <c r="W149">
        <v>123</v>
      </c>
      <c r="X149">
        <v>89</v>
      </c>
      <c r="Y149">
        <v>0</v>
      </c>
      <c r="Z149">
        <v>105</v>
      </c>
      <c r="AA149">
        <v>91</v>
      </c>
      <c r="AB149">
        <v>0</v>
      </c>
      <c r="AC149">
        <v>134</v>
      </c>
      <c r="AD149">
        <v>79</v>
      </c>
      <c r="AE149">
        <v>0</v>
      </c>
      <c r="AF149">
        <v>70</v>
      </c>
      <c r="AG149">
        <v>86</v>
      </c>
      <c r="AH149">
        <v>0</v>
      </c>
      <c r="AI149">
        <v>117</v>
      </c>
      <c r="AJ149">
        <v>39</v>
      </c>
      <c r="AK149">
        <v>0</v>
      </c>
      <c r="AL149">
        <v>118</v>
      </c>
      <c r="AM149">
        <v>81</v>
      </c>
      <c r="AN149">
        <v>0</v>
      </c>
      <c r="AO149">
        <v>122</v>
      </c>
      <c r="AP149">
        <v>95</v>
      </c>
      <c r="AQ149">
        <v>0</v>
      </c>
      <c r="AR149">
        <v>144</v>
      </c>
      <c r="AS149">
        <v>97</v>
      </c>
      <c r="AT149">
        <v>0</v>
      </c>
      <c r="AU149">
        <v>86</v>
      </c>
      <c r="AV149">
        <v>48</v>
      </c>
      <c r="AW149">
        <v>0</v>
      </c>
      <c r="AX149">
        <v>118</v>
      </c>
      <c r="AY149">
        <v>94</v>
      </c>
      <c r="AZ149">
        <v>0</v>
      </c>
      <c r="BA149">
        <v>133</v>
      </c>
      <c r="BB149">
        <v>100</v>
      </c>
      <c r="BC149">
        <v>0</v>
      </c>
      <c r="BD149">
        <v>156</v>
      </c>
      <c r="BE149">
        <v>71</v>
      </c>
      <c r="BF149">
        <v>0</v>
      </c>
      <c r="BG149">
        <v>138</v>
      </c>
      <c r="BH149">
        <v>27</v>
      </c>
      <c r="BI149">
        <v>0</v>
      </c>
      <c r="BJ149">
        <v>124</v>
      </c>
      <c r="BK149">
        <v>48</v>
      </c>
      <c r="BL149">
        <v>0</v>
      </c>
      <c r="BM149">
        <v>159</v>
      </c>
      <c r="BN149">
        <v>78</v>
      </c>
      <c r="BO149">
        <v>0</v>
      </c>
      <c r="BP149">
        <v>141</v>
      </c>
      <c r="BQ149">
        <v>90</v>
      </c>
      <c r="BR149">
        <v>0</v>
      </c>
      <c r="BS149">
        <v>126</v>
      </c>
      <c r="BT149">
        <v>72</v>
      </c>
      <c r="BU149">
        <v>0</v>
      </c>
      <c r="BV149">
        <v>95</v>
      </c>
      <c r="BW149">
        <v>66</v>
      </c>
      <c r="BX149">
        <v>0</v>
      </c>
      <c r="BY149">
        <v>126</v>
      </c>
      <c r="BZ149">
        <v>86</v>
      </c>
      <c r="CA149">
        <v>0</v>
      </c>
      <c r="CB149">
        <v>118</v>
      </c>
      <c r="CC149">
        <v>96</v>
      </c>
      <c r="CD149">
        <v>0</v>
      </c>
      <c r="CE149">
        <v>146</v>
      </c>
      <c r="CF149">
        <v>43</v>
      </c>
      <c r="CG149">
        <v>0</v>
      </c>
      <c r="CH149">
        <v>158</v>
      </c>
      <c r="CI149">
        <v>79</v>
      </c>
      <c r="CJ149">
        <v>0</v>
      </c>
      <c r="CK149">
        <v>49</v>
      </c>
      <c r="CL149">
        <v>64</v>
      </c>
      <c r="CM149">
        <v>0</v>
      </c>
      <c r="CN149">
        <v>146</v>
      </c>
      <c r="CO149">
        <v>61</v>
      </c>
      <c r="CP149">
        <v>0</v>
      </c>
      <c r="CQ149">
        <v>100</v>
      </c>
      <c r="CR149">
        <v>42</v>
      </c>
      <c r="CS149">
        <v>0</v>
      </c>
      <c r="CT149">
        <v>99</v>
      </c>
      <c r="CU149">
        <v>47</v>
      </c>
      <c r="CV149">
        <v>0</v>
      </c>
      <c r="CW149">
        <v>182</v>
      </c>
      <c r="CX149">
        <v>54</v>
      </c>
      <c r="CY149">
        <v>0</v>
      </c>
      <c r="CZ149">
        <v>149</v>
      </c>
      <c r="DA149">
        <v>91</v>
      </c>
      <c r="DB149">
        <v>0</v>
      </c>
      <c r="DC149">
        <v>80</v>
      </c>
      <c r="DD149">
        <v>77</v>
      </c>
      <c r="DE149">
        <v>0</v>
      </c>
      <c r="DF149">
        <v>114</v>
      </c>
      <c r="DG149">
        <v>89</v>
      </c>
      <c r="DH149">
        <v>0</v>
      </c>
      <c r="DI149">
        <v>66</v>
      </c>
      <c r="DJ149">
        <v>87</v>
      </c>
      <c r="DK149">
        <v>0</v>
      </c>
      <c r="DL149">
        <v>170</v>
      </c>
      <c r="DM149">
        <v>61</v>
      </c>
      <c r="DN149">
        <v>0</v>
      </c>
      <c r="DO149">
        <v>173</v>
      </c>
      <c r="DP149">
        <v>79</v>
      </c>
      <c r="DQ149">
        <v>0</v>
      </c>
      <c r="DR149">
        <v>70</v>
      </c>
      <c r="DS149">
        <v>67</v>
      </c>
      <c r="DT149">
        <v>0</v>
      </c>
      <c r="DU149">
        <v>127</v>
      </c>
      <c r="DV149">
        <v>91</v>
      </c>
      <c r="DW149">
        <v>0</v>
      </c>
      <c r="DX149">
        <v>179</v>
      </c>
      <c r="DY149">
        <v>71</v>
      </c>
      <c r="DZ149">
        <v>0</v>
      </c>
    </row>
    <row r="150" spans="2:130" hidden="1">
      <c r="B150" s="1332">
        <f t="shared" si="0"/>
        <v>12</v>
      </c>
      <c r="C150" s="1332">
        <f t="shared" si="1"/>
        <v>61</v>
      </c>
      <c r="D150" s="1332">
        <f t="shared" si="2"/>
        <v>0</v>
      </c>
      <c r="F150">
        <v>6555</v>
      </c>
      <c r="G150">
        <v>39</v>
      </c>
      <c r="H150">
        <v>1</v>
      </c>
      <c r="I150">
        <v>3</v>
      </c>
      <c r="J150">
        <v>10</v>
      </c>
      <c r="K150">
        <v>120</v>
      </c>
      <c r="L150">
        <v>61</v>
      </c>
      <c r="M150">
        <v>0</v>
      </c>
      <c r="N150">
        <v>109</v>
      </c>
      <c r="O150">
        <v>95</v>
      </c>
      <c r="P150">
        <v>0</v>
      </c>
      <c r="Q150">
        <v>145</v>
      </c>
      <c r="R150">
        <v>71</v>
      </c>
      <c r="S150">
        <v>0</v>
      </c>
      <c r="T150">
        <v>116</v>
      </c>
      <c r="U150">
        <v>87</v>
      </c>
      <c r="V150">
        <v>0</v>
      </c>
      <c r="W150">
        <v>117</v>
      </c>
      <c r="X150">
        <v>91</v>
      </c>
      <c r="Y150">
        <v>0</v>
      </c>
      <c r="Z150">
        <v>102</v>
      </c>
      <c r="AA150">
        <v>92</v>
      </c>
      <c r="AB150">
        <v>0</v>
      </c>
      <c r="AC150">
        <v>123</v>
      </c>
      <c r="AD150">
        <v>80</v>
      </c>
      <c r="AE150">
        <v>0</v>
      </c>
      <c r="AF150">
        <v>71</v>
      </c>
      <c r="AG150">
        <v>86</v>
      </c>
      <c r="AH150">
        <v>0</v>
      </c>
      <c r="AI150">
        <v>126</v>
      </c>
      <c r="AJ150">
        <v>35</v>
      </c>
      <c r="AK150">
        <v>0</v>
      </c>
      <c r="AL150">
        <v>106</v>
      </c>
      <c r="AM150">
        <v>84</v>
      </c>
      <c r="AN150">
        <v>0</v>
      </c>
      <c r="AO150">
        <v>126</v>
      </c>
      <c r="AP150">
        <v>94</v>
      </c>
      <c r="AQ150">
        <v>0</v>
      </c>
      <c r="AR150">
        <v>144</v>
      </c>
      <c r="AS150">
        <v>98</v>
      </c>
      <c r="AT150">
        <v>0</v>
      </c>
      <c r="AU150">
        <v>82</v>
      </c>
      <c r="AV150">
        <v>50</v>
      </c>
      <c r="AW150">
        <v>0</v>
      </c>
      <c r="AX150">
        <v>112</v>
      </c>
      <c r="AY150">
        <v>95</v>
      </c>
      <c r="AZ150">
        <v>0</v>
      </c>
      <c r="BA150">
        <v>136</v>
      </c>
      <c r="BB150">
        <v>99</v>
      </c>
      <c r="BC150">
        <v>0</v>
      </c>
      <c r="BD150">
        <v>141</v>
      </c>
      <c r="BE150">
        <v>78</v>
      </c>
      <c r="BF150">
        <v>0</v>
      </c>
      <c r="BG150">
        <v>135</v>
      </c>
      <c r="BH150">
        <v>29</v>
      </c>
      <c r="BI150">
        <v>0</v>
      </c>
      <c r="BJ150">
        <v>120</v>
      </c>
      <c r="BK150">
        <v>50</v>
      </c>
      <c r="BL150">
        <v>0</v>
      </c>
      <c r="BM150">
        <v>155</v>
      </c>
      <c r="BN150">
        <v>78</v>
      </c>
      <c r="BO150">
        <v>0</v>
      </c>
      <c r="BP150">
        <v>135</v>
      </c>
      <c r="BQ150">
        <v>93</v>
      </c>
      <c r="BR150">
        <v>0</v>
      </c>
      <c r="BS150">
        <v>155</v>
      </c>
      <c r="BT150">
        <v>55</v>
      </c>
      <c r="BU150">
        <v>0</v>
      </c>
      <c r="BV150">
        <v>93</v>
      </c>
      <c r="BW150">
        <v>67</v>
      </c>
      <c r="BX150">
        <v>0</v>
      </c>
      <c r="BY150">
        <v>119</v>
      </c>
      <c r="BZ150">
        <v>86</v>
      </c>
      <c r="CA150">
        <v>0</v>
      </c>
      <c r="CB150">
        <v>113</v>
      </c>
      <c r="CC150">
        <v>96</v>
      </c>
      <c r="CD150">
        <v>0</v>
      </c>
      <c r="CE150">
        <v>140</v>
      </c>
      <c r="CF150">
        <v>40</v>
      </c>
      <c r="CG150">
        <v>0</v>
      </c>
      <c r="CH150">
        <v>156</v>
      </c>
      <c r="CI150">
        <v>77</v>
      </c>
      <c r="CJ150">
        <v>0</v>
      </c>
      <c r="CK150">
        <v>57</v>
      </c>
      <c r="CL150">
        <v>59</v>
      </c>
      <c r="CM150">
        <v>0</v>
      </c>
      <c r="CN150">
        <v>142</v>
      </c>
      <c r="CO150">
        <v>62</v>
      </c>
      <c r="CP150">
        <v>0</v>
      </c>
      <c r="CQ150">
        <v>96</v>
      </c>
      <c r="CR150">
        <v>44</v>
      </c>
      <c r="CS150">
        <v>0</v>
      </c>
      <c r="CT150">
        <v>93</v>
      </c>
      <c r="CU150">
        <v>47</v>
      </c>
      <c r="CV150">
        <v>0</v>
      </c>
      <c r="CW150">
        <v>179</v>
      </c>
      <c r="CX150">
        <v>59</v>
      </c>
      <c r="CY150">
        <v>0</v>
      </c>
      <c r="CZ150">
        <v>148</v>
      </c>
      <c r="DA150">
        <v>91</v>
      </c>
      <c r="DB150">
        <v>0</v>
      </c>
      <c r="DC150">
        <v>77</v>
      </c>
      <c r="DD150">
        <v>78</v>
      </c>
      <c r="DE150">
        <v>0</v>
      </c>
      <c r="DF150">
        <v>106</v>
      </c>
      <c r="DG150">
        <v>91</v>
      </c>
      <c r="DH150">
        <v>0</v>
      </c>
      <c r="DI150">
        <v>103</v>
      </c>
      <c r="DJ150">
        <v>67</v>
      </c>
      <c r="DK150">
        <v>0</v>
      </c>
      <c r="DL150">
        <v>165</v>
      </c>
      <c r="DM150">
        <v>63</v>
      </c>
      <c r="DN150">
        <v>0</v>
      </c>
      <c r="DO150">
        <v>165</v>
      </c>
      <c r="DP150">
        <v>84</v>
      </c>
      <c r="DQ150">
        <v>0</v>
      </c>
      <c r="DR150">
        <v>66</v>
      </c>
      <c r="DS150">
        <v>69</v>
      </c>
      <c r="DT150">
        <v>0</v>
      </c>
      <c r="DU150">
        <v>128</v>
      </c>
      <c r="DV150">
        <v>93</v>
      </c>
      <c r="DW150">
        <v>0</v>
      </c>
      <c r="DX150">
        <v>170</v>
      </c>
      <c r="DY150">
        <v>74</v>
      </c>
      <c r="DZ150">
        <v>0</v>
      </c>
    </row>
    <row r="151" spans="2:130" hidden="1">
      <c r="B151" s="1332">
        <f t="shared" si="0"/>
        <v>11.7</v>
      </c>
      <c r="C151" s="1332">
        <f t="shared" si="1"/>
        <v>62</v>
      </c>
      <c r="D151" s="1332">
        <f t="shared" si="2"/>
        <v>0</v>
      </c>
      <c r="F151">
        <v>6556</v>
      </c>
      <c r="G151">
        <v>39</v>
      </c>
      <c r="H151">
        <v>1</v>
      </c>
      <c r="I151">
        <v>4</v>
      </c>
      <c r="J151">
        <v>10</v>
      </c>
      <c r="K151">
        <v>117</v>
      </c>
      <c r="L151">
        <v>62</v>
      </c>
      <c r="M151">
        <v>0</v>
      </c>
      <c r="N151">
        <v>112</v>
      </c>
      <c r="O151">
        <v>94</v>
      </c>
      <c r="P151">
        <v>0</v>
      </c>
      <c r="Q151">
        <v>145</v>
      </c>
      <c r="R151">
        <v>75</v>
      </c>
      <c r="S151">
        <v>0</v>
      </c>
      <c r="T151">
        <v>117</v>
      </c>
      <c r="U151">
        <v>85</v>
      </c>
      <c r="V151">
        <v>0</v>
      </c>
      <c r="W151">
        <v>114</v>
      </c>
      <c r="X151">
        <v>91</v>
      </c>
      <c r="Y151">
        <v>0</v>
      </c>
      <c r="Z151">
        <v>96</v>
      </c>
      <c r="AA151">
        <v>92</v>
      </c>
      <c r="AB151">
        <v>0</v>
      </c>
      <c r="AC151">
        <v>125</v>
      </c>
      <c r="AD151">
        <v>79</v>
      </c>
      <c r="AE151">
        <v>0</v>
      </c>
      <c r="AF151">
        <v>63</v>
      </c>
      <c r="AG151">
        <v>88</v>
      </c>
      <c r="AH151">
        <v>0</v>
      </c>
      <c r="AI151">
        <v>113</v>
      </c>
      <c r="AJ151">
        <v>39</v>
      </c>
      <c r="AK151">
        <v>0</v>
      </c>
      <c r="AL151">
        <v>102</v>
      </c>
      <c r="AM151">
        <v>83</v>
      </c>
      <c r="AN151">
        <v>0</v>
      </c>
      <c r="AO151">
        <v>139</v>
      </c>
      <c r="AP151">
        <v>91</v>
      </c>
      <c r="AQ151">
        <v>0</v>
      </c>
      <c r="AR151">
        <v>144</v>
      </c>
      <c r="AS151">
        <v>98</v>
      </c>
      <c r="AT151">
        <v>0</v>
      </c>
      <c r="AU151">
        <v>79</v>
      </c>
      <c r="AV151">
        <v>49</v>
      </c>
      <c r="AW151">
        <v>0</v>
      </c>
      <c r="AX151">
        <v>109</v>
      </c>
      <c r="AY151">
        <v>95</v>
      </c>
      <c r="AZ151">
        <v>0</v>
      </c>
      <c r="BA151">
        <v>133</v>
      </c>
      <c r="BB151">
        <v>99</v>
      </c>
      <c r="BC151">
        <v>0</v>
      </c>
      <c r="BD151">
        <v>131</v>
      </c>
      <c r="BE151">
        <v>82</v>
      </c>
      <c r="BF151">
        <v>0</v>
      </c>
      <c r="BG151">
        <v>142</v>
      </c>
      <c r="BH151">
        <v>28</v>
      </c>
      <c r="BI151">
        <v>0</v>
      </c>
      <c r="BJ151">
        <v>120</v>
      </c>
      <c r="BK151">
        <v>44</v>
      </c>
      <c r="BL151">
        <v>0</v>
      </c>
      <c r="BM151">
        <v>150</v>
      </c>
      <c r="BN151">
        <v>79</v>
      </c>
      <c r="BO151">
        <v>0</v>
      </c>
      <c r="BP151">
        <v>132</v>
      </c>
      <c r="BQ151">
        <v>94</v>
      </c>
      <c r="BR151">
        <v>0</v>
      </c>
      <c r="BS151">
        <v>162</v>
      </c>
      <c r="BT151">
        <v>48</v>
      </c>
      <c r="BU151">
        <v>0</v>
      </c>
      <c r="BV151">
        <v>95</v>
      </c>
      <c r="BW151">
        <v>68</v>
      </c>
      <c r="BX151">
        <v>0</v>
      </c>
      <c r="BY151">
        <v>115</v>
      </c>
      <c r="BZ151">
        <v>85</v>
      </c>
      <c r="CA151">
        <v>0</v>
      </c>
      <c r="CB151">
        <v>110</v>
      </c>
      <c r="CC151">
        <v>96</v>
      </c>
      <c r="CD151">
        <v>0</v>
      </c>
      <c r="CE151">
        <v>134</v>
      </c>
      <c r="CF151">
        <v>43</v>
      </c>
      <c r="CG151">
        <v>0</v>
      </c>
      <c r="CH151">
        <v>151</v>
      </c>
      <c r="CI151">
        <v>80</v>
      </c>
      <c r="CJ151">
        <v>0</v>
      </c>
      <c r="CK151">
        <v>63</v>
      </c>
      <c r="CL151">
        <v>53</v>
      </c>
      <c r="CM151">
        <v>0</v>
      </c>
      <c r="CN151">
        <v>139</v>
      </c>
      <c r="CO151">
        <v>64</v>
      </c>
      <c r="CP151">
        <v>0</v>
      </c>
      <c r="CQ151">
        <v>88</v>
      </c>
      <c r="CR151">
        <v>46</v>
      </c>
      <c r="CS151">
        <v>0</v>
      </c>
      <c r="CT151">
        <v>90</v>
      </c>
      <c r="CU151">
        <v>46</v>
      </c>
      <c r="CV151">
        <v>0</v>
      </c>
      <c r="CW151">
        <v>174</v>
      </c>
      <c r="CX151">
        <v>61</v>
      </c>
      <c r="CY151">
        <v>0</v>
      </c>
      <c r="CZ151">
        <v>149</v>
      </c>
      <c r="DA151">
        <v>90</v>
      </c>
      <c r="DB151">
        <v>0</v>
      </c>
      <c r="DC151">
        <v>68</v>
      </c>
      <c r="DD151">
        <v>81</v>
      </c>
      <c r="DE151">
        <v>0</v>
      </c>
      <c r="DF151">
        <v>104</v>
      </c>
      <c r="DG151">
        <v>92</v>
      </c>
      <c r="DH151">
        <v>0</v>
      </c>
      <c r="DI151">
        <v>73</v>
      </c>
      <c r="DJ151">
        <v>81</v>
      </c>
      <c r="DK151">
        <v>0</v>
      </c>
      <c r="DL151">
        <v>166</v>
      </c>
      <c r="DM151">
        <v>61</v>
      </c>
      <c r="DN151">
        <v>0</v>
      </c>
      <c r="DO151">
        <v>158</v>
      </c>
      <c r="DP151">
        <v>87</v>
      </c>
      <c r="DQ151">
        <v>0</v>
      </c>
      <c r="DR151">
        <v>62</v>
      </c>
      <c r="DS151">
        <v>73</v>
      </c>
      <c r="DT151">
        <v>0</v>
      </c>
      <c r="DU151">
        <v>140</v>
      </c>
      <c r="DV151">
        <v>90</v>
      </c>
      <c r="DW151">
        <v>0</v>
      </c>
      <c r="DX151">
        <v>167</v>
      </c>
      <c r="DY151">
        <v>76</v>
      </c>
      <c r="DZ151">
        <v>0</v>
      </c>
    </row>
    <row r="152" spans="2:130" hidden="1">
      <c r="B152" s="1332">
        <f t="shared" si="0"/>
        <v>11.1</v>
      </c>
      <c r="C152" s="1332">
        <f t="shared" si="1"/>
        <v>65</v>
      </c>
      <c r="D152" s="1332">
        <f t="shared" si="2"/>
        <v>0</v>
      </c>
      <c r="F152">
        <v>6557</v>
      </c>
      <c r="G152">
        <v>39</v>
      </c>
      <c r="H152">
        <v>1</v>
      </c>
      <c r="I152">
        <v>5</v>
      </c>
      <c r="J152">
        <v>10</v>
      </c>
      <c r="K152">
        <v>111</v>
      </c>
      <c r="L152">
        <v>65</v>
      </c>
      <c r="M152">
        <v>0</v>
      </c>
      <c r="N152">
        <v>109</v>
      </c>
      <c r="O152">
        <v>93</v>
      </c>
      <c r="P152">
        <v>0</v>
      </c>
      <c r="Q152">
        <v>140</v>
      </c>
      <c r="R152">
        <v>79</v>
      </c>
      <c r="S152">
        <v>0</v>
      </c>
      <c r="T152">
        <v>114</v>
      </c>
      <c r="U152">
        <v>87</v>
      </c>
      <c r="V152">
        <v>0</v>
      </c>
      <c r="W152">
        <v>108</v>
      </c>
      <c r="X152">
        <v>91</v>
      </c>
      <c r="Y152">
        <v>0</v>
      </c>
      <c r="Z152">
        <v>93</v>
      </c>
      <c r="AA152">
        <v>92</v>
      </c>
      <c r="AB152">
        <v>0</v>
      </c>
      <c r="AC152">
        <v>126</v>
      </c>
      <c r="AD152">
        <v>77</v>
      </c>
      <c r="AE152">
        <v>0</v>
      </c>
      <c r="AF152">
        <v>67</v>
      </c>
      <c r="AG152">
        <v>83</v>
      </c>
      <c r="AH152">
        <v>0</v>
      </c>
      <c r="AI152">
        <v>120</v>
      </c>
      <c r="AJ152">
        <v>38</v>
      </c>
      <c r="AK152">
        <v>0</v>
      </c>
      <c r="AL152">
        <v>102</v>
      </c>
      <c r="AM152">
        <v>81</v>
      </c>
      <c r="AN152">
        <v>0</v>
      </c>
      <c r="AO152">
        <v>146</v>
      </c>
      <c r="AP152">
        <v>87</v>
      </c>
      <c r="AQ152">
        <v>0</v>
      </c>
      <c r="AR152">
        <v>143</v>
      </c>
      <c r="AS152">
        <v>99</v>
      </c>
      <c r="AT152">
        <v>0</v>
      </c>
      <c r="AU152">
        <v>78</v>
      </c>
      <c r="AV152">
        <v>50</v>
      </c>
      <c r="AW152">
        <v>0</v>
      </c>
      <c r="AX152">
        <v>109</v>
      </c>
      <c r="AY152">
        <v>95</v>
      </c>
      <c r="AZ152">
        <v>0</v>
      </c>
      <c r="BA152">
        <v>130</v>
      </c>
      <c r="BB152">
        <v>98</v>
      </c>
      <c r="BC152">
        <v>0</v>
      </c>
      <c r="BD152">
        <v>125</v>
      </c>
      <c r="BE152">
        <v>86</v>
      </c>
      <c r="BF152">
        <v>0</v>
      </c>
      <c r="BG152">
        <v>133</v>
      </c>
      <c r="BH152">
        <v>34</v>
      </c>
      <c r="BI152">
        <v>0</v>
      </c>
      <c r="BJ152">
        <v>121</v>
      </c>
      <c r="BK152">
        <v>42</v>
      </c>
      <c r="BL152">
        <v>0</v>
      </c>
      <c r="BM152">
        <v>146</v>
      </c>
      <c r="BN152">
        <v>79</v>
      </c>
      <c r="BO152">
        <v>0</v>
      </c>
      <c r="BP152">
        <v>122</v>
      </c>
      <c r="BQ152">
        <v>95</v>
      </c>
      <c r="BR152">
        <v>0</v>
      </c>
      <c r="BS152">
        <v>174</v>
      </c>
      <c r="BT152">
        <v>41</v>
      </c>
      <c r="BU152">
        <v>0</v>
      </c>
      <c r="BV152">
        <v>97</v>
      </c>
      <c r="BW152">
        <v>67</v>
      </c>
      <c r="BX152">
        <v>0</v>
      </c>
      <c r="BY152">
        <v>109</v>
      </c>
      <c r="BZ152">
        <v>84</v>
      </c>
      <c r="CA152">
        <v>0</v>
      </c>
      <c r="CB152">
        <v>112</v>
      </c>
      <c r="CC152">
        <v>95</v>
      </c>
      <c r="CD152">
        <v>0</v>
      </c>
      <c r="CE152">
        <v>126</v>
      </c>
      <c r="CF152">
        <v>47</v>
      </c>
      <c r="CG152">
        <v>0</v>
      </c>
      <c r="CH152">
        <v>148</v>
      </c>
      <c r="CI152">
        <v>81</v>
      </c>
      <c r="CJ152">
        <v>0</v>
      </c>
      <c r="CK152">
        <v>124</v>
      </c>
      <c r="CL152">
        <v>29</v>
      </c>
      <c r="CM152">
        <v>0</v>
      </c>
      <c r="CN152">
        <v>134</v>
      </c>
      <c r="CO152">
        <v>66</v>
      </c>
      <c r="CP152">
        <v>0</v>
      </c>
      <c r="CQ152">
        <v>81</v>
      </c>
      <c r="CR152">
        <v>48</v>
      </c>
      <c r="CS152">
        <v>0</v>
      </c>
      <c r="CT152">
        <v>87</v>
      </c>
      <c r="CU152">
        <v>44</v>
      </c>
      <c r="CV152">
        <v>0</v>
      </c>
      <c r="CW152">
        <v>169</v>
      </c>
      <c r="CX152">
        <v>62</v>
      </c>
      <c r="CY152">
        <v>0</v>
      </c>
      <c r="CZ152">
        <v>142</v>
      </c>
      <c r="DA152">
        <v>94</v>
      </c>
      <c r="DB152">
        <v>0</v>
      </c>
      <c r="DC152">
        <v>66</v>
      </c>
      <c r="DD152">
        <v>81</v>
      </c>
      <c r="DE152">
        <v>0</v>
      </c>
      <c r="DF152">
        <v>102</v>
      </c>
      <c r="DG152">
        <v>91</v>
      </c>
      <c r="DH152">
        <v>0</v>
      </c>
      <c r="DI152">
        <v>60</v>
      </c>
      <c r="DJ152">
        <v>87</v>
      </c>
      <c r="DK152">
        <v>0</v>
      </c>
      <c r="DL152">
        <v>160</v>
      </c>
      <c r="DM152">
        <v>63</v>
      </c>
      <c r="DN152">
        <v>0</v>
      </c>
      <c r="DO152">
        <v>152</v>
      </c>
      <c r="DP152">
        <v>89</v>
      </c>
      <c r="DQ152">
        <v>0</v>
      </c>
      <c r="DR152">
        <v>58</v>
      </c>
      <c r="DS152">
        <v>76</v>
      </c>
      <c r="DT152">
        <v>0</v>
      </c>
      <c r="DU152">
        <v>144</v>
      </c>
      <c r="DV152">
        <v>85</v>
      </c>
      <c r="DW152">
        <v>0</v>
      </c>
      <c r="DX152">
        <v>167</v>
      </c>
      <c r="DY152">
        <v>74</v>
      </c>
      <c r="DZ152">
        <v>0</v>
      </c>
    </row>
    <row r="153" spans="2:130" hidden="1">
      <c r="B153" s="1332">
        <f t="shared" si="0"/>
        <v>11</v>
      </c>
      <c r="C153" s="1332">
        <f t="shared" si="1"/>
        <v>64</v>
      </c>
      <c r="D153" s="1332">
        <f t="shared" si="2"/>
        <v>0</v>
      </c>
      <c r="F153">
        <v>6558</v>
      </c>
      <c r="G153">
        <v>39</v>
      </c>
      <c r="H153">
        <v>1</v>
      </c>
      <c r="I153">
        <v>6</v>
      </c>
      <c r="J153">
        <v>10</v>
      </c>
      <c r="K153">
        <v>110</v>
      </c>
      <c r="L153">
        <v>64</v>
      </c>
      <c r="M153">
        <v>0</v>
      </c>
      <c r="N153">
        <v>112</v>
      </c>
      <c r="O153">
        <v>91</v>
      </c>
      <c r="P153">
        <v>0</v>
      </c>
      <c r="Q153">
        <v>127</v>
      </c>
      <c r="R153">
        <v>81</v>
      </c>
      <c r="S153">
        <v>0</v>
      </c>
      <c r="T153">
        <v>111</v>
      </c>
      <c r="U153">
        <v>87</v>
      </c>
      <c r="V153">
        <v>0</v>
      </c>
      <c r="W153">
        <v>109</v>
      </c>
      <c r="X153">
        <v>91</v>
      </c>
      <c r="Y153">
        <v>0</v>
      </c>
      <c r="Z153">
        <v>93</v>
      </c>
      <c r="AA153">
        <v>92</v>
      </c>
      <c r="AB153">
        <v>0</v>
      </c>
      <c r="AC153">
        <v>128</v>
      </c>
      <c r="AD153">
        <v>74</v>
      </c>
      <c r="AE153">
        <v>0</v>
      </c>
      <c r="AF153">
        <v>65</v>
      </c>
      <c r="AG153">
        <v>84</v>
      </c>
      <c r="AH153">
        <v>0</v>
      </c>
      <c r="AI153">
        <v>113</v>
      </c>
      <c r="AJ153">
        <v>39</v>
      </c>
      <c r="AK153">
        <v>0</v>
      </c>
      <c r="AL153">
        <v>100</v>
      </c>
      <c r="AM153">
        <v>82</v>
      </c>
      <c r="AN153">
        <v>0</v>
      </c>
      <c r="AO153">
        <v>148</v>
      </c>
      <c r="AP153">
        <v>87</v>
      </c>
      <c r="AQ153">
        <v>0</v>
      </c>
      <c r="AR153">
        <v>144</v>
      </c>
      <c r="AS153">
        <v>98</v>
      </c>
      <c r="AT153">
        <v>0</v>
      </c>
      <c r="AU153">
        <v>78</v>
      </c>
      <c r="AV153">
        <v>51</v>
      </c>
      <c r="AW153">
        <v>0</v>
      </c>
      <c r="AX153">
        <v>102</v>
      </c>
      <c r="AY153">
        <v>95</v>
      </c>
      <c r="AZ153">
        <v>0</v>
      </c>
      <c r="BA153">
        <v>126</v>
      </c>
      <c r="BB153">
        <v>97</v>
      </c>
      <c r="BC153">
        <v>0</v>
      </c>
      <c r="BD153">
        <v>118</v>
      </c>
      <c r="BE153">
        <v>88</v>
      </c>
      <c r="BF153">
        <v>0</v>
      </c>
      <c r="BG153">
        <v>143</v>
      </c>
      <c r="BH153">
        <v>27</v>
      </c>
      <c r="BI153">
        <v>0</v>
      </c>
      <c r="BJ153">
        <v>123</v>
      </c>
      <c r="BK153">
        <v>40</v>
      </c>
      <c r="BL153">
        <v>0</v>
      </c>
      <c r="BM153">
        <v>142</v>
      </c>
      <c r="BN153">
        <v>80</v>
      </c>
      <c r="BO153">
        <v>0</v>
      </c>
      <c r="BP153">
        <v>115</v>
      </c>
      <c r="BQ153">
        <v>97</v>
      </c>
      <c r="BR153">
        <v>0</v>
      </c>
      <c r="BS153">
        <v>139</v>
      </c>
      <c r="BT153">
        <v>57</v>
      </c>
      <c r="BU153">
        <v>0</v>
      </c>
      <c r="BV153">
        <v>96</v>
      </c>
      <c r="BW153">
        <v>68</v>
      </c>
      <c r="BX153">
        <v>0</v>
      </c>
      <c r="BY153">
        <v>109</v>
      </c>
      <c r="BZ153">
        <v>85</v>
      </c>
      <c r="CA153">
        <v>0</v>
      </c>
      <c r="CB153">
        <v>117</v>
      </c>
      <c r="CC153">
        <v>94</v>
      </c>
      <c r="CD153">
        <v>0</v>
      </c>
      <c r="CE153">
        <v>127</v>
      </c>
      <c r="CF153">
        <v>48</v>
      </c>
      <c r="CG153">
        <v>0</v>
      </c>
      <c r="CH153">
        <v>145</v>
      </c>
      <c r="CI153">
        <v>82</v>
      </c>
      <c r="CJ153">
        <v>0</v>
      </c>
      <c r="CK153">
        <v>150</v>
      </c>
      <c r="CL153">
        <v>19</v>
      </c>
      <c r="CM153">
        <v>0</v>
      </c>
      <c r="CN153">
        <v>129</v>
      </c>
      <c r="CO153">
        <v>68</v>
      </c>
      <c r="CP153">
        <v>0</v>
      </c>
      <c r="CQ153">
        <v>83</v>
      </c>
      <c r="CR153">
        <v>44</v>
      </c>
      <c r="CS153">
        <v>0</v>
      </c>
      <c r="CT153">
        <v>84</v>
      </c>
      <c r="CU153">
        <v>46</v>
      </c>
      <c r="CV153">
        <v>0</v>
      </c>
      <c r="CW153">
        <v>181</v>
      </c>
      <c r="CX153">
        <v>54</v>
      </c>
      <c r="CY153">
        <v>0</v>
      </c>
      <c r="CZ153">
        <v>136</v>
      </c>
      <c r="DA153">
        <v>96</v>
      </c>
      <c r="DB153">
        <v>0</v>
      </c>
      <c r="DC153">
        <v>60</v>
      </c>
      <c r="DD153">
        <v>81</v>
      </c>
      <c r="DE153">
        <v>0</v>
      </c>
      <c r="DF153">
        <v>106</v>
      </c>
      <c r="DG153">
        <v>88</v>
      </c>
      <c r="DH153">
        <v>0</v>
      </c>
      <c r="DI153">
        <v>51</v>
      </c>
      <c r="DJ153">
        <v>90</v>
      </c>
      <c r="DK153">
        <v>0</v>
      </c>
      <c r="DL153">
        <v>155</v>
      </c>
      <c r="DM153">
        <v>65</v>
      </c>
      <c r="DN153">
        <v>0</v>
      </c>
      <c r="DO153">
        <v>144</v>
      </c>
      <c r="DP153">
        <v>92</v>
      </c>
      <c r="DQ153">
        <v>0</v>
      </c>
      <c r="DR153">
        <v>56</v>
      </c>
      <c r="DS153">
        <v>77</v>
      </c>
      <c r="DT153">
        <v>0</v>
      </c>
      <c r="DU153">
        <v>141</v>
      </c>
      <c r="DV153">
        <v>86</v>
      </c>
      <c r="DW153">
        <v>0</v>
      </c>
      <c r="DX153">
        <v>163</v>
      </c>
      <c r="DY153">
        <v>75</v>
      </c>
      <c r="DZ153">
        <v>0</v>
      </c>
    </row>
    <row r="154" spans="2:130" hidden="1">
      <c r="B154" s="1332">
        <f t="shared" si="0"/>
        <v>10.7</v>
      </c>
      <c r="C154" s="1332">
        <f t="shared" si="1"/>
        <v>67</v>
      </c>
      <c r="D154" s="1332">
        <f t="shared" si="2"/>
        <v>9</v>
      </c>
      <c r="F154">
        <v>6559</v>
      </c>
      <c r="G154">
        <v>39</v>
      </c>
      <c r="H154">
        <v>1</v>
      </c>
      <c r="I154">
        <v>7</v>
      </c>
      <c r="J154">
        <v>10</v>
      </c>
      <c r="K154">
        <v>107</v>
      </c>
      <c r="L154">
        <v>67</v>
      </c>
      <c r="M154">
        <v>9</v>
      </c>
      <c r="N154">
        <v>113</v>
      </c>
      <c r="O154">
        <v>92</v>
      </c>
      <c r="P154">
        <v>17</v>
      </c>
      <c r="Q154">
        <v>131</v>
      </c>
      <c r="R154">
        <v>77</v>
      </c>
      <c r="S154">
        <v>8</v>
      </c>
      <c r="T154">
        <v>111</v>
      </c>
      <c r="U154">
        <v>86</v>
      </c>
      <c r="V154">
        <v>24</v>
      </c>
      <c r="W154">
        <v>115</v>
      </c>
      <c r="X154">
        <v>91</v>
      </c>
      <c r="Y154">
        <v>23</v>
      </c>
      <c r="Z154">
        <v>98</v>
      </c>
      <c r="AA154">
        <v>91</v>
      </c>
      <c r="AB154">
        <v>21</v>
      </c>
      <c r="AC154">
        <v>129</v>
      </c>
      <c r="AD154">
        <v>73</v>
      </c>
      <c r="AE154">
        <v>7</v>
      </c>
      <c r="AF154">
        <v>72</v>
      </c>
      <c r="AG154">
        <v>81</v>
      </c>
      <c r="AH154">
        <v>25</v>
      </c>
      <c r="AI154">
        <v>116</v>
      </c>
      <c r="AJ154">
        <v>40</v>
      </c>
      <c r="AK154">
        <v>8</v>
      </c>
      <c r="AL154">
        <v>98</v>
      </c>
      <c r="AM154">
        <v>84</v>
      </c>
      <c r="AN154">
        <v>6</v>
      </c>
      <c r="AO154">
        <v>153</v>
      </c>
      <c r="AP154">
        <v>84</v>
      </c>
      <c r="AQ154">
        <v>20</v>
      </c>
      <c r="AR154">
        <v>142</v>
      </c>
      <c r="AS154">
        <v>98</v>
      </c>
      <c r="AT154">
        <v>10</v>
      </c>
      <c r="AU154">
        <v>81</v>
      </c>
      <c r="AV154">
        <v>50</v>
      </c>
      <c r="AW154">
        <v>11</v>
      </c>
      <c r="AX154">
        <v>108</v>
      </c>
      <c r="AY154">
        <v>95</v>
      </c>
      <c r="AZ154">
        <v>20</v>
      </c>
      <c r="BA154">
        <v>122</v>
      </c>
      <c r="BB154">
        <v>96</v>
      </c>
      <c r="BC154">
        <v>3</v>
      </c>
      <c r="BD154">
        <v>123</v>
      </c>
      <c r="BE154">
        <v>85</v>
      </c>
      <c r="BF154">
        <v>24</v>
      </c>
      <c r="BG154">
        <v>157</v>
      </c>
      <c r="BH154">
        <v>23</v>
      </c>
      <c r="BI154">
        <v>24</v>
      </c>
      <c r="BJ154">
        <v>133</v>
      </c>
      <c r="BK154">
        <v>42</v>
      </c>
      <c r="BL154">
        <v>27</v>
      </c>
      <c r="BM154">
        <v>145</v>
      </c>
      <c r="BN154">
        <v>78</v>
      </c>
      <c r="BO154">
        <v>24</v>
      </c>
      <c r="BP154">
        <v>121</v>
      </c>
      <c r="BQ154">
        <v>95</v>
      </c>
      <c r="BR154">
        <v>25</v>
      </c>
      <c r="BS154">
        <v>132</v>
      </c>
      <c r="BT154">
        <v>63</v>
      </c>
      <c r="BU154">
        <v>22</v>
      </c>
      <c r="BV154">
        <v>107</v>
      </c>
      <c r="BW154">
        <v>66</v>
      </c>
      <c r="BX154">
        <v>27</v>
      </c>
      <c r="BY154">
        <v>117</v>
      </c>
      <c r="BZ154">
        <v>84</v>
      </c>
      <c r="CA154">
        <v>26</v>
      </c>
      <c r="CB154">
        <v>124</v>
      </c>
      <c r="CC154">
        <v>91</v>
      </c>
      <c r="CD154">
        <v>23</v>
      </c>
      <c r="CE154">
        <v>130</v>
      </c>
      <c r="CF154">
        <v>47</v>
      </c>
      <c r="CG154">
        <v>18</v>
      </c>
      <c r="CH154">
        <v>150</v>
      </c>
      <c r="CI154">
        <v>80</v>
      </c>
      <c r="CJ154">
        <v>21</v>
      </c>
      <c r="CK154">
        <v>148</v>
      </c>
      <c r="CL154">
        <v>19</v>
      </c>
      <c r="CM154">
        <v>4</v>
      </c>
      <c r="CN154">
        <v>133</v>
      </c>
      <c r="CO154">
        <v>67</v>
      </c>
      <c r="CP154">
        <v>25</v>
      </c>
      <c r="CQ154">
        <v>80</v>
      </c>
      <c r="CR154">
        <v>44</v>
      </c>
      <c r="CS154">
        <v>9</v>
      </c>
      <c r="CT154">
        <v>74</v>
      </c>
      <c r="CU154">
        <v>55</v>
      </c>
      <c r="CV154">
        <v>7</v>
      </c>
      <c r="CW154">
        <v>178</v>
      </c>
      <c r="CX154">
        <v>55</v>
      </c>
      <c r="CY154">
        <v>26</v>
      </c>
      <c r="CZ154">
        <v>137</v>
      </c>
      <c r="DA154">
        <v>95</v>
      </c>
      <c r="DB154">
        <v>24</v>
      </c>
      <c r="DC154">
        <v>60</v>
      </c>
      <c r="DD154">
        <v>81</v>
      </c>
      <c r="DE154">
        <v>10</v>
      </c>
      <c r="DF154">
        <v>105</v>
      </c>
      <c r="DG154">
        <v>88</v>
      </c>
      <c r="DH154">
        <v>8</v>
      </c>
      <c r="DI154">
        <v>43</v>
      </c>
      <c r="DJ154">
        <v>93</v>
      </c>
      <c r="DK154">
        <v>9</v>
      </c>
      <c r="DL154">
        <v>153</v>
      </c>
      <c r="DM154">
        <v>65</v>
      </c>
      <c r="DN154">
        <v>8</v>
      </c>
      <c r="DO154">
        <v>145</v>
      </c>
      <c r="DP154">
        <v>91</v>
      </c>
      <c r="DQ154">
        <v>22</v>
      </c>
      <c r="DR154">
        <v>62</v>
      </c>
      <c r="DS154">
        <v>75</v>
      </c>
      <c r="DT154">
        <v>5</v>
      </c>
      <c r="DU154">
        <v>152</v>
      </c>
      <c r="DV154">
        <v>82</v>
      </c>
      <c r="DW154">
        <v>24</v>
      </c>
      <c r="DX154">
        <v>159</v>
      </c>
      <c r="DY154">
        <v>78</v>
      </c>
      <c r="DZ154">
        <v>25</v>
      </c>
    </row>
    <row r="155" spans="2:130" hidden="1">
      <c r="B155" s="1332">
        <f t="shared" si="0"/>
        <v>11.4</v>
      </c>
      <c r="C155" s="1332">
        <f t="shared" si="1"/>
        <v>67</v>
      </c>
      <c r="D155" s="1332">
        <f t="shared" si="2"/>
        <v>53</v>
      </c>
      <c r="F155">
        <v>6560</v>
      </c>
      <c r="G155">
        <v>39</v>
      </c>
      <c r="H155">
        <v>1</v>
      </c>
      <c r="I155">
        <v>8</v>
      </c>
      <c r="J155">
        <v>10</v>
      </c>
      <c r="K155">
        <v>114</v>
      </c>
      <c r="L155">
        <v>67</v>
      </c>
      <c r="M155">
        <v>53</v>
      </c>
      <c r="N155">
        <v>143</v>
      </c>
      <c r="O155">
        <v>85</v>
      </c>
      <c r="P155">
        <v>56</v>
      </c>
      <c r="Q155">
        <v>136</v>
      </c>
      <c r="R155">
        <v>78</v>
      </c>
      <c r="S155">
        <v>52</v>
      </c>
      <c r="T155">
        <v>130</v>
      </c>
      <c r="U155">
        <v>80</v>
      </c>
      <c r="V155">
        <v>54</v>
      </c>
      <c r="W155">
        <v>141</v>
      </c>
      <c r="X155">
        <v>86</v>
      </c>
      <c r="Y155">
        <v>56</v>
      </c>
      <c r="Z155">
        <v>119</v>
      </c>
      <c r="AA155">
        <v>87</v>
      </c>
      <c r="AB155">
        <v>57</v>
      </c>
      <c r="AC155">
        <v>140</v>
      </c>
      <c r="AD155">
        <v>68</v>
      </c>
      <c r="AE155">
        <v>26</v>
      </c>
      <c r="AF155">
        <v>97</v>
      </c>
      <c r="AG155">
        <v>70</v>
      </c>
      <c r="AH155">
        <v>62</v>
      </c>
      <c r="AI155">
        <v>143</v>
      </c>
      <c r="AJ155">
        <v>36</v>
      </c>
      <c r="AK155">
        <v>46</v>
      </c>
      <c r="AL155">
        <v>124</v>
      </c>
      <c r="AM155">
        <v>80</v>
      </c>
      <c r="AN155">
        <v>57</v>
      </c>
      <c r="AO155">
        <v>162</v>
      </c>
      <c r="AP155">
        <v>78</v>
      </c>
      <c r="AQ155">
        <v>52</v>
      </c>
      <c r="AR155">
        <v>150</v>
      </c>
      <c r="AS155">
        <v>94</v>
      </c>
      <c r="AT155">
        <v>42</v>
      </c>
      <c r="AU155">
        <v>92</v>
      </c>
      <c r="AV155">
        <v>48</v>
      </c>
      <c r="AW155">
        <v>61</v>
      </c>
      <c r="AX155">
        <v>125</v>
      </c>
      <c r="AY155">
        <v>97</v>
      </c>
      <c r="AZ155">
        <v>58</v>
      </c>
      <c r="BA155">
        <v>129</v>
      </c>
      <c r="BB155">
        <v>95</v>
      </c>
      <c r="BC155">
        <v>32</v>
      </c>
      <c r="BD155">
        <v>161</v>
      </c>
      <c r="BE155">
        <v>65</v>
      </c>
      <c r="BF155">
        <v>53</v>
      </c>
      <c r="BG155">
        <v>160</v>
      </c>
      <c r="BH155">
        <v>41</v>
      </c>
      <c r="BI155">
        <v>50</v>
      </c>
      <c r="BJ155">
        <v>154</v>
      </c>
      <c r="BK155">
        <v>41</v>
      </c>
      <c r="BL155">
        <v>53</v>
      </c>
      <c r="BM155">
        <v>160</v>
      </c>
      <c r="BN155">
        <v>73</v>
      </c>
      <c r="BO155">
        <v>62</v>
      </c>
      <c r="BP155">
        <v>147</v>
      </c>
      <c r="BQ155">
        <v>85</v>
      </c>
      <c r="BR155">
        <v>52</v>
      </c>
      <c r="BS155">
        <v>184</v>
      </c>
      <c r="BT155">
        <v>54</v>
      </c>
      <c r="BU155">
        <v>59</v>
      </c>
      <c r="BV155">
        <v>126</v>
      </c>
      <c r="BW155">
        <v>65</v>
      </c>
      <c r="BX155">
        <v>57</v>
      </c>
      <c r="BY155">
        <v>127</v>
      </c>
      <c r="BZ155">
        <v>83</v>
      </c>
      <c r="CA155">
        <v>55</v>
      </c>
      <c r="CB155">
        <v>144</v>
      </c>
      <c r="CC155">
        <v>85</v>
      </c>
      <c r="CD155">
        <v>57</v>
      </c>
      <c r="CE155">
        <v>144</v>
      </c>
      <c r="CF155">
        <v>43</v>
      </c>
      <c r="CG155">
        <v>56</v>
      </c>
      <c r="CH155">
        <v>166</v>
      </c>
      <c r="CI155">
        <v>81</v>
      </c>
      <c r="CJ155">
        <v>53</v>
      </c>
      <c r="CK155">
        <v>151</v>
      </c>
      <c r="CL155">
        <v>20</v>
      </c>
      <c r="CM155">
        <v>8</v>
      </c>
      <c r="CN155">
        <v>149</v>
      </c>
      <c r="CO155">
        <v>66</v>
      </c>
      <c r="CP155">
        <v>57</v>
      </c>
      <c r="CQ155">
        <v>72</v>
      </c>
      <c r="CR155">
        <v>47</v>
      </c>
      <c r="CS155">
        <v>39</v>
      </c>
      <c r="CT155">
        <v>92</v>
      </c>
      <c r="CU155">
        <v>48</v>
      </c>
      <c r="CV155">
        <v>54</v>
      </c>
      <c r="CW155">
        <v>186</v>
      </c>
      <c r="CX155">
        <v>57</v>
      </c>
      <c r="CY155">
        <v>56</v>
      </c>
      <c r="CZ155">
        <v>160</v>
      </c>
      <c r="DA155">
        <v>87</v>
      </c>
      <c r="DB155">
        <v>53</v>
      </c>
      <c r="DC155">
        <v>82</v>
      </c>
      <c r="DD155">
        <v>77</v>
      </c>
      <c r="DE155">
        <v>62</v>
      </c>
      <c r="DF155">
        <v>127</v>
      </c>
      <c r="DG155">
        <v>79</v>
      </c>
      <c r="DH155">
        <v>60</v>
      </c>
      <c r="DI155">
        <v>67</v>
      </c>
      <c r="DJ155">
        <v>87</v>
      </c>
      <c r="DK155">
        <v>56</v>
      </c>
      <c r="DL155">
        <v>160</v>
      </c>
      <c r="DM155">
        <v>64</v>
      </c>
      <c r="DN155">
        <v>55</v>
      </c>
      <c r="DO155">
        <v>163</v>
      </c>
      <c r="DP155">
        <v>84</v>
      </c>
      <c r="DQ155">
        <v>55</v>
      </c>
      <c r="DR155">
        <v>71</v>
      </c>
      <c r="DS155">
        <v>73</v>
      </c>
      <c r="DT155">
        <v>33</v>
      </c>
      <c r="DU155">
        <v>162</v>
      </c>
      <c r="DV155">
        <v>80</v>
      </c>
      <c r="DW155">
        <v>54</v>
      </c>
      <c r="DX155">
        <v>165</v>
      </c>
      <c r="DY155">
        <v>76</v>
      </c>
      <c r="DZ155">
        <v>52</v>
      </c>
    </row>
    <row r="156" spans="2:130" hidden="1">
      <c r="B156" s="1332">
        <f t="shared" si="0"/>
        <v>15.8</v>
      </c>
      <c r="C156" s="1332">
        <f t="shared" si="1"/>
        <v>59</v>
      </c>
      <c r="D156" s="1332">
        <f t="shared" si="2"/>
        <v>180</v>
      </c>
      <c r="F156">
        <v>6561</v>
      </c>
      <c r="G156">
        <v>39</v>
      </c>
      <c r="H156">
        <v>1</v>
      </c>
      <c r="I156">
        <v>9</v>
      </c>
      <c r="J156">
        <v>10</v>
      </c>
      <c r="K156">
        <v>158</v>
      </c>
      <c r="L156">
        <v>59</v>
      </c>
      <c r="M156">
        <v>180</v>
      </c>
      <c r="N156">
        <v>173</v>
      </c>
      <c r="O156">
        <v>65</v>
      </c>
      <c r="P156">
        <v>73</v>
      </c>
      <c r="Q156">
        <v>177</v>
      </c>
      <c r="R156">
        <v>64</v>
      </c>
      <c r="S156">
        <v>79</v>
      </c>
      <c r="T156">
        <v>161</v>
      </c>
      <c r="U156">
        <v>66</v>
      </c>
      <c r="V156">
        <v>84</v>
      </c>
      <c r="W156">
        <v>167</v>
      </c>
      <c r="X156">
        <v>78</v>
      </c>
      <c r="Y156">
        <v>86</v>
      </c>
      <c r="Z156">
        <v>141</v>
      </c>
      <c r="AA156">
        <v>79</v>
      </c>
      <c r="AB156">
        <v>83</v>
      </c>
      <c r="AC156">
        <v>178</v>
      </c>
      <c r="AD156">
        <v>55</v>
      </c>
      <c r="AE156">
        <v>87</v>
      </c>
      <c r="AF156">
        <v>127</v>
      </c>
      <c r="AG156">
        <v>61</v>
      </c>
      <c r="AH156">
        <v>77</v>
      </c>
      <c r="AI156">
        <v>166</v>
      </c>
      <c r="AJ156">
        <v>35</v>
      </c>
      <c r="AK156">
        <v>84</v>
      </c>
      <c r="AL156">
        <v>162</v>
      </c>
      <c r="AM156">
        <v>62</v>
      </c>
      <c r="AN156">
        <v>74</v>
      </c>
      <c r="AO156">
        <v>183</v>
      </c>
      <c r="AP156">
        <v>69</v>
      </c>
      <c r="AQ156">
        <v>83</v>
      </c>
      <c r="AR156">
        <v>159</v>
      </c>
      <c r="AS156">
        <v>90</v>
      </c>
      <c r="AT156">
        <v>76</v>
      </c>
      <c r="AU156">
        <v>92</v>
      </c>
      <c r="AV156">
        <v>52</v>
      </c>
      <c r="AW156">
        <v>73</v>
      </c>
      <c r="AX156">
        <v>140</v>
      </c>
      <c r="AY156">
        <v>86</v>
      </c>
      <c r="AZ156">
        <v>80</v>
      </c>
      <c r="BA156">
        <v>142</v>
      </c>
      <c r="BB156">
        <v>93</v>
      </c>
      <c r="BC156">
        <v>77</v>
      </c>
      <c r="BD156">
        <v>180</v>
      </c>
      <c r="BE156">
        <v>56</v>
      </c>
      <c r="BF156">
        <v>73</v>
      </c>
      <c r="BG156">
        <v>183</v>
      </c>
      <c r="BH156">
        <v>38</v>
      </c>
      <c r="BI156">
        <v>72</v>
      </c>
      <c r="BJ156">
        <v>174</v>
      </c>
      <c r="BK156">
        <v>47</v>
      </c>
      <c r="BL156">
        <v>74</v>
      </c>
      <c r="BM156">
        <v>179</v>
      </c>
      <c r="BN156">
        <v>71</v>
      </c>
      <c r="BO156">
        <v>78</v>
      </c>
      <c r="BP156">
        <v>171</v>
      </c>
      <c r="BQ156">
        <v>76</v>
      </c>
      <c r="BR156">
        <v>76</v>
      </c>
      <c r="BS156">
        <v>204</v>
      </c>
      <c r="BT156">
        <v>48</v>
      </c>
      <c r="BU156">
        <v>74</v>
      </c>
      <c r="BV156">
        <v>148</v>
      </c>
      <c r="BW156">
        <v>59</v>
      </c>
      <c r="BX156">
        <v>74</v>
      </c>
      <c r="BY156">
        <v>141</v>
      </c>
      <c r="BZ156">
        <v>82</v>
      </c>
      <c r="CA156">
        <v>73</v>
      </c>
      <c r="CB156">
        <v>168</v>
      </c>
      <c r="CC156">
        <v>81</v>
      </c>
      <c r="CD156">
        <v>85</v>
      </c>
      <c r="CE156">
        <v>158</v>
      </c>
      <c r="CF156">
        <v>37</v>
      </c>
      <c r="CG156">
        <v>75</v>
      </c>
      <c r="CH156">
        <v>177</v>
      </c>
      <c r="CI156">
        <v>79</v>
      </c>
      <c r="CJ156">
        <v>76</v>
      </c>
      <c r="CK156">
        <v>169</v>
      </c>
      <c r="CL156">
        <v>19</v>
      </c>
      <c r="CM156">
        <v>81</v>
      </c>
      <c r="CN156">
        <v>168</v>
      </c>
      <c r="CO156">
        <v>61</v>
      </c>
      <c r="CP156">
        <v>84</v>
      </c>
      <c r="CQ156">
        <v>98</v>
      </c>
      <c r="CR156">
        <v>40</v>
      </c>
      <c r="CS156">
        <v>90</v>
      </c>
      <c r="CT156">
        <v>107</v>
      </c>
      <c r="CU156">
        <v>43</v>
      </c>
      <c r="CV156">
        <v>84</v>
      </c>
      <c r="CW156">
        <v>194</v>
      </c>
      <c r="CX156">
        <v>57</v>
      </c>
      <c r="CY156">
        <v>86</v>
      </c>
      <c r="CZ156">
        <v>187</v>
      </c>
      <c r="DA156">
        <v>76</v>
      </c>
      <c r="DB156">
        <v>71</v>
      </c>
      <c r="DC156">
        <v>104</v>
      </c>
      <c r="DD156">
        <v>67</v>
      </c>
      <c r="DE156">
        <v>85</v>
      </c>
      <c r="DF156">
        <v>157</v>
      </c>
      <c r="DG156">
        <v>69</v>
      </c>
      <c r="DH156">
        <v>72</v>
      </c>
      <c r="DI156">
        <v>108</v>
      </c>
      <c r="DJ156">
        <v>71</v>
      </c>
      <c r="DK156">
        <v>75</v>
      </c>
      <c r="DL156">
        <v>182</v>
      </c>
      <c r="DM156">
        <v>56</v>
      </c>
      <c r="DN156">
        <v>82</v>
      </c>
      <c r="DO156">
        <v>178</v>
      </c>
      <c r="DP156">
        <v>77</v>
      </c>
      <c r="DQ156">
        <v>75</v>
      </c>
      <c r="DR156">
        <v>114</v>
      </c>
      <c r="DS156">
        <v>57</v>
      </c>
      <c r="DT156">
        <v>89</v>
      </c>
      <c r="DU156">
        <v>177</v>
      </c>
      <c r="DV156">
        <v>75</v>
      </c>
      <c r="DW156">
        <v>85</v>
      </c>
      <c r="DX156">
        <v>186</v>
      </c>
      <c r="DY156">
        <v>69</v>
      </c>
      <c r="DZ156">
        <v>70</v>
      </c>
    </row>
    <row r="157" spans="2:130" hidden="1">
      <c r="B157" s="1332">
        <f t="shared" si="0"/>
        <v>18.100000000000001</v>
      </c>
      <c r="C157" s="1332">
        <f t="shared" si="1"/>
        <v>51</v>
      </c>
      <c r="D157" s="1332">
        <f t="shared" si="2"/>
        <v>219</v>
      </c>
      <c r="F157">
        <v>6562</v>
      </c>
      <c r="G157">
        <v>39</v>
      </c>
      <c r="H157">
        <v>1</v>
      </c>
      <c r="I157">
        <v>10</v>
      </c>
      <c r="J157">
        <v>10</v>
      </c>
      <c r="K157">
        <v>181</v>
      </c>
      <c r="L157">
        <v>51</v>
      </c>
      <c r="M157">
        <v>219</v>
      </c>
      <c r="N157">
        <v>190</v>
      </c>
      <c r="O157">
        <v>62</v>
      </c>
      <c r="P157">
        <v>89</v>
      </c>
      <c r="Q157">
        <v>214</v>
      </c>
      <c r="R157">
        <v>50</v>
      </c>
      <c r="S157">
        <v>89</v>
      </c>
      <c r="T157">
        <v>181</v>
      </c>
      <c r="U157">
        <v>59</v>
      </c>
      <c r="V157">
        <v>108</v>
      </c>
      <c r="W157">
        <v>190</v>
      </c>
      <c r="X157">
        <v>69</v>
      </c>
      <c r="Y157">
        <v>106</v>
      </c>
      <c r="Z157">
        <v>166</v>
      </c>
      <c r="AA157">
        <v>70</v>
      </c>
      <c r="AB157">
        <v>108</v>
      </c>
      <c r="AC157">
        <v>206</v>
      </c>
      <c r="AD157">
        <v>46</v>
      </c>
      <c r="AE157">
        <v>88</v>
      </c>
      <c r="AF157">
        <v>160</v>
      </c>
      <c r="AG157">
        <v>52</v>
      </c>
      <c r="AH157">
        <v>90</v>
      </c>
      <c r="AI157">
        <v>173</v>
      </c>
      <c r="AJ157">
        <v>37</v>
      </c>
      <c r="AK157">
        <v>91</v>
      </c>
      <c r="AL157">
        <v>187</v>
      </c>
      <c r="AM157">
        <v>58</v>
      </c>
      <c r="AN157">
        <v>87</v>
      </c>
      <c r="AO157">
        <v>203</v>
      </c>
      <c r="AP157">
        <v>60</v>
      </c>
      <c r="AQ157">
        <v>93</v>
      </c>
      <c r="AR157">
        <v>177</v>
      </c>
      <c r="AS157">
        <v>82</v>
      </c>
      <c r="AT157">
        <v>93</v>
      </c>
      <c r="AU157">
        <v>98</v>
      </c>
      <c r="AV157">
        <v>52</v>
      </c>
      <c r="AW157">
        <v>87</v>
      </c>
      <c r="AX157">
        <v>152</v>
      </c>
      <c r="AY157">
        <v>82</v>
      </c>
      <c r="AZ157">
        <v>95</v>
      </c>
      <c r="BA157">
        <v>160</v>
      </c>
      <c r="BB157">
        <v>84</v>
      </c>
      <c r="BC157">
        <v>100</v>
      </c>
      <c r="BD157">
        <v>200</v>
      </c>
      <c r="BE157">
        <v>50</v>
      </c>
      <c r="BF157">
        <v>86</v>
      </c>
      <c r="BG157">
        <v>192</v>
      </c>
      <c r="BH157">
        <v>30</v>
      </c>
      <c r="BI157">
        <v>86</v>
      </c>
      <c r="BJ157">
        <v>193</v>
      </c>
      <c r="BK157">
        <v>39</v>
      </c>
      <c r="BL157">
        <v>88</v>
      </c>
      <c r="BM157">
        <v>191</v>
      </c>
      <c r="BN157">
        <v>70</v>
      </c>
      <c r="BO157">
        <v>89</v>
      </c>
      <c r="BP157">
        <v>192</v>
      </c>
      <c r="BQ157">
        <v>66</v>
      </c>
      <c r="BR157">
        <v>91</v>
      </c>
      <c r="BS157">
        <v>226</v>
      </c>
      <c r="BT157">
        <v>42</v>
      </c>
      <c r="BU157">
        <v>87</v>
      </c>
      <c r="BV157">
        <v>170</v>
      </c>
      <c r="BW157">
        <v>55</v>
      </c>
      <c r="BX157">
        <v>91</v>
      </c>
      <c r="BY157">
        <v>154</v>
      </c>
      <c r="BZ157">
        <v>79</v>
      </c>
      <c r="CA157">
        <v>86</v>
      </c>
      <c r="CB157">
        <v>191</v>
      </c>
      <c r="CC157">
        <v>72</v>
      </c>
      <c r="CD157">
        <v>103</v>
      </c>
      <c r="CE157">
        <v>177</v>
      </c>
      <c r="CF157">
        <v>31</v>
      </c>
      <c r="CG157">
        <v>90</v>
      </c>
      <c r="CH157">
        <v>180</v>
      </c>
      <c r="CI157">
        <v>79</v>
      </c>
      <c r="CJ157">
        <v>91</v>
      </c>
      <c r="CK157">
        <v>182</v>
      </c>
      <c r="CL157">
        <v>20</v>
      </c>
      <c r="CM157">
        <v>102</v>
      </c>
      <c r="CN157">
        <v>178</v>
      </c>
      <c r="CO157">
        <v>57</v>
      </c>
      <c r="CP157">
        <v>107</v>
      </c>
      <c r="CQ157">
        <v>113</v>
      </c>
      <c r="CR157">
        <v>34</v>
      </c>
      <c r="CS157">
        <v>87</v>
      </c>
      <c r="CT157">
        <v>115</v>
      </c>
      <c r="CU157">
        <v>39</v>
      </c>
      <c r="CV157">
        <v>89</v>
      </c>
      <c r="CW157">
        <v>201</v>
      </c>
      <c r="CX157">
        <v>59</v>
      </c>
      <c r="CY157">
        <v>91</v>
      </c>
      <c r="CZ157">
        <v>208</v>
      </c>
      <c r="DA157">
        <v>65</v>
      </c>
      <c r="DB157">
        <v>88</v>
      </c>
      <c r="DC157">
        <v>139</v>
      </c>
      <c r="DD157">
        <v>55</v>
      </c>
      <c r="DE157">
        <v>98</v>
      </c>
      <c r="DF157">
        <v>185</v>
      </c>
      <c r="DG157">
        <v>59</v>
      </c>
      <c r="DH157">
        <v>86</v>
      </c>
      <c r="DI157">
        <v>139</v>
      </c>
      <c r="DJ157">
        <v>57</v>
      </c>
      <c r="DK157">
        <v>87</v>
      </c>
      <c r="DL157">
        <v>204</v>
      </c>
      <c r="DM157">
        <v>51</v>
      </c>
      <c r="DN157">
        <v>86</v>
      </c>
      <c r="DO157">
        <v>190</v>
      </c>
      <c r="DP157">
        <v>72</v>
      </c>
      <c r="DQ157">
        <v>88</v>
      </c>
      <c r="DR157">
        <v>154</v>
      </c>
      <c r="DS157">
        <v>43</v>
      </c>
      <c r="DT157">
        <v>99</v>
      </c>
      <c r="DU157">
        <v>200</v>
      </c>
      <c r="DV157">
        <v>65</v>
      </c>
      <c r="DW157">
        <v>101</v>
      </c>
      <c r="DX157">
        <v>197</v>
      </c>
      <c r="DY157">
        <v>65</v>
      </c>
      <c r="DZ157">
        <v>82</v>
      </c>
    </row>
    <row r="158" spans="2:130" hidden="1">
      <c r="B158" s="1332">
        <f t="shared" si="0"/>
        <v>19.3</v>
      </c>
      <c r="C158" s="1332">
        <f t="shared" si="1"/>
        <v>53</v>
      </c>
      <c r="D158" s="1332">
        <f t="shared" si="2"/>
        <v>251</v>
      </c>
      <c r="F158">
        <v>6563</v>
      </c>
      <c r="G158">
        <v>39</v>
      </c>
      <c r="H158">
        <v>1</v>
      </c>
      <c r="I158">
        <v>11</v>
      </c>
      <c r="J158">
        <v>10</v>
      </c>
      <c r="K158">
        <v>193</v>
      </c>
      <c r="L158">
        <v>53</v>
      </c>
      <c r="M158">
        <v>251</v>
      </c>
      <c r="N158">
        <v>206</v>
      </c>
      <c r="O158">
        <v>59</v>
      </c>
      <c r="P158">
        <v>98</v>
      </c>
      <c r="Q158">
        <v>206</v>
      </c>
      <c r="R158">
        <v>54</v>
      </c>
      <c r="S158">
        <v>102</v>
      </c>
      <c r="T158">
        <v>200</v>
      </c>
      <c r="U158">
        <v>54</v>
      </c>
      <c r="V158">
        <v>115</v>
      </c>
      <c r="W158">
        <v>205</v>
      </c>
      <c r="X158">
        <v>61</v>
      </c>
      <c r="Y158">
        <v>104</v>
      </c>
      <c r="Z158">
        <v>189</v>
      </c>
      <c r="AA158">
        <v>61</v>
      </c>
      <c r="AB158">
        <v>109</v>
      </c>
      <c r="AC158">
        <v>233</v>
      </c>
      <c r="AD158">
        <v>39</v>
      </c>
      <c r="AE158">
        <v>101</v>
      </c>
      <c r="AF158">
        <v>191</v>
      </c>
      <c r="AG158">
        <v>40</v>
      </c>
      <c r="AH158">
        <v>98</v>
      </c>
      <c r="AI158">
        <v>199</v>
      </c>
      <c r="AJ158">
        <v>28</v>
      </c>
      <c r="AK158">
        <v>99</v>
      </c>
      <c r="AL158">
        <v>190</v>
      </c>
      <c r="AM158">
        <v>55</v>
      </c>
      <c r="AN158">
        <v>98</v>
      </c>
      <c r="AO158">
        <v>218</v>
      </c>
      <c r="AP158">
        <v>53</v>
      </c>
      <c r="AQ158">
        <v>103</v>
      </c>
      <c r="AR158">
        <v>183</v>
      </c>
      <c r="AS158">
        <v>79</v>
      </c>
      <c r="AT158">
        <v>106</v>
      </c>
      <c r="AU158">
        <v>98</v>
      </c>
      <c r="AV158">
        <v>54</v>
      </c>
      <c r="AW158">
        <v>97</v>
      </c>
      <c r="AX158">
        <v>170</v>
      </c>
      <c r="AY158">
        <v>74</v>
      </c>
      <c r="AZ158">
        <v>112</v>
      </c>
      <c r="BA158">
        <v>172</v>
      </c>
      <c r="BB158">
        <v>76</v>
      </c>
      <c r="BC158">
        <v>99</v>
      </c>
      <c r="BD158">
        <v>221</v>
      </c>
      <c r="BE158">
        <v>43</v>
      </c>
      <c r="BF158">
        <v>97</v>
      </c>
      <c r="BG158">
        <v>192</v>
      </c>
      <c r="BH158">
        <v>34</v>
      </c>
      <c r="BI158">
        <v>96</v>
      </c>
      <c r="BJ158">
        <v>218</v>
      </c>
      <c r="BK158">
        <v>33</v>
      </c>
      <c r="BL158">
        <v>98</v>
      </c>
      <c r="BM158">
        <v>208</v>
      </c>
      <c r="BN158">
        <v>63</v>
      </c>
      <c r="BO158">
        <v>104</v>
      </c>
      <c r="BP158">
        <v>204</v>
      </c>
      <c r="BQ158">
        <v>65</v>
      </c>
      <c r="BR158">
        <v>102</v>
      </c>
      <c r="BS158">
        <v>259</v>
      </c>
      <c r="BT158">
        <v>24</v>
      </c>
      <c r="BU158">
        <v>97</v>
      </c>
      <c r="BV158">
        <v>178</v>
      </c>
      <c r="BW158">
        <v>56</v>
      </c>
      <c r="BX158">
        <v>96</v>
      </c>
      <c r="BY158">
        <v>172</v>
      </c>
      <c r="BZ158">
        <v>68</v>
      </c>
      <c r="CA158">
        <v>98</v>
      </c>
      <c r="CB158">
        <v>208</v>
      </c>
      <c r="CC158">
        <v>66</v>
      </c>
      <c r="CD158">
        <v>113</v>
      </c>
      <c r="CE158">
        <v>192</v>
      </c>
      <c r="CF158">
        <v>26</v>
      </c>
      <c r="CG158">
        <v>98</v>
      </c>
      <c r="CH158">
        <v>190</v>
      </c>
      <c r="CI158">
        <v>74</v>
      </c>
      <c r="CJ158">
        <v>101</v>
      </c>
      <c r="CK158">
        <v>185</v>
      </c>
      <c r="CL158">
        <v>20</v>
      </c>
      <c r="CM158">
        <v>99</v>
      </c>
      <c r="CN158">
        <v>186</v>
      </c>
      <c r="CO158">
        <v>56</v>
      </c>
      <c r="CP158">
        <v>116</v>
      </c>
      <c r="CQ158">
        <v>125</v>
      </c>
      <c r="CR158">
        <v>31</v>
      </c>
      <c r="CS158">
        <v>96</v>
      </c>
      <c r="CT158">
        <v>124</v>
      </c>
      <c r="CU158">
        <v>36</v>
      </c>
      <c r="CV158">
        <v>98</v>
      </c>
      <c r="CW158">
        <v>194</v>
      </c>
      <c r="CX158">
        <v>59</v>
      </c>
      <c r="CY158">
        <v>98</v>
      </c>
      <c r="CZ158">
        <v>215</v>
      </c>
      <c r="DA158">
        <v>66</v>
      </c>
      <c r="DB158">
        <v>96</v>
      </c>
      <c r="DC158">
        <v>165</v>
      </c>
      <c r="DD158">
        <v>43</v>
      </c>
      <c r="DE158">
        <v>113</v>
      </c>
      <c r="DF158">
        <v>208</v>
      </c>
      <c r="DG158">
        <v>51</v>
      </c>
      <c r="DH158">
        <v>96</v>
      </c>
      <c r="DI158">
        <v>163</v>
      </c>
      <c r="DJ158">
        <v>45</v>
      </c>
      <c r="DK158">
        <v>97</v>
      </c>
      <c r="DL158">
        <v>224</v>
      </c>
      <c r="DM158">
        <v>45</v>
      </c>
      <c r="DN158">
        <v>96</v>
      </c>
      <c r="DO158">
        <v>205</v>
      </c>
      <c r="DP158">
        <v>63</v>
      </c>
      <c r="DQ158">
        <v>99</v>
      </c>
      <c r="DR158">
        <v>171</v>
      </c>
      <c r="DS158">
        <v>38</v>
      </c>
      <c r="DT158">
        <v>106</v>
      </c>
      <c r="DU158">
        <v>210</v>
      </c>
      <c r="DV158">
        <v>57</v>
      </c>
      <c r="DW158">
        <v>129</v>
      </c>
      <c r="DX158">
        <v>207</v>
      </c>
      <c r="DY158">
        <v>62</v>
      </c>
      <c r="DZ158">
        <v>92</v>
      </c>
    </row>
    <row r="159" spans="2:130" hidden="1">
      <c r="B159" s="1332">
        <f t="shared" si="0"/>
        <v>20.3</v>
      </c>
      <c r="C159" s="1332">
        <f t="shared" si="1"/>
        <v>50</v>
      </c>
      <c r="D159" s="1332">
        <f t="shared" si="2"/>
        <v>269</v>
      </c>
      <c r="F159">
        <v>6564</v>
      </c>
      <c r="G159">
        <v>39</v>
      </c>
      <c r="H159">
        <v>1</v>
      </c>
      <c r="I159">
        <v>12</v>
      </c>
      <c r="J159">
        <v>10</v>
      </c>
      <c r="K159">
        <v>203</v>
      </c>
      <c r="L159">
        <v>50</v>
      </c>
      <c r="M159">
        <v>269</v>
      </c>
      <c r="N159">
        <v>208</v>
      </c>
      <c r="O159">
        <v>59</v>
      </c>
      <c r="P159">
        <v>111</v>
      </c>
      <c r="Q159">
        <v>214</v>
      </c>
      <c r="R159">
        <v>56</v>
      </c>
      <c r="S159">
        <v>115</v>
      </c>
      <c r="T159">
        <v>222</v>
      </c>
      <c r="U159">
        <v>49</v>
      </c>
      <c r="V159">
        <v>126</v>
      </c>
      <c r="W159">
        <v>207</v>
      </c>
      <c r="X159">
        <v>58</v>
      </c>
      <c r="Y159">
        <v>117</v>
      </c>
      <c r="Z159">
        <v>215</v>
      </c>
      <c r="AA159">
        <v>50</v>
      </c>
      <c r="AB159">
        <v>130</v>
      </c>
      <c r="AC159">
        <v>256</v>
      </c>
      <c r="AD159">
        <v>35</v>
      </c>
      <c r="AE159">
        <v>114</v>
      </c>
      <c r="AF159">
        <v>212</v>
      </c>
      <c r="AG159">
        <v>34</v>
      </c>
      <c r="AH159">
        <v>106</v>
      </c>
      <c r="AI159">
        <v>210</v>
      </c>
      <c r="AJ159">
        <v>22</v>
      </c>
      <c r="AK159">
        <v>109</v>
      </c>
      <c r="AL159">
        <v>201</v>
      </c>
      <c r="AM159">
        <v>54</v>
      </c>
      <c r="AN159">
        <v>106</v>
      </c>
      <c r="AO159">
        <v>229</v>
      </c>
      <c r="AP159">
        <v>50</v>
      </c>
      <c r="AQ159">
        <v>116</v>
      </c>
      <c r="AR159">
        <v>190</v>
      </c>
      <c r="AS159">
        <v>71</v>
      </c>
      <c r="AT159">
        <v>121</v>
      </c>
      <c r="AU159">
        <v>100</v>
      </c>
      <c r="AV159">
        <v>54</v>
      </c>
      <c r="AW159">
        <v>105</v>
      </c>
      <c r="AX159">
        <v>186</v>
      </c>
      <c r="AY159">
        <v>63</v>
      </c>
      <c r="AZ159">
        <v>127</v>
      </c>
      <c r="BA159">
        <v>183</v>
      </c>
      <c r="BB159">
        <v>68</v>
      </c>
      <c r="BC159">
        <v>107</v>
      </c>
      <c r="BD159">
        <v>230</v>
      </c>
      <c r="BE159">
        <v>40</v>
      </c>
      <c r="BF159">
        <v>105</v>
      </c>
      <c r="BG159">
        <v>200</v>
      </c>
      <c r="BH159">
        <v>33</v>
      </c>
      <c r="BI159">
        <v>103</v>
      </c>
      <c r="BJ159">
        <v>240</v>
      </c>
      <c r="BK159">
        <v>26</v>
      </c>
      <c r="BL159">
        <v>106</v>
      </c>
      <c r="BM159">
        <v>226</v>
      </c>
      <c r="BN159">
        <v>53</v>
      </c>
      <c r="BO159">
        <v>119</v>
      </c>
      <c r="BP159">
        <v>217</v>
      </c>
      <c r="BQ159">
        <v>62</v>
      </c>
      <c r="BR159">
        <v>113</v>
      </c>
      <c r="BS159">
        <v>270</v>
      </c>
      <c r="BT159">
        <v>20</v>
      </c>
      <c r="BU159">
        <v>108</v>
      </c>
      <c r="BV159">
        <v>188</v>
      </c>
      <c r="BW159">
        <v>48</v>
      </c>
      <c r="BX159">
        <v>105</v>
      </c>
      <c r="BY159">
        <v>188</v>
      </c>
      <c r="BZ159">
        <v>62</v>
      </c>
      <c r="CA159">
        <v>112</v>
      </c>
      <c r="CB159">
        <v>215</v>
      </c>
      <c r="CC159">
        <v>56</v>
      </c>
      <c r="CD159">
        <v>131</v>
      </c>
      <c r="CE159">
        <v>202</v>
      </c>
      <c r="CF159">
        <v>23</v>
      </c>
      <c r="CG159">
        <v>110</v>
      </c>
      <c r="CH159">
        <v>203</v>
      </c>
      <c r="CI159">
        <v>66</v>
      </c>
      <c r="CJ159">
        <v>113</v>
      </c>
      <c r="CK159">
        <v>188</v>
      </c>
      <c r="CL159">
        <v>20</v>
      </c>
      <c r="CM159">
        <v>112</v>
      </c>
      <c r="CN159">
        <v>199</v>
      </c>
      <c r="CO159">
        <v>50</v>
      </c>
      <c r="CP159">
        <v>116</v>
      </c>
      <c r="CQ159">
        <v>131</v>
      </c>
      <c r="CR159">
        <v>30</v>
      </c>
      <c r="CS159">
        <v>105</v>
      </c>
      <c r="CT159">
        <v>132</v>
      </c>
      <c r="CU159">
        <v>33</v>
      </c>
      <c r="CV159">
        <v>106</v>
      </c>
      <c r="CW159">
        <v>202</v>
      </c>
      <c r="CX159">
        <v>56</v>
      </c>
      <c r="CY159">
        <v>108</v>
      </c>
      <c r="CZ159">
        <v>228</v>
      </c>
      <c r="DA159">
        <v>56</v>
      </c>
      <c r="DB159">
        <v>107</v>
      </c>
      <c r="DC159">
        <v>183</v>
      </c>
      <c r="DD159">
        <v>32</v>
      </c>
      <c r="DE159">
        <v>135</v>
      </c>
      <c r="DF159">
        <v>230</v>
      </c>
      <c r="DG159">
        <v>43</v>
      </c>
      <c r="DH159">
        <v>114</v>
      </c>
      <c r="DI159">
        <v>175</v>
      </c>
      <c r="DJ159">
        <v>42</v>
      </c>
      <c r="DK159">
        <v>106</v>
      </c>
      <c r="DL159">
        <v>245</v>
      </c>
      <c r="DM159">
        <v>43</v>
      </c>
      <c r="DN159">
        <v>107</v>
      </c>
      <c r="DO159">
        <v>218</v>
      </c>
      <c r="DP159">
        <v>56</v>
      </c>
      <c r="DQ159">
        <v>114</v>
      </c>
      <c r="DR159">
        <v>191</v>
      </c>
      <c r="DS159">
        <v>29</v>
      </c>
      <c r="DT159">
        <v>111</v>
      </c>
      <c r="DU159">
        <v>221</v>
      </c>
      <c r="DV159">
        <v>51</v>
      </c>
      <c r="DW159">
        <v>136</v>
      </c>
      <c r="DX159">
        <v>219</v>
      </c>
      <c r="DY159">
        <v>60</v>
      </c>
      <c r="DZ159">
        <v>102</v>
      </c>
    </row>
    <row r="160" spans="2:130" hidden="1">
      <c r="B160" s="1332">
        <f t="shared" si="0"/>
        <v>19.399999999999999</v>
      </c>
      <c r="C160" s="1332">
        <f t="shared" si="1"/>
        <v>59</v>
      </c>
      <c r="D160" s="1332">
        <f t="shared" si="2"/>
        <v>461</v>
      </c>
      <c r="F160">
        <v>6565</v>
      </c>
      <c r="G160">
        <v>39</v>
      </c>
      <c r="H160">
        <v>1</v>
      </c>
      <c r="I160">
        <v>13</v>
      </c>
      <c r="J160">
        <v>10</v>
      </c>
      <c r="K160">
        <v>194</v>
      </c>
      <c r="L160">
        <v>59</v>
      </c>
      <c r="M160">
        <v>461</v>
      </c>
      <c r="N160">
        <v>217</v>
      </c>
      <c r="O160">
        <v>55</v>
      </c>
      <c r="P160">
        <v>286</v>
      </c>
      <c r="Q160">
        <v>219</v>
      </c>
      <c r="R160">
        <v>54</v>
      </c>
      <c r="S160">
        <v>303</v>
      </c>
      <c r="T160">
        <v>239</v>
      </c>
      <c r="U160">
        <v>45</v>
      </c>
      <c r="V160">
        <v>279</v>
      </c>
      <c r="W160">
        <v>214</v>
      </c>
      <c r="X160">
        <v>52</v>
      </c>
      <c r="Y160">
        <v>280</v>
      </c>
      <c r="Z160">
        <v>236</v>
      </c>
      <c r="AA160">
        <v>43</v>
      </c>
      <c r="AB160">
        <v>313</v>
      </c>
      <c r="AC160">
        <v>275</v>
      </c>
      <c r="AD160">
        <v>31</v>
      </c>
      <c r="AE160">
        <v>320</v>
      </c>
      <c r="AF160">
        <v>228</v>
      </c>
      <c r="AG160">
        <v>24</v>
      </c>
      <c r="AH160">
        <v>340</v>
      </c>
      <c r="AI160">
        <v>214</v>
      </c>
      <c r="AJ160">
        <v>22</v>
      </c>
      <c r="AK160">
        <v>316</v>
      </c>
      <c r="AL160">
        <v>197</v>
      </c>
      <c r="AM160">
        <v>57</v>
      </c>
      <c r="AN160">
        <v>318</v>
      </c>
      <c r="AO160">
        <v>241</v>
      </c>
      <c r="AP160">
        <v>49</v>
      </c>
      <c r="AQ160">
        <v>265</v>
      </c>
      <c r="AR160">
        <v>196</v>
      </c>
      <c r="AS160">
        <v>69</v>
      </c>
      <c r="AT160">
        <v>316</v>
      </c>
      <c r="AU160">
        <v>104</v>
      </c>
      <c r="AV160">
        <v>53</v>
      </c>
      <c r="AW160">
        <v>311</v>
      </c>
      <c r="AX160">
        <v>204</v>
      </c>
      <c r="AY160">
        <v>54</v>
      </c>
      <c r="AZ160">
        <v>297</v>
      </c>
      <c r="BA160">
        <v>186</v>
      </c>
      <c r="BB160">
        <v>68</v>
      </c>
      <c r="BC160">
        <v>300</v>
      </c>
      <c r="BD160">
        <v>232</v>
      </c>
      <c r="BE160">
        <v>39</v>
      </c>
      <c r="BF160">
        <v>281</v>
      </c>
      <c r="BG160">
        <v>204</v>
      </c>
      <c r="BH160">
        <v>32</v>
      </c>
      <c r="BI160">
        <v>281</v>
      </c>
      <c r="BJ160">
        <v>244</v>
      </c>
      <c r="BK160">
        <v>25</v>
      </c>
      <c r="BL160">
        <v>320</v>
      </c>
      <c r="BM160">
        <v>240</v>
      </c>
      <c r="BN160">
        <v>51</v>
      </c>
      <c r="BO160">
        <v>308</v>
      </c>
      <c r="BP160">
        <v>229</v>
      </c>
      <c r="BQ160">
        <v>60</v>
      </c>
      <c r="BR160">
        <v>293</v>
      </c>
      <c r="BS160">
        <v>267</v>
      </c>
      <c r="BT160">
        <v>25</v>
      </c>
      <c r="BU160">
        <v>315</v>
      </c>
      <c r="BV160">
        <v>202</v>
      </c>
      <c r="BW160">
        <v>35</v>
      </c>
      <c r="BX160">
        <v>306</v>
      </c>
      <c r="BY160">
        <v>198</v>
      </c>
      <c r="BZ160">
        <v>62</v>
      </c>
      <c r="CA160">
        <v>276</v>
      </c>
      <c r="CB160">
        <v>221</v>
      </c>
      <c r="CC160">
        <v>51</v>
      </c>
      <c r="CD160">
        <v>276</v>
      </c>
      <c r="CE160">
        <v>206</v>
      </c>
      <c r="CF160">
        <v>25</v>
      </c>
      <c r="CG160">
        <v>308</v>
      </c>
      <c r="CH160">
        <v>206</v>
      </c>
      <c r="CI160">
        <v>68</v>
      </c>
      <c r="CJ160">
        <v>296</v>
      </c>
      <c r="CK160">
        <v>186</v>
      </c>
      <c r="CL160">
        <v>21</v>
      </c>
      <c r="CM160">
        <v>349</v>
      </c>
      <c r="CN160">
        <v>212</v>
      </c>
      <c r="CO160">
        <v>50</v>
      </c>
      <c r="CP160">
        <v>291</v>
      </c>
      <c r="CQ160">
        <v>135</v>
      </c>
      <c r="CR160">
        <v>30</v>
      </c>
      <c r="CS160">
        <v>343</v>
      </c>
      <c r="CT160">
        <v>137</v>
      </c>
      <c r="CU160">
        <v>32</v>
      </c>
      <c r="CV160">
        <v>331</v>
      </c>
      <c r="CW160">
        <v>209</v>
      </c>
      <c r="CX160">
        <v>58</v>
      </c>
      <c r="CY160">
        <v>310</v>
      </c>
      <c r="CZ160">
        <v>239</v>
      </c>
      <c r="DA160">
        <v>50</v>
      </c>
      <c r="DB160">
        <v>303</v>
      </c>
      <c r="DC160">
        <v>199</v>
      </c>
      <c r="DD160">
        <v>21</v>
      </c>
      <c r="DE160">
        <v>384</v>
      </c>
      <c r="DF160">
        <v>249</v>
      </c>
      <c r="DG160">
        <v>40</v>
      </c>
      <c r="DH160">
        <v>290</v>
      </c>
      <c r="DI160">
        <v>177</v>
      </c>
      <c r="DJ160">
        <v>43</v>
      </c>
      <c r="DK160">
        <v>315</v>
      </c>
      <c r="DL160">
        <v>251</v>
      </c>
      <c r="DM160">
        <v>47</v>
      </c>
      <c r="DN160">
        <v>323</v>
      </c>
      <c r="DO160">
        <v>230</v>
      </c>
      <c r="DP160">
        <v>52</v>
      </c>
      <c r="DQ160">
        <v>289</v>
      </c>
      <c r="DR160">
        <v>203</v>
      </c>
      <c r="DS160">
        <v>20</v>
      </c>
      <c r="DT160">
        <v>317</v>
      </c>
      <c r="DU160">
        <v>223</v>
      </c>
      <c r="DV160">
        <v>48</v>
      </c>
      <c r="DW160">
        <v>304</v>
      </c>
      <c r="DX160">
        <v>228</v>
      </c>
      <c r="DY160">
        <v>54</v>
      </c>
      <c r="DZ160">
        <v>305</v>
      </c>
    </row>
    <row r="161" spans="2:130" hidden="1">
      <c r="B161" s="1332">
        <f t="shared" si="0"/>
        <v>18.399999999999999</v>
      </c>
      <c r="C161" s="1332">
        <f t="shared" si="1"/>
        <v>62</v>
      </c>
      <c r="D161" s="1332">
        <f t="shared" si="2"/>
        <v>644</v>
      </c>
      <c r="F161">
        <v>6566</v>
      </c>
      <c r="G161">
        <v>39</v>
      </c>
      <c r="H161">
        <v>1</v>
      </c>
      <c r="I161">
        <v>14</v>
      </c>
      <c r="J161">
        <v>10</v>
      </c>
      <c r="K161">
        <v>184</v>
      </c>
      <c r="L161">
        <v>62</v>
      </c>
      <c r="M161">
        <v>644</v>
      </c>
      <c r="N161">
        <v>223</v>
      </c>
      <c r="O161">
        <v>55</v>
      </c>
      <c r="P161">
        <v>456</v>
      </c>
      <c r="Q161">
        <v>222</v>
      </c>
      <c r="R161">
        <v>54</v>
      </c>
      <c r="S161">
        <v>472</v>
      </c>
      <c r="T161">
        <v>243</v>
      </c>
      <c r="U161">
        <v>46</v>
      </c>
      <c r="V161">
        <v>460</v>
      </c>
      <c r="W161">
        <v>217</v>
      </c>
      <c r="X161">
        <v>48</v>
      </c>
      <c r="Y161">
        <v>486</v>
      </c>
      <c r="Z161">
        <v>234</v>
      </c>
      <c r="AA161">
        <v>46</v>
      </c>
      <c r="AB161">
        <v>247</v>
      </c>
      <c r="AC161">
        <v>286</v>
      </c>
      <c r="AD161">
        <v>31</v>
      </c>
      <c r="AE161">
        <v>504</v>
      </c>
      <c r="AF161">
        <v>230</v>
      </c>
      <c r="AG161">
        <v>23</v>
      </c>
      <c r="AH161">
        <v>539</v>
      </c>
      <c r="AI161">
        <v>209</v>
      </c>
      <c r="AJ161">
        <v>22</v>
      </c>
      <c r="AK161">
        <v>530</v>
      </c>
      <c r="AL161">
        <v>200</v>
      </c>
      <c r="AM161">
        <v>57</v>
      </c>
      <c r="AN161">
        <v>521</v>
      </c>
      <c r="AO161">
        <v>245</v>
      </c>
      <c r="AP161">
        <v>45</v>
      </c>
      <c r="AQ161">
        <v>405</v>
      </c>
      <c r="AR161">
        <v>191</v>
      </c>
      <c r="AS161">
        <v>73</v>
      </c>
      <c r="AT161">
        <v>187</v>
      </c>
      <c r="AU161">
        <v>105</v>
      </c>
      <c r="AV161">
        <v>53</v>
      </c>
      <c r="AW161">
        <v>534</v>
      </c>
      <c r="AX161">
        <v>213</v>
      </c>
      <c r="AY161">
        <v>51</v>
      </c>
      <c r="AZ161">
        <v>440</v>
      </c>
      <c r="BA161">
        <v>194</v>
      </c>
      <c r="BB161">
        <v>69</v>
      </c>
      <c r="BC161">
        <v>494</v>
      </c>
      <c r="BD161">
        <v>232</v>
      </c>
      <c r="BE161">
        <v>38</v>
      </c>
      <c r="BF161">
        <v>464</v>
      </c>
      <c r="BG161">
        <v>204</v>
      </c>
      <c r="BH161">
        <v>33</v>
      </c>
      <c r="BI161">
        <v>479</v>
      </c>
      <c r="BJ161">
        <v>263</v>
      </c>
      <c r="BK161">
        <v>19</v>
      </c>
      <c r="BL161">
        <v>515</v>
      </c>
      <c r="BM161">
        <v>253</v>
      </c>
      <c r="BN161">
        <v>47</v>
      </c>
      <c r="BO161">
        <v>481</v>
      </c>
      <c r="BP161">
        <v>235</v>
      </c>
      <c r="BQ161">
        <v>57</v>
      </c>
      <c r="BR161">
        <v>451</v>
      </c>
      <c r="BS161">
        <v>250</v>
      </c>
      <c r="BT161">
        <v>32</v>
      </c>
      <c r="BU161">
        <v>511</v>
      </c>
      <c r="BV161">
        <v>199</v>
      </c>
      <c r="BW161">
        <v>39</v>
      </c>
      <c r="BX161">
        <v>483</v>
      </c>
      <c r="BY161">
        <v>209</v>
      </c>
      <c r="BZ161">
        <v>58</v>
      </c>
      <c r="CA161">
        <v>434</v>
      </c>
      <c r="CB161">
        <v>222</v>
      </c>
      <c r="CC161">
        <v>48</v>
      </c>
      <c r="CD161">
        <v>480</v>
      </c>
      <c r="CE161">
        <v>203</v>
      </c>
      <c r="CF161">
        <v>26</v>
      </c>
      <c r="CG161">
        <v>491</v>
      </c>
      <c r="CH161">
        <v>225</v>
      </c>
      <c r="CI161">
        <v>54</v>
      </c>
      <c r="CJ161">
        <v>475</v>
      </c>
      <c r="CK161">
        <v>188</v>
      </c>
      <c r="CL161">
        <v>18</v>
      </c>
      <c r="CM161">
        <v>557</v>
      </c>
      <c r="CN161">
        <v>217</v>
      </c>
      <c r="CO161">
        <v>51</v>
      </c>
      <c r="CP161">
        <v>478</v>
      </c>
      <c r="CQ161">
        <v>141</v>
      </c>
      <c r="CR161">
        <v>29</v>
      </c>
      <c r="CS161">
        <v>550</v>
      </c>
      <c r="CT161">
        <v>141</v>
      </c>
      <c r="CU161">
        <v>32</v>
      </c>
      <c r="CV161">
        <v>512</v>
      </c>
      <c r="CW161">
        <v>216</v>
      </c>
      <c r="CX161">
        <v>64</v>
      </c>
      <c r="CY161">
        <v>468</v>
      </c>
      <c r="CZ161">
        <v>244</v>
      </c>
      <c r="DA161">
        <v>48</v>
      </c>
      <c r="DB161">
        <v>468</v>
      </c>
      <c r="DC161">
        <v>190</v>
      </c>
      <c r="DD161">
        <v>24</v>
      </c>
      <c r="DE161">
        <v>527</v>
      </c>
      <c r="DF161">
        <v>247</v>
      </c>
      <c r="DG161">
        <v>44</v>
      </c>
      <c r="DH161">
        <v>480</v>
      </c>
      <c r="DI161">
        <v>170</v>
      </c>
      <c r="DJ161">
        <v>45</v>
      </c>
      <c r="DK161">
        <v>519</v>
      </c>
      <c r="DL161">
        <v>256</v>
      </c>
      <c r="DM161">
        <v>45</v>
      </c>
      <c r="DN161">
        <v>517</v>
      </c>
      <c r="DO161">
        <v>238</v>
      </c>
      <c r="DP161">
        <v>50</v>
      </c>
      <c r="DQ161">
        <v>469</v>
      </c>
      <c r="DR161">
        <v>205</v>
      </c>
      <c r="DS161">
        <v>18</v>
      </c>
      <c r="DT161">
        <v>530</v>
      </c>
      <c r="DU161">
        <v>224</v>
      </c>
      <c r="DV161">
        <v>48</v>
      </c>
      <c r="DW161">
        <v>523</v>
      </c>
      <c r="DX161">
        <v>234</v>
      </c>
      <c r="DY161">
        <v>50</v>
      </c>
      <c r="DZ161">
        <v>507</v>
      </c>
    </row>
    <row r="162" spans="2:130" hidden="1">
      <c r="B162" s="1332">
        <f t="shared" si="0"/>
        <v>17.899999999999999</v>
      </c>
      <c r="C162" s="1332">
        <f t="shared" si="1"/>
        <v>63</v>
      </c>
      <c r="D162" s="1332">
        <f t="shared" si="2"/>
        <v>735</v>
      </c>
      <c r="F162">
        <v>6567</v>
      </c>
      <c r="G162">
        <v>39</v>
      </c>
      <c r="H162">
        <v>1</v>
      </c>
      <c r="I162">
        <v>15</v>
      </c>
      <c r="J162">
        <v>10</v>
      </c>
      <c r="K162">
        <v>179</v>
      </c>
      <c r="L162">
        <v>63</v>
      </c>
      <c r="M162">
        <v>735</v>
      </c>
      <c r="N162">
        <v>229</v>
      </c>
      <c r="O162">
        <v>53</v>
      </c>
      <c r="P162">
        <v>565</v>
      </c>
      <c r="Q162">
        <v>209</v>
      </c>
      <c r="R162">
        <v>58</v>
      </c>
      <c r="S162">
        <v>499</v>
      </c>
      <c r="T162">
        <v>243</v>
      </c>
      <c r="U162">
        <v>45</v>
      </c>
      <c r="V162">
        <v>606</v>
      </c>
      <c r="W162">
        <v>216</v>
      </c>
      <c r="X162">
        <v>46</v>
      </c>
      <c r="Y162">
        <v>623</v>
      </c>
      <c r="Z162">
        <v>241</v>
      </c>
      <c r="AA162">
        <v>45</v>
      </c>
      <c r="AB162">
        <v>495</v>
      </c>
      <c r="AC162">
        <v>284</v>
      </c>
      <c r="AD162">
        <v>33</v>
      </c>
      <c r="AE162">
        <v>595</v>
      </c>
      <c r="AF162">
        <v>225</v>
      </c>
      <c r="AG162">
        <v>26</v>
      </c>
      <c r="AH162">
        <v>662</v>
      </c>
      <c r="AI162">
        <v>205</v>
      </c>
      <c r="AJ162">
        <v>23</v>
      </c>
      <c r="AK162">
        <v>667</v>
      </c>
      <c r="AL162">
        <v>193</v>
      </c>
      <c r="AM162">
        <v>60</v>
      </c>
      <c r="AN162">
        <v>622</v>
      </c>
      <c r="AO162">
        <v>249</v>
      </c>
      <c r="AP162">
        <v>44</v>
      </c>
      <c r="AQ162">
        <v>606</v>
      </c>
      <c r="AR162">
        <v>184</v>
      </c>
      <c r="AS162">
        <v>74</v>
      </c>
      <c r="AT162">
        <v>31</v>
      </c>
      <c r="AU162">
        <v>102</v>
      </c>
      <c r="AV162">
        <v>53</v>
      </c>
      <c r="AW162">
        <v>698</v>
      </c>
      <c r="AX162">
        <v>212</v>
      </c>
      <c r="AY162">
        <v>52</v>
      </c>
      <c r="AZ162">
        <v>418</v>
      </c>
      <c r="BA162">
        <v>198</v>
      </c>
      <c r="BB162">
        <v>67</v>
      </c>
      <c r="BC162">
        <v>605</v>
      </c>
      <c r="BD162">
        <v>226</v>
      </c>
      <c r="BE162">
        <v>42</v>
      </c>
      <c r="BF162">
        <v>574</v>
      </c>
      <c r="BG162">
        <v>201</v>
      </c>
      <c r="BH162">
        <v>29</v>
      </c>
      <c r="BI162">
        <v>621</v>
      </c>
      <c r="BJ162">
        <v>269</v>
      </c>
      <c r="BK162">
        <v>14</v>
      </c>
      <c r="BL162">
        <v>667</v>
      </c>
      <c r="BM162">
        <v>256</v>
      </c>
      <c r="BN162">
        <v>47</v>
      </c>
      <c r="BO162">
        <v>592</v>
      </c>
      <c r="BP162">
        <v>233</v>
      </c>
      <c r="BQ162">
        <v>58</v>
      </c>
      <c r="BR162">
        <v>536</v>
      </c>
      <c r="BS162">
        <v>254</v>
      </c>
      <c r="BT162">
        <v>29</v>
      </c>
      <c r="BU162">
        <v>640</v>
      </c>
      <c r="BV162">
        <v>194</v>
      </c>
      <c r="BW162">
        <v>39</v>
      </c>
      <c r="BX162">
        <v>615</v>
      </c>
      <c r="BY162">
        <v>218</v>
      </c>
      <c r="BZ162">
        <v>55</v>
      </c>
      <c r="CA162">
        <v>552</v>
      </c>
      <c r="CB162">
        <v>223</v>
      </c>
      <c r="CC162">
        <v>46</v>
      </c>
      <c r="CD162">
        <v>619</v>
      </c>
      <c r="CE162">
        <v>197</v>
      </c>
      <c r="CF162">
        <v>27</v>
      </c>
      <c r="CG162">
        <v>561</v>
      </c>
      <c r="CH162">
        <v>227</v>
      </c>
      <c r="CI162">
        <v>55</v>
      </c>
      <c r="CJ162">
        <v>636</v>
      </c>
      <c r="CK162">
        <v>181</v>
      </c>
      <c r="CL162">
        <v>15</v>
      </c>
      <c r="CM162">
        <v>617</v>
      </c>
      <c r="CN162">
        <v>216</v>
      </c>
      <c r="CO162">
        <v>50</v>
      </c>
      <c r="CP162">
        <v>558</v>
      </c>
      <c r="CQ162">
        <v>135</v>
      </c>
      <c r="CR162">
        <v>28</v>
      </c>
      <c r="CS162">
        <v>690</v>
      </c>
      <c r="CT162">
        <v>141</v>
      </c>
      <c r="CU162">
        <v>32</v>
      </c>
      <c r="CV162">
        <v>598</v>
      </c>
      <c r="CW162">
        <v>217</v>
      </c>
      <c r="CX162">
        <v>62</v>
      </c>
      <c r="CY162">
        <v>578</v>
      </c>
      <c r="CZ162">
        <v>246</v>
      </c>
      <c r="DA162">
        <v>47</v>
      </c>
      <c r="DB162">
        <v>557</v>
      </c>
      <c r="DC162">
        <v>176</v>
      </c>
      <c r="DD162">
        <v>26</v>
      </c>
      <c r="DE162">
        <v>638</v>
      </c>
      <c r="DF162">
        <v>238</v>
      </c>
      <c r="DG162">
        <v>48</v>
      </c>
      <c r="DH162">
        <v>587</v>
      </c>
      <c r="DI162">
        <v>163</v>
      </c>
      <c r="DJ162">
        <v>48</v>
      </c>
      <c r="DK162">
        <v>601</v>
      </c>
      <c r="DL162">
        <v>249</v>
      </c>
      <c r="DM162">
        <v>50</v>
      </c>
      <c r="DN162">
        <v>626</v>
      </c>
      <c r="DO162">
        <v>243</v>
      </c>
      <c r="DP162">
        <v>47</v>
      </c>
      <c r="DQ162">
        <v>589</v>
      </c>
      <c r="DR162">
        <v>203</v>
      </c>
      <c r="DS162">
        <v>17</v>
      </c>
      <c r="DT162">
        <v>595</v>
      </c>
      <c r="DU162">
        <v>214</v>
      </c>
      <c r="DV162">
        <v>52</v>
      </c>
      <c r="DW162">
        <v>612</v>
      </c>
      <c r="DX162">
        <v>233</v>
      </c>
      <c r="DY162">
        <v>54</v>
      </c>
      <c r="DZ162">
        <v>648</v>
      </c>
    </row>
    <row r="163" spans="2:130" hidden="1">
      <c r="B163" s="1332">
        <f t="shared" si="0"/>
        <v>17.5</v>
      </c>
      <c r="C163" s="1332">
        <f t="shared" si="1"/>
        <v>64</v>
      </c>
      <c r="D163" s="1332">
        <f t="shared" si="2"/>
        <v>459</v>
      </c>
      <c r="F163">
        <v>6568</v>
      </c>
      <c r="G163">
        <v>39</v>
      </c>
      <c r="H163">
        <v>1</v>
      </c>
      <c r="I163">
        <v>16</v>
      </c>
      <c r="J163">
        <v>10</v>
      </c>
      <c r="K163">
        <v>175</v>
      </c>
      <c r="L163">
        <v>64</v>
      </c>
      <c r="M163">
        <v>459</v>
      </c>
      <c r="N163">
        <v>219</v>
      </c>
      <c r="O163">
        <v>64</v>
      </c>
      <c r="P163">
        <v>524</v>
      </c>
      <c r="Q163">
        <v>187</v>
      </c>
      <c r="R163">
        <v>62</v>
      </c>
      <c r="S163">
        <v>14</v>
      </c>
      <c r="T163">
        <v>235</v>
      </c>
      <c r="U163">
        <v>48</v>
      </c>
      <c r="V163">
        <v>632</v>
      </c>
      <c r="W163">
        <v>212</v>
      </c>
      <c r="X163">
        <v>47</v>
      </c>
      <c r="Y163">
        <v>648</v>
      </c>
      <c r="Z163">
        <v>241</v>
      </c>
      <c r="AA163">
        <v>44</v>
      </c>
      <c r="AB163">
        <v>467</v>
      </c>
      <c r="AC163">
        <v>239</v>
      </c>
      <c r="AD163">
        <v>51</v>
      </c>
      <c r="AE163">
        <v>489</v>
      </c>
      <c r="AF163">
        <v>205</v>
      </c>
      <c r="AG163">
        <v>34</v>
      </c>
      <c r="AH163">
        <v>543</v>
      </c>
      <c r="AI163">
        <v>195</v>
      </c>
      <c r="AJ163">
        <v>25</v>
      </c>
      <c r="AK163">
        <v>567</v>
      </c>
      <c r="AL163">
        <v>177</v>
      </c>
      <c r="AM163">
        <v>71</v>
      </c>
      <c r="AN163">
        <v>437</v>
      </c>
      <c r="AO163">
        <v>241</v>
      </c>
      <c r="AP163">
        <v>48</v>
      </c>
      <c r="AQ163">
        <v>610</v>
      </c>
      <c r="AR163">
        <v>178</v>
      </c>
      <c r="AS163">
        <v>77</v>
      </c>
      <c r="AT163">
        <v>23</v>
      </c>
      <c r="AU163">
        <v>94</v>
      </c>
      <c r="AV163">
        <v>59</v>
      </c>
      <c r="AW163">
        <v>737</v>
      </c>
      <c r="AX163">
        <v>197</v>
      </c>
      <c r="AY163">
        <v>64</v>
      </c>
      <c r="AZ163">
        <v>266</v>
      </c>
      <c r="BA163">
        <v>194</v>
      </c>
      <c r="BB163">
        <v>69</v>
      </c>
      <c r="BC163">
        <v>483</v>
      </c>
      <c r="BD163">
        <v>220</v>
      </c>
      <c r="BE163">
        <v>43</v>
      </c>
      <c r="BF163">
        <v>547</v>
      </c>
      <c r="BG163">
        <v>194</v>
      </c>
      <c r="BH163">
        <v>32</v>
      </c>
      <c r="BI163">
        <v>638</v>
      </c>
      <c r="BJ163">
        <v>258</v>
      </c>
      <c r="BK163">
        <v>15</v>
      </c>
      <c r="BL163">
        <v>625</v>
      </c>
      <c r="BM163">
        <v>260</v>
      </c>
      <c r="BN163">
        <v>40</v>
      </c>
      <c r="BO163">
        <v>585</v>
      </c>
      <c r="BP163">
        <v>226</v>
      </c>
      <c r="BQ163">
        <v>61</v>
      </c>
      <c r="BR163">
        <v>539</v>
      </c>
      <c r="BS163">
        <v>239</v>
      </c>
      <c r="BT163">
        <v>38</v>
      </c>
      <c r="BU163">
        <v>651</v>
      </c>
      <c r="BV163">
        <v>192</v>
      </c>
      <c r="BW163">
        <v>39</v>
      </c>
      <c r="BX163">
        <v>558</v>
      </c>
      <c r="BY163">
        <v>212</v>
      </c>
      <c r="BZ163">
        <v>60</v>
      </c>
      <c r="CA163">
        <v>483</v>
      </c>
      <c r="CB163">
        <v>220</v>
      </c>
      <c r="CC163">
        <v>47</v>
      </c>
      <c r="CD163">
        <v>630</v>
      </c>
      <c r="CE163">
        <v>184</v>
      </c>
      <c r="CF163">
        <v>31</v>
      </c>
      <c r="CG163">
        <v>321</v>
      </c>
      <c r="CH163">
        <v>215</v>
      </c>
      <c r="CI163">
        <v>66</v>
      </c>
      <c r="CJ163">
        <v>591</v>
      </c>
      <c r="CK163">
        <v>161</v>
      </c>
      <c r="CL163">
        <v>17</v>
      </c>
      <c r="CM163">
        <v>55</v>
      </c>
      <c r="CN163">
        <v>209</v>
      </c>
      <c r="CO163">
        <v>54</v>
      </c>
      <c r="CP163">
        <v>319</v>
      </c>
      <c r="CQ163">
        <v>131</v>
      </c>
      <c r="CR163">
        <v>30</v>
      </c>
      <c r="CS163">
        <v>556</v>
      </c>
      <c r="CT163">
        <v>125</v>
      </c>
      <c r="CU163">
        <v>36</v>
      </c>
      <c r="CV163">
        <v>93</v>
      </c>
      <c r="CW163">
        <v>218</v>
      </c>
      <c r="CX163">
        <v>63</v>
      </c>
      <c r="CY163">
        <v>555</v>
      </c>
      <c r="CZ163">
        <v>242</v>
      </c>
      <c r="DA163">
        <v>49</v>
      </c>
      <c r="DB163">
        <v>449</v>
      </c>
      <c r="DC163">
        <v>159</v>
      </c>
      <c r="DD163">
        <v>32</v>
      </c>
      <c r="DE163">
        <v>427</v>
      </c>
      <c r="DF163">
        <v>230</v>
      </c>
      <c r="DG163">
        <v>52</v>
      </c>
      <c r="DH163">
        <v>514</v>
      </c>
      <c r="DI163">
        <v>153</v>
      </c>
      <c r="DJ163">
        <v>51</v>
      </c>
      <c r="DK163">
        <v>345</v>
      </c>
      <c r="DL163">
        <v>236</v>
      </c>
      <c r="DM163">
        <v>53</v>
      </c>
      <c r="DN163">
        <v>528</v>
      </c>
      <c r="DO163">
        <v>240</v>
      </c>
      <c r="DP163">
        <v>47</v>
      </c>
      <c r="DQ163">
        <v>602</v>
      </c>
      <c r="DR163">
        <v>180</v>
      </c>
      <c r="DS163">
        <v>20</v>
      </c>
      <c r="DT163">
        <v>49</v>
      </c>
      <c r="DU163">
        <v>203</v>
      </c>
      <c r="DV163">
        <v>53</v>
      </c>
      <c r="DW163">
        <v>615</v>
      </c>
      <c r="DX163">
        <v>227</v>
      </c>
      <c r="DY163">
        <v>58</v>
      </c>
      <c r="DZ163">
        <v>621</v>
      </c>
    </row>
    <row r="164" spans="2:130" hidden="1">
      <c r="B164" s="1332">
        <f t="shared" si="0"/>
        <v>15.7</v>
      </c>
      <c r="C164" s="1332">
        <f t="shared" si="1"/>
        <v>68</v>
      </c>
      <c r="D164" s="1332">
        <f t="shared" si="2"/>
        <v>9</v>
      </c>
      <c r="F164">
        <v>6569</v>
      </c>
      <c r="G164">
        <v>39</v>
      </c>
      <c r="H164">
        <v>1</v>
      </c>
      <c r="I164">
        <v>17</v>
      </c>
      <c r="J164">
        <v>10</v>
      </c>
      <c r="K164">
        <v>157</v>
      </c>
      <c r="L164">
        <v>68</v>
      </c>
      <c r="M164">
        <v>9</v>
      </c>
      <c r="N164">
        <v>193</v>
      </c>
      <c r="O164">
        <v>72</v>
      </c>
      <c r="P164">
        <v>40</v>
      </c>
      <c r="Q164">
        <v>180</v>
      </c>
      <c r="R164">
        <v>64</v>
      </c>
      <c r="S164">
        <v>3</v>
      </c>
      <c r="T164">
        <v>222</v>
      </c>
      <c r="U164">
        <v>54</v>
      </c>
      <c r="V164">
        <v>480</v>
      </c>
      <c r="W164">
        <v>201</v>
      </c>
      <c r="X164">
        <v>52</v>
      </c>
      <c r="Y164">
        <v>486</v>
      </c>
      <c r="Z164">
        <v>228</v>
      </c>
      <c r="AA164">
        <v>49</v>
      </c>
      <c r="AB164">
        <v>280</v>
      </c>
      <c r="AC164">
        <v>205</v>
      </c>
      <c r="AD164">
        <v>64</v>
      </c>
      <c r="AE164">
        <v>19</v>
      </c>
      <c r="AF164">
        <v>165</v>
      </c>
      <c r="AG164">
        <v>44</v>
      </c>
      <c r="AH164">
        <v>16</v>
      </c>
      <c r="AI164">
        <v>174</v>
      </c>
      <c r="AJ164">
        <v>29</v>
      </c>
      <c r="AK164">
        <v>23</v>
      </c>
      <c r="AL164">
        <v>151</v>
      </c>
      <c r="AM164">
        <v>80</v>
      </c>
      <c r="AN164">
        <v>4</v>
      </c>
      <c r="AO164">
        <v>232</v>
      </c>
      <c r="AP164">
        <v>53</v>
      </c>
      <c r="AQ164">
        <v>533</v>
      </c>
      <c r="AR164">
        <v>170</v>
      </c>
      <c r="AS164">
        <v>82</v>
      </c>
      <c r="AT164">
        <v>11</v>
      </c>
      <c r="AU164">
        <v>87</v>
      </c>
      <c r="AV164">
        <v>62</v>
      </c>
      <c r="AW164">
        <v>584</v>
      </c>
      <c r="AX164">
        <v>173</v>
      </c>
      <c r="AY164">
        <v>79</v>
      </c>
      <c r="AZ164">
        <v>224</v>
      </c>
      <c r="BA164">
        <v>159</v>
      </c>
      <c r="BB164">
        <v>84</v>
      </c>
      <c r="BC164">
        <v>15</v>
      </c>
      <c r="BD164">
        <v>198</v>
      </c>
      <c r="BE164">
        <v>55</v>
      </c>
      <c r="BF164">
        <v>337</v>
      </c>
      <c r="BG164">
        <v>177</v>
      </c>
      <c r="BH164">
        <v>31</v>
      </c>
      <c r="BI164">
        <v>361</v>
      </c>
      <c r="BJ164">
        <v>230</v>
      </c>
      <c r="BK164">
        <v>16</v>
      </c>
      <c r="BL164">
        <v>272</v>
      </c>
      <c r="BM164">
        <v>244</v>
      </c>
      <c r="BN164">
        <v>50</v>
      </c>
      <c r="BO164">
        <v>301</v>
      </c>
      <c r="BP164">
        <v>205</v>
      </c>
      <c r="BQ164">
        <v>68</v>
      </c>
      <c r="BR164">
        <v>338</v>
      </c>
      <c r="BS164">
        <v>214</v>
      </c>
      <c r="BT164">
        <v>50</v>
      </c>
      <c r="BU164">
        <v>447</v>
      </c>
      <c r="BV164">
        <v>183</v>
      </c>
      <c r="BW164">
        <v>42</v>
      </c>
      <c r="BX164">
        <v>504</v>
      </c>
      <c r="BY164">
        <v>202</v>
      </c>
      <c r="BZ164">
        <v>67</v>
      </c>
      <c r="CA164">
        <v>259</v>
      </c>
      <c r="CB164">
        <v>205</v>
      </c>
      <c r="CC164">
        <v>55</v>
      </c>
      <c r="CD164">
        <v>498</v>
      </c>
      <c r="CE164">
        <v>166</v>
      </c>
      <c r="CF164">
        <v>38</v>
      </c>
      <c r="CG164">
        <v>3</v>
      </c>
      <c r="CH164">
        <v>223</v>
      </c>
      <c r="CI164">
        <v>44</v>
      </c>
      <c r="CJ164">
        <v>405</v>
      </c>
      <c r="CK164">
        <v>146</v>
      </c>
      <c r="CL164">
        <v>18</v>
      </c>
      <c r="CM164">
        <v>2</v>
      </c>
      <c r="CN164">
        <v>199</v>
      </c>
      <c r="CO164">
        <v>58</v>
      </c>
      <c r="CP164">
        <v>255</v>
      </c>
      <c r="CQ164">
        <v>115</v>
      </c>
      <c r="CR164">
        <v>33</v>
      </c>
      <c r="CS164">
        <v>21</v>
      </c>
      <c r="CT164">
        <v>109</v>
      </c>
      <c r="CU164">
        <v>39</v>
      </c>
      <c r="CV164">
        <v>4</v>
      </c>
      <c r="CW164">
        <v>217</v>
      </c>
      <c r="CX164">
        <v>49</v>
      </c>
      <c r="CY164">
        <v>343</v>
      </c>
      <c r="CZ164">
        <v>212</v>
      </c>
      <c r="DA164">
        <v>66</v>
      </c>
      <c r="DB164">
        <v>9</v>
      </c>
      <c r="DC164">
        <v>146</v>
      </c>
      <c r="DD164">
        <v>35</v>
      </c>
      <c r="DE164">
        <v>7</v>
      </c>
      <c r="DF164">
        <v>212</v>
      </c>
      <c r="DG164">
        <v>60</v>
      </c>
      <c r="DH164">
        <v>247</v>
      </c>
      <c r="DI164">
        <v>145</v>
      </c>
      <c r="DJ164">
        <v>53</v>
      </c>
      <c r="DK164">
        <v>22</v>
      </c>
      <c r="DL164">
        <v>191</v>
      </c>
      <c r="DM164">
        <v>73</v>
      </c>
      <c r="DN164">
        <v>4</v>
      </c>
      <c r="DO164">
        <v>221</v>
      </c>
      <c r="DP164">
        <v>55</v>
      </c>
      <c r="DQ164">
        <v>429</v>
      </c>
      <c r="DR164">
        <v>156</v>
      </c>
      <c r="DS164">
        <v>26</v>
      </c>
      <c r="DT164">
        <v>4</v>
      </c>
      <c r="DU164">
        <v>188</v>
      </c>
      <c r="DV164">
        <v>59</v>
      </c>
      <c r="DW164">
        <v>438</v>
      </c>
      <c r="DX164">
        <v>217</v>
      </c>
      <c r="DY164">
        <v>61</v>
      </c>
      <c r="DZ164">
        <v>395</v>
      </c>
    </row>
    <row r="165" spans="2:130" hidden="1">
      <c r="B165" s="1332">
        <f t="shared" ref="B165:B195" si="3">INDEX($I165:$DZ165,3*$A$3)/10</f>
        <v>14.1</v>
      </c>
      <c r="C165" s="1332">
        <f t="shared" ref="C165:C195" si="4">INDEX($I165:$DZ165,3*$A$3+1)</f>
        <v>74</v>
      </c>
      <c r="D165" s="1332">
        <f t="shared" ref="D165:D195" si="5">INDEX($I165:$DZ165,3*$A$3+2)</f>
        <v>0</v>
      </c>
      <c r="F165">
        <v>6570</v>
      </c>
      <c r="G165">
        <v>39</v>
      </c>
      <c r="H165">
        <v>1</v>
      </c>
      <c r="I165">
        <v>18</v>
      </c>
      <c r="J165">
        <v>10</v>
      </c>
      <c r="K165">
        <v>141</v>
      </c>
      <c r="L165">
        <v>74</v>
      </c>
      <c r="M165">
        <v>0</v>
      </c>
      <c r="N165">
        <v>167</v>
      </c>
      <c r="O165">
        <v>85</v>
      </c>
      <c r="P165">
        <v>0</v>
      </c>
      <c r="Q165">
        <v>167</v>
      </c>
      <c r="R165">
        <v>70</v>
      </c>
      <c r="S165">
        <v>0</v>
      </c>
      <c r="T165">
        <v>206</v>
      </c>
      <c r="U165">
        <v>60</v>
      </c>
      <c r="V165">
        <v>0</v>
      </c>
      <c r="W165">
        <v>183</v>
      </c>
      <c r="X165">
        <v>60</v>
      </c>
      <c r="Y165">
        <v>0</v>
      </c>
      <c r="Z165">
        <v>186</v>
      </c>
      <c r="AA165">
        <v>70</v>
      </c>
      <c r="AB165">
        <v>0</v>
      </c>
      <c r="AC165">
        <v>166</v>
      </c>
      <c r="AD165">
        <v>80</v>
      </c>
      <c r="AE165">
        <v>0</v>
      </c>
      <c r="AF165">
        <v>134</v>
      </c>
      <c r="AG165">
        <v>57</v>
      </c>
      <c r="AH165">
        <v>0</v>
      </c>
      <c r="AI165">
        <v>158</v>
      </c>
      <c r="AJ165">
        <v>33</v>
      </c>
      <c r="AK165">
        <v>0</v>
      </c>
      <c r="AL165">
        <v>136</v>
      </c>
      <c r="AM165">
        <v>84</v>
      </c>
      <c r="AN165">
        <v>0</v>
      </c>
      <c r="AO165">
        <v>214</v>
      </c>
      <c r="AP165">
        <v>63</v>
      </c>
      <c r="AQ165">
        <v>0</v>
      </c>
      <c r="AR165">
        <v>163</v>
      </c>
      <c r="AS165">
        <v>86</v>
      </c>
      <c r="AT165">
        <v>0</v>
      </c>
      <c r="AU165">
        <v>76</v>
      </c>
      <c r="AV165">
        <v>71</v>
      </c>
      <c r="AW165">
        <v>0</v>
      </c>
      <c r="AX165">
        <v>160</v>
      </c>
      <c r="AY165">
        <v>83</v>
      </c>
      <c r="AZ165">
        <v>0</v>
      </c>
      <c r="BA165">
        <v>147</v>
      </c>
      <c r="BB165">
        <v>88</v>
      </c>
      <c r="BC165">
        <v>0</v>
      </c>
      <c r="BD165">
        <v>165</v>
      </c>
      <c r="BE165">
        <v>68</v>
      </c>
      <c r="BF165">
        <v>0</v>
      </c>
      <c r="BG165">
        <v>158</v>
      </c>
      <c r="BH165">
        <v>33</v>
      </c>
      <c r="BI165">
        <v>0</v>
      </c>
      <c r="BJ165">
        <v>214</v>
      </c>
      <c r="BK165">
        <v>12</v>
      </c>
      <c r="BL165">
        <v>0</v>
      </c>
      <c r="BM165">
        <v>224</v>
      </c>
      <c r="BN165">
        <v>58</v>
      </c>
      <c r="BO165">
        <v>0</v>
      </c>
      <c r="BP165">
        <v>184</v>
      </c>
      <c r="BQ165">
        <v>76</v>
      </c>
      <c r="BR165">
        <v>0</v>
      </c>
      <c r="BS165">
        <v>178</v>
      </c>
      <c r="BT165">
        <v>54</v>
      </c>
      <c r="BU165">
        <v>0</v>
      </c>
      <c r="BV165">
        <v>167</v>
      </c>
      <c r="BW165">
        <v>48</v>
      </c>
      <c r="BX165">
        <v>0</v>
      </c>
      <c r="BY165">
        <v>192</v>
      </c>
      <c r="BZ165">
        <v>66</v>
      </c>
      <c r="CA165">
        <v>0</v>
      </c>
      <c r="CB165">
        <v>175</v>
      </c>
      <c r="CC165">
        <v>71</v>
      </c>
      <c r="CD165">
        <v>0</v>
      </c>
      <c r="CE165">
        <v>156</v>
      </c>
      <c r="CF165">
        <v>43</v>
      </c>
      <c r="CG165">
        <v>0</v>
      </c>
      <c r="CH165">
        <v>200</v>
      </c>
      <c r="CI165">
        <v>54</v>
      </c>
      <c r="CJ165">
        <v>0</v>
      </c>
      <c r="CK165">
        <v>138</v>
      </c>
      <c r="CL165">
        <v>17</v>
      </c>
      <c r="CM165">
        <v>0</v>
      </c>
      <c r="CN165">
        <v>186</v>
      </c>
      <c r="CO165">
        <v>62</v>
      </c>
      <c r="CP165">
        <v>0</v>
      </c>
      <c r="CQ165">
        <v>95</v>
      </c>
      <c r="CR165">
        <v>40</v>
      </c>
      <c r="CS165">
        <v>0</v>
      </c>
      <c r="CT165">
        <v>101</v>
      </c>
      <c r="CU165">
        <v>42</v>
      </c>
      <c r="CV165">
        <v>0</v>
      </c>
      <c r="CW165">
        <v>193</v>
      </c>
      <c r="CX165">
        <v>53</v>
      </c>
      <c r="CY165">
        <v>0</v>
      </c>
      <c r="CZ165">
        <v>194</v>
      </c>
      <c r="DA165">
        <v>72</v>
      </c>
      <c r="DB165">
        <v>0</v>
      </c>
      <c r="DC165">
        <v>141</v>
      </c>
      <c r="DD165">
        <v>38</v>
      </c>
      <c r="DE165">
        <v>0</v>
      </c>
      <c r="DF165">
        <v>185</v>
      </c>
      <c r="DG165">
        <v>72</v>
      </c>
      <c r="DH165">
        <v>0</v>
      </c>
      <c r="DI165">
        <v>141</v>
      </c>
      <c r="DJ165">
        <v>55</v>
      </c>
      <c r="DK165">
        <v>0</v>
      </c>
      <c r="DL165">
        <v>168</v>
      </c>
      <c r="DM165">
        <v>86</v>
      </c>
      <c r="DN165">
        <v>0</v>
      </c>
      <c r="DO165">
        <v>191</v>
      </c>
      <c r="DP165">
        <v>66</v>
      </c>
      <c r="DQ165">
        <v>0</v>
      </c>
      <c r="DR165">
        <v>142</v>
      </c>
      <c r="DS165">
        <v>28</v>
      </c>
      <c r="DT165">
        <v>0</v>
      </c>
      <c r="DU165">
        <v>177</v>
      </c>
      <c r="DV165">
        <v>61</v>
      </c>
      <c r="DW165">
        <v>0</v>
      </c>
      <c r="DX165">
        <v>198</v>
      </c>
      <c r="DY165">
        <v>69</v>
      </c>
      <c r="DZ165">
        <v>0</v>
      </c>
    </row>
    <row r="166" spans="2:130" hidden="1">
      <c r="B166" s="1332">
        <f t="shared" si="3"/>
        <v>13.1</v>
      </c>
      <c r="C166" s="1332">
        <f t="shared" si="4"/>
        <v>77</v>
      </c>
      <c r="D166" s="1332">
        <f t="shared" si="5"/>
        <v>0</v>
      </c>
      <c r="F166">
        <v>6571</v>
      </c>
      <c r="G166">
        <v>39</v>
      </c>
      <c r="H166">
        <v>1</v>
      </c>
      <c r="I166">
        <v>19</v>
      </c>
      <c r="J166">
        <v>10</v>
      </c>
      <c r="K166">
        <v>131</v>
      </c>
      <c r="L166">
        <v>77</v>
      </c>
      <c r="M166">
        <v>0</v>
      </c>
      <c r="N166">
        <v>150</v>
      </c>
      <c r="O166">
        <v>91</v>
      </c>
      <c r="P166">
        <v>0</v>
      </c>
      <c r="Q166">
        <v>196</v>
      </c>
      <c r="R166">
        <v>49</v>
      </c>
      <c r="S166">
        <v>0</v>
      </c>
      <c r="T166">
        <v>193</v>
      </c>
      <c r="U166">
        <v>65</v>
      </c>
      <c r="V166">
        <v>0</v>
      </c>
      <c r="W166">
        <v>161</v>
      </c>
      <c r="X166">
        <v>73</v>
      </c>
      <c r="Y166">
        <v>0</v>
      </c>
      <c r="Z166">
        <v>168</v>
      </c>
      <c r="AA166">
        <v>79</v>
      </c>
      <c r="AB166">
        <v>0</v>
      </c>
      <c r="AC166">
        <v>162</v>
      </c>
      <c r="AD166">
        <v>76</v>
      </c>
      <c r="AE166">
        <v>0</v>
      </c>
      <c r="AF166">
        <v>113</v>
      </c>
      <c r="AG166">
        <v>65</v>
      </c>
      <c r="AH166">
        <v>0</v>
      </c>
      <c r="AI166">
        <v>147</v>
      </c>
      <c r="AJ166">
        <v>32</v>
      </c>
      <c r="AK166">
        <v>0</v>
      </c>
      <c r="AL166">
        <v>134</v>
      </c>
      <c r="AM166">
        <v>82</v>
      </c>
      <c r="AN166">
        <v>0</v>
      </c>
      <c r="AO166">
        <v>198</v>
      </c>
      <c r="AP166">
        <v>72</v>
      </c>
      <c r="AQ166">
        <v>0</v>
      </c>
      <c r="AR166">
        <v>154</v>
      </c>
      <c r="AS166">
        <v>89</v>
      </c>
      <c r="AT166">
        <v>0</v>
      </c>
      <c r="AU166">
        <v>76</v>
      </c>
      <c r="AV166">
        <v>69</v>
      </c>
      <c r="AW166">
        <v>0</v>
      </c>
      <c r="AX166">
        <v>159</v>
      </c>
      <c r="AY166">
        <v>81</v>
      </c>
      <c r="AZ166">
        <v>0</v>
      </c>
      <c r="BA166">
        <v>145</v>
      </c>
      <c r="BB166">
        <v>89</v>
      </c>
      <c r="BC166">
        <v>0</v>
      </c>
      <c r="BD166">
        <v>142</v>
      </c>
      <c r="BE166">
        <v>77</v>
      </c>
      <c r="BF166">
        <v>0</v>
      </c>
      <c r="BG166">
        <v>147</v>
      </c>
      <c r="BH166">
        <v>32</v>
      </c>
      <c r="BI166">
        <v>0</v>
      </c>
      <c r="BJ166">
        <v>197</v>
      </c>
      <c r="BK166">
        <v>15</v>
      </c>
      <c r="BL166">
        <v>0</v>
      </c>
      <c r="BM166">
        <v>204</v>
      </c>
      <c r="BN166">
        <v>68</v>
      </c>
      <c r="BO166">
        <v>0</v>
      </c>
      <c r="BP166">
        <v>161</v>
      </c>
      <c r="BQ166">
        <v>82</v>
      </c>
      <c r="BR166">
        <v>0</v>
      </c>
      <c r="BS166">
        <v>149</v>
      </c>
      <c r="BT166">
        <v>68</v>
      </c>
      <c r="BU166">
        <v>0</v>
      </c>
      <c r="BV166">
        <v>163</v>
      </c>
      <c r="BW166">
        <v>48</v>
      </c>
      <c r="BX166">
        <v>0</v>
      </c>
      <c r="BY166">
        <v>197</v>
      </c>
      <c r="BZ166">
        <v>61</v>
      </c>
      <c r="CA166">
        <v>0</v>
      </c>
      <c r="CB166">
        <v>166</v>
      </c>
      <c r="CC166">
        <v>73</v>
      </c>
      <c r="CD166">
        <v>0</v>
      </c>
      <c r="CE166">
        <v>146</v>
      </c>
      <c r="CF166">
        <v>46</v>
      </c>
      <c r="CG166">
        <v>0</v>
      </c>
      <c r="CH166">
        <v>182</v>
      </c>
      <c r="CI166">
        <v>64</v>
      </c>
      <c r="CJ166">
        <v>0</v>
      </c>
      <c r="CK166">
        <v>131</v>
      </c>
      <c r="CL166">
        <v>16</v>
      </c>
      <c r="CM166">
        <v>0</v>
      </c>
      <c r="CN166">
        <v>174</v>
      </c>
      <c r="CO166">
        <v>68</v>
      </c>
      <c r="CP166">
        <v>0</v>
      </c>
      <c r="CQ166">
        <v>53</v>
      </c>
      <c r="CR166">
        <v>58</v>
      </c>
      <c r="CS166">
        <v>0</v>
      </c>
      <c r="CT166">
        <v>99</v>
      </c>
      <c r="CU166">
        <v>45</v>
      </c>
      <c r="CV166">
        <v>0</v>
      </c>
      <c r="CW166">
        <v>185</v>
      </c>
      <c r="CX166">
        <v>52</v>
      </c>
      <c r="CY166">
        <v>0</v>
      </c>
      <c r="CZ166">
        <v>172</v>
      </c>
      <c r="DA166">
        <v>83</v>
      </c>
      <c r="DB166">
        <v>0</v>
      </c>
      <c r="DC166">
        <v>137</v>
      </c>
      <c r="DD166">
        <v>42</v>
      </c>
      <c r="DE166">
        <v>0</v>
      </c>
      <c r="DF166">
        <v>166</v>
      </c>
      <c r="DG166">
        <v>77</v>
      </c>
      <c r="DH166">
        <v>0</v>
      </c>
      <c r="DI166">
        <v>141</v>
      </c>
      <c r="DJ166">
        <v>53</v>
      </c>
      <c r="DK166">
        <v>0</v>
      </c>
      <c r="DL166">
        <v>159</v>
      </c>
      <c r="DM166">
        <v>86</v>
      </c>
      <c r="DN166">
        <v>0</v>
      </c>
      <c r="DO166">
        <v>164</v>
      </c>
      <c r="DP166">
        <v>82</v>
      </c>
      <c r="DQ166">
        <v>0</v>
      </c>
      <c r="DR166">
        <v>138</v>
      </c>
      <c r="DS166">
        <v>28</v>
      </c>
      <c r="DT166">
        <v>0</v>
      </c>
      <c r="DU166">
        <v>169</v>
      </c>
      <c r="DV166">
        <v>66</v>
      </c>
      <c r="DW166">
        <v>0</v>
      </c>
      <c r="DX166">
        <v>190</v>
      </c>
      <c r="DY166">
        <v>66</v>
      </c>
      <c r="DZ166">
        <v>0</v>
      </c>
    </row>
    <row r="167" spans="2:130" hidden="1">
      <c r="B167" s="1332">
        <f t="shared" si="3"/>
        <v>13</v>
      </c>
      <c r="C167" s="1332">
        <f t="shared" si="4"/>
        <v>76</v>
      </c>
      <c r="D167" s="1332">
        <f t="shared" si="5"/>
        <v>0</v>
      </c>
      <c r="F167">
        <v>6572</v>
      </c>
      <c r="G167">
        <v>39</v>
      </c>
      <c r="H167">
        <v>1</v>
      </c>
      <c r="I167">
        <v>20</v>
      </c>
      <c r="J167">
        <v>10</v>
      </c>
      <c r="K167">
        <v>130</v>
      </c>
      <c r="L167">
        <v>76</v>
      </c>
      <c r="M167">
        <v>0</v>
      </c>
      <c r="N167">
        <v>144</v>
      </c>
      <c r="O167">
        <v>92</v>
      </c>
      <c r="P167">
        <v>0</v>
      </c>
      <c r="Q167">
        <v>202</v>
      </c>
      <c r="R167">
        <v>44</v>
      </c>
      <c r="S167">
        <v>0</v>
      </c>
      <c r="T167">
        <v>186</v>
      </c>
      <c r="U167">
        <v>68</v>
      </c>
      <c r="V167">
        <v>0</v>
      </c>
      <c r="W167">
        <v>141</v>
      </c>
      <c r="X167">
        <v>81</v>
      </c>
      <c r="Y167">
        <v>0</v>
      </c>
      <c r="Z167">
        <v>158</v>
      </c>
      <c r="AA167">
        <v>83</v>
      </c>
      <c r="AB167">
        <v>0</v>
      </c>
      <c r="AC167">
        <v>186</v>
      </c>
      <c r="AD167">
        <v>55</v>
      </c>
      <c r="AE167">
        <v>0</v>
      </c>
      <c r="AF167">
        <v>103</v>
      </c>
      <c r="AG167">
        <v>66</v>
      </c>
      <c r="AH167">
        <v>0</v>
      </c>
      <c r="AI167">
        <v>136</v>
      </c>
      <c r="AJ167">
        <v>34</v>
      </c>
      <c r="AK167">
        <v>0</v>
      </c>
      <c r="AL167">
        <v>126</v>
      </c>
      <c r="AM167">
        <v>83</v>
      </c>
      <c r="AN167">
        <v>0</v>
      </c>
      <c r="AO167">
        <v>190</v>
      </c>
      <c r="AP167">
        <v>75</v>
      </c>
      <c r="AQ167">
        <v>0</v>
      </c>
      <c r="AR167">
        <v>144</v>
      </c>
      <c r="AS167">
        <v>93</v>
      </c>
      <c r="AT167">
        <v>0</v>
      </c>
      <c r="AU167">
        <v>72</v>
      </c>
      <c r="AV167">
        <v>73</v>
      </c>
      <c r="AW167">
        <v>0</v>
      </c>
      <c r="AX167">
        <v>143</v>
      </c>
      <c r="AY167">
        <v>86</v>
      </c>
      <c r="AZ167">
        <v>0</v>
      </c>
      <c r="BA167">
        <v>138</v>
      </c>
      <c r="BB167">
        <v>89</v>
      </c>
      <c r="BC167">
        <v>0</v>
      </c>
      <c r="BD167">
        <v>125</v>
      </c>
      <c r="BE167">
        <v>80</v>
      </c>
      <c r="BF167">
        <v>0</v>
      </c>
      <c r="BG167">
        <v>149</v>
      </c>
      <c r="BH167">
        <v>32</v>
      </c>
      <c r="BI167">
        <v>0</v>
      </c>
      <c r="BJ167">
        <v>184</v>
      </c>
      <c r="BK167">
        <v>18</v>
      </c>
      <c r="BL167">
        <v>0</v>
      </c>
      <c r="BM167">
        <v>193</v>
      </c>
      <c r="BN167">
        <v>66</v>
      </c>
      <c r="BO167">
        <v>0</v>
      </c>
      <c r="BP167">
        <v>152</v>
      </c>
      <c r="BQ167">
        <v>86</v>
      </c>
      <c r="BR167">
        <v>0</v>
      </c>
      <c r="BS167">
        <v>142</v>
      </c>
      <c r="BT167">
        <v>70</v>
      </c>
      <c r="BU167">
        <v>0</v>
      </c>
      <c r="BV167">
        <v>147</v>
      </c>
      <c r="BW167">
        <v>50</v>
      </c>
      <c r="BX167">
        <v>0</v>
      </c>
      <c r="BY167">
        <v>200</v>
      </c>
      <c r="BZ167">
        <v>57</v>
      </c>
      <c r="CA167">
        <v>0</v>
      </c>
      <c r="CB167">
        <v>166</v>
      </c>
      <c r="CC167">
        <v>70</v>
      </c>
      <c r="CD167">
        <v>0</v>
      </c>
      <c r="CE167">
        <v>138</v>
      </c>
      <c r="CF167">
        <v>49</v>
      </c>
      <c r="CG167">
        <v>0</v>
      </c>
      <c r="CH167">
        <v>174</v>
      </c>
      <c r="CI167">
        <v>64</v>
      </c>
      <c r="CJ167">
        <v>0</v>
      </c>
      <c r="CK167">
        <v>122</v>
      </c>
      <c r="CL167">
        <v>16</v>
      </c>
      <c r="CM167">
        <v>0</v>
      </c>
      <c r="CN167">
        <v>168</v>
      </c>
      <c r="CO167">
        <v>70</v>
      </c>
      <c r="CP167">
        <v>0</v>
      </c>
      <c r="CQ167">
        <v>18</v>
      </c>
      <c r="CR167">
        <v>70</v>
      </c>
      <c r="CS167">
        <v>0</v>
      </c>
      <c r="CT167">
        <v>95</v>
      </c>
      <c r="CU167">
        <v>47</v>
      </c>
      <c r="CV167">
        <v>0</v>
      </c>
      <c r="CW167">
        <v>182</v>
      </c>
      <c r="CX167">
        <v>51</v>
      </c>
      <c r="CY167">
        <v>0</v>
      </c>
      <c r="CZ167">
        <v>160</v>
      </c>
      <c r="DA167">
        <v>88</v>
      </c>
      <c r="DB167">
        <v>0</v>
      </c>
      <c r="DC167">
        <v>131</v>
      </c>
      <c r="DD167">
        <v>46</v>
      </c>
      <c r="DE167">
        <v>0</v>
      </c>
      <c r="DF167">
        <v>157</v>
      </c>
      <c r="DG167">
        <v>77</v>
      </c>
      <c r="DH167">
        <v>0</v>
      </c>
      <c r="DI167">
        <v>121</v>
      </c>
      <c r="DJ167">
        <v>68</v>
      </c>
      <c r="DK167">
        <v>0</v>
      </c>
      <c r="DL167">
        <v>141</v>
      </c>
      <c r="DM167">
        <v>92</v>
      </c>
      <c r="DN167">
        <v>0</v>
      </c>
      <c r="DO167">
        <v>151</v>
      </c>
      <c r="DP167">
        <v>89</v>
      </c>
      <c r="DQ167">
        <v>0</v>
      </c>
      <c r="DR167">
        <v>131</v>
      </c>
      <c r="DS167">
        <v>31</v>
      </c>
      <c r="DT167">
        <v>0</v>
      </c>
      <c r="DU167">
        <v>167</v>
      </c>
      <c r="DV167">
        <v>68</v>
      </c>
      <c r="DW167">
        <v>0</v>
      </c>
      <c r="DX167">
        <v>193</v>
      </c>
      <c r="DY167">
        <v>61</v>
      </c>
      <c r="DZ167">
        <v>0</v>
      </c>
    </row>
    <row r="168" spans="2:130" hidden="1">
      <c r="B168" s="1332">
        <f t="shared" si="3"/>
        <v>12.9</v>
      </c>
      <c r="C168" s="1332">
        <f t="shared" si="4"/>
        <v>74</v>
      </c>
      <c r="D168" s="1332">
        <f t="shared" si="5"/>
        <v>0</v>
      </c>
      <c r="F168">
        <v>6573</v>
      </c>
      <c r="G168">
        <v>39</v>
      </c>
      <c r="H168">
        <v>1</v>
      </c>
      <c r="I168">
        <v>21</v>
      </c>
      <c r="J168">
        <v>10</v>
      </c>
      <c r="K168">
        <v>129</v>
      </c>
      <c r="L168">
        <v>74</v>
      </c>
      <c r="M168">
        <v>0</v>
      </c>
      <c r="N168">
        <v>138</v>
      </c>
      <c r="O168">
        <v>92</v>
      </c>
      <c r="P168">
        <v>0</v>
      </c>
      <c r="Q168">
        <v>215</v>
      </c>
      <c r="R168">
        <v>39</v>
      </c>
      <c r="S168">
        <v>0</v>
      </c>
      <c r="T168">
        <v>181</v>
      </c>
      <c r="U168">
        <v>70</v>
      </c>
      <c r="V168">
        <v>0</v>
      </c>
      <c r="W168">
        <v>129</v>
      </c>
      <c r="X168">
        <v>85</v>
      </c>
      <c r="Y168">
        <v>0</v>
      </c>
      <c r="Z168">
        <v>150</v>
      </c>
      <c r="AA168">
        <v>86</v>
      </c>
      <c r="AB168">
        <v>0</v>
      </c>
      <c r="AC168">
        <v>191</v>
      </c>
      <c r="AD168">
        <v>49</v>
      </c>
      <c r="AE168">
        <v>0</v>
      </c>
      <c r="AF168">
        <v>94</v>
      </c>
      <c r="AG168">
        <v>70</v>
      </c>
      <c r="AH168">
        <v>0</v>
      </c>
      <c r="AI168">
        <v>126</v>
      </c>
      <c r="AJ168">
        <v>35</v>
      </c>
      <c r="AK168">
        <v>0</v>
      </c>
      <c r="AL168">
        <v>120</v>
      </c>
      <c r="AM168">
        <v>83</v>
      </c>
      <c r="AN168">
        <v>0</v>
      </c>
      <c r="AO168">
        <v>185</v>
      </c>
      <c r="AP168">
        <v>77</v>
      </c>
      <c r="AQ168">
        <v>0</v>
      </c>
      <c r="AR168">
        <v>137</v>
      </c>
      <c r="AS168">
        <v>95</v>
      </c>
      <c r="AT168">
        <v>0</v>
      </c>
      <c r="AU168">
        <v>72</v>
      </c>
      <c r="AV168">
        <v>73</v>
      </c>
      <c r="AW168">
        <v>0</v>
      </c>
      <c r="AX168">
        <v>145</v>
      </c>
      <c r="AY168">
        <v>89</v>
      </c>
      <c r="AZ168">
        <v>0</v>
      </c>
      <c r="BA168">
        <v>128</v>
      </c>
      <c r="BB168">
        <v>90</v>
      </c>
      <c r="BC168">
        <v>0</v>
      </c>
      <c r="BD168">
        <v>132</v>
      </c>
      <c r="BE168">
        <v>67</v>
      </c>
      <c r="BF168">
        <v>0</v>
      </c>
      <c r="BG168">
        <v>144</v>
      </c>
      <c r="BH168">
        <v>36</v>
      </c>
      <c r="BI168">
        <v>0</v>
      </c>
      <c r="BJ168">
        <v>173</v>
      </c>
      <c r="BK168">
        <v>20</v>
      </c>
      <c r="BL168">
        <v>0</v>
      </c>
      <c r="BM168">
        <v>185</v>
      </c>
      <c r="BN168">
        <v>63</v>
      </c>
      <c r="BO168">
        <v>0</v>
      </c>
      <c r="BP168">
        <v>145</v>
      </c>
      <c r="BQ168">
        <v>88</v>
      </c>
      <c r="BR168">
        <v>0</v>
      </c>
      <c r="BS168">
        <v>128</v>
      </c>
      <c r="BT168">
        <v>77</v>
      </c>
      <c r="BU168">
        <v>0</v>
      </c>
      <c r="BV168">
        <v>137</v>
      </c>
      <c r="BW168">
        <v>50</v>
      </c>
      <c r="BX168">
        <v>0</v>
      </c>
      <c r="BY168">
        <v>197</v>
      </c>
      <c r="BZ168">
        <v>58</v>
      </c>
      <c r="CA168">
        <v>0</v>
      </c>
      <c r="CB168">
        <v>153</v>
      </c>
      <c r="CC168">
        <v>74</v>
      </c>
      <c r="CD168">
        <v>0</v>
      </c>
      <c r="CE168">
        <v>127</v>
      </c>
      <c r="CF168">
        <v>53</v>
      </c>
      <c r="CG168">
        <v>0</v>
      </c>
      <c r="CH168">
        <v>167</v>
      </c>
      <c r="CI168">
        <v>66</v>
      </c>
      <c r="CJ168">
        <v>0</v>
      </c>
      <c r="CK168">
        <v>109</v>
      </c>
      <c r="CL168">
        <v>19</v>
      </c>
      <c r="CM168">
        <v>0</v>
      </c>
      <c r="CN168">
        <v>160</v>
      </c>
      <c r="CO168">
        <v>73</v>
      </c>
      <c r="CP168">
        <v>0</v>
      </c>
      <c r="CQ168">
        <v>6</v>
      </c>
      <c r="CR168">
        <v>76</v>
      </c>
      <c r="CS168">
        <v>0</v>
      </c>
      <c r="CT168">
        <v>87</v>
      </c>
      <c r="CU168">
        <v>52</v>
      </c>
      <c r="CV168">
        <v>0</v>
      </c>
      <c r="CW168">
        <v>181</v>
      </c>
      <c r="CX168">
        <v>51</v>
      </c>
      <c r="CY168">
        <v>0</v>
      </c>
      <c r="CZ168">
        <v>150</v>
      </c>
      <c r="DA168">
        <v>93</v>
      </c>
      <c r="DB168">
        <v>0</v>
      </c>
      <c r="DC168">
        <v>125</v>
      </c>
      <c r="DD168">
        <v>50</v>
      </c>
      <c r="DE168">
        <v>0</v>
      </c>
      <c r="DF168">
        <v>142</v>
      </c>
      <c r="DG168">
        <v>84</v>
      </c>
      <c r="DH168">
        <v>0</v>
      </c>
      <c r="DI168">
        <v>110</v>
      </c>
      <c r="DJ168">
        <v>77</v>
      </c>
      <c r="DK168">
        <v>0</v>
      </c>
      <c r="DL168">
        <v>182</v>
      </c>
      <c r="DM168">
        <v>63</v>
      </c>
      <c r="DN168">
        <v>0</v>
      </c>
      <c r="DO168">
        <v>141</v>
      </c>
      <c r="DP168">
        <v>92</v>
      </c>
      <c r="DQ168">
        <v>0</v>
      </c>
      <c r="DR168">
        <v>113</v>
      </c>
      <c r="DS168">
        <v>37</v>
      </c>
      <c r="DT168">
        <v>0</v>
      </c>
      <c r="DU168">
        <v>160</v>
      </c>
      <c r="DV168">
        <v>70</v>
      </c>
      <c r="DW168">
        <v>0</v>
      </c>
      <c r="DX168">
        <v>181</v>
      </c>
      <c r="DY168">
        <v>66</v>
      </c>
      <c r="DZ168">
        <v>0</v>
      </c>
    </row>
    <row r="169" spans="2:130" hidden="1">
      <c r="B169" s="1332">
        <f t="shared" si="3"/>
        <v>12.5</v>
      </c>
      <c r="C169" s="1332">
        <f t="shared" si="4"/>
        <v>75</v>
      </c>
      <c r="D169" s="1332">
        <f t="shared" si="5"/>
        <v>0</v>
      </c>
      <c r="F169">
        <v>6574</v>
      </c>
      <c r="G169">
        <v>39</v>
      </c>
      <c r="H169">
        <v>1</v>
      </c>
      <c r="I169">
        <v>22</v>
      </c>
      <c r="J169">
        <v>10</v>
      </c>
      <c r="K169">
        <v>125</v>
      </c>
      <c r="L169">
        <v>75</v>
      </c>
      <c r="M169">
        <v>0</v>
      </c>
      <c r="N169">
        <v>137</v>
      </c>
      <c r="O169">
        <v>91</v>
      </c>
      <c r="P169">
        <v>0</v>
      </c>
      <c r="Q169">
        <v>216</v>
      </c>
      <c r="R169">
        <v>38</v>
      </c>
      <c r="S169">
        <v>0</v>
      </c>
      <c r="T169">
        <v>175</v>
      </c>
      <c r="U169">
        <v>73</v>
      </c>
      <c r="V169">
        <v>0</v>
      </c>
      <c r="W169">
        <v>126</v>
      </c>
      <c r="X169">
        <v>84</v>
      </c>
      <c r="Y169">
        <v>0</v>
      </c>
      <c r="Z169">
        <v>147</v>
      </c>
      <c r="AA169">
        <v>85</v>
      </c>
      <c r="AB169">
        <v>0</v>
      </c>
      <c r="AC169">
        <v>186</v>
      </c>
      <c r="AD169">
        <v>50</v>
      </c>
      <c r="AE169">
        <v>0</v>
      </c>
      <c r="AF169">
        <v>89</v>
      </c>
      <c r="AG169">
        <v>70</v>
      </c>
      <c r="AH169">
        <v>0</v>
      </c>
      <c r="AI169">
        <v>126</v>
      </c>
      <c r="AJ169">
        <v>34</v>
      </c>
      <c r="AK169">
        <v>0</v>
      </c>
      <c r="AL169">
        <v>117</v>
      </c>
      <c r="AM169">
        <v>83</v>
      </c>
      <c r="AN169">
        <v>0</v>
      </c>
      <c r="AO169">
        <v>177</v>
      </c>
      <c r="AP169">
        <v>81</v>
      </c>
      <c r="AQ169">
        <v>0</v>
      </c>
      <c r="AR169">
        <v>131</v>
      </c>
      <c r="AS169">
        <v>97</v>
      </c>
      <c r="AT169">
        <v>0</v>
      </c>
      <c r="AU169">
        <v>81</v>
      </c>
      <c r="AV169">
        <v>55</v>
      </c>
      <c r="AW169">
        <v>0</v>
      </c>
      <c r="AX169">
        <v>136</v>
      </c>
      <c r="AY169">
        <v>92</v>
      </c>
      <c r="AZ169">
        <v>0</v>
      </c>
      <c r="BA169">
        <v>119</v>
      </c>
      <c r="BB169">
        <v>91</v>
      </c>
      <c r="BC169">
        <v>0</v>
      </c>
      <c r="BD169">
        <v>125</v>
      </c>
      <c r="BE169">
        <v>66</v>
      </c>
      <c r="BF169">
        <v>0</v>
      </c>
      <c r="BG169">
        <v>137</v>
      </c>
      <c r="BH169">
        <v>42</v>
      </c>
      <c r="BI169">
        <v>0</v>
      </c>
      <c r="BJ169">
        <v>166</v>
      </c>
      <c r="BK169">
        <v>21</v>
      </c>
      <c r="BL169">
        <v>0</v>
      </c>
      <c r="BM169">
        <v>202</v>
      </c>
      <c r="BN169">
        <v>41</v>
      </c>
      <c r="BO169">
        <v>0</v>
      </c>
      <c r="BP169">
        <v>136</v>
      </c>
      <c r="BQ169">
        <v>90</v>
      </c>
      <c r="BR169">
        <v>0</v>
      </c>
      <c r="BS169">
        <v>120</v>
      </c>
      <c r="BT169">
        <v>81</v>
      </c>
      <c r="BU169">
        <v>0</v>
      </c>
      <c r="BV169">
        <v>134</v>
      </c>
      <c r="BW169">
        <v>52</v>
      </c>
      <c r="BX169">
        <v>0</v>
      </c>
      <c r="BY169">
        <v>189</v>
      </c>
      <c r="BZ169">
        <v>63</v>
      </c>
      <c r="CA169">
        <v>0</v>
      </c>
      <c r="CB169">
        <v>135</v>
      </c>
      <c r="CC169">
        <v>81</v>
      </c>
      <c r="CD169">
        <v>0</v>
      </c>
      <c r="CE169">
        <v>115</v>
      </c>
      <c r="CF169">
        <v>57</v>
      </c>
      <c r="CG169">
        <v>0</v>
      </c>
      <c r="CH169">
        <v>165</v>
      </c>
      <c r="CI169">
        <v>68</v>
      </c>
      <c r="CJ169">
        <v>0</v>
      </c>
      <c r="CK169">
        <v>105</v>
      </c>
      <c r="CL169">
        <v>20</v>
      </c>
      <c r="CM169">
        <v>0</v>
      </c>
      <c r="CN169">
        <v>162</v>
      </c>
      <c r="CO169">
        <v>73</v>
      </c>
      <c r="CP169">
        <v>0</v>
      </c>
      <c r="CQ169">
        <v>-3</v>
      </c>
      <c r="CR169">
        <v>78</v>
      </c>
      <c r="CS169">
        <v>0</v>
      </c>
      <c r="CT169">
        <v>83</v>
      </c>
      <c r="CU169">
        <v>53</v>
      </c>
      <c r="CV169">
        <v>0</v>
      </c>
      <c r="CW169">
        <v>199</v>
      </c>
      <c r="CX169">
        <v>42</v>
      </c>
      <c r="CY169">
        <v>0</v>
      </c>
      <c r="CZ169">
        <v>145</v>
      </c>
      <c r="DA169">
        <v>93</v>
      </c>
      <c r="DB169">
        <v>0</v>
      </c>
      <c r="DC169">
        <v>115</v>
      </c>
      <c r="DD169">
        <v>57</v>
      </c>
      <c r="DE169">
        <v>0</v>
      </c>
      <c r="DF169">
        <v>136</v>
      </c>
      <c r="DG169">
        <v>86</v>
      </c>
      <c r="DH169">
        <v>0</v>
      </c>
      <c r="DI169">
        <v>107</v>
      </c>
      <c r="DJ169">
        <v>79</v>
      </c>
      <c r="DK169">
        <v>0</v>
      </c>
      <c r="DL169">
        <v>194</v>
      </c>
      <c r="DM169">
        <v>52</v>
      </c>
      <c r="DN169">
        <v>0</v>
      </c>
      <c r="DO169">
        <v>132</v>
      </c>
      <c r="DP169">
        <v>95</v>
      </c>
      <c r="DQ169">
        <v>0</v>
      </c>
      <c r="DR169">
        <v>103</v>
      </c>
      <c r="DS169">
        <v>41</v>
      </c>
      <c r="DT169">
        <v>0</v>
      </c>
      <c r="DU169">
        <v>151</v>
      </c>
      <c r="DV169">
        <v>74</v>
      </c>
      <c r="DW169">
        <v>0</v>
      </c>
      <c r="DX169">
        <v>178</v>
      </c>
      <c r="DY169">
        <v>66</v>
      </c>
      <c r="DZ169">
        <v>0</v>
      </c>
    </row>
    <row r="170" spans="2:130" hidden="1">
      <c r="B170" s="1332">
        <f t="shared" si="3"/>
        <v>11.2</v>
      </c>
      <c r="C170" s="1332">
        <f t="shared" si="4"/>
        <v>80</v>
      </c>
      <c r="D170" s="1332">
        <f t="shared" si="5"/>
        <v>0</v>
      </c>
      <c r="F170">
        <v>6575</v>
      </c>
      <c r="G170">
        <v>39</v>
      </c>
      <c r="H170">
        <v>1</v>
      </c>
      <c r="I170">
        <v>23</v>
      </c>
      <c r="J170">
        <v>10</v>
      </c>
      <c r="K170">
        <v>112</v>
      </c>
      <c r="L170">
        <v>80</v>
      </c>
      <c r="M170">
        <v>0</v>
      </c>
      <c r="N170">
        <v>136</v>
      </c>
      <c r="O170">
        <v>91</v>
      </c>
      <c r="P170">
        <v>0</v>
      </c>
      <c r="Q170">
        <v>200</v>
      </c>
      <c r="R170">
        <v>47</v>
      </c>
      <c r="S170">
        <v>0</v>
      </c>
      <c r="T170">
        <v>170</v>
      </c>
      <c r="U170">
        <v>75</v>
      </c>
      <c r="V170">
        <v>0</v>
      </c>
      <c r="W170">
        <v>118</v>
      </c>
      <c r="X170">
        <v>86</v>
      </c>
      <c r="Y170">
        <v>0</v>
      </c>
      <c r="Z170">
        <v>142</v>
      </c>
      <c r="AA170">
        <v>86</v>
      </c>
      <c r="AB170">
        <v>0</v>
      </c>
      <c r="AC170">
        <v>182</v>
      </c>
      <c r="AD170">
        <v>50</v>
      </c>
      <c r="AE170">
        <v>0</v>
      </c>
      <c r="AF170">
        <v>82</v>
      </c>
      <c r="AG170">
        <v>72</v>
      </c>
      <c r="AH170">
        <v>0</v>
      </c>
      <c r="AI170">
        <v>114</v>
      </c>
      <c r="AJ170">
        <v>34</v>
      </c>
      <c r="AK170">
        <v>0</v>
      </c>
      <c r="AL170">
        <v>114</v>
      </c>
      <c r="AM170">
        <v>84</v>
      </c>
      <c r="AN170">
        <v>0</v>
      </c>
      <c r="AO170">
        <v>180</v>
      </c>
      <c r="AP170">
        <v>80</v>
      </c>
      <c r="AQ170">
        <v>0</v>
      </c>
      <c r="AR170">
        <v>127</v>
      </c>
      <c r="AS170">
        <v>97</v>
      </c>
      <c r="AT170">
        <v>0</v>
      </c>
      <c r="AU170">
        <v>75</v>
      </c>
      <c r="AV170">
        <v>60</v>
      </c>
      <c r="AW170">
        <v>0</v>
      </c>
      <c r="AX170">
        <v>131</v>
      </c>
      <c r="AY170">
        <v>94</v>
      </c>
      <c r="AZ170">
        <v>0</v>
      </c>
      <c r="BA170">
        <v>117</v>
      </c>
      <c r="BB170">
        <v>91</v>
      </c>
      <c r="BC170">
        <v>0</v>
      </c>
      <c r="BD170">
        <v>125</v>
      </c>
      <c r="BE170">
        <v>66</v>
      </c>
      <c r="BF170">
        <v>0</v>
      </c>
      <c r="BG170">
        <v>135</v>
      </c>
      <c r="BH170">
        <v>42</v>
      </c>
      <c r="BI170">
        <v>0</v>
      </c>
      <c r="BJ170">
        <v>154</v>
      </c>
      <c r="BK170">
        <v>38</v>
      </c>
      <c r="BL170">
        <v>0</v>
      </c>
      <c r="BM170">
        <v>203</v>
      </c>
      <c r="BN170">
        <v>36</v>
      </c>
      <c r="BO170">
        <v>0</v>
      </c>
      <c r="BP170">
        <v>130</v>
      </c>
      <c r="BQ170">
        <v>92</v>
      </c>
      <c r="BR170">
        <v>0</v>
      </c>
      <c r="BS170">
        <v>116</v>
      </c>
      <c r="BT170">
        <v>83</v>
      </c>
      <c r="BU170">
        <v>0</v>
      </c>
      <c r="BV170">
        <v>127</v>
      </c>
      <c r="BW170">
        <v>54</v>
      </c>
      <c r="BX170">
        <v>0</v>
      </c>
      <c r="BY170">
        <v>174</v>
      </c>
      <c r="BZ170">
        <v>77</v>
      </c>
      <c r="CA170">
        <v>0</v>
      </c>
      <c r="CB170">
        <v>134</v>
      </c>
      <c r="CC170">
        <v>80</v>
      </c>
      <c r="CD170">
        <v>0</v>
      </c>
      <c r="CE170">
        <v>93</v>
      </c>
      <c r="CF170">
        <v>65</v>
      </c>
      <c r="CG170">
        <v>0</v>
      </c>
      <c r="CH170">
        <v>165</v>
      </c>
      <c r="CI170">
        <v>67</v>
      </c>
      <c r="CJ170">
        <v>0</v>
      </c>
      <c r="CK170">
        <v>86</v>
      </c>
      <c r="CL170">
        <v>24</v>
      </c>
      <c r="CM170">
        <v>0</v>
      </c>
      <c r="CN170">
        <v>165</v>
      </c>
      <c r="CO170">
        <v>74</v>
      </c>
      <c r="CP170">
        <v>0</v>
      </c>
      <c r="CQ170">
        <v>-13</v>
      </c>
      <c r="CR170">
        <v>83</v>
      </c>
      <c r="CS170">
        <v>0</v>
      </c>
      <c r="CT170">
        <v>81</v>
      </c>
      <c r="CU170">
        <v>54</v>
      </c>
      <c r="CV170">
        <v>0</v>
      </c>
      <c r="CW170">
        <v>188</v>
      </c>
      <c r="CX170">
        <v>49</v>
      </c>
      <c r="CY170">
        <v>0</v>
      </c>
      <c r="CZ170">
        <v>139</v>
      </c>
      <c r="DA170">
        <v>93</v>
      </c>
      <c r="DB170">
        <v>0</v>
      </c>
      <c r="DC170">
        <v>105</v>
      </c>
      <c r="DD170">
        <v>66</v>
      </c>
      <c r="DE170">
        <v>0</v>
      </c>
      <c r="DF170">
        <v>132</v>
      </c>
      <c r="DG170">
        <v>87</v>
      </c>
      <c r="DH170">
        <v>0</v>
      </c>
      <c r="DI170">
        <v>103</v>
      </c>
      <c r="DJ170">
        <v>82</v>
      </c>
      <c r="DK170">
        <v>0</v>
      </c>
      <c r="DL170">
        <v>191</v>
      </c>
      <c r="DM170">
        <v>50</v>
      </c>
      <c r="DN170">
        <v>0</v>
      </c>
      <c r="DO170">
        <v>123</v>
      </c>
      <c r="DP170">
        <v>95</v>
      </c>
      <c r="DQ170">
        <v>0</v>
      </c>
      <c r="DR170">
        <v>99</v>
      </c>
      <c r="DS170">
        <v>43</v>
      </c>
      <c r="DT170">
        <v>0</v>
      </c>
      <c r="DU170">
        <v>133</v>
      </c>
      <c r="DV170">
        <v>82</v>
      </c>
      <c r="DW170">
        <v>0</v>
      </c>
      <c r="DX170">
        <v>173</v>
      </c>
      <c r="DY170">
        <v>68</v>
      </c>
      <c r="DZ170">
        <v>0</v>
      </c>
    </row>
    <row r="171" spans="2:130" hidden="1">
      <c r="B171" s="1332">
        <f t="shared" si="3"/>
        <v>10.9</v>
      </c>
      <c r="C171" s="1332">
        <f t="shared" si="4"/>
        <v>82</v>
      </c>
      <c r="D171" s="1332">
        <f t="shared" si="5"/>
        <v>0</v>
      </c>
      <c r="F171">
        <v>6576</v>
      </c>
      <c r="G171">
        <v>39</v>
      </c>
      <c r="H171">
        <v>1</v>
      </c>
      <c r="I171">
        <v>24</v>
      </c>
      <c r="J171">
        <v>10</v>
      </c>
      <c r="K171">
        <v>109</v>
      </c>
      <c r="L171">
        <v>82</v>
      </c>
      <c r="M171">
        <v>0</v>
      </c>
      <c r="N171">
        <v>122</v>
      </c>
      <c r="O171">
        <v>94</v>
      </c>
      <c r="P171">
        <v>0</v>
      </c>
      <c r="Q171">
        <v>166</v>
      </c>
      <c r="R171">
        <v>62</v>
      </c>
      <c r="S171">
        <v>0</v>
      </c>
      <c r="T171">
        <v>188</v>
      </c>
      <c r="U171">
        <v>69</v>
      </c>
      <c r="V171">
        <v>0</v>
      </c>
      <c r="W171">
        <v>113</v>
      </c>
      <c r="X171">
        <v>87</v>
      </c>
      <c r="Y171">
        <v>0</v>
      </c>
      <c r="Z171">
        <v>136</v>
      </c>
      <c r="AA171">
        <v>89</v>
      </c>
      <c r="AB171">
        <v>0</v>
      </c>
      <c r="AC171">
        <v>176</v>
      </c>
      <c r="AD171">
        <v>51</v>
      </c>
      <c r="AE171">
        <v>0</v>
      </c>
      <c r="AF171">
        <v>86</v>
      </c>
      <c r="AG171">
        <v>66</v>
      </c>
      <c r="AH171">
        <v>0</v>
      </c>
      <c r="AI171">
        <v>116</v>
      </c>
      <c r="AJ171">
        <v>33</v>
      </c>
      <c r="AK171">
        <v>0</v>
      </c>
      <c r="AL171">
        <v>109</v>
      </c>
      <c r="AM171">
        <v>84</v>
      </c>
      <c r="AN171">
        <v>0</v>
      </c>
      <c r="AO171">
        <v>181</v>
      </c>
      <c r="AP171">
        <v>79</v>
      </c>
      <c r="AQ171">
        <v>0</v>
      </c>
      <c r="AR171">
        <v>123</v>
      </c>
      <c r="AS171">
        <v>98</v>
      </c>
      <c r="AT171">
        <v>0</v>
      </c>
      <c r="AU171">
        <v>62</v>
      </c>
      <c r="AV171">
        <v>75</v>
      </c>
      <c r="AW171">
        <v>0</v>
      </c>
      <c r="AX171">
        <v>128</v>
      </c>
      <c r="AY171">
        <v>94</v>
      </c>
      <c r="AZ171">
        <v>0</v>
      </c>
      <c r="BA171">
        <v>108</v>
      </c>
      <c r="BB171">
        <v>95</v>
      </c>
      <c r="BC171">
        <v>0</v>
      </c>
      <c r="BD171">
        <v>108</v>
      </c>
      <c r="BE171">
        <v>75</v>
      </c>
      <c r="BF171">
        <v>0</v>
      </c>
      <c r="BG171">
        <v>134</v>
      </c>
      <c r="BH171">
        <v>41</v>
      </c>
      <c r="BI171">
        <v>0</v>
      </c>
      <c r="BJ171">
        <v>142</v>
      </c>
      <c r="BK171">
        <v>42</v>
      </c>
      <c r="BL171">
        <v>0</v>
      </c>
      <c r="BM171">
        <v>198</v>
      </c>
      <c r="BN171">
        <v>37</v>
      </c>
      <c r="BO171">
        <v>0</v>
      </c>
      <c r="BP171">
        <v>127</v>
      </c>
      <c r="BQ171">
        <v>94</v>
      </c>
      <c r="BR171">
        <v>0</v>
      </c>
      <c r="BS171">
        <v>113</v>
      </c>
      <c r="BT171">
        <v>88</v>
      </c>
      <c r="BU171">
        <v>0</v>
      </c>
      <c r="BV171">
        <v>123</v>
      </c>
      <c r="BW171">
        <v>59</v>
      </c>
      <c r="BX171">
        <v>0</v>
      </c>
      <c r="BY171">
        <v>161</v>
      </c>
      <c r="BZ171">
        <v>80</v>
      </c>
      <c r="CA171">
        <v>0</v>
      </c>
      <c r="CB171">
        <v>111</v>
      </c>
      <c r="CC171">
        <v>91</v>
      </c>
      <c r="CD171">
        <v>0</v>
      </c>
      <c r="CE171">
        <v>84</v>
      </c>
      <c r="CF171">
        <v>69</v>
      </c>
      <c r="CG171">
        <v>0</v>
      </c>
      <c r="CH171">
        <v>158</v>
      </c>
      <c r="CI171">
        <v>69</v>
      </c>
      <c r="CJ171">
        <v>0</v>
      </c>
      <c r="CK171">
        <v>28</v>
      </c>
      <c r="CL171">
        <v>46</v>
      </c>
      <c r="CM171">
        <v>0</v>
      </c>
      <c r="CN171">
        <v>168</v>
      </c>
      <c r="CO171">
        <v>74</v>
      </c>
      <c r="CP171">
        <v>0</v>
      </c>
      <c r="CQ171">
        <v>-25</v>
      </c>
      <c r="CR171">
        <v>86</v>
      </c>
      <c r="CS171">
        <v>0</v>
      </c>
      <c r="CT171">
        <v>73</v>
      </c>
      <c r="CU171">
        <v>57</v>
      </c>
      <c r="CV171">
        <v>0</v>
      </c>
      <c r="CW171">
        <v>183</v>
      </c>
      <c r="CX171">
        <v>54</v>
      </c>
      <c r="CY171">
        <v>0</v>
      </c>
      <c r="CZ171">
        <v>132</v>
      </c>
      <c r="DA171">
        <v>95</v>
      </c>
      <c r="DB171">
        <v>0</v>
      </c>
      <c r="DC171">
        <v>93</v>
      </c>
      <c r="DD171">
        <v>78</v>
      </c>
      <c r="DE171">
        <v>0</v>
      </c>
      <c r="DF171">
        <v>126</v>
      </c>
      <c r="DG171">
        <v>89</v>
      </c>
      <c r="DH171">
        <v>0</v>
      </c>
      <c r="DI171">
        <v>106</v>
      </c>
      <c r="DJ171">
        <v>77</v>
      </c>
      <c r="DK171">
        <v>0</v>
      </c>
      <c r="DL171">
        <v>183</v>
      </c>
      <c r="DM171">
        <v>52</v>
      </c>
      <c r="DN171">
        <v>0</v>
      </c>
      <c r="DO171">
        <v>118</v>
      </c>
      <c r="DP171">
        <v>96</v>
      </c>
      <c r="DQ171">
        <v>0</v>
      </c>
      <c r="DR171">
        <v>89</v>
      </c>
      <c r="DS171">
        <v>49</v>
      </c>
      <c r="DT171">
        <v>0</v>
      </c>
      <c r="DU171">
        <v>128</v>
      </c>
      <c r="DV171">
        <v>82</v>
      </c>
      <c r="DW171">
        <v>0</v>
      </c>
      <c r="DX171">
        <v>155</v>
      </c>
      <c r="DY171">
        <v>79</v>
      </c>
      <c r="DZ171">
        <v>0</v>
      </c>
    </row>
    <row r="172" spans="2:130" hidden="1">
      <c r="B172" s="1332">
        <f t="shared" si="3"/>
        <v>15.8</v>
      </c>
      <c r="C172" s="1332">
        <f t="shared" si="4"/>
        <v>46</v>
      </c>
      <c r="D172" s="1332">
        <f t="shared" si="5"/>
        <v>0</v>
      </c>
      <c r="F172">
        <v>6553</v>
      </c>
      <c r="G172">
        <v>39</v>
      </c>
      <c r="H172">
        <v>1</v>
      </c>
      <c r="I172">
        <v>1</v>
      </c>
      <c r="J172">
        <v>10</v>
      </c>
      <c r="K172">
        <v>158</v>
      </c>
      <c r="L172">
        <v>46</v>
      </c>
      <c r="M172">
        <v>0</v>
      </c>
      <c r="N172">
        <v>115</v>
      </c>
      <c r="O172">
        <v>96</v>
      </c>
      <c r="P172">
        <v>0</v>
      </c>
      <c r="Q172">
        <v>163</v>
      </c>
      <c r="R172">
        <v>62</v>
      </c>
      <c r="S172">
        <v>0</v>
      </c>
      <c r="T172">
        <v>120</v>
      </c>
      <c r="U172">
        <v>86</v>
      </c>
      <c r="V172">
        <v>0</v>
      </c>
      <c r="W172">
        <v>124</v>
      </c>
      <c r="X172">
        <v>90</v>
      </c>
      <c r="Y172">
        <v>0</v>
      </c>
      <c r="Z172">
        <v>108</v>
      </c>
      <c r="AA172">
        <v>91</v>
      </c>
      <c r="AB172">
        <v>0</v>
      </c>
      <c r="AC172">
        <v>115</v>
      </c>
      <c r="AD172">
        <v>87</v>
      </c>
      <c r="AE172">
        <v>0</v>
      </c>
      <c r="AF172">
        <v>70</v>
      </c>
      <c r="AG172">
        <v>87</v>
      </c>
      <c r="AH172">
        <v>0</v>
      </c>
      <c r="AI172">
        <v>118</v>
      </c>
      <c r="AJ172">
        <v>45</v>
      </c>
      <c r="AK172">
        <v>0</v>
      </c>
      <c r="AL172">
        <v>121</v>
      </c>
      <c r="AM172">
        <v>81</v>
      </c>
      <c r="AN172">
        <v>0</v>
      </c>
      <c r="AO172">
        <v>120</v>
      </c>
      <c r="AP172">
        <v>95</v>
      </c>
      <c r="AQ172">
        <v>0</v>
      </c>
      <c r="AR172">
        <v>146</v>
      </c>
      <c r="AS172">
        <v>96</v>
      </c>
      <c r="AT172">
        <v>0</v>
      </c>
      <c r="AU172">
        <v>82</v>
      </c>
      <c r="AV172">
        <v>49</v>
      </c>
      <c r="AW172">
        <v>0</v>
      </c>
      <c r="AX172">
        <v>115</v>
      </c>
      <c r="AY172">
        <v>95</v>
      </c>
      <c r="AZ172">
        <v>0</v>
      </c>
      <c r="BA172">
        <v>134</v>
      </c>
      <c r="BB172">
        <v>100</v>
      </c>
      <c r="BC172">
        <v>0</v>
      </c>
      <c r="BD172">
        <v>158</v>
      </c>
      <c r="BE172">
        <v>69</v>
      </c>
      <c r="BF172">
        <v>0</v>
      </c>
      <c r="BG172">
        <v>140</v>
      </c>
      <c r="BH172">
        <v>27</v>
      </c>
      <c r="BI172">
        <v>0</v>
      </c>
      <c r="BJ172">
        <v>121</v>
      </c>
      <c r="BK172">
        <v>61</v>
      </c>
      <c r="BL172">
        <v>0</v>
      </c>
      <c r="BM172">
        <v>161</v>
      </c>
      <c r="BN172">
        <v>77</v>
      </c>
      <c r="BO172">
        <v>0</v>
      </c>
      <c r="BP172">
        <v>146</v>
      </c>
      <c r="BQ172">
        <v>90</v>
      </c>
      <c r="BR172">
        <v>0</v>
      </c>
      <c r="BS172">
        <v>130</v>
      </c>
      <c r="BT172">
        <v>71</v>
      </c>
      <c r="BU172">
        <v>0</v>
      </c>
      <c r="BV172">
        <v>97</v>
      </c>
      <c r="BW172">
        <v>65</v>
      </c>
      <c r="BX172">
        <v>0</v>
      </c>
      <c r="BY172">
        <v>132</v>
      </c>
      <c r="BZ172">
        <v>86</v>
      </c>
      <c r="CA172">
        <v>0</v>
      </c>
      <c r="CB172">
        <v>123</v>
      </c>
      <c r="CC172">
        <v>95</v>
      </c>
      <c r="CD172">
        <v>0</v>
      </c>
      <c r="CE172">
        <v>144</v>
      </c>
      <c r="CF172">
        <v>49</v>
      </c>
      <c r="CG172">
        <v>0</v>
      </c>
      <c r="CH172">
        <v>166</v>
      </c>
      <c r="CI172">
        <v>74</v>
      </c>
      <c r="CJ172">
        <v>0</v>
      </c>
      <c r="CK172">
        <v>33</v>
      </c>
      <c r="CL172">
        <v>75</v>
      </c>
      <c r="CM172">
        <v>0</v>
      </c>
      <c r="CN172">
        <v>146</v>
      </c>
      <c r="CO172">
        <v>61</v>
      </c>
      <c r="CP172">
        <v>0</v>
      </c>
      <c r="CQ172">
        <v>103</v>
      </c>
      <c r="CR172">
        <v>44</v>
      </c>
      <c r="CS172">
        <v>0</v>
      </c>
      <c r="CT172">
        <v>102</v>
      </c>
      <c r="CU172">
        <v>47</v>
      </c>
      <c r="CV172">
        <v>0</v>
      </c>
      <c r="CW172">
        <v>195</v>
      </c>
      <c r="CX172">
        <v>47</v>
      </c>
      <c r="CY172">
        <v>0</v>
      </c>
      <c r="CZ172">
        <v>155</v>
      </c>
      <c r="DA172">
        <v>89</v>
      </c>
      <c r="DB172">
        <v>0</v>
      </c>
      <c r="DC172">
        <v>90</v>
      </c>
      <c r="DD172">
        <v>75</v>
      </c>
      <c r="DE172">
        <v>0</v>
      </c>
      <c r="DF172">
        <v>114</v>
      </c>
      <c r="DG172">
        <v>90</v>
      </c>
      <c r="DH172">
        <v>0</v>
      </c>
      <c r="DI172">
        <v>73</v>
      </c>
      <c r="DJ172">
        <v>85</v>
      </c>
      <c r="DK172">
        <v>0</v>
      </c>
      <c r="DL172">
        <v>171</v>
      </c>
      <c r="DM172">
        <v>62</v>
      </c>
      <c r="DN172">
        <v>0</v>
      </c>
      <c r="DO172">
        <v>176</v>
      </c>
      <c r="DP172">
        <v>77</v>
      </c>
      <c r="DQ172">
        <v>0</v>
      </c>
      <c r="DR172">
        <v>78</v>
      </c>
      <c r="DS172">
        <v>62</v>
      </c>
      <c r="DT172">
        <v>0</v>
      </c>
      <c r="DU172">
        <v>128</v>
      </c>
      <c r="DV172">
        <v>90</v>
      </c>
      <c r="DW172">
        <v>0</v>
      </c>
      <c r="DX172">
        <v>180</v>
      </c>
      <c r="DY172">
        <v>70</v>
      </c>
      <c r="DZ172">
        <v>0</v>
      </c>
    </row>
    <row r="173" spans="2:130" hidden="1">
      <c r="B173" s="1332">
        <f t="shared" si="3"/>
        <v>13.5</v>
      </c>
      <c r="C173" s="1332">
        <f t="shared" si="4"/>
        <v>56</v>
      </c>
      <c r="D173" s="1332">
        <f t="shared" si="5"/>
        <v>0</v>
      </c>
      <c r="F173">
        <v>6554</v>
      </c>
      <c r="G173">
        <v>39</v>
      </c>
      <c r="H173">
        <v>1</v>
      </c>
      <c r="I173">
        <v>2</v>
      </c>
      <c r="J173">
        <v>10</v>
      </c>
      <c r="K173">
        <v>135</v>
      </c>
      <c r="L173">
        <v>56</v>
      </c>
      <c r="M173">
        <v>0</v>
      </c>
      <c r="N173">
        <v>112</v>
      </c>
      <c r="O173">
        <v>95</v>
      </c>
      <c r="P173">
        <v>0</v>
      </c>
      <c r="Q173">
        <v>143</v>
      </c>
      <c r="R173">
        <v>70</v>
      </c>
      <c r="S173">
        <v>0</v>
      </c>
      <c r="T173">
        <v>117</v>
      </c>
      <c r="U173">
        <v>87</v>
      </c>
      <c r="V173">
        <v>0</v>
      </c>
      <c r="W173">
        <v>123</v>
      </c>
      <c r="X173">
        <v>89</v>
      </c>
      <c r="Y173">
        <v>0</v>
      </c>
      <c r="Z173">
        <v>105</v>
      </c>
      <c r="AA173">
        <v>91</v>
      </c>
      <c r="AB173">
        <v>0</v>
      </c>
      <c r="AC173">
        <v>134</v>
      </c>
      <c r="AD173">
        <v>79</v>
      </c>
      <c r="AE173">
        <v>0</v>
      </c>
      <c r="AF173">
        <v>70</v>
      </c>
      <c r="AG173">
        <v>86</v>
      </c>
      <c r="AH173">
        <v>0</v>
      </c>
      <c r="AI173">
        <v>117</v>
      </c>
      <c r="AJ173">
        <v>39</v>
      </c>
      <c r="AK173">
        <v>0</v>
      </c>
      <c r="AL173">
        <v>118</v>
      </c>
      <c r="AM173">
        <v>81</v>
      </c>
      <c r="AN173">
        <v>0</v>
      </c>
      <c r="AO173">
        <v>122</v>
      </c>
      <c r="AP173">
        <v>95</v>
      </c>
      <c r="AQ173">
        <v>0</v>
      </c>
      <c r="AR173">
        <v>144</v>
      </c>
      <c r="AS173">
        <v>97</v>
      </c>
      <c r="AT173">
        <v>0</v>
      </c>
      <c r="AU173">
        <v>86</v>
      </c>
      <c r="AV173">
        <v>48</v>
      </c>
      <c r="AW173">
        <v>0</v>
      </c>
      <c r="AX173">
        <v>118</v>
      </c>
      <c r="AY173">
        <v>94</v>
      </c>
      <c r="AZ173">
        <v>0</v>
      </c>
      <c r="BA173">
        <v>133</v>
      </c>
      <c r="BB173">
        <v>100</v>
      </c>
      <c r="BC173">
        <v>0</v>
      </c>
      <c r="BD173">
        <v>156</v>
      </c>
      <c r="BE173">
        <v>71</v>
      </c>
      <c r="BF173">
        <v>0</v>
      </c>
      <c r="BG173">
        <v>138</v>
      </c>
      <c r="BH173">
        <v>27</v>
      </c>
      <c r="BI173">
        <v>0</v>
      </c>
      <c r="BJ173">
        <v>124</v>
      </c>
      <c r="BK173">
        <v>48</v>
      </c>
      <c r="BL173">
        <v>0</v>
      </c>
      <c r="BM173">
        <v>159</v>
      </c>
      <c r="BN173">
        <v>78</v>
      </c>
      <c r="BO173">
        <v>0</v>
      </c>
      <c r="BP173">
        <v>141</v>
      </c>
      <c r="BQ173">
        <v>90</v>
      </c>
      <c r="BR173">
        <v>0</v>
      </c>
      <c r="BS173">
        <v>126</v>
      </c>
      <c r="BT173">
        <v>72</v>
      </c>
      <c r="BU173">
        <v>0</v>
      </c>
      <c r="BV173">
        <v>95</v>
      </c>
      <c r="BW173">
        <v>66</v>
      </c>
      <c r="BX173">
        <v>0</v>
      </c>
      <c r="BY173">
        <v>126</v>
      </c>
      <c r="BZ173">
        <v>86</v>
      </c>
      <c r="CA173">
        <v>0</v>
      </c>
      <c r="CB173">
        <v>118</v>
      </c>
      <c r="CC173">
        <v>96</v>
      </c>
      <c r="CD173">
        <v>0</v>
      </c>
      <c r="CE173">
        <v>146</v>
      </c>
      <c r="CF173">
        <v>43</v>
      </c>
      <c r="CG173">
        <v>0</v>
      </c>
      <c r="CH173">
        <v>158</v>
      </c>
      <c r="CI173">
        <v>79</v>
      </c>
      <c r="CJ173">
        <v>0</v>
      </c>
      <c r="CK173">
        <v>49</v>
      </c>
      <c r="CL173">
        <v>64</v>
      </c>
      <c r="CM173">
        <v>0</v>
      </c>
      <c r="CN173">
        <v>146</v>
      </c>
      <c r="CO173">
        <v>61</v>
      </c>
      <c r="CP173">
        <v>0</v>
      </c>
      <c r="CQ173">
        <v>100</v>
      </c>
      <c r="CR173">
        <v>42</v>
      </c>
      <c r="CS173">
        <v>0</v>
      </c>
      <c r="CT173">
        <v>99</v>
      </c>
      <c r="CU173">
        <v>47</v>
      </c>
      <c r="CV173">
        <v>0</v>
      </c>
      <c r="CW173">
        <v>182</v>
      </c>
      <c r="CX173">
        <v>54</v>
      </c>
      <c r="CY173">
        <v>0</v>
      </c>
      <c r="CZ173">
        <v>149</v>
      </c>
      <c r="DA173">
        <v>91</v>
      </c>
      <c r="DB173">
        <v>0</v>
      </c>
      <c r="DC173">
        <v>80</v>
      </c>
      <c r="DD173">
        <v>77</v>
      </c>
      <c r="DE173">
        <v>0</v>
      </c>
      <c r="DF173">
        <v>114</v>
      </c>
      <c r="DG173">
        <v>89</v>
      </c>
      <c r="DH173">
        <v>0</v>
      </c>
      <c r="DI173">
        <v>66</v>
      </c>
      <c r="DJ173">
        <v>87</v>
      </c>
      <c r="DK173">
        <v>0</v>
      </c>
      <c r="DL173">
        <v>170</v>
      </c>
      <c r="DM173">
        <v>61</v>
      </c>
      <c r="DN173">
        <v>0</v>
      </c>
      <c r="DO173">
        <v>173</v>
      </c>
      <c r="DP173">
        <v>79</v>
      </c>
      <c r="DQ173">
        <v>0</v>
      </c>
      <c r="DR173">
        <v>70</v>
      </c>
      <c r="DS173">
        <v>67</v>
      </c>
      <c r="DT173">
        <v>0</v>
      </c>
      <c r="DU173">
        <v>127</v>
      </c>
      <c r="DV173">
        <v>91</v>
      </c>
      <c r="DW173">
        <v>0</v>
      </c>
      <c r="DX173">
        <v>179</v>
      </c>
      <c r="DY173">
        <v>71</v>
      </c>
      <c r="DZ173">
        <v>0</v>
      </c>
    </row>
    <row r="174" spans="2:130" hidden="1">
      <c r="B174" s="1332">
        <f t="shared" si="3"/>
        <v>12</v>
      </c>
      <c r="C174" s="1332">
        <f t="shared" si="4"/>
        <v>61</v>
      </c>
      <c r="D174" s="1332">
        <f t="shared" si="5"/>
        <v>0</v>
      </c>
      <c r="F174">
        <v>6555</v>
      </c>
      <c r="G174">
        <v>39</v>
      </c>
      <c r="H174">
        <v>1</v>
      </c>
      <c r="I174">
        <v>3</v>
      </c>
      <c r="J174">
        <v>10</v>
      </c>
      <c r="K174">
        <v>120</v>
      </c>
      <c r="L174">
        <v>61</v>
      </c>
      <c r="M174">
        <v>0</v>
      </c>
      <c r="N174">
        <v>109</v>
      </c>
      <c r="O174">
        <v>95</v>
      </c>
      <c r="P174">
        <v>0</v>
      </c>
      <c r="Q174">
        <v>145</v>
      </c>
      <c r="R174">
        <v>71</v>
      </c>
      <c r="S174">
        <v>0</v>
      </c>
      <c r="T174">
        <v>116</v>
      </c>
      <c r="U174">
        <v>87</v>
      </c>
      <c r="V174">
        <v>0</v>
      </c>
      <c r="W174">
        <v>117</v>
      </c>
      <c r="X174">
        <v>91</v>
      </c>
      <c r="Y174">
        <v>0</v>
      </c>
      <c r="Z174">
        <v>102</v>
      </c>
      <c r="AA174">
        <v>92</v>
      </c>
      <c r="AB174">
        <v>0</v>
      </c>
      <c r="AC174">
        <v>123</v>
      </c>
      <c r="AD174">
        <v>80</v>
      </c>
      <c r="AE174">
        <v>0</v>
      </c>
      <c r="AF174">
        <v>71</v>
      </c>
      <c r="AG174">
        <v>86</v>
      </c>
      <c r="AH174">
        <v>0</v>
      </c>
      <c r="AI174">
        <v>126</v>
      </c>
      <c r="AJ174">
        <v>35</v>
      </c>
      <c r="AK174">
        <v>0</v>
      </c>
      <c r="AL174">
        <v>106</v>
      </c>
      <c r="AM174">
        <v>84</v>
      </c>
      <c r="AN174">
        <v>0</v>
      </c>
      <c r="AO174">
        <v>126</v>
      </c>
      <c r="AP174">
        <v>94</v>
      </c>
      <c r="AQ174">
        <v>0</v>
      </c>
      <c r="AR174">
        <v>144</v>
      </c>
      <c r="AS174">
        <v>98</v>
      </c>
      <c r="AT174">
        <v>0</v>
      </c>
      <c r="AU174">
        <v>82</v>
      </c>
      <c r="AV174">
        <v>50</v>
      </c>
      <c r="AW174">
        <v>0</v>
      </c>
      <c r="AX174">
        <v>112</v>
      </c>
      <c r="AY174">
        <v>95</v>
      </c>
      <c r="AZ174">
        <v>0</v>
      </c>
      <c r="BA174">
        <v>136</v>
      </c>
      <c r="BB174">
        <v>99</v>
      </c>
      <c r="BC174">
        <v>0</v>
      </c>
      <c r="BD174">
        <v>141</v>
      </c>
      <c r="BE174">
        <v>78</v>
      </c>
      <c r="BF174">
        <v>0</v>
      </c>
      <c r="BG174">
        <v>135</v>
      </c>
      <c r="BH174">
        <v>29</v>
      </c>
      <c r="BI174">
        <v>0</v>
      </c>
      <c r="BJ174">
        <v>120</v>
      </c>
      <c r="BK174">
        <v>50</v>
      </c>
      <c r="BL174">
        <v>0</v>
      </c>
      <c r="BM174">
        <v>155</v>
      </c>
      <c r="BN174">
        <v>78</v>
      </c>
      <c r="BO174">
        <v>0</v>
      </c>
      <c r="BP174">
        <v>135</v>
      </c>
      <c r="BQ174">
        <v>93</v>
      </c>
      <c r="BR174">
        <v>0</v>
      </c>
      <c r="BS174">
        <v>155</v>
      </c>
      <c r="BT174">
        <v>55</v>
      </c>
      <c r="BU174">
        <v>0</v>
      </c>
      <c r="BV174">
        <v>93</v>
      </c>
      <c r="BW174">
        <v>67</v>
      </c>
      <c r="BX174">
        <v>0</v>
      </c>
      <c r="BY174">
        <v>119</v>
      </c>
      <c r="BZ174">
        <v>86</v>
      </c>
      <c r="CA174">
        <v>0</v>
      </c>
      <c r="CB174">
        <v>113</v>
      </c>
      <c r="CC174">
        <v>96</v>
      </c>
      <c r="CD174">
        <v>0</v>
      </c>
      <c r="CE174">
        <v>140</v>
      </c>
      <c r="CF174">
        <v>40</v>
      </c>
      <c r="CG174">
        <v>0</v>
      </c>
      <c r="CH174">
        <v>156</v>
      </c>
      <c r="CI174">
        <v>77</v>
      </c>
      <c r="CJ174">
        <v>0</v>
      </c>
      <c r="CK174">
        <v>57</v>
      </c>
      <c r="CL174">
        <v>59</v>
      </c>
      <c r="CM174">
        <v>0</v>
      </c>
      <c r="CN174">
        <v>142</v>
      </c>
      <c r="CO174">
        <v>62</v>
      </c>
      <c r="CP174">
        <v>0</v>
      </c>
      <c r="CQ174">
        <v>96</v>
      </c>
      <c r="CR174">
        <v>44</v>
      </c>
      <c r="CS174">
        <v>0</v>
      </c>
      <c r="CT174">
        <v>93</v>
      </c>
      <c r="CU174">
        <v>47</v>
      </c>
      <c r="CV174">
        <v>0</v>
      </c>
      <c r="CW174">
        <v>179</v>
      </c>
      <c r="CX174">
        <v>59</v>
      </c>
      <c r="CY174">
        <v>0</v>
      </c>
      <c r="CZ174">
        <v>148</v>
      </c>
      <c r="DA174">
        <v>91</v>
      </c>
      <c r="DB174">
        <v>0</v>
      </c>
      <c r="DC174">
        <v>77</v>
      </c>
      <c r="DD174">
        <v>78</v>
      </c>
      <c r="DE174">
        <v>0</v>
      </c>
      <c r="DF174">
        <v>106</v>
      </c>
      <c r="DG174">
        <v>91</v>
      </c>
      <c r="DH174">
        <v>0</v>
      </c>
      <c r="DI174">
        <v>103</v>
      </c>
      <c r="DJ174">
        <v>67</v>
      </c>
      <c r="DK174">
        <v>0</v>
      </c>
      <c r="DL174">
        <v>165</v>
      </c>
      <c r="DM174">
        <v>63</v>
      </c>
      <c r="DN174">
        <v>0</v>
      </c>
      <c r="DO174">
        <v>165</v>
      </c>
      <c r="DP174">
        <v>84</v>
      </c>
      <c r="DQ174">
        <v>0</v>
      </c>
      <c r="DR174">
        <v>66</v>
      </c>
      <c r="DS174">
        <v>69</v>
      </c>
      <c r="DT174">
        <v>0</v>
      </c>
      <c r="DU174">
        <v>128</v>
      </c>
      <c r="DV174">
        <v>93</v>
      </c>
      <c r="DW174">
        <v>0</v>
      </c>
      <c r="DX174">
        <v>170</v>
      </c>
      <c r="DY174">
        <v>74</v>
      </c>
      <c r="DZ174">
        <v>0</v>
      </c>
    </row>
    <row r="175" spans="2:130" hidden="1">
      <c r="B175" s="1332">
        <f t="shared" si="3"/>
        <v>11.7</v>
      </c>
      <c r="C175" s="1332">
        <f t="shared" si="4"/>
        <v>62</v>
      </c>
      <c r="D175" s="1332">
        <f t="shared" si="5"/>
        <v>0</v>
      </c>
      <c r="F175">
        <v>6556</v>
      </c>
      <c r="G175">
        <v>39</v>
      </c>
      <c r="H175">
        <v>1</v>
      </c>
      <c r="I175">
        <v>4</v>
      </c>
      <c r="J175">
        <v>10</v>
      </c>
      <c r="K175">
        <v>117</v>
      </c>
      <c r="L175">
        <v>62</v>
      </c>
      <c r="M175">
        <v>0</v>
      </c>
      <c r="N175">
        <v>112</v>
      </c>
      <c r="O175">
        <v>94</v>
      </c>
      <c r="P175">
        <v>0</v>
      </c>
      <c r="Q175">
        <v>145</v>
      </c>
      <c r="R175">
        <v>75</v>
      </c>
      <c r="S175">
        <v>0</v>
      </c>
      <c r="T175">
        <v>117</v>
      </c>
      <c r="U175">
        <v>85</v>
      </c>
      <c r="V175">
        <v>0</v>
      </c>
      <c r="W175">
        <v>114</v>
      </c>
      <c r="X175">
        <v>91</v>
      </c>
      <c r="Y175">
        <v>0</v>
      </c>
      <c r="Z175">
        <v>96</v>
      </c>
      <c r="AA175">
        <v>92</v>
      </c>
      <c r="AB175">
        <v>0</v>
      </c>
      <c r="AC175">
        <v>125</v>
      </c>
      <c r="AD175">
        <v>79</v>
      </c>
      <c r="AE175">
        <v>0</v>
      </c>
      <c r="AF175">
        <v>63</v>
      </c>
      <c r="AG175">
        <v>88</v>
      </c>
      <c r="AH175">
        <v>0</v>
      </c>
      <c r="AI175">
        <v>113</v>
      </c>
      <c r="AJ175">
        <v>39</v>
      </c>
      <c r="AK175">
        <v>0</v>
      </c>
      <c r="AL175">
        <v>102</v>
      </c>
      <c r="AM175">
        <v>83</v>
      </c>
      <c r="AN175">
        <v>0</v>
      </c>
      <c r="AO175">
        <v>139</v>
      </c>
      <c r="AP175">
        <v>91</v>
      </c>
      <c r="AQ175">
        <v>0</v>
      </c>
      <c r="AR175">
        <v>144</v>
      </c>
      <c r="AS175">
        <v>98</v>
      </c>
      <c r="AT175">
        <v>0</v>
      </c>
      <c r="AU175">
        <v>79</v>
      </c>
      <c r="AV175">
        <v>49</v>
      </c>
      <c r="AW175">
        <v>0</v>
      </c>
      <c r="AX175">
        <v>109</v>
      </c>
      <c r="AY175">
        <v>95</v>
      </c>
      <c r="AZ175">
        <v>0</v>
      </c>
      <c r="BA175">
        <v>133</v>
      </c>
      <c r="BB175">
        <v>99</v>
      </c>
      <c r="BC175">
        <v>0</v>
      </c>
      <c r="BD175">
        <v>131</v>
      </c>
      <c r="BE175">
        <v>82</v>
      </c>
      <c r="BF175">
        <v>0</v>
      </c>
      <c r="BG175">
        <v>142</v>
      </c>
      <c r="BH175">
        <v>28</v>
      </c>
      <c r="BI175">
        <v>0</v>
      </c>
      <c r="BJ175">
        <v>120</v>
      </c>
      <c r="BK175">
        <v>44</v>
      </c>
      <c r="BL175">
        <v>0</v>
      </c>
      <c r="BM175">
        <v>150</v>
      </c>
      <c r="BN175">
        <v>79</v>
      </c>
      <c r="BO175">
        <v>0</v>
      </c>
      <c r="BP175">
        <v>132</v>
      </c>
      <c r="BQ175">
        <v>94</v>
      </c>
      <c r="BR175">
        <v>0</v>
      </c>
      <c r="BS175">
        <v>162</v>
      </c>
      <c r="BT175">
        <v>48</v>
      </c>
      <c r="BU175">
        <v>0</v>
      </c>
      <c r="BV175">
        <v>95</v>
      </c>
      <c r="BW175">
        <v>68</v>
      </c>
      <c r="BX175">
        <v>0</v>
      </c>
      <c r="BY175">
        <v>115</v>
      </c>
      <c r="BZ175">
        <v>85</v>
      </c>
      <c r="CA175">
        <v>0</v>
      </c>
      <c r="CB175">
        <v>110</v>
      </c>
      <c r="CC175">
        <v>96</v>
      </c>
      <c r="CD175">
        <v>0</v>
      </c>
      <c r="CE175">
        <v>134</v>
      </c>
      <c r="CF175">
        <v>43</v>
      </c>
      <c r="CG175">
        <v>0</v>
      </c>
      <c r="CH175">
        <v>151</v>
      </c>
      <c r="CI175">
        <v>80</v>
      </c>
      <c r="CJ175">
        <v>0</v>
      </c>
      <c r="CK175">
        <v>63</v>
      </c>
      <c r="CL175">
        <v>53</v>
      </c>
      <c r="CM175">
        <v>0</v>
      </c>
      <c r="CN175">
        <v>139</v>
      </c>
      <c r="CO175">
        <v>64</v>
      </c>
      <c r="CP175">
        <v>0</v>
      </c>
      <c r="CQ175">
        <v>88</v>
      </c>
      <c r="CR175">
        <v>46</v>
      </c>
      <c r="CS175">
        <v>0</v>
      </c>
      <c r="CT175">
        <v>90</v>
      </c>
      <c r="CU175">
        <v>46</v>
      </c>
      <c r="CV175">
        <v>0</v>
      </c>
      <c r="CW175">
        <v>174</v>
      </c>
      <c r="CX175">
        <v>61</v>
      </c>
      <c r="CY175">
        <v>0</v>
      </c>
      <c r="CZ175">
        <v>149</v>
      </c>
      <c r="DA175">
        <v>90</v>
      </c>
      <c r="DB175">
        <v>0</v>
      </c>
      <c r="DC175">
        <v>68</v>
      </c>
      <c r="DD175">
        <v>81</v>
      </c>
      <c r="DE175">
        <v>0</v>
      </c>
      <c r="DF175">
        <v>104</v>
      </c>
      <c r="DG175">
        <v>92</v>
      </c>
      <c r="DH175">
        <v>0</v>
      </c>
      <c r="DI175">
        <v>73</v>
      </c>
      <c r="DJ175">
        <v>81</v>
      </c>
      <c r="DK175">
        <v>0</v>
      </c>
      <c r="DL175">
        <v>166</v>
      </c>
      <c r="DM175">
        <v>61</v>
      </c>
      <c r="DN175">
        <v>0</v>
      </c>
      <c r="DO175">
        <v>158</v>
      </c>
      <c r="DP175">
        <v>87</v>
      </c>
      <c r="DQ175">
        <v>0</v>
      </c>
      <c r="DR175">
        <v>62</v>
      </c>
      <c r="DS175">
        <v>73</v>
      </c>
      <c r="DT175">
        <v>0</v>
      </c>
      <c r="DU175">
        <v>140</v>
      </c>
      <c r="DV175">
        <v>90</v>
      </c>
      <c r="DW175">
        <v>0</v>
      </c>
      <c r="DX175">
        <v>167</v>
      </c>
      <c r="DY175">
        <v>76</v>
      </c>
      <c r="DZ175">
        <v>0</v>
      </c>
    </row>
    <row r="176" spans="2:130" hidden="1">
      <c r="B176" s="1332">
        <f t="shared" si="3"/>
        <v>11.1</v>
      </c>
      <c r="C176" s="1332">
        <f t="shared" si="4"/>
        <v>65</v>
      </c>
      <c r="D176" s="1332">
        <f t="shared" si="5"/>
        <v>0</v>
      </c>
      <c r="F176">
        <v>6557</v>
      </c>
      <c r="G176">
        <v>39</v>
      </c>
      <c r="H176">
        <v>1</v>
      </c>
      <c r="I176">
        <v>5</v>
      </c>
      <c r="J176">
        <v>10</v>
      </c>
      <c r="K176">
        <v>111</v>
      </c>
      <c r="L176">
        <v>65</v>
      </c>
      <c r="M176">
        <v>0</v>
      </c>
      <c r="N176">
        <v>109</v>
      </c>
      <c r="O176">
        <v>93</v>
      </c>
      <c r="P176">
        <v>0</v>
      </c>
      <c r="Q176">
        <v>140</v>
      </c>
      <c r="R176">
        <v>79</v>
      </c>
      <c r="S176">
        <v>0</v>
      </c>
      <c r="T176">
        <v>114</v>
      </c>
      <c r="U176">
        <v>87</v>
      </c>
      <c r="V176">
        <v>0</v>
      </c>
      <c r="W176">
        <v>108</v>
      </c>
      <c r="X176">
        <v>91</v>
      </c>
      <c r="Y176">
        <v>0</v>
      </c>
      <c r="Z176">
        <v>93</v>
      </c>
      <c r="AA176">
        <v>92</v>
      </c>
      <c r="AB176">
        <v>0</v>
      </c>
      <c r="AC176">
        <v>126</v>
      </c>
      <c r="AD176">
        <v>77</v>
      </c>
      <c r="AE176">
        <v>0</v>
      </c>
      <c r="AF176">
        <v>67</v>
      </c>
      <c r="AG176">
        <v>83</v>
      </c>
      <c r="AH176">
        <v>0</v>
      </c>
      <c r="AI176">
        <v>120</v>
      </c>
      <c r="AJ176">
        <v>38</v>
      </c>
      <c r="AK176">
        <v>0</v>
      </c>
      <c r="AL176">
        <v>102</v>
      </c>
      <c r="AM176">
        <v>81</v>
      </c>
      <c r="AN176">
        <v>0</v>
      </c>
      <c r="AO176">
        <v>146</v>
      </c>
      <c r="AP176">
        <v>87</v>
      </c>
      <c r="AQ176">
        <v>0</v>
      </c>
      <c r="AR176">
        <v>143</v>
      </c>
      <c r="AS176">
        <v>99</v>
      </c>
      <c r="AT176">
        <v>0</v>
      </c>
      <c r="AU176">
        <v>78</v>
      </c>
      <c r="AV176">
        <v>50</v>
      </c>
      <c r="AW176">
        <v>0</v>
      </c>
      <c r="AX176">
        <v>109</v>
      </c>
      <c r="AY176">
        <v>95</v>
      </c>
      <c r="AZ176">
        <v>0</v>
      </c>
      <c r="BA176">
        <v>130</v>
      </c>
      <c r="BB176">
        <v>98</v>
      </c>
      <c r="BC176">
        <v>0</v>
      </c>
      <c r="BD176">
        <v>125</v>
      </c>
      <c r="BE176">
        <v>86</v>
      </c>
      <c r="BF176">
        <v>0</v>
      </c>
      <c r="BG176">
        <v>133</v>
      </c>
      <c r="BH176">
        <v>34</v>
      </c>
      <c r="BI176">
        <v>0</v>
      </c>
      <c r="BJ176">
        <v>121</v>
      </c>
      <c r="BK176">
        <v>42</v>
      </c>
      <c r="BL176">
        <v>0</v>
      </c>
      <c r="BM176">
        <v>146</v>
      </c>
      <c r="BN176">
        <v>79</v>
      </c>
      <c r="BO176">
        <v>0</v>
      </c>
      <c r="BP176">
        <v>122</v>
      </c>
      <c r="BQ176">
        <v>95</v>
      </c>
      <c r="BR176">
        <v>0</v>
      </c>
      <c r="BS176">
        <v>174</v>
      </c>
      <c r="BT176">
        <v>41</v>
      </c>
      <c r="BU176">
        <v>0</v>
      </c>
      <c r="BV176">
        <v>97</v>
      </c>
      <c r="BW176">
        <v>67</v>
      </c>
      <c r="BX176">
        <v>0</v>
      </c>
      <c r="BY176">
        <v>109</v>
      </c>
      <c r="BZ176">
        <v>84</v>
      </c>
      <c r="CA176">
        <v>0</v>
      </c>
      <c r="CB176">
        <v>112</v>
      </c>
      <c r="CC176">
        <v>95</v>
      </c>
      <c r="CD176">
        <v>0</v>
      </c>
      <c r="CE176">
        <v>126</v>
      </c>
      <c r="CF176">
        <v>47</v>
      </c>
      <c r="CG176">
        <v>0</v>
      </c>
      <c r="CH176">
        <v>148</v>
      </c>
      <c r="CI176">
        <v>81</v>
      </c>
      <c r="CJ176">
        <v>0</v>
      </c>
      <c r="CK176">
        <v>124</v>
      </c>
      <c r="CL176">
        <v>29</v>
      </c>
      <c r="CM176">
        <v>0</v>
      </c>
      <c r="CN176">
        <v>134</v>
      </c>
      <c r="CO176">
        <v>66</v>
      </c>
      <c r="CP176">
        <v>0</v>
      </c>
      <c r="CQ176">
        <v>81</v>
      </c>
      <c r="CR176">
        <v>48</v>
      </c>
      <c r="CS176">
        <v>0</v>
      </c>
      <c r="CT176">
        <v>87</v>
      </c>
      <c r="CU176">
        <v>44</v>
      </c>
      <c r="CV176">
        <v>0</v>
      </c>
      <c r="CW176">
        <v>169</v>
      </c>
      <c r="CX176">
        <v>62</v>
      </c>
      <c r="CY176">
        <v>0</v>
      </c>
      <c r="CZ176">
        <v>142</v>
      </c>
      <c r="DA176">
        <v>94</v>
      </c>
      <c r="DB176">
        <v>0</v>
      </c>
      <c r="DC176">
        <v>66</v>
      </c>
      <c r="DD176">
        <v>81</v>
      </c>
      <c r="DE176">
        <v>0</v>
      </c>
      <c r="DF176">
        <v>102</v>
      </c>
      <c r="DG176">
        <v>91</v>
      </c>
      <c r="DH176">
        <v>0</v>
      </c>
      <c r="DI176">
        <v>60</v>
      </c>
      <c r="DJ176">
        <v>87</v>
      </c>
      <c r="DK176">
        <v>0</v>
      </c>
      <c r="DL176">
        <v>160</v>
      </c>
      <c r="DM176">
        <v>63</v>
      </c>
      <c r="DN176">
        <v>0</v>
      </c>
      <c r="DO176">
        <v>152</v>
      </c>
      <c r="DP176">
        <v>89</v>
      </c>
      <c r="DQ176">
        <v>0</v>
      </c>
      <c r="DR176">
        <v>58</v>
      </c>
      <c r="DS176">
        <v>76</v>
      </c>
      <c r="DT176">
        <v>0</v>
      </c>
      <c r="DU176">
        <v>144</v>
      </c>
      <c r="DV176">
        <v>85</v>
      </c>
      <c r="DW176">
        <v>0</v>
      </c>
      <c r="DX176">
        <v>167</v>
      </c>
      <c r="DY176">
        <v>74</v>
      </c>
      <c r="DZ176">
        <v>0</v>
      </c>
    </row>
    <row r="177" spans="2:130" hidden="1">
      <c r="B177" s="1332">
        <f t="shared" si="3"/>
        <v>11</v>
      </c>
      <c r="C177" s="1332">
        <f t="shared" si="4"/>
        <v>64</v>
      </c>
      <c r="D177" s="1332">
        <f t="shared" si="5"/>
        <v>0</v>
      </c>
      <c r="F177">
        <v>6558</v>
      </c>
      <c r="G177">
        <v>39</v>
      </c>
      <c r="H177">
        <v>1</v>
      </c>
      <c r="I177">
        <v>6</v>
      </c>
      <c r="J177">
        <v>10</v>
      </c>
      <c r="K177">
        <v>110</v>
      </c>
      <c r="L177">
        <v>64</v>
      </c>
      <c r="M177">
        <v>0</v>
      </c>
      <c r="N177">
        <v>112</v>
      </c>
      <c r="O177">
        <v>91</v>
      </c>
      <c r="P177">
        <v>0</v>
      </c>
      <c r="Q177">
        <v>127</v>
      </c>
      <c r="R177">
        <v>81</v>
      </c>
      <c r="S177">
        <v>0</v>
      </c>
      <c r="T177">
        <v>111</v>
      </c>
      <c r="U177">
        <v>87</v>
      </c>
      <c r="V177">
        <v>0</v>
      </c>
      <c r="W177">
        <v>109</v>
      </c>
      <c r="X177">
        <v>91</v>
      </c>
      <c r="Y177">
        <v>0</v>
      </c>
      <c r="Z177">
        <v>93</v>
      </c>
      <c r="AA177">
        <v>92</v>
      </c>
      <c r="AB177">
        <v>0</v>
      </c>
      <c r="AC177">
        <v>128</v>
      </c>
      <c r="AD177">
        <v>74</v>
      </c>
      <c r="AE177">
        <v>0</v>
      </c>
      <c r="AF177">
        <v>65</v>
      </c>
      <c r="AG177">
        <v>84</v>
      </c>
      <c r="AH177">
        <v>0</v>
      </c>
      <c r="AI177">
        <v>113</v>
      </c>
      <c r="AJ177">
        <v>39</v>
      </c>
      <c r="AK177">
        <v>0</v>
      </c>
      <c r="AL177">
        <v>100</v>
      </c>
      <c r="AM177">
        <v>82</v>
      </c>
      <c r="AN177">
        <v>0</v>
      </c>
      <c r="AO177">
        <v>148</v>
      </c>
      <c r="AP177">
        <v>87</v>
      </c>
      <c r="AQ177">
        <v>0</v>
      </c>
      <c r="AR177">
        <v>144</v>
      </c>
      <c r="AS177">
        <v>98</v>
      </c>
      <c r="AT177">
        <v>0</v>
      </c>
      <c r="AU177">
        <v>78</v>
      </c>
      <c r="AV177">
        <v>51</v>
      </c>
      <c r="AW177">
        <v>0</v>
      </c>
      <c r="AX177">
        <v>102</v>
      </c>
      <c r="AY177">
        <v>95</v>
      </c>
      <c r="AZ177">
        <v>0</v>
      </c>
      <c r="BA177">
        <v>126</v>
      </c>
      <c r="BB177">
        <v>97</v>
      </c>
      <c r="BC177">
        <v>0</v>
      </c>
      <c r="BD177">
        <v>118</v>
      </c>
      <c r="BE177">
        <v>88</v>
      </c>
      <c r="BF177">
        <v>0</v>
      </c>
      <c r="BG177">
        <v>143</v>
      </c>
      <c r="BH177">
        <v>27</v>
      </c>
      <c r="BI177">
        <v>0</v>
      </c>
      <c r="BJ177">
        <v>123</v>
      </c>
      <c r="BK177">
        <v>40</v>
      </c>
      <c r="BL177">
        <v>0</v>
      </c>
      <c r="BM177">
        <v>142</v>
      </c>
      <c r="BN177">
        <v>80</v>
      </c>
      <c r="BO177">
        <v>0</v>
      </c>
      <c r="BP177">
        <v>115</v>
      </c>
      <c r="BQ177">
        <v>97</v>
      </c>
      <c r="BR177">
        <v>0</v>
      </c>
      <c r="BS177">
        <v>139</v>
      </c>
      <c r="BT177">
        <v>57</v>
      </c>
      <c r="BU177">
        <v>0</v>
      </c>
      <c r="BV177">
        <v>96</v>
      </c>
      <c r="BW177">
        <v>68</v>
      </c>
      <c r="BX177">
        <v>0</v>
      </c>
      <c r="BY177">
        <v>109</v>
      </c>
      <c r="BZ177">
        <v>85</v>
      </c>
      <c r="CA177">
        <v>0</v>
      </c>
      <c r="CB177">
        <v>117</v>
      </c>
      <c r="CC177">
        <v>94</v>
      </c>
      <c r="CD177">
        <v>0</v>
      </c>
      <c r="CE177">
        <v>127</v>
      </c>
      <c r="CF177">
        <v>48</v>
      </c>
      <c r="CG177">
        <v>0</v>
      </c>
      <c r="CH177">
        <v>145</v>
      </c>
      <c r="CI177">
        <v>82</v>
      </c>
      <c r="CJ177">
        <v>0</v>
      </c>
      <c r="CK177">
        <v>150</v>
      </c>
      <c r="CL177">
        <v>19</v>
      </c>
      <c r="CM177">
        <v>0</v>
      </c>
      <c r="CN177">
        <v>129</v>
      </c>
      <c r="CO177">
        <v>68</v>
      </c>
      <c r="CP177">
        <v>0</v>
      </c>
      <c r="CQ177">
        <v>83</v>
      </c>
      <c r="CR177">
        <v>44</v>
      </c>
      <c r="CS177">
        <v>0</v>
      </c>
      <c r="CT177">
        <v>84</v>
      </c>
      <c r="CU177">
        <v>46</v>
      </c>
      <c r="CV177">
        <v>0</v>
      </c>
      <c r="CW177">
        <v>181</v>
      </c>
      <c r="CX177">
        <v>54</v>
      </c>
      <c r="CY177">
        <v>0</v>
      </c>
      <c r="CZ177">
        <v>136</v>
      </c>
      <c r="DA177">
        <v>96</v>
      </c>
      <c r="DB177">
        <v>0</v>
      </c>
      <c r="DC177">
        <v>60</v>
      </c>
      <c r="DD177">
        <v>81</v>
      </c>
      <c r="DE177">
        <v>0</v>
      </c>
      <c r="DF177">
        <v>106</v>
      </c>
      <c r="DG177">
        <v>88</v>
      </c>
      <c r="DH177">
        <v>0</v>
      </c>
      <c r="DI177">
        <v>51</v>
      </c>
      <c r="DJ177">
        <v>90</v>
      </c>
      <c r="DK177">
        <v>0</v>
      </c>
      <c r="DL177">
        <v>155</v>
      </c>
      <c r="DM177">
        <v>65</v>
      </c>
      <c r="DN177">
        <v>0</v>
      </c>
      <c r="DO177">
        <v>144</v>
      </c>
      <c r="DP177">
        <v>92</v>
      </c>
      <c r="DQ177">
        <v>0</v>
      </c>
      <c r="DR177">
        <v>56</v>
      </c>
      <c r="DS177">
        <v>77</v>
      </c>
      <c r="DT177">
        <v>0</v>
      </c>
      <c r="DU177">
        <v>141</v>
      </c>
      <c r="DV177">
        <v>86</v>
      </c>
      <c r="DW177">
        <v>0</v>
      </c>
      <c r="DX177">
        <v>163</v>
      </c>
      <c r="DY177">
        <v>75</v>
      </c>
      <c r="DZ177">
        <v>0</v>
      </c>
    </row>
    <row r="178" spans="2:130" hidden="1">
      <c r="B178" s="1332">
        <f t="shared" si="3"/>
        <v>10.7</v>
      </c>
      <c r="C178" s="1332">
        <f t="shared" si="4"/>
        <v>67</v>
      </c>
      <c r="D178" s="1332">
        <f t="shared" si="5"/>
        <v>9</v>
      </c>
      <c r="F178">
        <v>6559</v>
      </c>
      <c r="G178">
        <v>39</v>
      </c>
      <c r="H178">
        <v>1</v>
      </c>
      <c r="I178">
        <v>7</v>
      </c>
      <c r="J178">
        <v>10</v>
      </c>
      <c r="K178">
        <v>107</v>
      </c>
      <c r="L178">
        <v>67</v>
      </c>
      <c r="M178">
        <v>9</v>
      </c>
      <c r="N178">
        <v>113</v>
      </c>
      <c r="O178">
        <v>92</v>
      </c>
      <c r="P178">
        <v>17</v>
      </c>
      <c r="Q178">
        <v>131</v>
      </c>
      <c r="R178">
        <v>77</v>
      </c>
      <c r="S178">
        <v>8</v>
      </c>
      <c r="T178">
        <v>111</v>
      </c>
      <c r="U178">
        <v>86</v>
      </c>
      <c r="V178">
        <v>24</v>
      </c>
      <c r="W178">
        <v>115</v>
      </c>
      <c r="X178">
        <v>91</v>
      </c>
      <c r="Y178">
        <v>23</v>
      </c>
      <c r="Z178">
        <v>98</v>
      </c>
      <c r="AA178">
        <v>91</v>
      </c>
      <c r="AB178">
        <v>21</v>
      </c>
      <c r="AC178">
        <v>129</v>
      </c>
      <c r="AD178">
        <v>73</v>
      </c>
      <c r="AE178">
        <v>7</v>
      </c>
      <c r="AF178">
        <v>72</v>
      </c>
      <c r="AG178">
        <v>81</v>
      </c>
      <c r="AH178">
        <v>25</v>
      </c>
      <c r="AI178">
        <v>116</v>
      </c>
      <c r="AJ178">
        <v>40</v>
      </c>
      <c r="AK178">
        <v>8</v>
      </c>
      <c r="AL178">
        <v>98</v>
      </c>
      <c r="AM178">
        <v>84</v>
      </c>
      <c r="AN178">
        <v>6</v>
      </c>
      <c r="AO178">
        <v>153</v>
      </c>
      <c r="AP178">
        <v>84</v>
      </c>
      <c r="AQ178">
        <v>20</v>
      </c>
      <c r="AR178">
        <v>142</v>
      </c>
      <c r="AS178">
        <v>98</v>
      </c>
      <c r="AT178">
        <v>10</v>
      </c>
      <c r="AU178">
        <v>81</v>
      </c>
      <c r="AV178">
        <v>50</v>
      </c>
      <c r="AW178">
        <v>11</v>
      </c>
      <c r="AX178">
        <v>108</v>
      </c>
      <c r="AY178">
        <v>95</v>
      </c>
      <c r="AZ178">
        <v>20</v>
      </c>
      <c r="BA178">
        <v>122</v>
      </c>
      <c r="BB178">
        <v>96</v>
      </c>
      <c r="BC178">
        <v>3</v>
      </c>
      <c r="BD178">
        <v>123</v>
      </c>
      <c r="BE178">
        <v>85</v>
      </c>
      <c r="BF178">
        <v>24</v>
      </c>
      <c r="BG178">
        <v>157</v>
      </c>
      <c r="BH178">
        <v>23</v>
      </c>
      <c r="BI178">
        <v>24</v>
      </c>
      <c r="BJ178">
        <v>133</v>
      </c>
      <c r="BK178">
        <v>42</v>
      </c>
      <c r="BL178">
        <v>27</v>
      </c>
      <c r="BM178">
        <v>145</v>
      </c>
      <c r="BN178">
        <v>78</v>
      </c>
      <c r="BO178">
        <v>24</v>
      </c>
      <c r="BP178">
        <v>121</v>
      </c>
      <c r="BQ178">
        <v>95</v>
      </c>
      <c r="BR178">
        <v>25</v>
      </c>
      <c r="BS178">
        <v>132</v>
      </c>
      <c r="BT178">
        <v>63</v>
      </c>
      <c r="BU178">
        <v>22</v>
      </c>
      <c r="BV178">
        <v>107</v>
      </c>
      <c r="BW178">
        <v>66</v>
      </c>
      <c r="BX178">
        <v>27</v>
      </c>
      <c r="BY178">
        <v>117</v>
      </c>
      <c r="BZ178">
        <v>84</v>
      </c>
      <c r="CA178">
        <v>26</v>
      </c>
      <c r="CB178">
        <v>124</v>
      </c>
      <c r="CC178">
        <v>91</v>
      </c>
      <c r="CD178">
        <v>23</v>
      </c>
      <c r="CE178">
        <v>130</v>
      </c>
      <c r="CF178">
        <v>47</v>
      </c>
      <c r="CG178">
        <v>18</v>
      </c>
      <c r="CH178">
        <v>150</v>
      </c>
      <c r="CI178">
        <v>80</v>
      </c>
      <c r="CJ178">
        <v>21</v>
      </c>
      <c r="CK178">
        <v>148</v>
      </c>
      <c r="CL178">
        <v>19</v>
      </c>
      <c r="CM178">
        <v>4</v>
      </c>
      <c r="CN178">
        <v>133</v>
      </c>
      <c r="CO178">
        <v>67</v>
      </c>
      <c r="CP178">
        <v>25</v>
      </c>
      <c r="CQ178">
        <v>80</v>
      </c>
      <c r="CR178">
        <v>44</v>
      </c>
      <c r="CS178">
        <v>9</v>
      </c>
      <c r="CT178">
        <v>74</v>
      </c>
      <c r="CU178">
        <v>55</v>
      </c>
      <c r="CV178">
        <v>7</v>
      </c>
      <c r="CW178">
        <v>178</v>
      </c>
      <c r="CX178">
        <v>55</v>
      </c>
      <c r="CY178">
        <v>26</v>
      </c>
      <c r="CZ178">
        <v>137</v>
      </c>
      <c r="DA178">
        <v>95</v>
      </c>
      <c r="DB178">
        <v>24</v>
      </c>
      <c r="DC178">
        <v>60</v>
      </c>
      <c r="DD178">
        <v>81</v>
      </c>
      <c r="DE178">
        <v>10</v>
      </c>
      <c r="DF178">
        <v>105</v>
      </c>
      <c r="DG178">
        <v>88</v>
      </c>
      <c r="DH178">
        <v>8</v>
      </c>
      <c r="DI178">
        <v>43</v>
      </c>
      <c r="DJ178">
        <v>93</v>
      </c>
      <c r="DK178">
        <v>9</v>
      </c>
      <c r="DL178">
        <v>153</v>
      </c>
      <c r="DM178">
        <v>65</v>
      </c>
      <c r="DN178">
        <v>8</v>
      </c>
      <c r="DO178">
        <v>145</v>
      </c>
      <c r="DP178">
        <v>91</v>
      </c>
      <c r="DQ178">
        <v>22</v>
      </c>
      <c r="DR178">
        <v>62</v>
      </c>
      <c r="DS178">
        <v>75</v>
      </c>
      <c r="DT178">
        <v>5</v>
      </c>
      <c r="DU178">
        <v>152</v>
      </c>
      <c r="DV178">
        <v>82</v>
      </c>
      <c r="DW178">
        <v>24</v>
      </c>
      <c r="DX178">
        <v>159</v>
      </c>
      <c r="DY178">
        <v>78</v>
      </c>
      <c r="DZ178">
        <v>25</v>
      </c>
    </row>
    <row r="179" spans="2:130" hidden="1">
      <c r="B179" s="1332">
        <f t="shared" si="3"/>
        <v>11.4</v>
      </c>
      <c r="C179" s="1332">
        <f t="shared" si="4"/>
        <v>67</v>
      </c>
      <c r="D179" s="1332">
        <f t="shared" si="5"/>
        <v>53</v>
      </c>
      <c r="F179">
        <v>6560</v>
      </c>
      <c r="G179">
        <v>39</v>
      </c>
      <c r="H179">
        <v>1</v>
      </c>
      <c r="I179">
        <v>8</v>
      </c>
      <c r="J179">
        <v>10</v>
      </c>
      <c r="K179">
        <v>114</v>
      </c>
      <c r="L179">
        <v>67</v>
      </c>
      <c r="M179">
        <v>53</v>
      </c>
      <c r="N179">
        <v>143</v>
      </c>
      <c r="O179">
        <v>85</v>
      </c>
      <c r="P179">
        <v>56</v>
      </c>
      <c r="Q179">
        <v>136</v>
      </c>
      <c r="R179">
        <v>78</v>
      </c>
      <c r="S179">
        <v>52</v>
      </c>
      <c r="T179">
        <v>130</v>
      </c>
      <c r="U179">
        <v>80</v>
      </c>
      <c r="V179">
        <v>54</v>
      </c>
      <c r="W179">
        <v>141</v>
      </c>
      <c r="X179">
        <v>86</v>
      </c>
      <c r="Y179">
        <v>56</v>
      </c>
      <c r="Z179">
        <v>119</v>
      </c>
      <c r="AA179">
        <v>87</v>
      </c>
      <c r="AB179">
        <v>57</v>
      </c>
      <c r="AC179">
        <v>140</v>
      </c>
      <c r="AD179">
        <v>68</v>
      </c>
      <c r="AE179">
        <v>26</v>
      </c>
      <c r="AF179">
        <v>97</v>
      </c>
      <c r="AG179">
        <v>70</v>
      </c>
      <c r="AH179">
        <v>62</v>
      </c>
      <c r="AI179">
        <v>143</v>
      </c>
      <c r="AJ179">
        <v>36</v>
      </c>
      <c r="AK179">
        <v>46</v>
      </c>
      <c r="AL179">
        <v>124</v>
      </c>
      <c r="AM179">
        <v>80</v>
      </c>
      <c r="AN179">
        <v>57</v>
      </c>
      <c r="AO179">
        <v>162</v>
      </c>
      <c r="AP179">
        <v>78</v>
      </c>
      <c r="AQ179">
        <v>52</v>
      </c>
      <c r="AR179">
        <v>150</v>
      </c>
      <c r="AS179">
        <v>94</v>
      </c>
      <c r="AT179">
        <v>42</v>
      </c>
      <c r="AU179">
        <v>92</v>
      </c>
      <c r="AV179">
        <v>48</v>
      </c>
      <c r="AW179">
        <v>61</v>
      </c>
      <c r="AX179">
        <v>125</v>
      </c>
      <c r="AY179">
        <v>97</v>
      </c>
      <c r="AZ179">
        <v>58</v>
      </c>
      <c r="BA179">
        <v>129</v>
      </c>
      <c r="BB179">
        <v>95</v>
      </c>
      <c r="BC179">
        <v>32</v>
      </c>
      <c r="BD179">
        <v>161</v>
      </c>
      <c r="BE179">
        <v>65</v>
      </c>
      <c r="BF179">
        <v>53</v>
      </c>
      <c r="BG179">
        <v>160</v>
      </c>
      <c r="BH179">
        <v>41</v>
      </c>
      <c r="BI179">
        <v>50</v>
      </c>
      <c r="BJ179">
        <v>154</v>
      </c>
      <c r="BK179">
        <v>41</v>
      </c>
      <c r="BL179">
        <v>53</v>
      </c>
      <c r="BM179">
        <v>160</v>
      </c>
      <c r="BN179">
        <v>73</v>
      </c>
      <c r="BO179">
        <v>62</v>
      </c>
      <c r="BP179">
        <v>147</v>
      </c>
      <c r="BQ179">
        <v>85</v>
      </c>
      <c r="BR179">
        <v>52</v>
      </c>
      <c r="BS179">
        <v>184</v>
      </c>
      <c r="BT179">
        <v>54</v>
      </c>
      <c r="BU179">
        <v>59</v>
      </c>
      <c r="BV179">
        <v>126</v>
      </c>
      <c r="BW179">
        <v>65</v>
      </c>
      <c r="BX179">
        <v>57</v>
      </c>
      <c r="BY179">
        <v>127</v>
      </c>
      <c r="BZ179">
        <v>83</v>
      </c>
      <c r="CA179">
        <v>55</v>
      </c>
      <c r="CB179">
        <v>144</v>
      </c>
      <c r="CC179">
        <v>85</v>
      </c>
      <c r="CD179">
        <v>57</v>
      </c>
      <c r="CE179">
        <v>144</v>
      </c>
      <c r="CF179">
        <v>43</v>
      </c>
      <c r="CG179">
        <v>56</v>
      </c>
      <c r="CH179">
        <v>166</v>
      </c>
      <c r="CI179">
        <v>81</v>
      </c>
      <c r="CJ179">
        <v>53</v>
      </c>
      <c r="CK179">
        <v>151</v>
      </c>
      <c r="CL179">
        <v>20</v>
      </c>
      <c r="CM179">
        <v>8</v>
      </c>
      <c r="CN179">
        <v>149</v>
      </c>
      <c r="CO179">
        <v>66</v>
      </c>
      <c r="CP179">
        <v>57</v>
      </c>
      <c r="CQ179">
        <v>72</v>
      </c>
      <c r="CR179">
        <v>47</v>
      </c>
      <c r="CS179">
        <v>39</v>
      </c>
      <c r="CT179">
        <v>92</v>
      </c>
      <c r="CU179">
        <v>48</v>
      </c>
      <c r="CV179">
        <v>54</v>
      </c>
      <c r="CW179">
        <v>186</v>
      </c>
      <c r="CX179">
        <v>57</v>
      </c>
      <c r="CY179">
        <v>56</v>
      </c>
      <c r="CZ179">
        <v>160</v>
      </c>
      <c r="DA179">
        <v>87</v>
      </c>
      <c r="DB179">
        <v>53</v>
      </c>
      <c r="DC179">
        <v>82</v>
      </c>
      <c r="DD179">
        <v>77</v>
      </c>
      <c r="DE179">
        <v>62</v>
      </c>
      <c r="DF179">
        <v>127</v>
      </c>
      <c r="DG179">
        <v>79</v>
      </c>
      <c r="DH179">
        <v>60</v>
      </c>
      <c r="DI179">
        <v>67</v>
      </c>
      <c r="DJ179">
        <v>87</v>
      </c>
      <c r="DK179">
        <v>56</v>
      </c>
      <c r="DL179">
        <v>160</v>
      </c>
      <c r="DM179">
        <v>64</v>
      </c>
      <c r="DN179">
        <v>55</v>
      </c>
      <c r="DO179">
        <v>163</v>
      </c>
      <c r="DP179">
        <v>84</v>
      </c>
      <c r="DQ179">
        <v>55</v>
      </c>
      <c r="DR179">
        <v>71</v>
      </c>
      <c r="DS179">
        <v>73</v>
      </c>
      <c r="DT179">
        <v>33</v>
      </c>
      <c r="DU179">
        <v>162</v>
      </c>
      <c r="DV179">
        <v>80</v>
      </c>
      <c r="DW179">
        <v>54</v>
      </c>
      <c r="DX179">
        <v>165</v>
      </c>
      <c r="DY179">
        <v>76</v>
      </c>
      <c r="DZ179">
        <v>52</v>
      </c>
    </row>
    <row r="180" spans="2:130" hidden="1">
      <c r="B180" s="1332">
        <f t="shared" si="3"/>
        <v>15.8</v>
      </c>
      <c r="C180" s="1332">
        <f t="shared" si="4"/>
        <v>59</v>
      </c>
      <c r="D180" s="1332">
        <f t="shared" si="5"/>
        <v>180</v>
      </c>
      <c r="F180">
        <v>6561</v>
      </c>
      <c r="G180">
        <v>39</v>
      </c>
      <c r="H180">
        <v>1</v>
      </c>
      <c r="I180">
        <v>9</v>
      </c>
      <c r="J180">
        <v>10</v>
      </c>
      <c r="K180">
        <v>158</v>
      </c>
      <c r="L180">
        <v>59</v>
      </c>
      <c r="M180">
        <v>180</v>
      </c>
      <c r="N180">
        <v>173</v>
      </c>
      <c r="O180">
        <v>65</v>
      </c>
      <c r="P180">
        <v>73</v>
      </c>
      <c r="Q180">
        <v>177</v>
      </c>
      <c r="R180">
        <v>64</v>
      </c>
      <c r="S180">
        <v>79</v>
      </c>
      <c r="T180">
        <v>161</v>
      </c>
      <c r="U180">
        <v>66</v>
      </c>
      <c r="V180">
        <v>84</v>
      </c>
      <c r="W180">
        <v>167</v>
      </c>
      <c r="X180">
        <v>78</v>
      </c>
      <c r="Y180">
        <v>86</v>
      </c>
      <c r="Z180">
        <v>141</v>
      </c>
      <c r="AA180">
        <v>79</v>
      </c>
      <c r="AB180">
        <v>83</v>
      </c>
      <c r="AC180">
        <v>178</v>
      </c>
      <c r="AD180">
        <v>55</v>
      </c>
      <c r="AE180">
        <v>87</v>
      </c>
      <c r="AF180">
        <v>127</v>
      </c>
      <c r="AG180">
        <v>61</v>
      </c>
      <c r="AH180">
        <v>77</v>
      </c>
      <c r="AI180">
        <v>166</v>
      </c>
      <c r="AJ180">
        <v>35</v>
      </c>
      <c r="AK180">
        <v>84</v>
      </c>
      <c r="AL180">
        <v>162</v>
      </c>
      <c r="AM180">
        <v>62</v>
      </c>
      <c r="AN180">
        <v>74</v>
      </c>
      <c r="AO180">
        <v>183</v>
      </c>
      <c r="AP180">
        <v>69</v>
      </c>
      <c r="AQ180">
        <v>83</v>
      </c>
      <c r="AR180">
        <v>159</v>
      </c>
      <c r="AS180">
        <v>90</v>
      </c>
      <c r="AT180">
        <v>76</v>
      </c>
      <c r="AU180">
        <v>92</v>
      </c>
      <c r="AV180">
        <v>52</v>
      </c>
      <c r="AW180">
        <v>73</v>
      </c>
      <c r="AX180">
        <v>140</v>
      </c>
      <c r="AY180">
        <v>86</v>
      </c>
      <c r="AZ180">
        <v>80</v>
      </c>
      <c r="BA180">
        <v>142</v>
      </c>
      <c r="BB180">
        <v>93</v>
      </c>
      <c r="BC180">
        <v>77</v>
      </c>
      <c r="BD180">
        <v>180</v>
      </c>
      <c r="BE180">
        <v>56</v>
      </c>
      <c r="BF180">
        <v>73</v>
      </c>
      <c r="BG180">
        <v>183</v>
      </c>
      <c r="BH180">
        <v>38</v>
      </c>
      <c r="BI180">
        <v>72</v>
      </c>
      <c r="BJ180">
        <v>174</v>
      </c>
      <c r="BK180">
        <v>47</v>
      </c>
      <c r="BL180">
        <v>74</v>
      </c>
      <c r="BM180">
        <v>179</v>
      </c>
      <c r="BN180">
        <v>71</v>
      </c>
      <c r="BO180">
        <v>78</v>
      </c>
      <c r="BP180">
        <v>171</v>
      </c>
      <c r="BQ180">
        <v>76</v>
      </c>
      <c r="BR180">
        <v>76</v>
      </c>
      <c r="BS180">
        <v>204</v>
      </c>
      <c r="BT180">
        <v>48</v>
      </c>
      <c r="BU180">
        <v>74</v>
      </c>
      <c r="BV180">
        <v>148</v>
      </c>
      <c r="BW180">
        <v>59</v>
      </c>
      <c r="BX180">
        <v>74</v>
      </c>
      <c r="BY180">
        <v>141</v>
      </c>
      <c r="BZ180">
        <v>82</v>
      </c>
      <c r="CA180">
        <v>73</v>
      </c>
      <c r="CB180">
        <v>168</v>
      </c>
      <c r="CC180">
        <v>81</v>
      </c>
      <c r="CD180">
        <v>85</v>
      </c>
      <c r="CE180">
        <v>158</v>
      </c>
      <c r="CF180">
        <v>37</v>
      </c>
      <c r="CG180">
        <v>75</v>
      </c>
      <c r="CH180">
        <v>177</v>
      </c>
      <c r="CI180">
        <v>79</v>
      </c>
      <c r="CJ180">
        <v>76</v>
      </c>
      <c r="CK180">
        <v>169</v>
      </c>
      <c r="CL180">
        <v>19</v>
      </c>
      <c r="CM180">
        <v>81</v>
      </c>
      <c r="CN180">
        <v>168</v>
      </c>
      <c r="CO180">
        <v>61</v>
      </c>
      <c r="CP180">
        <v>84</v>
      </c>
      <c r="CQ180">
        <v>98</v>
      </c>
      <c r="CR180">
        <v>40</v>
      </c>
      <c r="CS180">
        <v>90</v>
      </c>
      <c r="CT180">
        <v>107</v>
      </c>
      <c r="CU180">
        <v>43</v>
      </c>
      <c r="CV180">
        <v>84</v>
      </c>
      <c r="CW180">
        <v>194</v>
      </c>
      <c r="CX180">
        <v>57</v>
      </c>
      <c r="CY180">
        <v>86</v>
      </c>
      <c r="CZ180">
        <v>187</v>
      </c>
      <c r="DA180">
        <v>76</v>
      </c>
      <c r="DB180">
        <v>71</v>
      </c>
      <c r="DC180">
        <v>104</v>
      </c>
      <c r="DD180">
        <v>67</v>
      </c>
      <c r="DE180">
        <v>85</v>
      </c>
      <c r="DF180">
        <v>157</v>
      </c>
      <c r="DG180">
        <v>69</v>
      </c>
      <c r="DH180">
        <v>72</v>
      </c>
      <c r="DI180">
        <v>108</v>
      </c>
      <c r="DJ180">
        <v>71</v>
      </c>
      <c r="DK180">
        <v>75</v>
      </c>
      <c r="DL180">
        <v>182</v>
      </c>
      <c r="DM180">
        <v>56</v>
      </c>
      <c r="DN180">
        <v>82</v>
      </c>
      <c r="DO180">
        <v>178</v>
      </c>
      <c r="DP180">
        <v>77</v>
      </c>
      <c r="DQ180">
        <v>75</v>
      </c>
      <c r="DR180">
        <v>114</v>
      </c>
      <c r="DS180">
        <v>57</v>
      </c>
      <c r="DT180">
        <v>89</v>
      </c>
      <c r="DU180">
        <v>177</v>
      </c>
      <c r="DV180">
        <v>75</v>
      </c>
      <c r="DW180">
        <v>85</v>
      </c>
      <c r="DX180">
        <v>186</v>
      </c>
      <c r="DY180">
        <v>69</v>
      </c>
      <c r="DZ180">
        <v>70</v>
      </c>
    </row>
    <row r="181" spans="2:130" hidden="1">
      <c r="B181" s="1332">
        <f t="shared" si="3"/>
        <v>18.100000000000001</v>
      </c>
      <c r="C181" s="1332">
        <f t="shared" si="4"/>
        <v>51</v>
      </c>
      <c r="D181" s="1332">
        <f t="shared" si="5"/>
        <v>219</v>
      </c>
      <c r="F181">
        <v>6562</v>
      </c>
      <c r="G181">
        <v>39</v>
      </c>
      <c r="H181">
        <v>1</v>
      </c>
      <c r="I181">
        <v>10</v>
      </c>
      <c r="J181">
        <v>10</v>
      </c>
      <c r="K181">
        <v>181</v>
      </c>
      <c r="L181">
        <v>51</v>
      </c>
      <c r="M181">
        <v>219</v>
      </c>
      <c r="N181">
        <v>190</v>
      </c>
      <c r="O181">
        <v>62</v>
      </c>
      <c r="P181">
        <v>89</v>
      </c>
      <c r="Q181">
        <v>214</v>
      </c>
      <c r="R181">
        <v>50</v>
      </c>
      <c r="S181">
        <v>89</v>
      </c>
      <c r="T181">
        <v>181</v>
      </c>
      <c r="U181">
        <v>59</v>
      </c>
      <c r="V181">
        <v>108</v>
      </c>
      <c r="W181">
        <v>190</v>
      </c>
      <c r="X181">
        <v>69</v>
      </c>
      <c r="Y181">
        <v>106</v>
      </c>
      <c r="Z181">
        <v>166</v>
      </c>
      <c r="AA181">
        <v>70</v>
      </c>
      <c r="AB181">
        <v>108</v>
      </c>
      <c r="AC181">
        <v>206</v>
      </c>
      <c r="AD181">
        <v>46</v>
      </c>
      <c r="AE181">
        <v>88</v>
      </c>
      <c r="AF181">
        <v>160</v>
      </c>
      <c r="AG181">
        <v>52</v>
      </c>
      <c r="AH181">
        <v>90</v>
      </c>
      <c r="AI181">
        <v>173</v>
      </c>
      <c r="AJ181">
        <v>37</v>
      </c>
      <c r="AK181">
        <v>91</v>
      </c>
      <c r="AL181">
        <v>187</v>
      </c>
      <c r="AM181">
        <v>58</v>
      </c>
      <c r="AN181">
        <v>87</v>
      </c>
      <c r="AO181">
        <v>203</v>
      </c>
      <c r="AP181">
        <v>60</v>
      </c>
      <c r="AQ181">
        <v>93</v>
      </c>
      <c r="AR181">
        <v>177</v>
      </c>
      <c r="AS181">
        <v>82</v>
      </c>
      <c r="AT181">
        <v>93</v>
      </c>
      <c r="AU181">
        <v>98</v>
      </c>
      <c r="AV181">
        <v>52</v>
      </c>
      <c r="AW181">
        <v>87</v>
      </c>
      <c r="AX181">
        <v>152</v>
      </c>
      <c r="AY181">
        <v>82</v>
      </c>
      <c r="AZ181">
        <v>95</v>
      </c>
      <c r="BA181">
        <v>160</v>
      </c>
      <c r="BB181">
        <v>84</v>
      </c>
      <c r="BC181">
        <v>100</v>
      </c>
      <c r="BD181">
        <v>200</v>
      </c>
      <c r="BE181">
        <v>50</v>
      </c>
      <c r="BF181">
        <v>86</v>
      </c>
      <c r="BG181">
        <v>192</v>
      </c>
      <c r="BH181">
        <v>30</v>
      </c>
      <c r="BI181">
        <v>86</v>
      </c>
      <c r="BJ181">
        <v>193</v>
      </c>
      <c r="BK181">
        <v>39</v>
      </c>
      <c r="BL181">
        <v>88</v>
      </c>
      <c r="BM181">
        <v>191</v>
      </c>
      <c r="BN181">
        <v>70</v>
      </c>
      <c r="BO181">
        <v>89</v>
      </c>
      <c r="BP181">
        <v>192</v>
      </c>
      <c r="BQ181">
        <v>66</v>
      </c>
      <c r="BR181">
        <v>91</v>
      </c>
      <c r="BS181">
        <v>226</v>
      </c>
      <c r="BT181">
        <v>42</v>
      </c>
      <c r="BU181">
        <v>87</v>
      </c>
      <c r="BV181">
        <v>170</v>
      </c>
      <c r="BW181">
        <v>55</v>
      </c>
      <c r="BX181">
        <v>91</v>
      </c>
      <c r="BY181">
        <v>154</v>
      </c>
      <c r="BZ181">
        <v>79</v>
      </c>
      <c r="CA181">
        <v>86</v>
      </c>
      <c r="CB181">
        <v>191</v>
      </c>
      <c r="CC181">
        <v>72</v>
      </c>
      <c r="CD181">
        <v>103</v>
      </c>
      <c r="CE181">
        <v>177</v>
      </c>
      <c r="CF181">
        <v>31</v>
      </c>
      <c r="CG181">
        <v>90</v>
      </c>
      <c r="CH181">
        <v>180</v>
      </c>
      <c r="CI181">
        <v>79</v>
      </c>
      <c r="CJ181">
        <v>91</v>
      </c>
      <c r="CK181">
        <v>182</v>
      </c>
      <c r="CL181">
        <v>20</v>
      </c>
      <c r="CM181">
        <v>102</v>
      </c>
      <c r="CN181">
        <v>178</v>
      </c>
      <c r="CO181">
        <v>57</v>
      </c>
      <c r="CP181">
        <v>107</v>
      </c>
      <c r="CQ181">
        <v>113</v>
      </c>
      <c r="CR181">
        <v>34</v>
      </c>
      <c r="CS181">
        <v>87</v>
      </c>
      <c r="CT181">
        <v>115</v>
      </c>
      <c r="CU181">
        <v>39</v>
      </c>
      <c r="CV181">
        <v>89</v>
      </c>
      <c r="CW181">
        <v>201</v>
      </c>
      <c r="CX181">
        <v>59</v>
      </c>
      <c r="CY181">
        <v>91</v>
      </c>
      <c r="CZ181">
        <v>208</v>
      </c>
      <c r="DA181">
        <v>65</v>
      </c>
      <c r="DB181">
        <v>88</v>
      </c>
      <c r="DC181">
        <v>139</v>
      </c>
      <c r="DD181">
        <v>55</v>
      </c>
      <c r="DE181">
        <v>98</v>
      </c>
      <c r="DF181">
        <v>185</v>
      </c>
      <c r="DG181">
        <v>59</v>
      </c>
      <c r="DH181">
        <v>86</v>
      </c>
      <c r="DI181">
        <v>139</v>
      </c>
      <c r="DJ181">
        <v>57</v>
      </c>
      <c r="DK181">
        <v>87</v>
      </c>
      <c r="DL181">
        <v>204</v>
      </c>
      <c r="DM181">
        <v>51</v>
      </c>
      <c r="DN181">
        <v>86</v>
      </c>
      <c r="DO181">
        <v>190</v>
      </c>
      <c r="DP181">
        <v>72</v>
      </c>
      <c r="DQ181">
        <v>88</v>
      </c>
      <c r="DR181">
        <v>154</v>
      </c>
      <c r="DS181">
        <v>43</v>
      </c>
      <c r="DT181">
        <v>99</v>
      </c>
      <c r="DU181">
        <v>200</v>
      </c>
      <c r="DV181">
        <v>65</v>
      </c>
      <c r="DW181">
        <v>101</v>
      </c>
      <c r="DX181">
        <v>197</v>
      </c>
      <c r="DY181">
        <v>65</v>
      </c>
      <c r="DZ181">
        <v>82</v>
      </c>
    </row>
    <row r="182" spans="2:130" hidden="1">
      <c r="B182" s="1332">
        <f t="shared" si="3"/>
        <v>19.3</v>
      </c>
      <c r="C182" s="1332">
        <f t="shared" si="4"/>
        <v>53</v>
      </c>
      <c r="D182" s="1332">
        <f t="shared" si="5"/>
        <v>251</v>
      </c>
      <c r="F182">
        <v>6563</v>
      </c>
      <c r="G182">
        <v>39</v>
      </c>
      <c r="H182">
        <v>1</v>
      </c>
      <c r="I182">
        <v>11</v>
      </c>
      <c r="J182">
        <v>10</v>
      </c>
      <c r="K182">
        <v>193</v>
      </c>
      <c r="L182">
        <v>53</v>
      </c>
      <c r="M182">
        <v>251</v>
      </c>
      <c r="N182">
        <v>206</v>
      </c>
      <c r="O182">
        <v>59</v>
      </c>
      <c r="P182">
        <v>98</v>
      </c>
      <c r="Q182">
        <v>206</v>
      </c>
      <c r="R182">
        <v>54</v>
      </c>
      <c r="S182">
        <v>102</v>
      </c>
      <c r="T182">
        <v>200</v>
      </c>
      <c r="U182">
        <v>54</v>
      </c>
      <c r="V182">
        <v>115</v>
      </c>
      <c r="W182">
        <v>205</v>
      </c>
      <c r="X182">
        <v>61</v>
      </c>
      <c r="Y182">
        <v>104</v>
      </c>
      <c r="Z182">
        <v>189</v>
      </c>
      <c r="AA182">
        <v>61</v>
      </c>
      <c r="AB182">
        <v>109</v>
      </c>
      <c r="AC182">
        <v>233</v>
      </c>
      <c r="AD182">
        <v>39</v>
      </c>
      <c r="AE182">
        <v>101</v>
      </c>
      <c r="AF182">
        <v>191</v>
      </c>
      <c r="AG182">
        <v>40</v>
      </c>
      <c r="AH182">
        <v>98</v>
      </c>
      <c r="AI182">
        <v>199</v>
      </c>
      <c r="AJ182">
        <v>28</v>
      </c>
      <c r="AK182">
        <v>99</v>
      </c>
      <c r="AL182">
        <v>190</v>
      </c>
      <c r="AM182">
        <v>55</v>
      </c>
      <c r="AN182">
        <v>98</v>
      </c>
      <c r="AO182">
        <v>218</v>
      </c>
      <c r="AP182">
        <v>53</v>
      </c>
      <c r="AQ182">
        <v>103</v>
      </c>
      <c r="AR182">
        <v>183</v>
      </c>
      <c r="AS182">
        <v>79</v>
      </c>
      <c r="AT182">
        <v>106</v>
      </c>
      <c r="AU182">
        <v>98</v>
      </c>
      <c r="AV182">
        <v>54</v>
      </c>
      <c r="AW182">
        <v>97</v>
      </c>
      <c r="AX182">
        <v>170</v>
      </c>
      <c r="AY182">
        <v>74</v>
      </c>
      <c r="AZ182">
        <v>112</v>
      </c>
      <c r="BA182">
        <v>172</v>
      </c>
      <c r="BB182">
        <v>76</v>
      </c>
      <c r="BC182">
        <v>99</v>
      </c>
      <c r="BD182">
        <v>221</v>
      </c>
      <c r="BE182">
        <v>43</v>
      </c>
      <c r="BF182">
        <v>97</v>
      </c>
      <c r="BG182">
        <v>192</v>
      </c>
      <c r="BH182">
        <v>34</v>
      </c>
      <c r="BI182">
        <v>96</v>
      </c>
      <c r="BJ182">
        <v>218</v>
      </c>
      <c r="BK182">
        <v>33</v>
      </c>
      <c r="BL182">
        <v>98</v>
      </c>
      <c r="BM182">
        <v>208</v>
      </c>
      <c r="BN182">
        <v>63</v>
      </c>
      <c r="BO182">
        <v>104</v>
      </c>
      <c r="BP182">
        <v>204</v>
      </c>
      <c r="BQ182">
        <v>65</v>
      </c>
      <c r="BR182">
        <v>102</v>
      </c>
      <c r="BS182">
        <v>259</v>
      </c>
      <c r="BT182">
        <v>24</v>
      </c>
      <c r="BU182">
        <v>97</v>
      </c>
      <c r="BV182">
        <v>178</v>
      </c>
      <c r="BW182">
        <v>56</v>
      </c>
      <c r="BX182">
        <v>96</v>
      </c>
      <c r="BY182">
        <v>172</v>
      </c>
      <c r="BZ182">
        <v>68</v>
      </c>
      <c r="CA182">
        <v>98</v>
      </c>
      <c r="CB182">
        <v>208</v>
      </c>
      <c r="CC182">
        <v>66</v>
      </c>
      <c r="CD182">
        <v>113</v>
      </c>
      <c r="CE182">
        <v>192</v>
      </c>
      <c r="CF182">
        <v>26</v>
      </c>
      <c r="CG182">
        <v>98</v>
      </c>
      <c r="CH182">
        <v>190</v>
      </c>
      <c r="CI182">
        <v>74</v>
      </c>
      <c r="CJ182">
        <v>101</v>
      </c>
      <c r="CK182">
        <v>185</v>
      </c>
      <c r="CL182">
        <v>20</v>
      </c>
      <c r="CM182">
        <v>99</v>
      </c>
      <c r="CN182">
        <v>186</v>
      </c>
      <c r="CO182">
        <v>56</v>
      </c>
      <c r="CP182">
        <v>116</v>
      </c>
      <c r="CQ182">
        <v>125</v>
      </c>
      <c r="CR182">
        <v>31</v>
      </c>
      <c r="CS182">
        <v>96</v>
      </c>
      <c r="CT182">
        <v>124</v>
      </c>
      <c r="CU182">
        <v>36</v>
      </c>
      <c r="CV182">
        <v>98</v>
      </c>
      <c r="CW182">
        <v>194</v>
      </c>
      <c r="CX182">
        <v>59</v>
      </c>
      <c r="CY182">
        <v>98</v>
      </c>
      <c r="CZ182">
        <v>215</v>
      </c>
      <c r="DA182">
        <v>66</v>
      </c>
      <c r="DB182">
        <v>96</v>
      </c>
      <c r="DC182">
        <v>165</v>
      </c>
      <c r="DD182">
        <v>43</v>
      </c>
      <c r="DE182">
        <v>113</v>
      </c>
      <c r="DF182">
        <v>208</v>
      </c>
      <c r="DG182">
        <v>51</v>
      </c>
      <c r="DH182">
        <v>96</v>
      </c>
      <c r="DI182">
        <v>163</v>
      </c>
      <c r="DJ182">
        <v>45</v>
      </c>
      <c r="DK182">
        <v>97</v>
      </c>
      <c r="DL182">
        <v>224</v>
      </c>
      <c r="DM182">
        <v>45</v>
      </c>
      <c r="DN182">
        <v>96</v>
      </c>
      <c r="DO182">
        <v>205</v>
      </c>
      <c r="DP182">
        <v>63</v>
      </c>
      <c r="DQ182">
        <v>99</v>
      </c>
      <c r="DR182">
        <v>171</v>
      </c>
      <c r="DS182">
        <v>38</v>
      </c>
      <c r="DT182">
        <v>106</v>
      </c>
      <c r="DU182">
        <v>210</v>
      </c>
      <c r="DV182">
        <v>57</v>
      </c>
      <c r="DW182">
        <v>129</v>
      </c>
      <c r="DX182">
        <v>207</v>
      </c>
      <c r="DY182">
        <v>62</v>
      </c>
      <c r="DZ182">
        <v>92</v>
      </c>
    </row>
    <row r="183" spans="2:130" hidden="1">
      <c r="B183" s="1332">
        <f t="shared" si="3"/>
        <v>20.3</v>
      </c>
      <c r="C183" s="1332">
        <f t="shared" si="4"/>
        <v>50</v>
      </c>
      <c r="D183" s="1332">
        <f t="shared" si="5"/>
        <v>269</v>
      </c>
      <c r="F183">
        <v>6564</v>
      </c>
      <c r="G183">
        <v>39</v>
      </c>
      <c r="H183">
        <v>1</v>
      </c>
      <c r="I183">
        <v>12</v>
      </c>
      <c r="J183">
        <v>10</v>
      </c>
      <c r="K183">
        <v>203</v>
      </c>
      <c r="L183">
        <v>50</v>
      </c>
      <c r="M183">
        <v>269</v>
      </c>
      <c r="N183">
        <v>208</v>
      </c>
      <c r="O183">
        <v>59</v>
      </c>
      <c r="P183">
        <v>111</v>
      </c>
      <c r="Q183">
        <v>214</v>
      </c>
      <c r="R183">
        <v>56</v>
      </c>
      <c r="S183">
        <v>115</v>
      </c>
      <c r="T183">
        <v>222</v>
      </c>
      <c r="U183">
        <v>49</v>
      </c>
      <c r="V183">
        <v>126</v>
      </c>
      <c r="W183">
        <v>207</v>
      </c>
      <c r="X183">
        <v>58</v>
      </c>
      <c r="Y183">
        <v>117</v>
      </c>
      <c r="Z183">
        <v>215</v>
      </c>
      <c r="AA183">
        <v>50</v>
      </c>
      <c r="AB183">
        <v>130</v>
      </c>
      <c r="AC183">
        <v>256</v>
      </c>
      <c r="AD183">
        <v>35</v>
      </c>
      <c r="AE183">
        <v>114</v>
      </c>
      <c r="AF183">
        <v>212</v>
      </c>
      <c r="AG183">
        <v>34</v>
      </c>
      <c r="AH183">
        <v>106</v>
      </c>
      <c r="AI183">
        <v>210</v>
      </c>
      <c r="AJ183">
        <v>22</v>
      </c>
      <c r="AK183">
        <v>109</v>
      </c>
      <c r="AL183">
        <v>201</v>
      </c>
      <c r="AM183">
        <v>54</v>
      </c>
      <c r="AN183">
        <v>106</v>
      </c>
      <c r="AO183">
        <v>229</v>
      </c>
      <c r="AP183">
        <v>50</v>
      </c>
      <c r="AQ183">
        <v>116</v>
      </c>
      <c r="AR183">
        <v>190</v>
      </c>
      <c r="AS183">
        <v>71</v>
      </c>
      <c r="AT183">
        <v>121</v>
      </c>
      <c r="AU183">
        <v>100</v>
      </c>
      <c r="AV183">
        <v>54</v>
      </c>
      <c r="AW183">
        <v>105</v>
      </c>
      <c r="AX183">
        <v>186</v>
      </c>
      <c r="AY183">
        <v>63</v>
      </c>
      <c r="AZ183">
        <v>127</v>
      </c>
      <c r="BA183">
        <v>183</v>
      </c>
      <c r="BB183">
        <v>68</v>
      </c>
      <c r="BC183">
        <v>107</v>
      </c>
      <c r="BD183">
        <v>230</v>
      </c>
      <c r="BE183">
        <v>40</v>
      </c>
      <c r="BF183">
        <v>105</v>
      </c>
      <c r="BG183">
        <v>200</v>
      </c>
      <c r="BH183">
        <v>33</v>
      </c>
      <c r="BI183">
        <v>103</v>
      </c>
      <c r="BJ183">
        <v>240</v>
      </c>
      <c r="BK183">
        <v>26</v>
      </c>
      <c r="BL183">
        <v>106</v>
      </c>
      <c r="BM183">
        <v>226</v>
      </c>
      <c r="BN183">
        <v>53</v>
      </c>
      <c r="BO183">
        <v>119</v>
      </c>
      <c r="BP183">
        <v>217</v>
      </c>
      <c r="BQ183">
        <v>62</v>
      </c>
      <c r="BR183">
        <v>113</v>
      </c>
      <c r="BS183">
        <v>270</v>
      </c>
      <c r="BT183">
        <v>20</v>
      </c>
      <c r="BU183">
        <v>108</v>
      </c>
      <c r="BV183">
        <v>188</v>
      </c>
      <c r="BW183">
        <v>48</v>
      </c>
      <c r="BX183">
        <v>105</v>
      </c>
      <c r="BY183">
        <v>188</v>
      </c>
      <c r="BZ183">
        <v>62</v>
      </c>
      <c r="CA183">
        <v>112</v>
      </c>
      <c r="CB183">
        <v>215</v>
      </c>
      <c r="CC183">
        <v>56</v>
      </c>
      <c r="CD183">
        <v>131</v>
      </c>
      <c r="CE183">
        <v>202</v>
      </c>
      <c r="CF183">
        <v>23</v>
      </c>
      <c r="CG183">
        <v>110</v>
      </c>
      <c r="CH183">
        <v>203</v>
      </c>
      <c r="CI183">
        <v>66</v>
      </c>
      <c r="CJ183">
        <v>113</v>
      </c>
      <c r="CK183">
        <v>188</v>
      </c>
      <c r="CL183">
        <v>20</v>
      </c>
      <c r="CM183">
        <v>112</v>
      </c>
      <c r="CN183">
        <v>199</v>
      </c>
      <c r="CO183">
        <v>50</v>
      </c>
      <c r="CP183">
        <v>116</v>
      </c>
      <c r="CQ183">
        <v>131</v>
      </c>
      <c r="CR183">
        <v>30</v>
      </c>
      <c r="CS183">
        <v>105</v>
      </c>
      <c r="CT183">
        <v>132</v>
      </c>
      <c r="CU183">
        <v>33</v>
      </c>
      <c r="CV183">
        <v>106</v>
      </c>
      <c r="CW183">
        <v>202</v>
      </c>
      <c r="CX183">
        <v>56</v>
      </c>
      <c r="CY183">
        <v>108</v>
      </c>
      <c r="CZ183">
        <v>228</v>
      </c>
      <c r="DA183">
        <v>56</v>
      </c>
      <c r="DB183">
        <v>107</v>
      </c>
      <c r="DC183">
        <v>183</v>
      </c>
      <c r="DD183">
        <v>32</v>
      </c>
      <c r="DE183">
        <v>135</v>
      </c>
      <c r="DF183">
        <v>230</v>
      </c>
      <c r="DG183">
        <v>43</v>
      </c>
      <c r="DH183">
        <v>114</v>
      </c>
      <c r="DI183">
        <v>175</v>
      </c>
      <c r="DJ183">
        <v>42</v>
      </c>
      <c r="DK183">
        <v>106</v>
      </c>
      <c r="DL183">
        <v>245</v>
      </c>
      <c r="DM183">
        <v>43</v>
      </c>
      <c r="DN183">
        <v>107</v>
      </c>
      <c r="DO183">
        <v>218</v>
      </c>
      <c r="DP183">
        <v>56</v>
      </c>
      <c r="DQ183">
        <v>114</v>
      </c>
      <c r="DR183">
        <v>191</v>
      </c>
      <c r="DS183">
        <v>29</v>
      </c>
      <c r="DT183">
        <v>111</v>
      </c>
      <c r="DU183">
        <v>221</v>
      </c>
      <c r="DV183">
        <v>51</v>
      </c>
      <c r="DW183">
        <v>136</v>
      </c>
      <c r="DX183">
        <v>219</v>
      </c>
      <c r="DY183">
        <v>60</v>
      </c>
      <c r="DZ183">
        <v>102</v>
      </c>
    </row>
    <row r="184" spans="2:130" hidden="1">
      <c r="B184" s="1332">
        <f t="shared" si="3"/>
        <v>19.399999999999999</v>
      </c>
      <c r="C184" s="1332">
        <f t="shared" si="4"/>
        <v>59</v>
      </c>
      <c r="D184" s="1332">
        <f t="shared" si="5"/>
        <v>461</v>
      </c>
      <c r="F184">
        <v>6565</v>
      </c>
      <c r="G184">
        <v>39</v>
      </c>
      <c r="H184">
        <v>1</v>
      </c>
      <c r="I184">
        <v>13</v>
      </c>
      <c r="J184">
        <v>10</v>
      </c>
      <c r="K184">
        <v>194</v>
      </c>
      <c r="L184">
        <v>59</v>
      </c>
      <c r="M184">
        <v>461</v>
      </c>
      <c r="N184">
        <v>217</v>
      </c>
      <c r="O184">
        <v>55</v>
      </c>
      <c r="P184">
        <v>286</v>
      </c>
      <c r="Q184">
        <v>219</v>
      </c>
      <c r="R184">
        <v>54</v>
      </c>
      <c r="S184">
        <v>303</v>
      </c>
      <c r="T184">
        <v>239</v>
      </c>
      <c r="U184">
        <v>45</v>
      </c>
      <c r="V184">
        <v>279</v>
      </c>
      <c r="W184">
        <v>214</v>
      </c>
      <c r="X184">
        <v>52</v>
      </c>
      <c r="Y184">
        <v>280</v>
      </c>
      <c r="Z184">
        <v>236</v>
      </c>
      <c r="AA184">
        <v>43</v>
      </c>
      <c r="AB184">
        <v>313</v>
      </c>
      <c r="AC184">
        <v>275</v>
      </c>
      <c r="AD184">
        <v>31</v>
      </c>
      <c r="AE184">
        <v>320</v>
      </c>
      <c r="AF184">
        <v>228</v>
      </c>
      <c r="AG184">
        <v>24</v>
      </c>
      <c r="AH184">
        <v>340</v>
      </c>
      <c r="AI184">
        <v>214</v>
      </c>
      <c r="AJ184">
        <v>22</v>
      </c>
      <c r="AK184">
        <v>316</v>
      </c>
      <c r="AL184">
        <v>197</v>
      </c>
      <c r="AM184">
        <v>57</v>
      </c>
      <c r="AN184">
        <v>318</v>
      </c>
      <c r="AO184">
        <v>241</v>
      </c>
      <c r="AP184">
        <v>49</v>
      </c>
      <c r="AQ184">
        <v>265</v>
      </c>
      <c r="AR184">
        <v>196</v>
      </c>
      <c r="AS184">
        <v>69</v>
      </c>
      <c r="AT184">
        <v>316</v>
      </c>
      <c r="AU184">
        <v>104</v>
      </c>
      <c r="AV184">
        <v>53</v>
      </c>
      <c r="AW184">
        <v>311</v>
      </c>
      <c r="AX184">
        <v>204</v>
      </c>
      <c r="AY184">
        <v>54</v>
      </c>
      <c r="AZ184">
        <v>297</v>
      </c>
      <c r="BA184">
        <v>186</v>
      </c>
      <c r="BB184">
        <v>68</v>
      </c>
      <c r="BC184">
        <v>300</v>
      </c>
      <c r="BD184">
        <v>232</v>
      </c>
      <c r="BE184">
        <v>39</v>
      </c>
      <c r="BF184">
        <v>281</v>
      </c>
      <c r="BG184">
        <v>204</v>
      </c>
      <c r="BH184">
        <v>32</v>
      </c>
      <c r="BI184">
        <v>281</v>
      </c>
      <c r="BJ184">
        <v>244</v>
      </c>
      <c r="BK184">
        <v>25</v>
      </c>
      <c r="BL184">
        <v>320</v>
      </c>
      <c r="BM184">
        <v>240</v>
      </c>
      <c r="BN184">
        <v>51</v>
      </c>
      <c r="BO184">
        <v>308</v>
      </c>
      <c r="BP184">
        <v>229</v>
      </c>
      <c r="BQ184">
        <v>60</v>
      </c>
      <c r="BR184">
        <v>293</v>
      </c>
      <c r="BS184">
        <v>267</v>
      </c>
      <c r="BT184">
        <v>25</v>
      </c>
      <c r="BU184">
        <v>315</v>
      </c>
      <c r="BV184">
        <v>202</v>
      </c>
      <c r="BW184">
        <v>35</v>
      </c>
      <c r="BX184">
        <v>306</v>
      </c>
      <c r="BY184">
        <v>198</v>
      </c>
      <c r="BZ184">
        <v>62</v>
      </c>
      <c r="CA184">
        <v>276</v>
      </c>
      <c r="CB184">
        <v>221</v>
      </c>
      <c r="CC184">
        <v>51</v>
      </c>
      <c r="CD184">
        <v>276</v>
      </c>
      <c r="CE184">
        <v>206</v>
      </c>
      <c r="CF184">
        <v>25</v>
      </c>
      <c r="CG184">
        <v>308</v>
      </c>
      <c r="CH184">
        <v>206</v>
      </c>
      <c r="CI184">
        <v>68</v>
      </c>
      <c r="CJ184">
        <v>296</v>
      </c>
      <c r="CK184">
        <v>186</v>
      </c>
      <c r="CL184">
        <v>21</v>
      </c>
      <c r="CM184">
        <v>349</v>
      </c>
      <c r="CN184">
        <v>212</v>
      </c>
      <c r="CO184">
        <v>50</v>
      </c>
      <c r="CP184">
        <v>291</v>
      </c>
      <c r="CQ184">
        <v>135</v>
      </c>
      <c r="CR184">
        <v>30</v>
      </c>
      <c r="CS184">
        <v>343</v>
      </c>
      <c r="CT184">
        <v>137</v>
      </c>
      <c r="CU184">
        <v>32</v>
      </c>
      <c r="CV184">
        <v>331</v>
      </c>
      <c r="CW184">
        <v>209</v>
      </c>
      <c r="CX184">
        <v>58</v>
      </c>
      <c r="CY184">
        <v>310</v>
      </c>
      <c r="CZ184">
        <v>239</v>
      </c>
      <c r="DA184">
        <v>50</v>
      </c>
      <c r="DB184">
        <v>303</v>
      </c>
      <c r="DC184">
        <v>199</v>
      </c>
      <c r="DD184">
        <v>21</v>
      </c>
      <c r="DE184">
        <v>384</v>
      </c>
      <c r="DF184">
        <v>249</v>
      </c>
      <c r="DG184">
        <v>40</v>
      </c>
      <c r="DH184">
        <v>290</v>
      </c>
      <c r="DI184">
        <v>177</v>
      </c>
      <c r="DJ184">
        <v>43</v>
      </c>
      <c r="DK184">
        <v>315</v>
      </c>
      <c r="DL184">
        <v>251</v>
      </c>
      <c r="DM184">
        <v>47</v>
      </c>
      <c r="DN184">
        <v>323</v>
      </c>
      <c r="DO184">
        <v>230</v>
      </c>
      <c r="DP184">
        <v>52</v>
      </c>
      <c r="DQ184">
        <v>289</v>
      </c>
      <c r="DR184">
        <v>203</v>
      </c>
      <c r="DS184">
        <v>20</v>
      </c>
      <c r="DT184">
        <v>317</v>
      </c>
      <c r="DU184">
        <v>223</v>
      </c>
      <c r="DV184">
        <v>48</v>
      </c>
      <c r="DW184">
        <v>304</v>
      </c>
      <c r="DX184">
        <v>228</v>
      </c>
      <c r="DY184">
        <v>54</v>
      </c>
      <c r="DZ184">
        <v>305</v>
      </c>
    </row>
    <row r="185" spans="2:130" hidden="1">
      <c r="B185" s="1332">
        <f t="shared" si="3"/>
        <v>18.399999999999999</v>
      </c>
      <c r="C185" s="1332">
        <f t="shared" si="4"/>
        <v>62</v>
      </c>
      <c r="D185" s="1332">
        <f t="shared" si="5"/>
        <v>644</v>
      </c>
      <c r="F185">
        <v>6566</v>
      </c>
      <c r="G185">
        <v>39</v>
      </c>
      <c r="H185">
        <v>1</v>
      </c>
      <c r="I185">
        <v>14</v>
      </c>
      <c r="J185">
        <v>10</v>
      </c>
      <c r="K185">
        <v>184</v>
      </c>
      <c r="L185">
        <v>62</v>
      </c>
      <c r="M185">
        <v>644</v>
      </c>
      <c r="N185">
        <v>223</v>
      </c>
      <c r="O185">
        <v>55</v>
      </c>
      <c r="P185">
        <v>456</v>
      </c>
      <c r="Q185">
        <v>222</v>
      </c>
      <c r="R185">
        <v>54</v>
      </c>
      <c r="S185">
        <v>472</v>
      </c>
      <c r="T185">
        <v>243</v>
      </c>
      <c r="U185">
        <v>46</v>
      </c>
      <c r="V185">
        <v>460</v>
      </c>
      <c r="W185">
        <v>217</v>
      </c>
      <c r="X185">
        <v>48</v>
      </c>
      <c r="Y185">
        <v>486</v>
      </c>
      <c r="Z185">
        <v>234</v>
      </c>
      <c r="AA185">
        <v>46</v>
      </c>
      <c r="AB185">
        <v>247</v>
      </c>
      <c r="AC185">
        <v>286</v>
      </c>
      <c r="AD185">
        <v>31</v>
      </c>
      <c r="AE185">
        <v>504</v>
      </c>
      <c r="AF185">
        <v>230</v>
      </c>
      <c r="AG185">
        <v>23</v>
      </c>
      <c r="AH185">
        <v>539</v>
      </c>
      <c r="AI185">
        <v>209</v>
      </c>
      <c r="AJ185">
        <v>22</v>
      </c>
      <c r="AK185">
        <v>530</v>
      </c>
      <c r="AL185">
        <v>200</v>
      </c>
      <c r="AM185">
        <v>57</v>
      </c>
      <c r="AN185">
        <v>521</v>
      </c>
      <c r="AO185">
        <v>245</v>
      </c>
      <c r="AP185">
        <v>45</v>
      </c>
      <c r="AQ185">
        <v>405</v>
      </c>
      <c r="AR185">
        <v>191</v>
      </c>
      <c r="AS185">
        <v>73</v>
      </c>
      <c r="AT185">
        <v>187</v>
      </c>
      <c r="AU185">
        <v>105</v>
      </c>
      <c r="AV185">
        <v>53</v>
      </c>
      <c r="AW185">
        <v>534</v>
      </c>
      <c r="AX185">
        <v>213</v>
      </c>
      <c r="AY185">
        <v>51</v>
      </c>
      <c r="AZ185">
        <v>440</v>
      </c>
      <c r="BA185">
        <v>194</v>
      </c>
      <c r="BB185">
        <v>69</v>
      </c>
      <c r="BC185">
        <v>494</v>
      </c>
      <c r="BD185">
        <v>232</v>
      </c>
      <c r="BE185">
        <v>38</v>
      </c>
      <c r="BF185">
        <v>464</v>
      </c>
      <c r="BG185">
        <v>204</v>
      </c>
      <c r="BH185">
        <v>33</v>
      </c>
      <c r="BI185">
        <v>479</v>
      </c>
      <c r="BJ185">
        <v>263</v>
      </c>
      <c r="BK185">
        <v>19</v>
      </c>
      <c r="BL185">
        <v>515</v>
      </c>
      <c r="BM185">
        <v>253</v>
      </c>
      <c r="BN185">
        <v>47</v>
      </c>
      <c r="BO185">
        <v>481</v>
      </c>
      <c r="BP185">
        <v>235</v>
      </c>
      <c r="BQ185">
        <v>57</v>
      </c>
      <c r="BR185">
        <v>451</v>
      </c>
      <c r="BS185">
        <v>250</v>
      </c>
      <c r="BT185">
        <v>32</v>
      </c>
      <c r="BU185">
        <v>511</v>
      </c>
      <c r="BV185">
        <v>199</v>
      </c>
      <c r="BW185">
        <v>39</v>
      </c>
      <c r="BX185">
        <v>483</v>
      </c>
      <c r="BY185">
        <v>209</v>
      </c>
      <c r="BZ185">
        <v>58</v>
      </c>
      <c r="CA185">
        <v>434</v>
      </c>
      <c r="CB185">
        <v>222</v>
      </c>
      <c r="CC185">
        <v>48</v>
      </c>
      <c r="CD185">
        <v>480</v>
      </c>
      <c r="CE185">
        <v>203</v>
      </c>
      <c r="CF185">
        <v>26</v>
      </c>
      <c r="CG185">
        <v>491</v>
      </c>
      <c r="CH185">
        <v>225</v>
      </c>
      <c r="CI185">
        <v>54</v>
      </c>
      <c r="CJ185">
        <v>475</v>
      </c>
      <c r="CK185">
        <v>188</v>
      </c>
      <c r="CL185">
        <v>18</v>
      </c>
      <c r="CM185">
        <v>557</v>
      </c>
      <c r="CN185">
        <v>217</v>
      </c>
      <c r="CO185">
        <v>51</v>
      </c>
      <c r="CP185">
        <v>478</v>
      </c>
      <c r="CQ185">
        <v>141</v>
      </c>
      <c r="CR185">
        <v>29</v>
      </c>
      <c r="CS185">
        <v>550</v>
      </c>
      <c r="CT185">
        <v>141</v>
      </c>
      <c r="CU185">
        <v>32</v>
      </c>
      <c r="CV185">
        <v>512</v>
      </c>
      <c r="CW185">
        <v>216</v>
      </c>
      <c r="CX185">
        <v>64</v>
      </c>
      <c r="CY185">
        <v>468</v>
      </c>
      <c r="CZ185">
        <v>244</v>
      </c>
      <c r="DA185">
        <v>48</v>
      </c>
      <c r="DB185">
        <v>468</v>
      </c>
      <c r="DC185">
        <v>190</v>
      </c>
      <c r="DD185">
        <v>24</v>
      </c>
      <c r="DE185">
        <v>527</v>
      </c>
      <c r="DF185">
        <v>247</v>
      </c>
      <c r="DG185">
        <v>44</v>
      </c>
      <c r="DH185">
        <v>480</v>
      </c>
      <c r="DI185">
        <v>170</v>
      </c>
      <c r="DJ185">
        <v>45</v>
      </c>
      <c r="DK185">
        <v>519</v>
      </c>
      <c r="DL185">
        <v>256</v>
      </c>
      <c r="DM185">
        <v>45</v>
      </c>
      <c r="DN185">
        <v>517</v>
      </c>
      <c r="DO185">
        <v>238</v>
      </c>
      <c r="DP185">
        <v>50</v>
      </c>
      <c r="DQ185">
        <v>469</v>
      </c>
      <c r="DR185">
        <v>205</v>
      </c>
      <c r="DS185">
        <v>18</v>
      </c>
      <c r="DT185">
        <v>530</v>
      </c>
      <c r="DU185">
        <v>224</v>
      </c>
      <c r="DV185">
        <v>48</v>
      </c>
      <c r="DW185">
        <v>523</v>
      </c>
      <c r="DX185">
        <v>234</v>
      </c>
      <c r="DY185">
        <v>50</v>
      </c>
      <c r="DZ185">
        <v>507</v>
      </c>
    </row>
    <row r="186" spans="2:130" hidden="1">
      <c r="B186" s="1332">
        <f t="shared" si="3"/>
        <v>17.899999999999999</v>
      </c>
      <c r="C186" s="1332">
        <f t="shared" si="4"/>
        <v>63</v>
      </c>
      <c r="D186" s="1332">
        <f t="shared" si="5"/>
        <v>735</v>
      </c>
      <c r="F186">
        <v>6567</v>
      </c>
      <c r="G186">
        <v>39</v>
      </c>
      <c r="H186">
        <v>1</v>
      </c>
      <c r="I186">
        <v>15</v>
      </c>
      <c r="J186">
        <v>10</v>
      </c>
      <c r="K186">
        <v>179</v>
      </c>
      <c r="L186">
        <v>63</v>
      </c>
      <c r="M186">
        <v>735</v>
      </c>
      <c r="N186">
        <v>229</v>
      </c>
      <c r="O186">
        <v>53</v>
      </c>
      <c r="P186">
        <v>565</v>
      </c>
      <c r="Q186">
        <v>209</v>
      </c>
      <c r="R186">
        <v>58</v>
      </c>
      <c r="S186">
        <v>499</v>
      </c>
      <c r="T186">
        <v>243</v>
      </c>
      <c r="U186">
        <v>45</v>
      </c>
      <c r="V186">
        <v>606</v>
      </c>
      <c r="W186">
        <v>216</v>
      </c>
      <c r="X186">
        <v>46</v>
      </c>
      <c r="Y186">
        <v>623</v>
      </c>
      <c r="Z186">
        <v>241</v>
      </c>
      <c r="AA186">
        <v>45</v>
      </c>
      <c r="AB186">
        <v>495</v>
      </c>
      <c r="AC186">
        <v>284</v>
      </c>
      <c r="AD186">
        <v>33</v>
      </c>
      <c r="AE186">
        <v>595</v>
      </c>
      <c r="AF186">
        <v>225</v>
      </c>
      <c r="AG186">
        <v>26</v>
      </c>
      <c r="AH186">
        <v>662</v>
      </c>
      <c r="AI186">
        <v>205</v>
      </c>
      <c r="AJ186">
        <v>23</v>
      </c>
      <c r="AK186">
        <v>667</v>
      </c>
      <c r="AL186">
        <v>193</v>
      </c>
      <c r="AM186">
        <v>60</v>
      </c>
      <c r="AN186">
        <v>622</v>
      </c>
      <c r="AO186">
        <v>249</v>
      </c>
      <c r="AP186">
        <v>44</v>
      </c>
      <c r="AQ186">
        <v>606</v>
      </c>
      <c r="AR186">
        <v>184</v>
      </c>
      <c r="AS186">
        <v>74</v>
      </c>
      <c r="AT186">
        <v>31</v>
      </c>
      <c r="AU186">
        <v>102</v>
      </c>
      <c r="AV186">
        <v>53</v>
      </c>
      <c r="AW186">
        <v>698</v>
      </c>
      <c r="AX186">
        <v>212</v>
      </c>
      <c r="AY186">
        <v>52</v>
      </c>
      <c r="AZ186">
        <v>418</v>
      </c>
      <c r="BA186">
        <v>198</v>
      </c>
      <c r="BB186">
        <v>67</v>
      </c>
      <c r="BC186">
        <v>605</v>
      </c>
      <c r="BD186">
        <v>226</v>
      </c>
      <c r="BE186">
        <v>42</v>
      </c>
      <c r="BF186">
        <v>574</v>
      </c>
      <c r="BG186">
        <v>201</v>
      </c>
      <c r="BH186">
        <v>29</v>
      </c>
      <c r="BI186">
        <v>621</v>
      </c>
      <c r="BJ186">
        <v>269</v>
      </c>
      <c r="BK186">
        <v>14</v>
      </c>
      <c r="BL186">
        <v>667</v>
      </c>
      <c r="BM186">
        <v>256</v>
      </c>
      <c r="BN186">
        <v>47</v>
      </c>
      <c r="BO186">
        <v>592</v>
      </c>
      <c r="BP186">
        <v>233</v>
      </c>
      <c r="BQ186">
        <v>58</v>
      </c>
      <c r="BR186">
        <v>536</v>
      </c>
      <c r="BS186">
        <v>254</v>
      </c>
      <c r="BT186">
        <v>29</v>
      </c>
      <c r="BU186">
        <v>640</v>
      </c>
      <c r="BV186">
        <v>194</v>
      </c>
      <c r="BW186">
        <v>39</v>
      </c>
      <c r="BX186">
        <v>615</v>
      </c>
      <c r="BY186">
        <v>218</v>
      </c>
      <c r="BZ186">
        <v>55</v>
      </c>
      <c r="CA186">
        <v>552</v>
      </c>
      <c r="CB186">
        <v>223</v>
      </c>
      <c r="CC186">
        <v>46</v>
      </c>
      <c r="CD186">
        <v>619</v>
      </c>
      <c r="CE186">
        <v>197</v>
      </c>
      <c r="CF186">
        <v>27</v>
      </c>
      <c r="CG186">
        <v>561</v>
      </c>
      <c r="CH186">
        <v>227</v>
      </c>
      <c r="CI186">
        <v>55</v>
      </c>
      <c r="CJ186">
        <v>636</v>
      </c>
      <c r="CK186">
        <v>181</v>
      </c>
      <c r="CL186">
        <v>15</v>
      </c>
      <c r="CM186">
        <v>617</v>
      </c>
      <c r="CN186">
        <v>216</v>
      </c>
      <c r="CO186">
        <v>50</v>
      </c>
      <c r="CP186">
        <v>558</v>
      </c>
      <c r="CQ186">
        <v>135</v>
      </c>
      <c r="CR186">
        <v>28</v>
      </c>
      <c r="CS186">
        <v>690</v>
      </c>
      <c r="CT186">
        <v>141</v>
      </c>
      <c r="CU186">
        <v>32</v>
      </c>
      <c r="CV186">
        <v>598</v>
      </c>
      <c r="CW186">
        <v>217</v>
      </c>
      <c r="CX186">
        <v>62</v>
      </c>
      <c r="CY186">
        <v>578</v>
      </c>
      <c r="CZ186">
        <v>246</v>
      </c>
      <c r="DA186">
        <v>47</v>
      </c>
      <c r="DB186">
        <v>557</v>
      </c>
      <c r="DC186">
        <v>176</v>
      </c>
      <c r="DD186">
        <v>26</v>
      </c>
      <c r="DE186">
        <v>638</v>
      </c>
      <c r="DF186">
        <v>238</v>
      </c>
      <c r="DG186">
        <v>48</v>
      </c>
      <c r="DH186">
        <v>587</v>
      </c>
      <c r="DI186">
        <v>163</v>
      </c>
      <c r="DJ186">
        <v>48</v>
      </c>
      <c r="DK186">
        <v>601</v>
      </c>
      <c r="DL186">
        <v>249</v>
      </c>
      <c r="DM186">
        <v>50</v>
      </c>
      <c r="DN186">
        <v>626</v>
      </c>
      <c r="DO186">
        <v>243</v>
      </c>
      <c r="DP186">
        <v>47</v>
      </c>
      <c r="DQ186">
        <v>589</v>
      </c>
      <c r="DR186">
        <v>203</v>
      </c>
      <c r="DS186">
        <v>17</v>
      </c>
      <c r="DT186">
        <v>595</v>
      </c>
      <c r="DU186">
        <v>214</v>
      </c>
      <c r="DV186">
        <v>52</v>
      </c>
      <c r="DW186">
        <v>612</v>
      </c>
      <c r="DX186">
        <v>233</v>
      </c>
      <c r="DY186">
        <v>54</v>
      </c>
      <c r="DZ186">
        <v>648</v>
      </c>
    </row>
    <row r="187" spans="2:130" hidden="1">
      <c r="B187" s="1332">
        <f t="shared" si="3"/>
        <v>17.5</v>
      </c>
      <c r="C187" s="1332">
        <f t="shared" si="4"/>
        <v>64</v>
      </c>
      <c r="D187" s="1332">
        <f t="shared" si="5"/>
        <v>459</v>
      </c>
      <c r="F187">
        <v>6568</v>
      </c>
      <c r="G187">
        <v>39</v>
      </c>
      <c r="H187">
        <v>1</v>
      </c>
      <c r="I187">
        <v>16</v>
      </c>
      <c r="J187">
        <v>10</v>
      </c>
      <c r="K187">
        <v>175</v>
      </c>
      <c r="L187">
        <v>64</v>
      </c>
      <c r="M187">
        <v>459</v>
      </c>
      <c r="N187">
        <v>219</v>
      </c>
      <c r="O187">
        <v>64</v>
      </c>
      <c r="P187">
        <v>524</v>
      </c>
      <c r="Q187">
        <v>187</v>
      </c>
      <c r="R187">
        <v>62</v>
      </c>
      <c r="S187">
        <v>14</v>
      </c>
      <c r="T187">
        <v>235</v>
      </c>
      <c r="U187">
        <v>48</v>
      </c>
      <c r="V187">
        <v>632</v>
      </c>
      <c r="W187">
        <v>212</v>
      </c>
      <c r="X187">
        <v>47</v>
      </c>
      <c r="Y187">
        <v>648</v>
      </c>
      <c r="Z187">
        <v>241</v>
      </c>
      <c r="AA187">
        <v>44</v>
      </c>
      <c r="AB187">
        <v>467</v>
      </c>
      <c r="AC187">
        <v>239</v>
      </c>
      <c r="AD187">
        <v>51</v>
      </c>
      <c r="AE187">
        <v>489</v>
      </c>
      <c r="AF187">
        <v>205</v>
      </c>
      <c r="AG187">
        <v>34</v>
      </c>
      <c r="AH187">
        <v>543</v>
      </c>
      <c r="AI187">
        <v>195</v>
      </c>
      <c r="AJ187">
        <v>25</v>
      </c>
      <c r="AK187">
        <v>567</v>
      </c>
      <c r="AL187">
        <v>177</v>
      </c>
      <c r="AM187">
        <v>71</v>
      </c>
      <c r="AN187">
        <v>437</v>
      </c>
      <c r="AO187">
        <v>241</v>
      </c>
      <c r="AP187">
        <v>48</v>
      </c>
      <c r="AQ187">
        <v>610</v>
      </c>
      <c r="AR187">
        <v>178</v>
      </c>
      <c r="AS187">
        <v>77</v>
      </c>
      <c r="AT187">
        <v>23</v>
      </c>
      <c r="AU187">
        <v>94</v>
      </c>
      <c r="AV187">
        <v>59</v>
      </c>
      <c r="AW187">
        <v>737</v>
      </c>
      <c r="AX187">
        <v>197</v>
      </c>
      <c r="AY187">
        <v>64</v>
      </c>
      <c r="AZ187">
        <v>266</v>
      </c>
      <c r="BA187">
        <v>194</v>
      </c>
      <c r="BB187">
        <v>69</v>
      </c>
      <c r="BC187">
        <v>483</v>
      </c>
      <c r="BD187">
        <v>220</v>
      </c>
      <c r="BE187">
        <v>43</v>
      </c>
      <c r="BF187">
        <v>547</v>
      </c>
      <c r="BG187">
        <v>194</v>
      </c>
      <c r="BH187">
        <v>32</v>
      </c>
      <c r="BI187">
        <v>638</v>
      </c>
      <c r="BJ187">
        <v>258</v>
      </c>
      <c r="BK187">
        <v>15</v>
      </c>
      <c r="BL187">
        <v>625</v>
      </c>
      <c r="BM187">
        <v>260</v>
      </c>
      <c r="BN187">
        <v>40</v>
      </c>
      <c r="BO187">
        <v>585</v>
      </c>
      <c r="BP187">
        <v>226</v>
      </c>
      <c r="BQ187">
        <v>61</v>
      </c>
      <c r="BR187">
        <v>539</v>
      </c>
      <c r="BS187">
        <v>239</v>
      </c>
      <c r="BT187">
        <v>38</v>
      </c>
      <c r="BU187">
        <v>651</v>
      </c>
      <c r="BV187">
        <v>192</v>
      </c>
      <c r="BW187">
        <v>39</v>
      </c>
      <c r="BX187">
        <v>558</v>
      </c>
      <c r="BY187">
        <v>212</v>
      </c>
      <c r="BZ187">
        <v>60</v>
      </c>
      <c r="CA187">
        <v>483</v>
      </c>
      <c r="CB187">
        <v>220</v>
      </c>
      <c r="CC187">
        <v>47</v>
      </c>
      <c r="CD187">
        <v>630</v>
      </c>
      <c r="CE187">
        <v>184</v>
      </c>
      <c r="CF187">
        <v>31</v>
      </c>
      <c r="CG187">
        <v>321</v>
      </c>
      <c r="CH187">
        <v>215</v>
      </c>
      <c r="CI187">
        <v>66</v>
      </c>
      <c r="CJ187">
        <v>591</v>
      </c>
      <c r="CK187">
        <v>161</v>
      </c>
      <c r="CL187">
        <v>17</v>
      </c>
      <c r="CM187">
        <v>55</v>
      </c>
      <c r="CN187">
        <v>209</v>
      </c>
      <c r="CO187">
        <v>54</v>
      </c>
      <c r="CP187">
        <v>319</v>
      </c>
      <c r="CQ187">
        <v>131</v>
      </c>
      <c r="CR187">
        <v>30</v>
      </c>
      <c r="CS187">
        <v>556</v>
      </c>
      <c r="CT187">
        <v>125</v>
      </c>
      <c r="CU187">
        <v>36</v>
      </c>
      <c r="CV187">
        <v>93</v>
      </c>
      <c r="CW187">
        <v>218</v>
      </c>
      <c r="CX187">
        <v>63</v>
      </c>
      <c r="CY187">
        <v>555</v>
      </c>
      <c r="CZ187">
        <v>242</v>
      </c>
      <c r="DA187">
        <v>49</v>
      </c>
      <c r="DB187">
        <v>449</v>
      </c>
      <c r="DC187">
        <v>159</v>
      </c>
      <c r="DD187">
        <v>32</v>
      </c>
      <c r="DE187">
        <v>427</v>
      </c>
      <c r="DF187">
        <v>230</v>
      </c>
      <c r="DG187">
        <v>52</v>
      </c>
      <c r="DH187">
        <v>514</v>
      </c>
      <c r="DI187">
        <v>153</v>
      </c>
      <c r="DJ187">
        <v>51</v>
      </c>
      <c r="DK187">
        <v>345</v>
      </c>
      <c r="DL187">
        <v>236</v>
      </c>
      <c r="DM187">
        <v>53</v>
      </c>
      <c r="DN187">
        <v>528</v>
      </c>
      <c r="DO187">
        <v>240</v>
      </c>
      <c r="DP187">
        <v>47</v>
      </c>
      <c r="DQ187">
        <v>602</v>
      </c>
      <c r="DR187">
        <v>180</v>
      </c>
      <c r="DS187">
        <v>20</v>
      </c>
      <c r="DT187">
        <v>49</v>
      </c>
      <c r="DU187">
        <v>203</v>
      </c>
      <c r="DV187">
        <v>53</v>
      </c>
      <c r="DW187">
        <v>615</v>
      </c>
      <c r="DX187">
        <v>227</v>
      </c>
      <c r="DY187">
        <v>58</v>
      </c>
      <c r="DZ187">
        <v>621</v>
      </c>
    </row>
    <row r="188" spans="2:130" hidden="1">
      <c r="B188" s="1332">
        <f t="shared" si="3"/>
        <v>15.7</v>
      </c>
      <c r="C188" s="1332">
        <f t="shared" si="4"/>
        <v>68</v>
      </c>
      <c r="D188" s="1332">
        <f t="shared" si="5"/>
        <v>9</v>
      </c>
      <c r="F188">
        <v>6569</v>
      </c>
      <c r="G188">
        <v>39</v>
      </c>
      <c r="H188">
        <v>1</v>
      </c>
      <c r="I188">
        <v>17</v>
      </c>
      <c r="J188">
        <v>10</v>
      </c>
      <c r="K188">
        <v>157</v>
      </c>
      <c r="L188">
        <v>68</v>
      </c>
      <c r="M188">
        <v>9</v>
      </c>
      <c r="N188">
        <v>193</v>
      </c>
      <c r="O188">
        <v>72</v>
      </c>
      <c r="P188">
        <v>40</v>
      </c>
      <c r="Q188">
        <v>180</v>
      </c>
      <c r="R188">
        <v>64</v>
      </c>
      <c r="S188">
        <v>3</v>
      </c>
      <c r="T188">
        <v>222</v>
      </c>
      <c r="U188">
        <v>54</v>
      </c>
      <c r="V188">
        <v>480</v>
      </c>
      <c r="W188">
        <v>201</v>
      </c>
      <c r="X188">
        <v>52</v>
      </c>
      <c r="Y188">
        <v>486</v>
      </c>
      <c r="Z188">
        <v>228</v>
      </c>
      <c r="AA188">
        <v>49</v>
      </c>
      <c r="AB188">
        <v>280</v>
      </c>
      <c r="AC188">
        <v>205</v>
      </c>
      <c r="AD188">
        <v>64</v>
      </c>
      <c r="AE188">
        <v>19</v>
      </c>
      <c r="AF188">
        <v>165</v>
      </c>
      <c r="AG188">
        <v>44</v>
      </c>
      <c r="AH188">
        <v>16</v>
      </c>
      <c r="AI188">
        <v>174</v>
      </c>
      <c r="AJ188">
        <v>29</v>
      </c>
      <c r="AK188">
        <v>23</v>
      </c>
      <c r="AL188">
        <v>151</v>
      </c>
      <c r="AM188">
        <v>80</v>
      </c>
      <c r="AN188">
        <v>4</v>
      </c>
      <c r="AO188">
        <v>232</v>
      </c>
      <c r="AP188">
        <v>53</v>
      </c>
      <c r="AQ188">
        <v>533</v>
      </c>
      <c r="AR188">
        <v>170</v>
      </c>
      <c r="AS188">
        <v>82</v>
      </c>
      <c r="AT188">
        <v>11</v>
      </c>
      <c r="AU188">
        <v>87</v>
      </c>
      <c r="AV188">
        <v>62</v>
      </c>
      <c r="AW188">
        <v>584</v>
      </c>
      <c r="AX188">
        <v>173</v>
      </c>
      <c r="AY188">
        <v>79</v>
      </c>
      <c r="AZ188">
        <v>224</v>
      </c>
      <c r="BA188">
        <v>159</v>
      </c>
      <c r="BB188">
        <v>84</v>
      </c>
      <c r="BC188">
        <v>15</v>
      </c>
      <c r="BD188">
        <v>198</v>
      </c>
      <c r="BE188">
        <v>55</v>
      </c>
      <c r="BF188">
        <v>337</v>
      </c>
      <c r="BG188">
        <v>177</v>
      </c>
      <c r="BH188">
        <v>31</v>
      </c>
      <c r="BI188">
        <v>361</v>
      </c>
      <c r="BJ188">
        <v>230</v>
      </c>
      <c r="BK188">
        <v>16</v>
      </c>
      <c r="BL188">
        <v>272</v>
      </c>
      <c r="BM188">
        <v>244</v>
      </c>
      <c r="BN188">
        <v>50</v>
      </c>
      <c r="BO188">
        <v>301</v>
      </c>
      <c r="BP188">
        <v>205</v>
      </c>
      <c r="BQ188">
        <v>68</v>
      </c>
      <c r="BR188">
        <v>338</v>
      </c>
      <c r="BS188">
        <v>214</v>
      </c>
      <c r="BT188">
        <v>50</v>
      </c>
      <c r="BU188">
        <v>447</v>
      </c>
      <c r="BV188">
        <v>183</v>
      </c>
      <c r="BW188">
        <v>42</v>
      </c>
      <c r="BX188">
        <v>504</v>
      </c>
      <c r="BY188">
        <v>202</v>
      </c>
      <c r="BZ188">
        <v>67</v>
      </c>
      <c r="CA188">
        <v>259</v>
      </c>
      <c r="CB188">
        <v>205</v>
      </c>
      <c r="CC188">
        <v>55</v>
      </c>
      <c r="CD188">
        <v>498</v>
      </c>
      <c r="CE188">
        <v>166</v>
      </c>
      <c r="CF188">
        <v>38</v>
      </c>
      <c r="CG188">
        <v>3</v>
      </c>
      <c r="CH188">
        <v>223</v>
      </c>
      <c r="CI188">
        <v>44</v>
      </c>
      <c r="CJ188">
        <v>405</v>
      </c>
      <c r="CK188">
        <v>146</v>
      </c>
      <c r="CL188">
        <v>18</v>
      </c>
      <c r="CM188">
        <v>2</v>
      </c>
      <c r="CN188">
        <v>199</v>
      </c>
      <c r="CO188">
        <v>58</v>
      </c>
      <c r="CP188">
        <v>255</v>
      </c>
      <c r="CQ188">
        <v>115</v>
      </c>
      <c r="CR188">
        <v>33</v>
      </c>
      <c r="CS188">
        <v>21</v>
      </c>
      <c r="CT188">
        <v>109</v>
      </c>
      <c r="CU188">
        <v>39</v>
      </c>
      <c r="CV188">
        <v>4</v>
      </c>
      <c r="CW188">
        <v>217</v>
      </c>
      <c r="CX188">
        <v>49</v>
      </c>
      <c r="CY188">
        <v>343</v>
      </c>
      <c r="CZ188">
        <v>212</v>
      </c>
      <c r="DA188">
        <v>66</v>
      </c>
      <c r="DB188">
        <v>9</v>
      </c>
      <c r="DC188">
        <v>146</v>
      </c>
      <c r="DD188">
        <v>35</v>
      </c>
      <c r="DE188">
        <v>7</v>
      </c>
      <c r="DF188">
        <v>212</v>
      </c>
      <c r="DG188">
        <v>60</v>
      </c>
      <c r="DH188">
        <v>247</v>
      </c>
      <c r="DI188">
        <v>145</v>
      </c>
      <c r="DJ188">
        <v>53</v>
      </c>
      <c r="DK188">
        <v>22</v>
      </c>
      <c r="DL188">
        <v>191</v>
      </c>
      <c r="DM188">
        <v>73</v>
      </c>
      <c r="DN188">
        <v>4</v>
      </c>
      <c r="DO188">
        <v>221</v>
      </c>
      <c r="DP188">
        <v>55</v>
      </c>
      <c r="DQ188">
        <v>429</v>
      </c>
      <c r="DR188">
        <v>156</v>
      </c>
      <c r="DS188">
        <v>26</v>
      </c>
      <c r="DT188">
        <v>4</v>
      </c>
      <c r="DU188">
        <v>188</v>
      </c>
      <c r="DV188">
        <v>59</v>
      </c>
      <c r="DW188">
        <v>438</v>
      </c>
      <c r="DX188">
        <v>217</v>
      </c>
      <c r="DY188">
        <v>61</v>
      </c>
      <c r="DZ188">
        <v>395</v>
      </c>
    </row>
    <row r="189" spans="2:130" hidden="1">
      <c r="B189" s="1332">
        <f t="shared" si="3"/>
        <v>14.1</v>
      </c>
      <c r="C189" s="1332">
        <f t="shared" si="4"/>
        <v>74</v>
      </c>
      <c r="D189" s="1332">
        <f t="shared" si="5"/>
        <v>0</v>
      </c>
      <c r="F189">
        <v>6570</v>
      </c>
      <c r="G189">
        <v>39</v>
      </c>
      <c r="H189">
        <v>1</v>
      </c>
      <c r="I189">
        <v>18</v>
      </c>
      <c r="J189">
        <v>10</v>
      </c>
      <c r="K189">
        <v>141</v>
      </c>
      <c r="L189">
        <v>74</v>
      </c>
      <c r="M189">
        <v>0</v>
      </c>
      <c r="N189">
        <v>167</v>
      </c>
      <c r="O189">
        <v>85</v>
      </c>
      <c r="P189">
        <v>0</v>
      </c>
      <c r="Q189">
        <v>167</v>
      </c>
      <c r="R189">
        <v>70</v>
      </c>
      <c r="S189">
        <v>0</v>
      </c>
      <c r="T189">
        <v>206</v>
      </c>
      <c r="U189">
        <v>60</v>
      </c>
      <c r="V189">
        <v>0</v>
      </c>
      <c r="W189">
        <v>183</v>
      </c>
      <c r="X189">
        <v>60</v>
      </c>
      <c r="Y189">
        <v>0</v>
      </c>
      <c r="Z189">
        <v>186</v>
      </c>
      <c r="AA189">
        <v>70</v>
      </c>
      <c r="AB189">
        <v>0</v>
      </c>
      <c r="AC189">
        <v>166</v>
      </c>
      <c r="AD189">
        <v>80</v>
      </c>
      <c r="AE189">
        <v>0</v>
      </c>
      <c r="AF189">
        <v>134</v>
      </c>
      <c r="AG189">
        <v>57</v>
      </c>
      <c r="AH189">
        <v>0</v>
      </c>
      <c r="AI189">
        <v>158</v>
      </c>
      <c r="AJ189">
        <v>33</v>
      </c>
      <c r="AK189">
        <v>0</v>
      </c>
      <c r="AL189">
        <v>136</v>
      </c>
      <c r="AM189">
        <v>84</v>
      </c>
      <c r="AN189">
        <v>0</v>
      </c>
      <c r="AO189">
        <v>214</v>
      </c>
      <c r="AP189">
        <v>63</v>
      </c>
      <c r="AQ189">
        <v>0</v>
      </c>
      <c r="AR189">
        <v>163</v>
      </c>
      <c r="AS189">
        <v>86</v>
      </c>
      <c r="AT189">
        <v>0</v>
      </c>
      <c r="AU189">
        <v>76</v>
      </c>
      <c r="AV189">
        <v>71</v>
      </c>
      <c r="AW189">
        <v>0</v>
      </c>
      <c r="AX189">
        <v>160</v>
      </c>
      <c r="AY189">
        <v>83</v>
      </c>
      <c r="AZ189">
        <v>0</v>
      </c>
      <c r="BA189">
        <v>147</v>
      </c>
      <c r="BB189">
        <v>88</v>
      </c>
      <c r="BC189">
        <v>0</v>
      </c>
      <c r="BD189">
        <v>165</v>
      </c>
      <c r="BE189">
        <v>68</v>
      </c>
      <c r="BF189">
        <v>0</v>
      </c>
      <c r="BG189">
        <v>158</v>
      </c>
      <c r="BH189">
        <v>33</v>
      </c>
      <c r="BI189">
        <v>0</v>
      </c>
      <c r="BJ189">
        <v>214</v>
      </c>
      <c r="BK189">
        <v>12</v>
      </c>
      <c r="BL189">
        <v>0</v>
      </c>
      <c r="BM189">
        <v>224</v>
      </c>
      <c r="BN189">
        <v>58</v>
      </c>
      <c r="BO189">
        <v>0</v>
      </c>
      <c r="BP189">
        <v>184</v>
      </c>
      <c r="BQ189">
        <v>76</v>
      </c>
      <c r="BR189">
        <v>0</v>
      </c>
      <c r="BS189">
        <v>178</v>
      </c>
      <c r="BT189">
        <v>54</v>
      </c>
      <c r="BU189">
        <v>0</v>
      </c>
      <c r="BV189">
        <v>167</v>
      </c>
      <c r="BW189">
        <v>48</v>
      </c>
      <c r="BX189">
        <v>0</v>
      </c>
      <c r="BY189">
        <v>192</v>
      </c>
      <c r="BZ189">
        <v>66</v>
      </c>
      <c r="CA189">
        <v>0</v>
      </c>
      <c r="CB189">
        <v>175</v>
      </c>
      <c r="CC189">
        <v>71</v>
      </c>
      <c r="CD189">
        <v>0</v>
      </c>
      <c r="CE189">
        <v>156</v>
      </c>
      <c r="CF189">
        <v>43</v>
      </c>
      <c r="CG189">
        <v>0</v>
      </c>
      <c r="CH189">
        <v>200</v>
      </c>
      <c r="CI189">
        <v>54</v>
      </c>
      <c r="CJ189">
        <v>0</v>
      </c>
      <c r="CK189">
        <v>138</v>
      </c>
      <c r="CL189">
        <v>17</v>
      </c>
      <c r="CM189">
        <v>0</v>
      </c>
      <c r="CN189">
        <v>186</v>
      </c>
      <c r="CO189">
        <v>62</v>
      </c>
      <c r="CP189">
        <v>0</v>
      </c>
      <c r="CQ189">
        <v>95</v>
      </c>
      <c r="CR189">
        <v>40</v>
      </c>
      <c r="CS189">
        <v>0</v>
      </c>
      <c r="CT189">
        <v>101</v>
      </c>
      <c r="CU189">
        <v>42</v>
      </c>
      <c r="CV189">
        <v>0</v>
      </c>
      <c r="CW189">
        <v>193</v>
      </c>
      <c r="CX189">
        <v>53</v>
      </c>
      <c r="CY189">
        <v>0</v>
      </c>
      <c r="CZ189">
        <v>194</v>
      </c>
      <c r="DA189">
        <v>72</v>
      </c>
      <c r="DB189">
        <v>0</v>
      </c>
      <c r="DC189">
        <v>141</v>
      </c>
      <c r="DD189">
        <v>38</v>
      </c>
      <c r="DE189">
        <v>0</v>
      </c>
      <c r="DF189">
        <v>185</v>
      </c>
      <c r="DG189">
        <v>72</v>
      </c>
      <c r="DH189">
        <v>0</v>
      </c>
      <c r="DI189">
        <v>141</v>
      </c>
      <c r="DJ189">
        <v>55</v>
      </c>
      <c r="DK189">
        <v>0</v>
      </c>
      <c r="DL189">
        <v>168</v>
      </c>
      <c r="DM189">
        <v>86</v>
      </c>
      <c r="DN189">
        <v>0</v>
      </c>
      <c r="DO189">
        <v>191</v>
      </c>
      <c r="DP189">
        <v>66</v>
      </c>
      <c r="DQ189">
        <v>0</v>
      </c>
      <c r="DR189">
        <v>142</v>
      </c>
      <c r="DS189">
        <v>28</v>
      </c>
      <c r="DT189">
        <v>0</v>
      </c>
      <c r="DU189">
        <v>177</v>
      </c>
      <c r="DV189">
        <v>61</v>
      </c>
      <c r="DW189">
        <v>0</v>
      </c>
      <c r="DX189">
        <v>198</v>
      </c>
      <c r="DY189">
        <v>69</v>
      </c>
      <c r="DZ189">
        <v>0</v>
      </c>
    </row>
    <row r="190" spans="2:130" hidden="1">
      <c r="B190" s="1332">
        <f t="shared" si="3"/>
        <v>13.1</v>
      </c>
      <c r="C190" s="1332">
        <f t="shared" si="4"/>
        <v>77</v>
      </c>
      <c r="D190" s="1332">
        <f t="shared" si="5"/>
        <v>0</v>
      </c>
      <c r="F190">
        <v>6571</v>
      </c>
      <c r="G190">
        <v>39</v>
      </c>
      <c r="H190">
        <v>1</v>
      </c>
      <c r="I190">
        <v>19</v>
      </c>
      <c r="J190">
        <v>10</v>
      </c>
      <c r="K190">
        <v>131</v>
      </c>
      <c r="L190">
        <v>77</v>
      </c>
      <c r="M190">
        <v>0</v>
      </c>
      <c r="N190">
        <v>150</v>
      </c>
      <c r="O190">
        <v>91</v>
      </c>
      <c r="P190">
        <v>0</v>
      </c>
      <c r="Q190">
        <v>196</v>
      </c>
      <c r="R190">
        <v>49</v>
      </c>
      <c r="S190">
        <v>0</v>
      </c>
      <c r="T190">
        <v>193</v>
      </c>
      <c r="U190">
        <v>65</v>
      </c>
      <c r="V190">
        <v>0</v>
      </c>
      <c r="W190">
        <v>161</v>
      </c>
      <c r="X190">
        <v>73</v>
      </c>
      <c r="Y190">
        <v>0</v>
      </c>
      <c r="Z190">
        <v>168</v>
      </c>
      <c r="AA190">
        <v>79</v>
      </c>
      <c r="AB190">
        <v>0</v>
      </c>
      <c r="AC190">
        <v>162</v>
      </c>
      <c r="AD190">
        <v>76</v>
      </c>
      <c r="AE190">
        <v>0</v>
      </c>
      <c r="AF190">
        <v>113</v>
      </c>
      <c r="AG190">
        <v>65</v>
      </c>
      <c r="AH190">
        <v>0</v>
      </c>
      <c r="AI190">
        <v>147</v>
      </c>
      <c r="AJ190">
        <v>32</v>
      </c>
      <c r="AK190">
        <v>0</v>
      </c>
      <c r="AL190">
        <v>134</v>
      </c>
      <c r="AM190">
        <v>82</v>
      </c>
      <c r="AN190">
        <v>0</v>
      </c>
      <c r="AO190">
        <v>198</v>
      </c>
      <c r="AP190">
        <v>72</v>
      </c>
      <c r="AQ190">
        <v>0</v>
      </c>
      <c r="AR190">
        <v>154</v>
      </c>
      <c r="AS190">
        <v>89</v>
      </c>
      <c r="AT190">
        <v>0</v>
      </c>
      <c r="AU190">
        <v>76</v>
      </c>
      <c r="AV190">
        <v>69</v>
      </c>
      <c r="AW190">
        <v>0</v>
      </c>
      <c r="AX190">
        <v>159</v>
      </c>
      <c r="AY190">
        <v>81</v>
      </c>
      <c r="AZ190">
        <v>0</v>
      </c>
      <c r="BA190">
        <v>145</v>
      </c>
      <c r="BB190">
        <v>89</v>
      </c>
      <c r="BC190">
        <v>0</v>
      </c>
      <c r="BD190">
        <v>142</v>
      </c>
      <c r="BE190">
        <v>77</v>
      </c>
      <c r="BF190">
        <v>0</v>
      </c>
      <c r="BG190">
        <v>147</v>
      </c>
      <c r="BH190">
        <v>32</v>
      </c>
      <c r="BI190">
        <v>0</v>
      </c>
      <c r="BJ190">
        <v>197</v>
      </c>
      <c r="BK190">
        <v>15</v>
      </c>
      <c r="BL190">
        <v>0</v>
      </c>
      <c r="BM190">
        <v>204</v>
      </c>
      <c r="BN190">
        <v>68</v>
      </c>
      <c r="BO190">
        <v>0</v>
      </c>
      <c r="BP190">
        <v>161</v>
      </c>
      <c r="BQ190">
        <v>82</v>
      </c>
      <c r="BR190">
        <v>0</v>
      </c>
      <c r="BS190">
        <v>149</v>
      </c>
      <c r="BT190">
        <v>68</v>
      </c>
      <c r="BU190">
        <v>0</v>
      </c>
      <c r="BV190">
        <v>163</v>
      </c>
      <c r="BW190">
        <v>48</v>
      </c>
      <c r="BX190">
        <v>0</v>
      </c>
      <c r="BY190">
        <v>197</v>
      </c>
      <c r="BZ190">
        <v>61</v>
      </c>
      <c r="CA190">
        <v>0</v>
      </c>
      <c r="CB190">
        <v>166</v>
      </c>
      <c r="CC190">
        <v>73</v>
      </c>
      <c r="CD190">
        <v>0</v>
      </c>
      <c r="CE190">
        <v>146</v>
      </c>
      <c r="CF190">
        <v>46</v>
      </c>
      <c r="CG190">
        <v>0</v>
      </c>
      <c r="CH190">
        <v>182</v>
      </c>
      <c r="CI190">
        <v>64</v>
      </c>
      <c r="CJ190">
        <v>0</v>
      </c>
      <c r="CK190">
        <v>131</v>
      </c>
      <c r="CL190">
        <v>16</v>
      </c>
      <c r="CM190">
        <v>0</v>
      </c>
      <c r="CN190">
        <v>174</v>
      </c>
      <c r="CO190">
        <v>68</v>
      </c>
      <c r="CP190">
        <v>0</v>
      </c>
      <c r="CQ190">
        <v>53</v>
      </c>
      <c r="CR190">
        <v>58</v>
      </c>
      <c r="CS190">
        <v>0</v>
      </c>
      <c r="CT190">
        <v>99</v>
      </c>
      <c r="CU190">
        <v>45</v>
      </c>
      <c r="CV190">
        <v>0</v>
      </c>
      <c r="CW190">
        <v>185</v>
      </c>
      <c r="CX190">
        <v>52</v>
      </c>
      <c r="CY190">
        <v>0</v>
      </c>
      <c r="CZ190">
        <v>172</v>
      </c>
      <c r="DA190">
        <v>83</v>
      </c>
      <c r="DB190">
        <v>0</v>
      </c>
      <c r="DC190">
        <v>137</v>
      </c>
      <c r="DD190">
        <v>42</v>
      </c>
      <c r="DE190">
        <v>0</v>
      </c>
      <c r="DF190">
        <v>166</v>
      </c>
      <c r="DG190">
        <v>77</v>
      </c>
      <c r="DH190">
        <v>0</v>
      </c>
      <c r="DI190">
        <v>141</v>
      </c>
      <c r="DJ190">
        <v>53</v>
      </c>
      <c r="DK190">
        <v>0</v>
      </c>
      <c r="DL190">
        <v>159</v>
      </c>
      <c r="DM190">
        <v>86</v>
      </c>
      <c r="DN190">
        <v>0</v>
      </c>
      <c r="DO190">
        <v>164</v>
      </c>
      <c r="DP190">
        <v>82</v>
      </c>
      <c r="DQ190">
        <v>0</v>
      </c>
      <c r="DR190">
        <v>138</v>
      </c>
      <c r="DS190">
        <v>28</v>
      </c>
      <c r="DT190">
        <v>0</v>
      </c>
      <c r="DU190">
        <v>169</v>
      </c>
      <c r="DV190">
        <v>66</v>
      </c>
      <c r="DW190">
        <v>0</v>
      </c>
      <c r="DX190">
        <v>190</v>
      </c>
      <c r="DY190">
        <v>66</v>
      </c>
      <c r="DZ190">
        <v>0</v>
      </c>
    </row>
    <row r="191" spans="2:130" hidden="1">
      <c r="B191" s="1332">
        <f t="shared" si="3"/>
        <v>13</v>
      </c>
      <c r="C191" s="1332">
        <f t="shared" si="4"/>
        <v>76</v>
      </c>
      <c r="D191" s="1332">
        <f t="shared" si="5"/>
        <v>0</v>
      </c>
      <c r="F191">
        <v>6572</v>
      </c>
      <c r="G191">
        <v>39</v>
      </c>
      <c r="H191">
        <v>1</v>
      </c>
      <c r="I191">
        <v>20</v>
      </c>
      <c r="J191">
        <v>10</v>
      </c>
      <c r="K191">
        <v>130</v>
      </c>
      <c r="L191">
        <v>76</v>
      </c>
      <c r="M191">
        <v>0</v>
      </c>
      <c r="N191">
        <v>144</v>
      </c>
      <c r="O191">
        <v>92</v>
      </c>
      <c r="P191">
        <v>0</v>
      </c>
      <c r="Q191">
        <v>202</v>
      </c>
      <c r="R191">
        <v>44</v>
      </c>
      <c r="S191">
        <v>0</v>
      </c>
      <c r="T191">
        <v>186</v>
      </c>
      <c r="U191">
        <v>68</v>
      </c>
      <c r="V191">
        <v>0</v>
      </c>
      <c r="W191">
        <v>141</v>
      </c>
      <c r="X191">
        <v>81</v>
      </c>
      <c r="Y191">
        <v>0</v>
      </c>
      <c r="Z191">
        <v>158</v>
      </c>
      <c r="AA191">
        <v>83</v>
      </c>
      <c r="AB191">
        <v>0</v>
      </c>
      <c r="AC191">
        <v>186</v>
      </c>
      <c r="AD191">
        <v>55</v>
      </c>
      <c r="AE191">
        <v>0</v>
      </c>
      <c r="AF191">
        <v>103</v>
      </c>
      <c r="AG191">
        <v>66</v>
      </c>
      <c r="AH191">
        <v>0</v>
      </c>
      <c r="AI191">
        <v>136</v>
      </c>
      <c r="AJ191">
        <v>34</v>
      </c>
      <c r="AK191">
        <v>0</v>
      </c>
      <c r="AL191">
        <v>126</v>
      </c>
      <c r="AM191">
        <v>83</v>
      </c>
      <c r="AN191">
        <v>0</v>
      </c>
      <c r="AO191">
        <v>190</v>
      </c>
      <c r="AP191">
        <v>75</v>
      </c>
      <c r="AQ191">
        <v>0</v>
      </c>
      <c r="AR191">
        <v>144</v>
      </c>
      <c r="AS191">
        <v>93</v>
      </c>
      <c r="AT191">
        <v>0</v>
      </c>
      <c r="AU191">
        <v>72</v>
      </c>
      <c r="AV191">
        <v>73</v>
      </c>
      <c r="AW191">
        <v>0</v>
      </c>
      <c r="AX191">
        <v>143</v>
      </c>
      <c r="AY191">
        <v>86</v>
      </c>
      <c r="AZ191">
        <v>0</v>
      </c>
      <c r="BA191">
        <v>138</v>
      </c>
      <c r="BB191">
        <v>89</v>
      </c>
      <c r="BC191">
        <v>0</v>
      </c>
      <c r="BD191">
        <v>125</v>
      </c>
      <c r="BE191">
        <v>80</v>
      </c>
      <c r="BF191">
        <v>0</v>
      </c>
      <c r="BG191">
        <v>149</v>
      </c>
      <c r="BH191">
        <v>32</v>
      </c>
      <c r="BI191">
        <v>0</v>
      </c>
      <c r="BJ191">
        <v>184</v>
      </c>
      <c r="BK191">
        <v>18</v>
      </c>
      <c r="BL191">
        <v>0</v>
      </c>
      <c r="BM191">
        <v>193</v>
      </c>
      <c r="BN191">
        <v>66</v>
      </c>
      <c r="BO191">
        <v>0</v>
      </c>
      <c r="BP191">
        <v>152</v>
      </c>
      <c r="BQ191">
        <v>86</v>
      </c>
      <c r="BR191">
        <v>0</v>
      </c>
      <c r="BS191">
        <v>142</v>
      </c>
      <c r="BT191">
        <v>70</v>
      </c>
      <c r="BU191">
        <v>0</v>
      </c>
      <c r="BV191">
        <v>147</v>
      </c>
      <c r="BW191">
        <v>50</v>
      </c>
      <c r="BX191">
        <v>0</v>
      </c>
      <c r="BY191">
        <v>200</v>
      </c>
      <c r="BZ191">
        <v>57</v>
      </c>
      <c r="CA191">
        <v>0</v>
      </c>
      <c r="CB191">
        <v>166</v>
      </c>
      <c r="CC191">
        <v>70</v>
      </c>
      <c r="CD191">
        <v>0</v>
      </c>
      <c r="CE191">
        <v>138</v>
      </c>
      <c r="CF191">
        <v>49</v>
      </c>
      <c r="CG191">
        <v>0</v>
      </c>
      <c r="CH191">
        <v>174</v>
      </c>
      <c r="CI191">
        <v>64</v>
      </c>
      <c r="CJ191">
        <v>0</v>
      </c>
      <c r="CK191">
        <v>122</v>
      </c>
      <c r="CL191">
        <v>16</v>
      </c>
      <c r="CM191">
        <v>0</v>
      </c>
      <c r="CN191">
        <v>168</v>
      </c>
      <c r="CO191">
        <v>70</v>
      </c>
      <c r="CP191">
        <v>0</v>
      </c>
      <c r="CQ191">
        <v>18</v>
      </c>
      <c r="CR191">
        <v>70</v>
      </c>
      <c r="CS191">
        <v>0</v>
      </c>
      <c r="CT191">
        <v>95</v>
      </c>
      <c r="CU191">
        <v>47</v>
      </c>
      <c r="CV191">
        <v>0</v>
      </c>
      <c r="CW191">
        <v>182</v>
      </c>
      <c r="CX191">
        <v>51</v>
      </c>
      <c r="CY191">
        <v>0</v>
      </c>
      <c r="CZ191">
        <v>160</v>
      </c>
      <c r="DA191">
        <v>88</v>
      </c>
      <c r="DB191">
        <v>0</v>
      </c>
      <c r="DC191">
        <v>131</v>
      </c>
      <c r="DD191">
        <v>46</v>
      </c>
      <c r="DE191">
        <v>0</v>
      </c>
      <c r="DF191">
        <v>157</v>
      </c>
      <c r="DG191">
        <v>77</v>
      </c>
      <c r="DH191">
        <v>0</v>
      </c>
      <c r="DI191">
        <v>121</v>
      </c>
      <c r="DJ191">
        <v>68</v>
      </c>
      <c r="DK191">
        <v>0</v>
      </c>
      <c r="DL191">
        <v>141</v>
      </c>
      <c r="DM191">
        <v>92</v>
      </c>
      <c r="DN191">
        <v>0</v>
      </c>
      <c r="DO191">
        <v>151</v>
      </c>
      <c r="DP191">
        <v>89</v>
      </c>
      <c r="DQ191">
        <v>0</v>
      </c>
      <c r="DR191">
        <v>131</v>
      </c>
      <c r="DS191">
        <v>31</v>
      </c>
      <c r="DT191">
        <v>0</v>
      </c>
      <c r="DU191">
        <v>167</v>
      </c>
      <c r="DV191">
        <v>68</v>
      </c>
      <c r="DW191">
        <v>0</v>
      </c>
      <c r="DX191">
        <v>193</v>
      </c>
      <c r="DY191">
        <v>61</v>
      </c>
      <c r="DZ191">
        <v>0</v>
      </c>
    </row>
    <row r="192" spans="2:130" hidden="1">
      <c r="B192" s="1332">
        <f t="shared" si="3"/>
        <v>12.9</v>
      </c>
      <c r="C192" s="1332">
        <f t="shared" si="4"/>
        <v>74</v>
      </c>
      <c r="D192" s="1332">
        <f t="shared" si="5"/>
        <v>0</v>
      </c>
      <c r="F192">
        <v>6573</v>
      </c>
      <c r="G192">
        <v>39</v>
      </c>
      <c r="H192">
        <v>1</v>
      </c>
      <c r="I192">
        <v>21</v>
      </c>
      <c r="J192">
        <v>10</v>
      </c>
      <c r="K192">
        <v>129</v>
      </c>
      <c r="L192">
        <v>74</v>
      </c>
      <c r="M192">
        <v>0</v>
      </c>
      <c r="N192">
        <v>138</v>
      </c>
      <c r="O192">
        <v>92</v>
      </c>
      <c r="P192">
        <v>0</v>
      </c>
      <c r="Q192">
        <v>215</v>
      </c>
      <c r="R192">
        <v>39</v>
      </c>
      <c r="S192">
        <v>0</v>
      </c>
      <c r="T192">
        <v>181</v>
      </c>
      <c r="U192">
        <v>70</v>
      </c>
      <c r="V192">
        <v>0</v>
      </c>
      <c r="W192">
        <v>129</v>
      </c>
      <c r="X192">
        <v>85</v>
      </c>
      <c r="Y192">
        <v>0</v>
      </c>
      <c r="Z192">
        <v>150</v>
      </c>
      <c r="AA192">
        <v>86</v>
      </c>
      <c r="AB192">
        <v>0</v>
      </c>
      <c r="AC192">
        <v>191</v>
      </c>
      <c r="AD192">
        <v>49</v>
      </c>
      <c r="AE192">
        <v>0</v>
      </c>
      <c r="AF192">
        <v>94</v>
      </c>
      <c r="AG192">
        <v>70</v>
      </c>
      <c r="AH192">
        <v>0</v>
      </c>
      <c r="AI192">
        <v>126</v>
      </c>
      <c r="AJ192">
        <v>35</v>
      </c>
      <c r="AK192">
        <v>0</v>
      </c>
      <c r="AL192">
        <v>120</v>
      </c>
      <c r="AM192">
        <v>83</v>
      </c>
      <c r="AN192">
        <v>0</v>
      </c>
      <c r="AO192">
        <v>185</v>
      </c>
      <c r="AP192">
        <v>77</v>
      </c>
      <c r="AQ192">
        <v>0</v>
      </c>
      <c r="AR192">
        <v>137</v>
      </c>
      <c r="AS192">
        <v>95</v>
      </c>
      <c r="AT192">
        <v>0</v>
      </c>
      <c r="AU192">
        <v>72</v>
      </c>
      <c r="AV192">
        <v>73</v>
      </c>
      <c r="AW192">
        <v>0</v>
      </c>
      <c r="AX192">
        <v>145</v>
      </c>
      <c r="AY192">
        <v>89</v>
      </c>
      <c r="AZ192">
        <v>0</v>
      </c>
      <c r="BA192">
        <v>128</v>
      </c>
      <c r="BB192">
        <v>90</v>
      </c>
      <c r="BC192">
        <v>0</v>
      </c>
      <c r="BD192">
        <v>132</v>
      </c>
      <c r="BE192">
        <v>67</v>
      </c>
      <c r="BF192">
        <v>0</v>
      </c>
      <c r="BG192">
        <v>144</v>
      </c>
      <c r="BH192">
        <v>36</v>
      </c>
      <c r="BI192">
        <v>0</v>
      </c>
      <c r="BJ192">
        <v>173</v>
      </c>
      <c r="BK192">
        <v>20</v>
      </c>
      <c r="BL192">
        <v>0</v>
      </c>
      <c r="BM192">
        <v>185</v>
      </c>
      <c r="BN192">
        <v>63</v>
      </c>
      <c r="BO192">
        <v>0</v>
      </c>
      <c r="BP192">
        <v>145</v>
      </c>
      <c r="BQ192">
        <v>88</v>
      </c>
      <c r="BR192">
        <v>0</v>
      </c>
      <c r="BS192">
        <v>128</v>
      </c>
      <c r="BT192">
        <v>77</v>
      </c>
      <c r="BU192">
        <v>0</v>
      </c>
      <c r="BV192">
        <v>137</v>
      </c>
      <c r="BW192">
        <v>50</v>
      </c>
      <c r="BX192">
        <v>0</v>
      </c>
      <c r="BY192">
        <v>197</v>
      </c>
      <c r="BZ192">
        <v>58</v>
      </c>
      <c r="CA192">
        <v>0</v>
      </c>
      <c r="CB192">
        <v>153</v>
      </c>
      <c r="CC192">
        <v>74</v>
      </c>
      <c r="CD192">
        <v>0</v>
      </c>
      <c r="CE192">
        <v>127</v>
      </c>
      <c r="CF192">
        <v>53</v>
      </c>
      <c r="CG192">
        <v>0</v>
      </c>
      <c r="CH192">
        <v>167</v>
      </c>
      <c r="CI192">
        <v>66</v>
      </c>
      <c r="CJ192">
        <v>0</v>
      </c>
      <c r="CK192">
        <v>109</v>
      </c>
      <c r="CL192">
        <v>19</v>
      </c>
      <c r="CM192">
        <v>0</v>
      </c>
      <c r="CN192">
        <v>160</v>
      </c>
      <c r="CO192">
        <v>73</v>
      </c>
      <c r="CP192">
        <v>0</v>
      </c>
      <c r="CQ192">
        <v>6</v>
      </c>
      <c r="CR192">
        <v>76</v>
      </c>
      <c r="CS192">
        <v>0</v>
      </c>
      <c r="CT192">
        <v>87</v>
      </c>
      <c r="CU192">
        <v>52</v>
      </c>
      <c r="CV192">
        <v>0</v>
      </c>
      <c r="CW192">
        <v>181</v>
      </c>
      <c r="CX192">
        <v>51</v>
      </c>
      <c r="CY192">
        <v>0</v>
      </c>
      <c r="CZ192">
        <v>150</v>
      </c>
      <c r="DA192">
        <v>93</v>
      </c>
      <c r="DB192">
        <v>0</v>
      </c>
      <c r="DC192">
        <v>125</v>
      </c>
      <c r="DD192">
        <v>50</v>
      </c>
      <c r="DE192">
        <v>0</v>
      </c>
      <c r="DF192">
        <v>142</v>
      </c>
      <c r="DG192">
        <v>84</v>
      </c>
      <c r="DH192">
        <v>0</v>
      </c>
      <c r="DI192">
        <v>110</v>
      </c>
      <c r="DJ192">
        <v>77</v>
      </c>
      <c r="DK192">
        <v>0</v>
      </c>
      <c r="DL192">
        <v>182</v>
      </c>
      <c r="DM192">
        <v>63</v>
      </c>
      <c r="DN192">
        <v>0</v>
      </c>
      <c r="DO192">
        <v>141</v>
      </c>
      <c r="DP192">
        <v>92</v>
      </c>
      <c r="DQ192">
        <v>0</v>
      </c>
      <c r="DR192">
        <v>113</v>
      </c>
      <c r="DS192">
        <v>37</v>
      </c>
      <c r="DT192">
        <v>0</v>
      </c>
      <c r="DU192">
        <v>160</v>
      </c>
      <c r="DV192">
        <v>70</v>
      </c>
      <c r="DW192">
        <v>0</v>
      </c>
      <c r="DX192">
        <v>181</v>
      </c>
      <c r="DY192">
        <v>66</v>
      </c>
      <c r="DZ192">
        <v>0</v>
      </c>
    </row>
    <row r="193" spans="2:130" hidden="1">
      <c r="B193" s="1332">
        <f t="shared" si="3"/>
        <v>12.5</v>
      </c>
      <c r="C193" s="1332">
        <f t="shared" si="4"/>
        <v>75</v>
      </c>
      <c r="D193" s="1332">
        <f t="shared" si="5"/>
        <v>0</v>
      </c>
      <c r="F193">
        <v>6574</v>
      </c>
      <c r="G193">
        <v>39</v>
      </c>
      <c r="H193">
        <v>1</v>
      </c>
      <c r="I193">
        <v>22</v>
      </c>
      <c r="J193">
        <v>10</v>
      </c>
      <c r="K193">
        <v>125</v>
      </c>
      <c r="L193">
        <v>75</v>
      </c>
      <c r="M193">
        <v>0</v>
      </c>
      <c r="N193">
        <v>137</v>
      </c>
      <c r="O193">
        <v>91</v>
      </c>
      <c r="P193">
        <v>0</v>
      </c>
      <c r="Q193">
        <v>216</v>
      </c>
      <c r="R193">
        <v>38</v>
      </c>
      <c r="S193">
        <v>0</v>
      </c>
      <c r="T193">
        <v>175</v>
      </c>
      <c r="U193">
        <v>73</v>
      </c>
      <c r="V193">
        <v>0</v>
      </c>
      <c r="W193">
        <v>126</v>
      </c>
      <c r="X193">
        <v>84</v>
      </c>
      <c r="Y193">
        <v>0</v>
      </c>
      <c r="Z193">
        <v>147</v>
      </c>
      <c r="AA193">
        <v>85</v>
      </c>
      <c r="AB193">
        <v>0</v>
      </c>
      <c r="AC193">
        <v>186</v>
      </c>
      <c r="AD193">
        <v>50</v>
      </c>
      <c r="AE193">
        <v>0</v>
      </c>
      <c r="AF193">
        <v>89</v>
      </c>
      <c r="AG193">
        <v>70</v>
      </c>
      <c r="AH193">
        <v>0</v>
      </c>
      <c r="AI193">
        <v>126</v>
      </c>
      <c r="AJ193">
        <v>34</v>
      </c>
      <c r="AK193">
        <v>0</v>
      </c>
      <c r="AL193">
        <v>117</v>
      </c>
      <c r="AM193">
        <v>83</v>
      </c>
      <c r="AN193">
        <v>0</v>
      </c>
      <c r="AO193">
        <v>177</v>
      </c>
      <c r="AP193">
        <v>81</v>
      </c>
      <c r="AQ193">
        <v>0</v>
      </c>
      <c r="AR193">
        <v>131</v>
      </c>
      <c r="AS193">
        <v>97</v>
      </c>
      <c r="AT193">
        <v>0</v>
      </c>
      <c r="AU193">
        <v>81</v>
      </c>
      <c r="AV193">
        <v>55</v>
      </c>
      <c r="AW193">
        <v>0</v>
      </c>
      <c r="AX193">
        <v>136</v>
      </c>
      <c r="AY193">
        <v>92</v>
      </c>
      <c r="AZ193">
        <v>0</v>
      </c>
      <c r="BA193">
        <v>119</v>
      </c>
      <c r="BB193">
        <v>91</v>
      </c>
      <c r="BC193">
        <v>0</v>
      </c>
      <c r="BD193">
        <v>125</v>
      </c>
      <c r="BE193">
        <v>66</v>
      </c>
      <c r="BF193">
        <v>0</v>
      </c>
      <c r="BG193">
        <v>137</v>
      </c>
      <c r="BH193">
        <v>42</v>
      </c>
      <c r="BI193">
        <v>0</v>
      </c>
      <c r="BJ193">
        <v>166</v>
      </c>
      <c r="BK193">
        <v>21</v>
      </c>
      <c r="BL193">
        <v>0</v>
      </c>
      <c r="BM193">
        <v>202</v>
      </c>
      <c r="BN193">
        <v>41</v>
      </c>
      <c r="BO193">
        <v>0</v>
      </c>
      <c r="BP193">
        <v>136</v>
      </c>
      <c r="BQ193">
        <v>90</v>
      </c>
      <c r="BR193">
        <v>0</v>
      </c>
      <c r="BS193">
        <v>120</v>
      </c>
      <c r="BT193">
        <v>81</v>
      </c>
      <c r="BU193">
        <v>0</v>
      </c>
      <c r="BV193">
        <v>134</v>
      </c>
      <c r="BW193">
        <v>52</v>
      </c>
      <c r="BX193">
        <v>0</v>
      </c>
      <c r="BY193">
        <v>189</v>
      </c>
      <c r="BZ193">
        <v>63</v>
      </c>
      <c r="CA193">
        <v>0</v>
      </c>
      <c r="CB193">
        <v>135</v>
      </c>
      <c r="CC193">
        <v>81</v>
      </c>
      <c r="CD193">
        <v>0</v>
      </c>
      <c r="CE193">
        <v>115</v>
      </c>
      <c r="CF193">
        <v>57</v>
      </c>
      <c r="CG193">
        <v>0</v>
      </c>
      <c r="CH193">
        <v>165</v>
      </c>
      <c r="CI193">
        <v>68</v>
      </c>
      <c r="CJ193">
        <v>0</v>
      </c>
      <c r="CK193">
        <v>105</v>
      </c>
      <c r="CL193">
        <v>20</v>
      </c>
      <c r="CM193">
        <v>0</v>
      </c>
      <c r="CN193">
        <v>162</v>
      </c>
      <c r="CO193">
        <v>73</v>
      </c>
      <c r="CP193">
        <v>0</v>
      </c>
      <c r="CQ193">
        <v>-3</v>
      </c>
      <c r="CR193">
        <v>78</v>
      </c>
      <c r="CS193">
        <v>0</v>
      </c>
      <c r="CT193">
        <v>83</v>
      </c>
      <c r="CU193">
        <v>53</v>
      </c>
      <c r="CV193">
        <v>0</v>
      </c>
      <c r="CW193">
        <v>199</v>
      </c>
      <c r="CX193">
        <v>42</v>
      </c>
      <c r="CY193">
        <v>0</v>
      </c>
      <c r="CZ193">
        <v>145</v>
      </c>
      <c r="DA193">
        <v>93</v>
      </c>
      <c r="DB193">
        <v>0</v>
      </c>
      <c r="DC193">
        <v>115</v>
      </c>
      <c r="DD193">
        <v>57</v>
      </c>
      <c r="DE193">
        <v>0</v>
      </c>
      <c r="DF193">
        <v>136</v>
      </c>
      <c r="DG193">
        <v>86</v>
      </c>
      <c r="DH193">
        <v>0</v>
      </c>
      <c r="DI193">
        <v>107</v>
      </c>
      <c r="DJ193">
        <v>79</v>
      </c>
      <c r="DK193">
        <v>0</v>
      </c>
      <c r="DL193">
        <v>194</v>
      </c>
      <c r="DM193">
        <v>52</v>
      </c>
      <c r="DN193">
        <v>0</v>
      </c>
      <c r="DO193">
        <v>132</v>
      </c>
      <c r="DP193">
        <v>95</v>
      </c>
      <c r="DQ193">
        <v>0</v>
      </c>
      <c r="DR193">
        <v>103</v>
      </c>
      <c r="DS193">
        <v>41</v>
      </c>
      <c r="DT193">
        <v>0</v>
      </c>
      <c r="DU193">
        <v>151</v>
      </c>
      <c r="DV193">
        <v>74</v>
      </c>
      <c r="DW193">
        <v>0</v>
      </c>
      <c r="DX193">
        <v>178</v>
      </c>
      <c r="DY193">
        <v>66</v>
      </c>
      <c r="DZ193">
        <v>0</v>
      </c>
    </row>
    <row r="194" spans="2:130" hidden="1">
      <c r="B194" s="1332">
        <f t="shared" si="3"/>
        <v>11.2</v>
      </c>
      <c r="C194" s="1332">
        <f t="shared" si="4"/>
        <v>80</v>
      </c>
      <c r="D194" s="1332">
        <f t="shared" si="5"/>
        <v>0</v>
      </c>
      <c r="F194">
        <v>6575</v>
      </c>
      <c r="G194">
        <v>39</v>
      </c>
      <c r="H194">
        <v>1</v>
      </c>
      <c r="I194">
        <v>23</v>
      </c>
      <c r="J194">
        <v>10</v>
      </c>
      <c r="K194">
        <v>112</v>
      </c>
      <c r="L194">
        <v>80</v>
      </c>
      <c r="M194">
        <v>0</v>
      </c>
      <c r="N194">
        <v>136</v>
      </c>
      <c r="O194">
        <v>91</v>
      </c>
      <c r="P194">
        <v>0</v>
      </c>
      <c r="Q194">
        <v>200</v>
      </c>
      <c r="R194">
        <v>47</v>
      </c>
      <c r="S194">
        <v>0</v>
      </c>
      <c r="T194">
        <v>170</v>
      </c>
      <c r="U194">
        <v>75</v>
      </c>
      <c r="V194">
        <v>0</v>
      </c>
      <c r="W194">
        <v>118</v>
      </c>
      <c r="X194">
        <v>86</v>
      </c>
      <c r="Y194">
        <v>0</v>
      </c>
      <c r="Z194">
        <v>142</v>
      </c>
      <c r="AA194">
        <v>86</v>
      </c>
      <c r="AB194">
        <v>0</v>
      </c>
      <c r="AC194">
        <v>182</v>
      </c>
      <c r="AD194">
        <v>50</v>
      </c>
      <c r="AE194">
        <v>0</v>
      </c>
      <c r="AF194">
        <v>82</v>
      </c>
      <c r="AG194">
        <v>72</v>
      </c>
      <c r="AH194">
        <v>0</v>
      </c>
      <c r="AI194">
        <v>114</v>
      </c>
      <c r="AJ194">
        <v>34</v>
      </c>
      <c r="AK194">
        <v>0</v>
      </c>
      <c r="AL194">
        <v>114</v>
      </c>
      <c r="AM194">
        <v>84</v>
      </c>
      <c r="AN194">
        <v>0</v>
      </c>
      <c r="AO194">
        <v>180</v>
      </c>
      <c r="AP194">
        <v>80</v>
      </c>
      <c r="AQ194">
        <v>0</v>
      </c>
      <c r="AR194">
        <v>127</v>
      </c>
      <c r="AS194">
        <v>97</v>
      </c>
      <c r="AT194">
        <v>0</v>
      </c>
      <c r="AU194">
        <v>75</v>
      </c>
      <c r="AV194">
        <v>60</v>
      </c>
      <c r="AW194">
        <v>0</v>
      </c>
      <c r="AX194">
        <v>131</v>
      </c>
      <c r="AY194">
        <v>94</v>
      </c>
      <c r="AZ194">
        <v>0</v>
      </c>
      <c r="BA194">
        <v>117</v>
      </c>
      <c r="BB194">
        <v>91</v>
      </c>
      <c r="BC194">
        <v>0</v>
      </c>
      <c r="BD194">
        <v>125</v>
      </c>
      <c r="BE194">
        <v>66</v>
      </c>
      <c r="BF194">
        <v>0</v>
      </c>
      <c r="BG194">
        <v>135</v>
      </c>
      <c r="BH194">
        <v>42</v>
      </c>
      <c r="BI194">
        <v>0</v>
      </c>
      <c r="BJ194">
        <v>154</v>
      </c>
      <c r="BK194">
        <v>38</v>
      </c>
      <c r="BL194">
        <v>0</v>
      </c>
      <c r="BM194">
        <v>203</v>
      </c>
      <c r="BN194">
        <v>36</v>
      </c>
      <c r="BO194">
        <v>0</v>
      </c>
      <c r="BP194">
        <v>130</v>
      </c>
      <c r="BQ194">
        <v>92</v>
      </c>
      <c r="BR194">
        <v>0</v>
      </c>
      <c r="BS194">
        <v>116</v>
      </c>
      <c r="BT194">
        <v>83</v>
      </c>
      <c r="BU194">
        <v>0</v>
      </c>
      <c r="BV194">
        <v>127</v>
      </c>
      <c r="BW194">
        <v>54</v>
      </c>
      <c r="BX194">
        <v>0</v>
      </c>
      <c r="BY194">
        <v>174</v>
      </c>
      <c r="BZ194">
        <v>77</v>
      </c>
      <c r="CA194">
        <v>0</v>
      </c>
      <c r="CB194">
        <v>134</v>
      </c>
      <c r="CC194">
        <v>80</v>
      </c>
      <c r="CD194">
        <v>0</v>
      </c>
      <c r="CE194">
        <v>93</v>
      </c>
      <c r="CF194">
        <v>65</v>
      </c>
      <c r="CG194">
        <v>0</v>
      </c>
      <c r="CH194">
        <v>165</v>
      </c>
      <c r="CI194">
        <v>67</v>
      </c>
      <c r="CJ194">
        <v>0</v>
      </c>
      <c r="CK194">
        <v>86</v>
      </c>
      <c r="CL194">
        <v>24</v>
      </c>
      <c r="CM194">
        <v>0</v>
      </c>
      <c r="CN194">
        <v>165</v>
      </c>
      <c r="CO194">
        <v>74</v>
      </c>
      <c r="CP194">
        <v>0</v>
      </c>
      <c r="CQ194">
        <v>-13</v>
      </c>
      <c r="CR194">
        <v>83</v>
      </c>
      <c r="CS194">
        <v>0</v>
      </c>
      <c r="CT194">
        <v>81</v>
      </c>
      <c r="CU194">
        <v>54</v>
      </c>
      <c r="CV194">
        <v>0</v>
      </c>
      <c r="CW194">
        <v>188</v>
      </c>
      <c r="CX194">
        <v>49</v>
      </c>
      <c r="CY194">
        <v>0</v>
      </c>
      <c r="CZ194">
        <v>139</v>
      </c>
      <c r="DA194">
        <v>93</v>
      </c>
      <c r="DB194">
        <v>0</v>
      </c>
      <c r="DC194">
        <v>105</v>
      </c>
      <c r="DD194">
        <v>66</v>
      </c>
      <c r="DE194">
        <v>0</v>
      </c>
      <c r="DF194">
        <v>132</v>
      </c>
      <c r="DG194">
        <v>87</v>
      </c>
      <c r="DH194">
        <v>0</v>
      </c>
      <c r="DI194">
        <v>103</v>
      </c>
      <c r="DJ194">
        <v>82</v>
      </c>
      <c r="DK194">
        <v>0</v>
      </c>
      <c r="DL194">
        <v>191</v>
      </c>
      <c r="DM194">
        <v>50</v>
      </c>
      <c r="DN194">
        <v>0</v>
      </c>
      <c r="DO194">
        <v>123</v>
      </c>
      <c r="DP194">
        <v>95</v>
      </c>
      <c r="DQ194">
        <v>0</v>
      </c>
      <c r="DR194">
        <v>99</v>
      </c>
      <c r="DS194">
        <v>43</v>
      </c>
      <c r="DT194">
        <v>0</v>
      </c>
      <c r="DU194">
        <v>133</v>
      </c>
      <c r="DV194">
        <v>82</v>
      </c>
      <c r="DW194">
        <v>0</v>
      </c>
      <c r="DX194">
        <v>173</v>
      </c>
      <c r="DY194">
        <v>68</v>
      </c>
      <c r="DZ194">
        <v>0</v>
      </c>
    </row>
    <row r="195" spans="2:130" hidden="1">
      <c r="B195" s="1332">
        <f t="shared" si="3"/>
        <v>10.9</v>
      </c>
      <c r="C195" s="1332">
        <f t="shared" si="4"/>
        <v>82</v>
      </c>
      <c r="D195" s="1332">
        <f t="shared" si="5"/>
        <v>0</v>
      </c>
      <c r="F195">
        <v>6576</v>
      </c>
      <c r="G195">
        <v>39</v>
      </c>
      <c r="H195">
        <v>1</v>
      </c>
      <c r="I195">
        <v>24</v>
      </c>
      <c r="J195">
        <v>10</v>
      </c>
      <c r="K195">
        <v>109</v>
      </c>
      <c r="L195">
        <v>82</v>
      </c>
      <c r="M195">
        <v>0</v>
      </c>
      <c r="N195">
        <v>122</v>
      </c>
      <c r="O195">
        <v>94</v>
      </c>
      <c r="P195">
        <v>0</v>
      </c>
      <c r="Q195">
        <v>166</v>
      </c>
      <c r="R195">
        <v>62</v>
      </c>
      <c r="S195">
        <v>0</v>
      </c>
      <c r="T195">
        <v>188</v>
      </c>
      <c r="U195">
        <v>69</v>
      </c>
      <c r="V195">
        <v>0</v>
      </c>
      <c r="W195">
        <v>113</v>
      </c>
      <c r="X195">
        <v>87</v>
      </c>
      <c r="Y195">
        <v>0</v>
      </c>
      <c r="Z195">
        <v>136</v>
      </c>
      <c r="AA195">
        <v>89</v>
      </c>
      <c r="AB195">
        <v>0</v>
      </c>
      <c r="AC195">
        <v>176</v>
      </c>
      <c r="AD195">
        <v>51</v>
      </c>
      <c r="AE195">
        <v>0</v>
      </c>
      <c r="AF195">
        <v>86</v>
      </c>
      <c r="AG195">
        <v>66</v>
      </c>
      <c r="AH195">
        <v>0</v>
      </c>
      <c r="AI195">
        <v>116</v>
      </c>
      <c r="AJ195">
        <v>33</v>
      </c>
      <c r="AK195">
        <v>0</v>
      </c>
      <c r="AL195">
        <v>109</v>
      </c>
      <c r="AM195">
        <v>84</v>
      </c>
      <c r="AN195">
        <v>0</v>
      </c>
      <c r="AO195">
        <v>181</v>
      </c>
      <c r="AP195">
        <v>79</v>
      </c>
      <c r="AQ195">
        <v>0</v>
      </c>
      <c r="AR195">
        <v>123</v>
      </c>
      <c r="AS195">
        <v>98</v>
      </c>
      <c r="AT195">
        <v>0</v>
      </c>
      <c r="AU195">
        <v>62</v>
      </c>
      <c r="AV195">
        <v>75</v>
      </c>
      <c r="AW195">
        <v>0</v>
      </c>
      <c r="AX195">
        <v>128</v>
      </c>
      <c r="AY195">
        <v>94</v>
      </c>
      <c r="AZ195">
        <v>0</v>
      </c>
      <c r="BA195">
        <v>108</v>
      </c>
      <c r="BB195">
        <v>95</v>
      </c>
      <c r="BC195">
        <v>0</v>
      </c>
      <c r="BD195">
        <v>108</v>
      </c>
      <c r="BE195">
        <v>75</v>
      </c>
      <c r="BF195">
        <v>0</v>
      </c>
      <c r="BG195">
        <v>134</v>
      </c>
      <c r="BH195">
        <v>41</v>
      </c>
      <c r="BI195">
        <v>0</v>
      </c>
      <c r="BJ195">
        <v>142</v>
      </c>
      <c r="BK195">
        <v>42</v>
      </c>
      <c r="BL195">
        <v>0</v>
      </c>
      <c r="BM195">
        <v>198</v>
      </c>
      <c r="BN195">
        <v>37</v>
      </c>
      <c r="BO195">
        <v>0</v>
      </c>
      <c r="BP195">
        <v>127</v>
      </c>
      <c r="BQ195">
        <v>94</v>
      </c>
      <c r="BR195">
        <v>0</v>
      </c>
      <c r="BS195">
        <v>113</v>
      </c>
      <c r="BT195">
        <v>88</v>
      </c>
      <c r="BU195">
        <v>0</v>
      </c>
      <c r="BV195">
        <v>123</v>
      </c>
      <c r="BW195">
        <v>59</v>
      </c>
      <c r="BX195">
        <v>0</v>
      </c>
      <c r="BY195">
        <v>161</v>
      </c>
      <c r="BZ195">
        <v>80</v>
      </c>
      <c r="CA195">
        <v>0</v>
      </c>
      <c r="CB195">
        <v>111</v>
      </c>
      <c r="CC195">
        <v>91</v>
      </c>
      <c r="CD195">
        <v>0</v>
      </c>
      <c r="CE195">
        <v>84</v>
      </c>
      <c r="CF195">
        <v>69</v>
      </c>
      <c r="CG195">
        <v>0</v>
      </c>
      <c r="CH195">
        <v>158</v>
      </c>
      <c r="CI195">
        <v>69</v>
      </c>
      <c r="CJ195">
        <v>0</v>
      </c>
      <c r="CK195">
        <v>28</v>
      </c>
      <c r="CL195">
        <v>46</v>
      </c>
      <c r="CM195">
        <v>0</v>
      </c>
      <c r="CN195">
        <v>168</v>
      </c>
      <c r="CO195">
        <v>74</v>
      </c>
      <c r="CP195">
        <v>0</v>
      </c>
      <c r="CQ195">
        <v>-25</v>
      </c>
      <c r="CR195">
        <v>86</v>
      </c>
      <c r="CS195">
        <v>0</v>
      </c>
      <c r="CT195">
        <v>73</v>
      </c>
      <c r="CU195">
        <v>57</v>
      </c>
      <c r="CV195">
        <v>0</v>
      </c>
      <c r="CW195">
        <v>183</v>
      </c>
      <c r="CX195">
        <v>54</v>
      </c>
      <c r="CY195">
        <v>0</v>
      </c>
      <c r="CZ195">
        <v>132</v>
      </c>
      <c r="DA195">
        <v>95</v>
      </c>
      <c r="DB195">
        <v>0</v>
      </c>
      <c r="DC195">
        <v>93</v>
      </c>
      <c r="DD195">
        <v>78</v>
      </c>
      <c r="DE195">
        <v>0</v>
      </c>
      <c r="DF195">
        <v>126</v>
      </c>
      <c r="DG195">
        <v>89</v>
      </c>
      <c r="DH195">
        <v>0</v>
      </c>
      <c r="DI195">
        <v>106</v>
      </c>
      <c r="DJ195">
        <v>77</v>
      </c>
      <c r="DK195">
        <v>0</v>
      </c>
      <c r="DL195">
        <v>183</v>
      </c>
      <c r="DM195">
        <v>52</v>
      </c>
      <c r="DN195">
        <v>0</v>
      </c>
      <c r="DO195">
        <v>118</v>
      </c>
      <c r="DP195">
        <v>96</v>
      </c>
      <c r="DQ195">
        <v>0</v>
      </c>
      <c r="DR195">
        <v>89</v>
      </c>
      <c r="DS195">
        <v>49</v>
      </c>
      <c r="DT195">
        <v>0</v>
      </c>
      <c r="DU195">
        <v>128</v>
      </c>
      <c r="DV195">
        <v>82</v>
      </c>
      <c r="DW195">
        <v>0</v>
      </c>
      <c r="DX195">
        <v>155</v>
      </c>
      <c r="DY195">
        <v>79</v>
      </c>
      <c r="DZ195">
        <v>0</v>
      </c>
    </row>
  </sheetData>
  <pageMargins left="0.7" right="0.7" top="0.78740157499999996" bottom="0.78740157499999996" header="0.3" footer="0.3"/>
  <pageSetup paperSize="9" orientation="portrait" horizontalDpi="4294967293" verticalDpi="0" r:id="rId1"/>
  <headerFooter>
    <oddHeader>&amp;CSIA 2024 Raum-Datenblätter</oddHeader>
    <oddFooter>&amp;CSIA 2024, Copyright © 2021 by SIA Zurich</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blDatenblatt" filterMode="1">
    <tabColor theme="6"/>
  </sheetPr>
  <dimension ref="A1:FS415"/>
  <sheetViews>
    <sheetView showGridLines="0" showRowColHeaders="0" showZeros="0" zoomScale="90" zoomScaleNormal="90" zoomScaleSheetLayoutView="100" workbookViewId="0">
      <pane xSplit="2" ySplit="8" topLeftCell="C9" activePane="bottomRight" state="frozen"/>
      <selection pane="topRight" activeCell="C1" sqref="C1"/>
      <selection pane="bottomLeft" activeCell="A9" sqref="A9"/>
      <selection pane="bottomRight" activeCell="C212" sqref="C212"/>
    </sheetView>
  </sheetViews>
  <sheetFormatPr baseColWidth="10" defaultColWidth="11.4609375" defaultRowHeight="14.15"/>
  <cols>
    <col min="1" max="1" width="3.53515625" customWidth="1"/>
    <col min="2" max="2" width="5.53515625" style="379" hidden="1" customWidth="1"/>
    <col min="3" max="3" width="8.4609375" style="3" customWidth="1"/>
    <col min="4" max="4" width="29.765625" style="3" customWidth="1"/>
    <col min="5" max="5" width="18" style="3" customWidth="1"/>
    <col min="6" max="6" width="13.4609375" style="3" customWidth="1"/>
    <col min="7" max="7" width="13" style="3" customWidth="1"/>
    <col min="8" max="8" width="19.53515625" style="3" customWidth="1"/>
    <col min="9" max="9" width="11.53515625" style="6" customWidth="1"/>
    <col min="10" max="10" width="9.4609375" style="6" customWidth="1"/>
    <col min="11" max="11" width="8.69140625" style="6" hidden="1" customWidth="1"/>
    <col min="12" max="12" width="7.765625" style="39" hidden="1" customWidth="1"/>
    <col min="13" max="13" width="15.53515625" style="39" customWidth="1"/>
    <col min="14" max="14" width="14" style="38" customWidth="1"/>
    <col min="15" max="15" width="12.53515625" style="38" customWidth="1"/>
    <col min="16" max="16" width="5.69140625" style="379" hidden="1" customWidth="1"/>
    <col min="17" max="17" width="7.23046875" style="379" hidden="1" customWidth="1"/>
    <col min="18" max="18" width="6.23046875" style="379" hidden="1" customWidth="1"/>
    <col min="19" max="19" width="5.07421875" style="379" hidden="1" customWidth="1"/>
    <col min="20" max="20" width="6.4609375" style="1" hidden="1" customWidth="1"/>
    <col min="21" max="21" width="9.23046875" style="1" hidden="1" customWidth="1"/>
    <col min="22" max="22" width="7.4609375" style="25" hidden="1" customWidth="1"/>
    <col min="23" max="23" width="14.53515625" style="25" hidden="1" customWidth="1"/>
    <col min="24" max="24" width="15.23046875" style="27" hidden="1" customWidth="1"/>
    <col min="25" max="26" width="7.4609375" style="27" hidden="1" customWidth="1"/>
    <col min="27" max="29" width="7.23046875" style="27" hidden="1" customWidth="1"/>
    <col min="30" max="31" width="7.4609375" style="27" hidden="1" customWidth="1"/>
    <col min="32" max="35" width="7.4609375" style="36" hidden="1" customWidth="1"/>
    <col min="36" max="36" width="6.53515625" style="36" hidden="1" customWidth="1"/>
    <col min="37" max="39" width="7.4609375" style="36" hidden="1" customWidth="1"/>
    <col min="40" max="44" width="7.4609375" style="36" customWidth="1"/>
    <col min="45" max="46" width="7.4609375" style="84" customWidth="1"/>
    <col min="47" max="47" width="7.4609375" style="90" customWidth="1"/>
    <col min="48" max="48" width="6.23046875" style="90" customWidth="1"/>
    <col min="49" max="81" width="6.23046875" style="57" customWidth="1"/>
    <col min="82" max="104" width="4.53515625" style="57" customWidth="1"/>
    <col min="105" max="106" width="4.53515625" style="58" customWidth="1"/>
    <col min="107" max="139" width="11.4609375" style="58"/>
    <col min="140" max="175" width="11.4609375" style="59"/>
  </cols>
  <sheetData>
    <row r="1" spans="1:175" s="15" customFormat="1" ht="24" customHeight="1">
      <c r="A1" s="129"/>
      <c r="B1" s="493"/>
      <c r="C1" s="130">
        <v>1</v>
      </c>
      <c r="D1" s="131"/>
      <c r="E1" s="131"/>
      <c r="F1" s="878"/>
      <c r="G1" s="1353">
        <v>40</v>
      </c>
      <c r="H1" s="132"/>
      <c r="I1" s="132"/>
      <c r="J1" s="133"/>
      <c r="K1" s="133"/>
      <c r="L1" s="134"/>
      <c r="M1" s="134"/>
      <c r="N1" s="135"/>
      <c r="O1" s="670"/>
      <c r="P1" s="14" t="s">
        <v>531</v>
      </c>
      <c r="Q1" s="14" t="s">
        <v>532</v>
      </c>
      <c r="R1" s="14" t="s">
        <v>533</v>
      </c>
      <c r="S1" s="14" t="s">
        <v>2254</v>
      </c>
      <c r="T1" s="7"/>
      <c r="U1" s="7"/>
      <c r="V1" s="63"/>
      <c r="W1" s="63"/>
      <c r="X1" s="64"/>
      <c r="Y1" s="64"/>
      <c r="Z1" s="64"/>
      <c r="AA1" s="64"/>
      <c r="AB1" s="64"/>
      <c r="AC1" s="64"/>
      <c r="AD1" s="64"/>
      <c r="AE1" s="64"/>
      <c r="AF1" s="65"/>
      <c r="AG1" s="65"/>
      <c r="AH1" s="65"/>
      <c r="AI1" s="65"/>
      <c r="AJ1" s="65"/>
      <c r="AK1" s="65"/>
      <c r="AL1" s="65"/>
      <c r="AM1" s="65"/>
      <c r="AN1" s="65"/>
      <c r="AO1" s="65"/>
      <c r="AP1" s="65"/>
      <c r="AQ1" s="65"/>
      <c r="AR1" s="65"/>
      <c r="AS1" s="66"/>
      <c r="AT1" s="66"/>
      <c r="AU1" s="81"/>
      <c r="AV1" s="81"/>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3"/>
      <c r="DB1" s="43"/>
      <c r="DC1" s="43"/>
      <c r="DD1" s="43"/>
      <c r="DE1" s="43"/>
      <c r="DF1" s="43"/>
      <c r="DG1" s="43"/>
      <c r="DH1" s="43"/>
      <c r="DI1" s="43"/>
      <c r="DJ1" s="43"/>
      <c r="DK1" s="43"/>
      <c r="DL1" s="43"/>
      <c r="DM1" s="43"/>
      <c r="DN1" s="43"/>
      <c r="DO1" s="43"/>
      <c r="DP1" s="43"/>
      <c r="DQ1" s="43"/>
      <c r="DR1" s="43"/>
      <c r="DS1" s="43"/>
      <c r="DT1" s="43"/>
      <c r="DU1" s="43"/>
      <c r="DV1" s="43"/>
      <c r="DW1" s="43"/>
      <c r="DX1" s="43"/>
      <c r="DY1" s="43"/>
      <c r="DZ1" s="43"/>
      <c r="EA1" s="43"/>
      <c r="EB1" s="43"/>
      <c r="EC1" s="43"/>
      <c r="ED1" s="43"/>
      <c r="EE1" s="43"/>
      <c r="EF1" s="43"/>
      <c r="EG1" s="43"/>
      <c r="EH1" s="43"/>
      <c r="EI1" s="43"/>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row>
    <row r="2" spans="1:175" s="15" customFormat="1" ht="17.600000000000001">
      <c r="A2" s="104"/>
      <c r="B2" s="494"/>
      <c r="C2" s="104" t="str">
        <f>INDEX(Eingabedaten!C9:C53,nutzid)</f>
        <v>Wohnen MFH</v>
      </c>
      <c r="D2" s="104"/>
      <c r="E2" s="104"/>
      <c r="F2" s="104"/>
      <c r="G2" s="104"/>
      <c r="H2" s="112"/>
      <c r="I2" s="112"/>
      <c r="J2" s="106"/>
      <c r="K2" s="106"/>
      <c r="L2" s="107"/>
      <c r="M2" s="107"/>
      <c r="N2" s="108"/>
      <c r="O2" s="109">
        <f>INDEX(Eingabedaten!A9:A53,nutzid)</f>
        <v>1.01</v>
      </c>
      <c r="P2" s="14">
        <v>0</v>
      </c>
      <c r="Q2" s="392">
        <v>1</v>
      </c>
      <c r="R2" s="14">
        <v>0</v>
      </c>
      <c r="S2" s="14"/>
      <c r="T2" s="7"/>
      <c r="U2" s="7"/>
      <c r="V2" s="63"/>
      <c r="W2" s="63"/>
      <c r="X2" s="64"/>
      <c r="Y2" s="64"/>
      <c r="Z2" s="64"/>
      <c r="AA2" s="64"/>
      <c r="AB2" s="64"/>
      <c r="AC2" s="64"/>
      <c r="AD2" s="64"/>
      <c r="AE2" s="64"/>
      <c r="AF2" s="65"/>
      <c r="AG2" s="65"/>
      <c r="AH2" s="65"/>
      <c r="AI2" s="65"/>
      <c r="AJ2" s="65"/>
      <c r="AK2" s="65"/>
      <c r="AL2" s="65"/>
      <c r="AM2" s="65"/>
      <c r="AN2" s="65"/>
      <c r="AO2" s="65"/>
      <c r="AP2" s="65"/>
      <c r="AQ2" s="65"/>
      <c r="AR2" s="65"/>
      <c r="AS2" s="66"/>
      <c r="AT2" s="66"/>
      <c r="AU2" s="81"/>
      <c r="AV2" s="81"/>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3"/>
      <c r="DB2" s="43"/>
      <c r="DC2" s="43"/>
      <c r="DD2" s="43"/>
      <c r="DE2" s="43"/>
      <c r="DF2" s="43"/>
      <c r="DG2" s="43"/>
      <c r="DH2" s="43"/>
      <c r="DI2" s="43"/>
      <c r="DJ2" s="43"/>
      <c r="DK2" s="43"/>
      <c r="DL2" s="43"/>
      <c r="DM2" s="43"/>
      <c r="DN2" s="43"/>
      <c r="DO2" s="43"/>
      <c r="DP2" s="43"/>
      <c r="DQ2" s="43"/>
      <c r="DR2" s="43"/>
      <c r="DS2" s="43"/>
      <c r="DT2" s="43"/>
      <c r="DU2" s="43"/>
      <c r="DV2" s="43"/>
      <c r="DW2" s="43"/>
      <c r="DX2" s="43"/>
      <c r="DY2" s="43"/>
      <c r="DZ2" s="43"/>
      <c r="EA2" s="43"/>
      <c r="EB2" s="43"/>
      <c r="EC2" s="43"/>
      <c r="ED2" s="43"/>
      <c r="EE2" s="43"/>
      <c r="EF2" s="43"/>
      <c r="EG2" s="43"/>
      <c r="EH2" s="43"/>
      <c r="EI2" s="43"/>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row>
    <row r="3" spans="1:175" s="15" customFormat="1" ht="1.5" customHeight="1">
      <c r="A3" s="104"/>
      <c r="B3" s="494"/>
      <c r="C3" s="110"/>
      <c r="D3" s="110"/>
      <c r="E3" s="110"/>
      <c r="F3" s="104"/>
      <c r="G3" s="104"/>
      <c r="H3" s="104"/>
      <c r="I3" s="112"/>
      <c r="J3" s="106"/>
      <c r="K3" s="106"/>
      <c r="L3" s="107"/>
      <c r="M3" s="107"/>
      <c r="N3" s="108"/>
      <c r="O3" s="109"/>
      <c r="P3" s="14">
        <v>0</v>
      </c>
      <c r="Q3" s="392">
        <v>1</v>
      </c>
      <c r="R3" s="14">
        <v>0</v>
      </c>
      <c r="S3" s="14"/>
      <c r="T3" s="7"/>
      <c r="U3" s="7"/>
      <c r="V3" s="63"/>
      <c r="W3" s="63"/>
      <c r="X3" s="64"/>
      <c r="Y3" s="64"/>
      <c r="Z3" s="64"/>
      <c r="AA3" s="64"/>
      <c r="AB3" s="64"/>
      <c r="AC3" s="64"/>
      <c r="AD3" s="64"/>
      <c r="AE3" s="64"/>
      <c r="AF3" s="65"/>
      <c r="AG3" s="65"/>
      <c r="AH3" s="65"/>
      <c r="AI3" s="65"/>
      <c r="AJ3" s="65"/>
      <c r="AK3" s="65"/>
      <c r="AL3" s="65"/>
      <c r="AM3" s="65"/>
      <c r="AN3" s="65"/>
      <c r="AO3" s="65"/>
      <c r="AP3" s="65"/>
      <c r="AQ3" s="65"/>
      <c r="AR3" s="65"/>
      <c r="AS3" s="66"/>
      <c r="AT3" s="66"/>
      <c r="AU3" s="81"/>
      <c r="AV3" s="81"/>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row>
    <row r="4" spans="1:175" s="9" customFormat="1" ht="15.75" customHeight="1">
      <c r="A4" s="117"/>
      <c r="B4" s="496"/>
      <c r="C4" s="118"/>
      <c r="D4" s="118"/>
      <c r="E4" s="118"/>
      <c r="F4" s="118"/>
      <c r="G4" s="118"/>
      <c r="H4" s="118"/>
      <c r="I4" s="200" t="str">
        <f>Begriffe!F338</f>
        <v>Symbol</v>
      </c>
      <c r="J4" s="534" t="str">
        <f>Begriffe!F339</f>
        <v>Einheit</v>
      </c>
      <c r="K4" s="119"/>
      <c r="L4" s="266" t="str">
        <f>Begriffe!F340</f>
        <v>Projektwert</v>
      </c>
      <c r="M4" s="534" t="str">
        <f>Begriffe!F341</f>
        <v>Standardwert</v>
      </c>
      <c r="N4" s="535" t="str">
        <f>Begriffe!F236</f>
        <v>Zielwert</v>
      </c>
      <c r="O4" s="535" t="str">
        <f>Begriffe!F237</f>
        <v>Bestand</v>
      </c>
      <c r="P4" s="14">
        <v>0</v>
      </c>
      <c r="Q4" s="392">
        <v>1</v>
      </c>
      <c r="R4" s="14">
        <v>0</v>
      </c>
      <c r="S4" s="14"/>
      <c r="T4" s="7"/>
      <c r="U4" s="7"/>
      <c r="V4" s="63"/>
      <c r="W4" s="63"/>
      <c r="X4" s="64"/>
      <c r="Y4" s="64"/>
      <c r="Z4" s="64"/>
      <c r="AA4" s="64"/>
      <c r="AB4" s="64"/>
      <c r="AC4" s="64"/>
      <c r="AD4" s="64"/>
      <c r="AE4" s="64"/>
      <c r="AF4" s="65"/>
      <c r="AG4" s="65"/>
      <c r="AH4" s="65"/>
      <c r="AI4" s="65"/>
      <c r="AJ4" s="65"/>
      <c r="AK4" s="65"/>
      <c r="AL4" s="65"/>
      <c r="AM4" s="65"/>
      <c r="AN4" s="65"/>
      <c r="AO4" s="65"/>
      <c r="AP4" s="65"/>
      <c r="AQ4" s="65"/>
      <c r="AR4" s="65"/>
      <c r="AS4" s="66"/>
      <c r="AT4" s="66"/>
      <c r="AU4" s="81"/>
      <c r="AV4" s="81"/>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3"/>
      <c r="DB4" s="43"/>
      <c r="DC4" s="43"/>
      <c r="DD4" s="43"/>
      <c r="DE4" s="43"/>
      <c r="DF4" s="43"/>
      <c r="DG4" s="43"/>
      <c r="DH4" s="43"/>
      <c r="DI4" s="43"/>
      <c r="DJ4" s="43"/>
      <c r="DK4" s="43"/>
      <c r="DL4" s="43"/>
      <c r="DM4" s="43"/>
      <c r="DN4" s="43"/>
      <c r="DO4" s="43"/>
      <c r="DP4" s="43"/>
      <c r="DQ4" s="43"/>
      <c r="DR4" s="43"/>
      <c r="DS4" s="43"/>
      <c r="DT4" s="43"/>
      <c r="DU4" s="43"/>
      <c r="DV4" s="43"/>
      <c r="DW4" s="43"/>
      <c r="DX4" s="43"/>
      <c r="DY4" s="43"/>
      <c r="DZ4" s="43"/>
      <c r="EA4" s="43"/>
      <c r="EB4" s="43"/>
      <c r="EC4" s="43"/>
      <c r="ED4" s="43"/>
      <c r="EE4" s="43"/>
      <c r="EF4" s="43"/>
      <c r="EG4" s="43"/>
      <c r="EH4" s="43"/>
      <c r="EI4" s="43"/>
      <c r="EJ4" s="46"/>
      <c r="EK4" s="46"/>
      <c r="EL4" s="46"/>
      <c r="EM4" s="46"/>
      <c r="EN4" s="46"/>
      <c r="EO4" s="46"/>
      <c r="EP4" s="46"/>
      <c r="EQ4" s="46"/>
      <c r="ER4" s="46"/>
      <c r="ES4" s="46"/>
      <c r="ET4" s="46"/>
      <c r="EU4" s="46"/>
      <c r="EV4" s="46"/>
      <c r="EW4" s="46"/>
      <c r="EX4" s="46"/>
      <c r="EY4" s="46"/>
      <c r="EZ4" s="46"/>
      <c r="FA4" s="46"/>
      <c r="FB4" s="46"/>
      <c r="FC4" s="46"/>
      <c r="FD4" s="46"/>
      <c r="FE4" s="46"/>
      <c r="FF4" s="46"/>
      <c r="FG4" s="46"/>
      <c r="FH4" s="46"/>
      <c r="FI4" s="46"/>
      <c r="FJ4" s="46"/>
      <c r="FK4" s="46"/>
      <c r="FL4" s="46"/>
      <c r="FM4" s="46"/>
      <c r="FN4" s="46"/>
      <c r="FO4" s="46"/>
      <c r="FP4" s="46"/>
      <c r="FQ4" s="46"/>
      <c r="FR4" s="46"/>
      <c r="FS4" s="46"/>
    </row>
    <row r="5" spans="1:175" s="11" customFormat="1" ht="18" hidden="1" customHeight="1">
      <c r="A5" s="1978" t="str">
        <f>Begriffe!F187</f>
        <v>Raum</v>
      </c>
      <c r="B5" s="35"/>
      <c r="C5" s="17" t="s">
        <v>164</v>
      </c>
      <c r="D5" s="23"/>
      <c r="E5" s="165"/>
      <c r="F5" s="165"/>
      <c r="G5" s="157" t="s">
        <v>4</v>
      </c>
      <c r="H5" s="157"/>
      <c r="I5" s="18" t="s">
        <v>53</v>
      </c>
      <c r="J5" s="24" t="s">
        <v>3</v>
      </c>
      <c r="K5" s="24"/>
      <c r="L5" s="19"/>
      <c r="M5" s="20">
        <f>INDEX(Winter_Auslegung!H5:H44,Datenblatt!G1)</f>
        <v>-7.5</v>
      </c>
      <c r="N5" s="19"/>
      <c r="O5" s="19"/>
      <c r="P5" s="392">
        <v>0</v>
      </c>
      <c r="Q5" s="392">
        <v>0</v>
      </c>
      <c r="R5" s="392">
        <v>0</v>
      </c>
      <c r="S5" s="243"/>
      <c r="T5" s="89"/>
      <c r="U5" s="89"/>
      <c r="V5" s="64"/>
      <c r="W5" s="158"/>
      <c r="X5" s="158"/>
      <c r="Y5" s="64"/>
      <c r="Z5" s="158"/>
      <c r="AA5" s="158"/>
      <c r="AB5" s="64"/>
      <c r="AC5" s="158"/>
      <c r="AD5" s="158"/>
      <c r="AE5" s="64"/>
      <c r="AF5" s="64"/>
      <c r="AG5" s="65"/>
      <c r="AH5" s="65"/>
      <c r="AI5" s="65"/>
      <c r="AJ5" s="65"/>
      <c r="AK5" s="65"/>
      <c r="AL5" s="65"/>
      <c r="AM5" s="65"/>
      <c r="AN5" s="66"/>
      <c r="AO5" s="66"/>
      <c r="AP5" s="81"/>
      <c r="AQ5" s="81"/>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3"/>
      <c r="CW5" s="43"/>
      <c r="CX5" s="43"/>
      <c r="CY5" s="43"/>
      <c r="CZ5" s="43"/>
      <c r="DA5" s="43"/>
      <c r="DB5" s="43"/>
      <c r="DC5" s="43"/>
      <c r="DD5" s="43"/>
      <c r="DE5" s="43"/>
      <c r="DF5" s="43"/>
      <c r="DG5" s="43"/>
      <c r="DH5" s="43"/>
      <c r="DI5" s="43"/>
      <c r="DJ5" s="43"/>
      <c r="DK5" s="43"/>
      <c r="DL5" s="43"/>
      <c r="DM5" s="43"/>
      <c r="DN5" s="43"/>
      <c r="DO5" s="43"/>
      <c r="DP5" s="43"/>
      <c r="DQ5" s="43"/>
      <c r="DR5" s="43"/>
      <c r="DS5" s="43"/>
      <c r="DT5" s="43"/>
      <c r="DU5" s="43"/>
      <c r="DV5" s="43"/>
      <c r="DW5" s="43"/>
      <c r="DX5" s="43"/>
      <c r="DY5" s="43"/>
      <c r="DZ5" s="43"/>
      <c r="EA5" s="43"/>
      <c r="EB5" s="43"/>
      <c r="EC5" s="43"/>
      <c r="ED5" s="43"/>
      <c r="EE5" s="47"/>
      <c r="EF5" s="47"/>
      <c r="EG5" s="47"/>
      <c r="EH5" s="47"/>
      <c r="EI5" s="47"/>
      <c r="EJ5" s="47"/>
      <c r="EK5" s="47"/>
      <c r="EL5" s="47"/>
      <c r="EM5" s="47"/>
      <c r="EN5" s="47"/>
      <c r="EO5" s="47"/>
      <c r="EP5" s="47"/>
      <c r="EQ5" s="47"/>
      <c r="ER5" s="47"/>
      <c r="ES5" s="47"/>
      <c r="ET5" s="47"/>
      <c r="EU5" s="47"/>
      <c r="EV5" s="47"/>
      <c r="EW5" s="47"/>
      <c r="EX5" s="47"/>
      <c r="EY5" s="47"/>
      <c r="EZ5" s="47"/>
      <c r="FA5" s="47"/>
      <c r="FB5" s="47"/>
      <c r="FC5" s="47"/>
      <c r="FD5" s="47"/>
      <c r="FE5" s="47"/>
      <c r="FF5" s="47"/>
      <c r="FG5" s="47"/>
      <c r="FH5" s="47"/>
      <c r="FI5" s="47"/>
      <c r="FJ5" s="47"/>
      <c r="FK5" s="47"/>
      <c r="FL5" s="47"/>
      <c r="FM5" s="47"/>
      <c r="FN5" s="47"/>
    </row>
    <row r="6" spans="1:175" s="11" customFormat="1" ht="18" hidden="1" customHeight="1">
      <c r="A6" s="1976"/>
      <c r="B6" s="35"/>
      <c r="C6" s="17" t="s">
        <v>1292</v>
      </c>
      <c r="D6" s="23"/>
      <c r="E6" s="165"/>
      <c r="F6" s="165"/>
      <c r="G6" s="157"/>
      <c r="H6" s="157"/>
      <c r="I6" s="18"/>
      <c r="J6" s="24" t="s">
        <v>3</v>
      </c>
      <c r="K6" s="24"/>
      <c r="L6" s="19"/>
      <c r="M6" s="19" t="e">
        <f>INDEX(#REF!,Datenblatt!G$1)</f>
        <v>#REF!</v>
      </c>
      <c r="N6" s="19"/>
      <c r="O6" s="19"/>
      <c r="P6" s="392"/>
      <c r="Q6" s="392"/>
      <c r="R6" s="392"/>
      <c r="S6" s="243"/>
      <c r="T6" s="89"/>
      <c r="U6" s="89"/>
      <c r="V6" s="64"/>
      <c r="W6" s="158"/>
      <c r="X6" s="158"/>
      <c r="Y6" s="64"/>
      <c r="Z6" s="158"/>
      <c r="AA6" s="158"/>
      <c r="AB6" s="64"/>
      <c r="AC6" s="158"/>
      <c r="AD6" s="158"/>
      <c r="AE6" s="64"/>
      <c r="AF6" s="64"/>
      <c r="AG6" s="65"/>
      <c r="AH6" s="65"/>
      <c r="AI6" s="65"/>
      <c r="AJ6" s="65"/>
      <c r="AK6" s="65"/>
      <c r="AL6" s="65"/>
      <c r="AM6" s="65"/>
      <c r="AN6" s="66"/>
      <c r="AO6" s="66"/>
      <c r="AP6" s="81"/>
      <c r="AQ6" s="81"/>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3"/>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7"/>
      <c r="EF6" s="47"/>
      <c r="EG6" s="47"/>
      <c r="EH6" s="47"/>
      <c r="EI6" s="47"/>
      <c r="EJ6" s="47"/>
      <c r="EK6" s="47"/>
      <c r="EL6" s="47"/>
      <c r="EM6" s="47"/>
      <c r="EN6" s="47"/>
      <c r="EO6" s="47"/>
      <c r="EP6" s="47"/>
      <c r="EQ6" s="47"/>
      <c r="ER6" s="47"/>
      <c r="ES6" s="47"/>
      <c r="ET6" s="47"/>
      <c r="EU6" s="47"/>
      <c r="EV6" s="47"/>
      <c r="EW6" s="47"/>
      <c r="EX6" s="47"/>
      <c r="EY6" s="47"/>
      <c r="EZ6" s="47"/>
      <c r="FA6" s="47"/>
      <c r="FB6" s="47"/>
      <c r="FC6" s="47"/>
      <c r="FD6" s="47"/>
      <c r="FE6" s="47"/>
      <c r="FF6" s="47"/>
      <c r="FG6" s="47"/>
      <c r="FH6" s="47"/>
      <c r="FI6" s="47"/>
      <c r="FJ6" s="47"/>
      <c r="FK6" s="47"/>
      <c r="FL6" s="47"/>
      <c r="FM6" s="47"/>
      <c r="FN6" s="47"/>
    </row>
    <row r="7" spans="1:175" s="11" customFormat="1" ht="18" hidden="1" customHeight="1">
      <c r="A7" s="1976"/>
      <c r="B7" s="35"/>
      <c r="C7" s="17" t="s">
        <v>1293</v>
      </c>
      <c r="D7" s="23"/>
      <c r="E7" s="165"/>
      <c r="F7" s="165"/>
      <c r="G7" s="157"/>
      <c r="H7" s="157"/>
      <c r="I7" s="18"/>
      <c r="J7" s="24" t="s">
        <v>3</v>
      </c>
      <c r="K7" s="24"/>
      <c r="L7" s="19"/>
      <c r="M7" s="19" t="e">
        <f>INDEX(#REF!,Datenblatt!G$1)</f>
        <v>#REF!</v>
      </c>
      <c r="N7" s="19"/>
      <c r="O7" s="19"/>
      <c r="P7" s="392"/>
      <c r="Q7" s="392"/>
      <c r="R7" s="392"/>
      <c r="S7" s="243"/>
      <c r="T7" s="89"/>
      <c r="U7" s="89"/>
      <c r="V7" s="64"/>
      <c r="W7" s="158"/>
      <c r="X7" s="158"/>
      <c r="Y7" s="64"/>
      <c r="Z7" s="158"/>
      <c r="AA7" s="158"/>
      <c r="AB7" s="64"/>
      <c r="AC7" s="158"/>
      <c r="AD7" s="158"/>
      <c r="AE7" s="64"/>
      <c r="AF7" s="64"/>
      <c r="AG7" s="65"/>
      <c r="AH7" s="65"/>
      <c r="AI7" s="65"/>
      <c r="AJ7" s="65"/>
      <c r="AK7" s="65"/>
      <c r="AL7" s="65"/>
      <c r="AM7" s="65"/>
      <c r="AN7" s="66"/>
      <c r="AO7" s="66"/>
      <c r="AP7" s="81"/>
      <c r="AQ7" s="81"/>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3"/>
      <c r="CW7" s="43"/>
      <c r="CX7" s="43"/>
      <c r="CY7" s="43"/>
      <c r="CZ7" s="43"/>
      <c r="DA7" s="43"/>
      <c r="DB7" s="43"/>
      <c r="DC7" s="43"/>
      <c r="DD7" s="43"/>
      <c r="DE7" s="43"/>
      <c r="DF7" s="43"/>
      <c r="DG7" s="43"/>
      <c r="DH7" s="43"/>
      <c r="DI7" s="43"/>
      <c r="DJ7" s="43"/>
      <c r="DK7" s="43"/>
      <c r="DL7" s="43"/>
      <c r="DM7" s="43"/>
      <c r="DN7" s="43"/>
      <c r="DO7" s="43"/>
      <c r="DP7" s="43"/>
      <c r="DQ7" s="43"/>
      <c r="DR7" s="43"/>
      <c r="DS7" s="43"/>
      <c r="DT7" s="43"/>
      <c r="DU7" s="43"/>
      <c r="DV7" s="43"/>
      <c r="DW7" s="43"/>
      <c r="DX7" s="43"/>
      <c r="DY7" s="43"/>
      <c r="DZ7" s="43"/>
      <c r="EA7" s="43"/>
      <c r="EB7" s="43"/>
      <c r="EC7" s="43"/>
      <c r="ED7" s="43"/>
      <c r="EE7" s="47"/>
      <c r="EF7" s="47"/>
      <c r="EG7" s="47"/>
      <c r="EH7" s="47"/>
      <c r="EI7" s="47"/>
      <c r="EJ7" s="47"/>
      <c r="EK7" s="47"/>
      <c r="EL7" s="47"/>
      <c r="EM7" s="47"/>
      <c r="EN7" s="47"/>
      <c r="EO7" s="47"/>
      <c r="EP7" s="47"/>
      <c r="EQ7" s="47"/>
      <c r="ER7" s="47"/>
      <c r="ES7" s="47"/>
      <c r="ET7" s="47"/>
      <c r="EU7" s="47"/>
      <c r="EV7" s="47"/>
      <c r="EW7" s="47"/>
      <c r="EX7" s="47"/>
      <c r="EY7" s="47"/>
      <c r="EZ7" s="47"/>
      <c r="FA7" s="47"/>
      <c r="FB7" s="47"/>
      <c r="FC7" s="47"/>
      <c r="FD7" s="47"/>
      <c r="FE7" s="47"/>
      <c r="FF7" s="47"/>
      <c r="FG7" s="47"/>
      <c r="FH7" s="47"/>
      <c r="FI7" s="47"/>
      <c r="FJ7" s="47"/>
      <c r="FK7" s="47"/>
      <c r="FL7" s="47"/>
      <c r="FM7" s="47"/>
      <c r="FN7" s="47"/>
    </row>
    <row r="8" spans="1:175" s="11" customFormat="1" ht="18" hidden="1" customHeight="1">
      <c r="A8" s="1976"/>
      <c r="B8" s="35"/>
      <c r="C8" s="17" t="s">
        <v>421</v>
      </c>
      <c r="D8" s="23"/>
      <c r="E8" s="165"/>
      <c r="F8" s="165"/>
      <c r="G8" s="157"/>
      <c r="H8" s="157"/>
      <c r="I8" s="18"/>
      <c r="J8" s="24"/>
      <c r="K8" s="24"/>
      <c r="L8" s="19"/>
      <c r="M8" s="20">
        <f>INDEX(Eingabedaten!$D$9:$IC$53,nutzid,MATCH($C8,Eingabedaten!$D$6:$IC$6,0))</f>
        <v>1</v>
      </c>
      <c r="N8" s="19"/>
      <c r="O8" s="19"/>
      <c r="P8" s="392">
        <v>0</v>
      </c>
      <c r="Q8" s="392">
        <v>0</v>
      </c>
      <c r="R8" s="392">
        <v>0</v>
      </c>
      <c r="S8" s="243"/>
      <c r="T8" s="89"/>
      <c r="U8" s="89"/>
      <c r="V8" s="64"/>
      <c r="W8" s="158"/>
      <c r="X8" s="158"/>
      <c r="Y8" s="64"/>
      <c r="Z8" s="158"/>
      <c r="AA8" s="158"/>
      <c r="AB8" s="64"/>
      <c r="AC8" s="158"/>
      <c r="AD8" s="158"/>
      <c r="AE8" s="64"/>
      <c r="AF8" s="64"/>
      <c r="AG8" s="65"/>
      <c r="AH8" s="65"/>
      <c r="AI8" s="65"/>
      <c r="AJ8" s="65"/>
      <c r="AK8" s="65"/>
      <c r="AL8" s="65"/>
      <c r="AM8" s="65"/>
      <c r="AN8" s="66"/>
      <c r="AO8" s="66"/>
      <c r="AP8" s="81"/>
      <c r="AQ8" s="81"/>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c r="CV8" s="43"/>
      <c r="CW8" s="43"/>
      <c r="CX8" s="43"/>
      <c r="CY8" s="43"/>
      <c r="CZ8" s="43"/>
      <c r="DA8" s="43"/>
      <c r="DB8" s="43"/>
      <c r="DC8" s="43"/>
      <c r="DD8" s="43"/>
      <c r="DE8" s="43"/>
      <c r="DF8" s="43"/>
      <c r="DG8" s="43"/>
      <c r="DH8" s="43"/>
      <c r="DI8" s="43"/>
      <c r="DJ8" s="43"/>
      <c r="DK8" s="43"/>
      <c r="DL8" s="43"/>
      <c r="DM8" s="43"/>
      <c r="DN8" s="43"/>
      <c r="DO8" s="43"/>
      <c r="DP8" s="43"/>
      <c r="DQ8" s="43"/>
      <c r="DR8" s="43"/>
      <c r="DS8" s="43"/>
      <c r="DT8" s="43"/>
      <c r="DU8" s="43"/>
      <c r="DV8" s="43"/>
      <c r="DW8" s="43"/>
      <c r="DX8" s="43"/>
      <c r="DY8" s="43"/>
      <c r="DZ8" s="43"/>
      <c r="EA8" s="43"/>
      <c r="EB8" s="43"/>
      <c r="EC8" s="43"/>
      <c r="ED8" s="43"/>
      <c r="EE8" s="47"/>
      <c r="EF8" s="47"/>
      <c r="EG8" s="47"/>
      <c r="EH8" s="47"/>
      <c r="EI8" s="47"/>
      <c r="EJ8" s="47"/>
      <c r="EK8" s="47"/>
      <c r="EL8" s="47"/>
      <c r="EM8" s="47"/>
      <c r="EN8" s="47"/>
      <c r="EO8" s="47"/>
      <c r="EP8" s="47"/>
      <c r="EQ8" s="47"/>
      <c r="ER8" s="47"/>
      <c r="ES8" s="47"/>
      <c r="ET8" s="47"/>
      <c r="EU8" s="47"/>
      <c r="EV8" s="47"/>
      <c r="EW8" s="47"/>
      <c r="EX8" s="47"/>
      <c r="EY8" s="47"/>
      <c r="EZ8" s="47"/>
      <c r="FA8" s="47"/>
      <c r="FB8" s="47"/>
      <c r="FC8" s="47"/>
      <c r="FD8" s="47"/>
      <c r="FE8" s="47"/>
      <c r="FF8" s="47"/>
      <c r="FG8" s="47"/>
      <c r="FH8" s="47"/>
      <c r="FI8" s="47"/>
      <c r="FJ8" s="47"/>
      <c r="FK8" s="47"/>
      <c r="FL8" s="47"/>
      <c r="FM8" s="47"/>
      <c r="FN8" s="47"/>
    </row>
    <row r="9" spans="1:175" s="11" customFormat="1" ht="18" customHeight="1">
      <c r="A9" s="1976"/>
      <c r="B9" s="204"/>
      <c r="C9" s="671" t="str">
        <f>Begriffe!F188</f>
        <v>Raumabmessungen</v>
      </c>
      <c r="D9" s="14"/>
      <c r="E9" s="87"/>
      <c r="F9" s="14"/>
      <c r="G9" s="14"/>
      <c r="H9" s="14"/>
      <c r="I9" s="377"/>
      <c r="J9" s="377"/>
      <c r="K9" s="377"/>
      <c r="L9" s="93"/>
      <c r="M9" s="377"/>
      <c r="N9" s="174"/>
      <c r="O9" s="174"/>
      <c r="P9" s="392">
        <v>0</v>
      </c>
      <c r="Q9" s="392">
        <v>1</v>
      </c>
      <c r="R9" s="392">
        <v>1</v>
      </c>
      <c r="S9" s="14"/>
      <c r="T9" s="243"/>
      <c r="U9" s="89"/>
      <c r="V9" s="64"/>
      <c r="W9" s="158"/>
      <c r="X9" s="158"/>
      <c r="Y9" s="64"/>
      <c r="Z9" s="158"/>
      <c r="AA9" s="158"/>
      <c r="AB9" s="64"/>
      <c r="AC9" s="158"/>
      <c r="AD9" s="158"/>
      <c r="AE9" s="64"/>
      <c r="AF9" s="64"/>
      <c r="AG9" s="65"/>
      <c r="AH9" s="65"/>
      <c r="AI9" s="65"/>
      <c r="AJ9" s="65"/>
      <c r="AK9" s="65"/>
      <c r="AL9" s="65"/>
      <c r="AM9" s="65"/>
      <c r="AN9" s="66"/>
      <c r="AO9" s="66"/>
      <c r="AP9" s="81"/>
      <c r="AQ9" s="81"/>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c r="CV9" s="43"/>
      <c r="CW9" s="43"/>
      <c r="CX9" s="43"/>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c r="EA9" s="43"/>
      <c r="EB9" s="43"/>
      <c r="EC9" s="43"/>
      <c r="ED9" s="43"/>
      <c r="EE9" s="47"/>
      <c r="EF9" s="47"/>
      <c r="EG9" s="47"/>
      <c r="EH9" s="47"/>
      <c r="EI9" s="47"/>
      <c r="EJ9" s="47"/>
      <c r="EK9" s="47"/>
      <c r="EL9" s="47"/>
      <c r="EM9" s="47"/>
      <c r="EN9" s="47"/>
      <c r="EO9" s="47"/>
      <c r="EP9" s="47"/>
      <c r="EQ9" s="47"/>
      <c r="ER9" s="47"/>
      <c r="ES9" s="47"/>
      <c r="ET9" s="47"/>
      <c r="EU9" s="47"/>
      <c r="EV9" s="47"/>
      <c r="EW9" s="47"/>
      <c r="EX9" s="47"/>
      <c r="EY9" s="47"/>
      <c r="EZ9" s="47"/>
      <c r="FA9" s="47"/>
      <c r="FB9" s="47"/>
      <c r="FC9" s="47"/>
      <c r="FD9" s="47"/>
      <c r="FE9" s="47"/>
      <c r="FF9" s="47"/>
      <c r="FG9" s="47"/>
      <c r="FH9" s="47"/>
      <c r="FI9" s="47"/>
      <c r="FJ9" s="47"/>
      <c r="FK9" s="47"/>
      <c r="FL9" s="47"/>
      <c r="FM9" s="47"/>
      <c r="FN9" s="47"/>
    </row>
    <row r="10" spans="1:175" s="11" customFormat="1" ht="18" customHeight="1">
      <c r="A10" s="1976"/>
      <c r="B10" s="204"/>
      <c r="C10" s="14" t="str">
        <f>Begriffe!F189</f>
        <v>Raumlänge</v>
      </c>
      <c r="D10" s="14"/>
      <c r="E10" s="14"/>
      <c r="F10" s="171"/>
      <c r="G10" s="172"/>
      <c r="H10" s="173"/>
      <c r="I10" s="672" t="s">
        <v>938</v>
      </c>
      <c r="J10" s="377" t="s">
        <v>29</v>
      </c>
      <c r="K10" s="377"/>
      <c r="L10" s="510"/>
      <c r="M10" s="378">
        <f>IF(L10&lt;&gt;"",L10,INDEX(Eingabedaten!$D$9:$DN$53,nutzid,MATCH($C10,Eingabedaten!$D$6:$DN$6,0)))</f>
        <v>4</v>
      </c>
      <c r="N10" s="180"/>
      <c r="O10" s="181"/>
      <c r="P10" s="392">
        <v>0</v>
      </c>
      <c r="Q10" s="392">
        <v>1</v>
      </c>
      <c r="R10" s="392">
        <v>0</v>
      </c>
      <c r="S10" s="14"/>
      <c r="T10" s="243"/>
      <c r="U10" s="89"/>
      <c r="V10" s="64"/>
      <c r="W10" s="158"/>
      <c r="X10" s="158"/>
      <c r="Y10" s="64"/>
      <c r="Z10" s="158"/>
      <c r="AA10" s="158"/>
      <c r="AB10" s="64"/>
      <c r="AC10" s="158"/>
      <c r="AD10" s="158"/>
      <c r="AE10" s="64"/>
      <c r="AF10" s="64"/>
      <c r="AG10" s="65"/>
      <c r="AH10" s="65"/>
      <c r="AI10" s="65"/>
      <c r="AJ10" s="65"/>
      <c r="AK10" s="65"/>
      <c r="AL10" s="65"/>
      <c r="AM10" s="65"/>
      <c r="AN10" s="66"/>
      <c r="AO10" s="66"/>
      <c r="AP10" s="81"/>
      <c r="AQ10" s="81"/>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3"/>
      <c r="EB10" s="43"/>
      <c r="EC10" s="43"/>
      <c r="ED10" s="43"/>
      <c r="EE10" s="47"/>
      <c r="EF10" s="47"/>
      <c r="EG10" s="47"/>
      <c r="EH10" s="47"/>
      <c r="EI10" s="47"/>
      <c r="EJ10" s="47"/>
      <c r="EK10" s="47"/>
      <c r="EL10" s="47"/>
      <c r="EM10" s="47"/>
      <c r="EN10" s="47"/>
      <c r="EO10" s="47"/>
      <c r="EP10" s="47"/>
      <c r="EQ10" s="47"/>
      <c r="ER10" s="47"/>
      <c r="ES10" s="47"/>
      <c r="ET10" s="47"/>
      <c r="EU10" s="47"/>
      <c r="EV10" s="47"/>
      <c r="EW10" s="47"/>
      <c r="EX10" s="47"/>
      <c r="EY10" s="47"/>
      <c r="EZ10" s="47"/>
      <c r="FA10" s="47"/>
      <c r="FB10" s="47"/>
      <c r="FC10" s="47"/>
      <c r="FD10" s="47"/>
      <c r="FE10" s="47"/>
      <c r="FF10" s="47"/>
      <c r="FG10" s="47"/>
      <c r="FH10" s="47"/>
      <c r="FI10" s="47"/>
      <c r="FJ10" s="47"/>
      <c r="FK10" s="47"/>
      <c r="FL10" s="47"/>
      <c r="FM10" s="47"/>
      <c r="FN10" s="47"/>
    </row>
    <row r="11" spans="1:175" s="11" customFormat="1" ht="18" customHeight="1">
      <c r="A11" s="1976"/>
      <c r="B11" s="204"/>
      <c r="C11" s="14" t="str">
        <f>Begriffe!F190</f>
        <v>Raumtiefe</v>
      </c>
      <c r="D11" s="14"/>
      <c r="E11" s="14"/>
      <c r="I11" s="672" t="s">
        <v>1395</v>
      </c>
      <c r="J11" s="377" t="s">
        <v>29</v>
      </c>
      <c r="K11" s="377"/>
      <c r="L11" s="510"/>
      <c r="M11" s="378">
        <f>IF(L11&lt;&gt;"",L11,INDEX(Eingabedaten!$D$9:$DN$53,nutzid,MATCH($C11,Eingabedaten!$D$6:$DN$6,0)))</f>
        <v>5</v>
      </c>
      <c r="N11" s="180"/>
      <c r="O11" s="181"/>
      <c r="P11" s="392">
        <v>0</v>
      </c>
      <c r="Q11" s="392">
        <v>1</v>
      </c>
      <c r="R11" s="392">
        <v>0</v>
      </c>
      <c r="S11" s="14"/>
      <c r="T11" s="243"/>
      <c r="U11" s="89"/>
      <c r="V11" s="64"/>
      <c r="W11" s="158"/>
      <c r="X11" s="158"/>
      <c r="Y11" s="64"/>
      <c r="Z11" s="158"/>
      <c r="AA11" s="158"/>
      <c r="AB11" s="64"/>
      <c r="AC11" s="158"/>
      <c r="AD11" s="158"/>
      <c r="AE11" s="64"/>
      <c r="AF11" s="64"/>
      <c r="AG11" s="65"/>
      <c r="AH11" s="65"/>
      <c r="AI11" s="65"/>
      <c r="AJ11" s="65"/>
      <c r="AK11" s="65"/>
      <c r="AL11" s="65"/>
      <c r="AM11" s="65"/>
      <c r="AN11" s="66"/>
      <c r="AO11" s="66"/>
      <c r="AP11" s="81"/>
      <c r="AQ11" s="81"/>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c r="EB11" s="43"/>
      <c r="EC11" s="43"/>
      <c r="ED11" s="43"/>
      <c r="EE11" s="47"/>
      <c r="EF11" s="47"/>
      <c r="EG11" s="47"/>
      <c r="EH11" s="47"/>
      <c r="EI11" s="47"/>
      <c r="EJ11" s="47"/>
      <c r="EK11" s="47"/>
      <c r="EL11" s="47"/>
      <c r="EM11" s="47"/>
      <c r="EN11" s="47"/>
      <c r="EO11" s="47"/>
      <c r="EP11" s="47"/>
      <c r="EQ11" s="47"/>
      <c r="ER11" s="47"/>
      <c r="ES11" s="47"/>
      <c r="ET11" s="47"/>
      <c r="EU11" s="47"/>
      <c r="EV11" s="47"/>
      <c r="EW11" s="47"/>
      <c r="EX11" s="47"/>
      <c r="EY11" s="47"/>
      <c r="EZ11" s="47"/>
      <c r="FA11" s="47"/>
      <c r="FB11" s="47"/>
      <c r="FC11" s="47"/>
      <c r="FD11" s="47"/>
      <c r="FE11" s="47"/>
      <c r="FF11" s="47"/>
      <c r="FG11" s="47"/>
      <c r="FH11" s="47"/>
      <c r="FI11" s="47"/>
      <c r="FJ11" s="47"/>
      <c r="FK11" s="47"/>
      <c r="FL11" s="47"/>
      <c r="FM11" s="47"/>
      <c r="FN11" s="47"/>
    </row>
    <row r="12" spans="1:175" s="11" customFormat="1" ht="18" customHeight="1">
      <c r="A12" s="1976"/>
      <c r="B12" s="204"/>
      <c r="C12" s="14" t="str">
        <f>Begriffe!F191</f>
        <v>Raumhöhe</v>
      </c>
      <c r="D12" s="14"/>
      <c r="E12" s="14"/>
      <c r="H12" s="173"/>
      <c r="I12" s="672" t="s">
        <v>939</v>
      </c>
      <c r="J12" s="377" t="s">
        <v>29</v>
      </c>
      <c r="K12" s="377"/>
      <c r="L12" s="510"/>
      <c r="M12" s="378">
        <f>IF(L12&lt;&gt;"",L12,INDEX(Eingabedaten!$D$9:$DN$53,nutzid,MATCH($C12,Eingabedaten!$D$6:$DN$6,0)))</f>
        <v>2.5</v>
      </c>
      <c r="N12" s="180"/>
      <c r="O12" s="181"/>
      <c r="P12" s="392">
        <v>0</v>
      </c>
      <c r="Q12" s="392">
        <v>1</v>
      </c>
      <c r="R12" s="392">
        <v>0</v>
      </c>
      <c r="S12" s="14"/>
      <c r="T12" s="243"/>
      <c r="U12" s="89"/>
      <c r="V12" s="64"/>
      <c r="W12" s="158"/>
      <c r="X12" s="158"/>
      <c r="Y12" s="64"/>
      <c r="Z12" s="158"/>
      <c r="AA12" s="158"/>
      <c r="AB12" s="64"/>
      <c r="AC12" s="158"/>
      <c r="AD12" s="158"/>
      <c r="AE12" s="64"/>
      <c r="AF12" s="64"/>
      <c r="AG12" s="65"/>
      <c r="AH12" s="65"/>
      <c r="AI12" s="65"/>
      <c r="AJ12" s="65"/>
      <c r="AK12" s="65"/>
      <c r="AL12" s="65"/>
      <c r="AM12" s="65"/>
      <c r="AN12" s="66"/>
      <c r="AO12" s="66"/>
      <c r="AP12" s="81"/>
      <c r="AQ12" s="81"/>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c r="EA12" s="43"/>
      <c r="EB12" s="43"/>
      <c r="EC12" s="43"/>
      <c r="ED12" s="43"/>
      <c r="EE12" s="47"/>
      <c r="EF12" s="47"/>
      <c r="EG12" s="47"/>
      <c r="EH12" s="47"/>
      <c r="EI12" s="47"/>
      <c r="EJ12" s="47"/>
      <c r="EK12" s="47"/>
      <c r="EL12" s="47"/>
      <c r="EM12" s="47"/>
      <c r="EN12" s="47"/>
      <c r="EO12" s="47"/>
      <c r="EP12" s="47"/>
      <c r="EQ12" s="47"/>
      <c r="ER12" s="47"/>
      <c r="ES12" s="47"/>
      <c r="ET12" s="47"/>
      <c r="EU12" s="47"/>
      <c r="EV12" s="47"/>
      <c r="EW12" s="47"/>
      <c r="EX12" s="47"/>
      <c r="EY12" s="47"/>
      <c r="EZ12" s="47"/>
      <c r="FA12" s="47"/>
      <c r="FB12" s="47"/>
      <c r="FC12" s="47"/>
      <c r="FD12" s="47"/>
      <c r="FE12" s="47"/>
      <c r="FF12" s="47"/>
      <c r="FG12" s="47"/>
      <c r="FH12" s="47"/>
      <c r="FI12" s="47"/>
      <c r="FJ12" s="47"/>
      <c r="FK12" s="47"/>
      <c r="FL12" s="47"/>
      <c r="FM12" s="47"/>
      <c r="FN12" s="47"/>
    </row>
    <row r="13" spans="1:175" s="11" customFormat="1" ht="18" customHeight="1">
      <c r="A13" s="1976"/>
      <c r="B13" s="204"/>
      <c r="C13" s="14" t="str">
        <f>Begriffe!F192</f>
        <v>Nettogeschossfläche</v>
      </c>
      <c r="D13" s="14"/>
      <c r="H13" s="173"/>
      <c r="I13" s="1105" t="s">
        <v>1535</v>
      </c>
      <c r="J13" s="377" t="s">
        <v>439</v>
      </c>
      <c r="K13" s="377"/>
      <c r="L13" s="511"/>
      <c r="M13" s="392">
        <f>M10*M11</f>
        <v>20</v>
      </c>
      <c r="N13" s="180"/>
      <c r="O13" s="181"/>
      <c r="P13" s="392">
        <v>1</v>
      </c>
      <c r="Q13" s="392">
        <v>1</v>
      </c>
      <c r="R13" s="392">
        <v>0</v>
      </c>
      <c r="S13" s="14"/>
      <c r="T13" s="243"/>
      <c r="U13" s="89"/>
      <c r="V13" s="64"/>
      <c r="W13" s="158"/>
      <c r="X13" s="158"/>
      <c r="Y13" s="64"/>
      <c r="Z13" s="158"/>
      <c r="AA13" s="158"/>
      <c r="AB13" s="64"/>
      <c r="AC13" s="158"/>
      <c r="AD13" s="158"/>
      <c r="AE13" s="64"/>
      <c r="AF13" s="64"/>
      <c r="AG13" s="65"/>
      <c r="AH13" s="65"/>
      <c r="AI13" s="65"/>
      <c r="AJ13" s="65"/>
      <c r="AK13" s="65"/>
      <c r="AL13" s="65"/>
      <c r="AM13" s="65"/>
      <c r="AN13" s="66"/>
      <c r="AO13" s="66"/>
      <c r="AP13" s="81"/>
      <c r="AQ13" s="81"/>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7"/>
      <c r="EF13" s="47"/>
      <c r="EG13" s="47"/>
      <c r="EH13" s="47"/>
      <c r="EI13" s="47"/>
      <c r="EJ13" s="47"/>
      <c r="EK13" s="47"/>
      <c r="EL13" s="47"/>
      <c r="EM13" s="47"/>
      <c r="EN13" s="47"/>
      <c r="EO13" s="47"/>
      <c r="EP13" s="47"/>
      <c r="EQ13" s="47"/>
      <c r="ER13" s="47"/>
      <c r="ES13" s="47"/>
      <c r="ET13" s="47"/>
      <c r="EU13" s="47"/>
      <c r="EV13" s="47"/>
      <c r="EW13" s="47"/>
      <c r="EX13" s="47"/>
      <c r="EY13" s="47"/>
      <c r="EZ13" s="47"/>
      <c r="FA13" s="47"/>
      <c r="FB13" s="47"/>
      <c r="FC13" s="47"/>
      <c r="FD13" s="47"/>
      <c r="FE13" s="47"/>
      <c r="FF13" s="47"/>
      <c r="FG13" s="47"/>
      <c r="FH13" s="47"/>
      <c r="FI13" s="47"/>
      <c r="FJ13" s="47"/>
      <c r="FK13" s="47"/>
      <c r="FL13" s="47"/>
      <c r="FM13" s="47"/>
      <c r="FN13" s="47"/>
    </row>
    <row r="14" spans="1:175" s="11" customFormat="1" ht="18" customHeight="1">
      <c r="A14" s="1976"/>
      <c r="B14" s="204"/>
      <c r="C14" s="14" t="str">
        <f>Begriffe!F109</f>
        <v>Thermische Gebäudehüllfläche</v>
      </c>
      <c r="D14" s="673"/>
      <c r="I14" s="672" t="s">
        <v>940</v>
      </c>
      <c r="J14" s="377" t="s">
        <v>439</v>
      </c>
      <c r="K14" s="377"/>
      <c r="L14" s="512"/>
      <c r="M14" s="505">
        <f>IF(L14&lt;&gt;"",L14,INDEX(Eingabedaten!$D$9:$DN$53,nutzid,MATCH($C14,Eingabedaten!$D$6:$DN$6,0)))</f>
        <v>26.47058823529412</v>
      </c>
      <c r="N14" s="268"/>
      <c r="O14" s="269"/>
      <c r="P14" s="392">
        <v>0</v>
      </c>
      <c r="Q14" s="392">
        <v>1</v>
      </c>
      <c r="R14" s="392">
        <v>0</v>
      </c>
      <c r="S14" s="14"/>
      <c r="T14" s="243"/>
      <c r="U14" s="89"/>
      <c r="V14" s="64"/>
      <c r="W14" s="158"/>
      <c r="X14" s="158"/>
      <c r="Y14" s="64"/>
      <c r="Z14" s="158"/>
      <c r="AA14" s="158"/>
      <c r="AB14" s="64"/>
      <c r="AC14" s="158"/>
      <c r="AD14" s="158"/>
      <c r="AE14" s="64"/>
      <c r="AF14" s="64"/>
      <c r="AG14" s="65"/>
      <c r="AH14" s="65"/>
      <c r="AI14" s="65"/>
      <c r="AJ14" s="65"/>
      <c r="AK14" s="65"/>
      <c r="AL14" s="65"/>
      <c r="AM14" s="65"/>
      <c r="AN14" s="66"/>
      <c r="AO14" s="66"/>
      <c r="AP14" s="81"/>
      <c r="AQ14" s="81"/>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7"/>
      <c r="EF14" s="47"/>
      <c r="EG14" s="47"/>
      <c r="EH14" s="47"/>
      <c r="EI14" s="47"/>
      <c r="EJ14" s="47"/>
      <c r="EK14" s="47"/>
      <c r="EL14" s="47"/>
      <c r="EM14" s="47"/>
      <c r="EN14" s="47"/>
      <c r="EO14" s="47"/>
      <c r="EP14" s="47"/>
      <c r="EQ14" s="47"/>
      <c r="ER14" s="47"/>
      <c r="ES14" s="47"/>
      <c r="ET14" s="47"/>
      <c r="EU14" s="47"/>
      <c r="EV14" s="47"/>
      <c r="EW14" s="47"/>
      <c r="EX14" s="47"/>
      <c r="EY14" s="47"/>
      <c r="EZ14" s="47"/>
      <c r="FA14" s="47"/>
      <c r="FB14" s="47"/>
      <c r="FC14" s="47"/>
      <c r="FD14" s="47"/>
      <c r="FE14" s="47"/>
      <c r="FF14" s="47"/>
      <c r="FG14" s="47"/>
      <c r="FH14" s="47"/>
      <c r="FI14" s="47"/>
      <c r="FJ14" s="47"/>
      <c r="FK14" s="47"/>
      <c r="FL14" s="47"/>
      <c r="FM14" s="47"/>
      <c r="FN14" s="47"/>
    </row>
    <row r="15" spans="1:175" s="11" customFormat="1" ht="18" hidden="1" customHeight="1">
      <c r="A15" s="1976"/>
      <c r="B15" s="91"/>
      <c r="C15" s="17" t="s">
        <v>57</v>
      </c>
      <c r="D15" s="23"/>
      <c r="E15" s="23"/>
      <c r="F15" s="23"/>
      <c r="G15" s="23"/>
      <c r="H15" s="23"/>
      <c r="I15" s="18"/>
      <c r="J15" s="24"/>
      <c r="K15" s="24"/>
      <c r="L15" s="19"/>
      <c r="M15" s="469">
        <v>0.85</v>
      </c>
      <c r="N15" s="469">
        <v>0.85</v>
      </c>
      <c r="O15" s="469">
        <v>0.85</v>
      </c>
      <c r="P15" s="392">
        <v>0</v>
      </c>
      <c r="Q15" s="392">
        <v>0</v>
      </c>
      <c r="R15" s="392">
        <v>0</v>
      </c>
      <c r="T15" s="243"/>
      <c r="U15" s="89"/>
      <c r="V15" s="64"/>
      <c r="W15" s="158"/>
      <c r="X15" s="158"/>
      <c r="Y15" s="64"/>
      <c r="Z15" s="158"/>
      <c r="AA15" s="158"/>
      <c r="AB15" s="64"/>
      <c r="AC15" s="158"/>
      <c r="AD15" s="158"/>
      <c r="AE15" s="64"/>
      <c r="AF15" s="64"/>
      <c r="AG15" s="65"/>
      <c r="AH15" s="65"/>
      <c r="AI15" s="65"/>
      <c r="AJ15" s="65"/>
      <c r="AK15" s="65"/>
      <c r="AL15" s="65"/>
      <c r="AM15" s="65"/>
      <c r="AN15" s="66"/>
      <c r="AO15" s="66"/>
      <c r="AP15" s="81"/>
      <c r="AQ15" s="81"/>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43"/>
      <c r="DX15" s="43"/>
      <c r="DY15" s="43"/>
      <c r="DZ15" s="43"/>
      <c r="EA15" s="43"/>
      <c r="EB15" s="43"/>
      <c r="EC15" s="43"/>
      <c r="ED15" s="43"/>
      <c r="EE15" s="47"/>
      <c r="EF15" s="47"/>
      <c r="EG15" s="47"/>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row>
    <row r="16" spans="1:175" s="11" customFormat="1" ht="15.75" customHeight="1">
      <c r="A16" s="1976"/>
      <c r="B16" s="204"/>
      <c r="C16" s="14"/>
      <c r="D16" s="87"/>
      <c r="E16" s="87"/>
      <c r="F16" s="14"/>
      <c r="G16" s="87"/>
      <c r="H16" s="87"/>
      <c r="I16" s="98"/>
      <c r="J16" s="377"/>
      <c r="K16" s="377"/>
      <c r="L16" s="103"/>
      <c r="M16" s="444"/>
      <c r="N16" s="462"/>
      <c r="O16" s="462"/>
      <c r="P16" s="392">
        <v>0</v>
      </c>
      <c r="Q16" s="392">
        <v>1</v>
      </c>
      <c r="R16" s="392">
        <v>0</v>
      </c>
      <c r="S16" s="14"/>
      <c r="T16" s="243"/>
      <c r="U16" s="89"/>
      <c r="V16" s="64"/>
      <c r="W16" s="158"/>
      <c r="X16" s="158"/>
      <c r="Y16" s="64"/>
      <c r="Z16" s="158"/>
      <c r="AA16" s="158"/>
      <c r="AB16" s="64"/>
      <c r="AC16" s="158"/>
      <c r="AD16" s="158"/>
      <c r="AE16" s="64"/>
      <c r="AF16" s="64"/>
      <c r="AG16" s="65"/>
      <c r="AH16" s="65"/>
      <c r="AI16" s="65"/>
      <c r="AJ16" s="65"/>
      <c r="AK16" s="65"/>
      <c r="AL16" s="65"/>
      <c r="AM16" s="65"/>
      <c r="AN16" s="66"/>
      <c r="AO16" s="66"/>
      <c r="AP16" s="81"/>
      <c r="AQ16" s="81"/>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3"/>
      <c r="CW16" s="43"/>
      <c r="CX16" s="43"/>
      <c r="CY16" s="43"/>
      <c r="CZ16" s="43"/>
      <c r="DA16" s="43"/>
      <c r="DB16" s="43"/>
      <c r="DC16" s="43"/>
      <c r="DD16" s="43"/>
      <c r="DE16" s="43"/>
      <c r="DF16" s="43"/>
      <c r="DG16" s="43"/>
      <c r="DH16" s="43"/>
      <c r="DI16" s="43"/>
      <c r="DJ16" s="43"/>
      <c r="DK16" s="43"/>
      <c r="DL16" s="43"/>
      <c r="DM16" s="43"/>
      <c r="DN16" s="43"/>
      <c r="DO16" s="43"/>
      <c r="DP16" s="43"/>
      <c r="DQ16" s="43"/>
      <c r="DR16" s="43"/>
      <c r="DS16" s="43"/>
      <c r="DT16" s="43"/>
      <c r="DU16" s="43"/>
      <c r="DV16" s="43"/>
      <c r="DW16" s="43"/>
      <c r="DX16" s="43"/>
      <c r="DY16" s="43"/>
      <c r="DZ16" s="43"/>
      <c r="EA16" s="43"/>
      <c r="EB16" s="43"/>
      <c r="EC16" s="43"/>
      <c r="ED16" s="43"/>
      <c r="EE16" s="47"/>
      <c r="EF16" s="47"/>
      <c r="EG16" s="47"/>
      <c r="EH16" s="47"/>
      <c r="EI16" s="47"/>
      <c r="EJ16" s="47"/>
      <c r="EK16" s="47"/>
      <c r="EL16" s="47"/>
      <c r="EM16" s="47"/>
      <c r="EN16" s="47"/>
      <c r="EO16" s="47"/>
      <c r="EP16" s="47"/>
      <c r="EQ16" s="47"/>
      <c r="ER16" s="47"/>
      <c r="ES16" s="47"/>
      <c r="ET16" s="47"/>
      <c r="EU16" s="47"/>
      <c r="EV16" s="47"/>
      <c r="EW16" s="47"/>
      <c r="EX16" s="47"/>
      <c r="EY16" s="47"/>
      <c r="EZ16" s="47"/>
      <c r="FA16" s="47"/>
      <c r="FB16" s="47"/>
      <c r="FC16" s="47"/>
      <c r="FD16" s="47"/>
      <c r="FE16" s="47"/>
      <c r="FF16" s="47"/>
      <c r="FG16" s="47"/>
      <c r="FH16" s="47"/>
      <c r="FI16" s="47"/>
      <c r="FJ16" s="47"/>
      <c r="FK16" s="47"/>
      <c r="FL16" s="47"/>
      <c r="FM16" s="47"/>
      <c r="FN16" s="47"/>
    </row>
    <row r="17" spans="1:170" s="11" customFormat="1" ht="18" customHeight="1">
      <c r="A17" s="1976"/>
      <c r="B17" s="204"/>
      <c r="C17" s="671" t="str">
        <f>Begriffe!F194</f>
        <v>Bauphysikalische Eigenschaften</v>
      </c>
      <c r="D17" s="87"/>
      <c r="E17" s="87"/>
      <c r="F17" s="14"/>
      <c r="G17" s="87"/>
      <c r="H17" s="87"/>
      <c r="I17" s="98"/>
      <c r="J17" s="377"/>
      <c r="K17" s="377"/>
      <c r="L17" s="103"/>
      <c r="M17" s="444"/>
      <c r="N17" s="462"/>
      <c r="O17" s="462"/>
      <c r="P17" s="392">
        <v>0</v>
      </c>
      <c r="Q17" s="392">
        <v>1</v>
      </c>
      <c r="R17" s="392">
        <v>0</v>
      </c>
      <c r="S17" s="14"/>
      <c r="T17" s="243"/>
      <c r="U17" s="89"/>
      <c r="V17" s="64"/>
      <c r="W17" s="158"/>
      <c r="X17" s="158"/>
      <c r="Y17" s="64"/>
      <c r="Z17" s="158"/>
      <c r="AA17" s="158"/>
      <c r="AB17" s="64"/>
      <c r="AC17" s="158"/>
      <c r="AD17" s="158"/>
      <c r="AE17" s="64"/>
      <c r="AF17" s="64"/>
      <c r="AG17" s="65"/>
      <c r="AH17" s="65"/>
      <c r="AI17" s="65"/>
      <c r="AJ17" s="65"/>
      <c r="AK17" s="65"/>
      <c r="AL17" s="65"/>
      <c r="AM17" s="65"/>
      <c r="AN17" s="66"/>
      <c r="AO17" s="66"/>
      <c r="AP17" s="81"/>
      <c r="AQ17" s="81"/>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7"/>
      <c r="EF17" s="47"/>
      <c r="EG17" s="47"/>
      <c r="EH17" s="47"/>
      <c r="EI17" s="47"/>
      <c r="EJ17" s="47"/>
      <c r="EK17" s="47"/>
      <c r="EL17" s="47"/>
      <c r="EM17" s="47"/>
      <c r="EN17" s="47"/>
      <c r="EO17" s="47"/>
      <c r="EP17" s="47"/>
      <c r="EQ17" s="47"/>
      <c r="ER17" s="47"/>
      <c r="ES17" s="47"/>
      <c r="ET17" s="47"/>
      <c r="EU17" s="47"/>
      <c r="EV17" s="47"/>
      <c r="EW17" s="47"/>
      <c r="EX17" s="47"/>
      <c r="EY17" s="47"/>
      <c r="EZ17" s="47"/>
      <c r="FA17" s="47"/>
      <c r="FB17" s="47"/>
      <c r="FC17" s="47"/>
      <c r="FD17" s="47"/>
      <c r="FE17" s="47"/>
      <c r="FF17" s="47"/>
      <c r="FG17" s="47"/>
      <c r="FH17" s="47"/>
      <c r="FI17" s="47"/>
      <c r="FJ17" s="47"/>
      <c r="FK17" s="47"/>
      <c r="FL17" s="47"/>
      <c r="FM17" s="47"/>
      <c r="FN17" s="47"/>
    </row>
    <row r="18" spans="1:170" s="11" customFormat="1" ht="18" customHeight="1">
      <c r="A18" s="1976"/>
      <c r="B18" s="204"/>
      <c r="C18" s="14" t="str">
        <f>Begriffe!F196</f>
        <v>U-Wert opake Bauteile</v>
      </c>
      <c r="D18" s="87"/>
      <c r="E18" s="87"/>
      <c r="F18" s="14"/>
      <c r="G18" s="87"/>
      <c r="H18" s="87"/>
      <c r="I18" s="672" t="s">
        <v>941</v>
      </c>
      <c r="J18" s="377" t="s">
        <v>438</v>
      </c>
      <c r="K18" s="377"/>
      <c r="L18" s="510"/>
      <c r="M18" s="506">
        <f>IF(L18&lt;&gt;"",L18,INDEX(Eingabedaten!$D$9:$DN$53,nutzid,MATCH($C18,Eingabedaten!$D$6:$DN$6,0)))</f>
        <v>0.17</v>
      </c>
      <c r="N18" s="444">
        <f>INDEX(Eingabedaten!$D$9:$DN$53,nutzid,MATCH($C18,Eingabedaten!$D$6:$DN$6,0)+1)</f>
        <v>0.1</v>
      </c>
      <c r="O18" s="444">
        <f>INDEX(Eingabedaten!$D$9:$DN$53,nutzid,MATCH($C18,Eingabedaten!$D$6:$DN$6,0)+2)</f>
        <v>0.8</v>
      </c>
      <c r="P18" s="392">
        <v>0</v>
      </c>
      <c r="Q18" s="392">
        <v>1</v>
      </c>
      <c r="R18" s="392">
        <v>0</v>
      </c>
      <c r="S18" s="14"/>
      <c r="T18" s="243"/>
      <c r="U18" s="89"/>
      <c r="V18" s="64"/>
      <c r="W18" s="158"/>
      <c r="X18" s="158"/>
      <c r="Y18" s="64"/>
      <c r="Z18" s="158"/>
      <c r="AA18" s="158"/>
      <c r="AB18" s="64"/>
      <c r="AC18" s="158"/>
      <c r="AD18" s="158"/>
      <c r="AE18" s="64"/>
      <c r="AF18" s="64"/>
      <c r="AG18" s="65"/>
      <c r="AH18" s="65"/>
      <c r="AI18" s="65"/>
      <c r="AJ18" s="65"/>
      <c r="AK18" s="65"/>
      <c r="AL18" s="65"/>
      <c r="AM18" s="65"/>
      <c r="AN18" s="66"/>
      <c r="AO18" s="66"/>
      <c r="AP18" s="81"/>
      <c r="AQ18" s="81"/>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row>
    <row r="19" spans="1:170" s="11" customFormat="1" ht="18" customHeight="1">
      <c r="A19" s="1976"/>
      <c r="B19" s="204"/>
      <c r="C19" s="14" t="str">
        <f>Begriffe!F195</f>
        <v>U-Wert Fenster</v>
      </c>
      <c r="D19" s="14"/>
      <c r="E19" s="14"/>
      <c r="F19" s="14"/>
      <c r="G19" s="14"/>
      <c r="H19" s="14"/>
      <c r="I19" s="672" t="s">
        <v>942</v>
      </c>
      <c r="J19" s="377" t="s">
        <v>438</v>
      </c>
      <c r="K19" s="377"/>
      <c r="L19" s="510"/>
      <c r="M19" s="506">
        <f>IF(L19&lt;&gt;"",L19,INDEX(Eingabedaten!$D$9:$DN$53,nutzid,MATCH($C19,Eingabedaten!$D$6:$DN$6,0)))</f>
        <v>1</v>
      </c>
      <c r="N19" s="444">
        <f>INDEX(Eingabedaten!$D$9:$DN$53,nutzid,MATCH($C19,Eingabedaten!$D$6:$DN$6,0)+1)</f>
        <v>0.8</v>
      </c>
      <c r="O19" s="444">
        <f>INDEX(Eingabedaten!$D$9:$DN$53,nutzid,MATCH($C19,Eingabedaten!$D$6:$DN$6,0)+2)</f>
        <v>1.5</v>
      </c>
      <c r="P19" s="392">
        <v>0</v>
      </c>
      <c r="Q19" s="392">
        <v>1</v>
      </c>
      <c r="R19" s="392">
        <v>0</v>
      </c>
      <c r="S19" s="14"/>
      <c r="T19" s="243"/>
      <c r="U19" s="89"/>
      <c r="V19" s="64"/>
      <c r="W19" s="158"/>
      <c r="X19" s="158"/>
      <c r="Y19" s="64"/>
      <c r="Z19" s="158"/>
      <c r="AA19" s="158"/>
      <c r="AB19" s="64"/>
      <c r="AC19" s="158"/>
      <c r="AD19" s="158"/>
      <c r="AE19" s="64"/>
      <c r="AF19" s="64"/>
      <c r="AG19" s="65"/>
      <c r="AH19" s="65"/>
      <c r="AI19" s="65"/>
      <c r="AJ19" s="65"/>
      <c r="AK19" s="65"/>
      <c r="AL19" s="65"/>
      <c r="AM19" s="65"/>
      <c r="AN19" s="66"/>
      <c r="AO19" s="66"/>
      <c r="AP19" s="81"/>
      <c r="AQ19" s="81"/>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row>
    <row r="20" spans="1:170" s="11" customFormat="1" ht="18" customHeight="1">
      <c r="A20" s="1976"/>
      <c r="B20" s="204"/>
      <c r="C20" s="14" t="str">
        <f>Begriffe!F25</f>
        <v>Abminderungsfaktor für Fensterrahmen</v>
      </c>
      <c r="D20" s="14"/>
      <c r="E20" s="14"/>
      <c r="F20" s="14"/>
      <c r="G20" s="14"/>
      <c r="H20" s="14"/>
      <c r="I20" s="672" t="s">
        <v>943</v>
      </c>
      <c r="J20" s="377" t="s">
        <v>16</v>
      </c>
      <c r="K20" s="377"/>
      <c r="L20" s="513"/>
      <c r="M20" s="506">
        <f>IF(L20&lt;&gt;"",L20,INDEX(Eingabedaten!$D$9:$DN$53,nutzid,MATCH($C20,Eingabedaten!$D$6:$DN$6,0)))</f>
        <v>0.75</v>
      </c>
      <c r="N20" s="444">
        <f>M20</f>
        <v>0.75</v>
      </c>
      <c r="O20" s="444">
        <f>M20</f>
        <v>0.75</v>
      </c>
      <c r="P20" s="392">
        <v>0</v>
      </c>
      <c r="Q20" s="392">
        <v>1</v>
      </c>
      <c r="R20" s="392">
        <v>0</v>
      </c>
      <c r="S20" s="14"/>
      <c r="T20" s="243"/>
      <c r="U20" s="89"/>
      <c r="V20" s="64"/>
      <c r="W20" s="158"/>
      <c r="X20" s="158"/>
      <c r="Y20" s="64"/>
      <c r="Z20" s="158"/>
      <c r="AA20" s="158"/>
      <c r="AB20" s="64"/>
      <c r="AC20" s="158"/>
      <c r="AD20" s="158"/>
      <c r="AE20" s="64"/>
      <c r="AF20" s="64"/>
      <c r="AG20" s="65"/>
      <c r="AH20" s="65"/>
      <c r="AI20" s="65"/>
      <c r="AJ20" s="65"/>
      <c r="AK20" s="65"/>
      <c r="AL20" s="65"/>
      <c r="AM20" s="65"/>
      <c r="AN20" s="66"/>
      <c r="AO20" s="66"/>
      <c r="AP20" s="81"/>
      <c r="AQ20" s="81"/>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row>
    <row r="21" spans="1:170" s="11" customFormat="1" ht="18" hidden="1" customHeight="1">
      <c r="A21" s="1976"/>
      <c r="B21" s="91"/>
      <c r="C21" s="17" t="s">
        <v>165</v>
      </c>
      <c r="D21" s="23"/>
      <c r="E21" s="23"/>
      <c r="F21" s="23"/>
      <c r="G21" s="23"/>
      <c r="H21" s="23"/>
      <c r="I21" s="18"/>
      <c r="J21" s="24" t="s">
        <v>5</v>
      </c>
      <c r="K21" s="24"/>
      <c r="L21" s="19"/>
      <c r="M21" s="485">
        <v>0.1</v>
      </c>
      <c r="N21" s="485">
        <v>0.1</v>
      </c>
      <c r="O21" s="485">
        <v>0.1</v>
      </c>
      <c r="P21" s="392">
        <v>0</v>
      </c>
      <c r="Q21" s="392">
        <v>0</v>
      </c>
      <c r="R21" s="392">
        <v>0</v>
      </c>
      <c r="T21" s="243"/>
      <c r="U21" s="89"/>
      <c r="V21" s="64"/>
      <c r="W21" s="158"/>
      <c r="X21" s="158"/>
      <c r="Y21" s="64"/>
      <c r="Z21" s="158"/>
      <c r="AA21" s="158"/>
      <c r="AB21" s="64"/>
      <c r="AC21" s="158"/>
      <c r="AD21" s="158"/>
      <c r="AE21" s="64"/>
      <c r="AF21" s="64"/>
      <c r="AG21" s="65"/>
      <c r="AH21" s="65"/>
      <c r="AI21" s="65"/>
      <c r="AJ21" s="65"/>
      <c r="AK21" s="65"/>
      <c r="AL21" s="65"/>
      <c r="AM21" s="65"/>
      <c r="AN21" s="66"/>
      <c r="AO21" s="66"/>
      <c r="AP21" s="81"/>
      <c r="AQ21" s="81"/>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row>
    <row r="22" spans="1:170" s="11" customFormat="1" ht="18" customHeight="1">
      <c r="A22" s="1976"/>
      <c r="B22" s="204"/>
      <c r="C22" s="14" t="str">
        <f>Begriffe!F46</f>
        <v>Glasanteil</v>
      </c>
      <c r="D22" s="87"/>
      <c r="E22" s="87"/>
      <c r="F22" s="14" t="str">
        <f>Begriffe!F345</f>
        <v>Nach Westen orientiert</v>
      </c>
      <c r="H22" s="87"/>
      <c r="I22" s="672" t="s">
        <v>944</v>
      </c>
      <c r="J22" s="377" t="s">
        <v>5</v>
      </c>
      <c r="K22" s="377"/>
      <c r="L22" s="512"/>
      <c r="M22" s="505">
        <f>IF(L22&lt;&gt;"",L22,INDEX(Eingabedaten!$D$9:$DN$53,nutzid,MATCH($C22,Eingabedaten!$D$6:$DN$6,0)))</f>
        <v>30</v>
      </c>
      <c r="N22" s="394"/>
      <c r="O22" s="679"/>
      <c r="P22" s="392">
        <v>0</v>
      </c>
      <c r="Q22" s="392">
        <v>1</v>
      </c>
      <c r="R22" s="392">
        <v>0</v>
      </c>
      <c r="S22" s="14"/>
      <c r="T22" s="243"/>
      <c r="U22" s="89"/>
      <c r="V22" s="64"/>
      <c r="W22" s="158"/>
      <c r="X22" s="158"/>
      <c r="Y22" s="64"/>
      <c r="Z22" s="158"/>
      <c r="AA22" s="158"/>
      <c r="AB22" s="64"/>
      <c r="AC22" s="158"/>
      <c r="AD22" s="158"/>
      <c r="AE22" s="64"/>
      <c r="AF22" s="64"/>
      <c r="AG22" s="65"/>
      <c r="AH22" s="65"/>
      <c r="AI22" s="65"/>
      <c r="AJ22" s="65"/>
      <c r="AK22" s="65"/>
      <c r="AL22" s="65"/>
      <c r="AM22" s="65"/>
      <c r="AN22" s="66"/>
      <c r="AO22" s="66"/>
      <c r="AP22" s="81"/>
      <c r="AQ22" s="81"/>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row>
    <row r="23" spans="1:170" s="11" customFormat="1" ht="18" hidden="1" customHeight="1">
      <c r="A23" s="1976"/>
      <c r="B23" s="21"/>
      <c r="C23" s="395" t="s">
        <v>520</v>
      </c>
      <c r="D23" s="473"/>
      <c r="E23" s="473"/>
      <c r="F23" s="473"/>
      <c r="G23" s="395"/>
      <c r="H23" s="473"/>
      <c r="I23" s="396" t="s">
        <v>1862</v>
      </c>
      <c r="J23" s="397" t="s">
        <v>209</v>
      </c>
      <c r="K23" s="397"/>
      <c r="L23" s="474"/>
      <c r="M23" s="476">
        <f>M10*M12/M15*M22%</f>
        <v>3.5294117647058827</v>
      </c>
      <c r="N23" s="401"/>
      <c r="O23" s="475"/>
      <c r="P23" s="392">
        <v>0</v>
      </c>
      <c r="Q23" s="392">
        <v>0</v>
      </c>
      <c r="R23" s="392">
        <v>0</v>
      </c>
      <c r="T23" s="243"/>
      <c r="U23" s="89"/>
      <c r="V23" s="64"/>
      <c r="W23" s="158"/>
      <c r="X23" s="158"/>
      <c r="Y23" s="64"/>
      <c r="Z23" s="158"/>
      <c r="AA23" s="158"/>
      <c r="AB23" s="64"/>
      <c r="AC23" s="158"/>
      <c r="AD23" s="158"/>
      <c r="AE23" s="64"/>
      <c r="AF23" s="64"/>
      <c r="AG23" s="65"/>
      <c r="AH23" s="65"/>
      <c r="AI23" s="65"/>
      <c r="AJ23" s="65"/>
      <c r="AK23" s="65"/>
      <c r="AL23" s="65"/>
      <c r="AM23" s="65"/>
      <c r="AN23" s="66"/>
      <c r="AO23" s="66"/>
      <c r="AP23" s="81"/>
      <c r="AQ23" s="81"/>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row>
    <row r="24" spans="1:170" s="11" customFormat="1" ht="18" hidden="1" customHeight="1">
      <c r="A24" s="1976"/>
      <c r="B24" s="21"/>
      <c r="C24" s="395" t="s">
        <v>521</v>
      </c>
      <c r="D24" s="473"/>
      <c r="E24" s="473"/>
      <c r="F24" s="473"/>
      <c r="G24" s="395"/>
      <c r="H24" s="473"/>
      <c r="I24" s="396" t="s">
        <v>1863</v>
      </c>
      <c r="J24" s="397" t="s">
        <v>209</v>
      </c>
      <c r="K24" s="397"/>
      <c r="L24" s="474"/>
      <c r="M24" s="476">
        <f>M23/M20</f>
        <v>4.7058823529411766</v>
      </c>
      <c r="N24" s="401"/>
      <c r="O24" s="475"/>
      <c r="P24" s="392">
        <v>0</v>
      </c>
      <c r="Q24" s="392">
        <v>0</v>
      </c>
      <c r="R24" s="392">
        <v>0</v>
      </c>
      <c r="T24" s="243"/>
      <c r="U24" s="89"/>
      <c r="V24" s="64"/>
      <c r="W24" s="158"/>
      <c r="X24" s="158"/>
      <c r="Y24" s="64"/>
      <c r="Z24" s="158"/>
      <c r="AA24" s="158"/>
      <c r="AB24" s="64"/>
      <c r="AC24" s="158"/>
      <c r="AD24" s="158"/>
      <c r="AE24" s="64"/>
      <c r="AF24" s="64"/>
      <c r="AG24" s="65"/>
      <c r="AH24" s="65"/>
      <c r="AI24" s="65"/>
      <c r="AJ24" s="65"/>
      <c r="AK24" s="65"/>
      <c r="AL24" s="65"/>
      <c r="AM24" s="65"/>
      <c r="AN24" s="66"/>
      <c r="AO24" s="66"/>
      <c r="AP24" s="81"/>
      <c r="AQ24" s="81"/>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row>
    <row r="25" spans="1:170" s="11" customFormat="1" ht="18" hidden="1" customHeight="1">
      <c r="A25" s="1976"/>
      <c r="B25" s="477"/>
      <c r="C25" s="395" t="s">
        <v>522</v>
      </c>
      <c r="D25" s="473"/>
      <c r="E25" s="473"/>
      <c r="F25" s="473"/>
      <c r="G25" s="395"/>
      <c r="H25" s="473"/>
      <c r="I25" s="396" t="s">
        <v>523</v>
      </c>
      <c r="J25" s="397" t="s">
        <v>209</v>
      </c>
      <c r="K25" s="397"/>
      <c r="L25" s="474"/>
      <c r="M25" s="476">
        <f>M14-M24</f>
        <v>21.764705882352942</v>
      </c>
      <c r="N25" s="401"/>
      <c r="O25" s="475"/>
      <c r="P25" s="392">
        <v>0</v>
      </c>
      <c r="Q25" s="392">
        <v>0</v>
      </c>
      <c r="R25" s="392">
        <v>0</v>
      </c>
      <c r="T25" s="243"/>
      <c r="U25" s="89"/>
      <c r="V25" s="64"/>
      <c r="W25" s="158"/>
      <c r="X25" s="158"/>
      <c r="Y25" s="64"/>
      <c r="Z25" s="158"/>
      <c r="AA25" s="158"/>
      <c r="AB25" s="64"/>
      <c r="AC25" s="158"/>
      <c r="AD25" s="158"/>
      <c r="AE25" s="64"/>
      <c r="AF25" s="64"/>
      <c r="AG25" s="65"/>
      <c r="AH25" s="65"/>
      <c r="AI25" s="65"/>
      <c r="AJ25" s="65"/>
      <c r="AK25" s="65"/>
      <c r="AL25" s="65"/>
      <c r="AM25" s="65"/>
      <c r="AN25" s="66"/>
      <c r="AO25" s="66"/>
      <c r="AP25" s="81"/>
      <c r="AQ25" s="81"/>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row>
    <row r="26" spans="1:170" s="11" customFormat="1" ht="18" customHeight="1">
      <c r="A26" s="1976"/>
      <c r="B26" s="204"/>
      <c r="C26" s="14" t="str">
        <f>Begriffe!F197</f>
        <v>Gesamtenergiedurchlassgrad Verglasung</v>
      </c>
      <c r="D26" s="674"/>
      <c r="E26" s="182"/>
      <c r="F26" s="14"/>
      <c r="G26" s="500"/>
      <c r="H26" s="14"/>
      <c r="I26" s="98" t="s">
        <v>27</v>
      </c>
      <c r="J26" s="377" t="s">
        <v>208</v>
      </c>
      <c r="K26" s="377"/>
      <c r="L26" s="513"/>
      <c r="M26" s="506">
        <f>IF(L26&lt;&gt;"",L26,INDEX(Eingabedaten!$D$9:$DN$53,nutzid,MATCH($C26,Eingabedaten!$D$6:$DN$6,0)))</f>
        <v>0.5</v>
      </c>
      <c r="N26" s="444">
        <f>INDEX(Eingabedaten!$D$9:$DN$53,nutzid,MATCH($C26,Eingabedaten!$D$6:$DN$6,0)+1)</f>
        <v>0.5</v>
      </c>
      <c r="O26" s="444">
        <f>INDEX(Eingabedaten!$D$9:$DN$53,nutzid,MATCH($C26,Eingabedaten!$D$6:$DN$6,0)+2)</f>
        <v>0.65</v>
      </c>
      <c r="P26" s="392">
        <v>0</v>
      </c>
      <c r="Q26" s="392">
        <v>1</v>
      </c>
      <c r="R26" s="392">
        <v>0</v>
      </c>
      <c r="S26" s="14"/>
      <c r="T26" s="243"/>
      <c r="U26" s="89"/>
      <c r="V26" s="64"/>
      <c r="W26" s="158"/>
      <c r="X26" s="158"/>
      <c r="Y26" s="64"/>
      <c r="Z26" s="158"/>
      <c r="AA26" s="158"/>
      <c r="AB26" s="64"/>
      <c r="AC26" s="158"/>
      <c r="AD26" s="158"/>
      <c r="AE26" s="64"/>
      <c r="AF26" s="64"/>
      <c r="AG26" s="65"/>
      <c r="AH26" s="65"/>
      <c r="AI26" s="65"/>
      <c r="AJ26" s="65"/>
      <c r="AK26" s="65"/>
      <c r="AL26" s="65"/>
      <c r="AM26" s="65"/>
      <c r="AN26" s="66"/>
      <c r="AO26" s="66"/>
      <c r="AP26" s="81"/>
      <c r="AQ26" s="81"/>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row>
    <row r="27" spans="1:170" s="11" customFormat="1" ht="18" customHeight="1">
      <c r="A27" s="1976"/>
      <c r="B27" s="204"/>
      <c r="C27" s="14" t="str">
        <f>Begriffe!F198</f>
        <v>Gesamtenergiedurchlassgrad Verglasung und Sonnenschutz</v>
      </c>
      <c r="D27" s="674"/>
      <c r="E27" s="182"/>
      <c r="F27" s="14"/>
      <c r="G27" s="500"/>
      <c r="H27" s="14"/>
      <c r="I27" s="672" t="s">
        <v>945</v>
      </c>
      <c r="J27" s="377" t="s">
        <v>208</v>
      </c>
      <c r="K27" s="377"/>
      <c r="L27" s="513"/>
      <c r="M27" s="506">
        <f>IF(L27&lt;&gt;"",L27,INDEX(Eingabedaten!$D$9:$DN$53,nutzid,MATCH($C27,Eingabedaten!$D$6:$DN$6,0)))</f>
        <v>0.14000000000000001</v>
      </c>
      <c r="N27" s="444">
        <f>INDEX(Eingabedaten!$D$9:$DN$53,nutzid,MATCH($C27,Eingabedaten!$D$6:$DN$6,0)+1)</f>
        <v>0.1</v>
      </c>
      <c r="O27" s="444">
        <f>INDEX(Eingabedaten!$D$9:$DN$53,nutzid,MATCH($C27,Eingabedaten!$D$6:$DN$6,0)+2)</f>
        <v>0.2</v>
      </c>
      <c r="P27" s="392">
        <v>0</v>
      </c>
      <c r="Q27" s="392">
        <v>1</v>
      </c>
      <c r="R27" s="392">
        <v>0</v>
      </c>
      <c r="S27" s="14"/>
      <c r="T27" s="243"/>
      <c r="U27" s="89"/>
      <c r="V27" s="64"/>
      <c r="W27" s="158"/>
      <c r="X27" s="158"/>
      <c r="Y27" s="64"/>
      <c r="Z27" s="158"/>
      <c r="AA27" s="158"/>
      <c r="AB27" s="64"/>
      <c r="AC27" s="158"/>
      <c r="AD27" s="158"/>
      <c r="AE27" s="64"/>
      <c r="AF27" s="64"/>
      <c r="AG27" s="65"/>
      <c r="AH27" s="65"/>
      <c r="AI27" s="65"/>
      <c r="AJ27" s="65"/>
      <c r="AK27" s="65"/>
      <c r="AL27" s="65"/>
      <c r="AM27" s="65"/>
      <c r="AN27" s="66"/>
      <c r="AO27" s="66"/>
      <c r="AP27" s="81"/>
      <c r="AQ27" s="81"/>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row>
    <row r="28" spans="1:170" s="11" customFormat="1" ht="18" customHeight="1">
      <c r="A28" s="1976"/>
      <c r="B28" s="204"/>
      <c r="C28" s="14" t="str">
        <f>Begriffe!F123</f>
        <v>Wärmespeicherfähigkeit des Raumes</v>
      </c>
      <c r="D28" s="14"/>
      <c r="E28" s="182"/>
      <c r="F28" s="14"/>
      <c r="G28" s="500"/>
      <c r="H28" s="1947"/>
      <c r="I28" s="672" t="s">
        <v>946</v>
      </c>
      <c r="J28" s="377" t="s">
        <v>176</v>
      </c>
      <c r="K28" s="377"/>
      <c r="L28" s="512"/>
      <c r="M28" s="505">
        <f>IF(L28&lt;&gt;"",L28,INDEX(Eingabedaten!$D$9:$DN$53,nutzid,MATCH($C28,Eingabedaten!$D$6:$DN$6,0)))</f>
        <v>120</v>
      </c>
      <c r="N28" s="445">
        <f>M28</f>
        <v>120</v>
      </c>
      <c r="O28" s="445">
        <f>M28</f>
        <v>120</v>
      </c>
      <c r="P28" s="392">
        <v>0</v>
      </c>
      <c r="Q28" s="392">
        <v>1</v>
      </c>
      <c r="R28" s="392">
        <v>0</v>
      </c>
      <c r="S28" s="14"/>
      <c r="T28" s="243"/>
      <c r="U28" s="89"/>
      <c r="V28" s="64"/>
      <c r="W28" s="158"/>
      <c r="X28" s="158"/>
      <c r="Y28" s="64"/>
      <c r="Z28" s="158"/>
      <c r="AA28" s="158"/>
      <c r="AB28" s="64"/>
      <c r="AC28" s="158"/>
      <c r="AD28" s="158"/>
      <c r="AE28" s="64"/>
      <c r="AF28" s="64"/>
      <c r="AG28" s="65"/>
      <c r="AH28" s="65"/>
      <c r="AI28" s="65"/>
      <c r="AJ28" s="65"/>
      <c r="AK28" s="65"/>
      <c r="AL28" s="65"/>
      <c r="AM28" s="65"/>
      <c r="AN28" s="66"/>
      <c r="AO28" s="66"/>
      <c r="AP28" s="81"/>
      <c r="AQ28" s="81"/>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row>
    <row r="29" spans="1:170" s="11" customFormat="1" ht="15.75" customHeight="1">
      <c r="A29" s="1976"/>
      <c r="B29" s="204"/>
      <c r="C29" s="500"/>
      <c r="D29" s="674"/>
      <c r="E29" s="182"/>
      <c r="F29" s="14"/>
      <c r="G29" s="500"/>
      <c r="H29" s="14"/>
      <c r="I29" s="98"/>
      <c r="J29" s="377"/>
      <c r="K29" s="377"/>
      <c r="L29" s="103"/>
      <c r="M29" s="444"/>
      <c r="N29" s="169"/>
      <c r="O29" s="169"/>
      <c r="P29" s="392">
        <v>0</v>
      </c>
      <c r="Q29" s="392">
        <v>1</v>
      </c>
      <c r="R29" s="392">
        <v>0</v>
      </c>
      <c r="S29" s="14"/>
      <c r="T29" s="243"/>
      <c r="U29" s="89"/>
      <c r="V29" s="64"/>
      <c r="W29" s="158"/>
      <c r="X29" s="158"/>
      <c r="Y29" s="64"/>
      <c r="Z29" s="158"/>
      <c r="AA29" s="158"/>
      <c r="AB29" s="64"/>
      <c r="AC29" s="158"/>
      <c r="AD29" s="158"/>
      <c r="AE29" s="64"/>
      <c r="AF29" s="64"/>
      <c r="AG29" s="65"/>
      <c r="AH29" s="65"/>
      <c r="AI29" s="65"/>
      <c r="AJ29" s="65"/>
      <c r="AK29" s="65"/>
      <c r="AL29" s="65"/>
      <c r="AM29" s="65"/>
      <c r="AN29" s="66"/>
      <c r="AO29" s="66"/>
      <c r="AP29" s="81"/>
      <c r="AQ29" s="81"/>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row>
    <row r="30" spans="1:170" s="11" customFormat="1" ht="18" customHeight="1">
      <c r="A30" s="1976"/>
      <c r="B30" s="204"/>
      <c r="C30" s="671" t="str">
        <f>Begriffe!F199</f>
        <v>Raumklima</v>
      </c>
      <c r="D30" s="14"/>
      <c r="E30" s="87"/>
      <c r="F30" s="14"/>
      <c r="G30" s="14"/>
      <c r="H30" s="14"/>
      <c r="I30" s="377"/>
      <c r="J30" s="377"/>
      <c r="K30" s="377"/>
      <c r="L30" s="93"/>
      <c r="M30" s="377"/>
      <c r="N30" s="174"/>
      <c r="O30" s="174"/>
      <c r="P30" s="14">
        <v>0</v>
      </c>
      <c r="Q30" s="392">
        <v>1</v>
      </c>
      <c r="R30" s="14">
        <v>0</v>
      </c>
      <c r="S30" s="14"/>
      <c r="T30" s="243"/>
      <c r="U30" s="89"/>
      <c r="V30" s="64"/>
      <c r="W30" s="158"/>
      <c r="X30" s="158"/>
      <c r="Y30" s="64"/>
      <c r="Z30" s="158"/>
      <c r="AA30" s="158"/>
      <c r="AB30" s="65"/>
      <c r="AC30" s="89"/>
      <c r="AD30" s="89"/>
      <c r="AE30" s="65"/>
      <c r="AF30" s="65"/>
      <c r="AG30" s="65"/>
      <c r="AH30" s="65"/>
      <c r="AI30" s="65"/>
      <c r="AJ30" s="65"/>
      <c r="AK30" s="65"/>
      <c r="AL30" s="65"/>
      <c r="AM30" s="65"/>
      <c r="AN30" s="66"/>
      <c r="AO30" s="66"/>
      <c r="AP30" s="81"/>
      <c r="AQ30" s="81"/>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c r="CE30" s="42"/>
      <c r="CF30" s="42"/>
      <c r="CG30" s="42"/>
      <c r="CH30" s="42"/>
      <c r="CI30" s="42"/>
      <c r="CJ30" s="42"/>
      <c r="CK30" s="42"/>
      <c r="CL30" s="42"/>
      <c r="CM30" s="42"/>
      <c r="CN30" s="42"/>
      <c r="CO30" s="42"/>
      <c r="CP30" s="42"/>
      <c r="CQ30" s="42"/>
      <c r="CR30" s="42"/>
      <c r="CS30" s="42"/>
      <c r="CT30" s="42"/>
      <c r="CU30" s="42"/>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c r="EA30" s="43"/>
      <c r="EB30" s="43"/>
      <c r="EC30" s="43"/>
      <c r="ED30" s="43"/>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row>
    <row r="31" spans="1:170" s="11" customFormat="1" ht="18" customHeight="1">
      <c r="A31" s="1976"/>
      <c r="B31" s="204"/>
      <c r="C31" s="14" t="str">
        <f>Begriffe!F93</f>
        <v>Raumtemperatur-Auslegungswert</v>
      </c>
      <c r="D31" s="87"/>
      <c r="E31" s="87"/>
      <c r="F31" s="14" t="str">
        <f>Begriffe!$F$346</f>
        <v>Auslegung Kühlung</v>
      </c>
      <c r="G31" s="14"/>
      <c r="H31" s="14"/>
      <c r="I31" s="675" t="s">
        <v>1747</v>
      </c>
      <c r="J31" s="377" t="s">
        <v>3</v>
      </c>
      <c r="K31" s="377"/>
      <c r="L31" s="512"/>
      <c r="M31" s="505">
        <f>IF(L31&lt;&gt;"",L31,INDEX(Eingabedaten!$D$9:$DN$53,nutzid,MATCH($C31,Eingabedaten!$D$6:$DN$6,0)))</f>
        <v>26</v>
      </c>
      <c r="N31" s="148"/>
      <c r="O31" s="148"/>
      <c r="P31" s="14">
        <v>0</v>
      </c>
      <c r="Q31" s="392">
        <v>1</v>
      </c>
      <c r="R31" s="14">
        <v>0</v>
      </c>
      <c r="S31" s="14"/>
      <c r="T31" s="243"/>
      <c r="U31" s="89"/>
      <c r="V31" s="64"/>
      <c r="W31" s="158"/>
      <c r="X31" s="158"/>
      <c r="Y31" s="64"/>
      <c r="Z31" s="158"/>
      <c r="AA31" s="158"/>
      <c r="AB31" s="64"/>
      <c r="AC31" s="158"/>
      <c r="AD31" s="158"/>
      <c r="AE31" s="64"/>
      <c r="AF31" s="64"/>
      <c r="AG31" s="65"/>
      <c r="AH31" s="65"/>
      <c r="AI31" s="65"/>
      <c r="AJ31" s="65"/>
      <c r="AK31" s="65"/>
      <c r="AL31" s="65"/>
      <c r="AM31" s="65"/>
      <c r="AN31" s="66"/>
      <c r="AO31" s="66"/>
      <c r="AP31" s="81"/>
      <c r="AQ31" s="81"/>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c r="EA31" s="43"/>
      <c r="EB31" s="43"/>
      <c r="EC31" s="43"/>
      <c r="ED31" s="43"/>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row>
    <row r="32" spans="1:170" s="11" customFormat="1" ht="18" customHeight="1">
      <c r="A32" s="1976"/>
      <c r="B32" s="204"/>
      <c r="C32" s="14"/>
      <c r="D32" s="87"/>
      <c r="E32" s="87"/>
      <c r="F32" s="14" t="str">
        <f>Begriffe!$F$347</f>
        <v>Auslegung Heizung</v>
      </c>
      <c r="G32" s="14"/>
      <c r="H32" s="14"/>
      <c r="I32" s="675" t="s">
        <v>1748</v>
      </c>
      <c r="J32" s="377" t="s">
        <v>3</v>
      </c>
      <c r="K32" s="377"/>
      <c r="L32" s="512"/>
      <c r="M32" s="507">
        <f>IF(L32&lt;&gt;"",L32,INDEX(Eingabedaten!$D$9:$DN$53,nutzid,MATCH($C31,Eingabedaten!$D$6:$DN$6,0)+1))</f>
        <v>21</v>
      </c>
      <c r="N32" s="148"/>
      <c r="O32" s="148"/>
      <c r="P32" s="14">
        <v>0</v>
      </c>
      <c r="Q32" s="392">
        <v>1</v>
      </c>
      <c r="R32" s="14">
        <v>0</v>
      </c>
      <c r="S32" s="14"/>
      <c r="T32" s="243"/>
      <c r="U32" s="89"/>
      <c r="V32" s="64"/>
      <c r="W32" s="486"/>
      <c r="X32" s="158"/>
      <c r="Y32" s="64"/>
      <c r="Z32" s="158"/>
      <c r="AA32" s="158"/>
      <c r="AB32" s="64"/>
      <c r="AC32" s="158"/>
      <c r="AD32" s="158"/>
      <c r="AE32" s="64"/>
      <c r="AF32" s="64"/>
      <c r="AG32" s="65"/>
      <c r="AH32" s="65"/>
      <c r="AI32" s="65"/>
      <c r="AJ32" s="65"/>
      <c r="AK32" s="65"/>
      <c r="AL32" s="65"/>
      <c r="AM32" s="65"/>
      <c r="AN32" s="66"/>
      <c r="AO32" s="66"/>
      <c r="AP32" s="81"/>
      <c r="AQ32" s="81"/>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c r="CE32" s="42"/>
      <c r="CF32" s="42"/>
      <c r="CG32" s="42"/>
      <c r="CH32" s="42"/>
      <c r="CI32" s="42"/>
      <c r="CJ32" s="42"/>
      <c r="CK32" s="42"/>
      <c r="CL32" s="42"/>
      <c r="CM32" s="42"/>
      <c r="CN32" s="42"/>
      <c r="CO32" s="42"/>
      <c r="CP32" s="42"/>
      <c r="CQ32" s="42"/>
      <c r="CR32" s="42"/>
      <c r="CS32" s="42"/>
      <c r="CT32" s="42"/>
      <c r="CU32" s="42"/>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row>
    <row r="33" spans="1:170" s="11" customFormat="1" ht="18" customHeight="1">
      <c r="A33" s="1976"/>
      <c r="B33" s="204"/>
      <c r="C33" s="14" t="str">
        <f>Begriffe!F79</f>
        <v>Mittlere Raumtemperatur</v>
      </c>
      <c r="D33" s="87"/>
      <c r="E33" s="87"/>
      <c r="F33" s="14" t="str">
        <f>Begriffe!$F$350</f>
        <v>Jährlicher Klimakältebedarf</v>
      </c>
      <c r="G33" s="14"/>
      <c r="H33" s="14"/>
      <c r="I33" s="675" t="s">
        <v>1864</v>
      </c>
      <c r="J33" s="377" t="s">
        <v>3</v>
      </c>
      <c r="K33" s="377"/>
      <c r="L33" s="512"/>
      <c r="M33" s="505">
        <f>IF(L33&lt;&gt;"",L33,INDEX(Eingabedaten!$D$9:$DN$53,nutzid,MATCH($C33,Eingabedaten!$D$6:$DN$6,0)))</f>
        <v>25</v>
      </c>
      <c r="N33" s="148"/>
      <c r="O33" s="148"/>
      <c r="P33" s="14"/>
      <c r="Q33" s="392">
        <v>1</v>
      </c>
      <c r="R33" s="14"/>
      <c r="S33" s="14"/>
      <c r="T33" s="243"/>
      <c r="U33" s="89"/>
      <c r="V33" s="64"/>
      <c r="W33" s="486"/>
      <c r="X33" s="158"/>
      <c r="Y33" s="64"/>
      <c r="Z33" s="158"/>
      <c r="AA33" s="158"/>
      <c r="AB33" s="64"/>
      <c r="AC33" s="158"/>
      <c r="AD33" s="158"/>
      <c r="AE33" s="64"/>
      <c r="AF33" s="64"/>
      <c r="AG33" s="65"/>
      <c r="AH33" s="65"/>
      <c r="AI33" s="65"/>
      <c r="AJ33" s="65"/>
      <c r="AK33" s="65"/>
      <c r="AL33" s="65"/>
      <c r="AM33" s="65"/>
      <c r="AN33" s="66"/>
      <c r="AO33" s="66"/>
      <c r="AP33" s="81"/>
      <c r="AQ33" s="81"/>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c r="CE33" s="42"/>
      <c r="CF33" s="42"/>
      <c r="CG33" s="42"/>
      <c r="CH33" s="42"/>
      <c r="CI33" s="42"/>
      <c r="CJ33" s="42"/>
      <c r="CK33" s="42"/>
      <c r="CL33" s="42"/>
      <c r="CM33" s="42"/>
      <c r="CN33" s="42"/>
      <c r="CO33" s="42"/>
      <c r="CP33" s="42"/>
      <c r="CQ33" s="42"/>
      <c r="CR33" s="42"/>
      <c r="CS33" s="42"/>
      <c r="CT33" s="42"/>
      <c r="CU33" s="42"/>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c r="EA33" s="43"/>
      <c r="EB33" s="43"/>
      <c r="EC33" s="43"/>
      <c r="ED33" s="43"/>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row>
    <row r="34" spans="1:170" s="11" customFormat="1" ht="18" customHeight="1">
      <c r="A34" s="1976"/>
      <c r="B34" s="204"/>
      <c r="C34" s="14"/>
      <c r="D34" s="87"/>
      <c r="E34" s="87"/>
      <c r="F34" s="14" t="str">
        <f>Begriffe!$F$351</f>
        <v>Jährlicher Heizwärmebedarf</v>
      </c>
      <c r="G34" s="14"/>
      <c r="H34" s="14"/>
      <c r="I34" s="675" t="s">
        <v>1865</v>
      </c>
      <c r="J34" s="377" t="s">
        <v>3</v>
      </c>
      <c r="K34" s="377"/>
      <c r="L34" s="512"/>
      <c r="M34" s="507">
        <f>IF(L34&lt;&gt;"",L34,INDEX(Eingabedaten!$D$9:$DN$53,nutzid,MATCH($C33,Eingabedaten!$D$6:$DN$6,0)+1))</f>
        <v>22</v>
      </c>
      <c r="N34" s="148"/>
      <c r="O34" s="148"/>
      <c r="P34" s="14"/>
      <c r="Q34" s="392">
        <v>1</v>
      </c>
      <c r="R34" s="14"/>
      <c r="S34" s="14"/>
      <c r="T34" s="243"/>
      <c r="U34" s="89"/>
      <c r="V34" s="64"/>
      <c r="W34" s="486"/>
      <c r="X34" s="158"/>
      <c r="Y34" s="64"/>
      <c r="Z34" s="158"/>
      <c r="AA34" s="158"/>
      <c r="AB34" s="64"/>
      <c r="AC34" s="158"/>
      <c r="AD34" s="158"/>
      <c r="AE34" s="64"/>
      <c r="AF34" s="64"/>
      <c r="AG34" s="65"/>
      <c r="AH34" s="65"/>
      <c r="AI34" s="65"/>
      <c r="AJ34" s="65"/>
      <c r="AK34" s="65"/>
      <c r="AL34" s="65"/>
      <c r="AM34" s="65"/>
      <c r="AN34" s="66"/>
      <c r="AO34" s="66"/>
      <c r="AP34" s="81"/>
      <c r="AQ34" s="81"/>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c r="CE34" s="42"/>
      <c r="CF34" s="42"/>
      <c r="CG34" s="42"/>
      <c r="CH34" s="42"/>
      <c r="CI34" s="42"/>
      <c r="CJ34" s="42"/>
      <c r="CK34" s="42"/>
      <c r="CL34" s="42"/>
      <c r="CM34" s="42"/>
      <c r="CN34" s="42"/>
      <c r="CO34" s="42"/>
      <c r="CP34" s="42"/>
      <c r="CQ34" s="42"/>
      <c r="CR34" s="42"/>
      <c r="CS34" s="42"/>
      <c r="CT34" s="42"/>
      <c r="CU34" s="42"/>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row>
    <row r="35" spans="1:170" s="8" customFormat="1" ht="18" customHeight="1">
      <c r="A35" s="1976"/>
      <c r="B35" s="204"/>
      <c r="C35" s="14" t="str">
        <f>Begriffe!F97</f>
        <v xml:space="preserve">Relative Raumluftfeuchte </v>
      </c>
      <c r="D35" s="14"/>
      <c r="E35" s="182"/>
      <c r="F35" s="14" t="str">
        <f>Begriffe!$F$348</f>
        <v>Auslegung Entfeuchtung</v>
      </c>
      <c r="G35" s="14"/>
      <c r="H35" s="14"/>
      <c r="I35" s="676" t="s">
        <v>1754</v>
      </c>
      <c r="J35" s="377" t="s">
        <v>5</v>
      </c>
      <c r="K35" s="377"/>
      <c r="L35" s="512"/>
      <c r="M35" s="505">
        <f>IF(L35&lt;&gt;"",L35,INDEX(Eingabedaten!$D$9:$DN$53,nutzid,MATCH($C35,Eingabedaten!$D$6:$DN$6,0)))</f>
        <v>60</v>
      </c>
      <c r="N35" s="148"/>
      <c r="O35" s="148"/>
      <c r="P35" s="14">
        <v>0</v>
      </c>
      <c r="Q35" s="392">
        <v>1</v>
      </c>
      <c r="R35" s="14">
        <v>0</v>
      </c>
      <c r="S35" s="14"/>
      <c r="T35" s="243"/>
      <c r="U35" s="89"/>
      <c r="V35" s="64"/>
      <c r="W35" s="486"/>
      <c r="X35" s="158"/>
      <c r="Y35" s="64"/>
      <c r="Z35" s="158"/>
      <c r="AA35" s="158"/>
      <c r="AB35" s="64"/>
      <c r="AC35" s="158"/>
      <c r="AD35" s="158"/>
      <c r="AE35" s="64"/>
      <c r="AF35" s="64"/>
      <c r="AG35" s="65"/>
      <c r="AH35" s="65"/>
      <c r="AI35" s="65"/>
      <c r="AJ35" s="65"/>
      <c r="AK35" s="65"/>
      <c r="AL35" s="65"/>
      <c r="AM35" s="65"/>
      <c r="AN35" s="66"/>
      <c r="AO35" s="66"/>
      <c r="AP35" s="82"/>
      <c r="AQ35" s="82"/>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9"/>
      <c r="CW35" s="49"/>
      <c r="CX35" s="49"/>
      <c r="CY35" s="49"/>
      <c r="CZ35" s="49"/>
      <c r="DA35" s="49"/>
      <c r="DB35" s="49"/>
      <c r="DC35" s="49"/>
      <c r="DD35" s="49"/>
      <c r="DE35" s="49"/>
      <c r="DF35" s="49"/>
      <c r="DG35" s="49"/>
      <c r="DH35" s="49"/>
      <c r="DI35" s="49"/>
      <c r="DJ35" s="49"/>
      <c r="DK35" s="49"/>
      <c r="DL35" s="49"/>
      <c r="DM35" s="49"/>
      <c r="DN35" s="49"/>
      <c r="DO35" s="49"/>
      <c r="DP35" s="49"/>
      <c r="DQ35" s="49"/>
      <c r="DR35" s="49"/>
      <c r="DS35" s="49"/>
      <c r="DT35" s="49"/>
      <c r="DU35" s="49"/>
      <c r="DV35" s="49"/>
      <c r="DW35" s="49"/>
      <c r="DX35" s="49"/>
      <c r="DY35" s="49"/>
      <c r="DZ35" s="49"/>
      <c r="EA35" s="49"/>
      <c r="EB35" s="49"/>
      <c r="EC35" s="49"/>
      <c r="ED35" s="49"/>
      <c r="EE35" s="50"/>
      <c r="EF35" s="50"/>
      <c r="EG35" s="50"/>
      <c r="EH35" s="50"/>
      <c r="EI35" s="50"/>
      <c r="EJ35" s="50"/>
      <c r="EK35" s="50"/>
      <c r="EL35" s="50"/>
      <c r="EM35" s="50"/>
      <c r="EN35" s="50"/>
      <c r="EO35" s="50"/>
      <c r="EP35" s="50"/>
      <c r="EQ35" s="50"/>
      <c r="ER35" s="50"/>
      <c r="ES35" s="50"/>
      <c r="ET35" s="50"/>
      <c r="EU35" s="50"/>
      <c r="EV35" s="50"/>
      <c r="EW35" s="50"/>
      <c r="EX35" s="50"/>
      <c r="EY35" s="50"/>
      <c r="EZ35" s="50"/>
      <c r="FA35" s="50"/>
      <c r="FB35" s="50"/>
      <c r="FC35" s="50"/>
      <c r="FD35" s="50"/>
      <c r="FE35" s="50"/>
      <c r="FF35" s="50"/>
      <c r="FG35" s="50"/>
      <c r="FH35" s="50"/>
      <c r="FI35" s="50"/>
      <c r="FJ35" s="50"/>
      <c r="FK35" s="50"/>
      <c r="FL35" s="50"/>
      <c r="FM35" s="50"/>
      <c r="FN35" s="50"/>
    </row>
    <row r="36" spans="1:170" s="8" customFormat="1" ht="18" customHeight="1">
      <c r="A36" s="1976"/>
      <c r="B36" s="204"/>
      <c r="C36" s="14"/>
      <c r="D36" s="14"/>
      <c r="E36" s="182"/>
      <c r="F36" s="14" t="str">
        <f>Begriffe!$F$349</f>
        <v>Auslegung Befeuchtung</v>
      </c>
      <c r="G36" s="14"/>
      <c r="H36" s="14"/>
      <c r="I36" s="676" t="s">
        <v>1755</v>
      </c>
      <c r="J36" s="377" t="s">
        <v>5</v>
      </c>
      <c r="K36" s="377"/>
      <c r="L36" s="512"/>
      <c r="M36" s="507">
        <f>IF(L36&lt;&gt;"",L36,INDEX(Eingabedaten!$D$9:$DN$53,nutzid,MATCH($C35,Eingabedaten!$D$6:$DN$6,0)+1))</f>
        <v>30</v>
      </c>
      <c r="N36" s="148"/>
      <c r="O36" s="148"/>
      <c r="P36" s="14">
        <v>0</v>
      </c>
      <c r="Q36" s="392">
        <v>1</v>
      </c>
      <c r="R36" s="14">
        <v>0</v>
      </c>
      <c r="S36" s="14"/>
      <c r="T36" s="243"/>
      <c r="U36" s="89"/>
      <c r="V36" s="64"/>
      <c r="W36" s="158"/>
      <c r="X36" s="158"/>
      <c r="Y36" s="64"/>
      <c r="Z36" s="158"/>
      <c r="AA36" s="158"/>
      <c r="AB36" s="64"/>
      <c r="AC36" s="158"/>
      <c r="AD36" s="158"/>
      <c r="AE36" s="64"/>
      <c r="AF36" s="64"/>
      <c r="AG36" s="65"/>
      <c r="AH36" s="65"/>
      <c r="AI36" s="65"/>
      <c r="AJ36" s="65"/>
      <c r="AK36" s="65"/>
      <c r="AL36" s="65"/>
      <c r="AM36" s="65"/>
      <c r="AN36" s="66"/>
      <c r="AO36" s="66"/>
      <c r="AP36" s="82"/>
      <c r="AQ36" s="82"/>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9"/>
      <c r="CW36" s="49"/>
      <c r="CX36" s="49"/>
      <c r="CY36" s="49"/>
      <c r="CZ36" s="49"/>
      <c r="DA36" s="49"/>
      <c r="DB36" s="49"/>
      <c r="DC36" s="49"/>
      <c r="DD36" s="49"/>
      <c r="DE36" s="49"/>
      <c r="DF36" s="49"/>
      <c r="DG36" s="49"/>
      <c r="DH36" s="49"/>
      <c r="DI36" s="49"/>
      <c r="DJ36" s="49"/>
      <c r="DK36" s="49"/>
      <c r="DL36" s="49"/>
      <c r="DM36" s="49"/>
      <c r="DN36" s="49"/>
      <c r="DO36" s="49"/>
      <c r="DP36" s="49"/>
      <c r="DQ36" s="49"/>
      <c r="DR36" s="49"/>
      <c r="DS36" s="49"/>
      <c r="DT36" s="49"/>
      <c r="DU36" s="49"/>
      <c r="DV36" s="49"/>
      <c r="DW36" s="49"/>
      <c r="DX36" s="49"/>
      <c r="DY36" s="49"/>
      <c r="DZ36" s="49"/>
      <c r="EA36" s="49"/>
      <c r="EB36" s="49"/>
      <c r="EC36" s="49"/>
      <c r="ED36" s="49"/>
      <c r="EE36" s="50"/>
      <c r="EF36" s="50"/>
      <c r="EG36" s="50"/>
      <c r="EH36" s="50"/>
      <c r="EI36" s="50"/>
      <c r="EJ36" s="50"/>
      <c r="EK36" s="50"/>
      <c r="EL36" s="50"/>
      <c r="EM36" s="50"/>
      <c r="EN36" s="50"/>
      <c r="EO36" s="50"/>
      <c r="EP36" s="50"/>
      <c r="EQ36" s="50"/>
      <c r="ER36" s="50"/>
      <c r="ES36" s="50"/>
      <c r="ET36" s="50"/>
      <c r="EU36" s="50"/>
      <c r="EV36" s="50"/>
      <c r="EW36" s="50"/>
      <c r="EX36" s="50"/>
      <c r="EY36" s="50"/>
      <c r="EZ36" s="50"/>
      <c r="FA36" s="50"/>
      <c r="FB36" s="50"/>
      <c r="FC36" s="50"/>
      <c r="FD36" s="50"/>
      <c r="FE36" s="50"/>
      <c r="FF36" s="50"/>
      <c r="FG36" s="50"/>
      <c r="FH36" s="50"/>
      <c r="FI36" s="50"/>
      <c r="FJ36" s="50"/>
      <c r="FK36" s="50"/>
      <c r="FL36" s="50"/>
      <c r="FM36" s="50"/>
      <c r="FN36" s="50"/>
    </row>
    <row r="37" spans="1:170" s="8" customFormat="1" ht="18" customHeight="1">
      <c r="A37" s="1976"/>
      <c r="B37" s="204"/>
      <c r="C37" s="14" t="str">
        <f>Begriffe!F77</f>
        <v>Mittlere Luftgeschwindigkeit</v>
      </c>
      <c r="D37" s="14"/>
      <c r="E37" s="182"/>
      <c r="F37" s="14" t="str">
        <f>Begriffe!$F$346</f>
        <v>Auslegung Kühlung</v>
      </c>
      <c r="G37" s="14"/>
      <c r="H37" s="14"/>
      <c r="I37" s="98" t="s">
        <v>1756</v>
      </c>
      <c r="J37" s="377" t="s">
        <v>6</v>
      </c>
      <c r="K37" s="7"/>
      <c r="L37" s="444"/>
      <c r="M37" s="444">
        <f>IF(L37&lt;&gt;"",L37,IF(M31=0,0,ROUND((0.001*M31*M31-0.036*M31+0.439)*2,2)/2))</f>
        <v>0.18</v>
      </c>
      <c r="N37" s="169"/>
      <c r="O37" s="169"/>
      <c r="P37" s="14">
        <v>1</v>
      </c>
      <c r="Q37" s="392">
        <v>1</v>
      </c>
      <c r="R37" s="14">
        <v>0</v>
      </c>
      <c r="S37" s="14"/>
      <c r="T37" s="243"/>
      <c r="U37" s="89"/>
      <c r="V37" s="64"/>
      <c r="W37" s="158"/>
      <c r="X37" s="158"/>
      <c r="Y37" s="64"/>
      <c r="Z37" s="158"/>
      <c r="AA37" s="158"/>
      <c r="AB37" s="64"/>
      <c r="AC37" s="158"/>
      <c r="AD37" s="158"/>
      <c r="AE37" s="64"/>
      <c r="AF37" s="64"/>
      <c r="AG37" s="65"/>
      <c r="AH37" s="65"/>
      <c r="AI37" s="65"/>
      <c r="AJ37" s="65"/>
      <c r="AK37" s="65"/>
      <c r="AL37" s="65"/>
      <c r="AM37" s="65"/>
      <c r="AN37" s="66"/>
      <c r="AO37" s="66"/>
      <c r="AP37" s="82"/>
      <c r="AQ37" s="82"/>
      <c r="AR37" s="48"/>
      <c r="AS37" s="48"/>
      <c r="AT37" s="48"/>
      <c r="AU37" s="48"/>
      <c r="AV37" s="48"/>
      <c r="AW37" s="48"/>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c r="BX37" s="48"/>
      <c r="BY37" s="48"/>
      <c r="BZ37" s="48"/>
      <c r="CA37" s="48"/>
      <c r="CB37" s="48"/>
      <c r="CC37" s="48"/>
      <c r="CD37" s="48"/>
      <c r="CE37" s="48"/>
      <c r="CF37" s="48"/>
      <c r="CG37" s="48"/>
      <c r="CH37" s="48"/>
      <c r="CI37" s="48"/>
      <c r="CJ37" s="48"/>
      <c r="CK37" s="48"/>
      <c r="CL37" s="48"/>
      <c r="CM37" s="48"/>
      <c r="CN37" s="48"/>
      <c r="CO37" s="48"/>
      <c r="CP37" s="48"/>
      <c r="CQ37" s="48"/>
      <c r="CR37" s="48"/>
      <c r="CS37" s="48"/>
      <c r="CT37" s="48"/>
      <c r="CU37" s="48"/>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c r="DT37" s="49"/>
      <c r="DU37" s="49"/>
      <c r="DV37" s="49"/>
      <c r="DW37" s="49"/>
      <c r="DX37" s="49"/>
      <c r="DY37" s="49"/>
      <c r="DZ37" s="49"/>
      <c r="EA37" s="49"/>
      <c r="EB37" s="49"/>
      <c r="EC37" s="49"/>
      <c r="ED37" s="49"/>
      <c r="EE37" s="50"/>
      <c r="EF37" s="50"/>
      <c r="EG37" s="50"/>
      <c r="EH37" s="50"/>
      <c r="EI37" s="50"/>
      <c r="EJ37" s="50"/>
      <c r="EK37" s="50"/>
      <c r="EL37" s="50"/>
      <c r="EM37" s="50"/>
      <c r="EN37" s="50"/>
      <c r="EO37" s="50"/>
      <c r="EP37" s="50"/>
      <c r="EQ37" s="50"/>
      <c r="ER37" s="50"/>
      <c r="ES37" s="50"/>
      <c r="ET37" s="50"/>
      <c r="EU37" s="50"/>
      <c r="EV37" s="50"/>
      <c r="EW37" s="50"/>
      <c r="EX37" s="50"/>
      <c r="EY37" s="50"/>
      <c r="EZ37" s="50"/>
      <c r="FA37" s="50"/>
      <c r="FB37" s="50"/>
      <c r="FC37" s="50"/>
      <c r="FD37" s="50"/>
      <c r="FE37" s="50"/>
      <c r="FF37" s="50"/>
      <c r="FG37" s="50"/>
      <c r="FH37" s="50"/>
      <c r="FI37" s="50"/>
      <c r="FJ37" s="50"/>
      <c r="FK37" s="50"/>
      <c r="FL37" s="50"/>
      <c r="FM37" s="50"/>
      <c r="FN37" s="50"/>
    </row>
    <row r="38" spans="1:170" s="8" customFormat="1" ht="18" customHeight="1">
      <c r="A38" s="1976"/>
      <c r="B38" s="204"/>
      <c r="C38" s="14"/>
      <c r="D38" s="14"/>
      <c r="E38" s="182"/>
      <c r="F38" s="14" t="str">
        <f>Begriffe!$F$347</f>
        <v>Auslegung Heizung</v>
      </c>
      <c r="G38" s="14"/>
      <c r="H38" s="14"/>
      <c r="I38" s="98" t="s">
        <v>1757</v>
      </c>
      <c r="J38" s="377" t="s">
        <v>6</v>
      </c>
      <c r="K38" s="7"/>
      <c r="L38" s="444"/>
      <c r="M38" s="444">
        <f>IF(L38&lt;&gt;"",L38,IF(M32=0,0,ROUND((0.001*M32*M32-0.036*M32+0.439)*2,2)/2))</f>
        <v>0.125</v>
      </c>
      <c r="N38" s="169"/>
      <c r="O38" s="169"/>
      <c r="P38" s="14">
        <v>1</v>
      </c>
      <c r="Q38" s="392">
        <v>1</v>
      </c>
      <c r="R38" s="14">
        <v>0</v>
      </c>
      <c r="S38" s="14"/>
      <c r="T38" s="243"/>
      <c r="U38" s="89"/>
      <c r="V38" s="64"/>
      <c r="W38" s="158"/>
      <c r="X38" s="158"/>
      <c r="Y38" s="64"/>
      <c r="Z38" s="158"/>
      <c r="AA38" s="158"/>
      <c r="AB38" s="64"/>
      <c r="AC38" s="158"/>
      <c r="AD38" s="158"/>
      <c r="AE38" s="64"/>
      <c r="AF38" s="64"/>
      <c r="AG38" s="65"/>
      <c r="AH38" s="65"/>
      <c r="AI38" s="65"/>
      <c r="AJ38" s="65"/>
      <c r="AK38" s="65"/>
      <c r="AL38" s="65"/>
      <c r="AM38" s="65"/>
      <c r="AN38" s="66"/>
      <c r="AO38" s="66"/>
      <c r="AP38" s="82"/>
      <c r="AQ38" s="82"/>
      <c r="AR38" s="48"/>
      <c r="AS38" s="48"/>
      <c r="AT38" s="48"/>
      <c r="AU38" s="48"/>
      <c r="AV38" s="48"/>
      <c r="AW38" s="48"/>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c r="BX38" s="48"/>
      <c r="BY38" s="48"/>
      <c r="BZ38" s="48"/>
      <c r="CA38" s="48"/>
      <c r="CB38" s="48"/>
      <c r="CC38" s="48"/>
      <c r="CD38" s="48"/>
      <c r="CE38" s="48"/>
      <c r="CF38" s="48"/>
      <c r="CG38" s="48"/>
      <c r="CH38" s="48"/>
      <c r="CI38" s="48"/>
      <c r="CJ38" s="48"/>
      <c r="CK38" s="48"/>
      <c r="CL38" s="48"/>
      <c r="CM38" s="48"/>
      <c r="CN38" s="48"/>
      <c r="CO38" s="48"/>
      <c r="CP38" s="48"/>
      <c r="CQ38" s="48"/>
      <c r="CR38" s="48"/>
      <c r="CS38" s="48"/>
      <c r="CT38" s="48"/>
      <c r="CU38" s="48"/>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c r="DT38" s="49"/>
      <c r="DU38" s="49"/>
      <c r="DV38" s="49"/>
      <c r="DW38" s="49"/>
      <c r="DX38" s="49"/>
      <c r="DY38" s="49"/>
      <c r="DZ38" s="49"/>
      <c r="EA38" s="49"/>
      <c r="EB38" s="49"/>
      <c r="EC38" s="49"/>
      <c r="ED38" s="49"/>
      <c r="EE38" s="50"/>
      <c r="EF38" s="50"/>
      <c r="EG38" s="50"/>
      <c r="EH38" s="50"/>
      <c r="EI38" s="50"/>
      <c r="EJ38" s="50"/>
      <c r="EK38" s="50"/>
      <c r="EL38" s="50"/>
      <c r="EM38" s="50"/>
      <c r="EN38" s="50"/>
      <c r="EO38" s="50"/>
      <c r="EP38" s="50"/>
      <c r="EQ38" s="50"/>
      <c r="ER38" s="50"/>
      <c r="ES38" s="50"/>
      <c r="ET38" s="50"/>
      <c r="EU38" s="50"/>
      <c r="EV38" s="50"/>
      <c r="EW38" s="50"/>
      <c r="EX38" s="50"/>
      <c r="EY38" s="50"/>
      <c r="EZ38" s="50"/>
      <c r="FA38" s="50"/>
      <c r="FB38" s="50"/>
      <c r="FC38" s="50"/>
      <c r="FD38" s="50"/>
      <c r="FE38" s="50"/>
      <c r="FF38" s="50"/>
      <c r="FG38" s="50"/>
      <c r="FH38" s="50"/>
      <c r="FI38" s="50"/>
      <c r="FJ38" s="50"/>
      <c r="FK38" s="50"/>
      <c r="FL38" s="50"/>
      <c r="FM38" s="50"/>
      <c r="FN38" s="50"/>
    </row>
    <row r="39" spans="1:170" s="7" customFormat="1" ht="18" customHeight="1">
      <c r="A39" s="1976"/>
      <c r="B39" s="204"/>
      <c r="C39" s="671" t="str">
        <f>Begriffe!F201</f>
        <v>Schallschutz</v>
      </c>
      <c r="D39" s="14"/>
      <c r="E39" s="14"/>
      <c r="F39" s="14"/>
      <c r="G39" s="14"/>
      <c r="H39" s="14"/>
      <c r="I39" s="98"/>
      <c r="J39" s="377"/>
      <c r="L39" s="377"/>
      <c r="M39" s="377"/>
      <c r="N39" s="175"/>
      <c r="O39" s="175"/>
      <c r="P39" s="14">
        <v>0</v>
      </c>
      <c r="Q39" s="392">
        <v>1</v>
      </c>
      <c r="R39" s="14">
        <v>0</v>
      </c>
      <c r="S39" s="14"/>
      <c r="T39" s="243"/>
      <c r="U39" s="89"/>
      <c r="V39" s="64"/>
      <c r="W39" s="158"/>
      <c r="X39" s="158"/>
      <c r="Y39" s="64"/>
      <c r="Z39" s="158"/>
      <c r="AA39" s="158"/>
      <c r="AB39" s="65"/>
      <c r="AC39" s="89"/>
      <c r="AD39" s="89"/>
      <c r="AE39" s="65"/>
      <c r="AF39" s="65"/>
      <c r="AG39" s="65"/>
      <c r="AH39" s="65"/>
      <c r="AI39" s="65"/>
      <c r="AJ39" s="65"/>
      <c r="AK39" s="65"/>
      <c r="AL39" s="65"/>
      <c r="AM39" s="65"/>
      <c r="AN39" s="65"/>
      <c r="AO39" s="65"/>
      <c r="AP39" s="65"/>
      <c r="AQ39" s="6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c r="CV39" s="52"/>
      <c r="CW39" s="52"/>
      <c r="CX39" s="52"/>
      <c r="CY39" s="52"/>
      <c r="CZ39" s="52"/>
      <c r="DA39" s="52"/>
      <c r="DB39" s="52"/>
      <c r="DC39" s="52"/>
      <c r="DD39" s="52"/>
      <c r="DE39" s="52"/>
      <c r="DF39" s="52"/>
      <c r="DG39" s="52"/>
      <c r="DH39" s="52"/>
      <c r="DI39" s="52"/>
      <c r="DJ39" s="52"/>
      <c r="DK39" s="52"/>
      <c r="DL39" s="52"/>
      <c r="DM39" s="52"/>
      <c r="DN39" s="52"/>
      <c r="DO39" s="52"/>
      <c r="DP39" s="52"/>
      <c r="DQ39" s="52"/>
      <c r="DR39" s="52"/>
      <c r="DS39" s="52"/>
      <c r="DT39" s="52"/>
      <c r="DU39" s="52"/>
      <c r="DV39" s="52"/>
      <c r="DW39" s="52"/>
      <c r="DX39" s="52"/>
      <c r="DY39" s="52"/>
      <c r="DZ39" s="52"/>
      <c r="EA39" s="52"/>
      <c r="EB39" s="52"/>
      <c r="EC39" s="52"/>
      <c r="ED39" s="52"/>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row>
    <row r="40" spans="1:170" s="8" customFormat="1" ht="25.85" customHeight="1">
      <c r="A40" s="1976"/>
      <c r="B40" s="204"/>
      <c r="C40" s="14" t="str">
        <f>Begriffe!F71</f>
        <v>Lärmempfindlichkeit</v>
      </c>
      <c r="D40" s="14"/>
      <c r="E40" s="14"/>
      <c r="F40" s="14" t="str">
        <f>Begriffe!$F$352</f>
        <v>Aussen-/Innenlärm, Trittschall</v>
      </c>
      <c r="G40" s="14"/>
      <c r="H40" s="704"/>
      <c r="I40" s="126" t="s">
        <v>208</v>
      </c>
      <c r="J40" s="677" t="s">
        <v>208</v>
      </c>
      <c r="K40" s="377"/>
      <c r="L40" s="508"/>
      <c r="M40" s="505" t="str">
        <f>IF(L40&lt;&gt;"",L40,INDEX(Eingabedaten!$D$9:$DN$53,nutzid,MATCH($C40,Eingabedaten!$D$6:$DN$6,0)))</f>
        <v>mittel</v>
      </c>
      <c r="N40" s="176"/>
      <c r="O40" s="177"/>
      <c r="P40" s="14">
        <v>0</v>
      </c>
      <c r="Q40" s="392">
        <v>1</v>
      </c>
      <c r="R40" s="14">
        <v>0</v>
      </c>
      <c r="S40" s="14"/>
      <c r="T40" s="243"/>
      <c r="U40" s="89"/>
      <c r="V40" s="64"/>
      <c r="W40" s="158"/>
      <c r="X40" s="158"/>
      <c r="Y40" s="64"/>
      <c r="Z40" s="158"/>
      <c r="AA40" s="158"/>
      <c r="AB40" s="65"/>
      <c r="AC40" s="89"/>
      <c r="AD40" s="89"/>
      <c r="AE40" s="65"/>
      <c r="AF40" s="65"/>
      <c r="AG40" s="65"/>
      <c r="AH40" s="65"/>
      <c r="AI40" s="65"/>
      <c r="AJ40" s="65"/>
      <c r="AK40" s="65"/>
      <c r="AL40" s="65"/>
      <c r="AM40" s="65"/>
      <c r="AN40" s="66"/>
      <c r="AO40" s="66"/>
      <c r="AP40" s="82"/>
      <c r="AQ40" s="82"/>
      <c r="AR40" s="48"/>
      <c r="AS40" s="48"/>
      <c r="AT40" s="48"/>
      <c r="AU40" s="48"/>
      <c r="AV40" s="48"/>
      <c r="AW40" s="48"/>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c r="BX40" s="48"/>
      <c r="BY40" s="48"/>
      <c r="BZ40" s="48"/>
      <c r="CA40" s="48"/>
      <c r="CB40" s="48"/>
      <c r="CC40" s="48"/>
      <c r="CD40" s="48"/>
      <c r="CE40" s="48"/>
      <c r="CF40" s="48"/>
      <c r="CG40" s="48"/>
      <c r="CH40" s="48"/>
      <c r="CI40" s="48"/>
      <c r="CJ40" s="48"/>
      <c r="CK40" s="48"/>
      <c r="CL40" s="48"/>
      <c r="CM40" s="48"/>
      <c r="CN40" s="48"/>
      <c r="CO40" s="48"/>
      <c r="CP40" s="48"/>
      <c r="CQ40" s="48"/>
      <c r="CR40" s="48"/>
      <c r="CS40" s="48"/>
      <c r="CT40" s="48"/>
      <c r="CU40" s="48"/>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c r="DT40" s="49"/>
      <c r="DU40" s="49"/>
      <c r="DV40" s="49"/>
      <c r="DW40" s="49"/>
      <c r="DX40" s="49"/>
      <c r="DY40" s="49"/>
      <c r="DZ40" s="49"/>
      <c r="EA40" s="49"/>
      <c r="EB40" s="49"/>
      <c r="EC40" s="49"/>
      <c r="ED40" s="49"/>
      <c r="EE40" s="50"/>
      <c r="EF40" s="50"/>
      <c r="EG40" s="50"/>
      <c r="EH40" s="50"/>
      <c r="EI40" s="50"/>
      <c r="EJ40" s="50"/>
      <c r="EK40" s="50"/>
      <c r="EL40" s="50"/>
      <c r="EM40" s="50"/>
      <c r="EN40" s="50"/>
      <c r="EO40" s="50"/>
      <c r="EP40" s="50"/>
      <c r="EQ40" s="50"/>
      <c r="ER40" s="50"/>
      <c r="ES40" s="50"/>
      <c r="ET40" s="50"/>
      <c r="EU40" s="50"/>
      <c r="EV40" s="50"/>
      <c r="EW40" s="50"/>
      <c r="EX40" s="50"/>
      <c r="EY40" s="50"/>
      <c r="EZ40" s="50"/>
      <c r="FA40" s="50"/>
      <c r="FB40" s="50"/>
      <c r="FC40" s="50"/>
      <c r="FD40" s="50"/>
      <c r="FE40" s="50"/>
      <c r="FF40" s="50"/>
      <c r="FG40" s="50"/>
      <c r="FH40" s="50"/>
      <c r="FI40" s="50"/>
      <c r="FJ40" s="50"/>
      <c r="FK40" s="50"/>
      <c r="FL40" s="50"/>
      <c r="FM40" s="50"/>
      <c r="FN40" s="50"/>
    </row>
    <row r="41" spans="1:170" s="8" customFormat="1" ht="25.85" customHeight="1">
      <c r="A41" s="1976"/>
      <c r="B41" s="204"/>
      <c r="C41" s="14" t="str">
        <f>Begriffe!F27</f>
        <v>Anforderungswert an Dauergeräusche gebäudetech. Anlagen</v>
      </c>
      <c r="D41" s="14"/>
      <c r="E41" s="14"/>
      <c r="F41" s="243" t="str">
        <f>Begriffe!F353</f>
        <v>Auslegung Dauergeräusche</v>
      </c>
      <c r="H41" s="14"/>
      <c r="I41" s="672" t="s">
        <v>1515</v>
      </c>
      <c r="J41" s="678" t="s">
        <v>1489</v>
      </c>
      <c r="K41" s="377"/>
      <c r="L41" s="512"/>
      <c r="M41" s="505">
        <f>IF(L41&lt;&gt;"",L41,INDEX(Eingabedaten!$D$9:$DN$53,nutzid,MATCH($C41,Eingabedaten!$D$6:$DN$6,0)))</f>
        <v>28</v>
      </c>
      <c r="N41" s="467"/>
      <c r="O41" s="468"/>
      <c r="P41" s="14">
        <v>0</v>
      </c>
      <c r="Q41" s="392">
        <v>1</v>
      </c>
      <c r="R41" s="14">
        <v>0</v>
      </c>
      <c r="S41" s="14"/>
      <c r="T41" s="379"/>
      <c r="U41"/>
      <c r="V41"/>
      <c r="W41"/>
      <c r="X41"/>
      <c r="Y41"/>
      <c r="Z41"/>
      <c r="AA41" s="158"/>
      <c r="AB41" s="65"/>
      <c r="AC41" s="89"/>
      <c r="AD41" s="89"/>
      <c r="AE41" s="65"/>
      <c r="AF41" s="65"/>
      <c r="AG41" s="65"/>
      <c r="AH41" s="65"/>
      <c r="AI41" s="65"/>
      <c r="AJ41" s="65"/>
      <c r="AK41" s="65"/>
      <c r="AL41" s="65"/>
      <c r="AM41" s="65"/>
      <c r="AN41" s="66"/>
      <c r="AO41" s="66"/>
      <c r="AP41" s="82"/>
      <c r="AQ41" s="82"/>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48"/>
      <c r="BY41" s="48"/>
      <c r="BZ41" s="48"/>
      <c r="CA41" s="48"/>
      <c r="CB41" s="48"/>
      <c r="CC41" s="48"/>
      <c r="CD41" s="48"/>
      <c r="CE41" s="48"/>
      <c r="CF41" s="48"/>
      <c r="CG41" s="48"/>
      <c r="CH41" s="48"/>
      <c r="CI41" s="48"/>
      <c r="CJ41" s="48"/>
      <c r="CK41" s="48"/>
      <c r="CL41" s="48"/>
      <c r="CM41" s="48"/>
      <c r="CN41" s="48"/>
      <c r="CO41" s="48"/>
      <c r="CP41" s="48"/>
      <c r="CQ41" s="48"/>
      <c r="CR41" s="48"/>
      <c r="CS41" s="48"/>
      <c r="CT41" s="48"/>
      <c r="CU41" s="48"/>
      <c r="CV41" s="49"/>
      <c r="CW41" s="49"/>
      <c r="CX41" s="49"/>
      <c r="CY41" s="49"/>
      <c r="CZ41" s="49"/>
      <c r="DA41" s="49"/>
      <c r="DB41" s="49"/>
      <c r="DC41" s="49"/>
      <c r="DD41" s="49"/>
      <c r="DE41" s="49"/>
      <c r="DF41" s="49"/>
      <c r="DG41" s="49"/>
      <c r="DH41" s="49"/>
      <c r="DI41" s="49"/>
      <c r="DJ41" s="49"/>
      <c r="DK41" s="49"/>
      <c r="DL41" s="49"/>
      <c r="DM41" s="49"/>
      <c r="DN41" s="49"/>
      <c r="DO41" s="49"/>
      <c r="DP41" s="49"/>
      <c r="DQ41" s="49"/>
      <c r="DR41" s="49"/>
      <c r="DS41" s="49"/>
      <c r="DT41" s="49"/>
      <c r="DU41" s="49"/>
      <c r="DV41" s="49"/>
      <c r="DW41" s="49"/>
      <c r="DX41" s="49"/>
      <c r="DY41" s="49"/>
      <c r="DZ41" s="49"/>
      <c r="EA41" s="49"/>
      <c r="EB41" s="49"/>
      <c r="EC41" s="49"/>
      <c r="ED41" s="49"/>
      <c r="EE41" s="50"/>
      <c r="EF41" s="50"/>
      <c r="EG41" s="50"/>
      <c r="EH41" s="50"/>
      <c r="EI41" s="50"/>
      <c r="EJ41" s="50"/>
      <c r="EK41" s="50"/>
      <c r="EL41" s="50"/>
      <c r="EM41" s="50"/>
      <c r="EN41" s="50"/>
      <c r="EO41" s="50"/>
      <c r="EP41" s="50"/>
      <c r="EQ41" s="50"/>
      <c r="ER41" s="50"/>
      <c r="ES41" s="50"/>
      <c r="ET41" s="50"/>
      <c r="EU41" s="50"/>
      <c r="EV41" s="50"/>
      <c r="EW41" s="50"/>
      <c r="EX41" s="50"/>
      <c r="EY41" s="50"/>
      <c r="EZ41" s="50"/>
      <c r="FA41" s="50"/>
      <c r="FB41" s="50"/>
      <c r="FC41" s="50"/>
      <c r="FD41" s="50"/>
      <c r="FE41" s="50"/>
      <c r="FF41" s="50"/>
      <c r="FG41" s="50"/>
      <c r="FH41" s="50"/>
      <c r="FI41" s="50"/>
      <c r="FJ41" s="50"/>
      <c r="FK41" s="50"/>
      <c r="FL41" s="50"/>
      <c r="FM41" s="50"/>
      <c r="FN41" s="50"/>
    </row>
    <row r="42" spans="1:170" s="8" customFormat="1" ht="18" hidden="1" customHeight="1">
      <c r="A42" s="1976"/>
      <c r="B42" s="204"/>
      <c r="C42" s="14" t="str">
        <f>Begriffe!F80</f>
        <v>Nachhallzeit</v>
      </c>
      <c r="D42" s="14"/>
      <c r="E42" s="14"/>
      <c r="F42" s="243" t="str">
        <f>Begriffe!F354</f>
        <v>Mit Möblierung</v>
      </c>
      <c r="H42" s="14"/>
      <c r="I42" s="98" t="s">
        <v>8</v>
      </c>
      <c r="J42" s="377" t="s">
        <v>9</v>
      </c>
      <c r="K42" s="377"/>
      <c r="L42" s="510"/>
      <c r="M42" s="378">
        <f>IF(L42&lt;&gt;"",L42,INDEX(Eingabedaten!$D$9:$DN$53,nutzid,MATCH($C42,Eingabedaten!$D$6:$DN$6,0)))</f>
        <v>0.6</v>
      </c>
      <c r="N42" s="394"/>
      <c r="O42" s="394"/>
      <c r="P42" s="14">
        <v>0</v>
      </c>
      <c r="Q42" s="392"/>
      <c r="R42" s="14">
        <v>0</v>
      </c>
      <c r="T42" s="379"/>
      <c r="U42"/>
      <c r="V42"/>
      <c r="W42"/>
      <c r="X42"/>
      <c r="Y42"/>
      <c r="Z42"/>
      <c r="AA42" s="158"/>
      <c r="AB42" s="64"/>
      <c r="AC42" s="158"/>
      <c r="AD42" s="158"/>
      <c r="AE42" s="64"/>
      <c r="AF42" s="64"/>
      <c r="AG42" s="64"/>
      <c r="AH42" s="64"/>
      <c r="AI42" s="64"/>
      <c r="AJ42" s="64"/>
      <c r="AK42" s="64"/>
      <c r="AL42" s="65"/>
      <c r="AM42" s="65"/>
      <c r="AN42" s="66"/>
      <c r="AO42" s="66"/>
      <c r="AP42" s="82"/>
      <c r="AQ42" s="82"/>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48"/>
      <c r="BY42" s="48"/>
      <c r="BZ42" s="48"/>
      <c r="CA42" s="48"/>
      <c r="CB42" s="48"/>
      <c r="CC42" s="48"/>
      <c r="CD42" s="48"/>
      <c r="CE42" s="48"/>
      <c r="CF42" s="48"/>
      <c r="CG42" s="48"/>
      <c r="CH42" s="48"/>
      <c r="CI42" s="48"/>
      <c r="CJ42" s="48"/>
      <c r="CK42" s="48"/>
      <c r="CL42" s="48"/>
      <c r="CM42" s="48"/>
      <c r="CN42" s="48"/>
      <c r="CO42" s="48"/>
      <c r="CP42" s="48"/>
      <c r="CQ42" s="48"/>
      <c r="CR42" s="48"/>
      <c r="CS42" s="48"/>
      <c r="CT42" s="48"/>
      <c r="CU42" s="48"/>
      <c r="CV42" s="49"/>
      <c r="CW42" s="49"/>
      <c r="CX42" s="49"/>
      <c r="CY42" s="49"/>
      <c r="CZ42" s="49"/>
      <c r="DA42" s="49"/>
      <c r="DB42" s="49"/>
      <c r="DC42" s="49"/>
      <c r="DD42" s="49"/>
      <c r="DE42" s="49"/>
      <c r="DF42" s="49"/>
      <c r="DG42" s="49"/>
      <c r="DH42" s="49"/>
      <c r="DI42" s="49"/>
      <c r="DJ42" s="49"/>
      <c r="DK42" s="49"/>
      <c r="DL42" s="49"/>
      <c r="DM42" s="49"/>
      <c r="DN42" s="49"/>
      <c r="DO42" s="49"/>
      <c r="DP42" s="49"/>
      <c r="DQ42" s="49"/>
      <c r="DR42" s="49"/>
      <c r="DS42" s="49"/>
      <c r="DT42" s="49"/>
      <c r="DU42" s="49"/>
      <c r="DV42" s="49"/>
      <c r="DW42" s="49"/>
      <c r="DX42" s="49"/>
      <c r="DY42" s="49"/>
      <c r="DZ42" s="49"/>
      <c r="EA42" s="49"/>
      <c r="EB42" s="49"/>
      <c r="EC42" s="49"/>
      <c r="ED42" s="49"/>
      <c r="EE42" s="50"/>
      <c r="EF42" s="50"/>
      <c r="EG42" s="50"/>
      <c r="EH42" s="50"/>
      <c r="EI42" s="50"/>
      <c r="EJ42" s="50"/>
      <c r="EK42" s="50"/>
      <c r="EL42" s="50"/>
      <c r="EM42" s="50"/>
      <c r="EN42" s="50"/>
      <c r="EO42" s="50"/>
      <c r="EP42" s="50"/>
      <c r="EQ42" s="50"/>
      <c r="ER42" s="50"/>
      <c r="ES42" s="50"/>
      <c r="ET42" s="50"/>
      <c r="EU42" s="50"/>
      <c r="EV42" s="50"/>
      <c r="EW42" s="50"/>
      <c r="EX42" s="50"/>
      <c r="EY42" s="50"/>
      <c r="EZ42" s="50"/>
      <c r="FA42" s="50"/>
      <c r="FB42" s="50"/>
      <c r="FC42" s="50"/>
      <c r="FD42" s="50"/>
      <c r="FE42" s="50"/>
      <c r="FF42" s="50"/>
      <c r="FG42" s="50"/>
      <c r="FH42" s="50"/>
      <c r="FI42" s="50"/>
      <c r="FJ42" s="50"/>
      <c r="FK42" s="50"/>
      <c r="FL42" s="50"/>
      <c r="FM42" s="50"/>
      <c r="FN42" s="50"/>
    </row>
    <row r="43" spans="1:170" s="13" customFormat="1" ht="18" hidden="1" customHeight="1">
      <c r="A43" s="1977"/>
      <c r="B43" s="204"/>
      <c r="C43" s="95"/>
      <c r="I43" s="96"/>
      <c r="J43" s="103"/>
      <c r="K43" s="103"/>
      <c r="L43" s="103"/>
      <c r="M43" s="100"/>
      <c r="N43" s="178"/>
      <c r="O43" s="179"/>
      <c r="P43" s="14">
        <v>0</v>
      </c>
      <c r="Q43" s="392"/>
      <c r="R43" s="14">
        <v>0</v>
      </c>
      <c r="T43" s="379"/>
      <c r="U43"/>
      <c r="V43"/>
      <c r="W43"/>
      <c r="X43"/>
      <c r="Y43"/>
      <c r="Z43"/>
      <c r="AA43" s="158"/>
      <c r="AB43" s="64"/>
      <c r="AC43" s="158"/>
      <c r="AD43" s="158"/>
      <c r="AE43" s="64"/>
      <c r="AF43" s="64"/>
      <c r="AG43" s="65"/>
      <c r="AH43" s="65"/>
      <c r="AI43" s="65"/>
      <c r="AJ43" s="65"/>
      <c r="AK43" s="65"/>
      <c r="AL43" s="65"/>
      <c r="AM43" s="65"/>
      <c r="AN43" s="65"/>
      <c r="AO43" s="65"/>
      <c r="AP43" s="65"/>
      <c r="AQ43" s="6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5"/>
      <c r="CA43" s="45"/>
      <c r="CB43" s="45"/>
      <c r="CC43" s="45"/>
      <c r="CD43" s="45"/>
      <c r="CE43" s="45"/>
      <c r="CF43" s="45"/>
      <c r="CG43" s="45"/>
      <c r="CH43" s="45"/>
      <c r="CI43" s="45"/>
      <c r="CJ43" s="45"/>
      <c r="CK43" s="45"/>
      <c r="CL43" s="45"/>
      <c r="CM43" s="45"/>
      <c r="CN43" s="45"/>
      <c r="CO43" s="45"/>
      <c r="CP43" s="45"/>
      <c r="CQ43" s="45"/>
      <c r="CR43" s="45"/>
      <c r="CS43" s="45"/>
      <c r="CT43" s="45"/>
      <c r="CU43" s="45"/>
      <c r="CV43" s="52"/>
      <c r="CW43" s="52"/>
      <c r="CX43" s="52"/>
      <c r="CY43" s="52"/>
      <c r="CZ43" s="52"/>
      <c r="DA43" s="52"/>
      <c r="DB43" s="52"/>
      <c r="DC43" s="52"/>
      <c r="DD43" s="52"/>
      <c r="DE43" s="52"/>
      <c r="DF43" s="52"/>
      <c r="DG43" s="52"/>
      <c r="DH43" s="52"/>
      <c r="DI43" s="52"/>
      <c r="DJ43" s="52"/>
      <c r="DK43" s="52"/>
      <c r="DL43" s="52"/>
      <c r="DM43" s="52"/>
      <c r="DN43" s="52"/>
      <c r="DO43" s="52"/>
      <c r="DP43" s="52"/>
      <c r="DQ43" s="52"/>
      <c r="DR43" s="52"/>
      <c r="DS43" s="52"/>
      <c r="DT43" s="52"/>
      <c r="DU43" s="52"/>
      <c r="DV43" s="52"/>
      <c r="DW43" s="52"/>
      <c r="DX43" s="52"/>
      <c r="DY43" s="52"/>
      <c r="DZ43" s="52"/>
      <c r="EA43" s="52"/>
      <c r="EB43" s="52"/>
      <c r="EC43" s="52"/>
      <c r="ED43" s="52"/>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row>
    <row r="44" spans="1:170" s="5" customFormat="1" ht="2.25" customHeight="1">
      <c r="A44" s="113"/>
      <c r="B44" s="495"/>
      <c r="C44" s="114"/>
      <c r="D44" s="114"/>
      <c r="E44" s="114"/>
      <c r="F44" s="114"/>
      <c r="G44" s="114"/>
      <c r="H44" s="114"/>
      <c r="I44" s="115"/>
      <c r="J44" s="114"/>
      <c r="K44" s="114"/>
      <c r="L44" s="115"/>
      <c r="M44" s="116"/>
      <c r="N44" s="136"/>
      <c r="O44" s="136"/>
      <c r="P44" s="14">
        <v>0</v>
      </c>
      <c r="Q44" s="392">
        <v>1</v>
      </c>
      <c r="R44" s="14">
        <v>0</v>
      </c>
      <c r="S44" s="379"/>
      <c r="T44" s="167"/>
      <c r="U44" s="160"/>
      <c r="V44" s="167"/>
      <c r="W44" s="160"/>
      <c r="X44" s="160"/>
      <c r="Y44" s="167"/>
      <c r="Z44" s="160"/>
      <c r="AA44" s="160"/>
      <c r="AB44" s="167"/>
      <c r="AC44" s="160"/>
      <c r="AD44" s="160"/>
      <c r="AN44" s="84"/>
      <c r="AO44" s="84"/>
      <c r="AP44" s="85"/>
      <c r="AQ44" s="85"/>
      <c r="AR44" s="54"/>
      <c r="AS44" s="54"/>
      <c r="AT44" s="54"/>
      <c r="AU44" s="54"/>
      <c r="AV44" s="54"/>
      <c r="AW44" s="54"/>
      <c r="AX44" s="54"/>
      <c r="AY44" s="54"/>
      <c r="AZ44" s="54"/>
      <c r="BA44" s="54"/>
      <c r="BB44" s="54"/>
      <c r="BC44" s="54"/>
      <c r="BD44" s="54"/>
      <c r="BE44" s="54"/>
      <c r="BF44" s="54"/>
      <c r="BG44" s="54"/>
      <c r="BH44" s="54"/>
      <c r="BI44" s="54"/>
      <c r="BJ44" s="54"/>
      <c r="BK44" s="54"/>
      <c r="BL44" s="54"/>
      <c r="BM44" s="54"/>
      <c r="BN44" s="54"/>
      <c r="BO44" s="54"/>
      <c r="BP44" s="54"/>
      <c r="BQ44" s="54"/>
      <c r="BR44" s="54"/>
      <c r="BS44" s="54"/>
      <c r="BT44" s="54"/>
      <c r="BU44" s="54"/>
      <c r="BV44" s="54"/>
      <c r="BW44" s="54"/>
      <c r="BX44" s="54"/>
      <c r="BY44" s="54"/>
      <c r="BZ44" s="54"/>
      <c r="CA44" s="54"/>
      <c r="CB44" s="54"/>
      <c r="CC44" s="54"/>
      <c r="CD44" s="54"/>
      <c r="CE44" s="54"/>
      <c r="CF44" s="54"/>
      <c r="CG44" s="54"/>
      <c r="CH44" s="54"/>
      <c r="CI44" s="54"/>
      <c r="CJ44" s="54"/>
      <c r="CK44" s="54"/>
      <c r="CL44" s="54"/>
      <c r="CM44" s="54"/>
      <c r="CN44" s="54"/>
      <c r="CO44" s="54"/>
      <c r="CP44" s="54"/>
      <c r="CQ44" s="54"/>
      <c r="CR44" s="54"/>
      <c r="CS44" s="54"/>
      <c r="CT44" s="54"/>
      <c r="CU44" s="54"/>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5"/>
      <c r="EB44" s="55"/>
      <c r="EC44" s="55"/>
      <c r="ED44" s="55"/>
      <c r="EE44" s="53"/>
      <c r="EF44" s="53"/>
      <c r="EG44" s="53"/>
      <c r="EH44" s="53"/>
      <c r="EI44" s="53"/>
      <c r="EJ44" s="53"/>
      <c r="EK44" s="53"/>
      <c r="EL44" s="53"/>
      <c r="EM44" s="53"/>
      <c r="EN44" s="53"/>
      <c r="EO44" s="53"/>
      <c r="EP44" s="53"/>
      <c r="EQ44" s="53"/>
      <c r="ER44" s="53"/>
      <c r="ES44" s="53"/>
      <c r="ET44" s="53"/>
      <c r="EU44" s="53"/>
      <c r="EV44" s="53"/>
      <c r="EW44" s="53"/>
      <c r="EX44" s="53"/>
      <c r="EY44" s="53"/>
      <c r="EZ44" s="53"/>
      <c r="FA44" s="53"/>
      <c r="FB44" s="53"/>
      <c r="FC44" s="53"/>
      <c r="FD44" s="53"/>
      <c r="FE44" s="53"/>
      <c r="FF44" s="53"/>
      <c r="FG44" s="53"/>
      <c r="FH44" s="53"/>
      <c r="FI44" s="53"/>
      <c r="FJ44" s="53"/>
      <c r="FK44" s="53"/>
      <c r="FL44" s="53"/>
      <c r="FM44" s="53"/>
      <c r="FN44" s="53"/>
    </row>
    <row r="45" spans="1:170" s="2" customFormat="1" ht="18" hidden="1" customHeight="1">
      <c r="A45" s="1976" t="str">
        <f>Begriffe!F204</f>
        <v>Personen</v>
      </c>
      <c r="B45" s="204"/>
      <c r="K45" s="488"/>
      <c r="L45" s="446"/>
      <c r="N45" s="446"/>
      <c r="P45" s="14">
        <v>0</v>
      </c>
      <c r="Q45" s="392">
        <v>0</v>
      </c>
      <c r="R45" s="14">
        <v>0</v>
      </c>
      <c r="S45" s="379"/>
      <c r="T45" s="618"/>
      <c r="U45" s="161"/>
      <c r="V45" s="168"/>
      <c r="W45" s="161"/>
      <c r="X45" s="161"/>
      <c r="Y45" s="168"/>
      <c r="Z45" s="161"/>
      <c r="AA45" s="161"/>
      <c r="AB45" s="168"/>
      <c r="AC45" s="161"/>
      <c r="AD45" s="161"/>
      <c r="AM45" s="36"/>
      <c r="AN45" s="84"/>
      <c r="AO45" s="84"/>
      <c r="AP45" s="85"/>
      <c r="AQ45" s="85"/>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4"/>
      <c r="BS45" s="54"/>
      <c r="BT45" s="54"/>
      <c r="BU45" s="54"/>
      <c r="BV45" s="54"/>
      <c r="BW45" s="54"/>
      <c r="BX45" s="54"/>
      <c r="BY45" s="54"/>
      <c r="BZ45" s="54"/>
      <c r="CA45" s="54"/>
      <c r="CB45" s="54"/>
      <c r="CC45" s="54"/>
      <c r="CD45" s="54"/>
      <c r="CE45" s="54"/>
      <c r="CF45" s="54"/>
      <c r="CG45" s="54"/>
      <c r="CH45" s="54"/>
      <c r="CI45" s="54"/>
      <c r="CJ45" s="54"/>
      <c r="CK45" s="54"/>
      <c r="CL45" s="54"/>
      <c r="CM45" s="54"/>
      <c r="CN45" s="54"/>
      <c r="CO45" s="54"/>
      <c r="CP45" s="54"/>
      <c r="CQ45" s="54"/>
      <c r="CR45" s="54"/>
      <c r="CS45" s="54"/>
      <c r="CT45" s="54"/>
      <c r="CU45" s="54"/>
      <c r="CV45" s="55"/>
      <c r="CW45" s="55"/>
      <c r="CX45" s="55"/>
      <c r="CY45" s="55"/>
      <c r="CZ45" s="55"/>
      <c r="DA45" s="55"/>
      <c r="DB45" s="55"/>
      <c r="DC45" s="55"/>
      <c r="DD45" s="55"/>
      <c r="DE45" s="55"/>
      <c r="DF45" s="55"/>
      <c r="DG45" s="55"/>
      <c r="DH45" s="55"/>
      <c r="DI45" s="55"/>
      <c r="DJ45" s="55"/>
      <c r="DK45" s="55"/>
      <c r="DL45" s="55"/>
      <c r="DM45" s="55"/>
      <c r="DN45" s="55"/>
      <c r="DO45" s="55"/>
      <c r="DP45" s="55"/>
      <c r="DQ45" s="55"/>
      <c r="DR45" s="55"/>
      <c r="DS45" s="55"/>
      <c r="DT45" s="55"/>
      <c r="DU45" s="55"/>
      <c r="DV45" s="55"/>
      <c r="DW45" s="55"/>
      <c r="DX45" s="55"/>
      <c r="DY45" s="55"/>
      <c r="DZ45" s="55"/>
      <c r="EA45" s="55"/>
      <c r="EB45" s="55"/>
      <c r="EC45" s="55"/>
      <c r="ED45" s="55"/>
      <c r="EE45" s="56"/>
      <c r="EF45" s="56"/>
      <c r="EG45" s="56"/>
      <c r="EH45" s="56"/>
      <c r="EI45" s="56"/>
      <c r="EJ45" s="56"/>
      <c r="EK45" s="56"/>
      <c r="EL45" s="56"/>
      <c r="EM45" s="56"/>
      <c r="EN45" s="56"/>
      <c r="EO45" s="56"/>
      <c r="EP45" s="56"/>
      <c r="EQ45" s="56"/>
      <c r="ER45" s="56"/>
      <c r="ES45" s="56"/>
      <c r="ET45" s="56"/>
      <c r="EU45" s="56"/>
      <c r="EV45" s="56"/>
      <c r="EW45" s="56"/>
      <c r="EX45" s="56"/>
      <c r="EY45" s="56"/>
      <c r="EZ45" s="56"/>
      <c r="FA45" s="56"/>
      <c r="FB45" s="56"/>
      <c r="FC45" s="56"/>
      <c r="FD45" s="56"/>
      <c r="FE45" s="56"/>
      <c r="FF45" s="56"/>
      <c r="FG45" s="56"/>
      <c r="FH45" s="56"/>
      <c r="FI45" s="56"/>
      <c r="FJ45" s="56"/>
      <c r="FK45" s="56"/>
      <c r="FL45" s="56"/>
      <c r="FM45" s="56"/>
      <c r="FN45" s="56"/>
    </row>
    <row r="46" spans="1:170" s="2" customFormat="1" ht="18" customHeight="1">
      <c r="A46" s="1976"/>
      <c r="B46" s="204"/>
      <c r="C46" s="1983" t="str">
        <f>Begriffe!F88</f>
        <v>Personenprofil</v>
      </c>
      <c r="D46" s="1"/>
      <c r="E46" s="183"/>
      <c r="F46" s="183"/>
      <c r="G46" s="1"/>
      <c r="H46" s="184"/>
      <c r="I46" s="1985" t="str">
        <f>Begriffe!F54</f>
        <v>Jahresprofil</v>
      </c>
      <c r="J46" s="185"/>
      <c r="K46" s="185"/>
      <c r="L46" s="185"/>
      <c r="M46" s="186"/>
      <c r="N46" s="187"/>
      <c r="O46" s="127"/>
      <c r="P46" s="14">
        <v>0</v>
      </c>
      <c r="Q46" s="392">
        <v>1</v>
      </c>
      <c r="R46" s="14">
        <v>0</v>
      </c>
      <c r="S46" s="379"/>
      <c r="T46" s="243"/>
      <c r="U46" s="161"/>
      <c r="V46" s="168"/>
      <c r="W46" s="161"/>
      <c r="X46" s="161"/>
      <c r="Y46" s="168"/>
      <c r="Z46" s="161"/>
      <c r="AA46" s="161"/>
      <c r="AB46" s="168"/>
      <c r="AC46" s="161"/>
      <c r="AD46" s="161"/>
      <c r="AM46" s="7"/>
      <c r="AN46" s="86"/>
      <c r="AO46" s="86"/>
      <c r="AR46" s="56"/>
      <c r="AS46" s="56"/>
      <c r="AT46" s="56"/>
      <c r="AU46" s="56"/>
      <c r="AV46" s="56"/>
      <c r="AW46" s="56"/>
      <c r="AX46" s="56"/>
      <c r="AY46" s="56"/>
      <c r="AZ46" s="56"/>
      <c r="BA46" s="56"/>
      <c r="BB46" s="56"/>
      <c r="BC46" s="56"/>
      <c r="BD46" s="56"/>
      <c r="BE46" s="56"/>
      <c r="BF46" s="56"/>
      <c r="BG46" s="56"/>
      <c r="BH46" s="56"/>
      <c r="BI46" s="56"/>
      <c r="BJ46" s="56"/>
      <c r="BK46" s="56"/>
      <c r="BL46" s="56"/>
      <c r="BM46" s="56"/>
      <c r="BN46" s="56"/>
      <c r="BO46" s="56"/>
      <c r="BP46" s="56"/>
      <c r="BQ46" s="56"/>
      <c r="BR46" s="56"/>
      <c r="BS46" s="56"/>
      <c r="BT46" s="56"/>
      <c r="BU46" s="56"/>
      <c r="BV46" s="56"/>
      <c r="BW46" s="56"/>
      <c r="BX46" s="56"/>
      <c r="BY46" s="56"/>
      <c r="BZ46" s="56"/>
      <c r="CA46" s="56"/>
      <c r="CB46" s="56"/>
      <c r="CC46" s="56"/>
      <c r="CD46" s="56"/>
      <c r="CE46" s="56"/>
      <c r="CF46" s="56"/>
      <c r="CG46" s="56"/>
      <c r="CH46" s="56"/>
      <c r="CI46" s="56"/>
      <c r="CJ46" s="56"/>
      <c r="CK46" s="56"/>
      <c r="CL46" s="56"/>
      <c r="CM46" s="56"/>
      <c r="CN46" s="56"/>
      <c r="CO46" s="56"/>
      <c r="CP46" s="56"/>
      <c r="CQ46" s="56"/>
      <c r="CR46" s="56"/>
      <c r="CS46" s="56"/>
      <c r="CT46" s="56"/>
      <c r="CU46" s="56"/>
      <c r="CV46" s="56"/>
      <c r="CW46" s="56"/>
      <c r="CX46" s="56"/>
      <c r="CY46" s="56"/>
      <c r="CZ46" s="56"/>
      <c r="DA46" s="56"/>
      <c r="DB46" s="56"/>
      <c r="DC46" s="56"/>
      <c r="DD46" s="56"/>
      <c r="DE46" s="55"/>
      <c r="DF46" s="55"/>
      <c r="DG46" s="55"/>
      <c r="DH46" s="55"/>
      <c r="DI46" s="55"/>
      <c r="DJ46" s="55"/>
      <c r="DK46" s="55"/>
      <c r="DL46" s="55"/>
      <c r="DM46" s="55"/>
      <c r="DN46" s="55"/>
      <c r="DO46" s="55"/>
      <c r="DP46" s="55"/>
      <c r="DQ46" s="55"/>
      <c r="DR46" s="55"/>
      <c r="DS46" s="55"/>
      <c r="DT46" s="55"/>
      <c r="DU46" s="55"/>
      <c r="DV46" s="55"/>
      <c r="DW46" s="55"/>
      <c r="DX46" s="55"/>
      <c r="DY46" s="55"/>
      <c r="DZ46" s="55"/>
      <c r="EA46" s="55"/>
      <c r="EB46" s="55"/>
      <c r="EC46" s="55"/>
      <c r="ED46" s="55"/>
      <c r="EE46" s="56"/>
      <c r="EF46" s="56"/>
      <c r="EG46" s="56"/>
      <c r="EH46" s="56"/>
      <c r="EI46" s="56"/>
      <c r="EJ46" s="56"/>
      <c r="EK46" s="56"/>
      <c r="EL46" s="56"/>
      <c r="EM46" s="56"/>
      <c r="EN46" s="56"/>
      <c r="EO46" s="56"/>
      <c r="EP46" s="56"/>
      <c r="EQ46" s="56"/>
      <c r="ER46" s="56"/>
      <c r="ES46" s="56"/>
      <c r="ET46" s="56"/>
      <c r="EU46" s="56"/>
      <c r="EV46" s="56"/>
      <c r="EW46" s="56"/>
      <c r="EX46" s="56"/>
      <c r="EY46" s="56"/>
      <c r="EZ46" s="56"/>
      <c r="FA46" s="56"/>
      <c r="FB46" s="56"/>
      <c r="FC46" s="56"/>
      <c r="FD46" s="56"/>
      <c r="FE46" s="56"/>
      <c r="FF46" s="56"/>
      <c r="FG46" s="56"/>
      <c r="FH46" s="56"/>
      <c r="FI46" s="56"/>
      <c r="FJ46" s="56"/>
      <c r="FK46" s="56"/>
      <c r="FL46" s="56"/>
      <c r="FM46" s="56"/>
      <c r="FN46" s="56"/>
    </row>
    <row r="47" spans="1:170" s="2" customFormat="1" ht="18" customHeight="1">
      <c r="A47" s="1976"/>
      <c r="B47" s="204"/>
      <c r="C47" s="1983"/>
      <c r="D47" s="1"/>
      <c r="E47" s="183"/>
      <c r="F47" s="183"/>
      <c r="G47" s="1"/>
      <c r="H47" s="184"/>
      <c r="I47" s="1985"/>
      <c r="J47" s="185"/>
      <c r="K47" s="185"/>
      <c r="L47" s="185"/>
      <c r="M47" s="186"/>
      <c r="N47" s="187"/>
      <c r="O47" s="127"/>
      <c r="P47" s="14">
        <v>0</v>
      </c>
      <c r="Q47" s="205">
        <v>1</v>
      </c>
      <c r="R47" s="14">
        <v>0</v>
      </c>
      <c r="S47" s="379"/>
      <c r="T47" s="618"/>
      <c r="U47" s="161"/>
      <c r="V47" s="168"/>
      <c r="W47" s="161"/>
      <c r="X47" s="161"/>
      <c r="Y47" s="168"/>
      <c r="Z47" s="161"/>
      <c r="AA47" s="161"/>
      <c r="AB47" s="168"/>
      <c r="AC47" s="161"/>
      <c r="AD47" s="161"/>
      <c r="AM47" s="36"/>
      <c r="AN47" s="86"/>
      <c r="AO47" s="8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CZ47" s="56"/>
      <c r="DA47" s="56"/>
      <c r="DB47" s="56"/>
      <c r="DC47" s="56"/>
      <c r="DD47" s="56"/>
      <c r="DE47" s="55"/>
      <c r="DF47" s="55"/>
      <c r="DG47" s="55"/>
      <c r="DH47" s="55"/>
      <c r="DI47" s="55"/>
      <c r="DJ47" s="55"/>
      <c r="DK47" s="55"/>
      <c r="DL47" s="55"/>
      <c r="DM47" s="55"/>
      <c r="DN47" s="55"/>
      <c r="DO47" s="55"/>
      <c r="DP47" s="55"/>
      <c r="DQ47" s="55"/>
      <c r="DR47" s="55"/>
      <c r="DS47" s="55"/>
      <c r="DT47" s="55"/>
      <c r="DU47" s="55"/>
      <c r="DV47" s="55"/>
      <c r="DW47" s="55"/>
      <c r="DX47" s="55"/>
      <c r="DY47" s="55"/>
      <c r="DZ47" s="55"/>
      <c r="EA47" s="55"/>
      <c r="EB47" s="55"/>
      <c r="EC47" s="55"/>
      <c r="ED47" s="55"/>
      <c r="EE47" s="56"/>
      <c r="EF47" s="56"/>
      <c r="EG47" s="56"/>
      <c r="EH47" s="56"/>
      <c r="EI47" s="56"/>
      <c r="EJ47" s="56"/>
      <c r="EK47" s="56"/>
      <c r="EL47" s="56"/>
      <c r="EM47" s="56"/>
      <c r="EN47" s="56"/>
      <c r="EO47" s="56"/>
      <c r="EP47" s="56"/>
      <c r="EQ47" s="56"/>
      <c r="ER47" s="56"/>
      <c r="ES47" s="56"/>
      <c r="ET47" s="56"/>
      <c r="EU47" s="56"/>
      <c r="EV47" s="56"/>
      <c r="EW47" s="56"/>
      <c r="EX47" s="56"/>
      <c r="EY47" s="56"/>
      <c r="EZ47" s="56"/>
      <c r="FA47" s="56"/>
      <c r="FB47" s="56"/>
      <c r="FC47" s="56"/>
      <c r="FD47" s="56"/>
      <c r="FE47" s="56"/>
      <c r="FF47" s="56"/>
      <c r="FG47" s="56"/>
      <c r="FH47" s="56"/>
      <c r="FI47" s="56"/>
      <c r="FJ47" s="56"/>
      <c r="FK47" s="56"/>
      <c r="FL47" s="56"/>
      <c r="FM47" s="56"/>
      <c r="FN47" s="56"/>
    </row>
    <row r="48" spans="1:170" s="2" customFormat="1" ht="18" customHeight="1">
      <c r="A48" s="1976"/>
      <c r="B48" s="204"/>
      <c r="C48" s="1983"/>
      <c r="D48" s="1"/>
      <c r="E48" s="183"/>
      <c r="F48" s="183"/>
      <c r="G48" s="1"/>
      <c r="H48" s="184"/>
      <c r="I48" s="1985"/>
      <c r="J48" s="185"/>
      <c r="K48" s="185"/>
      <c r="L48" s="185"/>
      <c r="M48" s="186"/>
      <c r="N48" s="187"/>
      <c r="O48" s="127"/>
      <c r="P48" s="14">
        <v>0</v>
      </c>
      <c r="Q48" s="392">
        <v>1</v>
      </c>
      <c r="R48" s="14">
        <v>0</v>
      </c>
      <c r="S48" s="379"/>
      <c r="T48" s="168"/>
      <c r="U48" s="161"/>
      <c r="V48" s="168"/>
      <c r="W48" s="161"/>
      <c r="X48" s="161"/>
      <c r="Y48" s="168"/>
      <c r="Z48" s="161"/>
      <c r="AA48" s="161"/>
      <c r="AB48" s="168"/>
      <c r="AC48" s="161"/>
      <c r="AD48" s="161"/>
      <c r="AM48" s="1"/>
      <c r="AN48" s="86"/>
      <c r="AO48" s="86"/>
      <c r="AR48" s="56"/>
      <c r="AS48" s="56"/>
      <c r="AT48" s="56"/>
      <c r="AU48" s="56"/>
      <c r="AV48" s="56"/>
      <c r="AW48" s="56"/>
      <c r="AX48" s="56"/>
      <c r="AY48" s="56"/>
      <c r="AZ48" s="56"/>
      <c r="BA48" s="56"/>
      <c r="BB48" s="56"/>
      <c r="BC48" s="56"/>
      <c r="BD48" s="56"/>
      <c r="BE48" s="56"/>
      <c r="BF48" s="56"/>
      <c r="BG48" s="56"/>
      <c r="BH48" s="56"/>
      <c r="BI48" s="56"/>
      <c r="BJ48" s="56"/>
      <c r="BK48" s="56"/>
      <c r="BL48" s="56"/>
      <c r="BM48" s="56"/>
      <c r="BN48" s="56"/>
      <c r="BO48" s="56"/>
      <c r="BP48" s="56"/>
      <c r="BQ48" s="56"/>
      <c r="BR48" s="56"/>
      <c r="BS48" s="56"/>
      <c r="BT48" s="56"/>
      <c r="BU48" s="56"/>
      <c r="BV48" s="56"/>
      <c r="BW48" s="56"/>
      <c r="BX48" s="56"/>
      <c r="BY48" s="56"/>
      <c r="BZ48" s="56"/>
      <c r="CA48" s="56"/>
      <c r="CB48" s="56"/>
      <c r="CC48" s="56"/>
      <c r="CD48" s="56"/>
      <c r="CE48" s="56"/>
      <c r="CF48" s="56"/>
      <c r="CG48" s="56"/>
      <c r="CH48" s="56"/>
      <c r="CI48" s="56"/>
      <c r="CJ48" s="56"/>
      <c r="CK48" s="56"/>
      <c r="CL48" s="56"/>
      <c r="CM48" s="56"/>
      <c r="CN48" s="56"/>
      <c r="CO48" s="56"/>
      <c r="CP48" s="56"/>
      <c r="CQ48" s="56"/>
      <c r="CR48" s="56"/>
      <c r="CS48" s="56"/>
      <c r="CT48" s="56"/>
      <c r="CU48" s="56"/>
      <c r="CV48" s="56"/>
      <c r="CW48" s="56"/>
      <c r="CX48" s="56"/>
      <c r="CY48" s="56"/>
      <c r="CZ48" s="56"/>
      <c r="DA48" s="56"/>
      <c r="DB48" s="56"/>
      <c r="DC48" s="56"/>
      <c r="DD48" s="56"/>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6"/>
      <c r="EF48" s="56"/>
      <c r="EG48" s="56"/>
      <c r="EH48" s="56"/>
      <c r="EI48" s="56"/>
      <c r="EJ48" s="56"/>
      <c r="EK48" s="56"/>
      <c r="EL48" s="56"/>
      <c r="EM48" s="56"/>
      <c r="EN48" s="56"/>
      <c r="EO48" s="56"/>
      <c r="EP48" s="56"/>
      <c r="EQ48" s="56"/>
      <c r="ER48" s="56"/>
      <c r="ES48" s="56"/>
      <c r="ET48" s="56"/>
      <c r="EU48" s="56"/>
      <c r="EV48" s="56"/>
      <c r="EW48" s="56"/>
      <c r="EX48" s="56"/>
      <c r="EY48" s="56"/>
      <c r="EZ48" s="56"/>
      <c r="FA48" s="56"/>
      <c r="FB48" s="56"/>
      <c r="FC48" s="56"/>
      <c r="FD48" s="56"/>
      <c r="FE48" s="56"/>
      <c r="FF48" s="56"/>
      <c r="FG48" s="56"/>
      <c r="FH48" s="56"/>
      <c r="FI48" s="56"/>
      <c r="FJ48" s="56"/>
      <c r="FK48" s="56"/>
      <c r="FL48" s="56"/>
      <c r="FM48" s="56"/>
      <c r="FN48" s="56"/>
    </row>
    <row r="49" spans="1:170" s="2" customFormat="1" ht="18" customHeight="1">
      <c r="A49" s="1976"/>
      <c r="B49" s="204"/>
      <c r="C49" s="1983"/>
      <c r="D49" s="1"/>
      <c r="E49" s="183"/>
      <c r="F49" s="183"/>
      <c r="G49" s="1"/>
      <c r="H49" s="184"/>
      <c r="I49" s="1985"/>
      <c r="J49" s="185"/>
      <c r="K49" s="185"/>
      <c r="L49" s="185"/>
      <c r="M49" s="186"/>
      <c r="N49" s="187"/>
      <c r="O49" s="127"/>
      <c r="P49" s="14">
        <v>0</v>
      </c>
      <c r="Q49" s="392">
        <v>1</v>
      </c>
      <c r="R49" s="14">
        <v>0</v>
      </c>
      <c r="S49" s="379"/>
      <c r="T49" s="168"/>
      <c r="U49" s="161"/>
      <c r="V49" s="168"/>
      <c r="W49" s="161"/>
      <c r="X49" s="161"/>
      <c r="Y49" s="168"/>
      <c r="Z49" s="161"/>
      <c r="AA49" s="161"/>
      <c r="AB49" s="168"/>
      <c r="AC49" s="161"/>
      <c r="AD49" s="161"/>
      <c r="AM49" s="1"/>
      <c r="AN49" s="86"/>
      <c r="AO49" s="86"/>
      <c r="AR49" s="56"/>
      <c r="AS49" s="56"/>
      <c r="AT49" s="56"/>
      <c r="AU49" s="56"/>
      <c r="AV49" s="56"/>
      <c r="AW49" s="56"/>
      <c r="AX49" s="56"/>
      <c r="AY49" s="56"/>
      <c r="AZ49" s="56"/>
      <c r="BA49" s="56"/>
      <c r="BB49" s="56"/>
      <c r="BC49" s="56"/>
      <c r="BD49" s="56"/>
      <c r="BE49" s="56"/>
      <c r="BF49" s="56"/>
      <c r="BG49" s="56"/>
      <c r="BH49" s="56"/>
      <c r="BI49" s="56"/>
      <c r="BJ49" s="56"/>
      <c r="BK49" s="56"/>
      <c r="BL49" s="56"/>
      <c r="BM49" s="56"/>
      <c r="BN49" s="56"/>
      <c r="BO49" s="56"/>
      <c r="BP49" s="56"/>
      <c r="BQ49" s="56"/>
      <c r="BR49" s="56"/>
      <c r="BS49" s="56"/>
      <c r="BT49" s="56"/>
      <c r="BU49" s="56"/>
      <c r="BV49" s="56"/>
      <c r="BW49" s="56"/>
      <c r="BX49" s="56"/>
      <c r="BY49" s="56"/>
      <c r="BZ49" s="56"/>
      <c r="CA49" s="56"/>
      <c r="CB49" s="56"/>
      <c r="CC49" s="56"/>
      <c r="CD49" s="56"/>
      <c r="CE49" s="56"/>
      <c r="CF49" s="56"/>
      <c r="CG49" s="56"/>
      <c r="CH49" s="56"/>
      <c r="CI49" s="56"/>
      <c r="CJ49" s="56"/>
      <c r="CK49" s="56"/>
      <c r="CL49" s="56"/>
      <c r="CM49" s="56"/>
      <c r="CN49" s="56"/>
      <c r="CO49" s="56"/>
      <c r="CP49" s="56"/>
      <c r="CQ49" s="56"/>
      <c r="CR49" s="56"/>
      <c r="CS49" s="56"/>
      <c r="CT49" s="56"/>
      <c r="CU49" s="56"/>
      <c r="CV49" s="56"/>
      <c r="CW49" s="56"/>
      <c r="CX49" s="56"/>
      <c r="CY49" s="56"/>
      <c r="CZ49" s="56"/>
      <c r="DA49" s="56"/>
      <c r="DB49" s="56"/>
      <c r="DC49" s="56"/>
      <c r="DD49" s="56"/>
      <c r="DE49" s="55"/>
      <c r="DF49" s="55"/>
      <c r="DG49" s="55"/>
      <c r="DH49" s="55"/>
      <c r="DI49" s="55"/>
      <c r="DJ49" s="55"/>
      <c r="DK49" s="55"/>
      <c r="DL49" s="55"/>
      <c r="DM49" s="55"/>
      <c r="DN49" s="55"/>
      <c r="DO49" s="55"/>
      <c r="DP49" s="55"/>
      <c r="DQ49" s="55"/>
      <c r="DR49" s="55"/>
      <c r="DS49" s="55"/>
      <c r="DT49" s="55"/>
      <c r="DU49" s="55"/>
      <c r="DV49" s="55"/>
      <c r="DW49" s="55"/>
      <c r="DX49" s="55"/>
      <c r="DY49" s="55"/>
      <c r="DZ49" s="55"/>
      <c r="EA49" s="55"/>
      <c r="EB49" s="55"/>
      <c r="EC49" s="55"/>
      <c r="ED49" s="55"/>
      <c r="EE49" s="56"/>
      <c r="EF49" s="56"/>
      <c r="EG49" s="56"/>
      <c r="EH49" s="56"/>
      <c r="EI49" s="56"/>
      <c r="EJ49" s="56"/>
      <c r="EK49" s="56"/>
      <c r="EL49" s="56"/>
      <c r="EM49" s="56"/>
      <c r="EN49" s="56"/>
      <c r="EO49" s="56"/>
      <c r="EP49" s="56"/>
      <c r="EQ49" s="56"/>
      <c r="ER49" s="56"/>
      <c r="ES49" s="56"/>
      <c r="ET49" s="56"/>
      <c r="EU49" s="56"/>
      <c r="EV49" s="56"/>
      <c r="EW49" s="56"/>
      <c r="EX49" s="56"/>
      <c r="EY49" s="56"/>
      <c r="EZ49" s="56"/>
      <c r="FA49" s="56"/>
      <c r="FB49" s="56"/>
      <c r="FC49" s="56"/>
      <c r="FD49" s="56"/>
      <c r="FE49" s="56"/>
      <c r="FF49" s="56"/>
      <c r="FG49" s="56"/>
      <c r="FH49" s="56"/>
      <c r="FI49" s="56"/>
      <c r="FJ49" s="56"/>
      <c r="FK49" s="56"/>
      <c r="FL49" s="56"/>
      <c r="FM49" s="56"/>
      <c r="FN49" s="56"/>
    </row>
    <row r="50" spans="1:170" s="2" customFormat="1" ht="18" customHeight="1">
      <c r="A50" s="1976"/>
      <c r="B50" s="204"/>
      <c r="C50" s="1983"/>
      <c r="D50" s="1"/>
      <c r="E50" s="183"/>
      <c r="F50" s="183"/>
      <c r="G50" s="1"/>
      <c r="H50" s="184"/>
      <c r="I50" s="1985"/>
      <c r="J50" s="185"/>
      <c r="K50" s="185"/>
      <c r="L50" s="185"/>
      <c r="M50" s="186"/>
      <c r="N50" s="187"/>
      <c r="O50" s="127"/>
      <c r="P50" s="14">
        <v>0</v>
      </c>
      <c r="Q50" s="392">
        <v>1</v>
      </c>
      <c r="R50" s="14">
        <v>0</v>
      </c>
      <c r="S50" s="379"/>
      <c r="T50" s="243"/>
      <c r="U50" s="161"/>
      <c r="V50" s="168"/>
      <c r="W50" s="161"/>
      <c r="X50" s="161"/>
      <c r="Y50" s="168"/>
      <c r="Z50" s="161"/>
      <c r="AA50" s="161"/>
      <c r="AB50" s="168"/>
      <c r="AC50" s="161"/>
      <c r="AD50" s="161"/>
      <c r="AM50" s="1"/>
      <c r="AN50" s="86"/>
      <c r="AO50" s="86"/>
      <c r="AR50" s="56"/>
      <c r="AS50" s="56"/>
      <c r="AT50" s="56"/>
      <c r="AU50" s="56"/>
      <c r="AV50" s="56"/>
      <c r="AW50" s="56"/>
      <c r="AX50" s="56"/>
      <c r="AY50" s="56"/>
      <c r="AZ50" s="56"/>
      <c r="BA50" s="56"/>
      <c r="BB50" s="56"/>
      <c r="BC50" s="56"/>
      <c r="BD50" s="56"/>
      <c r="BE50" s="56"/>
      <c r="BF50" s="56"/>
      <c r="BG50" s="56"/>
      <c r="BH50" s="56"/>
      <c r="BI50" s="56"/>
      <c r="BJ50" s="56"/>
      <c r="BK50" s="56"/>
      <c r="BL50" s="56"/>
      <c r="BM50" s="56"/>
      <c r="BN50" s="56"/>
      <c r="BO50" s="56"/>
      <c r="BP50" s="56"/>
      <c r="BQ50" s="56"/>
      <c r="BR50" s="56"/>
      <c r="BS50" s="56"/>
      <c r="BT50" s="56"/>
      <c r="BU50" s="56"/>
      <c r="BV50" s="56"/>
      <c r="BW50" s="56"/>
      <c r="BX50" s="56"/>
      <c r="BY50" s="56"/>
      <c r="BZ50" s="56"/>
      <c r="CA50" s="56"/>
      <c r="CB50" s="56"/>
      <c r="CC50" s="56"/>
      <c r="CD50" s="56"/>
      <c r="CE50" s="56"/>
      <c r="CF50" s="56"/>
      <c r="CG50" s="56"/>
      <c r="CH50" s="56"/>
      <c r="CI50" s="56"/>
      <c r="CJ50" s="56"/>
      <c r="CK50" s="56"/>
      <c r="CL50" s="56"/>
      <c r="CM50" s="56"/>
      <c r="CN50" s="56"/>
      <c r="CO50" s="56"/>
      <c r="CP50" s="56"/>
      <c r="CQ50" s="56"/>
      <c r="CR50" s="56"/>
      <c r="CS50" s="56"/>
      <c r="CT50" s="56"/>
      <c r="CU50" s="56"/>
      <c r="CV50" s="56"/>
      <c r="CW50" s="56"/>
      <c r="CX50" s="56"/>
      <c r="CY50" s="56"/>
      <c r="CZ50" s="56"/>
      <c r="DA50" s="56"/>
      <c r="DB50" s="56"/>
      <c r="DC50" s="56"/>
      <c r="DD50" s="56"/>
      <c r="DE50" s="55"/>
      <c r="DF50" s="55"/>
      <c r="DG50" s="55"/>
      <c r="DH50" s="55"/>
      <c r="DI50" s="55"/>
      <c r="DJ50" s="55"/>
      <c r="DK50" s="55"/>
      <c r="DL50" s="55"/>
      <c r="DM50" s="55"/>
      <c r="DN50" s="55"/>
      <c r="DO50" s="55"/>
      <c r="DP50" s="55"/>
      <c r="DQ50" s="55"/>
      <c r="DR50" s="55"/>
      <c r="DS50" s="55"/>
      <c r="DT50" s="55"/>
      <c r="DU50" s="55"/>
      <c r="DV50" s="55"/>
      <c r="DW50" s="55"/>
      <c r="DX50" s="55"/>
      <c r="DY50" s="55"/>
      <c r="DZ50" s="55"/>
      <c r="EA50" s="55"/>
      <c r="EB50" s="55"/>
      <c r="EC50" s="55"/>
      <c r="ED50" s="55"/>
      <c r="EE50" s="56"/>
      <c r="EF50" s="56"/>
      <c r="EG50" s="56"/>
      <c r="EH50" s="56"/>
      <c r="EI50" s="56"/>
      <c r="EJ50" s="56"/>
      <c r="EK50" s="56"/>
      <c r="EL50" s="56"/>
      <c r="EM50" s="56"/>
      <c r="EN50" s="56"/>
      <c r="EO50" s="56"/>
      <c r="EP50" s="56"/>
      <c r="EQ50" s="56"/>
      <c r="ER50" s="56"/>
      <c r="ES50" s="56"/>
      <c r="ET50" s="56"/>
      <c r="EU50" s="56"/>
      <c r="EV50" s="56"/>
      <c r="EW50" s="56"/>
      <c r="EX50" s="56"/>
      <c r="EY50" s="56"/>
      <c r="EZ50" s="56"/>
      <c r="FA50" s="56"/>
      <c r="FB50" s="56"/>
      <c r="FC50" s="56"/>
      <c r="FD50" s="56"/>
      <c r="FE50" s="56"/>
      <c r="FF50" s="56"/>
      <c r="FG50" s="56"/>
      <c r="FH50" s="56"/>
      <c r="FI50" s="56"/>
      <c r="FJ50" s="56"/>
      <c r="FK50" s="56"/>
      <c r="FL50" s="56"/>
      <c r="FM50" s="56"/>
      <c r="FN50" s="56"/>
    </row>
    <row r="51" spans="1:170" s="2" customFormat="1" ht="18" customHeight="1">
      <c r="A51" s="1976"/>
      <c r="B51" s="204"/>
      <c r="C51" s="101"/>
      <c r="D51" s="1"/>
      <c r="E51" s="183"/>
      <c r="F51" s="183"/>
      <c r="G51" s="1"/>
      <c r="H51" s="184"/>
      <c r="I51" s="188"/>
      <c r="J51" s="189"/>
      <c r="K51" s="189"/>
      <c r="L51" s="189"/>
      <c r="M51" s="190"/>
      <c r="N51" s="191"/>
      <c r="O51" s="128"/>
      <c r="P51" s="14">
        <v>0</v>
      </c>
      <c r="Q51" s="392">
        <v>1</v>
      </c>
      <c r="R51" s="14">
        <v>0</v>
      </c>
      <c r="S51" s="379"/>
      <c r="T51" s="243"/>
      <c r="U51" s="147"/>
      <c r="V51" s="27"/>
      <c r="W51" s="138"/>
      <c r="X51" s="163"/>
      <c r="Y51" s="27"/>
      <c r="Z51" s="138"/>
      <c r="AA51" s="138"/>
      <c r="AB51" s="36"/>
      <c r="AC51" s="147"/>
      <c r="AD51" s="147"/>
      <c r="AE51" s="36"/>
      <c r="AF51" s="36"/>
      <c r="AG51" s="36"/>
      <c r="AH51" s="36"/>
      <c r="AI51" s="36"/>
      <c r="AJ51" s="36"/>
      <c r="AK51" s="36"/>
      <c r="AL51" s="36"/>
      <c r="AM51" s="1"/>
      <c r="AN51" s="86"/>
      <c r="AO51" s="86"/>
      <c r="AR51" s="56"/>
      <c r="AS51" s="56"/>
      <c r="AT51" s="56"/>
      <c r="AU51" s="56"/>
      <c r="AV51" s="56"/>
      <c r="AW51" s="56"/>
      <c r="AX51" s="56"/>
      <c r="AY51" s="56"/>
      <c r="AZ51" s="56"/>
      <c r="BA51" s="56"/>
      <c r="BB51" s="56"/>
      <c r="BC51" s="56"/>
      <c r="BD51" s="56"/>
      <c r="BE51" s="56"/>
      <c r="BF51" s="56"/>
      <c r="BG51" s="56"/>
      <c r="BH51" s="56"/>
      <c r="BI51" s="56"/>
      <c r="BJ51" s="56"/>
      <c r="BK51" s="56"/>
      <c r="BL51" s="56"/>
      <c r="BM51" s="56"/>
      <c r="BN51" s="56"/>
      <c r="BO51" s="56"/>
      <c r="BP51" s="56"/>
      <c r="BQ51" s="56"/>
      <c r="BR51" s="56"/>
      <c r="BS51" s="56"/>
      <c r="BT51" s="56"/>
      <c r="BU51" s="56"/>
      <c r="BV51" s="56"/>
      <c r="BW51" s="56"/>
      <c r="BX51" s="56"/>
      <c r="BY51" s="56"/>
      <c r="BZ51" s="56"/>
      <c r="CA51" s="56"/>
      <c r="CB51" s="56"/>
      <c r="CC51" s="56"/>
      <c r="CD51" s="56"/>
      <c r="CE51" s="56"/>
      <c r="CF51" s="56"/>
      <c r="CG51" s="56"/>
      <c r="CH51" s="56"/>
      <c r="CI51" s="56"/>
      <c r="CJ51" s="56"/>
      <c r="CK51" s="56"/>
      <c r="CL51" s="56"/>
      <c r="CM51" s="56"/>
      <c r="CN51" s="56"/>
      <c r="CO51" s="56"/>
      <c r="CP51" s="56"/>
      <c r="CQ51" s="56"/>
      <c r="CR51" s="56"/>
      <c r="CS51" s="56"/>
      <c r="CT51" s="56"/>
      <c r="CU51" s="56"/>
      <c r="CV51" s="56"/>
      <c r="CW51" s="56"/>
      <c r="CX51" s="56"/>
      <c r="CY51" s="56"/>
      <c r="CZ51" s="56"/>
      <c r="DA51" s="56"/>
      <c r="DB51" s="56"/>
      <c r="DC51" s="56"/>
      <c r="DD51" s="56"/>
      <c r="DE51" s="55"/>
      <c r="DF51" s="55"/>
      <c r="DG51" s="55"/>
      <c r="DH51" s="55"/>
      <c r="DI51" s="55"/>
      <c r="DJ51" s="55"/>
      <c r="DK51" s="55"/>
      <c r="DL51" s="55"/>
      <c r="DM51" s="55"/>
      <c r="DN51" s="55"/>
      <c r="DO51" s="55"/>
      <c r="DP51" s="55"/>
      <c r="DQ51" s="55"/>
      <c r="DR51" s="55"/>
      <c r="DS51" s="55"/>
      <c r="DT51" s="55"/>
      <c r="DU51" s="55"/>
      <c r="DV51" s="55"/>
      <c r="DW51" s="55"/>
      <c r="DX51" s="55"/>
      <c r="DY51" s="55"/>
      <c r="DZ51" s="55"/>
      <c r="EA51" s="55"/>
      <c r="EB51" s="55"/>
      <c r="EC51" s="55"/>
      <c r="ED51" s="55"/>
      <c r="EE51" s="56"/>
      <c r="EF51" s="56"/>
      <c r="EG51" s="56"/>
      <c r="EH51" s="56"/>
      <c r="EI51" s="56"/>
      <c r="EJ51" s="56"/>
      <c r="EK51" s="56"/>
      <c r="EL51" s="56"/>
      <c r="EM51" s="56"/>
      <c r="EN51" s="56"/>
      <c r="EO51" s="56"/>
      <c r="EP51" s="56"/>
      <c r="EQ51" s="56"/>
      <c r="ER51" s="56"/>
      <c r="ES51" s="56"/>
      <c r="ET51" s="56"/>
      <c r="EU51" s="56"/>
      <c r="EV51" s="56"/>
      <c r="EW51" s="56"/>
      <c r="EX51" s="56"/>
      <c r="EY51" s="56"/>
      <c r="EZ51" s="56"/>
      <c r="FA51" s="56"/>
      <c r="FB51" s="56"/>
      <c r="FC51" s="56"/>
      <c r="FD51" s="56"/>
      <c r="FE51" s="56"/>
      <c r="FF51" s="56"/>
      <c r="FG51" s="56"/>
      <c r="FH51" s="56"/>
      <c r="FI51" s="56"/>
      <c r="FJ51" s="56"/>
      <c r="FK51" s="56"/>
      <c r="FL51" s="56"/>
      <c r="FM51" s="56"/>
      <c r="FN51" s="56"/>
    </row>
    <row r="52" spans="1:170" s="2" customFormat="1" ht="18" customHeight="1">
      <c r="A52" s="1976"/>
      <c r="B52" s="204"/>
      <c r="C52" s="14" t="str">
        <f>Begriffe!F83</f>
        <v>Nutzungsstunden pro Tag</v>
      </c>
      <c r="D52" s="498"/>
      <c r="E52" s="487"/>
      <c r="F52" s="487"/>
      <c r="G52" s="487"/>
      <c r="H52" s="500"/>
      <c r="I52" s="672" t="s">
        <v>947</v>
      </c>
      <c r="J52" s="678" t="s">
        <v>15</v>
      </c>
      <c r="K52" s="377"/>
      <c r="L52" s="510"/>
      <c r="M52" s="394">
        <f>IF(L52&lt;&gt;"",L52,Profile!$C$62)</f>
        <v>17</v>
      </c>
      <c r="N52" s="523"/>
      <c r="O52" s="441"/>
      <c r="P52" s="14">
        <v>1</v>
      </c>
      <c r="Q52" s="392">
        <v>1</v>
      </c>
      <c r="R52" s="14">
        <v>0</v>
      </c>
      <c r="S52" s="379"/>
      <c r="T52" s="243" t="s">
        <v>261</v>
      </c>
      <c r="U52" s="147"/>
      <c r="V52" s="27"/>
      <c r="W52" s="138"/>
      <c r="X52" s="163"/>
      <c r="Y52" s="27"/>
      <c r="Z52" s="138"/>
      <c r="AA52" s="138"/>
      <c r="AB52" s="36"/>
      <c r="AC52" s="147"/>
      <c r="AD52" s="147"/>
      <c r="AE52" s="36"/>
      <c r="AF52" s="36"/>
      <c r="AG52" s="36"/>
      <c r="AH52" s="36"/>
      <c r="AI52" s="36"/>
      <c r="AJ52" s="36"/>
      <c r="AK52" s="36"/>
      <c r="AL52" s="36"/>
      <c r="AM52" s="1"/>
      <c r="AN52" s="86"/>
      <c r="AO52" s="86"/>
      <c r="AR52" s="56"/>
      <c r="AS52" s="56"/>
      <c r="AT52" s="56"/>
      <c r="AU52" s="56"/>
      <c r="AV52" s="56"/>
      <c r="AW52" s="56"/>
      <c r="AX52" s="56"/>
      <c r="AY52" s="56"/>
      <c r="AZ52" s="56"/>
      <c r="BA52" s="56"/>
      <c r="BB52" s="56"/>
      <c r="BC52" s="56"/>
      <c r="BD52" s="56"/>
      <c r="BE52" s="56"/>
      <c r="BF52" s="56"/>
      <c r="BG52" s="56"/>
      <c r="BH52" s="56"/>
      <c r="BI52" s="56"/>
      <c r="BJ52" s="56"/>
      <c r="BK52" s="56"/>
      <c r="BL52" s="56"/>
      <c r="BM52" s="56"/>
      <c r="BN52" s="56"/>
      <c r="BO52" s="56"/>
      <c r="BP52" s="56"/>
      <c r="BQ52" s="56"/>
      <c r="BR52" s="56"/>
      <c r="BS52" s="56"/>
      <c r="BT52" s="56"/>
      <c r="BU52" s="56"/>
      <c r="BV52" s="56"/>
      <c r="BW52" s="56"/>
      <c r="BX52" s="56"/>
      <c r="BY52" s="56"/>
      <c r="BZ52" s="56"/>
      <c r="CA52" s="56"/>
      <c r="CB52" s="56"/>
      <c r="CC52" s="56"/>
      <c r="CD52" s="56"/>
      <c r="CE52" s="56"/>
      <c r="CF52" s="56"/>
      <c r="CG52" s="56"/>
      <c r="CH52" s="56"/>
      <c r="CI52" s="56"/>
      <c r="CJ52" s="56"/>
      <c r="CK52" s="56"/>
      <c r="CL52" s="56"/>
      <c r="CM52" s="56"/>
      <c r="CN52" s="56"/>
      <c r="CO52" s="56"/>
      <c r="CP52" s="56"/>
      <c r="CQ52" s="56"/>
      <c r="CR52" s="56"/>
      <c r="CS52" s="56"/>
      <c r="CT52" s="56"/>
      <c r="CU52" s="56"/>
      <c r="CV52" s="56"/>
      <c r="CW52" s="56"/>
      <c r="CX52" s="56"/>
      <c r="CY52" s="56"/>
      <c r="CZ52" s="56"/>
      <c r="DA52" s="56"/>
      <c r="DB52" s="56"/>
      <c r="DC52" s="56"/>
      <c r="DD52" s="56"/>
      <c r="DE52" s="55"/>
      <c r="DF52" s="55"/>
      <c r="DG52" s="55"/>
      <c r="DH52" s="55"/>
      <c r="DI52" s="55"/>
      <c r="DJ52" s="55"/>
      <c r="DK52" s="55"/>
      <c r="DL52" s="55"/>
      <c r="DM52" s="55"/>
      <c r="DN52" s="55"/>
      <c r="DO52" s="55"/>
      <c r="DP52" s="55"/>
      <c r="DQ52" s="55"/>
      <c r="DR52" s="55"/>
      <c r="DS52" s="55"/>
      <c r="DT52" s="55"/>
      <c r="DU52" s="55"/>
      <c r="DV52" s="55"/>
      <c r="DW52" s="55"/>
      <c r="DX52" s="55"/>
      <c r="DY52" s="55"/>
      <c r="DZ52" s="55"/>
      <c r="EA52" s="55"/>
      <c r="EB52" s="55"/>
      <c r="EC52" s="55"/>
      <c r="ED52" s="55"/>
      <c r="EE52" s="56"/>
      <c r="EF52" s="56"/>
      <c r="EG52" s="56"/>
      <c r="EH52" s="56"/>
      <c r="EI52" s="56"/>
      <c r="EJ52" s="56"/>
      <c r="EK52" s="56"/>
      <c r="EL52" s="56"/>
      <c r="EM52" s="56"/>
      <c r="EN52" s="56"/>
      <c r="EO52" s="56"/>
      <c r="EP52" s="56"/>
      <c r="EQ52" s="56"/>
      <c r="ER52" s="56"/>
      <c r="ES52" s="56"/>
      <c r="ET52" s="56"/>
      <c r="EU52" s="56"/>
      <c r="EV52" s="56"/>
      <c r="EW52" s="56"/>
      <c r="EX52" s="56"/>
      <c r="EY52" s="56"/>
      <c r="EZ52" s="56"/>
      <c r="FA52" s="56"/>
      <c r="FB52" s="56"/>
      <c r="FC52" s="56"/>
      <c r="FD52" s="56"/>
      <c r="FE52" s="56"/>
      <c r="FF52" s="56"/>
      <c r="FG52" s="56"/>
      <c r="FH52" s="56"/>
      <c r="FI52" s="56"/>
      <c r="FJ52" s="56"/>
      <c r="FK52" s="56"/>
      <c r="FL52" s="56"/>
      <c r="FM52" s="56"/>
      <c r="FN52" s="56"/>
    </row>
    <row r="53" spans="1:170" s="2" customFormat="1" ht="18" customHeight="1">
      <c r="A53" s="1976"/>
      <c r="B53" s="204"/>
      <c r="C53" s="14" t="str">
        <f>Begriffe!F113</f>
        <v>Volllaststunden pro Tag</v>
      </c>
      <c r="D53" s="498"/>
      <c r="E53" s="487"/>
      <c r="F53" s="487"/>
      <c r="G53" s="487"/>
      <c r="H53" s="14"/>
      <c r="I53" s="98" t="s">
        <v>948</v>
      </c>
      <c r="J53" s="377" t="s">
        <v>15</v>
      </c>
      <c r="K53" s="377"/>
      <c r="L53" s="510"/>
      <c r="M53" s="394">
        <f>IF(L53&lt;&gt;"",L53,Profile!$B$62)</f>
        <v>14.000000000000002</v>
      </c>
      <c r="N53" s="524"/>
      <c r="O53" s="466"/>
      <c r="P53" s="14">
        <v>1</v>
      </c>
      <c r="Q53" s="392">
        <v>1</v>
      </c>
      <c r="R53" s="14">
        <v>1</v>
      </c>
      <c r="S53" s="379"/>
      <c r="T53" s="243" t="s">
        <v>261</v>
      </c>
      <c r="U53" s="147"/>
      <c r="V53" s="27"/>
      <c r="W53" s="138"/>
      <c r="X53" s="163"/>
      <c r="Y53" s="27"/>
      <c r="Z53" s="138"/>
      <c r="AA53" s="138"/>
      <c r="AB53" s="36"/>
      <c r="AC53" s="147"/>
      <c r="AD53" s="147"/>
      <c r="AE53" s="36"/>
      <c r="AF53" s="36"/>
      <c r="AG53" s="36"/>
      <c r="AH53" s="36"/>
      <c r="AI53" s="36"/>
      <c r="AJ53" s="36"/>
      <c r="AK53" s="36"/>
      <c r="AL53" s="36"/>
      <c r="AM53" s="1"/>
      <c r="AN53" s="86"/>
      <c r="AO53" s="86"/>
      <c r="AR53" s="56"/>
      <c r="AS53" s="56"/>
      <c r="AT53" s="56"/>
      <c r="AU53" s="56"/>
      <c r="AV53" s="56"/>
      <c r="AW53" s="56"/>
      <c r="AX53" s="56"/>
      <c r="AY53" s="56"/>
      <c r="AZ53" s="56"/>
      <c r="BA53" s="56"/>
      <c r="BB53" s="56"/>
      <c r="BC53" s="56"/>
      <c r="BD53" s="56"/>
      <c r="BE53" s="56"/>
      <c r="BF53" s="56"/>
      <c r="BG53" s="56"/>
      <c r="BH53" s="56"/>
      <c r="BI53" s="56"/>
      <c r="BJ53" s="56"/>
      <c r="BK53" s="56"/>
      <c r="BL53" s="56"/>
      <c r="BM53" s="56"/>
      <c r="BN53" s="56"/>
      <c r="BO53" s="56"/>
      <c r="BP53" s="56"/>
      <c r="BQ53" s="56"/>
      <c r="BR53" s="56"/>
      <c r="BS53" s="56"/>
      <c r="BT53" s="56"/>
      <c r="BU53" s="56"/>
      <c r="BV53" s="56"/>
      <c r="BW53" s="56"/>
      <c r="BX53" s="56"/>
      <c r="BY53" s="56"/>
      <c r="BZ53" s="56"/>
      <c r="CA53" s="56"/>
      <c r="CB53" s="56"/>
      <c r="CC53" s="56"/>
      <c r="CD53" s="56"/>
      <c r="CE53" s="56"/>
      <c r="CF53" s="56"/>
      <c r="CG53" s="56"/>
      <c r="CH53" s="56"/>
      <c r="CI53" s="56"/>
      <c r="CJ53" s="56"/>
      <c r="CK53" s="56"/>
      <c r="CL53" s="56"/>
      <c r="CM53" s="56"/>
      <c r="CN53" s="56"/>
      <c r="CO53" s="56"/>
      <c r="CP53" s="56"/>
      <c r="CQ53" s="56"/>
      <c r="CR53" s="56"/>
      <c r="CS53" s="56"/>
      <c r="CT53" s="56"/>
      <c r="CU53" s="56"/>
      <c r="CV53" s="56"/>
      <c r="CW53" s="56"/>
      <c r="CX53" s="56"/>
      <c r="CY53" s="56"/>
      <c r="CZ53" s="56"/>
      <c r="DA53" s="56"/>
      <c r="DB53" s="56"/>
      <c r="DC53" s="56"/>
      <c r="DD53" s="56"/>
      <c r="DE53" s="55"/>
      <c r="DF53" s="55"/>
      <c r="DG53" s="55"/>
      <c r="DH53" s="55"/>
      <c r="DI53" s="55"/>
      <c r="DJ53" s="55"/>
      <c r="DK53" s="55"/>
      <c r="DL53" s="55"/>
      <c r="DM53" s="55"/>
      <c r="DN53" s="55"/>
      <c r="DO53" s="55"/>
      <c r="DP53" s="55"/>
      <c r="DQ53" s="55"/>
      <c r="DR53" s="55"/>
      <c r="DS53" s="55"/>
      <c r="DT53" s="55"/>
      <c r="DU53" s="55"/>
      <c r="DV53" s="55"/>
      <c r="DW53" s="55"/>
      <c r="DX53" s="55"/>
      <c r="DY53" s="55"/>
      <c r="DZ53" s="55"/>
      <c r="EA53" s="55"/>
      <c r="EB53" s="55"/>
      <c r="EC53" s="55"/>
      <c r="ED53" s="55"/>
      <c r="EE53" s="56"/>
      <c r="EF53" s="56"/>
      <c r="EG53" s="56"/>
      <c r="EH53" s="56"/>
      <c r="EI53" s="56"/>
      <c r="EJ53" s="56"/>
      <c r="EK53" s="56"/>
      <c r="EL53" s="56"/>
      <c r="EM53" s="56"/>
      <c r="EN53" s="56"/>
      <c r="EO53" s="56"/>
      <c r="EP53" s="56"/>
      <c r="EQ53" s="56"/>
      <c r="ER53" s="56"/>
      <c r="ES53" s="56"/>
      <c r="ET53" s="56"/>
      <c r="EU53" s="56"/>
      <c r="EV53" s="56"/>
      <c r="EW53" s="56"/>
      <c r="EX53" s="56"/>
      <c r="EY53" s="56"/>
      <c r="EZ53" s="56"/>
      <c r="FA53" s="56"/>
      <c r="FB53" s="56"/>
      <c r="FC53" s="56"/>
      <c r="FD53" s="56"/>
      <c r="FE53" s="56"/>
      <c r="FF53" s="56"/>
      <c r="FG53" s="56"/>
      <c r="FH53" s="56"/>
      <c r="FI53" s="56"/>
      <c r="FJ53" s="56"/>
      <c r="FK53" s="56"/>
      <c r="FL53" s="56"/>
      <c r="FM53" s="56"/>
      <c r="FN53" s="56"/>
    </row>
    <row r="54" spans="1:170" s="2" customFormat="1" ht="18" customHeight="1">
      <c r="A54" s="1976"/>
      <c r="B54" s="204"/>
      <c r="C54" s="14" t="str">
        <f>Begriffe!F99</f>
        <v>Ruhetage pro Woche</v>
      </c>
      <c r="D54" s="498"/>
      <c r="E54" s="487"/>
      <c r="F54" s="487"/>
      <c r="G54" s="487"/>
      <c r="H54" s="14"/>
      <c r="I54" s="98" t="s">
        <v>949</v>
      </c>
      <c r="J54" s="377" t="s">
        <v>35</v>
      </c>
      <c r="K54" s="377"/>
      <c r="L54" s="512"/>
      <c r="M54" s="443">
        <f>IF(L54&lt;&gt;"",L54,INDEX(Eingabedaten!$D$9:$GP$53,nutzid,MATCH(C54,Eingabedaten!$D$6:$GP$6,0)))</f>
        <v>0</v>
      </c>
      <c r="N54" s="525"/>
      <c r="O54" s="394"/>
      <c r="P54" s="14">
        <v>0</v>
      </c>
      <c r="Q54" s="392">
        <v>1</v>
      </c>
      <c r="R54" s="14">
        <v>0</v>
      </c>
      <c r="S54" s="379"/>
      <c r="T54" s="243"/>
      <c r="U54" s="147"/>
      <c r="V54" s="27"/>
      <c r="W54" s="138"/>
      <c r="X54" s="163"/>
      <c r="Y54" s="27"/>
      <c r="Z54" s="138"/>
      <c r="AA54" s="138"/>
      <c r="AB54" s="36"/>
      <c r="AC54" s="147"/>
      <c r="AD54" s="147"/>
      <c r="AE54" s="36"/>
      <c r="AF54" s="36"/>
      <c r="AG54" s="36"/>
      <c r="AH54" s="36"/>
      <c r="AI54" s="36"/>
      <c r="AJ54" s="36"/>
      <c r="AK54" s="36"/>
      <c r="AL54" s="36"/>
      <c r="AM54" s="1"/>
      <c r="AN54" s="86"/>
      <c r="AO54" s="8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6"/>
      <c r="CE54" s="56"/>
      <c r="CF54" s="56"/>
      <c r="CG54" s="56"/>
      <c r="CH54" s="56"/>
      <c r="CI54" s="56"/>
      <c r="CJ54" s="56"/>
      <c r="CK54" s="56"/>
      <c r="CL54" s="56"/>
      <c r="CM54" s="56"/>
      <c r="CN54" s="56"/>
      <c r="CO54" s="56"/>
      <c r="CP54" s="56"/>
      <c r="CQ54" s="56"/>
      <c r="CR54" s="56"/>
      <c r="CS54" s="56"/>
      <c r="CT54" s="56"/>
      <c r="CU54" s="56"/>
      <c r="CV54" s="56"/>
      <c r="CW54" s="56"/>
      <c r="CX54" s="56"/>
      <c r="CY54" s="56"/>
      <c r="CZ54" s="56"/>
      <c r="DA54" s="56"/>
      <c r="DB54" s="56"/>
      <c r="DC54" s="56"/>
      <c r="DD54" s="56"/>
      <c r="DE54" s="55"/>
      <c r="DF54" s="55"/>
      <c r="DG54" s="55"/>
      <c r="DH54" s="55"/>
      <c r="DI54" s="55"/>
      <c r="DJ54" s="55"/>
      <c r="DK54" s="55"/>
      <c r="DL54" s="55"/>
      <c r="DM54" s="55"/>
      <c r="DN54" s="55"/>
      <c r="DO54" s="55"/>
      <c r="DP54" s="55"/>
      <c r="DQ54" s="55"/>
      <c r="DR54" s="55"/>
      <c r="DS54" s="55"/>
      <c r="DT54" s="55"/>
      <c r="DU54" s="55"/>
      <c r="DV54" s="55"/>
      <c r="DW54" s="55"/>
      <c r="DX54" s="55"/>
      <c r="DY54" s="55"/>
      <c r="DZ54" s="55"/>
      <c r="EA54" s="55"/>
      <c r="EB54" s="55"/>
      <c r="EC54" s="55"/>
      <c r="ED54" s="55"/>
      <c r="EE54" s="56"/>
      <c r="EF54" s="56"/>
      <c r="EG54" s="56"/>
      <c r="EH54" s="56"/>
      <c r="EI54" s="56"/>
      <c r="EJ54" s="56"/>
      <c r="EK54" s="56"/>
      <c r="EL54" s="56"/>
      <c r="EM54" s="56"/>
      <c r="EN54" s="56"/>
      <c r="EO54" s="56"/>
      <c r="EP54" s="56"/>
      <c r="EQ54" s="56"/>
      <c r="ER54" s="56"/>
      <c r="ES54" s="56"/>
      <c r="ET54" s="56"/>
      <c r="EU54" s="56"/>
      <c r="EV54" s="56"/>
      <c r="EW54" s="56"/>
      <c r="EX54" s="56"/>
      <c r="EY54" s="56"/>
      <c r="EZ54" s="56"/>
      <c r="FA54" s="56"/>
      <c r="FB54" s="56"/>
      <c r="FC54" s="56"/>
      <c r="FD54" s="56"/>
      <c r="FE54" s="56"/>
      <c r="FF54" s="56"/>
      <c r="FG54" s="56"/>
      <c r="FH54" s="56"/>
      <c r="FI54" s="56"/>
      <c r="FJ54" s="56"/>
      <c r="FK54" s="56"/>
      <c r="FL54" s="56"/>
      <c r="FM54" s="56"/>
      <c r="FN54" s="56"/>
    </row>
    <row r="55" spans="1:170" s="2" customFormat="1" ht="18" customHeight="1">
      <c r="A55" s="1976"/>
      <c r="B55" s="204"/>
      <c r="C55" s="14" t="str">
        <f>Begriffe!F85</f>
        <v>Nutzungstage pro Jahr</v>
      </c>
      <c r="D55" s="498"/>
      <c r="E55" s="487"/>
      <c r="F55" s="487"/>
      <c r="G55" s="487"/>
      <c r="H55" s="14"/>
      <c r="I55" s="98" t="s">
        <v>950</v>
      </c>
      <c r="J55" s="377" t="s">
        <v>35</v>
      </c>
      <c r="K55" s="377"/>
      <c r="L55" s="514"/>
      <c r="M55" s="443">
        <f>365-52*M54</f>
        <v>365</v>
      </c>
      <c r="N55" s="526"/>
      <c r="O55" s="394"/>
      <c r="P55" s="14">
        <v>1</v>
      </c>
      <c r="Q55" s="392">
        <v>1</v>
      </c>
      <c r="R55" s="14">
        <v>0</v>
      </c>
      <c r="S55" s="379"/>
      <c r="T55" s="243"/>
      <c r="U55" s="147"/>
      <c r="V55" s="27"/>
      <c r="W55" s="138"/>
      <c r="X55" s="163"/>
      <c r="Y55" s="27"/>
      <c r="Z55" s="138"/>
      <c r="AA55" s="138"/>
      <c r="AB55" s="36"/>
      <c r="AC55" s="147"/>
      <c r="AD55" s="147"/>
      <c r="AE55" s="36"/>
      <c r="AF55" s="36"/>
      <c r="AG55" s="36"/>
      <c r="AH55" s="36"/>
      <c r="AI55" s="36"/>
      <c r="AJ55" s="36"/>
      <c r="AK55" s="36"/>
      <c r="AL55" s="36"/>
      <c r="AM55" s="1"/>
      <c r="AN55" s="86"/>
      <c r="AO55" s="86"/>
      <c r="AR55" s="56"/>
      <c r="AS55" s="56"/>
      <c r="AT55" s="56"/>
      <c r="AU55" s="56"/>
      <c r="AV55" s="56"/>
      <c r="AW55" s="56"/>
      <c r="AX55" s="56"/>
      <c r="AY55" s="56"/>
      <c r="AZ55" s="56"/>
      <c r="BA55" s="56"/>
      <c r="BB55" s="56"/>
      <c r="BC55" s="56"/>
      <c r="BD55" s="56"/>
      <c r="BE55" s="56"/>
      <c r="BF55" s="56"/>
      <c r="BG55" s="56"/>
      <c r="BH55" s="56"/>
      <c r="BI55" s="56"/>
      <c r="BJ55" s="56"/>
      <c r="BK55" s="56"/>
      <c r="BL55" s="56"/>
      <c r="BM55" s="56"/>
      <c r="BN55" s="56"/>
      <c r="BO55" s="56"/>
      <c r="BP55" s="56"/>
      <c r="BQ55" s="56"/>
      <c r="BR55" s="56"/>
      <c r="BS55" s="56"/>
      <c r="BT55" s="56"/>
      <c r="BU55" s="56"/>
      <c r="BV55" s="56"/>
      <c r="BW55" s="56"/>
      <c r="BX55" s="56"/>
      <c r="BY55" s="56"/>
      <c r="BZ55" s="56"/>
      <c r="CA55" s="56"/>
      <c r="CB55" s="56"/>
      <c r="CC55" s="56"/>
      <c r="CD55" s="56"/>
      <c r="CE55" s="56"/>
      <c r="CF55" s="56"/>
      <c r="CG55" s="56"/>
      <c r="CH55" s="56"/>
      <c r="CI55" s="56"/>
      <c r="CJ55" s="56"/>
      <c r="CK55" s="56"/>
      <c r="CL55" s="56"/>
      <c r="CM55" s="56"/>
      <c r="CN55" s="56"/>
      <c r="CO55" s="56"/>
      <c r="CP55" s="56"/>
      <c r="CQ55" s="56"/>
      <c r="CR55" s="56"/>
      <c r="CS55" s="56"/>
      <c r="CT55" s="56"/>
      <c r="CU55" s="56"/>
      <c r="CV55" s="56"/>
      <c r="CW55" s="56"/>
      <c r="CX55" s="56"/>
      <c r="CY55" s="56"/>
      <c r="CZ55" s="56"/>
      <c r="DA55" s="56"/>
      <c r="DB55" s="56"/>
      <c r="DC55" s="56"/>
      <c r="DD55" s="56"/>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c r="EC55" s="55"/>
      <c r="ED55" s="55"/>
      <c r="EE55" s="56"/>
      <c r="EF55" s="56"/>
      <c r="EG55" s="56"/>
      <c r="EH55" s="56"/>
      <c r="EI55" s="56"/>
      <c r="EJ55" s="56"/>
      <c r="EK55" s="56"/>
      <c r="EL55" s="56"/>
      <c r="EM55" s="56"/>
      <c r="EN55" s="56"/>
      <c r="EO55" s="56"/>
      <c r="EP55" s="56"/>
      <c r="EQ55" s="56"/>
      <c r="ER55" s="56"/>
      <c r="ES55" s="56"/>
      <c r="ET55" s="56"/>
      <c r="EU55" s="56"/>
      <c r="EV55" s="56"/>
      <c r="EW55" s="56"/>
      <c r="EX55" s="56"/>
      <c r="EY55" s="56"/>
      <c r="EZ55" s="56"/>
      <c r="FA55" s="56"/>
      <c r="FB55" s="56"/>
      <c r="FC55" s="56"/>
      <c r="FD55" s="56"/>
      <c r="FE55" s="56"/>
      <c r="FF55" s="56"/>
      <c r="FG55" s="56"/>
      <c r="FH55" s="56"/>
      <c r="FI55" s="56"/>
      <c r="FJ55" s="56"/>
      <c r="FK55" s="56"/>
      <c r="FL55" s="56"/>
      <c r="FM55" s="56"/>
      <c r="FN55" s="56"/>
    </row>
    <row r="56" spans="1:170" s="2" customFormat="1" ht="18" customHeight="1">
      <c r="A56" s="1976"/>
      <c r="B56" s="204"/>
      <c r="C56" s="14" t="str">
        <f>Begriffe!F52</f>
        <v>Jahresgleichzeitigkeit</v>
      </c>
      <c r="D56" s="498"/>
      <c r="E56" s="487"/>
      <c r="F56" s="487"/>
      <c r="G56" s="487"/>
      <c r="H56" s="680"/>
      <c r="I56" s="98" t="s">
        <v>951</v>
      </c>
      <c r="J56" s="377" t="s">
        <v>16</v>
      </c>
      <c r="K56" s="377"/>
      <c r="L56" s="513"/>
      <c r="M56" s="682">
        <f>IF(L56&lt;&gt;"",L56,INDEX(Eingabedaten!$GA$9:$GH$53,nutzid,MATCH(C56,Eingabedaten!$GA$6:$GH$6,0)))</f>
        <v>0.80000000000000016</v>
      </c>
      <c r="N56" s="394"/>
      <c r="O56" s="394"/>
      <c r="P56" s="14">
        <v>1</v>
      </c>
      <c r="Q56" s="392">
        <v>1</v>
      </c>
      <c r="R56" s="14">
        <v>0</v>
      </c>
      <c r="S56" s="379"/>
      <c r="T56" s="243"/>
      <c r="U56" s="147"/>
      <c r="V56" s="27"/>
      <c r="W56" s="138"/>
      <c r="X56" s="163"/>
      <c r="Y56" s="27"/>
      <c r="Z56" s="138"/>
      <c r="AA56" s="138"/>
      <c r="AB56" s="36"/>
      <c r="AC56" s="147"/>
      <c r="AD56" s="147"/>
      <c r="AE56" s="36"/>
      <c r="AF56" s="36"/>
      <c r="AG56" s="36"/>
      <c r="AH56" s="36"/>
      <c r="AI56" s="36"/>
      <c r="AJ56" s="36"/>
      <c r="AK56" s="36"/>
      <c r="AL56" s="36"/>
      <c r="AM56" s="1"/>
      <c r="AN56" s="86"/>
      <c r="AO56" s="86"/>
      <c r="AR56" s="56"/>
      <c r="AS56" s="56"/>
      <c r="AT56" s="56"/>
      <c r="AU56" s="56"/>
      <c r="AV56" s="56"/>
      <c r="AW56" s="56"/>
      <c r="AX56" s="56"/>
      <c r="AY56" s="56"/>
      <c r="AZ56" s="56"/>
      <c r="BA56" s="56"/>
      <c r="BB56" s="56"/>
      <c r="BC56" s="56"/>
      <c r="BD56" s="56"/>
      <c r="BE56" s="56"/>
      <c r="BF56" s="56"/>
      <c r="BG56" s="56"/>
      <c r="BH56" s="56"/>
      <c r="BI56" s="56"/>
      <c r="BJ56" s="56"/>
      <c r="BK56" s="56"/>
      <c r="BL56" s="56"/>
      <c r="BM56" s="56"/>
      <c r="BN56" s="56"/>
      <c r="BO56" s="56"/>
      <c r="BP56" s="56"/>
      <c r="BQ56" s="56"/>
      <c r="BR56" s="56"/>
      <c r="BS56" s="56"/>
      <c r="BT56" s="56"/>
      <c r="BU56" s="56"/>
      <c r="BV56" s="56"/>
      <c r="BW56" s="56"/>
      <c r="BX56" s="56"/>
      <c r="BY56" s="56"/>
      <c r="BZ56" s="56"/>
      <c r="CA56" s="56"/>
      <c r="CB56" s="56"/>
      <c r="CC56" s="56"/>
      <c r="CD56" s="56"/>
      <c r="CE56" s="56"/>
      <c r="CF56" s="56"/>
      <c r="CG56" s="56"/>
      <c r="CH56" s="56"/>
      <c r="CI56" s="56"/>
      <c r="CJ56" s="56"/>
      <c r="CK56" s="56"/>
      <c r="CL56" s="56"/>
      <c r="CM56" s="56"/>
      <c r="CN56" s="56"/>
      <c r="CO56" s="56"/>
      <c r="CP56" s="56"/>
      <c r="CQ56" s="56"/>
      <c r="CR56" s="56"/>
      <c r="CS56" s="56"/>
      <c r="CT56" s="56"/>
      <c r="CU56" s="56"/>
      <c r="CV56" s="56"/>
      <c r="CW56" s="56"/>
      <c r="CX56" s="56"/>
      <c r="CY56" s="56"/>
      <c r="CZ56" s="56"/>
      <c r="DA56" s="56"/>
      <c r="DB56" s="56"/>
      <c r="DC56" s="56"/>
      <c r="DD56" s="56"/>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c r="EC56" s="55"/>
      <c r="ED56" s="55"/>
      <c r="EE56" s="56"/>
      <c r="EF56" s="56"/>
      <c r="EG56" s="56"/>
      <c r="EH56" s="56"/>
      <c r="EI56" s="56"/>
      <c r="EJ56" s="56"/>
      <c r="EK56" s="56"/>
      <c r="EL56" s="56"/>
      <c r="EM56" s="56"/>
      <c r="EN56" s="56"/>
      <c r="EO56" s="56"/>
      <c r="EP56" s="56"/>
      <c r="EQ56" s="56"/>
      <c r="ER56" s="56"/>
      <c r="ES56" s="56"/>
      <c r="ET56" s="56"/>
      <c r="EU56" s="56"/>
      <c r="EV56" s="56"/>
      <c r="EW56" s="56"/>
      <c r="EX56" s="56"/>
      <c r="EY56" s="56"/>
      <c r="EZ56" s="56"/>
      <c r="FA56" s="56"/>
      <c r="FB56" s="56"/>
      <c r="FC56" s="56"/>
      <c r="FD56" s="56"/>
      <c r="FE56" s="56"/>
      <c r="FF56" s="56"/>
      <c r="FG56" s="56"/>
      <c r="FH56" s="56"/>
      <c r="FI56" s="56"/>
      <c r="FJ56" s="56"/>
      <c r="FK56" s="56"/>
      <c r="FL56" s="56"/>
      <c r="FM56" s="56"/>
      <c r="FN56" s="56"/>
    </row>
    <row r="57" spans="1:170" s="2" customFormat="1" ht="18" customHeight="1">
      <c r="A57" s="1976"/>
      <c r="B57" s="204"/>
      <c r="C57" s="14" t="str">
        <f>Begriffe!F112</f>
        <v>Volllaststunden pro Jahr</v>
      </c>
      <c r="D57" s="498"/>
      <c r="E57" s="487"/>
      <c r="F57" s="487"/>
      <c r="G57" s="487"/>
      <c r="H57" s="14"/>
      <c r="I57" s="98" t="s">
        <v>952</v>
      </c>
      <c r="J57" s="377" t="s">
        <v>15</v>
      </c>
      <c r="K57" s="377"/>
      <c r="L57" s="514"/>
      <c r="M57" s="866">
        <f>ROUND(M53*M55*M56,-1)</f>
        <v>4090</v>
      </c>
      <c r="N57" s="394"/>
      <c r="O57" s="394"/>
      <c r="P57" s="14">
        <v>1</v>
      </c>
      <c r="Q57" s="392">
        <v>1</v>
      </c>
      <c r="R57" s="14">
        <v>0</v>
      </c>
      <c r="S57" s="379"/>
      <c r="T57" s="243"/>
      <c r="U57" s="147"/>
      <c r="V57" s="27"/>
      <c r="W57" s="138"/>
      <c r="X57" s="163"/>
      <c r="Y57" s="27"/>
      <c r="Z57" s="138"/>
      <c r="AA57" s="138"/>
      <c r="AB57" s="36"/>
      <c r="AC57" s="147"/>
      <c r="AD57" s="147"/>
      <c r="AE57" s="36"/>
      <c r="AF57" s="36"/>
      <c r="AG57" s="36"/>
      <c r="AH57" s="36"/>
      <c r="AI57" s="36"/>
      <c r="AJ57" s="36"/>
      <c r="AK57" s="36"/>
      <c r="AL57" s="36"/>
      <c r="AM57" s="1"/>
      <c r="AN57" s="86"/>
      <c r="AO57" s="86"/>
      <c r="AR57" s="56"/>
      <c r="AS57" s="56"/>
      <c r="AT57" s="56"/>
      <c r="AU57" s="56"/>
      <c r="AV57" s="56"/>
      <c r="AW57" s="56"/>
      <c r="AX57" s="56"/>
      <c r="AY57" s="56"/>
      <c r="AZ57" s="56"/>
      <c r="BA57" s="56"/>
      <c r="BB57" s="56"/>
      <c r="BC57" s="56"/>
      <c r="BD57" s="56"/>
      <c r="BE57" s="56"/>
      <c r="BF57" s="56"/>
      <c r="BG57" s="56"/>
      <c r="BH57" s="56"/>
      <c r="BI57" s="56"/>
      <c r="BJ57" s="56"/>
      <c r="BK57" s="56"/>
      <c r="BL57" s="56"/>
      <c r="BM57" s="56"/>
      <c r="BN57" s="56"/>
      <c r="BO57" s="56"/>
      <c r="BP57" s="56"/>
      <c r="BQ57" s="56"/>
      <c r="BR57" s="56"/>
      <c r="BS57" s="56"/>
      <c r="BT57" s="56"/>
      <c r="BU57" s="56"/>
      <c r="BV57" s="56"/>
      <c r="BW57" s="56"/>
      <c r="BX57" s="56"/>
      <c r="BY57" s="56"/>
      <c r="BZ57" s="56"/>
      <c r="CA57" s="56"/>
      <c r="CB57" s="56"/>
      <c r="CC57" s="56"/>
      <c r="CD57" s="56"/>
      <c r="CE57" s="56"/>
      <c r="CF57" s="56"/>
      <c r="CG57" s="56"/>
      <c r="CH57" s="56"/>
      <c r="CI57" s="56"/>
      <c r="CJ57" s="56"/>
      <c r="CK57" s="56"/>
      <c r="CL57" s="56"/>
      <c r="CM57" s="56"/>
      <c r="CN57" s="56"/>
      <c r="CO57" s="56"/>
      <c r="CP57" s="56"/>
      <c r="CQ57" s="56"/>
      <c r="CR57" s="56"/>
      <c r="CS57" s="56"/>
      <c r="CT57" s="56"/>
      <c r="CU57" s="56"/>
      <c r="CV57" s="56"/>
      <c r="CW57" s="56"/>
      <c r="CX57" s="56"/>
      <c r="CY57" s="56"/>
      <c r="CZ57" s="56"/>
      <c r="DA57" s="56"/>
      <c r="DB57" s="56"/>
      <c r="DC57" s="56"/>
      <c r="DD57" s="56"/>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c r="EC57" s="55"/>
      <c r="ED57" s="55"/>
      <c r="EE57" s="56"/>
      <c r="EF57" s="56"/>
      <c r="EG57" s="56"/>
      <c r="EH57" s="56"/>
      <c r="EI57" s="56"/>
      <c r="EJ57" s="56"/>
      <c r="EK57" s="56"/>
      <c r="EL57" s="56"/>
      <c r="EM57" s="56"/>
      <c r="EN57" s="56"/>
      <c r="EO57" s="56"/>
      <c r="EP57" s="56"/>
      <c r="EQ57" s="56"/>
      <c r="ER57" s="56"/>
      <c r="ES57" s="56"/>
      <c r="ET57" s="56"/>
      <c r="EU57" s="56"/>
      <c r="EV57" s="56"/>
      <c r="EW57" s="56"/>
      <c r="EX57" s="56"/>
      <c r="EY57" s="56"/>
      <c r="EZ57" s="56"/>
      <c r="FA57" s="56"/>
      <c r="FB57" s="56"/>
      <c r="FC57" s="56"/>
      <c r="FD57" s="56"/>
      <c r="FE57" s="56"/>
      <c r="FF57" s="56"/>
      <c r="FG57" s="56"/>
      <c r="FH57" s="56"/>
      <c r="FI57" s="56"/>
      <c r="FJ57" s="56"/>
      <c r="FK57" s="56"/>
      <c r="FL57" s="56"/>
      <c r="FM57" s="56"/>
      <c r="FN57" s="56"/>
    </row>
    <row r="58" spans="1:170" s="11" customFormat="1" ht="18" customHeight="1">
      <c r="A58" s="1976"/>
      <c r="B58" s="204"/>
      <c r="C58" s="14" t="str">
        <f>Begriffe!F87</f>
        <v>Personenfläche</v>
      </c>
      <c r="D58" s="87"/>
      <c r="E58" s="500"/>
      <c r="F58" s="500" t="str">
        <f>Begriffe!F355</f>
        <v>Nettogeschossfläche pro Person</v>
      </c>
      <c r="G58" s="500"/>
      <c r="H58" s="500"/>
      <c r="I58" s="672" t="s">
        <v>953</v>
      </c>
      <c r="J58" s="678" t="s">
        <v>439</v>
      </c>
      <c r="K58" s="377"/>
      <c r="L58" s="512"/>
      <c r="M58" s="149">
        <f>IF(L58&lt;&gt;"",L58,INDEX(Eingabedaten!$D$9:$GV$53,nutzid,MATCH($C58,Eingabedaten!$D$6:$GV$6,0)))</f>
        <v>35</v>
      </c>
      <c r="N58" s="441"/>
      <c r="O58" s="441"/>
      <c r="P58" s="14">
        <v>1</v>
      </c>
      <c r="Q58" s="392">
        <v>1</v>
      </c>
      <c r="R58" s="14">
        <v>0</v>
      </c>
      <c r="S58" s="14"/>
      <c r="T58" s="243"/>
      <c r="U58" s="159"/>
      <c r="V58" s="166"/>
      <c r="W58" s="159"/>
      <c r="X58" s="159"/>
      <c r="Y58" s="166"/>
      <c r="Z58" s="159"/>
      <c r="AA58" s="159"/>
      <c r="AB58" s="36"/>
      <c r="AC58" s="147"/>
      <c r="AD58" s="147"/>
      <c r="AE58" s="67"/>
      <c r="AF58" s="67"/>
      <c r="AG58" s="67"/>
      <c r="AH58" s="67"/>
      <c r="AI58" s="67"/>
      <c r="AJ58" s="67"/>
      <c r="AK58" s="67"/>
      <c r="AL58" s="67"/>
      <c r="AM58" s="7"/>
      <c r="AN58" s="87"/>
      <c r="AO58" s="8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c r="CT58" s="47"/>
      <c r="CU58" s="47"/>
      <c r="CV58" s="47"/>
      <c r="CW58" s="47"/>
      <c r="CX58" s="47"/>
      <c r="CY58" s="47"/>
      <c r="CZ58" s="47"/>
      <c r="DA58" s="47"/>
      <c r="DB58" s="47"/>
      <c r="DC58" s="47"/>
      <c r="DD58" s="47"/>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7"/>
      <c r="EF58" s="47"/>
      <c r="EG58" s="47"/>
      <c r="EH58" s="47"/>
      <c r="EI58" s="47"/>
      <c r="EJ58" s="47"/>
      <c r="EK58" s="47"/>
      <c r="EL58" s="47"/>
      <c r="EM58" s="47"/>
      <c r="EN58" s="47"/>
      <c r="EO58" s="47"/>
      <c r="EP58" s="47"/>
      <c r="EQ58" s="47"/>
      <c r="ER58" s="47"/>
      <c r="ES58" s="47"/>
      <c r="ET58" s="47"/>
      <c r="EU58" s="47"/>
      <c r="EV58" s="47"/>
      <c r="EW58" s="47"/>
      <c r="EX58" s="47"/>
      <c r="EY58" s="47"/>
      <c r="EZ58" s="47"/>
      <c r="FA58" s="47"/>
      <c r="FB58" s="47"/>
      <c r="FC58" s="47"/>
      <c r="FD58" s="47"/>
      <c r="FE58" s="47"/>
      <c r="FF58" s="47"/>
      <c r="FG58" s="47"/>
      <c r="FH58" s="47"/>
      <c r="FI58" s="47"/>
      <c r="FJ58" s="47"/>
      <c r="FK58" s="47"/>
      <c r="FL58" s="47"/>
      <c r="FM58" s="47"/>
      <c r="FN58" s="47"/>
    </row>
    <row r="59" spans="1:170" s="11" customFormat="1" ht="18" customHeight="1">
      <c r="A59" s="1976"/>
      <c r="B59" s="204"/>
      <c r="C59" s="14" t="str">
        <f>Begriffe!F26</f>
        <v>Aktivitätsgrad</v>
      </c>
      <c r="D59" s="87"/>
      <c r="E59" s="87"/>
      <c r="F59" s="14"/>
      <c r="G59" s="87"/>
      <c r="H59" s="14"/>
      <c r="I59" s="98" t="s">
        <v>11</v>
      </c>
      <c r="J59" s="377" t="s">
        <v>12</v>
      </c>
      <c r="K59" s="377"/>
      <c r="L59" s="510"/>
      <c r="M59" s="394">
        <f>IF(L59&lt;&gt;"",L59,INDEX(Eingabedaten!$D$9:$GV$53,nutzid,MATCH($C59,Eingabedaten!$D$6:$GV$6,0)))</f>
        <v>1.2</v>
      </c>
      <c r="N59" s="394"/>
      <c r="O59" s="466"/>
      <c r="P59" s="14">
        <v>0</v>
      </c>
      <c r="Q59" s="392">
        <v>1</v>
      </c>
      <c r="R59" s="14">
        <v>0</v>
      </c>
      <c r="S59" s="14"/>
      <c r="T59" s="243"/>
      <c r="U59" s="89"/>
      <c r="V59" s="64"/>
      <c r="W59" s="158"/>
      <c r="X59" s="158"/>
      <c r="Y59" s="64"/>
      <c r="Z59" s="158"/>
      <c r="AA59" s="158"/>
      <c r="AB59" s="65"/>
      <c r="AC59" s="89"/>
      <c r="AD59" s="89"/>
      <c r="AE59" s="65"/>
      <c r="AF59" s="65"/>
      <c r="AG59" s="65"/>
      <c r="AH59" s="65"/>
      <c r="AI59" s="65"/>
      <c r="AJ59" s="65"/>
      <c r="AK59" s="65"/>
      <c r="AL59" s="65"/>
      <c r="AM59" s="65"/>
      <c r="AN59" s="66"/>
      <c r="AO59" s="66"/>
      <c r="AP59" s="81"/>
      <c r="AQ59" s="81"/>
      <c r="AR59" s="42"/>
      <c r="AS59" s="42"/>
      <c r="AT59" s="42"/>
      <c r="AU59" s="42"/>
      <c r="AV59" s="42"/>
      <c r="AW59" s="42"/>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c r="CD59" s="42"/>
      <c r="CE59" s="42"/>
      <c r="CF59" s="42"/>
      <c r="CG59" s="42"/>
      <c r="CH59" s="42"/>
      <c r="CI59" s="42"/>
      <c r="CJ59" s="42"/>
      <c r="CK59" s="42"/>
      <c r="CL59" s="42"/>
      <c r="CM59" s="42"/>
      <c r="CN59" s="42"/>
      <c r="CO59" s="42"/>
      <c r="CP59" s="42"/>
      <c r="CQ59" s="42"/>
      <c r="CR59" s="42"/>
      <c r="CS59" s="42"/>
      <c r="CT59" s="42"/>
      <c r="CU59" s="42"/>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7"/>
      <c r="EF59" s="47"/>
      <c r="EG59" s="47"/>
      <c r="EH59" s="47"/>
      <c r="EI59" s="47"/>
      <c r="EJ59" s="47"/>
      <c r="EK59" s="47"/>
      <c r="EL59" s="47"/>
      <c r="EM59" s="47"/>
      <c r="EN59" s="47"/>
      <c r="EO59" s="47"/>
      <c r="EP59" s="47"/>
      <c r="EQ59" s="47"/>
      <c r="ER59" s="47"/>
      <c r="ES59" s="47"/>
      <c r="ET59" s="47"/>
      <c r="EU59" s="47"/>
      <c r="EV59" s="47"/>
      <c r="EW59" s="47"/>
      <c r="EX59" s="47"/>
      <c r="EY59" s="47"/>
      <c r="EZ59" s="47"/>
      <c r="FA59" s="47"/>
      <c r="FB59" s="47"/>
      <c r="FC59" s="47"/>
      <c r="FD59" s="47"/>
      <c r="FE59" s="47"/>
      <c r="FF59" s="47"/>
      <c r="FG59" s="47"/>
      <c r="FH59" s="47"/>
      <c r="FI59" s="47"/>
      <c r="FJ59" s="47"/>
      <c r="FK59" s="47"/>
      <c r="FL59" s="47"/>
      <c r="FM59" s="47"/>
      <c r="FN59" s="47"/>
    </row>
    <row r="60" spans="1:170" s="11" customFormat="1" ht="18" customHeight="1">
      <c r="A60" s="1976"/>
      <c r="B60" s="204"/>
      <c r="C60" s="1984" t="str">
        <f>Begriffe!F118</f>
        <v>Wärmedämmwert der Bekleidung</v>
      </c>
      <c r="D60" s="1984"/>
      <c r="E60" s="1984"/>
      <c r="F60" s="14" t="str">
        <f>Begriffe!$F$346</f>
        <v>Auslegung Kühlung</v>
      </c>
      <c r="G60" s="14"/>
      <c r="H60" s="14"/>
      <c r="I60" s="152" t="s">
        <v>1561</v>
      </c>
      <c r="J60" s="377" t="s">
        <v>13</v>
      </c>
      <c r="K60" s="377"/>
      <c r="L60" s="510"/>
      <c r="M60" s="394">
        <f>IF(L60&lt;&gt;"",L60,INDEX(Eingabedaten!$D$9:$GV$53,nutzid,MATCH($C60,Eingabedaten!$D$6:$GV$6,0)))</f>
        <v>0.5</v>
      </c>
      <c r="N60" s="394"/>
      <c r="O60" s="394"/>
      <c r="P60" s="14">
        <v>0</v>
      </c>
      <c r="Q60" s="392">
        <v>1</v>
      </c>
      <c r="R60" s="14">
        <v>0</v>
      </c>
      <c r="S60" s="14"/>
      <c r="T60" s="243"/>
      <c r="U60" s="89"/>
      <c r="V60" s="64"/>
      <c r="W60" s="158"/>
      <c r="X60" s="158"/>
      <c r="Y60" s="64"/>
      <c r="Z60" s="158"/>
      <c r="AA60" s="158"/>
      <c r="AB60" s="65"/>
      <c r="AC60" s="89"/>
      <c r="AD60" s="89"/>
      <c r="AE60" s="65"/>
      <c r="AF60" s="65"/>
      <c r="AG60" s="65"/>
      <c r="AH60" s="65"/>
      <c r="AI60" s="65"/>
      <c r="AJ60" s="65"/>
      <c r="AK60" s="65"/>
      <c r="AL60" s="65"/>
      <c r="AM60" s="65"/>
      <c r="AN60" s="66"/>
      <c r="AO60" s="66"/>
      <c r="AP60" s="81"/>
      <c r="AQ60" s="81"/>
      <c r="AR60" s="42"/>
      <c r="AS60" s="42"/>
      <c r="AT60" s="42"/>
      <c r="AU60" s="42"/>
      <c r="AV60" s="42"/>
      <c r="AW60" s="42"/>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c r="CD60" s="42"/>
      <c r="CE60" s="42"/>
      <c r="CF60" s="42"/>
      <c r="CG60" s="42"/>
      <c r="CH60" s="42"/>
      <c r="CI60" s="42"/>
      <c r="CJ60" s="42"/>
      <c r="CK60" s="42"/>
      <c r="CL60" s="42"/>
      <c r="CM60" s="42"/>
      <c r="CN60" s="42"/>
      <c r="CO60" s="42"/>
      <c r="CP60" s="42"/>
      <c r="CQ60" s="42"/>
      <c r="CR60" s="42"/>
      <c r="CS60" s="42"/>
      <c r="CT60" s="42"/>
      <c r="CU60" s="42"/>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7"/>
      <c r="EF60" s="47"/>
      <c r="EG60" s="47"/>
      <c r="EH60" s="47"/>
      <c r="EI60" s="47"/>
      <c r="EJ60" s="47"/>
      <c r="EK60" s="47"/>
      <c r="EL60" s="47"/>
      <c r="EM60" s="47"/>
      <c r="EN60" s="47"/>
      <c r="EO60" s="47"/>
      <c r="EP60" s="47"/>
      <c r="EQ60" s="47"/>
      <c r="ER60" s="47"/>
      <c r="ES60" s="47"/>
      <c r="ET60" s="47"/>
      <c r="EU60" s="47"/>
      <c r="EV60" s="47"/>
      <c r="EW60" s="47"/>
      <c r="EX60" s="47"/>
      <c r="EY60" s="47"/>
      <c r="EZ60" s="47"/>
      <c r="FA60" s="47"/>
      <c r="FB60" s="47"/>
      <c r="FC60" s="47"/>
      <c r="FD60" s="47"/>
      <c r="FE60" s="47"/>
      <c r="FF60" s="47"/>
      <c r="FG60" s="47"/>
      <c r="FH60" s="47"/>
      <c r="FI60" s="47"/>
      <c r="FJ60" s="47"/>
      <c r="FK60" s="47"/>
      <c r="FL60" s="47"/>
      <c r="FM60" s="47"/>
      <c r="FN60" s="47"/>
    </row>
    <row r="61" spans="1:170" s="11" customFormat="1" ht="18" customHeight="1">
      <c r="A61" s="1976"/>
      <c r="B61" s="204"/>
      <c r="C61" s="14"/>
      <c r="D61" s="87"/>
      <c r="E61" s="87"/>
      <c r="F61" s="14" t="str">
        <f>Begriffe!$F$347</f>
        <v>Auslegung Heizung</v>
      </c>
      <c r="G61" s="14"/>
      <c r="H61" s="14"/>
      <c r="I61" s="152" t="s">
        <v>1562</v>
      </c>
      <c r="J61" s="377" t="s">
        <v>13</v>
      </c>
      <c r="K61" s="377"/>
      <c r="L61" s="510"/>
      <c r="M61" s="394">
        <f>IF(L61&lt;&gt;"",L61,INDEX(Eingabedaten!$D$9:$GV$53,nutzid,MATCH($C60,Eingabedaten!$D$6:$GV$6,0)+1))</f>
        <v>1</v>
      </c>
      <c r="N61" s="394"/>
      <c r="O61" s="394"/>
      <c r="P61" s="14">
        <v>0</v>
      </c>
      <c r="Q61" s="392">
        <v>1</v>
      </c>
      <c r="R61" s="14">
        <v>0</v>
      </c>
      <c r="S61" s="14"/>
      <c r="T61" s="243"/>
      <c r="U61" s="89"/>
      <c r="V61" s="64"/>
      <c r="W61" s="158"/>
      <c r="X61" s="158"/>
      <c r="Y61" s="64"/>
      <c r="Z61" s="158"/>
      <c r="AA61" s="158"/>
      <c r="AB61" s="65"/>
      <c r="AC61" s="89"/>
      <c r="AD61" s="89"/>
      <c r="AE61" s="65"/>
      <c r="AF61" s="65"/>
      <c r="AG61" s="65"/>
      <c r="AH61" s="65"/>
      <c r="AI61" s="65"/>
      <c r="AJ61" s="65"/>
      <c r="AK61" s="65"/>
      <c r="AL61" s="65"/>
      <c r="AM61" s="65"/>
      <c r="AN61" s="66"/>
      <c r="AO61" s="66"/>
      <c r="AP61" s="81"/>
      <c r="AQ61" s="81"/>
      <c r="AR61" s="42"/>
      <c r="AS61" s="42"/>
      <c r="AT61" s="42"/>
      <c r="AU61" s="42"/>
      <c r="AV61" s="42"/>
      <c r="AW61" s="42"/>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c r="CD61" s="42"/>
      <c r="CE61" s="42"/>
      <c r="CF61" s="42"/>
      <c r="CG61" s="42"/>
      <c r="CH61" s="42"/>
      <c r="CI61" s="42"/>
      <c r="CJ61" s="42"/>
      <c r="CK61" s="42"/>
      <c r="CL61" s="42"/>
      <c r="CM61" s="42"/>
      <c r="CN61" s="42"/>
      <c r="CO61" s="42"/>
      <c r="CP61" s="42"/>
      <c r="CQ61" s="42"/>
      <c r="CR61" s="42"/>
      <c r="CS61" s="42"/>
      <c r="CT61" s="42"/>
      <c r="CU61" s="42"/>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7"/>
      <c r="EF61" s="47"/>
      <c r="EG61" s="47"/>
      <c r="EH61" s="47"/>
      <c r="EI61" s="47"/>
      <c r="EJ61" s="47"/>
      <c r="EK61" s="47"/>
      <c r="EL61" s="47"/>
      <c r="EM61" s="47"/>
      <c r="EN61" s="47"/>
      <c r="EO61" s="47"/>
      <c r="EP61" s="47"/>
      <c r="EQ61" s="47"/>
      <c r="ER61" s="47"/>
      <c r="ES61" s="47"/>
      <c r="ET61" s="47"/>
      <c r="EU61" s="47"/>
      <c r="EV61" s="47"/>
      <c r="EW61" s="47"/>
      <c r="EX61" s="47"/>
      <c r="EY61" s="47"/>
      <c r="EZ61" s="47"/>
      <c r="FA61" s="47"/>
      <c r="FB61" s="47"/>
      <c r="FC61" s="47"/>
      <c r="FD61" s="47"/>
      <c r="FE61" s="47"/>
      <c r="FF61" s="47"/>
      <c r="FG61" s="47"/>
      <c r="FH61" s="47"/>
      <c r="FI61" s="47"/>
      <c r="FJ61" s="47"/>
      <c r="FK61" s="47"/>
      <c r="FL61" s="47"/>
      <c r="FM61" s="47"/>
      <c r="FN61" s="47"/>
    </row>
    <row r="62" spans="1:170" s="11" customFormat="1" ht="18" customHeight="1">
      <c r="A62" s="1976"/>
      <c r="B62" s="204"/>
      <c r="C62" s="14" t="str">
        <f>Begriffe!F101</f>
        <v>Sensible Wärmeeintragsleistung Personen</v>
      </c>
      <c r="D62" s="87"/>
      <c r="E62" s="87"/>
      <c r="F62" s="14" t="str">
        <f>Begriffe!$F$346</f>
        <v>Auslegung Kühlung</v>
      </c>
      <c r="G62" s="681"/>
      <c r="H62" s="680" cm="1">
        <f t="array" ref="H62">INDEX(Eingabedaten!$D$9:$GV$53,nutzid,MATCH(Eingabedaten!AT6,Eingabedaten!$D$6:$GV$6,0))</f>
        <v>84</v>
      </c>
      <c r="I62" s="155" t="s">
        <v>1743</v>
      </c>
      <c r="J62" s="377" t="s">
        <v>149</v>
      </c>
      <c r="K62" s="377"/>
      <c r="L62" s="515"/>
      <c r="M62" s="394">
        <f>IF(OR($H62=0,M$58=0),0,($H62/M$58))</f>
        <v>2.4</v>
      </c>
      <c r="N62" s="394"/>
      <c r="O62" s="394"/>
      <c r="P62" s="14">
        <v>1</v>
      </c>
      <c r="Q62" s="392">
        <v>1</v>
      </c>
      <c r="R62" s="14">
        <v>1</v>
      </c>
      <c r="S62" s="14"/>
      <c r="T62" s="243"/>
      <c r="U62" s="89"/>
      <c r="V62" s="64"/>
      <c r="W62" s="158"/>
      <c r="X62" s="158"/>
      <c r="Y62" s="64"/>
      <c r="Z62" s="158"/>
      <c r="AA62" s="158"/>
      <c r="AB62" s="65"/>
      <c r="AC62" s="89"/>
      <c r="AD62" s="89"/>
      <c r="AE62" s="65"/>
      <c r="AF62" s="65"/>
      <c r="AG62" s="65"/>
      <c r="AH62" s="65"/>
      <c r="AI62" s="65"/>
      <c r="AJ62" s="65"/>
      <c r="AK62" s="65"/>
      <c r="AL62" s="65"/>
      <c r="AM62" s="65"/>
      <c r="AN62" s="66"/>
      <c r="AO62" s="66"/>
      <c r="AP62" s="81"/>
      <c r="AQ62" s="81"/>
      <c r="AR62" s="42"/>
      <c r="AS62" s="42"/>
      <c r="AT62" s="42"/>
      <c r="AU62" s="42"/>
      <c r="AV62" s="42"/>
      <c r="AW62" s="42"/>
      <c r="AX62" s="42"/>
      <c r="AY62" s="42"/>
      <c r="AZ62" s="42"/>
      <c r="BA62" s="42"/>
      <c r="BB62" s="42"/>
      <c r="BC62" s="42"/>
      <c r="BD62" s="42"/>
      <c r="BE62" s="42"/>
      <c r="BF62" s="42"/>
      <c r="BG62" s="42"/>
      <c r="BH62" s="42"/>
      <c r="BI62" s="42"/>
      <c r="BJ62" s="42"/>
      <c r="BK62" s="42"/>
      <c r="BL62" s="42"/>
      <c r="BM62" s="42"/>
      <c r="BN62" s="42"/>
      <c r="BO62" s="42"/>
      <c r="BP62" s="42"/>
      <c r="BQ62" s="42"/>
      <c r="BR62" s="42"/>
      <c r="BS62" s="42"/>
      <c r="BT62" s="42"/>
      <c r="BU62" s="42"/>
      <c r="BV62" s="42"/>
      <c r="BW62" s="42"/>
      <c r="BX62" s="42"/>
      <c r="BY62" s="42"/>
      <c r="BZ62" s="42"/>
      <c r="CA62" s="42"/>
      <c r="CB62" s="42"/>
      <c r="CC62" s="42"/>
      <c r="CD62" s="42"/>
      <c r="CE62" s="42"/>
      <c r="CF62" s="42"/>
      <c r="CG62" s="42"/>
      <c r="CH62" s="42"/>
      <c r="CI62" s="42"/>
      <c r="CJ62" s="42"/>
      <c r="CK62" s="42"/>
      <c r="CL62" s="42"/>
      <c r="CM62" s="42"/>
      <c r="CN62" s="42"/>
      <c r="CO62" s="42"/>
      <c r="CP62" s="42"/>
      <c r="CQ62" s="42"/>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7"/>
      <c r="EB62" s="47"/>
      <c r="EC62" s="47"/>
      <c r="ED62" s="47"/>
      <c r="EE62" s="47"/>
      <c r="EF62" s="47"/>
      <c r="EG62" s="47"/>
      <c r="EH62" s="47"/>
      <c r="EI62" s="47"/>
      <c r="EJ62" s="47"/>
      <c r="EK62" s="47"/>
      <c r="EL62" s="47"/>
      <c r="EM62" s="47"/>
      <c r="EN62" s="47"/>
      <c r="EO62" s="47"/>
      <c r="EP62" s="47"/>
      <c r="EQ62" s="47"/>
      <c r="ER62" s="47"/>
      <c r="ES62" s="47"/>
      <c r="ET62" s="47"/>
      <c r="EU62" s="47"/>
      <c r="EV62" s="47"/>
      <c r="EW62" s="47"/>
      <c r="EX62" s="47"/>
      <c r="EY62" s="47"/>
      <c r="EZ62" s="47"/>
      <c r="FA62" s="47"/>
      <c r="FB62" s="47"/>
      <c r="FC62" s="47"/>
      <c r="FD62" s="47"/>
      <c r="FE62" s="47"/>
      <c r="FF62" s="47"/>
      <c r="FG62" s="47"/>
      <c r="FH62" s="47"/>
      <c r="FI62" s="47"/>
      <c r="FJ62" s="47"/>
      <c r="FK62" s="47"/>
      <c r="FL62" s="47"/>
      <c r="FM62" s="47"/>
      <c r="FN62" s="47"/>
    </row>
    <row r="63" spans="1:170" s="11" customFormat="1" ht="18" customHeight="1">
      <c r="A63" s="1976"/>
      <c r="B63" s="204"/>
      <c r="C63" s="14"/>
      <c r="D63" s="87"/>
      <c r="E63" s="87"/>
      <c r="F63" s="14" t="str">
        <f>Begriffe!$F$347</f>
        <v>Auslegung Heizung</v>
      </c>
      <c r="G63" s="681"/>
      <c r="H63" s="680" cm="1">
        <f t="array" ref="H63">INDEX(Eingabedaten!$D$9:$GV$53,nutzid,MATCH(Eingabedaten!AT6,Eingabedaten!$D$6:$GV$6,0)+1)</f>
        <v>94</v>
      </c>
      <c r="I63" s="1652" t="s">
        <v>1744</v>
      </c>
      <c r="J63" s="377" t="s">
        <v>149</v>
      </c>
      <c r="K63" s="377"/>
      <c r="L63" s="515"/>
      <c r="M63" s="394">
        <f>IF(OR($H63=0,M$58=0),0,($H63/M$58))</f>
        <v>2.6857142857142855</v>
      </c>
      <c r="N63" s="394"/>
      <c r="O63" s="394"/>
      <c r="P63" s="14"/>
      <c r="Q63" s="392">
        <v>1</v>
      </c>
      <c r="R63" s="14"/>
      <c r="S63" s="14"/>
      <c r="T63" s="243"/>
      <c r="U63" s="89"/>
      <c r="V63" s="64"/>
      <c r="W63" s="158"/>
      <c r="X63" s="158"/>
      <c r="Y63" s="64"/>
      <c r="Z63" s="158"/>
      <c r="AA63" s="158"/>
      <c r="AB63" s="65"/>
      <c r="AC63" s="89"/>
      <c r="AD63" s="89"/>
      <c r="AE63" s="65"/>
      <c r="AF63" s="65"/>
      <c r="AG63" s="65"/>
      <c r="AH63" s="65"/>
      <c r="AI63" s="65"/>
      <c r="AJ63" s="65"/>
      <c r="AK63" s="65"/>
      <c r="AL63" s="65"/>
      <c r="AM63" s="65"/>
      <c r="AN63" s="66"/>
      <c r="AO63" s="66"/>
      <c r="AP63" s="81"/>
      <c r="AQ63" s="81"/>
      <c r="AR63" s="42"/>
      <c r="AS63" s="42"/>
      <c r="AT63" s="42"/>
      <c r="AU63" s="42"/>
      <c r="AV63" s="42"/>
      <c r="AW63" s="42"/>
      <c r="AX63" s="42"/>
      <c r="AY63" s="42"/>
      <c r="AZ63" s="42"/>
      <c r="BA63" s="42"/>
      <c r="BB63" s="42"/>
      <c r="BC63" s="42"/>
      <c r="BD63" s="42"/>
      <c r="BE63" s="42"/>
      <c r="BF63" s="42"/>
      <c r="BG63" s="42"/>
      <c r="BH63" s="42"/>
      <c r="BI63" s="42"/>
      <c r="BJ63" s="42"/>
      <c r="BK63" s="42"/>
      <c r="BL63" s="42"/>
      <c r="BM63" s="42"/>
      <c r="BN63" s="42"/>
      <c r="BO63" s="42"/>
      <c r="BP63" s="42"/>
      <c r="BQ63" s="42"/>
      <c r="BR63" s="42"/>
      <c r="BS63" s="42"/>
      <c r="BT63" s="42"/>
      <c r="BU63" s="42"/>
      <c r="BV63" s="42"/>
      <c r="BW63" s="42"/>
      <c r="BX63" s="42"/>
      <c r="BY63" s="42"/>
      <c r="BZ63" s="42"/>
      <c r="CA63" s="42"/>
      <c r="CB63" s="42"/>
      <c r="CC63" s="42"/>
      <c r="CD63" s="42"/>
      <c r="CE63" s="42"/>
      <c r="CF63" s="42"/>
      <c r="CG63" s="42"/>
      <c r="CH63" s="42"/>
      <c r="CI63" s="42"/>
      <c r="CJ63" s="42"/>
      <c r="CK63" s="42"/>
      <c r="CL63" s="42"/>
      <c r="CM63" s="42"/>
      <c r="CN63" s="42"/>
      <c r="CO63" s="42"/>
      <c r="CP63" s="42"/>
      <c r="CQ63" s="42"/>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7"/>
      <c r="EB63" s="47"/>
      <c r="EC63" s="47"/>
      <c r="ED63" s="47"/>
      <c r="EE63" s="47"/>
      <c r="EF63" s="47"/>
      <c r="EG63" s="47"/>
      <c r="EH63" s="47"/>
      <c r="EI63" s="47"/>
      <c r="EJ63" s="47"/>
      <c r="EK63" s="47"/>
      <c r="EL63" s="47"/>
      <c r="EM63" s="47"/>
      <c r="EN63" s="47"/>
      <c r="EO63" s="47"/>
      <c r="EP63" s="47"/>
      <c r="EQ63" s="47"/>
      <c r="ER63" s="47"/>
      <c r="ES63" s="47"/>
      <c r="ET63" s="47"/>
      <c r="EU63" s="47"/>
      <c r="EV63" s="47"/>
      <c r="EW63" s="47"/>
      <c r="EX63" s="47"/>
      <c r="EY63" s="47"/>
      <c r="EZ63" s="47"/>
      <c r="FA63" s="47"/>
      <c r="FB63" s="47"/>
      <c r="FC63" s="47"/>
      <c r="FD63" s="47"/>
      <c r="FE63" s="47"/>
      <c r="FF63" s="47"/>
      <c r="FG63" s="47"/>
      <c r="FH63" s="47"/>
      <c r="FI63" s="47"/>
      <c r="FJ63" s="47"/>
      <c r="FK63" s="47"/>
      <c r="FL63" s="47"/>
      <c r="FM63" s="47"/>
      <c r="FN63" s="47"/>
    </row>
    <row r="64" spans="1:170" s="11" customFormat="1" ht="18" hidden="1" customHeight="1">
      <c r="A64" s="1976"/>
      <c r="B64" s="21"/>
      <c r="C64" s="395" t="s">
        <v>536</v>
      </c>
      <c r="D64" s="395"/>
      <c r="E64" s="395"/>
      <c r="F64" s="395"/>
      <c r="G64" s="395"/>
      <c r="H64" s="395"/>
      <c r="I64" s="482" t="s">
        <v>1118</v>
      </c>
      <c r="J64" s="397" t="s">
        <v>541</v>
      </c>
      <c r="K64" s="397"/>
      <c r="L64" s="483"/>
      <c r="M64" s="484">
        <f>$M62*$M$53</f>
        <v>33.6</v>
      </c>
      <c r="N64" s="484">
        <f>$M62*$M$53</f>
        <v>33.6</v>
      </c>
      <c r="O64" s="484">
        <f>$M62*$M$53</f>
        <v>33.6</v>
      </c>
      <c r="P64" s="14">
        <v>0</v>
      </c>
      <c r="Q64" s="392">
        <v>0</v>
      </c>
      <c r="R64" s="14">
        <v>1</v>
      </c>
      <c r="S64" s="14"/>
      <c r="T64" s="243"/>
      <c r="U64" s="89"/>
      <c r="V64" s="64"/>
      <c r="W64" s="158"/>
      <c r="X64" s="158"/>
      <c r="Y64" s="64"/>
      <c r="Z64" s="158"/>
      <c r="AA64" s="158"/>
      <c r="AB64" s="65"/>
      <c r="AC64" s="89"/>
      <c r="AD64" s="89"/>
      <c r="AE64" s="65"/>
      <c r="AF64" s="65"/>
      <c r="AG64" s="65"/>
      <c r="AH64" s="65"/>
      <c r="AI64" s="65"/>
      <c r="AJ64" s="65"/>
      <c r="AK64" s="65"/>
      <c r="AL64" s="65"/>
      <c r="AM64" s="65"/>
      <c r="AN64" s="66"/>
      <c r="AO64" s="66"/>
      <c r="AP64" s="81"/>
      <c r="AQ64" s="81"/>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2"/>
      <c r="BU64" s="42"/>
      <c r="BV64" s="42"/>
      <c r="BW64" s="42"/>
      <c r="BX64" s="42"/>
      <c r="BY64" s="42"/>
      <c r="BZ64" s="42"/>
      <c r="CA64" s="42"/>
      <c r="CB64" s="42"/>
      <c r="CC64" s="42"/>
      <c r="CD64" s="42"/>
      <c r="CE64" s="42"/>
      <c r="CF64" s="42"/>
      <c r="CG64" s="42"/>
      <c r="CH64" s="42"/>
      <c r="CI64" s="42"/>
      <c r="CJ64" s="42"/>
      <c r="CK64" s="42"/>
      <c r="CL64" s="42"/>
      <c r="CM64" s="42"/>
      <c r="CN64" s="42"/>
      <c r="CO64" s="42"/>
      <c r="CP64" s="42"/>
      <c r="CQ64" s="42"/>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7"/>
      <c r="EB64" s="47"/>
      <c r="EC64" s="47"/>
      <c r="ED64" s="47"/>
      <c r="EE64" s="47"/>
      <c r="EF64" s="47"/>
      <c r="EG64" s="47"/>
      <c r="EH64" s="47"/>
      <c r="EI64" s="47"/>
      <c r="EJ64" s="47"/>
      <c r="EK64" s="47"/>
      <c r="EL64" s="47"/>
      <c r="EM64" s="47"/>
      <c r="EN64" s="47"/>
      <c r="EO64" s="47"/>
      <c r="EP64" s="47"/>
      <c r="EQ64" s="47"/>
      <c r="ER64" s="47"/>
      <c r="ES64" s="47"/>
      <c r="ET64" s="47"/>
      <c r="EU64" s="47"/>
      <c r="EV64" s="47"/>
      <c r="EW64" s="47"/>
      <c r="EX64" s="47"/>
      <c r="EY64" s="47"/>
      <c r="EZ64" s="47"/>
      <c r="FA64" s="47"/>
      <c r="FB64" s="47"/>
      <c r="FC64" s="47"/>
      <c r="FD64" s="47"/>
      <c r="FE64" s="47"/>
      <c r="FF64" s="47"/>
      <c r="FG64" s="47"/>
      <c r="FH64" s="47"/>
      <c r="FI64" s="47"/>
      <c r="FJ64" s="47"/>
      <c r="FK64" s="47"/>
      <c r="FL64" s="47"/>
      <c r="FM64" s="47"/>
      <c r="FN64" s="47"/>
    </row>
    <row r="65" spans="1:170" s="11" customFormat="1" ht="18" hidden="1" customHeight="1">
      <c r="A65" s="1976"/>
      <c r="B65" s="21"/>
      <c r="C65" s="395" t="s">
        <v>1117</v>
      </c>
      <c r="D65" s="395"/>
      <c r="E65" s="395"/>
      <c r="F65" s="395"/>
      <c r="G65" s="395"/>
      <c r="H65" s="395"/>
      <c r="I65" s="482" t="s">
        <v>1119</v>
      </c>
      <c r="J65" s="397" t="s">
        <v>62</v>
      </c>
      <c r="K65" s="397"/>
      <c r="L65" s="483"/>
      <c r="M65" s="484">
        <f>M57*M62/1000</f>
        <v>9.8160000000000007</v>
      </c>
      <c r="N65" s="484"/>
      <c r="O65" s="484"/>
      <c r="P65" s="14">
        <v>1</v>
      </c>
      <c r="Q65" s="392"/>
      <c r="R65" s="14"/>
      <c r="S65" s="14"/>
      <c r="T65" s="243"/>
      <c r="U65" s="89"/>
      <c r="V65" s="64"/>
      <c r="W65" s="158"/>
      <c r="X65" s="158"/>
      <c r="Y65" s="64"/>
      <c r="Z65" s="158"/>
      <c r="AA65" s="158"/>
      <c r="AB65" s="65"/>
      <c r="AC65" s="89"/>
      <c r="AD65" s="89"/>
      <c r="AE65" s="65"/>
      <c r="AF65" s="65"/>
      <c r="AG65" s="65"/>
      <c r="AH65" s="65"/>
      <c r="AI65" s="65"/>
      <c r="AJ65" s="65"/>
      <c r="AK65" s="65"/>
      <c r="AL65" s="65"/>
      <c r="AM65" s="65"/>
      <c r="AN65" s="66"/>
      <c r="AO65" s="66"/>
      <c r="AP65" s="81"/>
      <c r="AQ65" s="81"/>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c r="BP65" s="42"/>
      <c r="BQ65" s="42"/>
      <c r="BR65" s="42"/>
      <c r="BS65" s="42"/>
      <c r="BT65" s="42"/>
      <c r="BU65" s="42"/>
      <c r="BV65" s="42"/>
      <c r="BW65" s="42"/>
      <c r="BX65" s="42"/>
      <c r="BY65" s="42"/>
      <c r="BZ65" s="42"/>
      <c r="CA65" s="42"/>
      <c r="CB65" s="42"/>
      <c r="CC65" s="42"/>
      <c r="CD65" s="42"/>
      <c r="CE65" s="42"/>
      <c r="CF65" s="42"/>
      <c r="CG65" s="42"/>
      <c r="CH65" s="42"/>
      <c r="CI65" s="42"/>
      <c r="CJ65" s="42"/>
      <c r="CK65" s="42"/>
      <c r="CL65" s="42"/>
      <c r="CM65" s="42"/>
      <c r="CN65" s="42"/>
      <c r="CO65" s="42"/>
      <c r="CP65" s="42"/>
      <c r="CQ65" s="42"/>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7"/>
      <c r="EB65" s="47"/>
      <c r="EC65" s="47"/>
      <c r="ED65" s="47"/>
      <c r="EE65" s="47"/>
      <c r="EF65" s="47"/>
      <c r="EG65" s="47"/>
      <c r="EH65" s="47"/>
      <c r="EI65" s="47"/>
      <c r="EJ65" s="47"/>
      <c r="EK65" s="47"/>
      <c r="EL65" s="47"/>
      <c r="EM65" s="47"/>
      <c r="EN65" s="47"/>
      <c r="EO65" s="47"/>
      <c r="EP65" s="47"/>
      <c r="EQ65" s="47"/>
      <c r="ER65" s="47"/>
      <c r="ES65" s="47"/>
      <c r="ET65" s="47"/>
      <c r="EU65" s="47"/>
      <c r="EV65" s="47"/>
      <c r="EW65" s="47"/>
      <c r="EX65" s="47"/>
      <c r="EY65" s="47"/>
      <c r="EZ65" s="47"/>
      <c r="FA65" s="47"/>
      <c r="FB65" s="47"/>
      <c r="FC65" s="47"/>
      <c r="FD65" s="47"/>
      <c r="FE65" s="47"/>
      <c r="FF65" s="47"/>
      <c r="FG65" s="47"/>
      <c r="FH65" s="47"/>
      <c r="FI65" s="47"/>
      <c r="FJ65" s="47"/>
      <c r="FK65" s="47"/>
      <c r="FL65" s="47"/>
      <c r="FM65" s="47"/>
      <c r="FN65" s="47"/>
    </row>
    <row r="66" spans="1:170" s="11" customFormat="1" ht="18" customHeight="1">
      <c r="A66" s="1976"/>
      <c r="B66" s="204"/>
      <c r="C66" s="14" t="str">
        <f>Begriffe!F43</f>
        <v>Feuchteproduktion Personen</v>
      </c>
      <c r="D66" s="87"/>
      <c r="E66" s="87"/>
      <c r="F66" s="14" t="str">
        <f>Begriffe!$F$348</f>
        <v>Auslegung Entfeuchtung</v>
      </c>
      <c r="G66" s="681"/>
      <c r="H66" s="1221" cm="1">
        <f t="array" ref="H66">INDEX(Eingabedaten!$D$9:$GV$53,nutzid,MATCH($C66,Eingabedaten!$D$6:$GV$6,0))</f>
        <v>51</v>
      </c>
      <c r="I66" s="98" t="s">
        <v>1745</v>
      </c>
      <c r="J66" s="683" t="s">
        <v>954</v>
      </c>
      <c r="K66" s="683"/>
      <c r="L66" s="1078"/>
      <c r="M66" s="684">
        <f>IF(OR($H66="",M$58=0),0,($H66/M$58))</f>
        <v>1.4571428571428571</v>
      </c>
      <c r="N66" s="394"/>
      <c r="O66" s="394"/>
      <c r="P66" s="14">
        <v>1</v>
      </c>
      <c r="Q66" s="392">
        <v>1</v>
      </c>
      <c r="R66" s="14">
        <v>0</v>
      </c>
      <c r="S66" s="14"/>
      <c r="T66" s="243"/>
      <c r="U66" s="89"/>
      <c r="V66" s="64"/>
      <c r="W66" s="158"/>
      <c r="X66" s="158"/>
      <c r="Y66" s="64"/>
      <c r="Z66" s="158"/>
      <c r="AA66" s="158"/>
      <c r="AB66" s="65"/>
      <c r="AC66" s="89"/>
      <c r="AD66" s="89"/>
      <c r="AE66" s="65"/>
      <c r="AF66" s="65"/>
      <c r="AG66" s="65"/>
      <c r="AH66" s="65"/>
      <c r="AI66" s="65"/>
      <c r="AJ66" s="65"/>
      <c r="AK66" s="65"/>
      <c r="AL66" s="65"/>
      <c r="AM66" s="65"/>
      <c r="AN66" s="66"/>
      <c r="AO66" s="66"/>
      <c r="AP66" s="81"/>
      <c r="AQ66" s="81"/>
      <c r="AR66" s="42"/>
      <c r="AS66" s="42"/>
      <c r="AT66" s="42"/>
      <c r="AU66" s="42"/>
      <c r="AV66" s="42"/>
      <c r="AW66" s="42"/>
      <c r="AX66" s="42"/>
      <c r="AY66" s="42"/>
      <c r="AZ66" s="42"/>
      <c r="BA66" s="42"/>
      <c r="BB66" s="42"/>
      <c r="BC66" s="42"/>
      <c r="BD66" s="42"/>
      <c r="BE66" s="42"/>
      <c r="BF66" s="42"/>
      <c r="BG66" s="42"/>
      <c r="BH66" s="42"/>
      <c r="BI66" s="42"/>
      <c r="BJ66" s="42"/>
      <c r="BK66" s="42"/>
      <c r="BL66" s="42"/>
      <c r="BM66" s="42"/>
      <c r="BN66" s="42"/>
      <c r="BO66" s="42"/>
      <c r="BP66" s="42"/>
      <c r="BQ66" s="42"/>
      <c r="BR66" s="42"/>
      <c r="BS66" s="42"/>
      <c r="BT66" s="42"/>
      <c r="BU66" s="42"/>
      <c r="BV66" s="42"/>
      <c r="BW66" s="42"/>
      <c r="BX66" s="42"/>
      <c r="BY66" s="42"/>
      <c r="BZ66" s="42"/>
      <c r="CA66" s="42"/>
      <c r="CB66" s="42"/>
      <c r="CC66" s="42"/>
      <c r="CD66" s="42"/>
      <c r="CE66" s="42"/>
      <c r="CF66" s="42"/>
      <c r="CG66" s="42"/>
      <c r="CH66" s="42"/>
      <c r="CI66" s="42"/>
      <c r="CJ66" s="42"/>
      <c r="CK66" s="42"/>
      <c r="CL66" s="42"/>
      <c r="CM66" s="42"/>
      <c r="CN66" s="42"/>
      <c r="CO66" s="42"/>
      <c r="CP66" s="42"/>
      <c r="CQ66" s="42"/>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7"/>
      <c r="EB66" s="47"/>
      <c r="EC66" s="47"/>
      <c r="ED66" s="47"/>
      <c r="EE66" s="47"/>
      <c r="EF66" s="47"/>
      <c r="EG66" s="47"/>
      <c r="EH66" s="47"/>
      <c r="EI66" s="47"/>
      <c r="EJ66" s="47"/>
      <c r="EK66" s="47"/>
      <c r="EL66" s="47"/>
      <c r="EM66" s="47"/>
      <c r="EN66" s="47"/>
      <c r="EO66" s="47"/>
      <c r="EP66" s="47"/>
      <c r="EQ66" s="47"/>
      <c r="ER66" s="47"/>
      <c r="ES66" s="47"/>
      <c r="ET66" s="47"/>
      <c r="EU66" s="47"/>
      <c r="EV66" s="47"/>
      <c r="EW66" s="47"/>
      <c r="EX66" s="47"/>
      <c r="EY66" s="47"/>
      <c r="EZ66" s="47"/>
      <c r="FA66" s="47"/>
      <c r="FB66" s="47"/>
      <c r="FC66" s="47"/>
      <c r="FD66" s="47"/>
      <c r="FE66" s="47"/>
      <c r="FF66" s="47"/>
      <c r="FG66" s="47"/>
      <c r="FH66" s="47"/>
      <c r="FI66" s="47"/>
      <c r="FJ66" s="47"/>
      <c r="FK66" s="47"/>
      <c r="FL66" s="47"/>
      <c r="FM66" s="47"/>
      <c r="FN66" s="47"/>
    </row>
    <row r="67" spans="1:170" s="11" customFormat="1" ht="18" customHeight="1">
      <c r="A67" s="1976"/>
      <c r="B67" s="204"/>
      <c r="C67" s="14"/>
      <c r="D67" s="87"/>
      <c r="E67" s="87"/>
      <c r="F67" s="14" t="str">
        <f>Begriffe!$F$349</f>
        <v>Auslegung Befeuchtung</v>
      </c>
      <c r="G67" s="681"/>
      <c r="H67" s="1221" cm="1">
        <f t="array" ref="H67">INDEX(Eingabedaten!$D$9:$GV$53,nutzid,MATCH($C66,Eingabedaten!$D$6:$GV$6,0)+1)</f>
        <v>66</v>
      </c>
      <c r="I67" s="98" t="s">
        <v>1746</v>
      </c>
      <c r="J67" s="683" t="s">
        <v>954</v>
      </c>
      <c r="K67" s="377"/>
      <c r="L67" s="1653"/>
      <c r="M67" s="684">
        <f>IF(OR($H67="",M$58=0),0,($H67/M$58))</f>
        <v>1.8857142857142857</v>
      </c>
      <c r="N67" s="394"/>
      <c r="O67" s="394"/>
      <c r="P67" s="14"/>
      <c r="Q67" s="392">
        <v>1</v>
      </c>
      <c r="R67" s="14"/>
      <c r="S67" s="14"/>
      <c r="T67" s="243"/>
      <c r="U67" s="89"/>
      <c r="V67" s="64"/>
      <c r="W67" s="158"/>
      <c r="X67" s="158"/>
      <c r="Y67" s="64"/>
      <c r="Z67" s="158"/>
      <c r="AA67" s="158"/>
      <c r="AB67" s="65"/>
      <c r="AC67" s="89"/>
      <c r="AD67" s="89"/>
      <c r="AE67" s="65"/>
      <c r="AF67" s="65"/>
      <c r="AG67" s="65"/>
      <c r="AH67" s="65"/>
      <c r="AI67" s="65"/>
      <c r="AJ67" s="65"/>
      <c r="AK67" s="65"/>
      <c r="AL67" s="65"/>
      <c r="AM67" s="65"/>
      <c r="AN67" s="66"/>
      <c r="AO67" s="66"/>
      <c r="AP67" s="81"/>
      <c r="AQ67" s="81"/>
      <c r="AR67" s="42"/>
      <c r="AS67" s="42"/>
      <c r="AT67" s="42"/>
      <c r="AU67" s="42"/>
      <c r="AV67" s="42"/>
      <c r="AW67" s="42"/>
      <c r="AX67" s="42"/>
      <c r="AY67" s="42"/>
      <c r="AZ67" s="42"/>
      <c r="BA67" s="42"/>
      <c r="BB67" s="42"/>
      <c r="BC67" s="42"/>
      <c r="BD67" s="42"/>
      <c r="BE67" s="42"/>
      <c r="BF67" s="42"/>
      <c r="BG67" s="42"/>
      <c r="BH67" s="42"/>
      <c r="BI67" s="42"/>
      <c r="BJ67" s="42"/>
      <c r="BK67" s="42"/>
      <c r="BL67" s="42"/>
      <c r="BM67" s="42"/>
      <c r="BN67" s="42"/>
      <c r="BO67" s="42"/>
      <c r="BP67" s="42"/>
      <c r="BQ67" s="42"/>
      <c r="BR67" s="42"/>
      <c r="BS67" s="42"/>
      <c r="BT67" s="42"/>
      <c r="BU67" s="42"/>
      <c r="BV67" s="42"/>
      <c r="BW67" s="42"/>
      <c r="BX67" s="42"/>
      <c r="BY67" s="42"/>
      <c r="BZ67" s="42"/>
      <c r="CA67" s="42"/>
      <c r="CB67" s="42"/>
      <c r="CC67" s="42"/>
      <c r="CD67" s="42"/>
      <c r="CE67" s="42"/>
      <c r="CF67" s="42"/>
      <c r="CG67" s="42"/>
      <c r="CH67" s="42"/>
      <c r="CI67" s="42"/>
      <c r="CJ67" s="42"/>
      <c r="CK67" s="42"/>
      <c r="CL67" s="42"/>
      <c r="CM67" s="42"/>
      <c r="CN67" s="42"/>
      <c r="CO67" s="42"/>
      <c r="CP67" s="42"/>
      <c r="CQ67" s="42"/>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7"/>
      <c r="EB67" s="47"/>
      <c r="EC67" s="47"/>
      <c r="ED67" s="47"/>
      <c r="EE67" s="47"/>
      <c r="EF67" s="47"/>
      <c r="EG67" s="47"/>
      <c r="EH67" s="47"/>
      <c r="EI67" s="47"/>
      <c r="EJ67" s="47"/>
      <c r="EK67" s="47"/>
      <c r="EL67" s="47"/>
      <c r="EM67" s="47"/>
      <c r="EN67" s="47"/>
      <c r="EO67" s="47"/>
      <c r="EP67" s="47"/>
      <c r="EQ67" s="47"/>
      <c r="ER67" s="47"/>
      <c r="ES67" s="47"/>
      <c r="ET67" s="47"/>
      <c r="EU67" s="47"/>
      <c r="EV67" s="47"/>
      <c r="EW67" s="47"/>
      <c r="EX67" s="47"/>
      <c r="EY67" s="47"/>
      <c r="EZ67" s="47"/>
      <c r="FA67" s="47"/>
      <c r="FB67" s="47"/>
      <c r="FC67" s="47"/>
      <c r="FD67" s="47"/>
      <c r="FE67" s="47"/>
      <c r="FF67" s="47"/>
      <c r="FG67" s="47"/>
      <c r="FH67" s="47"/>
      <c r="FI67" s="47"/>
      <c r="FJ67" s="47"/>
      <c r="FK67" s="47"/>
      <c r="FL67" s="47"/>
      <c r="FM67" s="47"/>
      <c r="FN67" s="47"/>
    </row>
    <row r="68" spans="1:170" s="11" customFormat="1" ht="18" customHeight="1">
      <c r="A68" s="1976"/>
      <c r="B68" s="204"/>
      <c r="C68" s="14" t="str">
        <f>Begriffe!F44</f>
        <v>Feuchtequellen (ohne Personen)</v>
      </c>
      <c r="D68" s="14"/>
      <c r="E68" s="14"/>
      <c r="F68" s="14" t="str">
        <f>Begriffe!F357</f>
        <v>Z.B. Pflanzen</v>
      </c>
      <c r="G68" s="14"/>
      <c r="H68" s="14"/>
      <c r="I68" s="98" t="s">
        <v>955</v>
      </c>
      <c r="J68" s="377" t="s">
        <v>954</v>
      </c>
      <c r="K68" s="377"/>
      <c r="L68" s="516"/>
      <c r="M68" s="377">
        <f>IF(L68&lt;&gt;"",L68,INDEX(Eingabedaten!$D$9:$GV$53,nutzid,MATCH($C68,Eingabedaten!$D$6:$GV$6,0)))</f>
        <v>0.5</v>
      </c>
      <c r="N68" s="394"/>
      <c r="O68" s="394"/>
      <c r="P68" s="14">
        <v>0</v>
      </c>
      <c r="Q68" s="392">
        <v>1</v>
      </c>
      <c r="R68" s="14">
        <v>0</v>
      </c>
      <c r="S68" s="14"/>
      <c r="T68" s="243"/>
      <c r="U68" s="89"/>
      <c r="V68" s="64"/>
      <c r="W68" s="158"/>
      <c r="X68" s="158"/>
      <c r="Y68" s="64"/>
      <c r="Z68" s="158"/>
      <c r="AA68" s="158"/>
      <c r="AB68" s="65"/>
      <c r="AC68" s="89"/>
      <c r="AD68" s="89"/>
      <c r="AE68" s="65"/>
      <c r="AF68" s="65"/>
      <c r="AG68" s="65"/>
      <c r="AH68" s="65"/>
      <c r="AI68" s="65"/>
      <c r="AJ68" s="65"/>
      <c r="AK68" s="65"/>
      <c r="AL68" s="65"/>
      <c r="AM68" s="65"/>
      <c r="AN68" s="66"/>
      <c r="AO68" s="66"/>
      <c r="AP68" s="81"/>
      <c r="AQ68" s="81"/>
      <c r="AR68" s="42"/>
      <c r="AS68" s="42"/>
      <c r="AT68" s="42"/>
      <c r="AU68" s="42"/>
      <c r="AV68" s="42"/>
      <c r="AW68" s="42"/>
      <c r="AX68" s="42"/>
      <c r="AY68" s="42"/>
      <c r="AZ68" s="42"/>
      <c r="BA68" s="42"/>
      <c r="BB68" s="42"/>
      <c r="BC68" s="42"/>
      <c r="BD68" s="42"/>
      <c r="BE68" s="42"/>
      <c r="BF68" s="42"/>
      <c r="BG68" s="42"/>
      <c r="BH68" s="42"/>
      <c r="BI68" s="42"/>
      <c r="BJ68" s="42"/>
      <c r="BK68" s="42"/>
      <c r="BL68" s="42"/>
      <c r="BM68" s="42"/>
      <c r="BN68" s="42"/>
      <c r="BO68" s="42"/>
      <c r="BP68" s="42"/>
      <c r="BQ68" s="42"/>
      <c r="BR68" s="42"/>
      <c r="BS68" s="42"/>
      <c r="BT68" s="42"/>
      <c r="BU68" s="42"/>
      <c r="BV68" s="42"/>
      <c r="BW68" s="42"/>
      <c r="BX68" s="42"/>
      <c r="BY68" s="42"/>
      <c r="BZ68" s="42"/>
      <c r="CA68" s="42"/>
      <c r="CB68" s="42"/>
      <c r="CC68" s="42"/>
      <c r="CD68" s="42"/>
      <c r="CE68" s="42"/>
      <c r="CF68" s="42"/>
      <c r="CG68" s="42"/>
      <c r="CH68" s="42"/>
      <c r="CI68" s="42"/>
      <c r="CJ68" s="42"/>
      <c r="CK68" s="42"/>
      <c r="CL68" s="42"/>
      <c r="CM68" s="42"/>
      <c r="CN68" s="42"/>
      <c r="CO68" s="42"/>
      <c r="CP68" s="42"/>
      <c r="CQ68" s="42"/>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7"/>
      <c r="EB68" s="47"/>
      <c r="EC68" s="47"/>
      <c r="ED68" s="47"/>
      <c r="EE68" s="47"/>
      <c r="EF68" s="47"/>
      <c r="EG68" s="47"/>
      <c r="EH68" s="47"/>
      <c r="EI68" s="47"/>
      <c r="EJ68" s="47"/>
      <c r="EK68" s="47"/>
      <c r="EL68" s="47"/>
      <c r="EM68" s="47"/>
      <c r="EN68" s="47"/>
      <c r="EO68" s="47"/>
      <c r="EP68" s="47"/>
      <c r="EQ68" s="47"/>
      <c r="ER68" s="47"/>
      <c r="ES68" s="47"/>
      <c r="ET68" s="47"/>
      <c r="EU68" s="47"/>
      <c r="EV68" s="47"/>
      <c r="EW68" s="47"/>
      <c r="EX68" s="47"/>
      <c r="EY68" s="47"/>
      <c r="EZ68" s="47"/>
      <c r="FA68" s="47"/>
      <c r="FB68" s="47"/>
      <c r="FC68" s="47"/>
      <c r="FD68" s="47"/>
      <c r="FE68" s="47"/>
      <c r="FF68" s="47"/>
      <c r="FG68" s="47"/>
      <c r="FH68" s="47"/>
      <c r="FI68" s="47"/>
      <c r="FJ68" s="47"/>
      <c r="FK68" s="47"/>
      <c r="FL68" s="47"/>
      <c r="FM68" s="47"/>
      <c r="FN68" s="47"/>
    </row>
    <row r="69" spans="1:170" s="5" customFormat="1" ht="2.25" customHeight="1">
      <c r="A69" s="113"/>
      <c r="B69" s="495"/>
      <c r="C69" s="114"/>
      <c r="D69" s="114"/>
      <c r="E69" s="114"/>
      <c r="F69" s="114"/>
      <c r="G69" s="114"/>
      <c r="H69" s="114"/>
      <c r="I69" s="115"/>
      <c r="J69" s="115"/>
      <c r="K69" s="115"/>
      <c r="L69" s="115"/>
      <c r="M69" s="115"/>
      <c r="N69" s="136"/>
      <c r="O69" s="136"/>
      <c r="P69" s="14">
        <v>0</v>
      </c>
      <c r="Q69" s="392">
        <v>1</v>
      </c>
      <c r="R69" s="14">
        <v>0</v>
      </c>
      <c r="S69" s="379"/>
      <c r="T69" s="618"/>
      <c r="U69" s="160"/>
      <c r="V69" s="167"/>
      <c r="W69" s="160"/>
      <c r="X69" s="160"/>
      <c r="Y69" s="167"/>
      <c r="Z69" s="160"/>
      <c r="AA69" s="160"/>
      <c r="AB69" s="167"/>
      <c r="AC69" s="160"/>
      <c r="AD69" s="160"/>
      <c r="AM69" s="36"/>
      <c r="AN69" s="84"/>
      <c r="AO69" s="84"/>
      <c r="AP69" s="85"/>
      <c r="AQ69" s="85"/>
      <c r="AR69" s="54"/>
      <c r="AS69" s="54"/>
      <c r="AT69" s="54"/>
      <c r="AU69" s="54"/>
      <c r="AV69" s="54"/>
      <c r="AW69" s="54"/>
      <c r="AX69" s="54"/>
      <c r="AY69" s="54"/>
      <c r="AZ69" s="54"/>
      <c r="BA69" s="54"/>
      <c r="BB69" s="54"/>
      <c r="BC69" s="54"/>
      <c r="BD69" s="54"/>
      <c r="BE69" s="54"/>
      <c r="BF69" s="54"/>
      <c r="BG69" s="54"/>
      <c r="BH69" s="54"/>
      <c r="BI69" s="54"/>
      <c r="BJ69" s="54"/>
      <c r="BK69" s="54"/>
      <c r="BL69" s="54"/>
      <c r="BM69" s="54"/>
      <c r="BN69" s="54"/>
      <c r="BO69" s="54"/>
      <c r="BP69" s="54"/>
      <c r="BQ69" s="54"/>
      <c r="BR69" s="54"/>
      <c r="BS69" s="54"/>
      <c r="BT69" s="54"/>
      <c r="BU69" s="54"/>
      <c r="BV69" s="54"/>
      <c r="BW69" s="54"/>
      <c r="BX69" s="54"/>
      <c r="BY69" s="54"/>
      <c r="BZ69" s="54"/>
      <c r="CA69" s="54"/>
      <c r="CB69" s="54"/>
      <c r="CC69" s="54"/>
      <c r="CD69" s="54"/>
      <c r="CE69" s="54"/>
      <c r="CF69" s="54"/>
      <c r="CG69" s="54"/>
      <c r="CH69" s="54"/>
      <c r="CI69" s="54"/>
      <c r="CJ69" s="54"/>
      <c r="CK69" s="54"/>
      <c r="CL69" s="54"/>
      <c r="CM69" s="54"/>
      <c r="CN69" s="54"/>
      <c r="CO69" s="54"/>
      <c r="CP69" s="54"/>
      <c r="CQ69" s="54"/>
      <c r="CR69" s="54"/>
      <c r="CS69" s="54"/>
      <c r="CT69" s="54"/>
      <c r="CU69" s="54"/>
      <c r="CV69" s="55"/>
      <c r="CW69" s="55"/>
      <c r="CX69" s="55"/>
      <c r="CY69" s="55"/>
      <c r="CZ69" s="55"/>
      <c r="DA69" s="55"/>
      <c r="DB69" s="55"/>
      <c r="DC69" s="55"/>
      <c r="DD69" s="55"/>
      <c r="DE69" s="55"/>
      <c r="DF69" s="55"/>
      <c r="DG69" s="55"/>
      <c r="DH69" s="55"/>
      <c r="DI69" s="55"/>
      <c r="DJ69" s="55"/>
      <c r="DK69" s="55"/>
      <c r="DL69" s="55"/>
      <c r="DM69" s="55"/>
      <c r="DN69" s="55"/>
      <c r="DO69" s="55"/>
      <c r="DP69" s="55"/>
      <c r="DQ69" s="55"/>
      <c r="DR69" s="55"/>
      <c r="DS69" s="55"/>
      <c r="DT69" s="55"/>
      <c r="DU69" s="55"/>
      <c r="DV69" s="55"/>
      <c r="DW69" s="55"/>
      <c r="DX69" s="55"/>
      <c r="DY69" s="55"/>
      <c r="DZ69" s="55"/>
      <c r="EA69" s="55"/>
      <c r="EB69" s="55"/>
      <c r="EC69" s="55"/>
      <c r="ED69" s="55"/>
      <c r="EE69" s="53"/>
      <c r="EF69" s="53"/>
      <c r="EG69" s="53"/>
      <c r="EH69" s="53"/>
      <c r="EI69" s="53"/>
      <c r="EJ69" s="53"/>
      <c r="EK69" s="53"/>
      <c r="EL69" s="53"/>
      <c r="EM69" s="53"/>
      <c r="EN69" s="53"/>
      <c r="EO69" s="53"/>
      <c r="EP69" s="53"/>
      <c r="EQ69" s="53"/>
      <c r="ER69" s="53"/>
      <c r="ES69" s="53"/>
      <c r="ET69" s="53"/>
      <c r="EU69" s="53"/>
      <c r="EV69" s="53"/>
      <c r="EW69" s="53"/>
      <c r="EX69" s="53"/>
      <c r="EY69" s="53"/>
      <c r="EZ69" s="53"/>
      <c r="FA69" s="53"/>
      <c r="FB69" s="53"/>
      <c r="FC69" s="53"/>
      <c r="FD69" s="53"/>
      <c r="FE69" s="53"/>
      <c r="FF69" s="53"/>
      <c r="FG69" s="53"/>
      <c r="FH69" s="53"/>
      <c r="FI69" s="53"/>
      <c r="FJ69" s="53"/>
      <c r="FK69" s="53"/>
      <c r="FL69" s="53"/>
      <c r="FM69" s="53"/>
      <c r="FN69" s="53"/>
    </row>
    <row r="70" spans="1:170" s="2" customFormat="1" ht="18" customHeight="1">
      <c r="A70" s="1978" t="str">
        <f>Begriffe!F205</f>
        <v>Geräte und Prozessanlagen</v>
      </c>
      <c r="B70" s="204"/>
      <c r="C70" s="1982" t="str">
        <f>Begriffe!F72</f>
        <v>Lastprofil</v>
      </c>
      <c r="D70" s="1"/>
      <c r="E70" s="183"/>
      <c r="F70" s="183"/>
      <c r="G70" s="1"/>
      <c r="H70" s="184"/>
      <c r="I70" s="192"/>
      <c r="J70" s="193"/>
      <c r="K70" s="193"/>
      <c r="L70" s="193"/>
      <c r="M70" s="194"/>
      <c r="N70" s="193"/>
      <c r="O70" s="151"/>
      <c r="P70" s="447">
        <v>0</v>
      </c>
      <c r="Q70" s="450">
        <v>1</v>
      </c>
      <c r="R70" s="447">
        <v>0</v>
      </c>
      <c r="S70" s="379"/>
      <c r="T70" s="1195"/>
      <c r="U70" s="161"/>
      <c r="V70" s="168"/>
      <c r="W70" s="161"/>
      <c r="X70" s="161"/>
      <c r="Y70" s="168"/>
      <c r="Z70" s="161"/>
      <c r="AA70" s="161"/>
      <c r="AB70" s="168"/>
      <c r="AC70" s="161"/>
      <c r="AD70" s="161"/>
      <c r="AM70" s="1"/>
      <c r="AN70" s="86"/>
      <c r="AO70" s="86"/>
      <c r="AR70" s="56"/>
      <c r="AS70" s="56"/>
      <c r="AT70" s="56"/>
      <c r="AU70" s="56"/>
      <c r="AV70" s="56"/>
      <c r="AW70" s="56"/>
      <c r="AX70" s="56"/>
      <c r="AY70" s="56"/>
      <c r="AZ70" s="56"/>
      <c r="BA70" s="56"/>
      <c r="BB70" s="56"/>
      <c r="BC70" s="56"/>
      <c r="BD70" s="56"/>
      <c r="BE70" s="56"/>
      <c r="BF70" s="56"/>
      <c r="BG70" s="56"/>
      <c r="BH70" s="56"/>
      <c r="BI70" s="56"/>
      <c r="BJ70" s="56"/>
      <c r="BK70" s="56"/>
      <c r="BL70" s="56"/>
      <c r="BM70" s="56"/>
      <c r="BN70" s="56"/>
      <c r="BO70" s="56"/>
      <c r="BP70" s="56"/>
      <c r="BQ70" s="56"/>
      <c r="BR70" s="56"/>
      <c r="BS70" s="56"/>
      <c r="BT70" s="56"/>
      <c r="BU70" s="56"/>
      <c r="BV70" s="56"/>
      <c r="BW70" s="56"/>
      <c r="BX70" s="56"/>
      <c r="BY70" s="56"/>
      <c r="BZ70" s="56"/>
      <c r="CA70" s="56"/>
      <c r="CB70" s="56"/>
      <c r="CC70" s="56"/>
      <c r="CD70" s="56"/>
      <c r="CE70" s="56"/>
      <c r="CF70" s="56"/>
      <c r="CG70" s="56"/>
      <c r="CH70" s="56"/>
      <c r="CI70" s="56"/>
      <c r="CJ70" s="56"/>
      <c r="CK70" s="56"/>
      <c r="CL70" s="56"/>
      <c r="CM70" s="56"/>
      <c r="CN70" s="56"/>
      <c r="CO70" s="56"/>
      <c r="CP70" s="56"/>
      <c r="CQ70" s="56"/>
      <c r="CR70" s="56"/>
      <c r="CS70" s="56"/>
      <c r="CT70" s="56"/>
      <c r="CU70" s="56"/>
      <c r="CV70" s="56"/>
      <c r="CW70" s="56"/>
      <c r="CX70" s="56"/>
      <c r="CY70" s="56"/>
      <c r="CZ70" s="56"/>
      <c r="DA70" s="56"/>
      <c r="DB70" s="56"/>
      <c r="DC70" s="56"/>
      <c r="DD70" s="56"/>
      <c r="DE70" s="55"/>
      <c r="DF70" s="55"/>
      <c r="DG70" s="55"/>
      <c r="DH70" s="55"/>
      <c r="DI70" s="55"/>
      <c r="DJ70" s="55"/>
      <c r="DK70" s="55"/>
      <c r="DL70" s="55"/>
      <c r="DM70" s="55"/>
      <c r="DN70" s="55"/>
      <c r="DO70" s="55"/>
      <c r="DP70" s="55"/>
      <c r="DQ70" s="55"/>
      <c r="DR70" s="55"/>
      <c r="DS70" s="55"/>
      <c r="DT70" s="55"/>
      <c r="DU70" s="55"/>
      <c r="DV70" s="55"/>
      <c r="DW70" s="55"/>
      <c r="DX70" s="55"/>
      <c r="DY70" s="55"/>
      <c r="DZ70" s="55"/>
      <c r="EA70" s="55"/>
      <c r="EB70" s="55"/>
      <c r="EC70" s="55"/>
      <c r="ED70" s="55"/>
      <c r="EE70" s="56"/>
      <c r="EF70" s="56"/>
      <c r="EG70" s="56"/>
      <c r="EH70" s="56"/>
      <c r="EI70" s="56"/>
      <c r="EJ70" s="56"/>
      <c r="EK70" s="56"/>
      <c r="EL70" s="56"/>
      <c r="EM70" s="56"/>
      <c r="EN70" s="56"/>
      <c r="EO70" s="56"/>
      <c r="EP70" s="56"/>
      <c r="EQ70" s="56"/>
      <c r="ER70" s="56"/>
      <c r="ES70" s="56"/>
      <c r="ET70" s="56"/>
      <c r="EU70" s="56"/>
      <c r="EV70" s="56"/>
      <c r="EW70" s="56"/>
      <c r="EX70" s="56"/>
      <c r="EY70" s="56"/>
      <c r="EZ70" s="56"/>
      <c r="FA70" s="56"/>
      <c r="FB70" s="56"/>
      <c r="FC70" s="56"/>
      <c r="FD70" s="56"/>
      <c r="FE70" s="56"/>
      <c r="FF70" s="56"/>
      <c r="FG70" s="56"/>
      <c r="FH70" s="56"/>
      <c r="FI70" s="56"/>
      <c r="FJ70" s="56"/>
      <c r="FK70" s="56"/>
      <c r="FL70" s="56"/>
      <c r="FM70" s="56"/>
      <c r="FN70" s="56"/>
    </row>
    <row r="71" spans="1:170" s="2" customFormat="1" ht="18" customHeight="1">
      <c r="A71" s="1976"/>
      <c r="B71" s="204"/>
      <c r="C71" s="1983"/>
      <c r="D71" s="1"/>
      <c r="E71" s="183"/>
      <c r="F71" s="183"/>
      <c r="G71" s="1"/>
      <c r="H71" s="184"/>
      <c r="I71" s="192"/>
      <c r="J71" s="193"/>
      <c r="K71" s="193"/>
      <c r="L71" s="193"/>
      <c r="M71" s="194"/>
      <c r="N71" s="193"/>
      <c r="O71" s="151"/>
      <c r="P71" s="447">
        <v>0</v>
      </c>
      <c r="Q71" s="450">
        <v>1</v>
      </c>
      <c r="R71" s="447">
        <v>0</v>
      </c>
      <c r="S71" s="379"/>
      <c r="T71" s="1195"/>
      <c r="U71" s="161"/>
      <c r="V71" s="168"/>
      <c r="W71" s="161"/>
      <c r="X71" s="161"/>
      <c r="Y71" s="168"/>
      <c r="Z71" s="161"/>
      <c r="AA71" s="161"/>
      <c r="AB71" s="168"/>
      <c r="AC71" s="161"/>
      <c r="AD71" s="161"/>
      <c r="AM71" s="1"/>
      <c r="AN71" s="86"/>
      <c r="AO71" s="86"/>
      <c r="AR71" s="56"/>
      <c r="AS71" s="56"/>
      <c r="AT71" s="56"/>
      <c r="AU71" s="56"/>
      <c r="AV71" s="56"/>
      <c r="AW71" s="56"/>
      <c r="AX71" s="56"/>
      <c r="AY71" s="56"/>
      <c r="AZ71" s="56"/>
      <c r="BA71" s="56"/>
      <c r="BB71" s="56"/>
      <c r="BC71" s="56"/>
      <c r="BD71" s="56"/>
      <c r="BE71" s="56"/>
      <c r="BF71" s="56"/>
      <c r="BG71" s="56"/>
      <c r="BH71" s="56"/>
      <c r="BI71" s="56"/>
      <c r="BJ71" s="56"/>
      <c r="BK71" s="56"/>
      <c r="BL71" s="56"/>
      <c r="BM71" s="56"/>
      <c r="BN71" s="56"/>
      <c r="BO71" s="56"/>
      <c r="BP71" s="56"/>
      <c r="BQ71" s="56"/>
      <c r="BR71" s="56"/>
      <c r="BS71" s="56"/>
      <c r="BT71" s="56"/>
      <c r="BU71" s="56"/>
      <c r="BV71" s="56"/>
      <c r="BW71" s="56"/>
      <c r="BX71" s="56"/>
      <c r="BY71" s="56"/>
      <c r="BZ71" s="56"/>
      <c r="CA71" s="56"/>
      <c r="CB71" s="56"/>
      <c r="CC71" s="56"/>
      <c r="CD71" s="56"/>
      <c r="CE71" s="56"/>
      <c r="CF71" s="56"/>
      <c r="CG71" s="56"/>
      <c r="CH71" s="56"/>
      <c r="CI71" s="56"/>
      <c r="CJ71" s="56"/>
      <c r="CK71" s="56"/>
      <c r="CL71" s="56"/>
      <c r="CM71" s="56"/>
      <c r="CN71" s="56"/>
      <c r="CO71" s="56"/>
      <c r="CP71" s="56"/>
      <c r="CQ71" s="56"/>
      <c r="CR71" s="56"/>
      <c r="CS71" s="56"/>
      <c r="CT71" s="56"/>
      <c r="CU71" s="56"/>
      <c r="CV71" s="56"/>
      <c r="CW71" s="56"/>
      <c r="CX71" s="56"/>
      <c r="CY71" s="56"/>
      <c r="CZ71" s="56"/>
      <c r="DA71" s="56"/>
      <c r="DB71" s="56"/>
      <c r="DC71" s="56"/>
      <c r="DD71" s="56"/>
      <c r="DE71" s="55"/>
      <c r="DF71" s="55"/>
      <c r="DG71" s="55"/>
      <c r="DH71" s="55"/>
      <c r="DI71" s="55"/>
      <c r="DJ71" s="55"/>
      <c r="DK71" s="55"/>
      <c r="DL71" s="55"/>
      <c r="DM71" s="55"/>
      <c r="DN71" s="55"/>
      <c r="DO71" s="55"/>
      <c r="DP71" s="55"/>
      <c r="DQ71" s="55"/>
      <c r="DR71" s="55"/>
      <c r="DS71" s="55"/>
      <c r="DT71" s="55"/>
      <c r="DU71" s="55"/>
      <c r="DV71" s="55"/>
      <c r="DW71" s="55"/>
      <c r="DX71" s="55"/>
      <c r="DY71" s="55"/>
      <c r="DZ71" s="55"/>
      <c r="EA71" s="55"/>
      <c r="EB71" s="55"/>
      <c r="EC71" s="55"/>
      <c r="ED71" s="55"/>
      <c r="EE71" s="56"/>
      <c r="EF71" s="56"/>
      <c r="EG71" s="56"/>
      <c r="EH71" s="56"/>
      <c r="EI71" s="56"/>
      <c r="EJ71" s="56"/>
      <c r="EK71" s="56"/>
      <c r="EL71" s="56"/>
      <c r="EM71" s="56"/>
      <c r="EN71" s="56"/>
      <c r="EO71" s="56"/>
      <c r="EP71" s="56"/>
      <c r="EQ71" s="56"/>
      <c r="ER71" s="56"/>
      <c r="ES71" s="56"/>
      <c r="ET71" s="56"/>
      <c r="EU71" s="56"/>
      <c r="EV71" s="56"/>
      <c r="EW71" s="56"/>
      <c r="EX71" s="56"/>
      <c r="EY71" s="56"/>
      <c r="EZ71" s="56"/>
      <c r="FA71" s="56"/>
      <c r="FB71" s="56"/>
      <c r="FC71" s="56"/>
      <c r="FD71" s="56"/>
      <c r="FE71" s="56"/>
      <c r="FF71" s="56"/>
      <c r="FG71" s="56"/>
      <c r="FH71" s="56"/>
      <c r="FI71" s="56"/>
      <c r="FJ71" s="56"/>
      <c r="FK71" s="56"/>
      <c r="FL71" s="56"/>
      <c r="FM71" s="56"/>
      <c r="FN71" s="56"/>
    </row>
    <row r="72" spans="1:170" s="2" customFormat="1" ht="18" customHeight="1">
      <c r="A72" s="1976"/>
      <c r="B72" s="204"/>
      <c r="C72" s="1983"/>
      <c r="D72" s="1"/>
      <c r="E72" s="183"/>
      <c r="F72" s="183"/>
      <c r="G72" s="1"/>
      <c r="H72" s="184"/>
      <c r="I72" s="192"/>
      <c r="J72" s="193"/>
      <c r="K72" s="193"/>
      <c r="L72" s="193"/>
      <c r="M72" s="194"/>
      <c r="N72" s="193"/>
      <c r="O72" s="151"/>
      <c r="P72" s="447">
        <v>0</v>
      </c>
      <c r="Q72" s="450">
        <v>1</v>
      </c>
      <c r="R72" s="447">
        <v>0</v>
      </c>
      <c r="S72" s="379"/>
      <c r="T72" s="1195"/>
      <c r="U72" s="147"/>
      <c r="V72" s="36"/>
      <c r="W72" s="147"/>
      <c r="X72" s="147"/>
      <c r="Y72" s="36"/>
      <c r="Z72" s="147"/>
      <c r="AA72" s="147"/>
      <c r="AB72" s="36"/>
      <c r="AC72" s="147"/>
      <c r="AD72" s="147"/>
      <c r="AE72" s="1"/>
      <c r="AF72" s="1"/>
      <c r="AG72" s="1"/>
      <c r="AH72" s="1"/>
      <c r="AI72" s="1"/>
      <c r="AJ72" s="1"/>
      <c r="AK72" s="1"/>
      <c r="AL72" s="1"/>
      <c r="AM72" s="1"/>
      <c r="AN72" s="86"/>
      <c r="AO72" s="86"/>
      <c r="AR72" s="56"/>
      <c r="AS72" s="56"/>
      <c r="AT72" s="56"/>
      <c r="AU72" s="56"/>
      <c r="AV72" s="56"/>
      <c r="AW72" s="56"/>
      <c r="AX72" s="56"/>
      <c r="AY72" s="56"/>
      <c r="AZ72" s="56"/>
      <c r="BA72" s="56"/>
      <c r="BB72" s="56"/>
      <c r="BC72" s="56"/>
      <c r="BD72" s="56"/>
      <c r="BE72" s="56"/>
      <c r="BF72" s="56"/>
      <c r="BG72" s="56"/>
      <c r="BH72" s="56"/>
      <c r="BI72" s="56"/>
      <c r="BJ72" s="56"/>
      <c r="BK72" s="56"/>
      <c r="BL72" s="56"/>
      <c r="BM72" s="56"/>
      <c r="BN72" s="56"/>
      <c r="BO72" s="56"/>
      <c r="BP72" s="56"/>
      <c r="BQ72" s="56"/>
      <c r="BR72" s="56"/>
      <c r="BS72" s="56"/>
      <c r="BT72" s="56"/>
      <c r="BU72" s="56"/>
      <c r="BV72" s="56"/>
      <c r="BW72" s="56"/>
      <c r="BX72" s="56"/>
      <c r="BY72" s="56"/>
      <c r="BZ72" s="56"/>
      <c r="CA72" s="56"/>
      <c r="CB72" s="56"/>
      <c r="CC72" s="56"/>
      <c r="CD72" s="56"/>
      <c r="CE72" s="56"/>
      <c r="CF72" s="56"/>
      <c r="CG72" s="56"/>
      <c r="CH72" s="56"/>
      <c r="CI72" s="56"/>
      <c r="CJ72" s="56"/>
      <c r="CK72" s="56"/>
      <c r="CL72" s="56"/>
      <c r="CM72" s="56"/>
      <c r="CN72" s="56"/>
      <c r="CO72" s="56"/>
      <c r="CP72" s="56"/>
      <c r="CQ72" s="56"/>
      <c r="CR72" s="56"/>
      <c r="CS72" s="56"/>
      <c r="CT72" s="56"/>
      <c r="CU72" s="56"/>
      <c r="CV72" s="56"/>
      <c r="CW72" s="56"/>
      <c r="CX72" s="56"/>
      <c r="CY72" s="56"/>
      <c r="CZ72" s="56"/>
      <c r="DA72" s="56"/>
      <c r="DB72" s="56"/>
      <c r="DC72" s="56"/>
      <c r="DD72" s="56"/>
      <c r="DE72" s="55"/>
      <c r="DF72" s="55"/>
      <c r="DG72" s="55"/>
      <c r="DH72" s="55"/>
      <c r="DI72" s="55"/>
      <c r="DJ72" s="55"/>
      <c r="DK72" s="55"/>
      <c r="DL72" s="55"/>
      <c r="DM72" s="55"/>
      <c r="DN72" s="55"/>
      <c r="DO72" s="55"/>
      <c r="DP72" s="55"/>
      <c r="DQ72" s="55"/>
      <c r="DR72" s="55"/>
      <c r="DS72" s="55"/>
      <c r="DT72" s="55"/>
      <c r="DU72" s="55"/>
      <c r="DV72" s="55"/>
      <c r="DW72" s="55"/>
      <c r="DX72" s="55"/>
      <c r="DY72" s="55"/>
      <c r="DZ72" s="55"/>
      <c r="EA72" s="55"/>
      <c r="EB72" s="55"/>
      <c r="EC72" s="55"/>
      <c r="ED72" s="55"/>
      <c r="EE72" s="56"/>
      <c r="EF72" s="56"/>
      <c r="EG72" s="56"/>
      <c r="EH72" s="56"/>
      <c r="EI72" s="56"/>
      <c r="EJ72" s="56"/>
      <c r="EK72" s="56"/>
      <c r="EL72" s="56"/>
      <c r="EM72" s="56"/>
      <c r="EN72" s="56"/>
      <c r="EO72" s="56"/>
      <c r="EP72" s="56"/>
      <c r="EQ72" s="56"/>
      <c r="ER72" s="56"/>
      <c r="ES72" s="56"/>
      <c r="ET72" s="56"/>
      <c r="EU72" s="56"/>
      <c r="EV72" s="56"/>
      <c r="EW72" s="56"/>
      <c r="EX72" s="56"/>
      <c r="EY72" s="56"/>
      <c r="EZ72" s="56"/>
      <c r="FA72" s="56"/>
      <c r="FB72" s="56"/>
      <c r="FC72" s="56"/>
      <c r="FD72" s="56"/>
      <c r="FE72" s="56"/>
      <c r="FF72" s="56"/>
      <c r="FG72" s="56"/>
      <c r="FH72" s="56"/>
      <c r="FI72" s="56"/>
      <c r="FJ72" s="56"/>
      <c r="FK72" s="56"/>
      <c r="FL72" s="56"/>
      <c r="FM72" s="56"/>
      <c r="FN72" s="56"/>
    </row>
    <row r="73" spans="1:170" s="2" customFormat="1" ht="18" customHeight="1">
      <c r="A73" s="1976"/>
      <c r="B73" s="204"/>
      <c r="C73" s="1983"/>
      <c r="D73" s="1"/>
      <c r="E73" s="183"/>
      <c r="F73" s="183"/>
      <c r="G73" s="1"/>
      <c r="H73" s="184"/>
      <c r="I73" s="192"/>
      <c r="J73" s="193"/>
      <c r="K73" s="193"/>
      <c r="L73" s="193"/>
      <c r="M73" s="194"/>
      <c r="N73" s="193"/>
      <c r="O73" s="151"/>
      <c r="P73" s="447">
        <v>0</v>
      </c>
      <c r="Q73" s="450">
        <v>1</v>
      </c>
      <c r="R73" s="447">
        <v>0</v>
      </c>
      <c r="S73" s="379"/>
      <c r="T73" s="1195"/>
      <c r="U73" s="147"/>
      <c r="V73" s="36"/>
      <c r="W73" s="147"/>
      <c r="X73" s="147"/>
      <c r="Y73" s="36"/>
      <c r="Z73" s="147"/>
      <c r="AA73" s="147"/>
      <c r="AB73" s="36"/>
      <c r="AC73" s="147"/>
      <c r="AD73" s="147"/>
      <c r="AE73" s="1"/>
      <c r="AF73" s="1"/>
      <c r="AG73" s="1"/>
      <c r="AH73" s="1"/>
      <c r="AI73" s="1"/>
      <c r="AJ73" s="1"/>
      <c r="AK73" s="1"/>
      <c r="AL73" s="1"/>
      <c r="AM73" s="1"/>
      <c r="AN73" s="86"/>
      <c r="AO73" s="86"/>
      <c r="AR73" s="56"/>
      <c r="AS73" s="56"/>
      <c r="AT73" s="56"/>
      <c r="AU73" s="56"/>
      <c r="AV73" s="56"/>
      <c r="AW73" s="56"/>
      <c r="AX73" s="56"/>
      <c r="AY73" s="56"/>
      <c r="AZ73" s="56"/>
      <c r="BA73" s="56"/>
      <c r="BB73" s="56"/>
      <c r="BC73" s="56"/>
      <c r="BD73" s="56"/>
      <c r="BE73" s="56"/>
      <c r="BF73" s="56"/>
      <c r="BG73" s="56"/>
      <c r="BH73" s="56"/>
      <c r="BI73" s="56"/>
      <c r="BJ73" s="56"/>
      <c r="BK73" s="56"/>
      <c r="BL73" s="56"/>
      <c r="BM73" s="56"/>
      <c r="BN73" s="56"/>
      <c r="BO73" s="56"/>
      <c r="BP73" s="56"/>
      <c r="BQ73" s="56"/>
      <c r="BR73" s="56"/>
      <c r="BS73" s="56"/>
      <c r="BT73" s="56"/>
      <c r="BU73" s="56"/>
      <c r="BV73" s="56"/>
      <c r="BW73" s="56"/>
      <c r="BX73" s="56"/>
      <c r="BY73" s="56"/>
      <c r="BZ73" s="56"/>
      <c r="CA73" s="56"/>
      <c r="CB73" s="56"/>
      <c r="CC73" s="56"/>
      <c r="CD73" s="56"/>
      <c r="CE73" s="56"/>
      <c r="CF73" s="56"/>
      <c r="CG73" s="56"/>
      <c r="CH73" s="56"/>
      <c r="CI73" s="56"/>
      <c r="CJ73" s="56"/>
      <c r="CK73" s="56"/>
      <c r="CL73" s="56"/>
      <c r="CM73" s="56"/>
      <c r="CN73" s="56"/>
      <c r="CO73" s="56"/>
      <c r="CP73" s="56"/>
      <c r="CQ73" s="56"/>
      <c r="CR73" s="56"/>
      <c r="CS73" s="56"/>
      <c r="CT73" s="56"/>
      <c r="CU73" s="56"/>
      <c r="CV73" s="56"/>
      <c r="CW73" s="56"/>
      <c r="CX73" s="56"/>
      <c r="CY73" s="56"/>
      <c r="CZ73" s="56"/>
      <c r="DA73" s="56"/>
      <c r="DB73" s="56"/>
      <c r="DC73" s="56"/>
      <c r="DD73" s="56"/>
      <c r="DE73" s="55"/>
      <c r="DF73" s="55"/>
      <c r="DG73" s="55"/>
      <c r="DH73" s="55"/>
      <c r="DI73" s="55"/>
      <c r="DJ73" s="55"/>
      <c r="DK73" s="55"/>
      <c r="DL73" s="55"/>
      <c r="DM73" s="55"/>
      <c r="DN73" s="55"/>
      <c r="DO73" s="55"/>
      <c r="DP73" s="55"/>
      <c r="DQ73" s="55"/>
      <c r="DR73" s="55"/>
      <c r="DS73" s="55"/>
      <c r="DT73" s="55"/>
      <c r="DU73" s="55"/>
      <c r="DV73" s="55"/>
      <c r="DW73" s="55"/>
      <c r="DX73" s="55"/>
      <c r="DY73" s="55"/>
      <c r="DZ73" s="55"/>
      <c r="EA73" s="55"/>
      <c r="EB73" s="55"/>
      <c r="EC73" s="55"/>
      <c r="ED73" s="55"/>
      <c r="EE73" s="56"/>
      <c r="EF73" s="56"/>
      <c r="EG73" s="56"/>
      <c r="EH73" s="56"/>
      <c r="EI73" s="56"/>
      <c r="EJ73" s="56"/>
      <c r="EK73" s="56"/>
      <c r="EL73" s="56"/>
      <c r="EM73" s="56"/>
      <c r="EN73" s="56"/>
      <c r="EO73" s="56"/>
      <c r="EP73" s="56"/>
      <c r="EQ73" s="56"/>
      <c r="ER73" s="56"/>
      <c r="ES73" s="56"/>
      <c r="ET73" s="56"/>
      <c r="EU73" s="56"/>
      <c r="EV73" s="56"/>
      <c r="EW73" s="56"/>
      <c r="EX73" s="56"/>
      <c r="EY73" s="56"/>
      <c r="EZ73" s="56"/>
      <c r="FA73" s="56"/>
      <c r="FB73" s="56"/>
      <c r="FC73" s="56"/>
      <c r="FD73" s="56"/>
      <c r="FE73" s="56"/>
      <c r="FF73" s="56"/>
      <c r="FG73" s="56"/>
      <c r="FH73" s="56"/>
      <c r="FI73" s="56"/>
      <c r="FJ73" s="56"/>
      <c r="FK73" s="56"/>
      <c r="FL73" s="56"/>
      <c r="FM73" s="56"/>
      <c r="FN73" s="56"/>
    </row>
    <row r="74" spans="1:170" s="2" customFormat="1" ht="18" customHeight="1">
      <c r="A74" s="1976"/>
      <c r="B74" s="204"/>
      <c r="C74" s="1983"/>
      <c r="D74" s="1"/>
      <c r="E74" s="183"/>
      <c r="F74" s="183"/>
      <c r="G74" s="1"/>
      <c r="H74" s="184"/>
      <c r="I74" s="192"/>
      <c r="J74" s="193"/>
      <c r="K74" s="193"/>
      <c r="L74" s="193"/>
      <c r="M74" s="194"/>
      <c r="N74" s="193"/>
      <c r="O74" s="151"/>
      <c r="P74" s="447">
        <v>0</v>
      </c>
      <c r="Q74" s="450">
        <v>1</v>
      </c>
      <c r="R74" s="447">
        <v>0</v>
      </c>
      <c r="S74" s="379"/>
      <c r="T74" s="1195"/>
      <c r="U74" s="147"/>
      <c r="V74" s="36"/>
      <c r="W74" s="147"/>
      <c r="X74" s="147"/>
      <c r="Y74" s="36"/>
      <c r="Z74" s="147"/>
      <c r="AA74" s="147"/>
      <c r="AB74" s="36"/>
      <c r="AC74" s="147"/>
      <c r="AD74" s="147"/>
      <c r="AE74" s="1"/>
      <c r="AF74" s="1"/>
      <c r="AG74" s="1"/>
      <c r="AH74" s="1"/>
      <c r="AI74" s="1"/>
      <c r="AJ74" s="1"/>
      <c r="AK74" s="1"/>
      <c r="AL74" s="1"/>
      <c r="AM74" s="1"/>
      <c r="AN74" s="86"/>
      <c r="AO74" s="86"/>
      <c r="AR74" s="56"/>
      <c r="AS74" s="56"/>
      <c r="AT74" s="56"/>
      <c r="AU74" s="56"/>
      <c r="AV74" s="56"/>
      <c r="AW74" s="56"/>
      <c r="AX74" s="56"/>
      <c r="AY74" s="56"/>
      <c r="AZ74" s="56"/>
      <c r="BA74" s="56"/>
      <c r="BB74" s="56"/>
      <c r="BC74" s="56"/>
      <c r="BD74" s="56"/>
      <c r="BE74" s="56"/>
      <c r="BF74" s="56"/>
      <c r="BG74" s="56"/>
      <c r="BH74" s="56"/>
      <c r="BI74" s="56"/>
      <c r="BJ74" s="56"/>
      <c r="BK74" s="56"/>
      <c r="BL74" s="56"/>
      <c r="BM74" s="56"/>
      <c r="BN74" s="56"/>
      <c r="BO74" s="56"/>
      <c r="BP74" s="56"/>
      <c r="BQ74" s="56"/>
      <c r="BR74" s="56"/>
      <c r="BS74" s="56"/>
      <c r="BT74" s="56"/>
      <c r="BU74" s="56"/>
      <c r="BV74" s="56"/>
      <c r="BW74" s="56"/>
      <c r="BX74" s="56"/>
      <c r="BY74" s="56"/>
      <c r="BZ74" s="56"/>
      <c r="CA74" s="56"/>
      <c r="CB74" s="56"/>
      <c r="CC74" s="56"/>
      <c r="CD74" s="56"/>
      <c r="CE74" s="56"/>
      <c r="CF74" s="56"/>
      <c r="CG74" s="56"/>
      <c r="CH74" s="56"/>
      <c r="CI74" s="56"/>
      <c r="CJ74" s="56"/>
      <c r="CK74" s="56"/>
      <c r="CL74" s="56"/>
      <c r="CM74" s="56"/>
      <c r="CN74" s="56"/>
      <c r="CO74" s="56"/>
      <c r="CP74" s="56"/>
      <c r="CQ74" s="56"/>
      <c r="CR74" s="56"/>
      <c r="CS74" s="56"/>
      <c r="CT74" s="56"/>
      <c r="CU74" s="56"/>
      <c r="CV74" s="56"/>
      <c r="CW74" s="56"/>
      <c r="CX74" s="56"/>
      <c r="CY74" s="56"/>
      <c r="CZ74" s="56"/>
      <c r="DA74" s="56"/>
      <c r="DB74" s="56"/>
      <c r="DC74" s="56"/>
      <c r="DD74" s="56"/>
      <c r="DE74" s="55"/>
      <c r="DF74" s="55"/>
      <c r="DG74" s="55"/>
      <c r="DH74" s="55"/>
      <c r="DI74" s="55"/>
      <c r="DJ74" s="55"/>
      <c r="DK74" s="55"/>
      <c r="DL74" s="55"/>
      <c r="DM74" s="55"/>
      <c r="DN74" s="55"/>
      <c r="DO74" s="55"/>
      <c r="DP74" s="55"/>
      <c r="DQ74" s="55"/>
      <c r="DR74" s="55"/>
      <c r="DS74" s="55"/>
      <c r="DT74" s="55"/>
      <c r="DU74" s="55"/>
      <c r="DV74" s="55"/>
      <c r="DW74" s="55"/>
      <c r="DX74" s="55"/>
      <c r="DY74" s="55"/>
      <c r="DZ74" s="55"/>
      <c r="EA74" s="55"/>
      <c r="EB74" s="55"/>
      <c r="EC74" s="55"/>
      <c r="ED74" s="55"/>
      <c r="EE74" s="56"/>
      <c r="EF74" s="56"/>
      <c r="EG74" s="56"/>
      <c r="EH74" s="56"/>
      <c r="EI74" s="56"/>
      <c r="EJ74" s="56"/>
      <c r="EK74" s="56"/>
      <c r="EL74" s="56"/>
      <c r="EM74" s="56"/>
      <c r="EN74" s="56"/>
      <c r="EO74" s="56"/>
      <c r="EP74" s="56"/>
      <c r="EQ74" s="56"/>
      <c r="ER74" s="56"/>
      <c r="ES74" s="56"/>
      <c r="ET74" s="56"/>
      <c r="EU74" s="56"/>
      <c r="EV74" s="56"/>
      <c r="EW74" s="56"/>
      <c r="EX74" s="56"/>
      <c r="EY74" s="56"/>
      <c r="EZ74" s="56"/>
      <c r="FA74" s="56"/>
      <c r="FB74" s="56"/>
      <c r="FC74" s="56"/>
      <c r="FD74" s="56"/>
      <c r="FE74" s="56"/>
      <c r="FF74" s="56"/>
      <c r="FG74" s="56"/>
      <c r="FH74" s="56"/>
      <c r="FI74" s="56"/>
      <c r="FJ74" s="56"/>
      <c r="FK74" s="56"/>
      <c r="FL74" s="56"/>
      <c r="FM74" s="56"/>
      <c r="FN74" s="56"/>
    </row>
    <row r="75" spans="1:170" s="2" customFormat="1" ht="15">
      <c r="A75" s="1976"/>
      <c r="B75" s="204"/>
      <c r="C75" s="86"/>
      <c r="D75" s="1"/>
      <c r="E75" s="183"/>
      <c r="F75" s="183"/>
      <c r="G75" s="1"/>
      <c r="H75" s="184"/>
      <c r="I75" s="192"/>
      <c r="J75" s="193"/>
      <c r="K75" s="193"/>
      <c r="L75" s="193"/>
      <c r="M75" s="194"/>
      <c r="N75" s="193"/>
      <c r="O75" s="151"/>
      <c r="P75" s="447">
        <v>0</v>
      </c>
      <c r="Q75" s="450">
        <v>1</v>
      </c>
      <c r="R75" s="447">
        <v>0</v>
      </c>
      <c r="S75" s="379"/>
      <c r="T75" s="1195"/>
      <c r="U75" s="147"/>
      <c r="V75" s="36"/>
      <c r="W75" s="147"/>
      <c r="X75" s="147"/>
      <c r="Y75" s="36"/>
      <c r="Z75" s="147"/>
      <c r="AA75" s="147"/>
      <c r="AB75" s="36"/>
      <c r="AC75" s="147"/>
      <c r="AD75" s="147"/>
      <c r="AE75" s="1"/>
      <c r="AF75" s="1"/>
      <c r="AG75" s="1"/>
      <c r="AH75" s="1"/>
      <c r="AI75" s="1"/>
      <c r="AJ75" s="1"/>
      <c r="AK75" s="1"/>
      <c r="AL75" s="1"/>
      <c r="AM75" s="1"/>
      <c r="AN75" s="86"/>
      <c r="AO75" s="86"/>
      <c r="AR75" s="56"/>
      <c r="AS75" s="56"/>
      <c r="AT75" s="56"/>
      <c r="AU75" s="56"/>
      <c r="AV75" s="56"/>
      <c r="AW75" s="56"/>
      <c r="AX75" s="56"/>
      <c r="AY75" s="56"/>
      <c r="AZ75" s="56"/>
      <c r="BA75" s="56"/>
      <c r="BB75" s="56"/>
      <c r="BC75" s="56"/>
      <c r="BD75" s="56"/>
      <c r="BE75" s="56"/>
      <c r="BF75" s="56"/>
      <c r="BG75" s="56"/>
      <c r="BH75" s="56"/>
      <c r="BI75" s="56"/>
      <c r="BJ75" s="56"/>
      <c r="BK75" s="56"/>
      <c r="BL75" s="56"/>
      <c r="BM75" s="56"/>
      <c r="BN75" s="56"/>
      <c r="BO75" s="56"/>
      <c r="BP75" s="56"/>
      <c r="BQ75" s="56"/>
      <c r="BR75" s="56"/>
      <c r="BS75" s="56"/>
      <c r="BT75" s="56"/>
      <c r="BU75" s="56"/>
      <c r="BV75" s="56"/>
      <c r="BW75" s="56"/>
      <c r="BX75" s="56"/>
      <c r="BY75" s="56"/>
      <c r="BZ75" s="56"/>
      <c r="CA75" s="56"/>
      <c r="CB75" s="56"/>
      <c r="CC75" s="56"/>
      <c r="CD75" s="56"/>
      <c r="CE75" s="56"/>
      <c r="CF75" s="56"/>
      <c r="CG75" s="56"/>
      <c r="CH75" s="56"/>
      <c r="CI75" s="56"/>
      <c r="CJ75" s="56"/>
      <c r="CK75" s="56"/>
      <c r="CL75" s="56"/>
      <c r="CM75" s="56"/>
      <c r="CN75" s="56"/>
      <c r="CO75" s="56"/>
      <c r="CP75" s="56"/>
      <c r="CQ75" s="56"/>
      <c r="CR75" s="56"/>
      <c r="CS75" s="56"/>
      <c r="CT75" s="56"/>
      <c r="CU75" s="56"/>
      <c r="CV75" s="56"/>
      <c r="CW75" s="56"/>
      <c r="CX75" s="56"/>
      <c r="CY75" s="56"/>
      <c r="CZ75" s="56"/>
      <c r="DA75" s="56"/>
      <c r="DB75" s="56"/>
      <c r="DC75" s="56"/>
      <c r="DD75" s="56"/>
      <c r="DE75" s="55"/>
      <c r="DF75" s="55"/>
      <c r="DG75" s="55"/>
      <c r="DH75" s="55"/>
      <c r="DI75" s="55"/>
      <c r="DJ75" s="55"/>
      <c r="DK75" s="55"/>
      <c r="DL75" s="55"/>
      <c r="DM75" s="55"/>
      <c r="DN75" s="55"/>
      <c r="DO75" s="55"/>
      <c r="DP75" s="55"/>
      <c r="DQ75" s="55"/>
      <c r="DR75" s="55"/>
      <c r="DS75" s="55"/>
      <c r="DT75" s="55"/>
      <c r="DU75" s="55"/>
      <c r="DV75" s="55"/>
      <c r="DW75" s="55"/>
      <c r="DX75" s="55"/>
      <c r="DY75" s="55"/>
      <c r="DZ75" s="55"/>
      <c r="EA75" s="55"/>
      <c r="EB75" s="55"/>
      <c r="EC75" s="55"/>
      <c r="ED75" s="55"/>
      <c r="EE75" s="56"/>
      <c r="EF75" s="56"/>
      <c r="EG75" s="56"/>
      <c r="EH75" s="56"/>
      <c r="EI75" s="56"/>
      <c r="EJ75" s="56"/>
      <c r="EK75" s="56"/>
      <c r="EL75" s="56"/>
      <c r="EM75" s="56"/>
      <c r="EN75" s="56"/>
      <c r="EO75" s="56"/>
      <c r="EP75" s="56"/>
      <c r="EQ75" s="56"/>
      <c r="ER75" s="56"/>
      <c r="ES75" s="56"/>
      <c r="ET75" s="56"/>
      <c r="EU75" s="56"/>
      <c r="EV75" s="56"/>
      <c r="EW75" s="56"/>
      <c r="EX75" s="56"/>
      <c r="EY75" s="56"/>
      <c r="EZ75" s="56"/>
      <c r="FA75" s="56"/>
      <c r="FB75" s="56"/>
      <c r="FC75" s="56"/>
      <c r="FD75" s="56"/>
      <c r="FE75" s="56"/>
      <c r="FF75" s="56"/>
      <c r="FG75" s="56"/>
      <c r="FH75" s="56"/>
      <c r="FI75" s="56"/>
      <c r="FJ75" s="56"/>
      <c r="FK75" s="56"/>
      <c r="FL75" s="56"/>
      <c r="FM75" s="56"/>
      <c r="FN75" s="56"/>
    </row>
    <row r="76" spans="1:170" s="2" customFormat="1" ht="18" customHeight="1">
      <c r="A76" s="1976"/>
      <c r="B76" s="204"/>
      <c r="C76" s="14" t="str">
        <f>Begriffe!F114</f>
        <v>Volllaststunden pro Tag</v>
      </c>
      <c r="D76" s="379"/>
      <c r="E76" s="685"/>
      <c r="F76" s="685"/>
      <c r="G76" s="379"/>
      <c r="H76" s="184"/>
      <c r="I76" s="502" t="s">
        <v>726</v>
      </c>
      <c r="J76" s="499" t="s">
        <v>15</v>
      </c>
      <c r="K76" s="499"/>
      <c r="L76" s="193"/>
      <c r="M76" s="686">
        <f>IF(L76&lt;&gt;"",L76,Profile!$D$62)</f>
        <v>7.4000000000000021</v>
      </c>
      <c r="N76" s="499"/>
      <c r="O76" s="151"/>
      <c r="P76" s="447">
        <v>0</v>
      </c>
      <c r="Q76" s="450">
        <v>1</v>
      </c>
      <c r="R76" s="447">
        <v>0</v>
      </c>
      <c r="S76" s="379"/>
      <c r="T76" s="243" t="s">
        <v>261</v>
      </c>
      <c r="U76" s="147"/>
      <c r="V76" s="36"/>
      <c r="W76" s="147"/>
      <c r="X76" s="147"/>
      <c r="Y76" s="36"/>
      <c r="Z76" s="147"/>
      <c r="AA76" s="147"/>
      <c r="AB76" s="36"/>
      <c r="AC76" s="147"/>
      <c r="AD76" s="147"/>
      <c r="AE76" s="1"/>
      <c r="AF76" s="1"/>
      <c r="AG76" s="1"/>
      <c r="AH76" s="1"/>
      <c r="AI76" s="1"/>
      <c r="AJ76" s="1"/>
      <c r="AK76" s="1"/>
      <c r="AL76" s="1"/>
      <c r="AM76" s="1"/>
      <c r="AN76" s="86"/>
      <c r="AO76" s="86"/>
      <c r="AR76" s="56"/>
      <c r="AS76" s="56"/>
      <c r="AT76" s="56"/>
      <c r="AU76" s="56"/>
      <c r="AV76" s="56"/>
      <c r="AW76" s="56"/>
      <c r="AX76" s="56"/>
      <c r="AY76" s="56"/>
      <c r="AZ76" s="56"/>
      <c r="BA76" s="56"/>
      <c r="BB76" s="56"/>
      <c r="BC76" s="56"/>
      <c r="BD76" s="56"/>
      <c r="BE76" s="56"/>
      <c r="BF76" s="56"/>
      <c r="BG76" s="56"/>
      <c r="BH76" s="56"/>
      <c r="BI76" s="56"/>
      <c r="BJ76" s="56"/>
      <c r="BK76" s="56"/>
      <c r="BL76" s="56"/>
      <c r="BM76" s="56"/>
      <c r="BN76" s="56"/>
      <c r="BO76" s="56"/>
      <c r="BP76" s="56"/>
      <c r="BQ76" s="56"/>
      <c r="BR76" s="56"/>
      <c r="BS76" s="56"/>
      <c r="BT76" s="56"/>
      <c r="BU76" s="56"/>
      <c r="BV76" s="56"/>
      <c r="BW76" s="56"/>
      <c r="BX76" s="56"/>
      <c r="BY76" s="56"/>
      <c r="BZ76" s="56"/>
      <c r="CA76" s="56"/>
      <c r="CB76" s="56"/>
      <c r="CC76" s="56"/>
      <c r="CD76" s="56"/>
      <c r="CE76" s="56"/>
      <c r="CF76" s="56"/>
      <c r="CG76" s="56"/>
      <c r="CH76" s="56"/>
      <c r="CI76" s="56"/>
      <c r="CJ76" s="56"/>
      <c r="CK76" s="56"/>
      <c r="CL76" s="56"/>
      <c r="CM76" s="56"/>
      <c r="CN76" s="56"/>
      <c r="CO76" s="56"/>
      <c r="CP76" s="56"/>
      <c r="CQ76" s="56"/>
      <c r="CR76" s="56"/>
      <c r="CS76" s="56"/>
      <c r="CT76" s="56"/>
      <c r="CU76" s="56"/>
      <c r="CV76" s="56"/>
      <c r="CW76" s="56"/>
      <c r="CX76" s="56"/>
      <c r="CY76" s="56"/>
      <c r="CZ76" s="56"/>
      <c r="DA76" s="56"/>
      <c r="DB76" s="56"/>
      <c r="DC76" s="56"/>
      <c r="DD76" s="56"/>
      <c r="DE76" s="55"/>
      <c r="DF76" s="55"/>
      <c r="DG76" s="55"/>
      <c r="DH76" s="55"/>
      <c r="DI76" s="55"/>
      <c r="DJ76" s="55"/>
      <c r="DK76" s="55"/>
      <c r="DL76" s="55"/>
      <c r="DM76" s="55"/>
      <c r="DN76" s="55"/>
      <c r="DO76" s="55"/>
      <c r="DP76" s="55"/>
      <c r="DQ76" s="55"/>
      <c r="DR76" s="55"/>
      <c r="DS76" s="55"/>
      <c r="DT76" s="55"/>
      <c r="DU76" s="55"/>
      <c r="DV76" s="55"/>
      <c r="DW76" s="55"/>
      <c r="DX76" s="55"/>
      <c r="DY76" s="55"/>
      <c r="DZ76" s="55"/>
      <c r="EA76" s="55"/>
      <c r="EB76" s="55"/>
      <c r="EC76" s="55"/>
      <c r="ED76" s="55"/>
      <c r="EE76" s="56"/>
      <c r="EF76" s="56"/>
      <c r="EG76" s="56"/>
      <c r="EH76" s="56"/>
      <c r="EI76" s="56"/>
      <c r="EJ76" s="56"/>
      <c r="EK76" s="56"/>
      <c r="EL76" s="56"/>
      <c r="EM76" s="56"/>
      <c r="EN76" s="56"/>
      <c r="EO76" s="56"/>
      <c r="EP76" s="56"/>
      <c r="EQ76" s="56"/>
      <c r="ER76" s="56"/>
      <c r="ES76" s="56"/>
      <c r="ET76" s="56"/>
      <c r="EU76" s="56"/>
      <c r="EV76" s="56"/>
      <c r="EW76" s="56"/>
      <c r="EX76" s="56"/>
      <c r="EY76" s="56"/>
      <c r="EZ76" s="56"/>
      <c r="FA76" s="56"/>
      <c r="FB76" s="56"/>
      <c r="FC76" s="56"/>
      <c r="FD76" s="56"/>
      <c r="FE76" s="56"/>
      <c r="FF76" s="56"/>
      <c r="FG76" s="56"/>
      <c r="FH76" s="56"/>
      <c r="FI76" s="56"/>
      <c r="FJ76" s="56"/>
      <c r="FK76" s="56"/>
      <c r="FL76" s="56"/>
      <c r="FM76" s="56"/>
      <c r="FN76" s="56"/>
    </row>
    <row r="77" spans="1:170" s="11" customFormat="1" ht="18" customHeight="1">
      <c r="A77" s="1976"/>
      <c r="B77" s="204"/>
      <c r="C77" s="14" t="str">
        <f>Begriffe!F39</f>
        <v>Elektrische Leistung der Geräte</v>
      </c>
      <c r="D77" s="14"/>
      <c r="E77" s="14"/>
      <c r="F77" s="14" t="str">
        <f>Begriffe!F358</f>
        <v>Maximaler Stundenwert</v>
      </c>
      <c r="H77" s="14"/>
      <c r="I77" s="98" t="s">
        <v>956</v>
      </c>
      <c r="J77" s="377" t="s">
        <v>149</v>
      </c>
      <c r="K77" s="377"/>
      <c r="L77" s="510"/>
      <c r="M77" s="148">
        <f>IF(L77&lt;&gt;"",L77,INDEX(Eingabedaten!$D$9:$DN$53,nutzid,MATCH($C77,Eingabedaten!$D$6:$DN$6,0)))</f>
        <v>10</v>
      </c>
      <c r="N77" s="148">
        <f>INDEX(Eingabedaten!$D$9:$DN$53,nutzid,MATCH($C77,Eingabedaten!$D$6:$DN$6,0)+1)</f>
        <v>5</v>
      </c>
      <c r="O77" s="148">
        <f>INDEX(Eingabedaten!$D$9:$DN$53,nutzid,MATCH($C77,Eingabedaten!$D$6:$DN$6,0)+2)</f>
        <v>12</v>
      </c>
      <c r="P77" s="393">
        <v>1</v>
      </c>
      <c r="Q77" s="449">
        <v>1</v>
      </c>
      <c r="R77" s="393">
        <v>1</v>
      </c>
      <c r="S77" s="14"/>
      <c r="T77" s="1195"/>
      <c r="U77" s="89"/>
      <c r="V77" s="64"/>
      <c r="W77" s="158"/>
      <c r="X77" s="158"/>
      <c r="Y77" s="64"/>
      <c r="Z77" s="158"/>
      <c r="AA77" s="158"/>
      <c r="AB77" s="65"/>
      <c r="AC77" s="89"/>
      <c r="AD77" s="89"/>
      <c r="AE77" s="7"/>
      <c r="AF77" s="7"/>
      <c r="AG77" s="7"/>
      <c r="AH77" s="7"/>
      <c r="AI77" s="7"/>
      <c r="AJ77" s="7"/>
      <c r="AK77" s="7"/>
      <c r="AL77" s="7"/>
      <c r="AM77" s="7"/>
      <c r="AN77" s="87"/>
      <c r="AO77" s="8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c r="CT77" s="47"/>
      <c r="CU77" s="47"/>
      <c r="CV77" s="47"/>
      <c r="CW77" s="47"/>
      <c r="CX77" s="47"/>
      <c r="CY77" s="47"/>
      <c r="CZ77" s="47"/>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7"/>
      <c r="EB77" s="47"/>
      <c r="EC77" s="47"/>
      <c r="ED77" s="47"/>
      <c r="EE77" s="47"/>
      <c r="EF77" s="47"/>
      <c r="EG77" s="47"/>
      <c r="EH77" s="47"/>
      <c r="EI77" s="47"/>
      <c r="EJ77" s="47"/>
      <c r="EK77" s="47"/>
      <c r="EL77" s="47"/>
      <c r="EM77" s="47"/>
      <c r="EN77" s="47"/>
      <c r="EO77" s="47"/>
      <c r="EP77" s="47"/>
      <c r="EQ77" s="47"/>
      <c r="ER77" s="47"/>
      <c r="ES77" s="47"/>
      <c r="ET77" s="47"/>
      <c r="EU77" s="47"/>
      <c r="EV77" s="47"/>
      <c r="EW77" s="47"/>
      <c r="EX77" s="47"/>
      <c r="EY77" s="47"/>
      <c r="EZ77" s="47"/>
      <c r="FA77" s="47"/>
      <c r="FB77" s="47"/>
      <c r="FC77" s="47"/>
      <c r="FD77" s="47"/>
      <c r="FE77" s="47"/>
      <c r="FF77" s="47"/>
      <c r="FG77" s="47"/>
      <c r="FH77" s="47"/>
      <c r="FI77" s="47"/>
      <c r="FJ77" s="47"/>
      <c r="FK77" s="47"/>
      <c r="FL77" s="47"/>
      <c r="FM77" s="47"/>
      <c r="FN77" s="47"/>
    </row>
    <row r="78" spans="1:170" s="11" customFormat="1" ht="18" customHeight="1">
      <c r="A78" s="1976"/>
      <c r="B78" s="204"/>
      <c r="C78" s="14" t="str">
        <f>Begriffe!F41</f>
        <v>Elektrische Leistung der Prozessanlagen</v>
      </c>
      <c r="D78" s="14"/>
      <c r="E78" s="14"/>
      <c r="F78" s="14" t="str">
        <f>Begriffe!F358</f>
        <v>Maximaler Stundenwert</v>
      </c>
      <c r="H78" s="14"/>
      <c r="I78" s="98" t="s">
        <v>1425</v>
      </c>
      <c r="J78" s="377" t="s">
        <v>149</v>
      </c>
      <c r="K78" s="377"/>
      <c r="L78" s="510"/>
      <c r="M78" s="149">
        <f>IF(L78&lt;&gt;"",L78,INDEX(Eingabedaten!$D$9:$DN$53,nutzid,MATCH($C78,Eingabedaten!$D$6:$DN$6,0)))</f>
        <v>0</v>
      </c>
      <c r="N78" s="149">
        <f>INDEX(Eingabedaten!$D$9:$DN$53,nutzid,MATCH($C78,Eingabedaten!$D$6:$DN$6,0)+1)</f>
        <v>0</v>
      </c>
      <c r="O78" s="149">
        <f>INDEX(Eingabedaten!$D$9:$DN$53,nutzid,MATCH($C78,Eingabedaten!$D$6:$DN$6,0)+2)</f>
        <v>0</v>
      </c>
      <c r="P78" s="393">
        <v>1</v>
      </c>
      <c r="Q78" s="449">
        <v>1</v>
      </c>
      <c r="R78" s="393"/>
      <c r="S78" s="14"/>
      <c r="T78" s="1195"/>
      <c r="U78" s="89"/>
      <c r="V78" s="64"/>
      <c r="W78" s="158"/>
      <c r="X78" s="158"/>
      <c r="Y78" s="64"/>
      <c r="Z78" s="158"/>
      <c r="AA78" s="158"/>
      <c r="AB78" s="65"/>
      <c r="AC78" s="89"/>
      <c r="AD78" s="89"/>
      <c r="AE78" s="7"/>
      <c r="AF78" s="7"/>
      <c r="AG78" s="7"/>
      <c r="AH78" s="7"/>
      <c r="AI78" s="7"/>
      <c r="AJ78" s="7"/>
      <c r="AK78" s="7"/>
      <c r="AL78" s="7"/>
      <c r="AM78" s="7"/>
      <c r="AN78" s="87"/>
      <c r="AO78" s="8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c r="CT78" s="47"/>
      <c r="CU78" s="47"/>
      <c r="CV78" s="47"/>
      <c r="CW78" s="47"/>
      <c r="CX78" s="47"/>
      <c r="CY78" s="47"/>
      <c r="CZ78" s="47"/>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row>
    <row r="79" spans="1:170" s="11" customFormat="1" ht="18" customHeight="1">
      <c r="A79" s="1976"/>
      <c r="B79" s="204"/>
      <c r="C79" s="14" t="str">
        <f>Begriffe!F73</f>
        <v>Leistung ausserhalb der Nutzungszeit</v>
      </c>
      <c r="D79" s="14"/>
      <c r="E79" s="14"/>
      <c r="F79" s="14"/>
      <c r="G79" s="14"/>
      <c r="H79" s="14"/>
      <c r="I79" s="502" t="s">
        <v>727</v>
      </c>
      <c r="J79" s="377" t="s">
        <v>5</v>
      </c>
      <c r="K79" s="377"/>
      <c r="L79" s="514"/>
      <c r="M79" s="443">
        <f>INDEX(Eingabedaten!$D$9:$FK$53,nutzid,MATCH($C79,Eingabedaten!$D$6:$FK$6,0))</f>
        <v>20</v>
      </c>
      <c r="N79" s="687"/>
      <c r="O79" s="443"/>
      <c r="P79" s="393">
        <v>0</v>
      </c>
      <c r="Q79" s="449">
        <v>1</v>
      </c>
      <c r="R79" s="393">
        <v>0</v>
      </c>
      <c r="S79" s="14"/>
      <c r="T79" s="1195"/>
      <c r="U79" s="89"/>
      <c r="V79" s="64"/>
      <c r="W79" s="158"/>
      <c r="X79" s="158"/>
      <c r="Y79" s="64"/>
      <c r="Z79" s="158"/>
      <c r="AA79" s="158"/>
      <c r="AB79" s="65"/>
      <c r="AC79" s="89"/>
      <c r="AD79" s="89"/>
      <c r="AE79" s="7"/>
      <c r="AF79" s="7"/>
      <c r="AG79" s="7"/>
      <c r="AH79" s="7"/>
      <c r="AI79" s="7"/>
      <c r="AJ79" s="7"/>
      <c r="AK79" s="7"/>
      <c r="AL79" s="7"/>
      <c r="AM79" s="7"/>
      <c r="AN79" s="87"/>
      <c r="AO79" s="8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c r="CT79" s="47"/>
      <c r="CU79" s="47"/>
      <c r="CV79" s="47"/>
      <c r="CW79" s="47"/>
      <c r="CX79" s="47"/>
      <c r="CY79" s="47"/>
      <c r="CZ79" s="47"/>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7"/>
      <c r="EB79" s="47"/>
      <c r="EC79" s="47"/>
      <c r="ED79" s="47"/>
      <c r="EE79" s="47"/>
      <c r="EF79" s="47"/>
      <c r="EG79" s="47"/>
      <c r="EH79" s="47"/>
      <c r="EI79" s="47"/>
      <c r="EJ79" s="47"/>
      <c r="EK79" s="47"/>
      <c r="EL79" s="47"/>
      <c r="EM79" s="47"/>
      <c r="EN79" s="47"/>
      <c r="EO79" s="47"/>
      <c r="EP79" s="47"/>
      <c r="EQ79" s="47"/>
      <c r="ER79" s="47"/>
      <c r="ES79" s="47"/>
      <c r="ET79" s="47"/>
      <c r="EU79" s="47"/>
      <c r="EV79" s="47"/>
      <c r="EW79" s="47"/>
      <c r="EX79" s="47"/>
      <c r="EY79" s="47"/>
      <c r="EZ79" s="47"/>
      <c r="FA79" s="47"/>
      <c r="FB79" s="47"/>
      <c r="FC79" s="47"/>
      <c r="FD79" s="47"/>
      <c r="FE79" s="47"/>
      <c r="FF79" s="47"/>
      <c r="FG79" s="47"/>
      <c r="FH79" s="47"/>
      <c r="FI79" s="47"/>
      <c r="FJ79" s="47"/>
      <c r="FK79" s="47"/>
      <c r="FL79" s="47"/>
      <c r="FM79" s="47"/>
      <c r="FN79" s="47"/>
    </row>
    <row r="80" spans="1:170" s="11" customFormat="1" ht="18" customHeight="1">
      <c r="A80" s="1976"/>
      <c r="B80" s="204"/>
      <c r="C80" s="14" t="str">
        <f>Begriffe!F121</f>
        <v>Wärmeeintragsleistung der Geräte</v>
      </c>
      <c r="D80" s="14"/>
      <c r="E80" s="14"/>
      <c r="F80" s="14"/>
      <c r="G80" s="14"/>
      <c r="H80" s="14"/>
      <c r="I80" s="155" t="s">
        <v>1428</v>
      </c>
      <c r="J80" s="377" t="s">
        <v>149</v>
      </c>
      <c r="K80" s="377"/>
      <c r="L80" s="512"/>
      <c r="M80" s="443">
        <f>IF(L80&lt;&gt;"",L80,INDEX(Eingabedaten!$D$9:$DN$53,nutzid,MATCH($C80,Eingabedaten!$D$6:$DN$6,0)))</f>
        <v>10</v>
      </c>
      <c r="N80" s="443">
        <f>INDEX(Eingabedaten!$D$9:$DN$53,nutzid,MATCH($C80,Eingabedaten!$D$6:$DN$6,0)+1)</f>
        <v>5</v>
      </c>
      <c r="O80" s="443">
        <f>INDEX(Eingabedaten!$D$9:$DN$53,nutzid,MATCH($C80,Eingabedaten!$D$6:$DN$6,0)+2)</f>
        <v>12</v>
      </c>
      <c r="P80" s="393">
        <v>0</v>
      </c>
      <c r="Q80" s="449">
        <v>1</v>
      </c>
      <c r="R80" s="393">
        <v>0</v>
      </c>
      <c r="S80" s="14"/>
      <c r="T80" s="1195"/>
      <c r="U80" s="89"/>
      <c r="V80" s="64"/>
      <c r="W80" s="158"/>
      <c r="X80" s="158"/>
      <c r="Y80" s="64"/>
      <c r="Z80" s="158"/>
      <c r="AA80" s="158"/>
      <c r="AB80" s="65"/>
      <c r="AC80" s="89"/>
      <c r="AD80" s="89"/>
      <c r="AE80" s="7"/>
      <c r="AF80" s="7"/>
      <c r="AG80" s="7"/>
      <c r="AH80" s="7"/>
      <c r="AI80" s="7"/>
      <c r="AJ80" s="7"/>
      <c r="AK80" s="7"/>
      <c r="AL80" s="7"/>
      <c r="AM80" s="7"/>
      <c r="AN80" s="87"/>
      <c r="AO80" s="8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c r="CT80" s="47"/>
      <c r="CU80" s="47"/>
      <c r="CV80" s="47"/>
      <c r="CW80" s="47"/>
      <c r="CX80" s="47"/>
      <c r="CY80" s="47"/>
      <c r="CZ80" s="47"/>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7"/>
      <c r="EB80" s="47"/>
      <c r="EC80" s="47"/>
      <c r="ED80" s="47"/>
      <c r="EE80" s="47"/>
      <c r="EF80" s="47"/>
      <c r="EG80" s="47"/>
      <c r="EH80" s="47"/>
      <c r="EI80" s="47"/>
      <c r="EJ80" s="47"/>
      <c r="EK80" s="47"/>
      <c r="EL80" s="47"/>
      <c r="EM80" s="47"/>
      <c r="EN80" s="47"/>
      <c r="EO80" s="47"/>
      <c r="EP80" s="47"/>
      <c r="EQ80" s="47"/>
      <c r="ER80" s="47"/>
      <c r="ES80" s="47"/>
      <c r="ET80" s="47"/>
      <c r="EU80" s="47"/>
      <c r="EV80" s="47"/>
      <c r="EW80" s="47"/>
      <c r="EX80" s="47"/>
      <c r="EY80" s="47"/>
      <c r="EZ80" s="47"/>
      <c r="FA80" s="47"/>
      <c r="FB80" s="47"/>
      <c r="FC80" s="47"/>
      <c r="FD80" s="47"/>
      <c r="FE80" s="47"/>
      <c r="FF80" s="47"/>
      <c r="FG80" s="47"/>
      <c r="FH80" s="47"/>
      <c r="FI80" s="47"/>
      <c r="FJ80" s="47"/>
      <c r="FK80" s="47"/>
      <c r="FL80" s="47"/>
      <c r="FM80" s="47"/>
      <c r="FN80" s="47"/>
    </row>
    <row r="81" spans="1:170" s="11" customFormat="1" ht="15" hidden="1">
      <c r="A81" s="1976"/>
      <c r="B81" s="204"/>
      <c r="C81" s="13" t="s">
        <v>1414</v>
      </c>
      <c r="D81" s="13"/>
      <c r="E81" s="13"/>
      <c r="F81" s="13"/>
      <c r="G81" s="13"/>
      <c r="H81" s="13"/>
      <c r="I81" s="123" t="s">
        <v>534</v>
      </c>
      <c r="J81" s="103" t="s">
        <v>535</v>
      </c>
      <c r="K81" s="103"/>
      <c r="L81" s="195"/>
      <c r="M81" s="443">
        <f>M80*$M$76</f>
        <v>74.000000000000028</v>
      </c>
      <c r="N81" s="443">
        <f>N80*$M$76</f>
        <v>37.000000000000014</v>
      </c>
      <c r="O81" s="443">
        <f>O80*$M$76</f>
        <v>88.800000000000026</v>
      </c>
      <c r="P81" s="393">
        <v>0</v>
      </c>
      <c r="Q81" s="449">
        <v>0</v>
      </c>
      <c r="R81" s="393">
        <v>0</v>
      </c>
      <c r="S81" s="14"/>
      <c r="T81" s="1195"/>
      <c r="U81" s="89"/>
      <c r="V81" s="64"/>
      <c r="W81" s="158"/>
      <c r="X81" s="158"/>
      <c r="Y81" s="64"/>
      <c r="Z81" s="158"/>
      <c r="AA81" s="158"/>
      <c r="AB81" s="65"/>
      <c r="AC81" s="89"/>
      <c r="AD81" s="89"/>
      <c r="AE81" s="7"/>
      <c r="AF81" s="7"/>
      <c r="AG81" s="7"/>
      <c r="AH81" s="7"/>
      <c r="AI81" s="7"/>
      <c r="AJ81" s="7"/>
      <c r="AK81" s="7"/>
      <c r="AL81" s="7"/>
      <c r="AM81" s="7"/>
      <c r="AN81" s="87"/>
      <c r="AO81" s="8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c r="CT81" s="47"/>
      <c r="CU81" s="47"/>
      <c r="CV81" s="47"/>
      <c r="CW81" s="47"/>
      <c r="CX81" s="47"/>
      <c r="CY81" s="47"/>
      <c r="CZ81" s="47"/>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7"/>
      <c r="EB81" s="47"/>
      <c r="EC81" s="47"/>
      <c r="ED81" s="47"/>
      <c r="EE81" s="47"/>
      <c r="EF81" s="47"/>
      <c r="EG81" s="47"/>
      <c r="EH81" s="47"/>
      <c r="EI81" s="47"/>
      <c r="EJ81" s="47"/>
      <c r="EK81" s="47"/>
      <c r="EL81" s="47"/>
      <c r="EM81" s="47"/>
      <c r="EN81" s="47"/>
      <c r="EO81" s="47"/>
      <c r="EP81" s="47"/>
      <c r="EQ81" s="47"/>
      <c r="ER81" s="47"/>
      <c r="ES81" s="47"/>
      <c r="ET81" s="47"/>
      <c r="EU81" s="47"/>
      <c r="EV81" s="47"/>
      <c r="EW81" s="47"/>
      <c r="EX81" s="47"/>
      <c r="EY81" s="47"/>
      <c r="EZ81" s="47"/>
      <c r="FA81" s="47"/>
      <c r="FB81" s="47"/>
      <c r="FC81" s="47"/>
      <c r="FD81" s="47"/>
      <c r="FE81" s="47"/>
      <c r="FF81" s="47"/>
      <c r="FG81" s="47"/>
      <c r="FH81" s="47"/>
      <c r="FI81" s="47"/>
      <c r="FJ81" s="47"/>
      <c r="FK81" s="47"/>
      <c r="FL81" s="47"/>
      <c r="FM81" s="47"/>
      <c r="FN81" s="47"/>
    </row>
    <row r="82" spans="1:170" s="11" customFormat="1" ht="18" customHeight="1">
      <c r="A82" s="1976"/>
      <c r="B82" s="204"/>
      <c r="C82" s="14" t="str">
        <f>Begriffe!F56</f>
        <v>Jährliche Volllaststunden der Geräte und Prozessanlagen</v>
      </c>
      <c r="D82" s="14"/>
      <c r="E82" s="14"/>
      <c r="F82" s="14"/>
      <c r="G82" s="14"/>
      <c r="H82" s="14"/>
      <c r="I82" s="98" t="s">
        <v>1426</v>
      </c>
      <c r="J82" s="377" t="s">
        <v>15</v>
      </c>
      <c r="K82" s="1079"/>
      <c r="L82" s="1080"/>
      <c r="M82" s="149">
        <f>ROUND(Profile!$L$611,-1)</f>
        <v>2160</v>
      </c>
      <c r="N82" s="149">
        <f>M82</f>
        <v>2160</v>
      </c>
      <c r="O82" s="149">
        <f>M82</f>
        <v>2160</v>
      </c>
      <c r="P82" s="393">
        <v>1</v>
      </c>
      <c r="Q82" s="449">
        <v>1</v>
      </c>
      <c r="R82" s="393">
        <v>0</v>
      </c>
      <c r="S82" s="14"/>
      <c r="T82" s="243" t="s">
        <v>261</v>
      </c>
      <c r="U82" s="89"/>
      <c r="V82" s="64"/>
      <c r="W82" s="158"/>
      <c r="X82" s="158"/>
      <c r="Y82" s="64"/>
      <c r="Z82" s="158"/>
      <c r="AA82" s="158"/>
      <c r="AB82" s="65"/>
      <c r="AC82" s="89"/>
      <c r="AD82" s="89"/>
      <c r="AE82" s="7"/>
      <c r="AF82" s="7"/>
      <c r="AG82" s="7"/>
      <c r="AH82" s="7"/>
      <c r="AI82" s="7"/>
      <c r="AJ82" s="7"/>
      <c r="AK82" s="7"/>
      <c r="AL82" s="7"/>
      <c r="AM82" s="7"/>
      <c r="AN82" s="87"/>
      <c r="AO82" s="8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c r="CT82" s="47"/>
      <c r="CU82" s="47"/>
      <c r="CV82" s="47"/>
      <c r="CW82" s="47"/>
      <c r="CX82" s="47"/>
      <c r="CY82" s="47"/>
      <c r="CZ82" s="47"/>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7"/>
      <c r="EB82" s="47"/>
      <c r="EC82" s="47"/>
      <c r="ED82" s="47"/>
      <c r="EE82" s="47"/>
      <c r="EF82" s="47"/>
      <c r="EG82" s="47"/>
      <c r="EH82" s="47"/>
      <c r="EI82" s="47"/>
      <c r="EJ82" s="47"/>
      <c r="EK82" s="47"/>
      <c r="EL82" s="47"/>
      <c r="EM82" s="47"/>
      <c r="EN82" s="47"/>
      <c r="EO82" s="47"/>
      <c r="EP82" s="47"/>
      <c r="EQ82" s="47"/>
      <c r="ER82" s="47"/>
      <c r="ES82" s="47"/>
      <c r="ET82" s="47"/>
      <c r="EU82" s="47"/>
      <c r="EV82" s="47"/>
      <c r="EW82" s="47"/>
      <c r="EX82" s="47"/>
      <c r="EY82" s="47"/>
      <c r="EZ82" s="47"/>
      <c r="FA82" s="47"/>
      <c r="FB82" s="47"/>
      <c r="FC82" s="47"/>
      <c r="FD82" s="47"/>
      <c r="FE82" s="47"/>
      <c r="FF82" s="47"/>
      <c r="FG82" s="47"/>
      <c r="FH82" s="47"/>
      <c r="FI82" s="47"/>
      <c r="FJ82" s="47"/>
      <c r="FK82" s="47"/>
      <c r="FL82" s="47"/>
      <c r="FM82" s="47"/>
      <c r="FN82" s="47"/>
    </row>
    <row r="83" spans="1:170" s="11" customFormat="1" ht="18" hidden="1" customHeight="1">
      <c r="A83" s="1976"/>
      <c r="B83" s="204"/>
      <c r="C83" s="471" t="str">
        <f>Begriffe!F51</f>
        <v>Interne Wärmeeinträge der Geräte pro Jahr</v>
      </c>
      <c r="D83" s="395"/>
      <c r="E83" s="395"/>
      <c r="F83" s="395"/>
      <c r="G83" s="395"/>
      <c r="H83" s="395"/>
      <c r="I83" s="482" t="s">
        <v>1120</v>
      </c>
      <c r="J83" s="397" t="s">
        <v>62</v>
      </c>
      <c r="K83" s="1081"/>
      <c r="L83" s="1082"/>
      <c r="M83" s="1092">
        <f>M80*M82/1000</f>
        <v>21.6</v>
      </c>
      <c r="N83" s="1092">
        <f>N80*N82/1000</f>
        <v>10.8</v>
      </c>
      <c r="O83" s="1092">
        <f>O80*O82/1000</f>
        <v>25.92</v>
      </c>
      <c r="P83" s="393">
        <v>1</v>
      </c>
      <c r="Q83" s="449"/>
      <c r="R83" s="393"/>
      <c r="S83" s="14"/>
      <c r="T83" s="1195"/>
      <c r="U83" s="89"/>
      <c r="V83" s="64"/>
      <c r="W83" s="158"/>
      <c r="X83" s="158"/>
      <c r="Y83" s="64"/>
      <c r="Z83" s="158"/>
      <c r="AA83" s="158"/>
      <c r="AB83" s="65"/>
      <c r="AC83" s="89"/>
      <c r="AD83" s="89"/>
      <c r="AE83" s="7"/>
      <c r="AF83" s="7"/>
      <c r="AG83" s="7"/>
      <c r="AH83" s="7"/>
      <c r="AI83" s="7"/>
      <c r="AJ83" s="7"/>
      <c r="AK83" s="7"/>
      <c r="AL83" s="7"/>
      <c r="AM83" s="7"/>
      <c r="AN83" s="87"/>
      <c r="AO83" s="8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c r="CT83" s="47"/>
      <c r="CU83" s="47"/>
      <c r="CV83" s="47"/>
      <c r="CW83" s="47"/>
      <c r="CX83" s="47"/>
      <c r="CY83" s="47"/>
      <c r="CZ83" s="47"/>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7"/>
      <c r="EB83" s="47"/>
      <c r="EC83" s="47"/>
      <c r="ED83" s="47"/>
      <c r="EE83" s="47"/>
      <c r="EF83" s="47"/>
      <c r="EG83" s="47"/>
      <c r="EH83" s="47"/>
      <c r="EI83" s="47"/>
      <c r="EJ83" s="47"/>
      <c r="EK83" s="47"/>
      <c r="EL83" s="47"/>
      <c r="EM83" s="47"/>
      <c r="EN83" s="47"/>
      <c r="EO83" s="47"/>
      <c r="EP83" s="47"/>
      <c r="EQ83" s="47"/>
      <c r="ER83" s="47"/>
      <c r="ES83" s="47"/>
      <c r="ET83" s="47"/>
      <c r="EU83" s="47"/>
      <c r="EV83" s="47"/>
      <c r="EW83" s="47"/>
      <c r="EX83" s="47"/>
      <c r="EY83" s="47"/>
      <c r="EZ83" s="47"/>
      <c r="FA83" s="47"/>
      <c r="FB83" s="47"/>
      <c r="FC83" s="47"/>
      <c r="FD83" s="47"/>
      <c r="FE83" s="47"/>
      <c r="FF83" s="47"/>
      <c r="FG83" s="47"/>
      <c r="FH83" s="47"/>
      <c r="FI83" s="47"/>
      <c r="FJ83" s="47"/>
      <c r="FK83" s="47"/>
      <c r="FL83" s="47"/>
      <c r="FM83" s="47"/>
      <c r="FN83" s="47"/>
    </row>
    <row r="84" spans="1:170" s="11" customFormat="1" ht="18" customHeight="1">
      <c r="A84" s="1976"/>
      <c r="B84" s="204"/>
      <c r="C84" s="14" t="str">
        <f>Begriffe!F62</f>
        <v>Jährlicher Elektrizitätsbedarf der Geräte</v>
      </c>
      <c r="D84" s="182"/>
      <c r="E84" s="182"/>
      <c r="F84" s="182"/>
      <c r="G84" s="182"/>
      <c r="H84" s="688"/>
      <c r="I84" s="689" t="s">
        <v>957</v>
      </c>
      <c r="J84" s="683" t="s">
        <v>441</v>
      </c>
      <c r="K84" s="1083"/>
      <c r="L84" s="1084"/>
      <c r="M84" s="1394">
        <f>M77*M82/1000</f>
        <v>21.6</v>
      </c>
      <c r="N84" s="1394">
        <f>N77*N82/1000</f>
        <v>10.8</v>
      </c>
      <c r="O84" s="1394">
        <f>O77*O82/1000</f>
        <v>25.92</v>
      </c>
      <c r="P84" s="393">
        <v>1</v>
      </c>
      <c r="Q84" s="392">
        <v>1</v>
      </c>
      <c r="R84" s="393">
        <v>0</v>
      </c>
      <c r="S84" s="14"/>
      <c r="T84" s="243"/>
      <c r="U84" s="89"/>
      <c r="V84" s="64"/>
      <c r="W84" s="158"/>
      <c r="X84" s="158"/>
      <c r="Y84" s="64"/>
      <c r="Z84" s="158"/>
      <c r="AA84" s="158"/>
      <c r="AB84" s="65"/>
      <c r="AC84" s="89"/>
      <c r="AD84" s="89"/>
      <c r="AE84" s="7"/>
      <c r="AF84" s="7"/>
      <c r="AG84" s="7"/>
      <c r="AH84" s="7"/>
      <c r="AI84" s="7"/>
      <c r="AJ84" s="7"/>
      <c r="AK84" s="7"/>
      <c r="AL84" s="7"/>
      <c r="AM84" s="7"/>
      <c r="AN84" s="87"/>
      <c r="AO84" s="8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c r="CT84" s="47"/>
      <c r="CU84" s="47"/>
      <c r="CV84" s="47"/>
      <c r="CW84" s="47"/>
      <c r="CX84" s="47"/>
      <c r="CY84" s="47"/>
      <c r="CZ84" s="47"/>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7"/>
      <c r="EB84" s="47"/>
      <c r="EC84" s="47"/>
      <c r="ED84" s="47"/>
      <c r="EE84" s="47"/>
      <c r="EF84" s="47"/>
      <c r="EG84" s="47"/>
      <c r="EH84" s="47"/>
      <c r="EI84" s="47"/>
      <c r="EJ84" s="47"/>
      <c r="EK84" s="47"/>
      <c r="EL84" s="47"/>
      <c r="EM84" s="47"/>
      <c r="EN84" s="47"/>
      <c r="EO84" s="47"/>
      <c r="EP84" s="47"/>
      <c r="EQ84" s="47"/>
      <c r="ER84" s="47"/>
      <c r="ES84" s="47"/>
      <c r="ET84" s="47"/>
      <c r="EU84" s="47"/>
      <c r="EV84" s="47"/>
      <c r="EW84" s="47"/>
      <c r="EX84" s="47"/>
      <c r="EY84" s="47"/>
      <c r="EZ84" s="47"/>
      <c r="FA84" s="47"/>
      <c r="FB84" s="47"/>
      <c r="FC84" s="47"/>
      <c r="FD84" s="47"/>
      <c r="FE84" s="47"/>
      <c r="FF84" s="47"/>
      <c r="FG84" s="47"/>
      <c r="FH84" s="47"/>
      <c r="FI84" s="47"/>
      <c r="FJ84" s="47"/>
      <c r="FK84" s="47"/>
      <c r="FL84" s="47"/>
      <c r="FM84" s="47"/>
      <c r="FN84" s="47"/>
    </row>
    <row r="85" spans="1:170" s="11" customFormat="1" ht="18" customHeight="1">
      <c r="A85" s="1977"/>
      <c r="B85" s="204"/>
      <c r="C85" s="14" t="str">
        <f>Begriffe!F64</f>
        <v>Jährlicher Elektrizitätsbedarf der Prozessanlagen</v>
      </c>
      <c r="D85" s="182"/>
      <c r="E85" s="182"/>
      <c r="F85" s="182"/>
      <c r="G85" s="182"/>
      <c r="H85" s="182"/>
      <c r="I85" s="689" t="s">
        <v>1427</v>
      </c>
      <c r="J85" s="683" t="s">
        <v>441</v>
      </c>
      <c r="K85" s="1091"/>
      <c r="L85" s="1084"/>
      <c r="M85" s="690">
        <f>M78*M82/1000</f>
        <v>0</v>
      </c>
      <c r="N85" s="690">
        <f>N78*N82/1000</f>
        <v>0</v>
      </c>
      <c r="O85" s="690">
        <f>O78*O82/1000</f>
        <v>0</v>
      </c>
      <c r="P85" s="393">
        <v>1</v>
      </c>
      <c r="Q85" s="392">
        <v>1</v>
      </c>
      <c r="R85" s="393"/>
      <c r="S85" s="14"/>
      <c r="T85" s="243"/>
      <c r="U85" s="89"/>
      <c r="V85" s="64"/>
      <c r="W85" s="158"/>
      <c r="X85" s="158"/>
      <c r="Y85" s="64"/>
      <c r="Z85" s="158"/>
      <c r="AA85" s="158"/>
      <c r="AB85" s="65"/>
      <c r="AC85" s="89"/>
      <c r="AD85" s="89"/>
      <c r="AE85" s="7"/>
      <c r="AF85" s="7"/>
      <c r="AG85" s="7"/>
      <c r="AH85" s="7"/>
      <c r="AI85" s="7"/>
      <c r="AJ85" s="7"/>
      <c r="AK85" s="7"/>
      <c r="AL85" s="7"/>
      <c r="AM85" s="7"/>
      <c r="AN85" s="87"/>
      <c r="AO85" s="8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c r="FI85" s="47"/>
      <c r="FJ85" s="47"/>
      <c r="FK85" s="47"/>
      <c r="FL85" s="47"/>
      <c r="FM85" s="47"/>
      <c r="FN85" s="47"/>
    </row>
    <row r="86" spans="1:170" s="5" customFormat="1" ht="2.25" customHeight="1">
      <c r="A86" s="113"/>
      <c r="B86" s="495"/>
      <c r="C86" s="114"/>
      <c r="D86" s="114"/>
      <c r="E86" s="114"/>
      <c r="F86" s="114"/>
      <c r="G86" s="114"/>
      <c r="H86" s="114"/>
      <c r="I86" s="120"/>
      <c r="J86" s="121"/>
      <c r="K86" s="1085"/>
      <c r="L86" s="1086"/>
      <c r="M86" s="122"/>
      <c r="N86" s="136"/>
      <c r="O86" s="136"/>
      <c r="P86" s="393">
        <v>0</v>
      </c>
      <c r="Q86" s="449">
        <v>1</v>
      </c>
      <c r="R86" s="393">
        <v>0</v>
      </c>
      <c r="S86" s="379"/>
      <c r="T86" s="618"/>
      <c r="U86" s="147"/>
      <c r="V86" s="27"/>
      <c r="W86" s="138"/>
      <c r="X86" s="138"/>
      <c r="Y86" s="27"/>
      <c r="Z86" s="138"/>
      <c r="AA86" s="138"/>
      <c r="AB86" s="36"/>
      <c r="AC86" s="147"/>
      <c r="AD86" s="147"/>
      <c r="AE86" s="36"/>
      <c r="AF86" s="36"/>
      <c r="AG86" s="36"/>
      <c r="AH86" s="36"/>
      <c r="AI86" s="36"/>
      <c r="AJ86" s="36"/>
      <c r="AK86" s="36"/>
      <c r="AL86" s="36"/>
      <c r="AM86" s="36"/>
      <c r="AN86" s="84"/>
      <c r="AO86" s="84"/>
      <c r="AP86" s="85"/>
      <c r="AQ86" s="85"/>
      <c r="AR86" s="54"/>
      <c r="AS86" s="54"/>
      <c r="AT86" s="54"/>
      <c r="AU86" s="54"/>
      <c r="AV86" s="54"/>
      <c r="AW86" s="54"/>
      <c r="AX86" s="54"/>
      <c r="AY86" s="54"/>
      <c r="AZ86" s="54"/>
      <c r="BA86" s="54"/>
      <c r="BB86" s="54"/>
      <c r="BC86" s="54"/>
      <c r="BD86" s="54"/>
      <c r="BE86" s="54"/>
      <c r="BF86" s="54"/>
      <c r="BG86" s="54"/>
      <c r="BH86" s="54"/>
      <c r="BI86" s="54"/>
      <c r="BJ86" s="54"/>
      <c r="BK86" s="54"/>
      <c r="BL86" s="54"/>
      <c r="BM86" s="54"/>
      <c r="BN86" s="54"/>
      <c r="BO86" s="54"/>
      <c r="BP86" s="54"/>
      <c r="BQ86" s="54"/>
      <c r="BR86" s="54"/>
      <c r="BS86" s="54"/>
      <c r="BT86" s="54"/>
      <c r="BU86" s="54"/>
      <c r="BV86" s="54"/>
      <c r="BW86" s="54"/>
      <c r="BX86" s="54"/>
      <c r="BY86" s="54"/>
      <c r="BZ86" s="54"/>
      <c r="CA86" s="54"/>
      <c r="CB86" s="54"/>
      <c r="CC86" s="54"/>
      <c r="CD86" s="54"/>
      <c r="CE86" s="54"/>
      <c r="CF86" s="54"/>
      <c r="CG86" s="54"/>
      <c r="CH86" s="54"/>
      <c r="CI86" s="54"/>
      <c r="CJ86" s="54"/>
      <c r="CK86" s="54"/>
      <c r="CL86" s="54"/>
      <c r="CM86" s="54"/>
      <c r="CN86" s="54"/>
      <c r="CO86" s="54"/>
      <c r="CP86" s="54"/>
      <c r="CQ86" s="54"/>
      <c r="CR86" s="54"/>
      <c r="CS86" s="54"/>
      <c r="CT86" s="54"/>
      <c r="CU86" s="54"/>
      <c r="CV86" s="55"/>
      <c r="CW86" s="55"/>
      <c r="CX86" s="55"/>
      <c r="CY86" s="55"/>
      <c r="CZ86" s="55"/>
      <c r="DA86" s="55"/>
      <c r="DB86" s="55"/>
      <c r="DC86" s="55"/>
      <c r="DD86" s="55"/>
      <c r="DE86" s="55"/>
      <c r="DF86" s="55"/>
      <c r="DG86" s="55"/>
      <c r="DH86" s="55"/>
      <c r="DI86" s="55"/>
      <c r="DJ86" s="55"/>
      <c r="DK86" s="55"/>
      <c r="DL86" s="55"/>
      <c r="DM86" s="55"/>
      <c r="DN86" s="55"/>
      <c r="DO86" s="55"/>
      <c r="DP86" s="55"/>
      <c r="DQ86" s="55"/>
      <c r="DR86" s="55"/>
      <c r="DS86" s="55"/>
      <c r="DT86" s="55"/>
      <c r="DU86" s="55"/>
      <c r="DV86" s="55"/>
      <c r="DW86" s="55"/>
      <c r="DX86" s="55"/>
      <c r="DY86" s="55"/>
      <c r="DZ86" s="55"/>
      <c r="EA86" s="55"/>
      <c r="EB86" s="55"/>
      <c r="EC86" s="55"/>
      <c r="ED86" s="55"/>
      <c r="EE86" s="53"/>
      <c r="EF86" s="53"/>
      <c r="EG86" s="53"/>
      <c r="EH86" s="53"/>
      <c r="EI86" s="53"/>
      <c r="EJ86" s="53"/>
      <c r="EK86" s="53"/>
      <c r="EL86" s="53"/>
      <c r="EM86" s="53"/>
      <c r="EN86" s="53"/>
      <c r="EO86" s="53"/>
      <c r="EP86" s="53"/>
      <c r="EQ86" s="53"/>
      <c r="ER86" s="53"/>
      <c r="ES86" s="53"/>
      <c r="ET86" s="53"/>
      <c r="EU86" s="53"/>
      <c r="EV86" s="53"/>
      <c r="EW86" s="53"/>
      <c r="EX86" s="53"/>
      <c r="EY86" s="53"/>
      <c r="EZ86" s="53"/>
      <c r="FA86" s="53"/>
      <c r="FB86" s="53"/>
      <c r="FC86" s="53"/>
      <c r="FD86" s="53"/>
      <c r="FE86" s="53"/>
      <c r="FF86" s="53"/>
      <c r="FG86" s="53"/>
      <c r="FH86" s="53"/>
      <c r="FI86" s="53"/>
      <c r="FJ86" s="53"/>
      <c r="FK86" s="53"/>
      <c r="FL86" s="53"/>
      <c r="FM86" s="53"/>
      <c r="FN86" s="53"/>
    </row>
    <row r="87" spans="1:170" s="11" customFormat="1" ht="18" customHeight="1">
      <c r="A87" s="1978" t="str">
        <f>Begriffe!F206</f>
        <v>Beleuchtung</v>
      </c>
      <c r="B87" s="204"/>
      <c r="C87" s="14" t="str">
        <f>Begriffe!F34</f>
        <v>Beleuchtungsstärke</v>
      </c>
      <c r="D87" s="14"/>
      <c r="E87" s="14"/>
      <c r="F87" s="14" t="str">
        <f>Begriffe!F359</f>
        <v>Wartungswert</v>
      </c>
      <c r="G87" s="14"/>
      <c r="H87" s="14"/>
      <c r="I87" s="672" t="s">
        <v>958</v>
      </c>
      <c r="J87" s="678" t="s">
        <v>18</v>
      </c>
      <c r="K87" s="1087"/>
      <c r="L87" s="1088"/>
      <c r="M87" s="442">
        <f>IF(L87&lt;&gt;"",L87,INDEX(Eingabedaten!$D$9:$DN$53,nutzid,MATCH($C87,Eingabedaten!$D$6:$DN$6,0)))</f>
        <v>150</v>
      </c>
      <c r="N87" s="465"/>
      <c r="O87" s="465"/>
      <c r="P87" s="14">
        <v>0</v>
      </c>
      <c r="Q87" s="392">
        <v>1</v>
      </c>
      <c r="R87" s="14">
        <v>0</v>
      </c>
      <c r="S87" s="14"/>
      <c r="T87" s="243"/>
      <c r="U87" s="89"/>
      <c r="V87" s="64"/>
      <c r="W87" s="158"/>
      <c r="X87" s="164"/>
      <c r="Y87" s="64"/>
      <c r="Z87" s="158"/>
      <c r="AA87" s="158"/>
      <c r="AB87" s="65"/>
      <c r="AC87" s="89"/>
      <c r="AD87" s="89"/>
      <c r="AE87" s="7"/>
      <c r="AF87" s="7"/>
      <c r="AG87" s="7"/>
      <c r="AH87" s="7"/>
      <c r="AI87" s="7"/>
      <c r="AJ87" s="7"/>
      <c r="AK87" s="7"/>
      <c r="AL87" s="7"/>
      <c r="AM87" s="7"/>
      <c r="AN87" s="87"/>
      <c r="AO87" s="8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c r="CT87" s="47"/>
      <c r="CU87" s="47"/>
      <c r="CV87" s="47"/>
      <c r="CW87" s="47"/>
      <c r="CX87" s="47"/>
      <c r="CY87" s="47"/>
      <c r="CZ87" s="47"/>
      <c r="DA87" s="47"/>
      <c r="DB87" s="47"/>
      <c r="DC87" s="47"/>
      <c r="DD87" s="47"/>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7"/>
      <c r="EF87" s="47"/>
      <c r="EG87" s="47"/>
      <c r="EH87" s="47"/>
      <c r="EI87" s="47"/>
      <c r="EJ87" s="47"/>
      <c r="EK87" s="47"/>
      <c r="EL87" s="47"/>
      <c r="EM87" s="47"/>
      <c r="EN87" s="47"/>
      <c r="EO87" s="47"/>
      <c r="EP87" s="47"/>
      <c r="EQ87" s="47"/>
      <c r="ER87" s="47"/>
      <c r="ES87" s="47"/>
      <c r="ET87" s="47"/>
      <c r="EU87" s="47"/>
      <c r="EV87" s="47"/>
      <c r="EW87" s="47"/>
      <c r="EX87" s="47"/>
      <c r="EY87" s="47"/>
      <c r="EZ87" s="47"/>
      <c r="FA87" s="47"/>
      <c r="FB87" s="47"/>
      <c r="FC87" s="47"/>
      <c r="FD87" s="47"/>
      <c r="FE87" s="47"/>
      <c r="FF87" s="47"/>
      <c r="FG87" s="47"/>
      <c r="FH87" s="47"/>
      <c r="FI87" s="47"/>
      <c r="FJ87" s="47"/>
      <c r="FK87" s="47"/>
      <c r="FL87" s="47"/>
      <c r="FM87" s="47"/>
      <c r="FN87" s="47"/>
    </row>
    <row r="88" spans="1:170" s="11" customFormat="1" ht="18" customHeight="1">
      <c r="A88" s="1976"/>
      <c r="B88" s="204"/>
      <c r="C88" s="14" t="str">
        <f>Begriffe!F96</f>
        <v>Referenzbeleuchtungsstärke</v>
      </c>
      <c r="D88" s="14"/>
      <c r="E88" s="14"/>
      <c r="F88" s="14"/>
      <c r="G88" s="14"/>
      <c r="H88" s="14"/>
      <c r="I88" s="672" t="s">
        <v>1068</v>
      </c>
      <c r="J88" s="377" t="s">
        <v>18</v>
      </c>
      <c r="K88" s="1087"/>
      <c r="L88" s="1088"/>
      <c r="M88" s="443">
        <f>IF(L88&lt;&gt;"",L88,INDEX(Eingabedaten!$D$9:$DN$53,nutzid,MATCH($C88,Eingabedaten!$D$6:$DN$6,0)))</f>
        <v>150</v>
      </c>
      <c r="N88" s="716"/>
      <c r="O88" s="716"/>
      <c r="P88" s="14"/>
      <c r="Q88" s="392">
        <v>1</v>
      </c>
      <c r="R88" s="14"/>
      <c r="S88" s="14"/>
      <c r="T88" s="243"/>
      <c r="U88" s="89"/>
      <c r="V88" s="64"/>
      <c r="W88" s="158"/>
      <c r="X88" s="164"/>
      <c r="Y88" s="64"/>
      <c r="Z88" s="158"/>
      <c r="AA88" s="158"/>
      <c r="AB88" s="65"/>
      <c r="AC88" s="89"/>
      <c r="AD88" s="89"/>
      <c r="AE88" s="7"/>
      <c r="AF88" s="7"/>
      <c r="AG88" s="7"/>
      <c r="AH88" s="7"/>
      <c r="AI88" s="7"/>
      <c r="AJ88" s="7"/>
      <c r="AK88" s="7"/>
      <c r="AL88" s="7"/>
      <c r="AM88" s="7"/>
      <c r="AN88" s="87"/>
      <c r="AO88" s="8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c r="FI88" s="47"/>
      <c r="FJ88" s="47"/>
      <c r="FK88" s="47"/>
      <c r="FL88" s="47"/>
      <c r="FM88" s="47"/>
      <c r="FN88" s="47"/>
    </row>
    <row r="89" spans="1:170" s="11" customFormat="1" ht="18" customHeight="1">
      <c r="A89" s="1976"/>
      <c r="B89" s="204"/>
      <c r="C89" s="14" t="str">
        <f>Begriffe!F35</f>
        <v>Bewertungsebene</v>
      </c>
      <c r="D89" s="87"/>
      <c r="E89" s="87"/>
      <c r="F89" s="14" t="str">
        <f>Begriffe!F360</f>
        <v>Höhe = 0.75 m oder 0.05 m</v>
      </c>
      <c r="G89" s="87"/>
      <c r="H89" s="87"/>
      <c r="I89" s="98" t="s">
        <v>959</v>
      </c>
      <c r="J89" s="377" t="s">
        <v>29</v>
      </c>
      <c r="K89" s="1079"/>
      <c r="L89" s="1089"/>
      <c r="M89" s="444">
        <f>INDEX(Eingabedaten!$D$9:$DN$53,nutzid,MATCH($C89,Eingabedaten!$D$6:$DN$6,0))</f>
        <v>0.75</v>
      </c>
      <c r="N89" s="444"/>
      <c r="O89" s="444"/>
      <c r="P89" s="14">
        <v>0</v>
      </c>
      <c r="Q89" s="392">
        <v>1</v>
      </c>
      <c r="R89" s="14">
        <v>0</v>
      </c>
      <c r="S89" s="14"/>
      <c r="T89" s="243"/>
      <c r="U89" s="89"/>
      <c r="V89" s="64"/>
      <c r="W89" s="158"/>
      <c r="X89" s="164"/>
      <c r="Y89" s="64"/>
      <c r="Z89" s="158"/>
      <c r="AA89" s="158"/>
      <c r="AB89" s="65"/>
      <c r="AC89" s="89"/>
      <c r="AD89" s="89"/>
      <c r="AE89" s="7"/>
      <c r="AF89" s="7"/>
      <c r="AG89" s="7"/>
      <c r="AH89" s="7"/>
      <c r="AI89" s="7"/>
      <c r="AJ89" s="7"/>
      <c r="AK89" s="7"/>
      <c r="AL89" s="7"/>
      <c r="AM89" s="7"/>
      <c r="AN89" s="87"/>
      <c r="AO89" s="8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c r="CT89" s="47"/>
      <c r="CU89" s="47"/>
      <c r="CV89" s="47"/>
      <c r="CW89" s="47"/>
      <c r="CX89" s="47"/>
      <c r="CY89" s="47"/>
      <c r="CZ89" s="47"/>
      <c r="DA89" s="47"/>
      <c r="DB89" s="47"/>
      <c r="DC89" s="47"/>
      <c r="DD89" s="47"/>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7"/>
      <c r="EF89" s="47"/>
      <c r="EG89" s="47"/>
      <c r="EH89" s="47"/>
      <c r="EI89" s="47"/>
      <c r="EJ89" s="47"/>
      <c r="EK89" s="47"/>
      <c r="EL89" s="47"/>
      <c r="EM89" s="47"/>
      <c r="EN89" s="47"/>
      <c r="EO89" s="47"/>
      <c r="EP89" s="47"/>
      <c r="EQ89" s="47"/>
      <c r="ER89" s="47"/>
      <c r="ES89" s="47"/>
      <c r="ET89" s="47"/>
      <c r="EU89" s="47"/>
      <c r="EV89" s="47"/>
      <c r="EW89" s="47"/>
      <c r="EX89" s="47"/>
      <c r="EY89" s="47"/>
      <c r="EZ89" s="47"/>
      <c r="FA89" s="47"/>
      <c r="FB89" s="47"/>
      <c r="FC89" s="47"/>
      <c r="FD89" s="47"/>
      <c r="FE89" s="47"/>
      <c r="FF89" s="47"/>
      <c r="FG89" s="47"/>
      <c r="FH89" s="47"/>
      <c r="FI89" s="47"/>
      <c r="FJ89" s="47"/>
      <c r="FK89" s="47"/>
      <c r="FL89" s="47"/>
      <c r="FM89" s="47"/>
      <c r="FN89" s="47"/>
    </row>
    <row r="90" spans="1:170" s="8" customFormat="1" ht="18" customHeight="1">
      <c r="A90" s="1976"/>
      <c r="B90" s="204"/>
      <c r="C90" s="14" t="str">
        <f>Begriffe!F92</f>
        <v>Raumindex</v>
      </c>
      <c r="D90" s="87"/>
      <c r="E90" s="87"/>
      <c r="F90" s="87"/>
      <c r="G90" s="87"/>
      <c r="H90" s="87"/>
      <c r="I90" s="98" t="s">
        <v>159</v>
      </c>
      <c r="J90" s="377" t="s">
        <v>208</v>
      </c>
      <c r="K90" s="1079"/>
      <c r="L90" s="1089"/>
      <c r="M90" s="444">
        <f>(M10*M11)/((M12-M89)*(M10+M11))</f>
        <v>1.2698412698412698</v>
      </c>
      <c r="N90" s="377"/>
      <c r="O90" s="377"/>
      <c r="P90" s="14">
        <v>1</v>
      </c>
      <c r="Q90" s="392">
        <v>1</v>
      </c>
      <c r="R90" s="14">
        <v>0</v>
      </c>
      <c r="S90" s="14"/>
      <c r="T90" s="243"/>
      <c r="U90" s="89"/>
      <c r="V90" s="64"/>
      <c r="W90" s="158"/>
      <c r="X90" s="158"/>
      <c r="Y90" s="64"/>
      <c r="Z90" s="158"/>
      <c r="AA90" s="158"/>
      <c r="AB90" s="65"/>
      <c r="AC90" s="89"/>
      <c r="AD90" s="89"/>
      <c r="AE90" s="7"/>
      <c r="AF90" s="7"/>
      <c r="AG90" s="7"/>
      <c r="AH90" s="7"/>
      <c r="AI90" s="7"/>
      <c r="AJ90" s="7"/>
      <c r="AK90" s="7"/>
      <c r="AL90" s="7"/>
      <c r="AM90" s="7"/>
      <c r="AN90" s="7"/>
      <c r="AO90" s="7"/>
      <c r="AP90" s="83"/>
      <c r="AQ90" s="83"/>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50"/>
      <c r="DA90" s="50"/>
      <c r="DB90" s="50"/>
      <c r="DC90" s="50"/>
      <c r="DD90" s="50"/>
      <c r="DE90" s="49"/>
      <c r="DF90" s="49"/>
      <c r="DG90" s="49"/>
      <c r="DH90" s="49"/>
      <c r="DI90" s="49"/>
      <c r="DJ90" s="49"/>
      <c r="DK90" s="49"/>
      <c r="DL90" s="49"/>
      <c r="DM90" s="49"/>
      <c r="DN90" s="49"/>
      <c r="DO90" s="49"/>
      <c r="DP90" s="49"/>
      <c r="DQ90" s="49"/>
      <c r="DR90" s="49"/>
      <c r="DS90" s="49"/>
      <c r="DT90" s="49"/>
      <c r="DU90" s="49"/>
      <c r="DV90" s="49"/>
      <c r="DW90" s="49"/>
      <c r="DX90" s="49"/>
      <c r="DY90" s="49"/>
      <c r="DZ90" s="49"/>
      <c r="EA90" s="49"/>
      <c r="EB90" s="49"/>
      <c r="EC90" s="49"/>
      <c r="ED90" s="49"/>
      <c r="EE90" s="50"/>
      <c r="EF90" s="50"/>
      <c r="EG90" s="50"/>
      <c r="EH90" s="50"/>
      <c r="EI90" s="50"/>
      <c r="EJ90" s="50"/>
      <c r="EK90" s="50"/>
      <c r="EL90" s="50"/>
      <c r="EM90" s="50"/>
      <c r="EN90" s="50"/>
      <c r="EO90" s="50"/>
      <c r="EP90" s="50"/>
      <c r="EQ90" s="50"/>
      <c r="ER90" s="50"/>
      <c r="ES90" s="50"/>
      <c r="ET90" s="50"/>
      <c r="EU90" s="50"/>
      <c r="EV90" s="50"/>
      <c r="EW90" s="50"/>
      <c r="EX90" s="50"/>
      <c r="EY90" s="50"/>
      <c r="EZ90" s="50"/>
      <c r="FA90" s="50"/>
      <c r="FB90" s="50"/>
      <c r="FC90" s="50"/>
      <c r="FD90" s="50"/>
      <c r="FE90" s="50"/>
      <c r="FF90" s="50"/>
      <c r="FG90" s="50"/>
      <c r="FH90" s="50"/>
      <c r="FI90" s="50"/>
      <c r="FJ90" s="50"/>
      <c r="FK90" s="50"/>
      <c r="FL90" s="50"/>
      <c r="FM90" s="50"/>
      <c r="FN90" s="50"/>
    </row>
    <row r="91" spans="1:170" s="8" customFormat="1" ht="18" hidden="1" customHeight="1">
      <c r="A91" s="1976"/>
      <c r="B91" s="91"/>
      <c r="C91" s="17" t="s">
        <v>1069</v>
      </c>
      <c r="D91" s="23"/>
      <c r="E91" s="23"/>
      <c r="F91" s="23"/>
      <c r="G91" s="23"/>
      <c r="H91" s="23"/>
      <c r="I91" s="18" t="s">
        <v>1070</v>
      </c>
      <c r="J91" s="24" t="s">
        <v>16</v>
      </c>
      <c r="K91" s="24"/>
      <c r="L91" s="16"/>
      <c r="M91" s="469">
        <v>0.8</v>
      </c>
      <c r="N91" s="469">
        <f>M91</f>
        <v>0.8</v>
      </c>
      <c r="O91" s="469">
        <f>M91</f>
        <v>0.8</v>
      </c>
      <c r="P91" s="14">
        <v>0</v>
      </c>
      <c r="Q91" s="392">
        <v>0</v>
      </c>
      <c r="R91" s="14">
        <v>0</v>
      </c>
      <c r="S91" s="14"/>
      <c r="T91" s="243"/>
      <c r="U91" s="89"/>
      <c r="V91" s="64"/>
      <c r="W91" s="158"/>
      <c r="X91" s="158"/>
      <c r="Y91" s="64"/>
      <c r="Z91" s="158"/>
      <c r="AA91" s="158"/>
      <c r="AB91" s="65"/>
      <c r="AC91" s="89"/>
      <c r="AD91" s="89"/>
      <c r="AE91" s="7"/>
      <c r="AF91" s="7"/>
      <c r="AG91" s="7"/>
      <c r="AH91" s="7"/>
      <c r="AI91" s="7"/>
      <c r="AJ91" s="7"/>
      <c r="AK91" s="7"/>
      <c r="AL91" s="7"/>
      <c r="AM91" s="7"/>
      <c r="AN91" s="7"/>
      <c r="AO91" s="7"/>
      <c r="AP91" s="83"/>
      <c r="AQ91" s="83"/>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49"/>
      <c r="DF91" s="49"/>
      <c r="DG91" s="49"/>
      <c r="DH91" s="49"/>
      <c r="DI91" s="49"/>
      <c r="DJ91" s="49"/>
      <c r="DK91" s="49"/>
      <c r="DL91" s="49"/>
      <c r="DM91" s="49"/>
      <c r="DN91" s="49"/>
      <c r="DO91" s="49"/>
      <c r="DP91" s="49"/>
      <c r="DQ91" s="49"/>
      <c r="DR91" s="49"/>
      <c r="DS91" s="49"/>
      <c r="DT91" s="49"/>
      <c r="DU91" s="49"/>
      <c r="DV91" s="49"/>
      <c r="DW91" s="49"/>
      <c r="DX91" s="49"/>
      <c r="DY91" s="49"/>
      <c r="DZ91" s="49"/>
      <c r="EA91" s="49"/>
      <c r="EB91" s="49"/>
      <c r="EC91" s="49"/>
      <c r="ED91" s="49"/>
      <c r="EE91" s="50"/>
      <c r="EF91" s="50"/>
      <c r="EG91" s="50"/>
      <c r="EH91" s="50"/>
      <c r="EI91" s="50"/>
      <c r="EJ91" s="50"/>
      <c r="EK91" s="50"/>
      <c r="EL91" s="50"/>
      <c r="EM91" s="50"/>
      <c r="EN91" s="50"/>
      <c r="EO91" s="50"/>
      <c r="EP91" s="50"/>
      <c r="EQ91" s="50"/>
      <c r="ER91" s="50"/>
      <c r="ES91" s="50"/>
      <c r="ET91" s="50"/>
      <c r="EU91" s="50"/>
      <c r="EV91" s="50"/>
      <c r="EW91" s="50"/>
      <c r="EX91" s="50"/>
      <c r="EY91" s="50"/>
      <c r="EZ91" s="50"/>
      <c r="FA91" s="50"/>
      <c r="FB91" s="50"/>
      <c r="FC91" s="50"/>
      <c r="FD91" s="50"/>
      <c r="FE91" s="50"/>
      <c r="FF91" s="50"/>
      <c r="FG91" s="50"/>
      <c r="FH91" s="50"/>
      <c r="FI91" s="50"/>
      <c r="FJ91" s="50"/>
      <c r="FK91" s="50"/>
      <c r="FL91" s="50"/>
      <c r="FM91" s="50"/>
      <c r="FN91" s="50"/>
    </row>
    <row r="92" spans="1:170" s="8" customFormat="1" ht="18" customHeight="1">
      <c r="A92" s="1976"/>
      <c r="B92" s="204"/>
      <c r="C92" s="14" t="str">
        <f>Begriffe!F74</f>
        <v>Leuchten-Lichtausbeute</v>
      </c>
      <c r="D92" s="14"/>
      <c r="E92" s="182"/>
      <c r="F92" s="14"/>
      <c r="G92" s="14"/>
      <c r="H92" s="14"/>
      <c r="I92" s="675" t="s">
        <v>960</v>
      </c>
      <c r="J92" s="377" t="s">
        <v>70</v>
      </c>
      <c r="K92" s="377"/>
      <c r="L92" s="518"/>
      <c r="M92" s="443">
        <f>IF(L77&lt;&gt;"",L77,INDEX(Eingabedaten!$D$9:$DN$53,nutzid,MATCH($C92,Eingabedaten!$D$6:$DN$6,0)))</f>
        <v>90</v>
      </c>
      <c r="N92" s="443">
        <f>INDEX(Eingabedaten!$D$9:$DN$53,nutzid,MATCH($C92,Eingabedaten!$D$6:$DN$6,0)+1)</f>
        <v>130</v>
      </c>
      <c r="O92" s="443">
        <v>70</v>
      </c>
      <c r="P92" s="14">
        <v>1</v>
      </c>
      <c r="Q92" s="392">
        <v>1</v>
      </c>
      <c r="R92" s="14">
        <v>0</v>
      </c>
      <c r="S92" s="14"/>
      <c r="T92" s="243"/>
      <c r="U92" s="89"/>
      <c r="V92" s="64"/>
      <c r="W92" s="158"/>
      <c r="X92" s="158"/>
      <c r="Y92" s="64"/>
      <c r="Z92" s="158"/>
      <c r="AA92" s="158"/>
      <c r="AB92" s="65"/>
      <c r="AC92" s="89"/>
      <c r="AD92" s="89"/>
      <c r="AE92" s="7"/>
      <c r="AF92" s="7"/>
      <c r="AG92" s="7"/>
      <c r="AH92" s="7"/>
      <c r="AI92" s="7"/>
      <c r="AJ92" s="7"/>
      <c r="AK92" s="7"/>
      <c r="AL92" s="7"/>
      <c r="AM92" s="7"/>
      <c r="AN92" s="7"/>
      <c r="AO92" s="7"/>
      <c r="AP92" s="83"/>
      <c r="AQ92" s="83"/>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49"/>
      <c r="DF92" s="49"/>
      <c r="DG92" s="49"/>
      <c r="DH92" s="49"/>
      <c r="DI92" s="49"/>
      <c r="DJ92" s="49"/>
      <c r="DK92" s="49"/>
      <c r="DL92" s="49"/>
      <c r="DM92" s="49"/>
      <c r="DN92" s="49"/>
      <c r="DO92" s="49"/>
      <c r="DP92" s="49"/>
      <c r="DQ92" s="49"/>
      <c r="DR92" s="49"/>
      <c r="DS92" s="49"/>
      <c r="DT92" s="49"/>
      <c r="DU92" s="49"/>
      <c r="DV92" s="49"/>
      <c r="DW92" s="49"/>
      <c r="DX92" s="49"/>
      <c r="DY92" s="49"/>
      <c r="DZ92" s="49"/>
      <c r="EA92" s="49"/>
      <c r="EB92" s="49"/>
      <c r="EC92" s="49"/>
      <c r="ED92" s="49"/>
      <c r="EE92" s="50"/>
      <c r="EF92" s="50"/>
      <c r="EG92" s="50"/>
      <c r="EH92" s="50"/>
      <c r="EI92" s="50"/>
      <c r="EJ92" s="50"/>
      <c r="EK92" s="50"/>
      <c r="EL92" s="50"/>
      <c r="EM92" s="50"/>
      <c r="EN92" s="50"/>
      <c r="EO92" s="50"/>
      <c r="EP92" s="50"/>
      <c r="EQ92" s="50"/>
      <c r="ER92" s="50"/>
      <c r="ES92" s="50"/>
      <c r="ET92" s="50"/>
      <c r="EU92" s="50"/>
      <c r="EV92" s="50"/>
      <c r="EW92" s="50"/>
      <c r="EX92" s="50"/>
      <c r="EY92" s="50"/>
      <c r="EZ92" s="50"/>
      <c r="FA92" s="50"/>
      <c r="FB92" s="50"/>
      <c r="FC92" s="50"/>
      <c r="FD92" s="50"/>
      <c r="FE92" s="50"/>
      <c r="FF92" s="50"/>
      <c r="FG92" s="50"/>
      <c r="FH92" s="50"/>
      <c r="FI92" s="50"/>
      <c r="FJ92" s="50"/>
      <c r="FK92" s="50"/>
      <c r="FL92" s="50"/>
      <c r="FM92" s="50"/>
      <c r="FN92" s="50"/>
    </row>
    <row r="93" spans="1:170" s="8" customFormat="1" ht="18" customHeight="1">
      <c r="A93" s="1976"/>
      <c r="B93" s="204"/>
      <c r="C93" s="14" t="str">
        <f>Begriffe!F94</f>
        <v>Raumwirkungsgrad</v>
      </c>
      <c r="D93" s="14"/>
      <c r="E93" s="182"/>
      <c r="F93" s="14"/>
      <c r="G93" s="14"/>
      <c r="H93" s="14"/>
      <c r="I93" s="676" t="s">
        <v>961</v>
      </c>
      <c r="J93" s="377" t="s">
        <v>208</v>
      </c>
      <c r="K93" s="377"/>
      <c r="L93" s="93"/>
      <c r="M93" s="444">
        <f>1.25*((1/1)-(1/($M90+1)))</f>
        <v>0.69930069930069916</v>
      </c>
      <c r="N93" s="444">
        <f>1.35*((1/1)-(1/(M90+1)))</f>
        <v>0.75524475524475521</v>
      </c>
      <c r="O93" s="444">
        <f>M93</f>
        <v>0.69930069930069916</v>
      </c>
      <c r="P93" s="14">
        <v>1</v>
      </c>
      <c r="Q93" s="392">
        <v>1</v>
      </c>
      <c r="R93" s="14">
        <v>0</v>
      </c>
      <c r="S93" s="14"/>
      <c r="T93" s="243"/>
      <c r="U93" s="89"/>
      <c r="V93" s="64"/>
      <c r="W93" s="158"/>
      <c r="X93" s="158"/>
      <c r="Y93" s="64"/>
      <c r="Z93" s="158"/>
      <c r="AA93" s="158"/>
      <c r="AB93" s="65"/>
      <c r="AC93" s="89"/>
      <c r="AD93" s="89"/>
      <c r="AE93" s="7"/>
      <c r="AF93" s="7"/>
      <c r="AG93" s="7"/>
      <c r="AH93" s="7"/>
      <c r="AI93" s="7"/>
      <c r="AJ93" s="7"/>
      <c r="AK93" s="7"/>
      <c r="AL93" s="7"/>
      <c r="AM93" s="7"/>
      <c r="AN93" s="7"/>
      <c r="AO93" s="7"/>
      <c r="AP93" s="83"/>
      <c r="AQ93" s="83"/>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50"/>
      <c r="DA93" s="50"/>
      <c r="DB93" s="50"/>
      <c r="DC93" s="50"/>
      <c r="DD93" s="50"/>
      <c r="DE93" s="49"/>
      <c r="DF93" s="49"/>
      <c r="DG93" s="49"/>
      <c r="DH93" s="49"/>
      <c r="DI93" s="49"/>
      <c r="DJ93" s="49"/>
      <c r="DK93" s="49"/>
      <c r="DL93" s="49"/>
      <c r="DM93" s="49"/>
      <c r="DN93" s="49"/>
      <c r="DO93" s="49"/>
      <c r="DP93" s="49"/>
      <c r="DQ93" s="49"/>
      <c r="DR93" s="49"/>
      <c r="DS93" s="49"/>
      <c r="DT93" s="49"/>
      <c r="DU93" s="49"/>
      <c r="DV93" s="49"/>
      <c r="DW93" s="49"/>
      <c r="DX93" s="49"/>
      <c r="DY93" s="49"/>
      <c r="DZ93" s="49"/>
      <c r="EA93" s="49"/>
      <c r="EB93" s="49"/>
      <c r="EC93" s="49"/>
      <c r="ED93" s="49"/>
      <c r="EE93" s="50"/>
      <c r="EF93" s="50"/>
      <c r="EG93" s="50"/>
      <c r="EH93" s="50"/>
      <c r="EI93" s="50"/>
      <c r="EJ93" s="50"/>
      <c r="EK93" s="50"/>
      <c r="EL93" s="50"/>
      <c r="EM93" s="50"/>
      <c r="EN93" s="50"/>
      <c r="EO93" s="50"/>
      <c r="EP93" s="50"/>
      <c r="EQ93" s="50"/>
      <c r="ER93" s="50"/>
      <c r="ES93" s="50"/>
      <c r="ET93" s="50"/>
      <c r="EU93" s="50"/>
      <c r="EV93" s="50"/>
      <c r="EW93" s="50"/>
      <c r="EX93" s="50"/>
      <c r="EY93" s="50"/>
      <c r="EZ93" s="50"/>
      <c r="FA93" s="50"/>
      <c r="FB93" s="50"/>
      <c r="FC93" s="50"/>
      <c r="FD93" s="50"/>
      <c r="FE93" s="50"/>
      <c r="FF93" s="50"/>
      <c r="FG93" s="50"/>
      <c r="FH93" s="50"/>
      <c r="FI93" s="50"/>
      <c r="FJ93" s="50"/>
      <c r="FK93" s="50"/>
      <c r="FL93" s="50"/>
      <c r="FM93" s="50"/>
      <c r="FN93" s="50"/>
    </row>
    <row r="94" spans="1:170" s="8" customFormat="1" ht="18" hidden="1" customHeight="1">
      <c r="A94" s="1976"/>
      <c r="B94" s="204"/>
      <c r="C94" s="721" t="s">
        <v>1071</v>
      </c>
      <c r="D94" s="471"/>
      <c r="E94" s="717"/>
      <c r="F94" s="471"/>
      <c r="G94" s="471"/>
      <c r="H94" s="471"/>
      <c r="I94" s="718"/>
      <c r="J94" s="719"/>
      <c r="K94" s="719"/>
      <c r="L94" s="720"/>
      <c r="M94" s="476"/>
      <c r="N94" s="476"/>
      <c r="O94" s="476"/>
      <c r="P94" s="14"/>
      <c r="Q94" s="392"/>
      <c r="R94" s="14"/>
      <c r="S94" s="14"/>
      <c r="T94" s="243"/>
      <c r="U94" s="89"/>
      <c r="V94" s="64"/>
      <c r="W94" s="158"/>
      <c r="X94" s="158"/>
      <c r="Y94" s="64"/>
      <c r="Z94" s="158"/>
      <c r="AA94" s="158"/>
      <c r="AB94" s="65"/>
      <c r="AC94" s="89"/>
      <c r="AD94" s="89"/>
      <c r="AE94" s="7"/>
      <c r="AF94" s="7"/>
      <c r="AG94" s="7"/>
      <c r="AH94" s="7"/>
      <c r="AI94" s="7"/>
      <c r="AJ94" s="7"/>
      <c r="AK94" s="7"/>
      <c r="AL94" s="7"/>
      <c r="AM94" s="7"/>
      <c r="AN94" s="7"/>
      <c r="AO94" s="7"/>
      <c r="AP94" s="83"/>
      <c r="AQ94" s="83"/>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0"/>
      <c r="CA94" s="50"/>
      <c r="CB94" s="50"/>
      <c r="CC94" s="50"/>
      <c r="CD94" s="50"/>
      <c r="CE94" s="50"/>
      <c r="CF94" s="50"/>
      <c r="CG94" s="50"/>
      <c r="CH94" s="50"/>
      <c r="CI94" s="50"/>
      <c r="CJ94" s="50"/>
      <c r="CK94" s="50"/>
      <c r="CL94" s="50"/>
      <c r="CM94" s="50"/>
      <c r="CN94" s="50"/>
      <c r="CO94" s="50"/>
      <c r="CP94" s="50"/>
      <c r="CQ94" s="50"/>
      <c r="CR94" s="50"/>
      <c r="CS94" s="50"/>
      <c r="CT94" s="50"/>
      <c r="CU94" s="50"/>
      <c r="CV94" s="50"/>
      <c r="CW94" s="50"/>
      <c r="CX94" s="50"/>
      <c r="CY94" s="50"/>
      <c r="CZ94" s="50"/>
      <c r="DA94" s="50"/>
      <c r="DB94" s="50"/>
      <c r="DC94" s="50"/>
      <c r="DD94" s="50"/>
      <c r="DE94" s="49"/>
      <c r="DF94" s="49"/>
      <c r="DG94" s="49"/>
      <c r="DH94" s="49"/>
      <c r="DI94" s="49"/>
      <c r="DJ94" s="49"/>
      <c r="DK94" s="49"/>
      <c r="DL94" s="49"/>
      <c r="DM94" s="49"/>
      <c r="DN94" s="49"/>
      <c r="DO94" s="49"/>
      <c r="DP94" s="49"/>
      <c r="DQ94" s="49"/>
      <c r="DR94" s="49"/>
      <c r="DS94" s="49"/>
      <c r="DT94" s="49"/>
      <c r="DU94" s="49"/>
      <c r="DV94" s="49"/>
      <c r="DW94" s="49"/>
      <c r="DX94" s="49"/>
      <c r="DY94" s="49"/>
      <c r="DZ94" s="49"/>
      <c r="EA94" s="49"/>
      <c r="EB94" s="49"/>
      <c r="EC94" s="49"/>
      <c r="ED94" s="49"/>
      <c r="EE94" s="50"/>
      <c r="EF94" s="50"/>
      <c r="EG94" s="50"/>
      <c r="EH94" s="50"/>
      <c r="EI94" s="50"/>
      <c r="EJ94" s="50"/>
      <c r="EK94" s="50"/>
      <c r="EL94" s="50"/>
      <c r="EM94" s="50"/>
      <c r="EN94" s="50"/>
      <c r="EO94" s="50"/>
      <c r="EP94" s="50"/>
      <c r="EQ94" s="50"/>
      <c r="ER94" s="50"/>
      <c r="ES94" s="50"/>
      <c r="ET94" s="50"/>
      <c r="EU94" s="50"/>
      <c r="EV94" s="50"/>
      <c r="EW94" s="50"/>
      <c r="EX94" s="50"/>
      <c r="EY94" s="50"/>
      <c r="EZ94" s="50"/>
      <c r="FA94" s="50"/>
      <c r="FB94" s="50"/>
      <c r="FC94" s="50"/>
      <c r="FD94" s="50"/>
      <c r="FE94" s="50"/>
      <c r="FF94" s="50"/>
      <c r="FG94" s="50"/>
      <c r="FH94" s="50"/>
      <c r="FI94" s="50"/>
      <c r="FJ94" s="50"/>
      <c r="FK94" s="50"/>
      <c r="FL94" s="50"/>
      <c r="FM94" s="50"/>
      <c r="FN94" s="50"/>
    </row>
    <row r="95" spans="1:170" s="8" customFormat="1" ht="18" customHeight="1">
      <c r="A95" s="1976"/>
      <c r="B95" s="204"/>
      <c r="C95" s="14" t="str">
        <f>Begriffe!F47</f>
        <v>Glasflächenzahl</v>
      </c>
      <c r="D95" s="14"/>
      <c r="E95" s="182"/>
      <c r="F95" s="14"/>
      <c r="G95" s="14"/>
      <c r="H95" s="14"/>
      <c r="I95" s="98" t="s">
        <v>207</v>
      </c>
      <c r="J95" s="377" t="s">
        <v>208</v>
      </c>
      <c r="K95" s="377"/>
      <c r="L95" s="103"/>
      <c r="M95" s="444">
        <f>M22%/M15*$M10*$M12/(M13)</f>
        <v>0.17647058823529413</v>
      </c>
      <c r="N95" s="444"/>
      <c r="O95" s="444"/>
      <c r="P95" s="14">
        <v>1</v>
      </c>
      <c r="Q95" s="392">
        <v>1</v>
      </c>
      <c r="R95" s="14">
        <v>0</v>
      </c>
      <c r="S95" s="14"/>
      <c r="T95" s="243"/>
      <c r="U95" s="89"/>
      <c r="V95" s="64"/>
      <c r="W95" s="158"/>
      <c r="X95" s="158"/>
      <c r="Y95" s="64"/>
      <c r="Z95" s="158"/>
      <c r="AA95" s="158"/>
      <c r="AB95" s="65"/>
      <c r="AC95" s="89"/>
      <c r="AD95" s="89"/>
      <c r="AE95" s="7"/>
      <c r="AF95" s="7"/>
      <c r="AG95" s="7"/>
      <c r="AH95" s="7"/>
      <c r="AI95" s="7"/>
      <c r="AJ95" s="7"/>
      <c r="AK95" s="7"/>
      <c r="AL95" s="7"/>
      <c r="AM95" s="7"/>
      <c r="AN95" s="7"/>
      <c r="AO95" s="7"/>
      <c r="AP95" s="83"/>
      <c r="AQ95" s="83"/>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0"/>
      <c r="CA95" s="50"/>
      <c r="CB95" s="50"/>
      <c r="CC95" s="50"/>
      <c r="CD95" s="50"/>
      <c r="CE95" s="50"/>
      <c r="CF95" s="50"/>
      <c r="CG95" s="50"/>
      <c r="CH95" s="50"/>
      <c r="CI95" s="50"/>
      <c r="CJ95" s="50"/>
      <c r="CK95" s="50"/>
      <c r="CL95" s="50"/>
      <c r="CM95" s="50"/>
      <c r="CN95" s="50"/>
      <c r="CO95" s="50"/>
      <c r="CP95" s="50"/>
      <c r="CQ95" s="50"/>
      <c r="CR95" s="50"/>
      <c r="CS95" s="50"/>
      <c r="CT95" s="50"/>
      <c r="CU95" s="50"/>
      <c r="CV95" s="50"/>
      <c r="CW95" s="50"/>
      <c r="CX95" s="50"/>
      <c r="CY95" s="50"/>
      <c r="CZ95" s="50"/>
      <c r="DA95" s="50"/>
      <c r="DB95" s="50"/>
      <c r="DC95" s="50"/>
      <c r="DD95" s="50"/>
      <c r="DE95" s="49"/>
      <c r="DF95" s="49"/>
      <c r="DG95" s="49"/>
      <c r="DH95" s="49"/>
      <c r="DI95" s="49"/>
      <c r="DJ95" s="49"/>
      <c r="DK95" s="49"/>
      <c r="DL95" s="49"/>
      <c r="DM95" s="49"/>
      <c r="DN95" s="49"/>
      <c r="DO95" s="49"/>
      <c r="DP95" s="49"/>
      <c r="DQ95" s="49"/>
      <c r="DR95" s="49"/>
      <c r="DS95" s="49"/>
      <c r="DT95" s="49"/>
      <c r="DU95" s="49"/>
      <c r="DV95" s="49"/>
      <c r="DW95" s="49"/>
      <c r="DX95" s="49"/>
      <c r="DY95" s="49"/>
      <c r="DZ95" s="49"/>
      <c r="EA95" s="49"/>
      <c r="EB95" s="49"/>
      <c r="EC95" s="49"/>
      <c r="ED95" s="49"/>
      <c r="EE95" s="50"/>
      <c r="EF95" s="50"/>
      <c r="EG95" s="50"/>
      <c r="EH95" s="50"/>
      <c r="EI95" s="50"/>
      <c r="EJ95" s="50"/>
      <c r="EK95" s="50"/>
      <c r="EL95" s="50"/>
      <c r="EM95" s="50"/>
      <c r="EN95" s="50"/>
      <c r="EO95" s="50"/>
      <c r="EP95" s="50"/>
      <c r="EQ95" s="50"/>
      <c r="ER95" s="50"/>
      <c r="ES95" s="50"/>
      <c r="ET95" s="50"/>
      <c r="EU95" s="50"/>
      <c r="EV95" s="50"/>
      <c r="EW95" s="50"/>
      <c r="EX95" s="50"/>
      <c r="EY95" s="50"/>
      <c r="EZ95" s="50"/>
      <c r="FA95" s="50"/>
      <c r="FB95" s="50"/>
      <c r="FC95" s="50"/>
      <c r="FD95" s="50"/>
      <c r="FE95" s="50"/>
      <c r="FF95" s="50"/>
      <c r="FG95" s="50"/>
      <c r="FH95" s="50"/>
      <c r="FI95" s="50"/>
      <c r="FJ95" s="50"/>
      <c r="FK95" s="50"/>
      <c r="FL95" s="50"/>
      <c r="FM95" s="50"/>
      <c r="FN95" s="50"/>
    </row>
    <row r="96" spans="1:170" s="8" customFormat="1" ht="18" hidden="1" customHeight="1">
      <c r="A96" s="1976"/>
      <c r="B96" s="21"/>
      <c r="C96" s="17" t="s">
        <v>1073</v>
      </c>
      <c r="D96" s="17"/>
      <c r="E96" s="196"/>
      <c r="F96" s="17" t="s">
        <v>30</v>
      </c>
      <c r="G96" s="17"/>
      <c r="H96" s="17"/>
      <c r="I96" s="24" t="s">
        <v>1074</v>
      </c>
      <c r="J96" s="24"/>
      <c r="K96" s="24"/>
      <c r="L96" s="16"/>
      <c r="M96" s="197">
        <f>MAX(0.175,0.35*(0.375+($M$88/800)))</f>
        <v>0.19687499999999999</v>
      </c>
      <c r="N96" s="197"/>
      <c r="O96" s="197"/>
      <c r="P96" s="14">
        <v>0</v>
      </c>
      <c r="Q96" s="392">
        <v>0</v>
      </c>
      <c r="R96" s="14">
        <v>0</v>
      </c>
      <c r="S96" s="14"/>
      <c r="T96" s="243"/>
      <c r="U96" s="89"/>
      <c r="V96" s="64"/>
      <c r="W96" s="158"/>
      <c r="X96" s="164"/>
      <c r="Y96" s="64"/>
      <c r="Z96" s="158"/>
      <c r="AA96" s="158"/>
      <c r="AB96" s="65"/>
      <c r="AC96" s="89"/>
      <c r="AD96" s="89"/>
      <c r="AE96" s="7"/>
      <c r="AF96" s="7"/>
      <c r="AG96" s="7"/>
      <c r="AH96" s="7"/>
      <c r="AI96" s="7"/>
      <c r="AJ96" s="7"/>
      <c r="AK96" s="7"/>
      <c r="AL96" s="7"/>
      <c r="AM96" s="7"/>
      <c r="AN96" s="7"/>
      <c r="AO96" s="7"/>
      <c r="AP96" s="83"/>
      <c r="AQ96" s="83"/>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0"/>
      <c r="CA96" s="50"/>
      <c r="CB96" s="50"/>
      <c r="CC96" s="50"/>
      <c r="CD96" s="50"/>
      <c r="CE96" s="50"/>
      <c r="CF96" s="50"/>
      <c r="CG96" s="50"/>
      <c r="CH96" s="50"/>
      <c r="CI96" s="50"/>
      <c r="CJ96" s="50"/>
      <c r="CK96" s="50"/>
      <c r="CL96" s="50"/>
      <c r="CM96" s="50"/>
      <c r="CN96" s="50"/>
      <c r="CO96" s="50"/>
      <c r="CP96" s="50"/>
      <c r="CQ96" s="50"/>
      <c r="CR96" s="50"/>
      <c r="CS96" s="50"/>
      <c r="CT96" s="50"/>
      <c r="CU96" s="50"/>
      <c r="CV96" s="50"/>
      <c r="CW96" s="50"/>
      <c r="CX96" s="50"/>
      <c r="CY96" s="50"/>
      <c r="CZ96" s="50"/>
      <c r="DA96" s="50"/>
      <c r="DB96" s="50"/>
      <c r="DC96" s="50"/>
      <c r="DD96" s="50"/>
      <c r="DE96" s="49"/>
      <c r="DF96" s="49"/>
      <c r="DG96" s="49"/>
      <c r="DH96" s="49"/>
      <c r="DI96" s="49"/>
      <c r="DJ96" s="49"/>
      <c r="DK96" s="49"/>
      <c r="DL96" s="49"/>
      <c r="DM96" s="49"/>
      <c r="DN96" s="49"/>
      <c r="DO96" s="49"/>
      <c r="DP96" s="49"/>
      <c r="DQ96" s="49"/>
      <c r="DR96" s="49"/>
      <c r="DS96" s="49"/>
      <c r="DT96" s="49"/>
      <c r="DU96" s="49"/>
      <c r="DV96" s="49"/>
      <c r="DW96" s="49"/>
      <c r="DX96" s="49"/>
      <c r="DY96" s="49"/>
      <c r="DZ96" s="49"/>
      <c r="EA96" s="49"/>
      <c r="EB96" s="49"/>
      <c r="EC96" s="49"/>
      <c r="ED96" s="49"/>
      <c r="EE96" s="50"/>
      <c r="EF96" s="50"/>
      <c r="EG96" s="50"/>
      <c r="EH96" s="50"/>
      <c r="EI96" s="50"/>
      <c r="EJ96" s="50"/>
      <c r="EK96" s="50"/>
      <c r="EL96" s="50"/>
      <c r="EM96" s="50"/>
      <c r="EN96" s="50"/>
      <c r="EO96" s="50"/>
      <c r="EP96" s="50"/>
      <c r="EQ96" s="50"/>
      <c r="ER96" s="50"/>
      <c r="ES96" s="50"/>
      <c r="ET96" s="50"/>
      <c r="EU96" s="50"/>
      <c r="EV96" s="50"/>
      <c r="EW96" s="50"/>
      <c r="EX96" s="50"/>
      <c r="EY96" s="50"/>
      <c r="EZ96" s="50"/>
      <c r="FA96" s="50"/>
      <c r="FB96" s="50"/>
      <c r="FC96" s="50"/>
      <c r="FD96" s="50"/>
      <c r="FE96" s="50"/>
      <c r="FF96" s="50"/>
      <c r="FG96" s="50"/>
      <c r="FH96" s="50"/>
      <c r="FI96" s="50"/>
      <c r="FJ96" s="50"/>
      <c r="FK96" s="50"/>
      <c r="FL96" s="50"/>
      <c r="FM96" s="50"/>
      <c r="FN96" s="50"/>
    </row>
    <row r="97" spans="1:170" s="8" customFormat="1" ht="18" hidden="1" customHeight="1">
      <c r="A97" s="1976"/>
      <c r="B97" s="21"/>
      <c r="C97" s="17" t="s">
        <v>1075</v>
      </c>
      <c r="D97" s="17"/>
      <c r="E97" s="196"/>
      <c r="F97" s="17"/>
      <c r="G97" s="17"/>
      <c r="H97" s="17"/>
      <c r="I97" s="18" t="s">
        <v>1076</v>
      </c>
      <c r="J97" s="24"/>
      <c r="K97" s="24"/>
      <c r="L97" s="198"/>
      <c r="M97" s="470">
        <v>2</v>
      </c>
      <c r="N97" s="470">
        <v>1</v>
      </c>
      <c r="O97" s="470">
        <v>2</v>
      </c>
      <c r="P97" s="14">
        <v>0</v>
      </c>
      <c r="Q97" s="392">
        <v>0</v>
      </c>
      <c r="R97" s="14">
        <v>0</v>
      </c>
      <c r="S97" s="14"/>
      <c r="T97" s="243"/>
      <c r="U97" s="89"/>
      <c r="V97" s="64"/>
      <c r="W97" s="158"/>
      <c r="X97" s="158"/>
      <c r="Y97" s="64"/>
      <c r="Z97" s="158"/>
      <c r="AA97" s="158"/>
      <c r="AB97" s="65"/>
      <c r="AC97" s="89"/>
      <c r="AD97" s="89"/>
      <c r="AE97" s="7"/>
      <c r="AF97" s="7"/>
      <c r="AG97" s="7"/>
      <c r="AH97" s="7"/>
      <c r="AI97" s="7"/>
      <c r="AJ97" s="7"/>
      <c r="AK97" s="7"/>
      <c r="AL97" s="7"/>
      <c r="AM97" s="7"/>
      <c r="AN97" s="7"/>
      <c r="AO97" s="7"/>
      <c r="AP97" s="83"/>
      <c r="AQ97" s="83"/>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0"/>
      <c r="CA97" s="50"/>
      <c r="CB97" s="50"/>
      <c r="CC97" s="50"/>
      <c r="CD97" s="50"/>
      <c r="CE97" s="50"/>
      <c r="CF97" s="50"/>
      <c r="CG97" s="50"/>
      <c r="CH97" s="50"/>
      <c r="CI97" s="50"/>
      <c r="CJ97" s="50"/>
      <c r="CK97" s="50"/>
      <c r="CL97" s="50"/>
      <c r="CM97" s="50"/>
      <c r="CN97" s="50"/>
      <c r="CO97" s="50"/>
      <c r="CP97" s="50"/>
      <c r="CQ97" s="50"/>
      <c r="CR97" s="50"/>
      <c r="CS97" s="50"/>
      <c r="CT97" s="50"/>
      <c r="CU97" s="50"/>
      <c r="CV97" s="50"/>
      <c r="CW97" s="50"/>
      <c r="CX97" s="50"/>
      <c r="CY97" s="50"/>
      <c r="CZ97" s="50"/>
      <c r="DA97" s="50"/>
      <c r="DB97" s="50"/>
      <c r="DC97" s="50"/>
      <c r="DD97" s="50"/>
      <c r="DE97" s="49"/>
      <c r="DF97" s="49"/>
      <c r="DG97" s="49"/>
      <c r="DH97" s="49"/>
      <c r="DI97" s="49"/>
      <c r="DJ97" s="49"/>
      <c r="DK97" s="49"/>
      <c r="DL97" s="49"/>
      <c r="DM97" s="49"/>
      <c r="DN97" s="49"/>
      <c r="DO97" s="49"/>
      <c r="DP97" s="49"/>
      <c r="DQ97" s="49"/>
      <c r="DR97" s="49"/>
      <c r="DS97" s="49"/>
      <c r="DT97" s="49"/>
      <c r="DU97" s="49"/>
      <c r="DV97" s="49"/>
      <c r="DW97" s="49"/>
      <c r="DX97" s="49"/>
      <c r="DY97" s="49"/>
      <c r="DZ97" s="49"/>
      <c r="EA97" s="49"/>
      <c r="EB97" s="49"/>
      <c r="EC97" s="49"/>
      <c r="ED97" s="49"/>
      <c r="EE97" s="50"/>
      <c r="EF97" s="50"/>
      <c r="EG97" s="50"/>
      <c r="EH97" s="50"/>
      <c r="EI97" s="50"/>
      <c r="EJ97" s="50"/>
      <c r="EK97" s="50"/>
      <c r="EL97" s="50"/>
      <c r="EM97" s="50"/>
      <c r="EN97" s="50"/>
      <c r="EO97" s="50"/>
      <c r="EP97" s="50"/>
      <c r="EQ97" s="50"/>
      <c r="ER97" s="50"/>
      <c r="ES97" s="50"/>
      <c r="ET97" s="50"/>
      <c r="EU97" s="50"/>
      <c r="EV97" s="50"/>
      <c r="EW97" s="50"/>
      <c r="EX97" s="50"/>
      <c r="EY97" s="50"/>
      <c r="EZ97" s="50"/>
      <c r="FA97" s="50"/>
      <c r="FB97" s="50"/>
      <c r="FC97" s="50"/>
      <c r="FD97" s="50"/>
      <c r="FE97" s="50"/>
      <c r="FF97" s="50"/>
      <c r="FG97" s="50"/>
      <c r="FH97" s="50"/>
      <c r="FI97" s="50"/>
      <c r="FJ97" s="50"/>
      <c r="FK97" s="50"/>
      <c r="FL97" s="50"/>
      <c r="FM97" s="50"/>
      <c r="FN97" s="50"/>
    </row>
    <row r="98" spans="1:170" s="8" customFormat="1" ht="18" hidden="1" customHeight="1">
      <c r="A98" s="1976"/>
      <c r="B98" s="21"/>
      <c r="C98" s="17" t="s">
        <v>31</v>
      </c>
      <c r="D98" s="17"/>
      <c r="E98" s="196"/>
      <c r="F98" s="17"/>
      <c r="G98" s="17"/>
      <c r="H98" s="17"/>
      <c r="I98" s="18" t="s">
        <v>68</v>
      </c>
      <c r="J98" s="24"/>
      <c r="K98" s="24"/>
      <c r="L98" s="198"/>
      <c r="M98" s="470">
        <v>1.1000000000000001</v>
      </c>
      <c r="N98" s="470">
        <v>1</v>
      </c>
      <c r="O98" s="470">
        <v>1.1000000000000001</v>
      </c>
      <c r="P98" s="14">
        <v>0</v>
      </c>
      <c r="Q98" s="392">
        <v>0</v>
      </c>
      <c r="R98" s="14">
        <v>0</v>
      </c>
      <c r="S98" s="14"/>
      <c r="T98" s="243"/>
      <c r="U98" s="89"/>
      <c r="V98" s="64"/>
      <c r="W98" s="158"/>
      <c r="X98" s="158"/>
      <c r="Y98" s="64"/>
      <c r="Z98" s="158"/>
      <c r="AA98" s="158"/>
      <c r="AB98" s="65"/>
      <c r="AC98" s="89"/>
      <c r="AD98" s="89"/>
      <c r="AE98" s="7"/>
      <c r="AF98" s="7"/>
      <c r="AG98" s="7"/>
      <c r="AH98" s="7"/>
      <c r="AI98" s="7"/>
      <c r="AJ98" s="7"/>
      <c r="AK98" s="7"/>
      <c r="AL98" s="7"/>
      <c r="AM98" s="7"/>
      <c r="AN98" s="7"/>
      <c r="AO98" s="7"/>
      <c r="AP98" s="83"/>
      <c r="AQ98" s="83"/>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0"/>
      <c r="CA98" s="50"/>
      <c r="CB98" s="50"/>
      <c r="CC98" s="50"/>
      <c r="CD98" s="50"/>
      <c r="CE98" s="50"/>
      <c r="CF98" s="50"/>
      <c r="CG98" s="50"/>
      <c r="CH98" s="50"/>
      <c r="CI98" s="50"/>
      <c r="CJ98" s="50"/>
      <c r="CK98" s="50"/>
      <c r="CL98" s="50"/>
      <c r="CM98" s="50"/>
      <c r="CN98" s="50"/>
      <c r="CO98" s="50"/>
      <c r="CP98" s="50"/>
      <c r="CQ98" s="50"/>
      <c r="CR98" s="50"/>
      <c r="CS98" s="50"/>
      <c r="CT98" s="50"/>
      <c r="CU98" s="50"/>
      <c r="CV98" s="50"/>
      <c r="CW98" s="50"/>
      <c r="CX98" s="50"/>
      <c r="CY98" s="50"/>
      <c r="CZ98" s="50"/>
      <c r="DA98" s="50"/>
      <c r="DB98" s="50"/>
      <c r="DC98" s="50"/>
      <c r="DD98" s="50"/>
      <c r="DE98" s="49"/>
      <c r="DF98" s="49"/>
      <c r="DG98" s="49"/>
      <c r="DH98" s="49"/>
      <c r="DI98" s="49"/>
      <c r="DJ98" s="49"/>
      <c r="DK98" s="49"/>
      <c r="DL98" s="49"/>
      <c r="DM98" s="49"/>
      <c r="DN98" s="49"/>
      <c r="DO98" s="49"/>
      <c r="DP98" s="49"/>
      <c r="DQ98" s="49"/>
      <c r="DR98" s="49"/>
      <c r="DS98" s="49"/>
      <c r="DT98" s="49"/>
      <c r="DU98" s="49"/>
      <c r="DV98" s="49"/>
      <c r="DW98" s="49"/>
      <c r="DX98" s="49"/>
      <c r="DY98" s="49"/>
      <c r="DZ98" s="49"/>
      <c r="EA98" s="49"/>
      <c r="EB98" s="49"/>
      <c r="EC98" s="49"/>
      <c r="ED98" s="49"/>
      <c r="EE98" s="50"/>
      <c r="EF98" s="50"/>
      <c r="EG98" s="50"/>
      <c r="EH98" s="50"/>
      <c r="EI98" s="50"/>
      <c r="EJ98" s="50"/>
      <c r="EK98" s="50"/>
      <c r="EL98" s="50"/>
      <c r="EM98" s="50"/>
      <c r="EN98" s="50"/>
      <c r="EO98" s="50"/>
      <c r="EP98" s="50"/>
      <c r="EQ98" s="50"/>
      <c r="ER98" s="50"/>
      <c r="ES98" s="50"/>
      <c r="ET98" s="50"/>
      <c r="EU98" s="50"/>
      <c r="EV98" s="50"/>
      <c r="EW98" s="50"/>
      <c r="EX98" s="50"/>
      <c r="EY98" s="50"/>
      <c r="EZ98" s="50"/>
      <c r="FA98" s="50"/>
      <c r="FB98" s="50"/>
      <c r="FC98" s="50"/>
      <c r="FD98" s="50"/>
      <c r="FE98" s="50"/>
      <c r="FF98" s="50"/>
      <c r="FG98" s="50"/>
      <c r="FH98" s="50"/>
      <c r="FI98" s="50"/>
      <c r="FJ98" s="50"/>
      <c r="FK98" s="50"/>
      <c r="FL98" s="50"/>
      <c r="FM98" s="50"/>
      <c r="FN98" s="50"/>
    </row>
    <row r="99" spans="1:170" s="8" customFormat="1" ht="18" hidden="1" customHeight="1">
      <c r="A99" s="1976"/>
      <c r="B99" s="21"/>
      <c r="C99" s="17" t="str">
        <f>Begriffe!F75</f>
        <v>Lichttransmissionsgrad</v>
      </c>
      <c r="D99" s="23"/>
      <c r="E99" s="23"/>
      <c r="F99" s="23"/>
      <c r="G99" s="23"/>
      <c r="H99" s="23"/>
      <c r="I99" s="18"/>
      <c r="J99" s="24" t="s">
        <v>16</v>
      </c>
      <c r="K99" s="24"/>
      <c r="L99" s="518"/>
      <c r="M99" s="394">
        <f>INDEX(Eingabedaten!$D$9:$DN$53,nutzid,MATCH($C99,Eingabedaten!$D$6:$DN$6,0))</f>
        <v>0.7</v>
      </c>
      <c r="N99" s="470"/>
      <c r="O99" s="470"/>
      <c r="P99" s="14">
        <v>0</v>
      </c>
      <c r="Q99" s="392">
        <v>0</v>
      </c>
      <c r="R99" s="14">
        <v>0</v>
      </c>
      <c r="S99" s="14"/>
      <c r="T99" s="243"/>
      <c r="U99" s="89"/>
      <c r="V99" s="64"/>
      <c r="W99" s="158"/>
      <c r="X99" s="158"/>
      <c r="Y99" s="64"/>
      <c r="Z99" s="158"/>
      <c r="AA99" s="158"/>
      <c r="AB99" s="65"/>
      <c r="AC99" s="89"/>
      <c r="AD99" s="89"/>
      <c r="AE99" s="7"/>
      <c r="AF99" s="7"/>
      <c r="AG99" s="7"/>
      <c r="AH99" s="7"/>
      <c r="AI99" s="7"/>
      <c r="AJ99" s="7"/>
      <c r="AK99" s="7"/>
      <c r="AL99" s="7"/>
      <c r="AM99" s="7"/>
      <c r="AN99" s="7"/>
      <c r="AO99" s="7"/>
      <c r="AP99" s="83"/>
      <c r="AQ99" s="83"/>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0"/>
      <c r="CA99" s="50"/>
      <c r="CB99" s="50"/>
      <c r="CC99" s="50"/>
      <c r="CD99" s="50"/>
      <c r="CE99" s="50"/>
      <c r="CF99" s="50"/>
      <c r="CG99" s="50"/>
      <c r="CH99" s="50"/>
      <c r="CI99" s="50"/>
      <c r="CJ99" s="50"/>
      <c r="CK99" s="50"/>
      <c r="CL99" s="50"/>
      <c r="CM99" s="50"/>
      <c r="CN99" s="50"/>
      <c r="CO99" s="50"/>
      <c r="CP99" s="50"/>
      <c r="CQ99" s="50"/>
      <c r="CR99" s="50"/>
      <c r="CS99" s="50"/>
      <c r="CT99" s="50"/>
      <c r="CU99" s="50"/>
      <c r="CV99" s="50"/>
      <c r="CW99" s="50"/>
      <c r="CX99" s="50"/>
      <c r="CY99" s="50"/>
      <c r="CZ99" s="50"/>
      <c r="DA99" s="50"/>
      <c r="DB99" s="50"/>
      <c r="DC99" s="50"/>
      <c r="DD99" s="50"/>
      <c r="DE99" s="49"/>
      <c r="DF99" s="49"/>
      <c r="DG99" s="49"/>
      <c r="DH99" s="49"/>
      <c r="DI99" s="49"/>
      <c r="DJ99" s="49"/>
      <c r="DK99" s="49"/>
      <c r="DL99" s="49"/>
      <c r="DM99" s="49"/>
      <c r="DN99" s="49"/>
      <c r="DO99" s="49"/>
      <c r="DP99" s="49"/>
      <c r="DQ99" s="49"/>
      <c r="DR99" s="49"/>
      <c r="DS99" s="49"/>
      <c r="DT99" s="49"/>
      <c r="DU99" s="49"/>
      <c r="DV99" s="49"/>
      <c r="DW99" s="49"/>
      <c r="DX99" s="49"/>
      <c r="DY99" s="49"/>
      <c r="DZ99" s="49"/>
      <c r="EA99" s="49"/>
      <c r="EB99" s="49"/>
      <c r="EC99" s="49"/>
      <c r="ED99" s="49"/>
      <c r="EE99" s="50"/>
      <c r="EF99" s="50"/>
      <c r="EG99" s="50"/>
      <c r="EH99" s="50"/>
      <c r="EI99" s="50"/>
      <c r="EJ99" s="50"/>
      <c r="EK99" s="50"/>
      <c r="EL99" s="50"/>
      <c r="EM99" s="50"/>
      <c r="EN99" s="50"/>
      <c r="EO99" s="50"/>
      <c r="EP99" s="50"/>
      <c r="EQ99" s="50"/>
      <c r="ER99" s="50"/>
      <c r="ES99" s="50"/>
      <c r="ET99" s="50"/>
      <c r="EU99" s="50"/>
      <c r="EV99" s="50"/>
      <c r="EW99" s="50"/>
      <c r="EX99" s="50"/>
      <c r="EY99" s="50"/>
      <c r="EZ99" s="50"/>
      <c r="FA99" s="50"/>
      <c r="FB99" s="50"/>
      <c r="FC99" s="50"/>
      <c r="FD99" s="50"/>
      <c r="FE99" s="50"/>
      <c r="FF99" s="50"/>
      <c r="FG99" s="50"/>
      <c r="FH99" s="50"/>
      <c r="FI99" s="50"/>
      <c r="FJ99" s="50"/>
      <c r="FK99" s="50"/>
      <c r="FL99" s="50"/>
      <c r="FM99" s="50"/>
      <c r="FN99" s="50"/>
    </row>
    <row r="100" spans="1:170" s="30" customFormat="1" ht="18" hidden="1" customHeight="1">
      <c r="A100" s="1976"/>
      <c r="B100" s="21"/>
      <c r="C100" s="17" t="s">
        <v>1077</v>
      </c>
      <c r="D100" s="17"/>
      <c r="E100" s="196"/>
      <c r="F100" s="17"/>
      <c r="G100" s="17"/>
      <c r="H100" s="17"/>
      <c r="I100" s="18" t="s">
        <v>1078</v>
      </c>
      <c r="J100" s="24"/>
      <c r="K100" s="24"/>
      <c r="L100" s="16"/>
      <c r="M100" s="470">
        <f>0.7/M99</f>
        <v>1</v>
      </c>
      <c r="N100" s="470"/>
      <c r="O100" s="470"/>
      <c r="P100" s="14">
        <v>0</v>
      </c>
      <c r="Q100" s="392">
        <v>0</v>
      </c>
      <c r="R100" s="14">
        <v>0</v>
      </c>
      <c r="T100" s="243"/>
      <c r="U100" s="89"/>
      <c r="V100" s="64"/>
      <c r="W100" s="158"/>
      <c r="X100" s="158"/>
      <c r="Y100" s="64"/>
      <c r="Z100" s="158"/>
      <c r="AA100" s="158"/>
      <c r="AB100" s="65"/>
      <c r="AC100" s="89"/>
      <c r="AD100" s="89"/>
      <c r="AE100" s="7"/>
      <c r="AF100" s="7"/>
      <c r="AG100" s="7"/>
      <c r="AH100" s="7"/>
      <c r="AI100" s="7"/>
      <c r="AJ100" s="7"/>
      <c r="AK100" s="7"/>
      <c r="AL100" s="7"/>
      <c r="AM100" s="7"/>
      <c r="AN100" s="7"/>
      <c r="AO100" s="7"/>
      <c r="AP100" s="7"/>
      <c r="AQ100" s="7"/>
      <c r="AR100" s="40"/>
      <c r="AS100" s="40"/>
      <c r="AT100" s="40"/>
      <c r="AU100" s="40"/>
      <c r="AV100" s="40"/>
      <c r="AW100" s="40"/>
      <c r="AX100" s="40"/>
      <c r="AY100" s="40"/>
      <c r="AZ100" s="40"/>
      <c r="BA100" s="40"/>
      <c r="BB100" s="40"/>
      <c r="BC100" s="40"/>
      <c r="BD100" s="40"/>
      <c r="BE100" s="40"/>
      <c r="BF100" s="40"/>
      <c r="BG100" s="40"/>
      <c r="BH100" s="40"/>
      <c r="BI100" s="40"/>
      <c r="BJ100" s="40"/>
      <c r="BK100" s="40"/>
      <c r="BL100" s="40"/>
      <c r="BM100" s="40"/>
      <c r="BN100" s="40"/>
      <c r="BO100" s="40"/>
      <c r="BP100" s="40"/>
      <c r="BQ100" s="40"/>
      <c r="BR100" s="40"/>
      <c r="BS100" s="40"/>
      <c r="BT100" s="40"/>
      <c r="BU100" s="40"/>
      <c r="BV100" s="40"/>
      <c r="BW100" s="40"/>
      <c r="BX100" s="40"/>
      <c r="BY100" s="40"/>
      <c r="BZ100" s="40"/>
      <c r="CA100" s="40"/>
      <c r="CB100" s="40"/>
      <c r="CC100" s="40"/>
      <c r="CD100" s="40"/>
      <c r="CE100" s="40"/>
      <c r="CF100" s="40"/>
      <c r="CG100" s="40"/>
      <c r="CH100" s="40"/>
      <c r="CI100" s="40"/>
      <c r="CJ100" s="40"/>
      <c r="CK100" s="40"/>
      <c r="CL100" s="40"/>
      <c r="CM100" s="40"/>
      <c r="CN100" s="40"/>
      <c r="CO100" s="40"/>
      <c r="CP100" s="40"/>
      <c r="CQ100" s="40"/>
      <c r="CR100" s="40"/>
      <c r="CS100" s="40"/>
      <c r="CT100" s="40"/>
      <c r="CU100" s="40"/>
      <c r="CV100" s="40"/>
      <c r="CW100" s="40"/>
      <c r="CX100" s="40"/>
      <c r="CY100" s="40"/>
      <c r="CZ100" s="40"/>
      <c r="DA100" s="40"/>
      <c r="DB100" s="40"/>
      <c r="DC100" s="40"/>
      <c r="DD100" s="40"/>
      <c r="DE100" s="51"/>
      <c r="DF100" s="51"/>
      <c r="DG100" s="51"/>
      <c r="DH100" s="51"/>
      <c r="DI100" s="51"/>
      <c r="DJ100" s="51"/>
      <c r="DK100" s="51"/>
      <c r="DL100" s="51"/>
      <c r="DM100" s="51"/>
      <c r="DN100" s="51"/>
      <c r="DO100" s="51"/>
      <c r="DP100" s="51"/>
      <c r="DQ100" s="51"/>
      <c r="DR100" s="51"/>
      <c r="DS100" s="51"/>
      <c r="DT100" s="51"/>
      <c r="DU100" s="51"/>
      <c r="DV100" s="51"/>
      <c r="DW100" s="51"/>
      <c r="DX100" s="51"/>
      <c r="DY100" s="51"/>
      <c r="DZ100" s="51"/>
      <c r="EA100" s="51"/>
      <c r="EB100" s="51"/>
      <c r="EC100" s="51"/>
      <c r="ED100" s="51"/>
      <c r="EE100" s="40"/>
      <c r="EF100" s="40"/>
      <c r="EG100" s="40"/>
      <c r="EH100" s="40"/>
      <c r="EI100" s="40"/>
      <c r="EJ100" s="40"/>
      <c r="EK100" s="40"/>
      <c r="EL100" s="40"/>
      <c r="EM100" s="40"/>
      <c r="EN100" s="40"/>
      <c r="EO100" s="40"/>
      <c r="EP100" s="40"/>
      <c r="EQ100" s="40"/>
      <c r="ER100" s="40"/>
      <c r="ES100" s="40"/>
      <c r="ET100" s="40"/>
      <c r="EU100" s="40"/>
      <c r="EV100" s="40"/>
      <c r="EW100" s="40"/>
      <c r="EX100" s="40"/>
      <c r="EY100" s="40"/>
      <c r="EZ100" s="40"/>
      <c r="FA100" s="40"/>
      <c r="FB100" s="40"/>
      <c r="FC100" s="40"/>
      <c r="FD100" s="40"/>
      <c r="FE100" s="40"/>
      <c r="FF100" s="40"/>
      <c r="FG100" s="40"/>
      <c r="FH100" s="40"/>
      <c r="FI100" s="40"/>
      <c r="FJ100" s="40"/>
      <c r="FK100" s="40"/>
      <c r="FL100" s="40"/>
      <c r="FM100" s="40"/>
      <c r="FN100" s="40"/>
    </row>
    <row r="101" spans="1:170" s="30" customFormat="1" ht="18" hidden="1" customHeight="1">
      <c r="A101" s="1976"/>
      <c r="B101" s="21"/>
      <c r="C101" s="17" t="s">
        <v>1085</v>
      </c>
      <c r="D101" s="17"/>
      <c r="E101" s="196"/>
      <c r="F101" s="17"/>
      <c r="G101" s="17"/>
      <c r="H101" s="17"/>
      <c r="I101" s="18" t="s">
        <v>1086</v>
      </c>
      <c r="J101" s="24" t="s">
        <v>29</v>
      </c>
      <c r="K101" s="24"/>
      <c r="L101" s="518"/>
      <c r="M101" s="394">
        <v>0.2</v>
      </c>
      <c r="N101" s="470"/>
      <c r="O101" s="470"/>
      <c r="P101" s="14"/>
      <c r="Q101" s="392"/>
      <c r="R101" s="14"/>
      <c r="T101" s="243"/>
      <c r="U101" s="89"/>
      <c r="V101" s="64"/>
      <c r="W101" s="158"/>
      <c r="X101" s="158"/>
      <c r="Y101" s="64"/>
      <c r="Z101" s="158"/>
      <c r="AA101" s="158"/>
      <c r="AB101" s="65"/>
      <c r="AC101" s="89"/>
      <c r="AD101" s="89"/>
      <c r="AE101" s="7"/>
      <c r="AF101" s="7"/>
      <c r="AG101" s="7"/>
      <c r="AH101" s="7"/>
      <c r="AI101" s="7"/>
      <c r="AJ101" s="7"/>
      <c r="AK101" s="7"/>
      <c r="AL101" s="7"/>
      <c r="AM101" s="7"/>
      <c r="AN101" s="7"/>
      <c r="AO101" s="7"/>
      <c r="AP101" s="7"/>
      <c r="AQ101" s="7"/>
      <c r="AR101" s="40"/>
      <c r="AS101" s="40"/>
      <c r="AT101" s="40"/>
      <c r="AU101" s="40"/>
      <c r="AV101" s="40"/>
      <c r="AW101" s="40"/>
      <c r="AX101" s="40"/>
      <c r="AY101" s="40"/>
      <c r="AZ101" s="40"/>
      <c r="BA101" s="40"/>
      <c r="BB101" s="40"/>
      <c r="BC101" s="40"/>
      <c r="BD101" s="40"/>
      <c r="BE101" s="40"/>
      <c r="BF101" s="40"/>
      <c r="BG101" s="40"/>
      <c r="BH101" s="40"/>
      <c r="BI101" s="40"/>
      <c r="BJ101" s="40"/>
      <c r="BK101" s="40"/>
      <c r="BL101" s="40"/>
      <c r="BM101" s="40"/>
      <c r="BN101" s="40"/>
      <c r="BO101" s="40"/>
      <c r="BP101" s="40"/>
      <c r="BQ101" s="40"/>
      <c r="BR101" s="40"/>
      <c r="BS101" s="40"/>
      <c r="BT101" s="40"/>
      <c r="BU101" s="40"/>
      <c r="BV101" s="40"/>
      <c r="BW101" s="40"/>
      <c r="BX101" s="40"/>
      <c r="BY101" s="40"/>
      <c r="BZ101" s="40"/>
      <c r="CA101" s="40"/>
      <c r="CB101" s="40"/>
      <c r="CC101" s="40"/>
      <c r="CD101" s="40"/>
      <c r="CE101" s="40"/>
      <c r="CF101" s="40"/>
      <c r="CG101" s="40"/>
      <c r="CH101" s="40"/>
      <c r="CI101" s="40"/>
      <c r="CJ101" s="40"/>
      <c r="CK101" s="40"/>
      <c r="CL101" s="40"/>
      <c r="CM101" s="40"/>
      <c r="CN101" s="40"/>
      <c r="CO101" s="40"/>
      <c r="CP101" s="40"/>
      <c r="CQ101" s="40"/>
      <c r="CR101" s="40"/>
      <c r="CS101" s="40"/>
      <c r="CT101" s="40"/>
      <c r="CU101" s="40"/>
      <c r="CV101" s="40"/>
      <c r="CW101" s="40"/>
      <c r="CX101" s="40"/>
      <c r="CY101" s="40"/>
      <c r="CZ101" s="40"/>
      <c r="DA101" s="40"/>
      <c r="DB101" s="40"/>
      <c r="DC101" s="40"/>
      <c r="DD101" s="40"/>
      <c r="DE101" s="51"/>
      <c r="DF101" s="51"/>
      <c r="DG101" s="51"/>
      <c r="DH101" s="51"/>
      <c r="DI101" s="51"/>
      <c r="DJ101" s="51"/>
      <c r="DK101" s="51"/>
      <c r="DL101" s="51"/>
      <c r="DM101" s="51"/>
      <c r="DN101" s="51"/>
      <c r="DO101" s="51"/>
      <c r="DP101" s="51"/>
      <c r="DQ101" s="51"/>
      <c r="DR101" s="51"/>
      <c r="DS101" s="51"/>
      <c r="DT101" s="51"/>
      <c r="DU101" s="51"/>
      <c r="DV101" s="51"/>
      <c r="DW101" s="51"/>
      <c r="DX101" s="51"/>
      <c r="DY101" s="51"/>
      <c r="DZ101" s="51"/>
      <c r="EA101" s="51"/>
      <c r="EB101" s="51"/>
      <c r="EC101" s="51"/>
      <c r="ED101" s="51"/>
      <c r="EE101" s="40"/>
      <c r="EF101" s="40"/>
      <c r="EG101" s="40"/>
      <c r="EH101" s="40"/>
      <c r="EI101" s="40"/>
      <c r="EJ101" s="40"/>
      <c r="EK101" s="40"/>
      <c r="EL101" s="40"/>
      <c r="EM101" s="40"/>
      <c r="EN101" s="40"/>
      <c r="EO101" s="40"/>
      <c r="EP101" s="40"/>
      <c r="EQ101" s="40"/>
      <c r="ER101" s="40"/>
      <c r="ES101" s="40"/>
      <c r="ET101" s="40"/>
      <c r="EU101" s="40"/>
      <c r="EV101" s="40"/>
      <c r="EW101" s="40"/>
      <c r="EX101" s="40"/>
      <c r="EY101" s="40"/>
      <c r="EZ101" s="40"/>
      <c r="FA101" s="40"/>
      <c r="FB101" s="40"/>
      <c r="FC101" s="40"/>
      <c r="FD101" s="40"/>
      <c r="FE101" s="40"/>
      <c r="FF101" s="40"/>
      <c r="FG101" s="40"/>
      <c r="FH101" s="40"/>
      <c r="FI101" s="40"/>
      <c r="FJ101" s="40"/>
      <c r="FK101" s="40"/>
      <c r="FL101" s="40"/>
      <c r="FM101" s="40"/>
      <c r="FN101" s="40"/>
    </row>
    <row r="102" spans="1:170" s="30" customFormat="1" ht="18" hidden="1" customHeight="1">
      <c r="A102" s="1976"/>
      <c r="B102" s="21"/>
      <c r="C102" s="17" t="s">
        <v>32</v>
      </c>
      <c r="D102" s="17"/>
      <c r="E102" s="196"/>
      <c r="F102" s="17"/>
      <c r="G102" s="17"/>
      <c r="H102" s="17"/>
      <c r="I102" s="18" t="s">
        <v>1079</v>
      </c>
      <c r="J102" s="24"/>
      <c r="K102" s="24"/>
      <c r="L102" s="16"/>
      <c r="M102" s="469">
        <f>0.8+0.2/(M12-M101-1.8)</f>
        <v>1.2000000000000002</v>
      </c>
      <c r="N102" s="469"/>
      <c r="O102" s="469"/>
      <c r="P102" s="14">
        <v>0</v>
      </c>
      <c r="Q102" s="392">
        <v>0</v>
      </c>
      <c r="R102" s="14">
        <v>0</v>
      </c>
      <c r="T102" s="243"/>
      <c r="U102" s="89"/>
      <c r="V102" s="64"/>
      <c r="W102" s="158"/>
      <c r="X102" s="158"/>
      <c r="Y102" s="64"/>
      <c r="Z102" s="158"/>
      <c r="AA102" s="158"/>
      <c r="AB102" s="65"/>
      <c r="AC102" s="89"/>
      <c r="AD102" s="89"/>
      <c r="AE102" s="7"/>
      <c r="AF102" s="7"/>
      <c r="AG102" s="7"/>
      <c r="AH102" s="7"/>
      <c r="AI102" s="7"/>
      <c r="AJ102" s="7"/>
      <c r="AK102" s="7"/>
      <c r="AL102" s="7"/>
      <c r="AM102" s="7"/>
      <c r="AN102" s="7"/>
      <c r="AO102" s="7"/>
      <c r="AP102" s="7"/>
      <c r="AQ102" s="7"/>
      <c r="AR102" s="40"/>
      <c r="AS102" s="40"/>
      <c r="AT102" s="40"/>
      <c r="AU102" s="40"/>
      <c r="AV102" s="40"/>
      <c r="AW102" s="40"/>
      <c r="AX102" s="40"/>
      <c r="AY102" s="40"/>
      <c r="AZ102" s="40"/>
      <c r="BA102" s="40"/>
      <c r="BB102" s="40"/>
      <c r="BC102" s="40"/>
      <c r="BD102" s="40"/>
      <c r="BE102" s="40"/>
      <c r="BF102" s="40"/>
      <c r="BG102" s="40"/>
      <c r="BH102" s="40"/>
      <c r="BI102" s="40"/>
      <c r="BJ102" s="40"/>
      <c r="BK102" s="40"/>
      <c r="BL102" s="40"/>
      <c r="BM102" s="40"/>
      <c r="BN102" s="40"/>
      <c r="BO102" s="40"/>
      <c r="BP102" s="40"/>
      <c r="BQ102" s="40"/>
      <c r="BR102" s="40"/>
      <c r="BS102" s="40"/>
      <c r="BT102" s="40"/>
      <c r="BU102" s="40"/>
      <c r="BV102" s="40"/>
      <c r="BW102" s="40"/>
      <c r="BX102" s="40"/>
      <c r="BY102" s="40"/>
      <c r="BZ102" s="40"/>
      <c r="CA102" s="40"/>
      <c r="CB102" s="40"/>
      <c r="CC102" s="40"/>
      <c r="CD102" s="40"/>
      <c r="CE102" s="40"/>
      <c r="CF102" s="40"/>
      <c r="CG102" s="40"/>
      <c r="CH102" s="40"/>
      <c r="CI102" s="40"/>
      <c r="CJ102" s="40"/>
      <c r="CK102" s="40"/>
      <c r="CL102" s="40"/>
      <c r="CM102" s="40"/>
      <c r="CN102" s="40"/>
      <c r="CO102" s="40"/>
      <c r="CP102" s="40"/>
      <c r="CQ102" s="40"/>
      <c r="CR102" s="40"/>
      <c r="CS102" s="40"/>
      <c r="CT102" s="40"/>
      <c r="CU102" s="40"/>
      <c r="CV102" s="40"/>
      <c r="CW102" s="40"/>
      <c r="CX102" s="40"/>
      <c r="CY102" s="40"/>
      <c r="CZ102" s="40"/>
      <c r="DA102" s="40"/>
      <c r="DB102" s="40"/>
      <c r="DC102" s="40"/>
      <c r="DD102" s="40"/>
      <c r="DE102" s="51"/>
      <c r="DF102" s="51"/>
      <c r="DG102" s="51"/>
      <c r="DH102" s="51"/>
      <c r="DI102" s="51"/>
      <c r="DJ102" s="51"/>
      <c r="DK102" s="51"/>
      <c r="DL102" s="51"/>
      <c r="DM102" s="51"/>
      <c r="DN102" s="51"/>
      <c r="DO102" s="51"/>
      <c r="DP102" s="51"/>
      <c r="DQ102" s="51"/>
      <c r="DR102" s="51"/>
      <c r="DS102" s="51"/>
      <c r="DT102" s="51"/>
      <c r="DU102" s="51"/>
      <c r="DV102" s="51"/>
      <c r="DW102" s="51"/>
      <c r="DX102" s="51"/>
      <c r="DY102" s="51"/>
      <c r="DZ102" s="51"/>
      <c r="EA102" s="51"/>
      <c r="EB102" s="51"/>
      <c r="EC102" s="51"/>
      <c r="ED102" s="51"/>
      <c r="EE102" s="40"/>
      <c r="EF102" s="40"/>
      <c r="EG102" s="40"/>
      <c r="EH102" s="40"/>
      <c r="EI102" s="40"/>
      <c r="EJ102" s="40"/>
      <c r="EK102" s="40"/>
      <c r="EL102" s="40"/>
      <c r="EM102" s="40"/>
      <c r="EN102" s="40"/>
      <c r="EO102" s="40"/>
      <c r="EP102" s="40"/>
      <c r="EQ102" s="40"/>
      <c r="ER102" s="40"/>
      <c r="ES102" s="40"/>
      <c r="ET102" s="40"/>
      <c r="EU102" s="40"/>
      <c r="EV102" s="40"/>
      <c r="EW102" s="40"/>
      <c r="EX102" s="40"/>
      <c r="EY102" s="40"/>
      <c r="EZ102" s="40"/>
      <c r="FA102" s="40"/>
      <c r="FB102" s="40"/>
      <c r="FC102" s="40"/>
      <c r="FD102" s="40"/>
      <c r="FE102" s="40"/>
      <c r="FF102" s="40"/>
      <c r="FG102" s="40"/>
      <c r="FH102" s="40"/>
      <c r="FI102" s="40"/>
      <c r="FJ102" s="40"/>
      <c r="FK102" s="40"/>
      <c r="FL102" s="40"/>
      <c r="FM102" s="40"/>
      <c r="FN102" s="40"/>
    </row>
    <row r="103" spans="1:170" s="12" customFormat="1" ht="18" hidden="1" customHeight="1">
      <c r="A103" s="1976"/>
      <c r="B103" s="21"/>
      <c r="C103" s="17" t="s">
        <v>34</v>
      </c>
      <c r="D103" s="17"/>
      <c r="E103" s="196"/>
      <c r="F103" s="17"/>
      <c r="G103" s="17"/>
      <c r="H103" s="17"/>
      <c r="I103" s="18" t="s">
        <v>1084</v>
      </c>
      <c r="J103" s="24" t="s">
        <v>29</v>
      </c>
      <c r="K103" s="24"/>
      <c r="L103" s="518"/>
      <c r="M103" s="394">
        <v>0</v>
      </c>
      <c r="N103" s="470">
        <v>0</v>
      </c>
      <c r="O103" s="470">
        <v>0</v>
      </c>
      <c r="P103" s="14">
        <v>0</v>
      </c>
      <c r="Q103" s="392">
        <v>0</v>
      </c>
      <c r="R103" s="14">
        <v>0</v>
      </c>
      <c r="T103" s="243"/>
      <c r="U103" s="89"/>
      <c r="V103" s="64"/>
      <c r="W103" s="158"/>
      <c r="X103" s="158"/>
      <c r="Y103" s="64"/>
      <c r="Z103" s="158"/>
      <c r="AA103" s="158"/>
      <c r="AB103" s="65"/>
      <c r="AC103" s="89"/>
      <c r="AD103" s="89"/>
      <c r="AE103" s="7"/>
      <c r="AF103" s="7"/>
      <c r="AG103" s="7"/>
      <c r="AH103" s="7"/>
      <c r="AI103" s="7"/>
      <c r="AJ103" s="7"/>
      <c r="AK103" s="7"/>
      <c r="AL103" s="7"/>
      <c r="AM103" s="7"/>
      <c r="AN103" s="7"/>
      <c r="AO103" s="7"/>
      <c r="AP103" s="7"/>
      <c r="AQ103" s="7"/>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51"/>
      <c r="DF103" s="51"/>
      <c r="DG103" s="51"/>
      <c r="DH103" s="51"/>
      <c r="DI103" s="51"/>
      <c r="DJ103" s="51"/>
      <c r="DK103" s="51"/>
      <c r="DL103" s="51"/>
      <c r="DM103" s="51"/>
      <c r="DN103" s="51"/>
      <c r="DO103" s="51"/>
      <c r="DP103" s="51"/>
      <c r="DQ103" s="51"/>
      <c r="DR103" s="51"/>
      <c r="DS103" s="51"/>
      <c r="DT103" s="51"/>
      <c r="DU103" s="51"/>
      <c r="DV103" s="51"/>
      <c r="DW103" s="51"/>
      <c r="DX103" s="51"/>
      <c r="DY103" s="51"/>
      <c r="DZ103" s="51"/>
      <c r="EA103" s="51"/>
      <c r="EB103" s="51"/>
      <c r="EC103" s="51"/>
      <c r="ED103" s="51"/>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row>
    <row r="104" spans="1:170" s="8" customFormat="1" ht="18" hidden="1" customHeight="1">
      <c r="A104" s="1976"/>
      <c r="B104" s="21"/>
      <c r="C104" s="17" t="s">
        <v>33</v>
      </c>
      <c r="D104" s="17"/>
      <c r="E104" s="196"/>
      <c r="F104" s="17"/>
      <c r="G104" s="17"/>
      <c r="H104" s="17"/>
      <c r="I104" s="18" t="s">
        <v>1081</v>
      </c>
      <c r="J104" s="24"/>
      <c r="K104" s="24"/>
      <c r="L104" s="16"/>
      <c r="M104" s="470">
        <f>MIN(2,1/(1-(0.25*M103)))</f>
        <v>1</v>
      </c>
      <c r="N104" s="470"/>
      <c r="O104" s="470"/>
      <c r="P104" s="14">
        <v>0</v>
      </c>
      <c r="Q104" s="392">
        <v>0</v>
      </c>
      <c r="R104" s="14">
        <v>0</v>
      </c>
      <c r="S104" s="14"/>
      <c r="T104" s="243"/>
      <c r="U104" s="89"/>
      <c r="V104" s="64"/>
      <c r="W104" s="158"/>
      <c r="X104" s="158"/>
      <c r="Y104" s="64"/>
      <c r="Z104" s="158"/>
      <c r="AA104" s="158"/>
      <c r="AB104" s="65"/>
      <c r="AC104" s="89"/>
      <c r="AD104" s="89"/>
      <c r="AE104" s="7"/>
      <c r="AF104" s="7"/>
      <c r="AG104" s="7"/>
      <c r="AH104" s="7"/>
      <c r="AI104" s="7"/>
      <c r="AJ104" s="7"/>
      <c r="AK104" s="7"/>
      <c r="AL104" s="7"/>
      <c r="AM104" s="7"/>
      <c r="AN104" s="7"/>
      <c r="AO104" s="7"/>
      <c r="AP104" s="83"/>
      <c r="AQ104" s="83"/>
      <c r="AR104" s="50"/>
      <c r="AS104" s="50"/>
      <c r="AT104" s="50"/>
      <c r="AU104" s="50"/>
      <c r="AV104" s="50"/>
      <c r="AW104" s="50"/>
      <c r="AX104" s="50"/>
      <c r="AY104" s="50"/>
      <c r="AZ104" s="50"/>
      <c r="BA104" s="50"/>
      <c r="BB104" s="50"/>
      <c r="BC104" s="50"/>
      <c r="BD104" s="50"/>
      <c r="BE104" s="50"/>
      <c r="BF104" s="50"/>
      <c r="BG104" s="50"/>
      <c r="BH104" s="50"/>
      <c r="BI104" s="50"/>
      <c r="BJ104" s="50"/>
      <c r="BK104" s="50"/>
      <c r="BL104" s="50"/>
      <c r="BM104" s="50"/>
      <c r="BN104" s="50"/>
      <c r="BO104" s="50"/>
      <c r="BP104" s="50"/>
      <c r="BQ104" s="50"/>
      <c r="BR104" s="50"/>
      <c r="BS104" s="50"/>
      <c r="BT104" s="50"/>
      <c r="BU104" s="50"/>
      <c r="BV104" s="50"/>
      <c r="BW104" s="50"/>
      <c r="BX104" s="50"/>
      <c r="BY104" s="50"/>
      <c r="BZ104" s="50"/>
      <c r="CA104" s="50"/>
      <c r="CB104" s="50"/>
      <c r="CC104" s="50"/>
      <c r="CD104" s="50"/>
      <c r="CE104" s="50"/>
      <c r="CF104" s="50"/>
      <c r="CG104" s="50"/>
      <c r="CH104" s="50"/>
      <c r="CI104" s="50"/>
      <c r="CJ104" s="50"/>
      <c r="CK104" s="50"/>
      <c r="CL104" s="50"/>
      <c r="CM104" s="50"/>
      <c r="CN104" s="50"/>
      <c r="CO104" s="50"/>
      <c r="CP104" s="50"/>
      <c r="CQ104" s="50"/>
      <c r="CR104" s="50"/>
      <c r="CS104" s="50"/>
      <c r="CT104" s="50"/>
      <c r="CU104" s="50"/>
      <c r="CV104" s="50"/>
      <c r="CW104" s="50"/>
      <c r="CX104" s="50"/>
      <c r="CY104" s="50"/>
      <c r="CZ104" s="50"/>
      <c r="DA104" s="50"/>
      <c r="DB104" s="50"/>
      <c r="DC104" s="50"/>
      <c r="DD104" s="50"/>
      <c r="DE104" s="49"/>
      <c r="DF104" s="49"/>
      <c r="DG104" s="49"/>
      <c r="DH104" s="49"/>
      <c r="DI104" s="49"/>
      <c r="DJ104" s="49"/>
      <c r="DK104" s="49"/>
      <c r="DL104" s="49"/>
      <c r="DM104" s="49"/>
      <c r="DN104" s="49"/>
      <c r="DO104" s="49"/>
      <c r="DP104" s="49"/>
      <c r="DQ104" s="49"/>
      <c r="DR104" s="49"/>
      <c r="DS104" s="49"/>
      <c r="DT104" s="49"/>
      <c r="DU104" s="49"/>
      <c r="DV104" s="49"/>
      <c r="DW104" s="49"/>
      <c r="DX104" s="49"/>
      <c r="DY104" s="49"/>
      <c r="DZ104" s="49"/>
      <c r="EA104" s="49"/>
      <c r="EB104" s="49"/>
      <c r="EC104" s="49"/>
      <c r="ED104" s="49"/>
      <c r="EE104" s="50"/>
      <c r="EF104" s="50"/>
      <c r="EG104" s="50"/>
      <c r="EH104" s="50"/>
      <c r="EI104" s="50"/>
      <c r="EJ104" s="50"/>
      <c r="EK104" s="50"/>
      <c r="EL104" s="50"/>
      <c r="EM104" s="50"/>
      <c r="EN104" s="50"/>
      <c r="EO104" s="50"/>
      <c r="EP104" s="50"/>
      <c r="EQ104" s="50"/>
      <c r="ER104" s="50"/>
      <c r="ES104" s="50"/>
      <c r="ET104" s="50"/>
      <c r="EU104" s="50"/>
      <c r="EV104" s="50"/>
      <c r="EW104" s="50"/>
      <c r="EX104" s="50"/>
      <c r="EY104" s="50"/>
      <c r="EZ104" s="50"/>
      <c r="FA104" s="50"/>
      <c r="FB104" s="50"/>
      <c r="FC104" s="50"/>
      <c r="FD104" s="50"/>
      <c r="FE104" s="50"/>
      <c r="FF104" s="50"/>
      <c r="FG104" s="50"/>
      <c r="FH104" s="50"/>
      <c r="FI104" s="50"/>
      <c r="FJ104" s="50"/>
      <c r="FK104" s="50"/>
      <c r="FL104" s="50"/>
      <c r="FM104" s="50"/>
      <c r="FN104" s="50"/>
    </row>
    <row r="105" spans="1:170" s="8" customFormat="1" ht="18" hidden="1" customHeight="1">
      <c r="A105" s="1976"/>
      <c r="B105" s="21"/>
      <c r="C105" s="17" t="s">
        <v>1087</v>
      </c>
      <c r="D105" s="17"/>
      <c r="E105" s="196"/>
      <c r="F105" s="17"/>
      <c r="G105" s="17"/>
      <c r="H105" s="17"/>
      <c r="I105" s="18" t="s">
        <v>1088</v>
      </c>
      <c r="J105" s="24"/>
      <c r="K105" s="24"/>
      <c r="L105" s="518"/>
      <c r="M105" s="470">
        <v>1.2</v>
      </c>
      <c r="N105" s="470">
        <v>1</v>
      </c>
      <c r="O105" s="470">
        <f>M105</f>
        <v>1.2</v>
      </c>
      <c r="P105" s="14">
        <v>0</v>
      </c>
      <c r="Q105" s="392">
        <v>0</v>
      </c>
      <c r="R105" s="14">
        <v>0</v>
      </c>
      <c r="S105" s="14"/>
      <c r="T105" s="243"/>
      <c r="U105" s="89"/>
      <c r="V105" s="64"/>
      <c r="W105" s="158"/>
      <c r="X105" s="158"/>
      <c r="Y105" s="64"/>
      <c r="Z105" s="158"/>
      <c r="AA105" s="158"/>
      <c r="AB105" s="65"/>
      <c r="AC105" s="89"/>
      <c r="AD105" s="89"/>
      <c r="AE105" s="7"/>
      <c r="AF105" s="7"/>
      <c r="AG105" s="7"/>
      <c r="AH105" s="7"/>
      <c r="AI105" s="7"/>
      <c r="AJ105" s="7"/>
      <c r="AK105" s="7"/>
      <c r="AL105" s="7"/>
      <c r="AM105" s="7"/>
      <c r="AN105" s="7"/>
      <c r="AO105" s="7"/>
      <c r="AP105" s="83"/>
      <c r="AQ105" s="83"/>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0"/>
      <c r="CA105" s="50"/>
      <c r="CB105" s="50"/>
      <c r="CC105" s="50"/>
      <c r="CD105" s="50"/>
      <c r="CE105" s="50"/>
      <c r="CF105" s="50"/>
      <c r="CG105" s="50"/>
      <c r="CH105" s="50"/>
      <c r="CI105" s="50"/>
      <c r="CJ105" s="50"/>
      <c r="CK105" s="50"/>
      <c r="CL105" s="50"/>
      <c r="CM105" s="50"/>
      <c r="CN105" s="50"/>
      <c r="CO105" s="50"/>
      <c r="CP105" s="50"/>
      <c r="CQ105" s="50"/>
      <c r="CR105" s="50"/>
      <c r="CS105" s="50"/>
      <c r="CT105" s="50"/>
      <c r="CU105" s="50"/>
      <c r="CV105" s="50"/>
      <c r="CW105" s="50"/>
      <c r="CX105" s="50"/>
      <c r="CY105" s="50"/>
      <c r="CZ105" s="50"/>
      <c r="DA105" s="50"/>
      <c r="DB105" s="50"/>
      <c r="DC105" s="50"/>
      <c r="DD105" s="50"/>
      <c r="DE105" s="49"/>
      <c r="DF105" s="49"/>
      <c r="DG105" s="49"/>
      <c r="DH105" s="49"/>
      <c r="DI105" s="49"/>
      <c r="DJ105" s="49"/>
      <c r="DK105" s="49"/>
      <c r="DL105" s="49"/>
      <c r="DM105" s="49"/>
      <c r="DN105" s="49"/>
      <c r="DO105" s="49"/>
      <c r="DP105" s="49"/>
      <c r="DQ105" s="49"/>
      <c r="DR105" s="49"/>
      <c r="DS105" s="49"/>
      <c r="DT105" s="49"/>
      <c r="DU105" s="49"/>
      <c r="DV105" s="49"/>
      <c r="DW105" s="49"/>
      <c r="DX105" s="49"/>
      <c r="DY105" s="49"/>
      <c r="DZ105" s="49"/>
      <c r="EA105" s="49"/>
      <c r="EB105" s="49"/>
      <c r="EC105" s="49"/>
      <c r="ED105" s="49"/>
      <c r="EE105" s="50"/>
      <c r="EF105" s="50"/>
      <c r="EG105" s="50"/>
      <c r="EH105" s="50"/>
      <c r="EI105" s="50"/>
      <c r="EJ105" s="50"/>
      <c r="EK105" s="50"/>
      <c r="EL105" s="50"/>
      <c r="EM105" s="50"/>
      <c r="EN105" s="50"/>
      <c r="EO105" s="50"/>
      <c r="EP105" s="50"/>
      <c r="EQ105" s="50"/>
      <c r="ER105" s="50"/>
      <c r="ES105" s="50"/>
      <c r="ET105" s="50"/>
      <c r="EU105" s="50"/>
      <c r="EV105" s="50"/>
      <c r="EW105" s="50"/>
      <c r="EX105" s="50"/>
      <c r="EY105" s="50"/>
      <c r="EZ105" s="50"/>
      <c r="FA105" s="50"/>
      <c r="FB105" s="50"/>
      <c r="FC105" s="50"/>
      <c r="FD105" s="50"/>
      <c r="FE105" s="50"/>
      <c r="FF105" s="50"/>
      <c r="FG105" s="50"/>
      <c r="FH105" s="50"/>
      <c r="FI105" s="50"/>
      <c r="FJ105" s="50"/>
      <c r="FK105" s="50"/>
      <c r="FL105" s="50"/>
      <c r="FM105" s="50"/>
      <c r="FN105" s="50"/>
    </row>
    <row r="106" spans="1:170" s="12" customFormat="1" ht="18" hidden="1" customHeight="1">
      <c r="A106" s="1976"/>
      <c r="B106" s="21"/>
      <c r="C106" s="17" t="s">
        <v>1090</v>
      </c>
      <c r="D106" s="17"/>
      <c r="E106" s="196"/>
      <c r="F106" s="17"/>
      <c r="G106" s="17"/>
      <c r="H106" s="17"/>
      <c r="I106" s="18" t="s">
        <v>1089</v>
      </c>
      <c r="J106" s="24"/>
      <c r="K106" s="24"/>
      <c r="L106" s="518"/>
      <c r="M106" s="470">
        <v>1.2</v>
      </c>
      <c r="N106" s="470">
        <v>1</v>
      </c>
      <c r="O106" s="470">
        <f>M106</f>
        <v>1.2</v>
      </c>
      <c r="P106" s="14">
        <v>0</v>
      </c>
      <c r="Q106" s="392">
        <v>0</v>
      </c>
      <c r="R106" s="14">
        <v>0</v>
      </c>
      <c r="T106" s="243"/>
      <c r="U106" s="89"/>
      <c r="V106" s="64"/>
      <c r="W106" s="158"/>
      <c r="X106" s="158"/>
      <c r="Y106" s="64"/>
      <c r="Z106" s="158"/>
      <c r="AA106" s="158"/>
      <c r="AB106" s="65"/>
      <c r="AC106" s="89"/>
      <c r="AD106" s="89"/>
      <c r="AE106" s="7"/>
      <c r="AF106" s="7"/>
      <c r="AG106" s="7"/>
      <c r="AH106" s="7"/>
      <c r="AI106" s="7"/>
      <c r="AJ106" s="7"/>
      <c r="AK106" s="7"/>
      <c r="AL106" s="7"/>
      <c r="AM106" s="7"/>
      <c r="AN106" s="7"/>
      <c r="AO106" s="7"/>
      <c r="AP106" s="7"/>
      <c r="AQ106" s="7"/>
      <c r="AR106" s="40"/>
      <c r="AS106" s="40"/>
      <c r="AT106" s="40"/>
      <c r="AU106" s="40"/>
      <c r="AV106" s="40"/>
      <c r="AW106" s="40"/>
      <c r="AX106" s="40"/>
      <c r="AY106" s="40"/>
      <c r="AZ106" s="40"/>
      <c r="BA106" s="40"/>
      <c r="BB106" s="40"/>
      <c r="BC106" s="40"/>
      <c r="BD106" s="40"/>
      <c r="BE106" s="40"/>
      <c r="BF106" s="40"/>
      <c r="BG106" s="40"/>
      <c r="BH106" s="40"/>
      <c r="BI106" s="40"/>
      <c r="BJ106" s="40"/>
      <c r="BK106" s="40"/>
      <c r="BL106" s="40"/>
      <c r="BM106" s="40"/>
      <c r="BN106" s="40"/>
      <c r="BO106" s="40"/>
      <c r="BP106" s="40"/>
      <c r="BQ106" s="40"/>
      <c r="BR106" s="40"/>
      <c r="BS106" s="40"/>
      <c r="BT106" s="40"/>
      <c r="BU106" s="40"/>
      <c r="BV106" s="40"/>
      <c r="BW106" s="40"/>
      <c r="BX106" s="40"/>
      <c r="BY106" s="40"/>
      <c r="BZ106" s="40"/>
      <c r="CA106" s="40"/>
      <c r="CB106" s="40"/>
      <c r="CC106" s="40"/>
      <c r="CD106" s="40"/>
      <c r="CE106" s="40"/>
      <c r="CF106" s="40"/>
      <c r="CG106" s="40"/>
      <c r="CH106" s="40"/>
      <c r="CI106" s="40"/>
      <c r="CJ106" s="40"/>
      <c r="CK106" s="40"/>
      <c r="CL106" s="40"/>
      <c r="CM106" s="40"/>
      <c r="CN106" s="40"/>
      <c r="CO106" s="40"/>
      <c r="CP106" s="40"/>
      <c r="CQ106" s="40"/>
      <c r="CR106" s="40"/>
      <c r="CS106" s="40"/>
      <c r="CT106" s="40"/>
      <c r="CU106" s="40"/>
      <c r="CV106" s="40"/>
      <c r="CW106" s="40"/>
      <c r="CX106" s="40"/>
      <c r="CY106" s="40"/>
      <c r="CZ106" s="40"/>
      <c r="DA106" s="40"/>
      <c r="DB106" s="40"/>
      <c r="DC106" s="40"/>
      <c r="DD106" s="40"/>
      <c r="DE106" s="51"/>
      <c r="DF106" s="51"/>
      <c r="DG106" s="51"/>
      <c r="DH106" s="51"/>
      <c r="DI106" s="51"/>
      <c r="DJ106" s="51"/>
      <c r="DK106" s="51"/>
      <c r="DL106" s="51"/>
      <c r="DM106" s="51"/>
      <c r="DN106" s="51"/>
      <c r="DO106" s="51"/>
      <c r="DP106" s="51"/>
      <c r="DQ106" s="51"/>
      <c r="DR106" s="51"/>
      <c r="DS106" s="51"/>
      <c r="DT106" s="51"/>
      <c r="DU106" s="51"/>
      <c r="DV106" s="51"/>
      <c r="DW106" s="51"/>
      <c r="DX106" s="51"/>
      <c r="DY106" s="51"/>
      <c r="DZ106" s="51"/>
      <c r="EA106" s="51"/>
      <c r="EB106" s="51"/>
      <c r="EC106" s="51"/>
      <c r="ED106" s="51"/>
      <c r="EE106" s="40"/>
      <c r="EF106" s="40"/>
      <c r="EG106" s="40"/>
      <c r="EH106" s="40"/>
      <c r="EI106" s="40"/>
      <c r="EJ106" s="40"/>
      <c r="EK106" s="40"/>
      <c r="EL106" s="40"/>
      <c r="EM106" s="40"/>
      <c r="EN106" s="40"/>
      <c r="EO106" s="40"/>
      <c r="EP106" s="40"/>
      <c r="EQ106" s="40"/>
      <c r="ER106" s="40"/>
      <c r="ES106" s="40"/>
      <c r="ET106" s="40"/>
      <c r="EU106" s="40"/>
      <c r="EV106" s="40"/>
      <c r="EW106" s="40"/>
      <c r="EX106" s="40"/>
      <c r="EY106" s="40"/>
      <c r="EZ106" s="40"/>
      <c r="FA106" s="40"/>
      <c r="FB106" s="40"/>
      <c r="FC106" s="40"/>
      <c r="FD106" s="40"/>
      <c r="FE106" s="40"/>
      <c r="FF106" s="40"/>
      <c r="FG106" s="40"/>
      <c r="FH106" s="40"/>
      <c r="FI106" s="40"/>
      <c r="FJ106" s="40"/>
      <c r="FK106" s="40"/>
      <c r="FL106" s="40"/>
      <c r="FM106" s="40"/>
      <c r="FN106" s="40"/>
    </row>
    <row r="107" spans="1:170" s="12" customFormat="1" ht="18" hidden="1" customHeight="1">
      <c r="A107" s="1976"/>
      <c r="B107" s="21"/>
      <c r="C107" s="17" t="s">
        <v>1082</v>
      </c>
      <c r="D107" s="17"/>
      <c r="E107" s="196"/>
      <c r="F107" s="17"/>
      <c r="G107" s="17"/>
      <c r="H107" s="17"/>
      <c r="I107" s="18" t="s">
        <v>1083</v>
      </c>
      <c r="J107" s="24"/>
      <c r="K107" s="24"/>
      <c r="L107" s="518"/>
      <c r="M107" s="16">
        <v>1</v>
      </c>
      <c r="N107" s="16"/>
      <c r="O107" s="16"/>
      <c r="P107" s="14">
        <v>0</v>
      </c>
      <c r="Q107" s="392">
        <v>0</v>
      </c>
      <c r="R107" s="14">
        <v>0</v>
      </c>
      <c r="T107" s="243"/>
      <c r="U107" s="89"/>
      <c r="V107" s="64"/>
      <c r="W107" s="158"/>
      <c r="X107" s="158"/>
      <c r="Y107" s="64"/>
      <c r="Z107" s="158"/>
      <c r="AA107" s="158"/>
      <c r="AB107" s="65"/>
      <c r="AC107" s="89"/>
      <c r="AD107" s="89"/>
      <c r="AE107" s="7"/>
      <c r="AF107" s="7"/>
      <c r="AG107" s="7"/>
      <c r="AH107" s="7"/>
      <c r="AI107" s="7"/>
      <c r="AJ107" s="7"/>
      <c r="AK107" s="7"/>
      <c r="AL107" s="7"/>
      <c r="AM107" s="7"/>
      <c r="AN107" s="7"/>
      <c r="AO107" s="7"/>
      <c r="AP107" s="7"/>
      <c r="AQ107" s="7"/>
      <c r="AR107" s="40"/>
      <c r="AS107" s="40"/>
      <c r="AT107" s="40"/>
      <c r="AU107" s="40"/>
      <c r="AV107" s="40"/>
      <c r="AW107" s="40"/>
      <c r="AX107" s="40"/>
      <c r="AY107" s="40"/>
      <c r="AZ107" s="40"/>
      <c r="BA107" s="40"/>
      <c r="BB107" s="40"/>
      <c r="BC107" s="40"/>
      <c r="BD107" s="40"/>
      <c r="BE107" s="40"/>
      <c r="BF107" s="40"/>
      <c r="BG107" s="40"/>
      <c r="BH107" s="40"/>
      <c r="BI107" s="40"/>
      <c r="BJ107" s="40"/>
      <c r="BK107" s="40"/>
      <c r="BL107" s="40"/>
      <c r="BM107" s="40"/>
      <c r="BN107" s="40"/>
      <c r="BO107" s="40"/>
      <c r="BP107" s="40"/>
      <c r="BQ107" s="40"/>
      <c r="BR107" s="40"/>
      <c r="BS107" s="40"/>
      <c r="BT107" s="40"/>
      <c r="BU107" s="40"/>
      <c r="BV107" s="40"/>
      <c r="BW107" s="40"/>
      <c r="BX107" s="40"/>
      <c r="BY107" s="40"/>
      <c r="BZ107" s="40"/>
      <c r="CA107" s="40"/>
      <c r="CB107" s="40"/>
      <c r="CC107" s="40"/>
      <c r="CD107" s="40"/>
      <c r="CE107" s="40"/>
      <c r="CF107" s="40"/>
      <c r="CG107" s="40"/>
      <c r="CH107" s="40"/>
      <c r="CI107" s="40"/>
      <c r="CJ107" s="40"/>
      <c r="CK107" s="40"/>
      <c r="CL107" s="40"/>
      <c r="CM107" s="40"/>
      <c r="CN107" s="40"/>
      <c r="CO107" s="40"/>
      <c r="CP107" s="40"/>
      <c r="CQ107" s="40"/>
      <c r="CR107" s="40"/>
      <c r="CS107" s="40"/>
      <c r="CT107" s="40"/>
      <c r="CU107" s="40"/>
      <c r="CV107" s="40"/>
      <c r="CW107" s="40"/>
      <c r="CX107" s="40"/>
      <c r="CY107" s="40"/>
      <c r="CZ107" s="40"/>
      <c r="DA107" s="40"/>
      <c r="DB107" s="40"/>
      <c r="DC107" s="40"/>
      <c r="DD107" s="40"/>
      <c r="DE107" s="51"/>
      <c r="DF107" s="51"/>
      <c r="DG107" s="51"/>
      <c r="DH107" s="51"/>
      <c r="DI107" s="51"/>
      <c r="DJ107" s="51"/>
      <c r="DK107" s="51"/>
      <c r="DL107" s="51"/>
      <c r="DM107" s="51"/>
      <c r="DN107" s="51"/>
      <c r="DO107" s="51"/>
      <c r="DP107" s="51"/>
      <c r="DQ107" s="51"/>
      <c r="DR107" s="51"/>
      <c r="DS107" s="51"/>
      <c r="DT107" s="51"/>
      <c r="DU107" s="51"/>
      <c r="DV107" s="51"/>
      <c r="DW107" s="51"/>
      <c r="DX107" s="51"/>
      <c r="DY107" s="51"/>
      <c r="DZ107" s="51"/>
      <c r="EA107" s="51"/>
      <c r="EB107" s="51"/>
      <c r="EC107" s="51"/>
      <c r="ED107" s="51"/>
      <c r="EE107" s="40"/>
      <c r="EF107" s="40"/>
      <c r="EG107" s="40"/>
      <c r="EH107" s="40"/>
      <c r="EI107" s="40"/>
      <c r="EJ107" s="40"/>
      <c r="EK107" s="40"/>
      <c r="EL107" s="40"/>
      <c r="EM107" s="40"/>
      <c r="EN107" s="40"/>
      <c r="EO107" s="40"/>
      <c r="EP107" s="40"/>
      <c r="EQ107" s="40"/>
      <c r="ER107" s="40"/>
      <c r="ES107" s="40"/>
      <c r="ET107" s="40"/>
      <c r="EU107" s="40"/>
      <c r="EV107" s="40"/>
      <c r="EW107" s="40"/>
      <c r="EX107" s="40"/>
      <c r="EY107" s="40"/>
      <c r="EZ107" s="40"/>
      <c r="FA107" s="40"/>
      <c r="FB107" s="40"/>
      <c r="FC107" s="40"/>
      <c r="FD107" s="40"/>
      <c r="FE107" s="40"/>
      <c r="FF107" s="40"/>
      <c r="FG107" s="40"/>
      <c r="FH107" s="40"/>
      <c r="FI107" s="40"/>
      <c r="FJ107" s="40"/>
      <c r="FK107" s="40"/>
      <c r="FL107" s="40"/>
      <c r="FM107" s="40"/>
      <c r="FN107" s="40"/>
    </row>
    <row r="108" spans="1:170" s="8" customFormat="1" ht="18" hidden="1" customHeight="1">
      <c r="A108" s="1976"/>
      <c r="B108" s="21"/>
      <c r="C108" s="14" t="str">
        <f>Begriffe!F78</f>
        <v>Minimale Volllaststundenzahl</v>
      </c>
      <c r="D108" s="13"/>
      <c r="E108" s="97"/>
      <c r="F108" s="13"/>
      <c r="G108" s="13"/>
      <c r="H108" s="13"/>
      <c r="I108" s="96" t="s">
        <v>550</v>
      </c>
      <c r="J108" s="103" t="s">
        <v>15</v>
      </c>
      <c r="K108" s="103"/>
      <c r="L108" s="99"/>
      <c r="M108" s="99">
        <f>MIN(11,2*M97*M98*M100*MAX(M102,M104)*M105*M106*M107)</f>
        <v>7.6032000000000011</v>
      </c>
      <c r="N108" s="99">
        <f>MIN(11,2*N97*N98*M100*MAX(M102,M104)*N105*N106*M107)</f>
        <v>2.4000000000000004</v>
      </c>
      <c r="O108" s="99">
        <f>MIN(11,2*O97*O98*M100*MAX(M102,M104)*O105*O106*M107)</f>
        <v>7.6032000000000011</v>
      </c>
      <c r="P108" s="14">
        <v>1</v>
      </c>
      <c r="Q108" s="392"/>
      <c r="R108" s="14">
        <v>0</v>
      </c>
      <c r="S108" s="14"/>
      <c r="T108" s="243"/>
      <c r="U108" s="89"/>
      <c r="V108" s="64"/>
      <c r="W108" s="158"/>
      <c r="X108" s="158"/>
      <c r="Y108" s="64"/>
      <c r="Z108" s="158"/>
      <c r="AA108" s="158"/>
      <c r="AB108" s="65"/>
      <c r="AC108" s="89"/>
      <c r="AD108" s="89"/>
      <c r="AE108" s="7"/>
      <c r="AF108" s="7"/>
      <c r="AG108" s="7"/>
      <c r="AH108" s="7"/>
      <c r="AI108" s="7"/>
      <c r="AJ108" s="7"/>
      <c r="AK108" s="7"/>
      <c r="AL108" s="7"/>
      <c r="AM108" s="7"/>
      <c r="AN108" s="7"/>
      <c r="AO108" s="7"/>
      <c r="AP108" s="83"/>
      <c r="AQ108" s="83"/>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0"/>
      <c r="CA108" s="50"/>
      <c r="CB108" s="50"/>
      <c r="CC108" s="50"/>
      <c r="CD108" s="50"/>
      <c r="CE108" s="50"/>
      <c r="CF108" s="50"/>
      <c r="CG108" s="50"/>
      <c r="CH108" s="50"/>
      <c r="CI108" s="50"/>
      <c r="CJ108" s="50"/>
      <c r="CK108" s="50"/>
      <c r="CL108" s="50"/>
      <c r="CM108" s="50"/>
      <c r="CN108" s="50"/>
      <c r="CO108" s="50"/>
      <c r="CP108" s="50"/>
      <c r="CQ108" s="50"/>
      <c r="CR108" s="50"/>
      <c r="CS108" s="50"/>
      <c r="CT108" s="50"/>
      <c r="CU108" s="50"/>
      <c r="CV108" s="50"/>
      <c r="CW108" s="50"/>
      <c r="CX108" s="50"/>
      <c r="CY108" s="50"/>
      <c r="CZ108" s="50"/>
      <c r="DA108" s="50"/>
      <c r="DB108" s="50"/>
      <c r="DC108" s="50"/>
      <c r="DD108" s="50"/>
      <c r="DE108" s="49"/>
      <c r="DF108" s="49"/>
      <c r="DG108" s="49"/>
      <c r="DH108" s="49"/>
      <c r="DI108" s="49"/>
      <c r="DJ108" s="49"/>
      <c r="DK108" s="49"/>
      <c r="DL108" s="49"/>
      <c r="DM108" s="49"/>
      <c r="DN108" s="49"/>
      <c r="DO108" s="49"/>
      <c r="DP108" s="49"/>
      <c r="DQ108" s="49"/>
      <c r="DR108" s="49"/>
      <c r="DS108" s="49"/>
      <c r="DT108" s="49"/>
      <c r="DU108" s="49"/>
      <c r="DV108" s="49"/>
      <c r="DW108" s="49"/>
      <c r="DX108" s="49"/>
      <c r="DY108" s="49"/>
      <c r="DZ108" s="49"/>
      <c r="EA108" s="49"/>
      <c r="EB108" s="49"/>
      <c r="EC108" s="49"/>
      <c r="ED108" s="49"/>
      <c r="EE108" s="50"/>
      <c r="EF108" s="50"/>
      <c r="EG108" s="50"/>
      <c r="EH108" s="50"/>
      <c r="EI108" s="50"/>
      <c r="EJ108" s="50"/>
      <c r="EK108" s="50"/>
      <c r="EL108" s="50"/>
      <c r="EM108" s="50"/>
      <c r="EN108" s="50"/>
      <c r="EO108" s="50"/>
      <c r="EP108" s="50"/>
      <c r="EQ108" s="50"/>
      <c r="ER108" s="50"/>
      <c r="ES108" s="50"/>
      <c r="ET108" s="50"/>
      <c r="EU108" s="50"/>
      <c r="EV108" s="50"/>
      <c r="EW108" s="50"/>
      <c r="EX108" s="50"/>
      <c r="EY108" s="50"/>
      <c r="EZ108" s="50"/>
      <c r="FA108" s="50"/>
      <c r="FB108" s="50"/>
      <c r="FC108" s="50"/>
      <c r="FD108" s="50"/>
      <c r="FE108" s="50"/>
      <c r="FF108" s="50"/>
      <c r="FG108" s="50"/>
      <c r="FH108" s="50"/>
      <c r="FI108" s="50"/>
      <c r="FJ108" s="50"/>
      <c r="FK108" s="50"/>
      <c r="FL108" s="50"/>
      <c r="FM108" s="50"/>
      <c r="FN108" s="50"/>
    </row>
    <row r="109" spans="1:170" s="8" customFormat="1" ht="16.5" hidden="1" customHeight="1">
      <c r="A109" s="1976"/>
      <c r="B109" s="91"/>
      <c r="C109" s="14" t="str">
        <f>Begriffe!F115</f>
        <v>Volllaststunden pro 11h Tag</v>
      </c>
      <c r="D109" s="13"/>
      <c r="E109" s="97"/>
      <c r="F109" s="13"/>
      <c r="G109" s="13"/>
      <c r="H109" s="13"/>
      <c r="I109" s="722" t="s">
        <v>538</v>
      </c>
      <c r="J109" s="103" t="s">
        <v>15</v>
      </c>
      <c r="K109" s="103"/>
      <c r="L109" s="99"/>
      <c r="M109" s="99">
        <f>IF(M95&gt;M96,M108,0.5*((11-M108)*COS(3.14*$M95/M96)+(11+M108)))</f>
        <v>7.693212488302148</v>
      </c>
      <c r="N109" s="99">
        <f>IF(M95&gt;M96,N108,0.5*((11-N108)*COS(3.14*$M95/M96)+(11+N108)))</f>
        <v>2.6278931345379366</v>
      </c>
      <c r="O109" s="99">
        <f>IF(M95&gt;M96,O108,0.5*((11-O108)*COS(3.14*$M95/M96)+(11+O108)))</f>
        <v>7.693212488302148</v>
      </c>
      <c r="P109" s="14">
        <v>1</v>
      </c>
      <c r="Q109" s="392"/>
      <c r="R109" s="14">
        <v>0</v>
      </c>
      <c r="S109" s="14"/>
      <c r="T109" s="243"/>
      <c r="U109" s="89"/>
      <c r="V109" s="64"/>
      <c r="W109" s="158"/>
      <c r="X109" s="158"/>
      <c r="Y109" s="64"/>
      <c r="Z109" s="158"/>
      <c r="AA109" s="158"/>
      <c r="AB109" s="65"/>
      <c r="AC109" s="89"/>
      <c r="AD109" s="89"/>
      <c r="AE109" s="7"/>
      <c r="AF109" s="7"/>
      <c r="AG109" s="7"/>
      <c r="AH109" s="7"/>
      <c r="AI109" s="7"/>
      <c r="AJ109" s="7"/>
      <c r="AK109" s="7"/>
      <c r="AL109" s="7"/>
      <c r="AM109" s="7"/>
      <c r="AN109" s="7"/>
      <c r="AO109" s="7"/>
      <c r="AP109" s="83"/>
      <c r="AQ109" s="83"/>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0"/>
      <c r="CA109" s="50"/>
      <c r="CB109" s="50"/>
      <c r="CC109" s="50"/>
      <c r="CD109" s="50"/>
      <c r="CE109" s="50"/>
      <c r="CF109" s="50"/>
      <c r="CG109" s="50"/>
      <c r="CH109" s="50"/>
      <c r="CI109" s="50"/>
      <c r="CJ109" s="50"/>
      <c r="CK109" s="50"/>
      <c r="CL109" s="50"/>
      <c r="CM109" s="50"/>
      <c r="CN109" s="50"/>
      <c r="CO109" s="50"/>
      <c r="CP109" s="50"/>
      <c r="CQ109" s="50"/>
      <c r="CR109" s="50"/>
      <c r="CS109" s="50"/>
      <c r="CT109" s="50"/>
      <c r="CU109" s="50"/>
      <c r="CV109" s="50"/>
      <c r="CW109" s="50"/>
      <c r="CX109" s="50"/>
      <c r="CY109" s="50"/>
      <c r="CZ109" s="50"/>
      <c r="DA109" s="50"/>
      <c r="DB109" s="50"/>
      <c r="DC109" s="50"/>
      <c r="DD109" s="50"/>
      <c r="DE109" s="49"/>
      <c r="DF109" s="49"/>
      <c r="DG109" s="49"/>
      <c r="DH109" s="49"/>
      <c r="DI109" s="49"/>
      <c r="DJ109" s="49"/>
      <c r="DK109" s="49"/>
      <c r="DL109" s="49"/>
      <c r="DM109" s="49"/>
      <c r="DN109" s="49"/>
      <c r="DO109" s="49"/>
      <c r="DP109" s="49"/>
      <c r="DQ109" s="49"/>
      <c r="DR109" s="49"/>
      <c r="DS109" s="49"/>
      <c r="DT109" s="49"/>
      <c r="DU109" s="49"/>
      <c r="DV109" s="49"/>
      <c r="DW109" s="49"/>
      <c r="DX109" s="49"/>
      <c r="DY109" s="49"/>
      <c r="DZ109" s="49"/>
      <c r="EA109" s="49"/>
      <c r="EB109" s="49"/>
      <c r="EC109" s="49"/>
      <c r="ED109" s="49"/>
      <c r="EE109" s="50"/>
      <c r="EF109" s="50"/>
      <c r="EG109" s="50"/>
      <c r="EH109" s="50"/>
      <c r="EI109" s="50"/>
      <c r="EJ109" s="50"/>
      <c r="EK109" s="50"/>
      <c r="EL109" s="50"/>
      <c r="EM109" s="50"/>
      <c r="EN109" s="50"/>
      <c r="EO109" s="50"/>
      <c r="EP109" s="50"/>
      <c r="EQ109" s="50"/>
      <c r="ER109" s="50"/>
      <c r="ES109" s="50"/>
      <c r="ET109" s="50"/>
      <c r="EU109" s="50"/>
      <c r="EV109" s="50"/>
      <c r="EW109" s="50"/>
      <c r="EX109" s="50"/>
      <c r="EY109" s="50"/>
      <c r="EZ109" s="50"/>
      <c r="FA109" s="50"/>
      <c r="FB109" s="50"/>
      <c r="FC109" s="50"/>
      <c r="FD109" s="50"/>
      <c r="FE109" s="50"/>
      <c r="FF109" s="50"/>
      <c r="FG109" s="50"/>
      <c r="FH109" s="50"/>
      <c r="FI109" s="50"/>
      <c r="FJ109" s="50"/>
      <c r="FK109" s="50"/>
      <c r="FL109" s="50"/>
      <c r="FM109" s="50"/>
      <c r="FN109" s="50"/>
    </row>
    <row r="110" spans="1:170" s="8" customFormat="1" ht="12.75" hidden="1" customHeight="1">
      <c r="A110" s="1976"/>
      <c r="B110" s="91"/>
      <c r="C110" s="17" t="s">
        <v>551</v>
      </c>
      <c r="D110" s="17"/>
      <c r="E110" s="196"/>
      <c r="F110" s="17"/>
      <c r="G110" s="17"/>
      <c r="H110" s="17"/>
      <c r="I110" s="18" t="s">
        <v>552</v>
      </c>
      <c r="J110" s="24" t="s">
        <v>15</v>
      </c>
      <c r="K110" s="24"/>
      <c r="L110" s="16"/>
      <c r="M110" s="199">
        <f>MIN(11,0*M97*M98*M100*M102*M105*M104*M107)</f>
        <v>0</v>
      </c>
      <c r="N110" s="199">
        <f>MIN(11,0*N97*N98*N100*N102*N105*N104*N107)</f>
        <v>0</v>
      </c>
      <c r="O110" s="199">
        <f>MIN(11,0*O97*O98*O100*O102*O105*O104*O107)</f>
        <v>0</v>
      </c>
      <c r="P110" s="14"/>
      <c r="Q110" s="392"/>
      <c r="R110" s="14"/>
      <c r="S110" s="14"/>
      <c r="T110" s="243"/>
      <c r="U110" s="89"/>
      <c r="V110" s="64"/>
      <c r="W110" s="158"/>
      <c r="X110" s="158"/>
      <c r="Y110" s="64"/>
      <c r="Z110" s="158"/>
      <c r="AA110" s="158"/>
      <c r="AB110" s="65"/>
      <c r="AC110" s="89"/>
      <c r="AD110" s="89"/>
      <c r="AE110" s="7"/>
      <c r="AF110" s="7"/>
      <c r="AG110" s="7"/>
      <c r="AH110" s="7"/>
      <c r="AI110" s="7"/>
      <c r="AJ110" s="7"/>
      <c r="AK110" s="7"/>
      <c r="AL110" s="7"/>
      <c r="AM110" s="7"/>
      <c r="AN110" s="7"/>
      <c r="AO110" s="7"/>
      <c r="AP110" s="83"/>
      <c r="AQ110" s="83"/>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0"/>
      <c r="CA110" s="50"/>
      <c r="CB110" s="50"/>
      <c r="CC110" s="50"/>
      <c r="CD110" s="50"/>
      <c r="CE110" s="50"/>
      <c r="CF110" s="50"/>
      <c r="CG110" s="50"/>
      <c r="CH110" s="50"/>
      <c r="CI110" s="50"/>
      <c r="CJ110" s="50"/>
      <c r="CK110" s="50"/>
      <c r="CL110" s="50"/>
      <c r="CM110" s="50"/>
      <c r="CN110" s="50"/>
      <c r="CO110" s="50"/>
      <c r="CP110" s="50"/>
      <c r="CQ110" s="50"/>
      <c r="CR110" s="50"/>
      <c r="CS110" s="50"/>
      <c r="CT110" s="50"/>
      <c r="CU110" s="50"/>
      <c r="CV110" s="50"/>
      <c r="CW110" s="50"/>
      <c r="CX110" s="50"/>
      <c r="CY110" s="50"/>
      <c r="CZ110" s="50"/>
      <c r="DA110" s="50"/>
      <c r="DB110" s="50"/>
      <c r="DC110" s="50"/>
      <c r="DD110" s="50"/>
      <c r="DE110" s="49"/>
      <c r="DF110" s="49"/>
      <c r="DG110" s="49"/>
      <c r="DH110" s="49"/>
      <c r="DI110" s="49"/>
      <c r="DJ110" s="49"/>
      <c r="DK110" s="49"/>
      <c r="DL110" s="49"/>
      <c r="DM110" s="49"/>
      <c r="DN110" s="49"/>
      <c r="DO110" s="49"/>
      <c r="DP110" s="49"/>
      <c r="DQ110" s="49"/>
      <c r="DR110" s="49"/>
      <c r="DS110" s="49"/>
      <c r="DT110" s="49"/>
      <c r="DU110" s="49"/>
      <c r="DV110" s="49"/>
      <c r="DW110" s="49"/>
      <c r="DX110" s="49"/>
      <c r="DY110" s="49"/>
      <c r="DZ110" s="49"/>
      <c r="EA110" s="49"/>
      <c r="EB110" s="49"/>
      <c r="EC110" s="49"/>
      <c r="ED110" s="49"/>
      <c r="EE110" s="50"/>
      <c r="EF110" s="50"/>
      <c r="EG110" s="50"/>
      <c r="EH110" s="50"/>
      <c r="EI110" s="50"/>
      <c r="EJ110" s="50"/>
      <c r="EK110" s="50"/>
      <c r="EL110" s="50"/>
      <c r="EM110" s="50"/>
      <c r="EN110" s="50"/>
      <c r="EO110" s="50"/>
      <c r="EP110" s="50"/>
      <c r="EQ110" s="50"/>
      <c r="ER110" s="50"/>
      <c r="ES110" s="50"/>
      <c r="ET110" s="50"/>
      <c r="EU110" s="50"/>
      <c r="EV110" s="50"/>
      <c r="EW110" s="50"/>
      <c r="EX110" s="50"/>
      <c r="EY110" s="50"/>
      <c r="EZ110" s="50"/>
      <c r="FA110" s="50"/>
      <c r="FB110" s="50"/>
      <c r="FC110" s="50"/>
      <c r="FD110" s="50"/>
      <c r="FE110" s="50"/>
      <c r="FF110" s="50"/>
      <c r="FG110" s="50"/>
      <c r="FH110" s="50"/>
      <c r="FI110" s="50"/>
      <c r="FJ110" s="50"/>
      <c r="FK110" s="50"/>
      <c r="FL110" s="50"/>
      <c r="FM110" s="50"/>
      <c r="FN110" s="50"/>
    </row>
    <row r="111" spans="1:170" s="8" customFormat="1" ht="12.75" hidden="1" customHeight="1">
      <c r="A111" s="1976"/>
      <c r="B111" s="91"/>
      <c r="C111" s="17" t="s">
        <v>553</v>
      </c>
      <c r="D111" s="17"/>
      <c r="E111" s="196"/>
      <c r="F111" s="17"/>
      <c r="G111" s="17"/>
      <c r="H111" s="17"/>
      <c r="I111" s="481" t="s">
        <v>554</v>
      </c>
      <c r="J111" s="24" t="s">
        <v>15</v>
      </c>
      <c r="K111" s="24"/>
      <c r="L111" s="16"/>
      <c r="M111" s="16">
        <f>0.5*((11-M110)*COS(3.14*M95/M96)+(11+M110))</f>
        <v>0.29149121859503424</v>
      </c>
      <c r="N111" s="16">
        <f>0.5*((11-M110)*COS(3.14*M95/M96)+(11+M110))</f>
        <v>0.29149121859503424</v>
      </c>
      <c r="O111" s="16">
        <f>0.5*((11-M110)*COS(3.14*M95/M96)+(11+M110))</f>
        <v>0.29149121859503424</v>
      </c>
      <c r="P111" s="14"/>
      <c r="Q111" s="392"/>
      <c r="R111" s="14"/>
      <c r="S111" s="14"/>
      <c r="T111" s="243"/>
      <c r="U111" s="89"/>
      <c r="V111" s="64"/>
      <c r="W111" s="158"/>
      <c r="X111" s="158"/>
      <c r="Y111" s="64"/>
      <c r="Z111" s="158"/>
      <c r="AA111" s="158"/>
      <c r="AB111" s="65"/>
      <c r="AC111" s="89"/>
      <c r="AD111" s="89"/>
      <c r="AE111" s="7"/>
      <c r="AF111" s="7"/>
      <c r="AG111" s="7"/>
      <c r="AH111" s="7"/>
      <c r="AI111" s="7"/>
      <c r="AJ111" s="7"/>
      <c r="AK111" s="7"/>
      <c r="AL111" s="7"/>
      <c r="AM111" s="7"/>
      <c r="AN111" s="7"/>
      <c r="AO111" s="7"/>
      <c r="AP111" s="83"/>
      <c r="AQ111" s="83"/>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49"/>
      <c r="DF111" s="49"/>
      <c r="DG111" s="49"/>
      <c r="DH111" s="49"/>
      <c r="DI111" s="49"/>
      <c r="DJ111" s="49"/>
      <c r="DK111" s="49"/>
      <c r="DL111" s="49"/>
      <c r="DM111" s="49"/>
      <c r="DN111" s="49"/>
      <c r="DO111" s="49"/>
      <c r="DP111" s="49"/>
      <c r="DQ111" s="49"/>
      <c r="DR111" s="49"/>
      <c r="DS111" s="49"/>
      <c r="DT111" s="49"/>
      <c r="DU111" s="49"/>
      <c r="DV111" s="49"/>
      <c r="DW111" s="49"/>
      <c r="DX111" s="49"/>
      <c r="DY111" s="49"/>
      <c r="DZ111" s="49"/>
      <c r="EA111" s="49"/>
      <c r="EB111" s="49"/>
      <c r="EC111" s="49"/>
      <c r="ED111" s="49"/>
      <c r="EE111" s="50"/>
      <c r="EF111" s="50"/>
      <c r="EG111" s="50"/>
      <c r="EH111" s="50"/>
      <c r="EI111" s="50"/>
      <c r="EJ111" s="50"/>
      <c r="EK111" s="50"/>
      <c r="EL111" s="50"/>
      <c r="EM111" s="50"/>
      <c r="EN111" s="50"/>
      <c r="EO111" s="50"/>
      <c r="EP111" s="50"/>
      <c r="EQ111" s="50"/>
      <c r="ER111" s="50"/>
      <c r="ES111" s="50"/>
      <c r="ET111" s="50"/>
      <c r="EU111" s="50"/>
      <c r="EV111" s="50"/>
      <c r="EW111" s="50"/>
      <c r="EX111" s="50"/>
      <c r="EY111" s="50"/>
      <c r="EZ111" s="50"/>
      <c r="FA111" s="50"/>
      <c r="FB111" s="50"/>
      <c r="FC111" s="50"/>
      <c r="FD111" s="50"/>
      <c r="FE111" s="50"/>
      <c r="FF111" s="50"/>
      <c r="FG111" s="50"/>
      <c r="FH111" s="50"/>
      <c r="FI111" s="50"/>
      <c r="FJ111" s="50"/>
      <c r="FK111" s="50"/>
      <c r="FL111" s="50"/>
      <c r="FM111" s="50"/>
      <c r="FN111" s="50"/>
    </row>
    <row r="112" spans="1:170" s="8" customFormat="1" ht="12.75" hidden="1" customHeight="1">
      <c r="A112" s="1976"/>
      <c r="B112" s="91"/>
      <c r="C112" s="17"/>
      <c r="D112" s="17"/>
      <c r="E112" s="196"/>
      <c r="F112" s="17"/>
      <c r="G112" s="17"/>
      <c r="H112" s="17"/>
      <c r="I112" s="481"/>
      <c r="J112" s="24"/>
      <c r="K112" s="24"/>
      <c r="L112" s="16"/>
      <c r="M112" s="16"/>
      <c r="N112" s="16"/>
      <c r="O112" s="16"/>
      <c r="P112" s="14"/>
      <c r="Q112" s="392"/>
      <c r="R112" s="14"/>
      <c r="S112" s="14"/>
      <c r="T112" s="243"/>
      <c r="U112" s="89"/>
      <c r="V112" s="64"/>
      <c r="W112" s="158"/>
      <c r="X112" s="158"/>
      <c r="Y112" s="64"/>
      <c r="Z112" s="158"/>
      <c r="AA112" s="158"/>
      <c r="AB112" s="65"/>
      <c r="AC112" s="89"/>
      <c r="AD112" s="89"/>
      <c r="AE112" s="7"/>
      <c r="AF112" s="7"/>
      <c r="AG112" s="7"/>
      <c r="AH112" s="7"/>
      <c r="AI112" s="7"/>
      <c r="AJ112" s="7"/>
      <c r="AK112" s="7"/>
      <c r="AL112" s="7"/>
      <c r="AM112" s="7"/>
      <c r="AN112" s="7"/>
      <c r="AO112" s="7"/>
      <c r="AP112" s="83"/>
      <c r="AQ112" s="83"/>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50"/>
      <c r="DA112" s="50"/>
      <c r="DB112" s="50"/>
      <c r="DC112" s="50"/>
      <c r="DD112" s="50"/>
      <c r="DE112" s="49"/>
      <c r="DF112" s="49"/>
      <c r="DG112" s="49"/>
      <c r="DH112" s="49"/>
      <c r="DI112" s="49"/>
      <c r="DJ112" s="49"/>
      <c r="DK112" s="49"/>
      <c r="DL112" s="49"/>
      <c r="DM112" s="49"/>
      <c r="DN112" s="49"/>
      <c r="DO112" s="49"/>
      <c r="DP112" s="49"/>
      <c r="DQ112" s="49"/>
      <c r="DR112" s="49"/>
      <c r="DS112" s="49"/>
      <c r="DT112" s="49"/>
      <c r="DU112" s="49"/>
      <c r="DV112" s="49"/>
      <c r="DW112" s="49"/>
      <c r="DX112" s="49"/>
      <c r="DY112" s="49"/>
      <c r="DZ112" s="49"/>
      <c r="EA112" s="49"/>
      <c r="EB112" s="49"/>
      <c r="EC112" s="49"/>
      <c r="ED112" s="49"/>
      <c r="EE112" s="50"/>
      <c r="EF112" s="50"/>
      <c r="EG112" s="50"/>
      <c r="EH112" s="50"/>
      <c r="EI112" s="50"/>
      <c r="EJ112" s="50"/>
      <c r="EK112" s="50"/>
      <c r="EL112" s="50"/>
      <c r="EM112" s="50"/>
      <c r="EN112" s="50"/>
      <c r="EO112" s="50"/>
      <c r="EP112" s="50"/>
      <c r="EQ112" s="50"/>
      <c r="ER112" s="50"/>
      <c r="ES112" s="50"/>
      <c r="ET112" s="50"/>
      <c r="EU112" s="50"/>
      <c r="EV112" s="50"/>
      <c r="EW112" s="50"/>
      <c r="EX112" s="50"/>
      <c r="EY112" s="50"/>
      <c r="EZ112" s="50"/>
      <c r="FA112" s="50"/>
      <c r="FB112" s="50"/>
      <c r="FC112" s="50"/>
      <c r="FD112" s="50"/>
      <c r="FE112" s="50"/>
      <c r="FF112" s="50"/>
      <c r="FG112" s="50"/>
      <c r="FH112" s="50"/>
      <c r="FI112" s="50"/>
      <c r="FJ112" s="50"/>
      <c r="FK112" s="50"/>
      <c r="FL112" s="50"/>
      <c r="FM112" s="50"/>
      <c r="FN112" s="50"/>
    </row>
    <row r="113" spans="1:170" s="8" customFormat="1" ht="12.75" hidden="1" customHeight="1">
      <c r="A113" s="1976"/>
      <c r="B113" s="91"/>
      <c r="C113" s="721" t="s">
        <v>1072</v>
      </c>
      <c r="D113" s="17"/>
      <c r="E113" s="196"/>
      <c r="F113" s="17"/>
      <c r="G113" s="17"/>
      <c r="H113" s="17"/>
      <c r="I113" s="481"/>
      <c r="J113" s="24"/>
      <c r="K113" s="24"/>
      <c r="L113" s="16"/>
      <c r="M113" s="16"/>
      <c r="N113" s="16"/>
      <c r="O113" s="16"/>
      <c r="P113" s="14"/>
      <c r="Q113" s="392"/>
      <c r="R113" s="14"/>
      <c r="S113" s="14"/>
      <c r="T113" s="243"/>
      <c r="U113" s="89"/>
      <c r="V113" s="64"/>
      <c r="W113" s="158"/>
      <c r="X113" s="158"/>
      <c r="Y113" s="64"/>
      <c r="Z113" s="158"/>
      <c r="AA113" s="158"/>
      <c r="AB113" s="65"/>
      <c r="AC113" s="89"/>
      <c r="AD113" s="89"/>
      <c r="AE113" s="7"/>
      <c r="AF113" s="7"/>
      <c r="AG113" s="7"/>
      <c r="AH113" s="7"/>
      <c r="AI113" s="7"/>
      <c r="AJ113" s="7"/>
      <c r="AK113" s="7"/>
      <c r="AL113" s="7"/>
      <c r="AM113" s="7"/>
      <c r="AN113" s="7"/>
      <c r="AO113" s="7"/>
      <c r="AP113" s="83"/>
      <c r="AQ113" s="83"/>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0"/>
      <c r="CA113" s="50"/>
      <c r="CB113" s="50"/>
      <c r="CC113" s="50"/>
      <c r="CD113" s="50"/>
      <c r="CE113" s="50"/>
      <c r="CF113" s="50"/>
      <c r="CG113" s="50"/>
      <c r="CH113" s="50"/>
      <c r="CI113" s="50"/>
      <c r="CJ113" s="50"/>
      <c r="CK113" s="50"/>
      <c r="CL113" s="50"/>
      <c r="CM113" s="50"/>
      <c r="CN113" s="50"/>
      <c r="CO113" s="50"/>
      <c r="CP113" s="50"/>
      <c r="CQ113" s="50"/>
      <c r="CR113" s="50"/>
      <c r="CS113" s="50"/>
      <c r="CT113" s="50"/>
      <c r="CU113" s="50"/>
      <c r="CV113" s="50"/>
      <c r="CW113" s="50"/>
      <c r="CX113" s="50"/>
      <c r="CY113" s="50"/>
      <c r="CZ113" s="50"/>
      <c r="DA113" s="50"/>
      <c r="DB113" s="50"/>
      <c r="DC113" s="50"/>
      <c r="DD113" s="50"/>
      <c r="DE113" s="49"/>
      <c r="DF113" s="49"/>
      <c r="DG113" s="49"/>
      <c r="DH113" s="49"/>
      <c r="DI113" s="49"/>
      <c r="DJ113" s="49"/>
      <c r="DK113" s="49"/>
      <c r="DL113" s="49"/>
      <c r="DM113" s="49"/>
      <c r="DN113" s="49"/>
      <c r="DO113" s="49"/>
      <c r="DP113" s="49"/>
      <c r="DQ113" s="49"/>
      <c r="DR113" s="49"/>
      <c r="DS113" s="49"/>
      <c r="DT113" s="49"/>
      <c r="DU113" s="49"/>
      <c r="DV113" s="49"/>
      <c r="DW113" s="49"/>
      <c r="DX113" s="49"/>
      <c r="DY113" s="49"/>
      <c r="DZ113" s="49"/>
      <c r="EA113" s="49"/>
      <c r="EB113" s="49"/>
      <c r="EC113" s="49"/>
      <c r="ED113" s="49"/>
      <c r="EE113" s="50"/>
      <c r="EF113" s="50"/>
      <c r="EG113" s="50"/>
      <c r="EH113" s="50"/>
      <c r="EI113" s="50"/>
      <c r="EJ113" s="50"/>
      <c r="EK113" s="50"/>
      <c r="EL113" s="50"/>
      <c r="EM113" s="50"/>
      <c r="EN113" s="50"/>
      <c r="EO113" s="50"/>
      <c r="EP113" s="50"/>
      <c r="EQ113" s="50"/>
      <c r="ER113" s="50"/>
      <c r="ES113" s="50"/>
      <c r="ET113" s="50"/>
      <c r="EU113" s="50"/>
      <c r="EV113" s="50"/>
      <c r="EW113" s="50"/>
      <c r="EX113" s="50"/>
      <c r="EY113" s="50"/>
      <c r="EZ113" s="50"/>
      <c r="FA113" s="50"/>
      <c r="FB113" s="50"/>
      <c r="FC113" s="50"/>
      <c r="FD113" s="50"/>
      <c r="FE113" s="50"/>
      <c r="FF113" s="50"/>
      <c r="FG113" s="50"/>
      <c r="FH113" s="50"/>
      <c r="FI113" s="50"/>
      <c r="FJ113" s="50"/>
      <c r="FK113" s="50"/>
      <c r="FL113" s="50"/>
      <c r="FM113" s="50"/>
      <c r="FN113" s="50"/>
    </row>
    <row r="114" spans="1:170" s="8" customFormat="1" ht="18.75" customHeight="1">
      <c r="A114" s="1976"/>
      <c r="B114" s="204"/>
      <c r="C114" s="14" t="str">
        <f>Begriffe!F83</f>
        <v>Nutzungsstunden pro Tag</v>
      </c>
      <c r="D114" s="14"/>
      <c r="E114" s="87"/>
      <c r="F114" s="14" t="s">
        <v>509</v>
      </c>
      <c r="G114" s="87"/>
      <c r="H114" s="87"/>
      <c r="I114" s="98" t="s">
        <v>962</v>
      </c>
      <c r="J114" s="377" t="s">
        <v>15</v>
      </c>
      <c r="K114" s="377"/>
      <c r="L114" s="517"/>
      <c r="M114" s="394">
        <f>IF(L114&lt;&gt;"",L114,INDEX(Eingabedaten!$D$9:$GL$53,nutzid,MATCH($C114,Eingabedaten!$D$6:$GL$6,0)))</f>
        <v>4</v>
      </c>
      <c r="N114" s="394"/>
      <c r="O114" s="394"/>
      <c r="P114" s="14">
        <v>0</v>
      </c>
      <c r="Q114" s="392">
        <v>1</v>
      </c>
      <c r="R114" s="14">
        <v>0</v>
      </c>
      <c r="S114" s="14"/>
      <c r="T114" s="243"/>
      <c r="U114" s="89"/>
      <c r="V114" s="64"/>
      <c r="W114" s="158"/>
      <c r="X114" s="158"/>
      <c r="Y114" s="64"/>
      <c r="Z114" s="158"/>
      <c r="AA114" s="158"/>
      <c r="AB114" s="65"/>
      <c r="AC114" s="89"/>
      <c r="AD114" s="89"/>
      <c r="AE114" s="7"/>
      <c r="AF114" s="7"/>
      <c r="AG114" s="7"/>
      <c r="AH114" s="7"/>
      <c r="AI114" s="7"/>
      <c r="AJ114" s="7"/>
      <c r="AK114" s="7"/>
      <c r="AL114" s="7"/>
      <c r="AM114" s="7"/>
      <c r="AN114" s="7"/>
      <c r="AO114" s="7"/>
      <c r="AP114" s="83"/>
      <c r="AQ114" s="83"/>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0"/>
      <c r="CA114" s="50"/>
      <c r="CB114" s="50"/>
      <c r="CC114" s="50"/>
      <c r="CD114" s="50"/>
      <c r="CE114" s="50"/>
      <c r="CF114" s="50"/>
      <c r="CG114" s="50"/>
      <c r="CH114" s="50"/>
      <c r="CI114" s="50"/>
      <c r="CJ114" s="50"/>
      <c r="CK114" s="50"/>
      <c r="CL114" s="50"/>
      <c r="CM114" s="50"/>
      <c r="CN114" s="50"/>
      <c r="CO114" s="50"/>
      <c r="CP114" s="50"/>
      <c r="CQ114" s="50"/>
      <c r="CR114" s="50"/>
      <c r="CS114" s="50"/>
      <c r="CT114" s="50"/>
      <c r="CU114" s="50"/>
      <c r="CV114" s="50"/>
      <c r="CW114" s="50"/>
      <c r="CX114" s="50"/>
      <c r="CY114" s="50"/>
      <c r="CZ114" s="50"/>
      <c r="DA114" s="50"/>
      <c r="DB114" s="50"/>
      <c r="DC114" s="50"/>
      <c r="DD114" s="50"/>
      <c r="DE114" s="49"/>
      <c r="DF114" s="49"/>
      <c r="DG114" s="49"/>
      <c r="DH114" s="49"/>
      <c r="DI114" s="49"/>
      <c r="DJ114" s="49"/>
      <c r="DK114" s="49"/>
      <c r="DL114" s="49"/>
      <c r="DM114" s="49"/>
      <c r="DN114" s="49"/>
      <c r="DO114" s="49"/>
      <c r="DP114" s="49"/>
      <c r="DQ114" s="49"/>
      <c r="DR114" s="49"/>
      <c r="DS114" s="49"/>
      <c r="DT114" s="49"/>
      <c r="DU114" s="49"/>
      <c r="DV114" s="49"/>
      <c r="DW114" s="49"/>
      <c r="DX114" s="49"/>
      <c r="DY114" s="49"/>
      <c r="DZ114" s="49"/>
      <c r="EA114" s="49"/>
      <c r="EB114" s="49"/>
      <c r="EC114" s="49"/>
      <c r="ED114" s="49"/>
      <c r="EE114" s="50"/>
      <c r="EF114" s="50"/>
      <c r="EG114" s="50"/>
      <c r="EH114" s="50"/>
      <c r="EI114" s="50"/>
      <c r="EJ114" s="50"/>
      <c r="EK114" s="50"/>
      <c r="EL114" s="50"/>
      <c r="EM114" s="50"/>
      <c r="EN114" s="50"/>
      <c r="EO114" s="50"/>
      <c r="EP114" s="50"/>
      <c r="EQ114" s="50"/>
      <c r="ER114" s="50"/>
      <c r="ES114" s="50"/>
      <c r="ET114" s="50"/>
      <c r="EU114" s="50"/>
      <c r="EV114" s="50"/>
      <c r="EW114" s="50"/>
      <c r="EX114" s="50"/>
      <c r="EY114" s="50"/>
      <c r="EZ114" s="50"/>
      <c r="FA114" s="50"/>
      <c r="FB114" s="50"/>
      <c r="FC114" s="50"/>
      <c r="FD114" s="50"/>
      <c r="FE114" s="50"/>
      <c r="FF114" s="50"/>
      <c r="FG114" s="50"/>
      <c r="FH114" s="50"/>
      <c r="FI114" s="50"/>
      <c r="FJ114" s="50"/>
      <c r="FK114" s="50"/>
      <c r="FL114" s="50"/>
      <c r="FM114" s="50"/>
      <c r="FN114" s="50"/>
    </row>
    <row r="115" spans="1:170" s="8" customFormat="1" ht="18.75" customHeight="1">
      <c r="A115" s="1976"/>
      <c r="B115" s="204"/>
      <c r="C115" s="14" t="str">
        <f>Begriffe!F210</f>
        <v>Nutzungsstunden pro Nacht</v>
      </c>
      <c r="D115" s="14"/>
      <c r="E115" s="87"/>
      <c r="F115" s="14" t="s">
        <v>508</v>
      </c>
      <c r="G115" s="87"/>
      <c r="H115" s="87"/>
      <c r="I115" s="98" t="s">
        <v>963</v>
      </c>
      <c r="J115" s="377" t="s">
        <v>15</v>
      </c>
      <c r="K115" s="377"/>
      <c r="L115" s="517"/>
      <c r="M115" s="394">
        <f>IF(L115&lt;&gt;"",L115,INDEX(Eingabedaten!$D$9:$GL$53,nutzid,MATCH($C115,Eingabedaten!$D$6:$GL$6,0)))</f>
        <v>3</v>
      </c>
      <c r="N115" s="394"/>
      <c r="O115" s="394"/>
      <c r="P115" s="14">
        <v>0</v>
      </c>
      <c r="Q115" s="392">
        <v>1</v>
      </c>
      <c r="R115" s="14">
        <v>1</v>
      </c>
      <c r="S115" s="14"/>
      <c r="T115" s="243"/>
      <c r="U115" s="89"/>
      <c r="V115" s="64"/>
      <c r="W115" s="158"/>
      <c r="X115" s="158"/>
      <c r="Y115" s="64"/>
      <c r="Z115" s="158"/>
      <c r="AA115" s="158"/>
      <c r="AB115" s="65"/>
      <c r="AC115" s="89"/>
      <c r="AD115" s="89"/>
      <c r="AE115" s="7"/>
      <c r="AF115" s="7"/>
      <c r="AG115" s="7"/>
      <c r="AH115" s="7"/>
      <c r="AI115" s="7"/>
      <c r="AJ115" s="7"/>
      <c r="AK115" s="7"/>
      <c r="AL115" s="7"/>
      <c r="AM115" s="7"/>
      <c r="AN115" s="7"/>
      <c r="AO115" s="7"/>
      <c r="AP115" s="83"/>
      <c r="AQ115" s="83"/>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0"/>
      <c r="CA115" s="50"/>
      <c r="CB115" s="50"/>
      <c r="CC115" s="50"/>
      <c r="CD115" s="50"/>
      <c r="CE115" s="50"/>
      <c r="CF115" s="50"/>
      <c r="CG115" s="50"/>
      <c r="CH115" s="50"/>
      <c r="CI115" s="50"/>
      <c r="CJ115" s="50"/>
      <c r="CK115" s="50"/>
      <c r="CL115" s="50"/>
      <c r="CM115" s="50"/>
      <c r="CN115" s="50"/>
      <c r="CO115" s="50"/>
      <c r="CP115" s="50"/>
      <c r="CQ115" s="50"/>
      <c r="CR115" s="50"/>
      <c r="CS115" s="50"/>
      <c r="CT115" s="50"/>
      <c r="CU115" s="50"/>
      <c r="CV115" s="50"/>
      <c r="CW115" s="50"/>
      <c r="CX115" s="50"/>
      <c r="CY115" s="50"/>
      <c r="CZ115" s="50"/>
      <c r="DA115" s="50"/>
      <c r="DB115" s="50"/>
      <c r="DC115" s="50"/>
      <c r="DD115" s="50"/>
      <c r="DE115" s="49"/>
      <c r="DF115" s="49"/>
      <c r="DG115" s="49"/>
      <c r="DH115" s="49"/>
      <c r="DI115" s="49"/>
      <c r="DJ115" s="49"/>
      <c r="DK115" s="49"/>
      <c r="DL115" s="49"/>
      <c r="DM115" s="49"/>
      <c r="DN115" s="49"/>
      <c r="DO115" s="49"/>
      <c r="DP115" s="49"/>
      <c r="DQ115" s="49"/>
      <c r="DR115" s="49"/>
      <c r="DS115" s="49"/>
      <c r="DT115" s="49"/>
      <c r="DU115" s="49"/>
      <c r="DV115" s="49"/>
      <c r="DW115" s="49"/>
      <c r="DX115" s="49"/>
      <c r="DY115" s="49"/>
      <c r="DZ115" s="49"/>
      <c r="EA115" s="49"/>
      <c r="EB115" s="49"/>
      <c r="EC115" s="49"/>
      <c r="ED115" s="49"/>
      <c r="EE115" s="50"/>
      <c r="EF115" s="50"/>
      <c r="EG115" s="50"/>
      <c r="EH115" s="50"/>
      <c r="EI115" s="50"/>
      <c r="EJ115" s="50"/>
      <c r="EK115" s="50"/>
      <c r="EL115" s="50"/>
      <c r="EM115" s="50"/>
      <c r="EN115" s="50"/>
      <c r="EO115" s="50"/>
      <c r="EP115" s="50"/>
      <c r="EQ115" s="50"/>
      <c r="ER115" s="50"/>
      <c r="ES115" s="50"/>
      <c r="ET115" s="50"/>
      <c r="EU115" s="50"/>
      <c r="EV115" s="50"/>
      <c r="EW115" s="50"/>
      <c r="EX115" s="50"/>
      <c r="EY115" s="50"/>
      <c r="EZ115" s="50"/>
      <c r="FA115" s="50"/>
      <c r="FB115" s="50"/>
      <c r="FC115" s="50"/>
      <c r="FD115" s="50"/>
      <c r="FE115" s="50"/>
      <c r="FF115" s="50"/>
      <c r="FG115" s="50"/>
      <c r="FH115" s="50"/>
      <c r="FI115" s="50"/>
      <c r="FJ115" s="50"/>
      <c r="FK115" s="50"/>
      <c r="FL115" s="50"/>
      <c r="FM115" s="50"/>
      <c r="FN115" s="50"/>
    </row>
    <row r="116" spans="1:170" s="8" customFormat="1" ht="13.5" hidden="1" customHeight="1">
      <c r="A116" s="1976"/>
      <c r="B116" s="91"/>
      <c r="C116" s="17" t="s">
        <v>66</v>
      </c>
      <c r="D116" s="17"/>
      <c r="E116" s="196"/>
      <c r="F116" s="17"/>
      <c r="G116" s="17"/>
      <c r="H116" s="17"/>
      <c r="I116" s="18" t="s">
        <v>69</v>
      </c>
      <c r="J116" s="24"/>
      <c r="K116" s="24"/>
      <c r="L116" s="16"/>
      <c r="M116" s="16" t="s">
        <v>67</v>
      </c>
      <c r="N116" s="16" t="s">
        <v>36</v>
      </c>
      <c r="O116" s="16" t="s">
        <v>67</v>
      </c>
      <c r="P116" s="14">
        <v>0</v>
      </c>
      <c r="Q116" s="392">
        <v>0</v>
      </c>
      <c r="R116" s="14">
        <v>0</v>
      </c>
      <c r="S116" s="14"/>
      <c r="T116" s="243"/>
      <c r="U116" s="89"/>
      <c r="V116" s="64"/>
      <c r="W116" s="158"/>
      <c r="X116" s="158"/>
      <c r="Y116" s="64"/>
      <c r="Z116" s="158"/>
      <c r="AA116" s="158"/>
      <c r="AB116" s="65"/>
      <c r="AC116" s="89"/>
      <c r="AD116" s="89"/>
      <c r="AE116" s="7"/>
      <c r="AF116" s="7"/>
      <c r="AG116" s="7"/>
      <c r="AH116" s="7"/>
      <c r="AI116" s="7"/>
      <c r="AJ116" s="7"/>
      <c r="AK116" s="7"/>
      <c r="AL116" s="7"/>
      <c r="AM116" s="7"/>
      <c r="AN116" s="7"/>
      <c r="AO116" s="7"/>
      <c r="AP116" s="83"/>
      <c r="AQ116" s="83"/>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50"/>
      <c r="DA116" s="50"/>
      <c r="DB116" s="50"/>
      <c r="DC116" s="50"/>
      <c r="DD116" s="50"/>
      <c r="DE116" s="49"/>
      <c r="DF116" s="49"/>
      <c r="DG116" s="49"/>
      <c r="DH116" s="49"/>
      <c r="DI116" s="49"/>
      <c r="DJ116" s="49"/>
      <c r="DK116" s="49"/>
      <c r="DL116" s="49"/>
      <c r="DM116" s="49"/>
      <c r="DN116" s="49"/>
      <c r="DO116" s="49"/>
      <c r="DP116" s="49"/>
      <c r="DQ116" s="49"/>
      <c r="DR116" s="49"/>
      <c r="DS116" s="49"/>
      <c r="DT116" s="49"/>
      <c r="DU116" s="49"/>
      <c r="DV116" s="49"/>
      <c r="DW116" s="49"/>
      <c r="DX116" s="49"/>
      <c r="DY116" s="49"/>
      <c r="DZ116" s="49"/>
      <c r="EA116" s="49"/>
      <c r="EB116" s="49"/>
      <c r="EC116" s="49"/>
      <c r="ED116" s="49"/>
      <c r="EE116" s="50"/>
      <c r="EF116" s="50"/>
      <c r="EG116" s="50"/>
      <c r="EH116" s="50"/>
      <c r="EI116" s="50"/>
      <c r="EJ116" s="50"/>
      <c r="EK116" s="50"/>
      <c r="EL116" s="50"/>
      <c r="EM116" s="50"/>
      <c r="EN116" s="50"/>
      <c r="EO116" s="50"/>
      <c r="EP116" s="50"/>
      <c r="EQ116" s="50"/>
      <c r="ER116" s="50"/>
      <c r="ES116" s="50"/>
      <c r="ET116" s="50"/>
      <c r="EU116" s="50"/>
      <c r="EV116" s="50"/>
      <c r="EW116" s="50"/>
      <c r="EX116" s="50"/>
      <c r="EY116" s="50"/>
      <c r="EZ116" s="50"/>
      <c r="FA116" s="50"/>
      <c r="FB116" s="50"/>
      <c r="FC116" s="50"/>
      <c r="FD116" s="50"/>
      <c r="FE116" s="50"/>
      <c r="FF116" s="50"/>
      <c r="FG116" s="50"/>
      <c r="FH116" s="50"/>
      <c r="FI116" s="50"/>
      <c r="FJ116" s="50"/>
      <c r="FK116" s="50"/>
      <c r="FL116" s="50"/>
      <c r="FM116" s="50"/>
      <c r="FN116" s="50"/>
    </row>
    <row r="117" spans="1:170" s="8" customFormat="1" ht="18" customHeight="1">
      <c r="A117" s="1976"/>
      <c r="B117" s="204"/>
      <c r="C117" s="14" t="str">
        <f>Begriffe!F69</f>
        <v>Korrekturfaktor für Präsenzregelung</v>
      </c>
      <c r="D117" s="14"/>
      <c r="E117" s="14"/>
      <c r="F117" s="14"/>
      <c r="G117" s="14"/>
      <c r="H117" s="14"/>
      <c r="I117" s="98" t="s">
        <v>964</v>
      </c>
      <c r="J117" s="377" t="s">
        <v>208</v>
      </c>
      <c r="K117" s="377"/>
      <c r="L117" s="517"/>
      <c r="M117" s="394">
        <f>IF(L117&lt;&gt;"",L117,1)</f>
        <v>1</v>
      </c>
      <c r="N117" s="394">
        <f>INDEX(Eingabedaten!$D$9:$DN$53,nutzid,MATCH($C117,Eingabedaten!$D$6:$DN$6,0))</f>
        <v>1</v>
      </c>
      <c r="O117" s="394">
        <f>M117</f>
        <v>1</v>
      </c>
      <c r="P117" s="14">
        <v>0</v>
      </c>
      <c r="Q117" s="392">
        <v>1</v>
      </c>
      <c r="R117" s="14">
        <v>0</v>
      </c>
      <c r="S117" s="14"/>
      <c r="T117" s="243"/>
      <c r="U117" s="89"/>
      <c r="V117" s="64"/>
      <c r="W117" s="158"/>
      <c r="X117" s="158"/>
      <c r="Y117" s="64"/>
      <c r="Z117" s="158"/>
      <c r="AA117" s="158"/>
      <c r="AB117" s="65"/>
      <c r="AC117" s="89"/>
      <c r="AD117" s="89"/>
      <c r="AE117" s="7"/>
      <c r="AF117" s="7"/>
      <c r="AG117" s="7"/>
      <c r="AH117" s="7"/>
      <c r="AI117" s="7"/>
      <c r="AJ117" s="7"/>
      <c r="AK117" s="7"/>
      <c r="AL117" s="7"/>
      <c r="AM117" s="7"/>
      <c r="AN117" s="7"/>
      <c r="AO117" s="7"/>
      <c r="AP117" s="83"/>
      <c r="AQ117" s="83"/>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50"/>
      <c r="DA117" s="50"/>
      <c r="DB117" s="50"/>
      <c r="DC117" s="50"/>
      <c r="DD117" s="50"/>
      <c r="DE117" s="49"/>
      <c r="DF117" s="49"/>
      <c r="DG117" s="49"/>
      <c r="DH117" s="49"/>
      <c r="DI117" s="49"/>
      <c r="DJ117" s="49"/>
      <c r="DK117" s="49"/>
      <c r="DL117" s="49"/>
      <c r="DM117" s="49"/>
      <c r="DN117" s="49"/>
      <c r="DO117" s="49"/>
      <c r="DP117" s="49"/>
      <c r="DQ117" s="49"/>
      <c r="DR117" s="49"/>
      <c r="DS117" s="49"/>
      <c r="DT117" s="49"/>
      <c r="DU117" s="49"/>
      <c r="DV117" s="49"/>
      <c r="DW117" s="49"/>
      <c r="DX117" s="49"/>
      <c r="DY117" s="49"/>
      <c r="DZ117" s="49"/>
      <c r="EA117" s="49"/>
      <c r="EB117" s="49"/>
      <c r="EC117" s="49"/>
      <c r="ED117" s="49"/>
      <c r="EE117" s="50"/>
      <c r="EF117" s="50"/>
      <c r="EG117" s="50"/>
      <c r="EH117" s="50"/>
      <c r="EI117" s="50"/>
      <c r="EJ117" s="50"/>
      <c r="EK117" s="50"/>
      <c r="EL117" s="50"/>
      <c r="EM117" s="50"/>
      <c r="EN117" s="50"/>
      <c r="EO117" s="50"/>
      <c r="EP117" s="50"/>
      <c r="EQ117" s="50"/>
      <c r="ER117" s="50"/>
      <c r="ES117" s="50"/>
      <c r="ET117" s="50"/>
      <c r="EU117" s="50"/>
      <c r="EV117" s="50"/>
      <c r="EW117" s="50"/>
      <c r="EX117" s="50"/>
      <c r="EY117" s="50"/>
      <c r="EZ117" s="50"/>
      <c r="FA117" s="50"/>
      <c r="FB117" s="50"/>
      <c r="FC117" s="50"/>
      <c r="FD117" s="50"/>
      <c r="FE117" s="50"/>
      <c r="FF117" s="50"/>
      <c r="FG117" s="50"/>
      <c r="FH117" s="50"/>
      <c r="FI117" s="50"/>
      <c r="FJ117" s="50"/>
      <c r="FK117" s="50"/>
      <c r="FL117" s="50"/>
      <c r="FM117" s="50"/>
      <c r="FN117" s="50"/>
    </row>
    <row r="118" spans="1:170" s="8" customFormat="1" ht="18" hidden="1" customHeight="1">
      <c r="A118" s="1976"/>
      <c r="B118" s="204"/>
      <c r="C118" s="14" t="str">
        <f>Begriffe!F70</f>
        <v>Korrekturfaktor Gleichzeitigkeit</v>
      </c>
      <c r="D118" s="14"/>
      <c r="E118" s="14"/>
      <c r="F118" s="14"/>
      <c r="G118" s="14"/>
      <c r="H118" s="14"/>
      <c r="I118" s="98" t="s">
        <v>1091</v>
      </c>
      <c r="J118" s="377" t="s">
        <v>208</v>
      </c>
      <c r="K118" s="377"/>
      <c r="L118" s="517"/>
      <c r="M118" s="394">
        <f>IF(L118&lt;&gt;"",L118,INDEX(Eingabedaten!$D$9:$GL$53,nutzid,MATCH($C118,Eingabedaten!$D$6:$GL$6,0)))</f>
        <v>0.5</v>
      </c>
      <c r="N118" s="394"/>
      <c r="O118" s="394"/>
      <c r="P118" s="14"/>
      <c r="Q118" s="392"/>
      <c r="R118" s="14"/>
      <c r="S118" s="14"/>
      <c r="T118" s="243"/>
      <c r="U118" s="89"/>
      <c r="V118" s="64"/>
      <c r="W118" s="158"/>
      <c r="X118" s="158"/>
      <c r="Y118" s="64"/>
      <c r="Z118" s="158"/>
      <c r="AA118" s="158"/>
      <c r="AB118" s="65"/>
      <c r="AC118" s="89"/>
      <c r="AD118" s="89"/>
      <c r="AE118" s="7"/>
      <c r="AF118" s="7"/>
      <c r="AG118" s="7"/>
      <c r="AH118" s="7"/>
      <c r="AI118" s="7"/>
      <c r="AJ118" s="7"/>
      <c r="AK118" s="7"/>
      <c r="AL118" s="7"/>
      <c r="AM118" s="7"/>
      <c r="AN118" s="7"/>
      <c r="AO118" s="7"/>
      <c r="AP118" s="83"/>
      <c r="AQ118" s="83"/>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0"/>
      <c r="CA118" s="50"/>
      <c r="CB118" s="50"/>
      <c r="CC118" s="50"/>
      <c r="CD118" s="50"/>
      <c r="CE118" s="50"/>
      <c r="CF118" s="50"/>
      <c r="CG118" s="50"/>
      <c r="CH118" s="50"/>
      <c r="CI118" s="50"/>
      <c r="CJ118" s="50"/>
      <c r="CK118" s="50"/>
      <c r="CL118" s="50"/>
      <c r="CM118" s="50"/>
      <c r="CN118" s="50"/>
      <c r="CO118" s="50"/>
      <c r="CP118" s="50"/>
      <c r="CQ118" s="50"/>
      <c r="CR118" s="50"/>
      <c r="CS118" s="50"/>
      <c r="CT118" s="50"/>
      <c r="CU118" s="50"/>
      <c r="CV118" s="50"/>
      <c r="CW118" s="50"/>
      <c r="CX118" s="50"/>
      <c r="CY118" s="50"/>
      <c r="CZ118" s="50"/>
      <c r="DA118" s="50"/>
      <c r="DB118" s="50"/>
      <c r="DC118" s="50"/>
      <c r="DD118" s="50"/>
      <c r="DE118" s="49"/>
      <c r="DF118" s="49"/>
      <c r="DG118" s="49"/>
      <c r="DH118" s="49"/>
      <c r="DI118" s="49"/>
      <c r="DJ118" s="49"/>
      <c r="DK118" s="49"/>
      <c r="DL118" s="49"/>
      <c r="DM118" s="49"/>
      <c r="DN118" s="49"/>
      <c r="DO118" s="49"/>
      <c r="DP118" s="49"/>
      <c r="DQ118" s="49"/>
      <c r="DR118" s="49"/>
      <c r="DS118" s="49"/>
      <c r="DT118" s="49"/>
      <c r="DU118" s="49"/>
      <c r="DV118" s="49"/>
      <c r="DW118" s="49"/>
      <c r="DX118" s="49"/>
      <c r="DY118" s="49"/>
      <c r="DZ118" s="49"/>
      <c r="EA118" s="49"/>
      <c r="EB118" s="49"/>
      <c r="EC118" s="49"/>
      <c r="ED118" s="49"/>
      <c r="EE118" s="50"/>
      <c r="EF118" s="50"/>
      <c r="EG118" s="50"/>
      <c r="EH118" s="50"/>
      <c r="EI118" s="50"/>
      <c r="EJ118" s="50"/>
      <c r="EK118" s="50"/>
      <c r="EL118" s="50"/>
      <c r="EM118" s="50"/>
      <c r="EN118" s="50"/>
      <c r="EO118" s="50"/>
      <c r="EP118" s="50"/>
      <c r="EQ118" s="50"/>
      <c r="ER118" s="50"/>
      <c r="ES118" s="50"/>
      <c r="ET118" s="50"/>
      <c r="EU118" s="50"/>
      <c r="EV118" s="50"/>
      <c r="EW118" s="50"/>
      <c r="EX118" s="50"/>
      <c r="EY118" s="50"/>
      <c r="EZ118" s="50"/>
      <c r="FA118" s="50"/>
      <c r="FB118" s="50"/>
      <c r="FC118" s="50"/>
      <c r="FD118" s="50"/>
      <c r="FE118" s="50"/>
      <c r="FF118" s="50"/>
      <c r="FG118" s="50"/>
      <c r="FH118" s="50"/>
      <c r="FI118" s="50"/>
      <c r="FJ118" s="50"/>
      <c r="FK118" s="50"/>
      <c r="FL118" s="50"/>
      <c r="FM118" s="50"/>
      <c r="FN118" s="50"/>
    </row>
    <row r="119" spans="1:170" s="8" customFormat="1" hidden="1">
      <c r="A119" s="1976"/>
      <c r="B119" s="21"/>
      <c r="C119" s="13" t="s">
        <v>1423</v>
      </c>
      <c r="D119" s="13"/>
      <c r="E119" s="97"/>
      <c r="F119" s="13"/>
      <c r="G119" s="13"/>
      <c r="H119" s="13"/>
      <c r="I119" s="96" t="s">
        <v>594</v>
      </c>
      <c r="J119" s="103" t="s">
        <v>15</v>
      </c>
      <c r="K119" s="103"/>
      <c r="L119" s="99"/>
      <c r="M119" s="99">
        <f>M117*(M109*$M114/11+$M115)*M118</f>
        <v>2.8987659069640266</v>
      </c>
      <c r="N119" s="99">
        <f>N117*(N109*$M114/11+$M115)*M118</f>
        <v>1.9777987517341704</v>
      </c>
      <c r="O119" s="99">
        <f>O117*(O109*$M114/11+$M115)*M118</f>
        <v>2.8987659069640266</v>
      </c>
      <c r="P119" s="14">
        <v>0</v>
      </c>
      <c r="Q119" s="392">
        <v>0</v>
      </c>
      <c r="R119" s="14">
        <v>1</v>
      </c>
      <c r="S119" s="14"/>
      <c r="T119" s="243"/>
      <c r="U119" s="89"/>
      <c r="V119" s="64"/>
      <c r="W119" s="158"/>
      <c r="X119" s="158"/>
      <c r="Y119" s="64"/>
      <c r="Z119" s="158"/>
      <c r="AA119" s="158"/>
      <c r="AB119" s="65"/>
      <c r="AC119" s="89"/>
      <c r="AD119" s="89"/>
      <c r="AE119" s="7"/>
      <c r="AF119" s="7"/>
      <c r="AG119" s="7"/>
      <c r="AH119" s="7"/>
      <c r="AI119" s="7"/>
      <c r="AJ119" s="7"/>
      <c r="AK119" s="7"/>
      <c r="AL119" s="7"/>
      <c r="AM119" s="7"/>
      <c r="AN119" s="7"/>
      <c r="AO119" s="7"/>
      <c r="AP119" s="83"/>
      <c r="AQ119" s="83"/>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0"/>
      <c r="CA119" s="50"/>
      <c r="CB119" s="50"/>
      <c r="CC119" s="50"/>
      <c r="CD119" s="50"/>
      <c r="CE119" s="50"/>
      <c r="CF119" s="50"/>
      <c r="CG119" s="50"/>
      <c r="CH119" s="50"/>
      <c r="CI119" s="50"/>
      <c r="CJ119" s="50"/>
      <c r="CK119" s="50"/>
      <c r="CL119" s="50"/>
      <c r="CM119" s="50"/>
      <c r="CN119" s="50"/>
      <c r="CO119" s="50"/>
      <c r="CP119" s="50"/>
      <c r="CQ119" s="50"/>
      <c r="CR119" s="50"/>
      <c r="CS119" s="50"/>
      <c r="CT119" s="50"/>
      <c r="CU119" s="50"/>
      <c r="CV119" s="50"/>
      <c r="CW119" s="50"/>
      <c r="CX119" s="50"/>
      <c r="CY119" s="50"/>
      <c r="CZ119" s="50"/>
      <c r="DA119" s="50"/>
      <c r="DB119" s="50"/>
      <c r="DC119" s="50"/>
      <c r="DD119" s="50"/>
      <c r="DE119" s="49"/>
      <c r="DF119" s="49"/>
      <c r="DG119" s="49"/>
      <c r="DH119" s="49"/>
      <c r="DI119" s="49"/>
      <c r="DJ119" s="49"/>
      <c r="DK119" s="49"/>
      <c r="DL119" s="49"/>
      <c r="DM119" s="49"/>
      <c r="DN119" s="49"/>
      <c r="DO119" s="49"/>
      <c r="DP119" s="49"/>
      <c r="DQ119" s="49"/>
      <c r="DR119" s="49"/>
      <c r="DS119" s="49"/>
      <c r="DT119" s="49"/>
      <c r="DU119" s="49"/>
      <c r="DV119" s="49"/>
      <c r="DW119" s="49"/>
      <c r="DX119" s="49"/>
      <c r="DY119" s="49"/>
      <c r="DZ119" s="49"/>
      <c r="EA119" s="49"/>
      <c r="EB119" s="49"/>
      <c r="EC119" s="49"/>
      <c r="ED119" s="49"/>
      <c r="EE119" s="50"/>
      <c r="EF119" s="50"/>
      <c r="EG119" s="50"/>
      <c r="EH119" s="50"/>
      <c r="EI119" s="50"/>
      <c r="EJ119" s="50"/>
      <c r="EK119" s="50"/>
      <c r="EL119" s="50"/>
      <c r="EM119" s="50"/>
      <c r="EN119" s="50"/>
      <c r="EO119" s="50"/>
      <c r="EP119" s="50"/>
      <c r="EQ119" s="50"/>
      <c r="ER119" s="50"/>
      <c r="ES119" s="50"/>
      <c r="ET119" s="50"/>
      <c r="EU119" s="50"/>
      <c r="EV119" s="50"/>
      <c r="EW119" s="50"/>
      <c r="EX119" s="50"/>
      <c r="EY119" s="50"/>
      <c r="EZ119" s="50"/>
      <c r="FA119" s="50"/>
      <c r="FB119" s="50"/>
      <c r="FC119" s="50"/>
      <c r="FD119" s="50"/>
      <c r="FE119" s="50"/>
      <c r="FF119" s="50"/>
      <c r="FG119" s="50"/>
      <c r="FH119" s="50"/>
      <c r="FI119" s="50"/>
      <c r="FJ119" s="50"/>
      <c r="FK119" s="50"/>
      <c r="FL119" s="50"/>
      <c r="FM119" s="50"/>
      <c r="FN119" s="50"/>
    </row>
    <row r="120" spans="1:170" s="8" customFormat="1" hidden="1">
      <c r="A120" s="1976"/>
      <c r="B120" s="21"/>
      <c r="C120" s="395" t="s">
        <v>1424</v>
      </c>
      <c r="D120" s="395"/>
      <c r="E120" s="409"/>
      <c r="F120" s="395"/>
      <c r="G120" s="395"/>
      <c r="H120" s="395"/>
      <c r="I120" s="396" t="s">
        <v>555</v>
      </c>
      <c r="J120" s="397" t="s">
        <v>15</v>
      </c>
      <c r="K120" s="397"/>
      <c r="L120" s="401"/>
      <c r="M120" s="401">
        <f>M117*(M111*($M114+2)/11+MAX($M115-2,0))*M118</f>
        <v>0.57949760507137293</v>
      </c>
      <c r="N120" s="401">
        <f>N117*(N111*($M114+2)/11+MAX($M115-2,0))*M118</f>
        <v>0.57949760507137293</v>
      </c>
      <c r="O120" s="401">
        <f>O117*(O111*($M114+2)/11+MAX($M115-2,0))*M118</f>
        <v>0.57949760507137293</v>
      </c>
      <c r="P120" s="14">
        <v>0</v>
      </c>
      <c r="Q120" s="392">
        <v>0</v>
      </c>
      <c r="R120" s="14">
        <v>0</v>
      </c>
      <c r="S120" s="14"/>
      <c r="T120" s="243"/>
      <c r="U120" s="89"/>
      <c r="V120" s="64"/>
      <c r="W120" s="158"/>
      <c r="X120" s="158"/>
      <c r="Y120" s="64"/>
      <c r="Z120" s="158"/>
      <c r="AA120" s="158"/>
      <c r="AB120" s="65"/>
      <c r="AC120" s="89"/>
      <c r="AD120" s="89"/>
      <c r="AE120" s="7"/>
      <c r="AF120" s="7"/>
      <c r="AG120" s="7"/>
      <c r="AH120" s="7"/>
      <c r="AI120" s="7"/>
      <c r="AJ120" s="7"/>
      <c r="AK120" s="7"/>
      <c r="AL120" s="7"/>
      <c r="AM120" s="7"/>
      <c r="AN120" s="7"/>
      <c r="AO120" s="7"/>
      <c r="AP120" s="83"/>
      <c r="AQ120" s="83"/>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0"/>
      <c r="CA120" s="50"/>
      <c r="CB120" s="50"/>
      <c r="CC120" s="50"/>
      <c r="CD120" s="50"/>
      <c r="CE120" s="50"/>
      <c r="CF120" s="50"/>
      <c r="CG120" s="50"/>
      <c r="CH120" s="50"/>
      <c r="CI120" s="50"/>
      <c r="CJ120" s="50"/>
      <c r="CK120" s="50"/>
      <c r="CL120" s="50"/>
      <c r="CM120" s="50"/>
      <c r="CN120" s="50"/>
      <c r="CO120" s="50"/>
      <c r="CP120" s="50"/>
      <c r="CQ120" s="50"/>
      <c r="CR120" s="50"/>
      <c r="CS120" s="50"/>
      <c r="CT120" s="50"/>
      <c r="CU120" s="50"/>
      <c r="CV120" s="50"/>
      <c r="CW120" s="50"/>
      <c r="CX120" s="50"/>
      <c r="CY120" s="50"/>
      <c r="CZ120" s="50"/>
      <c r="DA120" s="50"/>
      <c r="DB120" s="50"/>
      <c r="DC120" s="50"/>
      <c r="DD120" s="50"/>
      <c r="DE120" s="49"/>
      <c r="DF120" s="49"/>
      <c r="DG120" s="49"/>
      <c r="DH120" s="49"/>
      <c r="DI120" s="49"/>
      <c r="DJ120" s="49"/>
      <c r="DK120" s="49"/>
      <c r="DL120" s="49"/>
      <c r="DM120" s="49"/>
      <c r="DN120" s="49"/>
      <c r="DO120" s="49"/>
      <c r="DP120" s="49"/>
      <c r="DQ120" s="49"/>
      <c r="DR120" s="49"/>
      <c r="DS120" s="49"/>
      <c r="DT120" s="49"/>
      <c r="DU120" s="49"/>
      <c r="DV120" s="49"/>
      <c r="DW120" s="49"/>
      <c r="DX120" s="49"/>
      <c r="DY120" s="49"/>
      <c r="DZ120" s="49"/>
      <c r="EA120" s="49"/>
      <c r="EB120" s="49"/>
      <c r="EC120" s="49"/>
      <c r="ED120" s="49"/>
      <c r="EE120" s="50"/>
      <c r="EF120" s="50"/>
      <c r="EG120" s="50"/>
      <c r="EH120" s="50"/>
      <c r="EI120" s="50"/>
      <c r="EJ120" s="50"/>
      <c r="EK120" s="50"/>
      <c r="EL120" s="50"/>
      <c r="EM120" s="50"/>
      <c r="EN120" s="50"/>
      <c r="EO120" s="50"/>
      <c r="EP120" s="50"/>
      <c r="EQ120" s="50"/>
      <c r="ER120" s="50"/>
      <c r="ES120" s="50"/>
      <c r="ET120" s="50"/>
      <c r="EU120" s="50"/>
      <c r="EV120" s="50"/>
      <c r="EW120" s="50"/>
      <c r="EX120" s="50"/>
      <c r="EY120" s="50"/>
      <c r="EZ120" s="50"/>
      <c r="FA120" s="50"/>
      <c r="FB120" s="50"/>
      <c r="FC120" s="50"/>
      <c r="FD120" s="50"/>
      <c r="FE120" s="50"/>
      <c r="FF120" s="50"/>
      <c r="FG120" s="50"/>
      <c r="FH120" s="50"/>
      <c r="FI120" s="50"/>
      <c r="FJ120" s="50"/>
      <c r="FK120" s="50"/>
      <c r="FL120" s="50"/>
      <c r="FM120" s="50"/>
      <c r="FN120" s="50"/>
    </row>
    <row r="121" spans="1:170" s="8" customFormat="1" ht="18" customHeight="1">
      <c r="A121" s="1976"/>
      <c r="B121" s="204"/>
      <c r="C121" s="14" t="str">
        <f>Begriffe!F38</f>
        <v>Elektrische Leistung der Beleuchtung</v>
      </c>
      <c r="D121" s="14"/>
      <c r="E121" s="182"/>
      <c r="F121" s="14"/>
      <c r="G121" s="14"/>
      <c r="H121" s="14"/>
      <c r="I121" s="98" t="s">
        <v>448</v>
      </c>
      <c r="J121" s="377" t="s">
        <v>149</v>
      </c>
      <c r="K121" s="377"/>
      <c r="L121" s="518"/>
      <c r="M121" s="148">
        <f>IF(L121&lt;&gt;"",L121,$M88/(M91*M92*M93))</f>
        <v>2.9791666666666674</v>
      </c>
      <c r="N121" s="148">
        <f>$M88/(N91*N92*N93)</f>
        <v>1.9097222222222221</v>
      </c>
      <c r="O121" s="148">
        <f>$M88/(O91*O92*O93)</f>
        <v>3.8303571428571437</v>
      </c>
      <c r="P121" s="14">
        <v>1</v>
      </c>
      <c r="Q121" s="392">
        <v>1</v>
      </c>
      <c r="R121" s="14">
        <v>0</v>
      </c>
      <c r="S121" s="14"/>
      <c r="T121" s="243"/>
      <c r="U121" s="89"/>
      <c r="V121" s="64"/>
      <c r="W121" s="158"/>
      <c r="X121" s="158"/>
      <c r="Y121" s="64"/>
      <c r="Z121" s="158"/>
      <c r="AA121" s="158"/>
      <c r="AB121" s="65"/>
      <c r="AC121" s="89"/>
      <c r="AD121" s="89"/>
      <c r="AE121" s="7"/>
      <c r="AF121" s="7"/>
      <c r="AG121" s="7"/>
      <c r="AH121" s="7"/>
      <c r="AI121" s="7"/>
      <c r="AJ121" s="7"/>
      <c r="AK121" s="7"/>
      <c r="AL121" s="7"/>
      <c r="AM121" s="7"/>
      <c r="AN121" s="7"/>
      <c r="AO121" s="7"/>
      <c r="AP121" s="83"/>
      <c r="AQ121" s="83"/>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0"/>
      <c r="CA121" s="50"/>
      <c r="CB121" s="50"/>
      <c r="CC121" s="50"/>
      <c r="CD121" s="50"/>
      <c r="CE121" s="50"/>
      <c r="CF121" s="50"/>
      <c r="CG121" s="50"/>
      <c r="CH121" s="50"/>
      <c r="CI121" s="50"/>
      <c r="CJ121" s="50"/>
      <c r="CK121" s="50"/>
      <c r="CL121" s="50"/>
      <c r="CM121" s="50"/>
      <c r="CN121" s="50"/>
      <c r="CO121" s="50"/>
      <c r="CP121" s="50"/>
      <c r="CQ121" s="50"/>
      <c r="CR121" s="50"/>
      <c r="CS121" s="50"/>
      <c r="CT121" s="50"/>
      <c r="CU121" s="50"/>
      <c r="CV121" s="50"/>
      <c r="CW121" s="50"/>
      <c r="CX121" s="50"/>
      <c r="CY121" s="50"/>
      <c r="CZ121" s="50"/>
      <c r="DA121" s="50"/>
      <c r="DB121" s="50"/>
      <c r="DC121" s="50"/>
      <c r="DD121" s="50"/>
      <c r="DE121" s="49"/>
      <c r="DF121" s="49"/>
      <c r="DG121" s="49"/>
      <c r="DH121" s="49"/>
      <c r="DI121" s="49"/>
      <c r="DJ121" s="49"/>
      <c r="DK121" s="49"/>
      <c r="DL121" s="49"/>
      <c r="DM121" s="49"/>
      <c r="DN121" s="49"/>
      <c r="DO121" s="49"/>
      <c r="DP121" s="49"/>
      <c r="DQ121" s="49"/>
      <c r="DR121" s="49"/>
      <c r="DS121" s="49"/>
      <c r="DT121" s="49"/>
      <c r="DU121" s="49"/>
      <c r="DV121" s="49"/>
      <c r="DW121" s="49"/>
      <c r="DX121" s="49"/>
      <c r="DY121" s="49"/>
      <c r="DZ121" s="49"/>
      <c r="EA121" s="49"/>
      <c r="EB121" s="49"/>
      <c r="EC121" s="49"/>
      <c r="ED121" s="49"/>
      <c r="EE121" s="50"/>
      <c r="EF121" s="50"/>
      <c r="EG121" s="50"/>
      <c r="EH121" s="50"/>
      <c r="EI121" s="50"/>
      <c r="EJ121" s="50"/>
      <c r="EK121" s="50"/>
      <c r="EL121" s="50"/>
      <c r="EM121" s="50"/>
      <c r="EN121" s="50"/>
      <c r="EO121" s="50"/>
      <c r="EP121" s="50"/>
      <c r="EQ121" s="50"/>
      <c r="ER121" s="50"/>
      <c r="ES121" s="50"/>
      <c r="ET121" s="50"/>
      <c r="EU121" s="50"/>
      <c r="EV121" s="50"/>
      <c r="EW121" s="50"/>
      <c r="EX121" s="50"/>
      <c r="EY121" s="50"/>
      <c r="EZ121" s="50"/>
      <c r="FA121" s="50"/>
      <c r="FB121" s="50"/>
      <c r="FC121" s="50"/>
      <c r="FD121" s="50"/>
      <c r="FE121" s="50"/>
      <c r="FF121" s="50"/>
      <c r="FG121" s="50"/>
      <c r="FH121" s="50"/>
      <c r="FI121" s="50"/>
      <c r="FJ121" s="50"/>
      <c r="FK121" s="50"/>
      <c r="FL121" s="50"/>
      <c r="FM121" s="50"/>
      <c r="FN121" s="50"/>
    </row>
    <row r="122" spans="1:170" s="8" customFormat="1" ht="18" customHeight="1">
      <c r="A122" s="1976"/>
      <c r="B122" s="204"/>
      <c r="C122" s="14" t="str">
        <f>Begriffe!F120</f>
        <v>Wärmeeintragsleistung der Beleuchtung</v>
      </c>
      <c r="D122" s="14"/>
      <c r="E122" s="14"/>
      <c r="F122" s="14"/>
      <c r="G122" s="14"/>
      <c r="H122" s="14"/>
      <c r="I122" s="155" t="s">
        <v>965</v>
      </c>
      <c r="J122" s="377" t="s">
        <v>149</v>
      </c>
      <c r="K122" s="377"/>
      <c r="L122" s="514"/>
      <c r="M122" s="394">
        <f>M121</f>
        <v>2.9791666666666674</v>
      </c>
      <c r="N122" s="394">
        <f>N121</f>
        <v>1.9097222222222221</v>
      </c>
      <c r="O122" s="394">
        <f>O121</f>
        <v>3.8303571428571437</v>
      </c>
      <c r="P122" s="14">
        <v>0</v>
      </c>
      <c r="Q122" s="392">
        <v>1</v>
      </c>
      <c r="R122" s="14">
        <v>0</v>
      </c>
      <c r="S122" s="14"/>
      <c r="T122" s="243"/>
      <c r="U122" s="89"/>
      <c r="V122" s="64"/>
      <c r="W122" s="158"/>
      <c r="X122" s="158"/>
      <c r="Y122" s="64"/>
      <c r="Z122" s="158"/>
      <c r="AA122" s="158"/>
      <c r="AB122" s="65"/>
      <c r="AC122" s="89"/>
      <c r="AD122" s="89"/>
      <c r="AE122" s="7"/>
      <c r="AF122" s="7"/>
      <c r="AG122" s="7"/>
      <c r="AH122" s="7"/>
      <c r="AI122" s="7"/>
      <c r="AJ122" s="7"/>
      <c r="AK122" s="7"/>
      <c r="AL122" s="7"/>
      <c r="AM122" s="7"/>
      <c r="AN122" s="7"/>
      <c r="AO122" s="7"/>
      <c r="AP122" s="83"/>
      <c r="AQ122" s="83"/>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0"/>
      <c r="CA122" s="50"/>
      <c r="CB122" s="50"/>
      <c r="CC122" s="50"/>
      <c r="CD122" s="50"/>
      <c r="CE122" s="50"/>
      <c r="CF122" s="50"/>
      <c r="CG122" s="50"/>
      <c r="CH122" s="50"/>
      <c r="CI122" s="50"/>
      <c r="CJ122" s="50"/>
      <c r="CK122" s="50"/>
      <c r="CL122" s="50"/>
      <c r="CM122" s="50"/>
      <c r="CN122" s="50"/>
      <c r="CO122" s="50"/>
      <c r="CP122" s="50"/>
      <c r="CQ122" s="50"/>
      <c r="CR122" s="50"/>
      <c r="CS122" s="50"/>
      <c r="CT122" s="50"/>
      <c r="CU122" s="50"/>
      <c r="CV122" s="50"/>
      <c r="CW122" s="50"/>
      <c r="CX122" s="50"/>
      <c r="CY122" s="50"/>
      <c r="CZ122" s="50"/>
      <c r="DA122" s="50"/>
      <c r="DB122" s="50"/>
      <c r="DC122" s="50"/>
      <c r="DD122" s="50"/>
      <c r="DE122" s="49"/>
      <c r="DF122" s="49"/>
      <c r="DG122" s="49"/>
      <c r="DH122" s="49"/>
      <c r="DI122" s="49"/>
      <c r="DJ122" s="49"/>
      <c r="DK122" s="49"/>
      <c r="DL122" s="49"/>
      <c r="DM122" s="49"/>
      <c r="DN122" s="49"/>
      <c r="DO122" s="49"/>
      <c r="DP122" s="49"/>
      <c r="DQ122" s="49"/>
      <c r="DR122" s="49"/>
      <c r="DS122" s="49"/>
      <c r="DT122" s="49"/>
      <c r="DU122" s="49"/>
      <c r="DV122" s="49"/>
      <c r="DW122" s="49"/>
      <c r="DX122" s="49"/>
      <c r="DY122" s="49"/>
      <c r="DZ122" s="49"/>
      <c r="EA122" s="49"/>
      <c r="EB122" s="49"/>
      <c r="EC122" s="49"/>
      <c r="ED122" s="49"/>
      <c r="EE122" s="50"/>
      <c r="EF122" s="50"/>
      <c r="EG122" s="50"/>
      <c r="EH122" s="50"/>
      <c r="EI122" s="50"/>
      <c r="EJ122" s="50"/>
      <c r="EK122" s="50"/>
      <c r="EL122" s="50"/>
      <c r="EM122" s="50"/>
      <c r="EN122" s="50"/>
      <c r="EO122" s="50"/>
      <c r="EP122" s="50"/>
      <c r="EQ122" s="50"/>
      <c r="ER122" s="50"/>
      <c r="ES122" s="50"/>
      <c r="ET122" s="50"/>
      <c r="EU122" s="50"/>
      <c r="EV122" s="50"/>
      <c r="EW122" s="50"/>
      <c r="EX122" s="50"/>
      <c r="EY122" s="50"/>
      <c r="EZ122" s="50"/>
      <c r="FA122" s="50"/>
      <c r="FB122" s="50"/>
      <c r="FC122" s="50"/>
      <c r="FD122" s="50"/>
      <c r="FE122" s="50"/>
      <c r="FF122" s="50"/>
      <c r="FG122" s="50"/>
      <c r="FH122" s="50"/>
      <c r="FI122" s="50"/>
      <c r="FJ122" s="50"/>
      <c r="FK122" s="50"/>
      <c r="FL122" s="50"/>
      <c r="FM122" s="50"/>
      <c r="FN122" s="50"/>
    </row>
    <row r="123" spans="1:170" s="8" customFormat="1" ht="18" hidden="1" customHeight="1">
      <c r="A123" s="1976"/>
      <c r="B123" s="21"/>
      <c r="C123" s="395" t="s">
        <v>1416</v>
      </c>
      <c r="D123" s="395"/>
      <c r="E123" s="409"/>
      <c r="F123" s="395"/>
      <c r="G123" s="395"/>
      <c r="H123" s="395"/>
      <c r="I123" s="482" t="s">
        <v>537</v>
      </c>
      <c r="J123" s="397" t="s">
        <v>541</v>
      </c>
      <c r="K123" s="397"/>
      <c r="L123" s="483"/>
      <c r="M123" s="484">
        <f>M121*M120</f>
        <v>1.726419948441799</v>
      </c>
      <c r="N123" s="484">
        <f>N121*N120</f>
        <v>1.1066794541293579</v>
      </c>
      <c r="O123" s="484">
        <f>O121*O120</f>
        <v>2.2196827908537413</v>
      </c>
      <c r="P123" s="14">
        <v>0</v>
      </c>
      <c r="Q123" s="392">
        <v>0</v>
      </c>
      <c r="R123" s="14">
        <v>0</v>
      </c>
      <c r="S123" s="14"/>
      <c r="T123" s="243"/>
      <c r="U123" s="89"/>
      <c r="V123" s="64"/>
      <c r="W123" s="158"/>
      <c r="X123" s="158"/>
      <c r="Y123" s="64"/>
      <c r="Z123" s="158"/>
      <c r="AA123" s="158"/>
      <c r="AB123" s="65"/>
      <c r="AC123" s="89"/>
      <c r="AD123" s="89"/>
      <c r="AE123" s="7"/>
      <c r="AF123" s="7"/>
      <c r="AG123" s="7"/>
      <c r="AH123" s="7"/>
      <c r="AI123" s="7"/>
      <c r="AJ123" s="7"/>
      <c r="AK123" s="7"/>
      <c r="AL123" s="7"/>
      <c r="AM123" s="7"/>
      <c r="AN123" s="7"/>
      <c r="AO123" s="7"/>
      <c r="AP123" s="83"/>
      <c r="AQ123" s="83"/>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50"/>
      <c r="DA123" s="50"/>
      <c r="DB123" s="50"/>
      <c r="DC123" s="50"/>
      <c r="DD123" s="50"/>
      <c r="DE123" s="49"/>
      <c r="DF123" s="49"/>
      <c r="DG123" s="49"/>
      <c r="DH123" s="49"/>
      <c r="DI123" s="49"/>
      <c r="DJ123" s="49"/>
      <c r="DK123" s="49"/>
      <c r="DL123" s="49"/>
      <c r="DM123" s="49"/>
      <c r="DN123" s="49"/>
      <c r="DO123" s="49"/>
      <c r="DP123" s="49"/>
      <c r="DQ123" s="49"/>
      <c r="DR123" s="49"/>
      <c r="DS123" s="49"/>
      <c r="DT123" s="49"/>
      <c r="DU123" s="49"/>
      <c r="DV123" s="49"/>
      <c r="DW123" s="49"/>
      <c r="DX123" s="49"/>
      <c r="DY123" s="49"/>
      <c r="DZ123" s="49"/>
      <c r="EA123" s="49"/>
      <c r="EB123" s="49"/>
      <c r="EC123" s="49"/>
      <c r="ED123" s="49"/>
      <c r="EE123" s="50"/>
      <c r="EF123" s="50"/>
      <c r="EG123" s="50"/>
      <c r="EH123" s="50"/>
      <c r="EI123" s="50"/>
      <c r="EJ123" s="50"/>
      <c r="EK123" s="50"/>
      <c r="EL123" s="50"/>
      <c r="EM123" s="50"/>
      <c r="EN123" s="50"/>
      <c r="EO123" s="50"/>
      <c r="EP123" s="50"/>
      <c r="EQ123" s="50"/>
      <c r="ER123" s="50"/>
      <c r="ES123" s="50"/>
      <c r="ET123" s="50"/>
      <c r="EU123" s="50"/>
      <c r="EV123" s="50"/>
      <c r="EW123" s="50"/>
      <c r="EX123" s="50"/>
      <c r="EY123" s="50"/>
      <c r="EZ123" s="50"/>
      <c r="FA123" s="50"/>
      <c r="FB123" s="50"/>
      <c r="FC123" s="50"/>
      <c r="FD123" s="50"/>
      <c r="FE123" s="50"/>
      <c r="FF123" s="50"/>
      <c r="FG123" s="50"/>
      <c r="FH123" s="50"/>
      <c r="FI123" s="50"/>
      <c r="FJ123" s="50"/>
      <c r="FK123" s="50"/>
      <c r="FL123" s="50"/>
      <c r="FM123" s="50"/>
      <c r="FN123" s="50"/>
    </row>
    <row r="124" spans="1:170" s="8" customFormat="1" ht="18" customHeight="1">
      <c r="A124" s="1976"/>
      <c r="B124" s="204"/>
      <c r="C124" s="14" t="str">
        <f>Begriffe!F55</f>
        <v xml:space="preserve">Jährliche Volllaststunden der Beleuchtung </v>
      </c>
      <c r="D124" s="14"/>
      <c r="E124" s="14"/>
      <c r="F124" s="14"/>
      <c r="G124" s="14"/>
      <c r="H124" s="14"/>
      <c r="I124" s="98" t="s">
        <v>447</v>
      </c>
      <c r="J124" s="377" t="s">
        <v>15</v>
      </c>
      <c r="K124" s="377"/>
      <c r="L124" s="93"/>
      <c r="M124" s="149">
        <f>ROUND((M119)*$M55*$M56,0)</f>
        <v>846</v>
      </c>
      <c r="N124" s="149">
        <f>ROUND((N119)*$M55*$M56,0)</f>
        <v>578</v>
      </c>
      <c r="O124" s="149">
        <f>ROUND((O119)*$M55*$M56,0)</f>
        <v>846</v>
      </c>
      <c r="P124" s="14">
        <v>1</v>
      </c>
      <c r="Q124" s="392">
        <v>1</v>
      </c>
      <c r="R124" s="14">
        <v>0</v>
      </c>
      <c r="S124" s="14"/>
      <c r="T124" s="243"/>
      <c r="U124" s="89"/>
      <c r="V124" s="64"/>
      <c r="W124" s="158"/>
      <c r="X124" s="158"/>
      <c r="Y124" s="64"/>
      <c r="Z124" s="158"/>
      <c r="AA124" s="158"/>
      <c r="AB124" s="65"/>
      <c r="AC124" s="89"/>
      <c r="AD124" s="89"/>
      <c r="AE124" s="7"/>
      <c r="AF124" s="7"/>
      <c r="AG124" s="7"/>
      <c r="AH124" s="7"/>
      <c r="AI124" s="7"/>
      <c r="AJ124" s="7"/>
      <c r="AK124" s="7"/>
      <c r="AL124" s="7"/>
      <c r="AM124" s="7"/>
      <c r="AN124" s="7"/>
      <c r="AO124" s="7"/>
      <c r="AP124" s="83"/>
      <c r="AQ124" s="83"/>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50"/>
      <c r="DA124" s="50"/>
      <c r="DB124" s="50"/>
      <c r="DC124" s="50"/>
      <c r="DD124" s="50"/>
      <c r="DE124" s="49"/>
      <c r="DF124" s="49"/>
      <c r="DG124" s="49"/>
      <c r="DH124" s="49"/>
      <c r="DI124" s="49"/>
      <c r="DJ124" s="49"/>
      <c r="DK124" s="49"/>
      <c r="DL124" s="49"/>
      <c r="DM124" s="49"/>
      <c r="DN124" s="49"/>
      <c r="DO124" s="49"/>
      <c r="DP124" s="49"/>
      <c r="DQ124" s="49"/>
      <c r="DR124" s="49"/>
      <c r="DS124" s="49"/>
      <c r="DT124" s="49"/>
      <c r="DU124" s="49"/>
      <c r="DV124" s="49"/>
      <c r="DW124" s="49"/>
      <c r="DX124" s="49"/>
      <c r="DY124" s="49"/>
      <c r="DZ124" s="49"/>
      <c r="EA124" s="49"/>
      <c r="EB124" s="49"/>
      <c r="EC124" s="49"/>
      <c r="ED124" s="49"/>
      <c r="EE124" s="50"/>
      <c r="EF124" s="50"/>
      <c r="EG124" s="50"/>
      <c r="EH124" s="50"/>
      <c r="EI124" s="50"/>
      <c r="EJ124" s="50"/>
      <c r="EK124" s="50"/>
      <c r="EL124" s="50"/>
      <c r="EM124" s="50"/>
      <c r="EN124" s="50"/>
      <c r="EO124" s="50"/>
      <c r="EP124" s="50"/>
      <c r="EQ124" s="50"/>
      <c r="ER124" s="50"/>
      <c r="ES124" s="50"/>
      <c r="ET124" s="50"/>
      <c r="EU124" s="50"/>
      <c r="EV124" s="50"/>
      <c r="EW124" s="50"/>
      <c r="EX124" s="50"/>
      <c r="EY124" s="50"/>
      <c r="EZ124" s="50"/>
      <c r="FA124" s="50"/>
      <c r="FB124" s="50"/>
      <c r="FC124" s="50"/>
      <c r="FD124" s="50"/>
      <c r="FE124" s="50"/>
      <c r="FF124" s="50"/>
      <c r="FG124" s="50"/>
      <c r="FH124" s="50"/>
      <c r="FI124" s="50"/>
      <c r="FJ124" s="50"/>
      <c r="FK124" s="50"/>
      <c r="FL124" s="50"/>
      <c r="FM124" s="50"/>
      <c r="FN124" s="50"/>
    </row>
    <row r="125" spans="1:170" s="8" customFormat="1" ht="18" customHeight="1">
      <c r="A125" s="1977"/>
      <c r="B125" s="204"/>
      <c r="C125" s="13" t="str">
        <f>Begriffe!F61</f>
        <v>Jährlicher Elektrizitätsbedarf Beleuchtung</v>
      </c>
      <c r="D125" s="13"/>
      <c r="E125" s="13"/>
      <c r="F125" s="13"/>
      <c r="G125" s="13"/>
      <c r="H125" s="13"/>
      <c r="I125" s="98" t="s">
        <v>530</v>
      </c>
      <c r="J125" s="103" t="s">
        <v>62</v>
      </c>
      <c r="K125" s="103"/>
      <c r="L125" s="99"/>
      <c r="M125" s="100">
        <f>M121/1000*M124</f>
        <v>2.5203750000000005</v>
      </c>
      <c r="N125" s="100">
        <f>N121/1000*N124</f>
        <v>1.1038194444444445</v>
      </c>
      <c r="O125" s="100">
        <f>O121/1000*O124</f>
        <v>3.2404821428571435</v>
      </c>
      <c r="P125" s="14">
        <v>1</v>
      </c>
      <c r="Q125" s="392">
        <v>1</v>
      </c>
      <c r="R125" s="14">
        <v>1</v>
      </c>
      <c r="S125" s="14"/>
      <c r="T125" s="243"/>
      <c r="U125" s="158"/>
      <c r="V125" s="64"/>
      <c r="W125" s="158"/>
      <c r="X125" s="158"/>
      <c r="Y125" s="64"/>
      <c r="Z125" s="158"/>
      <c r="AA125" s="158"/>
      <c r="AB125" s="65"/>
      <c r="AC125" s="89"/>
      <c r="AD125" s="89"/>
      <c r="AE125" s="7"/>
      <c r="AF125" s="7"/>
      <c r="AG125" s="7"/>
      <c r="AH125" s="7"/>
      <c r="AI125" s="7"/>
      <c r="AJ125" s="7"/>
      <c r="AK125" s="7"/>
      <c r="AL125" s="7"/>
      <c r="AM125" s="7"/>
      <c r="AN125" s="7"/>
      <c r="AO125" s="83"/>
      <c r="AP125" s="83"/>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50"/>
      <c r="CM125" s="50"/>
      <c r="CN125" s="50"/>
      <c r="CO125" s="50"/>
      <c r="CP125" s="50"/>
      <c r="CQ125" s="50"/>
      <c r="CR125" s="50"/>
      <c r="CS125" s="50"/>
      <c r="CT125" s="50"/>
      <c r="CU125" s="50"/>
      <c r="CV125" s="50"/>
      <c r="CW125" s="50"/>
      <c r="CX125" s="50"/>
      <c r="CY125" s="50"/>
      <c r="CZ125" s="50"/>
      <c r="DA125" s="50"/>
      <c r="DB125" s="50"/>
      <c r="DC125" s="50"/>
      <c r="DD125" s="49"/>
      <c r="DE125" s="49"/>
      <c r="DF125" s="49"/>
      <c r="DG125" s="49"/>
      <c r="DH125" s="49"/>
      <c r="DI125" s="49"/>
      <c r="DJ125" s="49"/>
      <c r="DK125" s="49"/>
      <c r="DL125" s="49"/>
      <c r="DM125" s="49"/>
      <c r="DN125" s="49"/>
      <c r="DO125" s="49"/>
      <c r="DP125" s="49"/>
      <c r="DQ125" s="49"/>
      <c r="DR125" s="49"/>
      <c r="DS125" s="49"/>
      <c r="DT125" s="49"/>
      <c r="DU125" s="49"/>
      <c r="DV125" s="49"/>
      <c r="DW125" s="49"/>
      <c r="DX125" s="49"/>
      <c r="DY125" s="49"/>
      <c r="DZ125" s="49"/>
      <c r="EA125" s="49"/>
      <c r="EB125" s="49"/>
      <c r="EC125" s="49"/>
      <c r="ED125" s="50"/>
      <c r="EE125" s="50"/>
      <c r="EF125" s="50"/>
      <c r="EG125" s="50"/>
      <c r="EH125" s="50"/>
      <c r="EI125" s="50"/>
      <c r="EJ125" s="50"/>
      <c r="EK125" s="50"/>
      <c r="EL125" s="50"/>
      <c r="EM125" s="50"/>
      <c r="EN125" s="50"/>
      <c r="EO125" s="50"/>
      <c r="EP125" s="50"/>
      <c r="EQ125" s="50"/>
      <c r="ER125" s="50"/>
      <c r="ES125" s="50"/>
      <c r="ET125" s="50"/>
      <c r="EU125" s="50"/>
      <c r="EV125" s="50"/>
      <c r="EW125" s="50"/>
      <c r="EX125" s="50"/>
      <c r="EY125" s="50"/>
      <c r="EZ125" s="50"/>
      <c r="FA125" s="50"/>
      <c r="FB125" s="50"/>
      <c r="FC125" s="50"/>
      <c r="FD125" s="50"/>
      <c r="FE125" s="50"/>
      <c r="FF125" s="50"/>
      <c r="FG125" s="50"/>
      <c r="FH125" s="50"/>
      <c r="FI125" s="50"/>
      <c r="FJ125" s="50"/>
      <c r="FK125" s="50"/>
      <c r="FL125" s="50"/>
      <c r="FM125" s="50"/>
    </row>
    <row r="126" spans="1:170" s="5" customFormat="1" ht="2.25" customHeight="1">
      <c r="A126" s="113"/>
      <c r="B126" s="495"/>
      <c r="C126" s="114"/>
      <c r="D126" s="114"/>
      <c r="E126" s="114"/>
      <c r="F126" s="114"/>
      <c r="G126" s="114"/>
      <c r="H126" s="114"/>
      <c r="I126" s="114"/>
      <c r="J126" s="114"/>
      <c r="K126" s="121"/>
      <c r="L126" s="122"/>
      <c r="M126" s="114"/>
      <c r="N126" s="136"/>
      <c r="O126" s="136"/>
      <c r="P126" s="14">
        <v>0</v>
      </c>
      <c r="Q126" s="392">
        <v>1</v>
      </c>
      <c r="R126" s="14">
        <v>0</v>
      </c>
      <c r="S126" s="379"/>
      <c r="T126" s="618"/>
      <c r="U126" s="138"/>
      <c r="V126" s="27"/>
      <c r="W126" s="138"/>
      <c r="X126" s="138"/>
      <c r="Y126" s="27"/>
      <c r="Z126" s="138"/>
      <c r="AA126" s="138"/>
      <c r="AB126" s="36"/>
      <c r="AC126" s="147"/>
      <c r="AD126" s="147"/>
      <c r="AE126" s="36"/>
      <c r="AF126" s="36"/>
      <c r="AG126" s="36"/>
      <c r="AH126" s="36"/>
      <c r="AI126" s="36"/>
      <c r="AJ126" s="36"/>
      <c r="AK126" s="36"/>
      <c r="AL126" s="36"/>
      <c r="AM126" s="84"/>
      <c r="AN126" s="84"/>
      <c r="AO126" s="85"/>
      <c r="AP126" s="85"/>
      <c r="AQ126" s="54"/>
      <c r="AR126" s="54"/>
      <c r="AS126" s="54"/>
      <c r="AT126" s="54"/>
      <c r="AU126" s="54"/>
      <c r="AV126" s="54"/>
      <c r="AW126" s="54"/>
      <c r="AX126" s="54"/>
      <c r="AY126" s="54"/>
      <c r="AZ126" s="54"/>
      <c r="BA126" s="54"/>
      <c r="BB126" s="54"/>
      <c r="BC126" s="54"/>
      <c r="BD126" s="54"/>
      <c r="BE126" s="54"/>
      <c r="BF126" s="54"/>
      <c r="BG126" s="54"/>
      <c r="BH126" s="54"/>
      <c r="BI126" s="54"/>
      <c r="BJ126" s="54"/>
      <c r="BK126" s="54"/>
      <c r="BL126" s="54"/>
      <c r="BM126" s="54"/>
      <c r="BN126" s="54"/>
      <c r="BO126" s="54"/>
      <c r="BP126" s="54"/>
      <c r="BQ126" s="54"/>
      <c r="BR126" s="54"/>
      <c r="BS126" s="54"/>
      <c r="BT126" s="54"/>
      <c r="BU126" s="54"/>
      <c r="BV126" s="54"/>
      <c r="BW126" s="54"/>
      <c r="BX126" s="54"/>
      <c r="BY126" s="54"/>
      <c r="BZ126" s="54"/>
      <c r="CA126" s="54"/>
      <c r="CB126" s="54"/>
      <c r="CC126" s="54"/>
      <c r="CD126" s="54"/>
      <c r="CE126" s="54"/>
      <c r="CF126" s="54"/>
      <c r="CG126" s="54"/>
      <c r="CH126" s="54"/>
      <c r="CI126" s="54"/>
      <c r="CJ126" s="54"/>
      <c r="CK126" s="54"/>
      <c r="CL126" s="54"/>
      <c r="CM126" s="54"/>
      <c r="CN126" s="54"/>
      <c r="CO126" s="54"/>
      <c r="CP126" s="54"/>
      <c r="CQ126" s="54"/>
      <c r="CR126" s="54"/>
      <c r="CS126" s="54"/>
      <c r="CT126" s="54"/>
      <c r="CU126" s="55"/>
      <c r="CV126" s="55"/>
      <c r="CW126" s="55"/>
      <c r="CX126" s="55"/>
      <c r="CY126" s="55"/>
      <c r="CZ126" s="55"/>
      <c r="DA126" s="55"/>
      <c r="DB126" s="55"/>
      <c r="DC126" s="55"/>
      <c r="DD126" s="55"/>
      <c r="DE126" s="55"/>
      <c r="DF126" s="55"/>
      <c r="DG126" s="55"/>
      <c r="DH126" s="55"/>
      <c r="DI126" s="55"/>
      <c r="DJ126" s="55"/>
      <c r="DK126" s="55"/>
      <c r="DL126" s="55"/>
      <c r="DM126" s="55"/>
      <c r="DN126" s="55"/>
      <c r="DO126" s="55"/>
      <c r="DP126" s="55"/>
      <c r="DQ126" s="55"/>
      <c r="DR126" s="55"/>
      <c r="DS126" s="55"/>
      <c r="DT126" s="55"/>
      <c r="DU126" s="55"/>
      <c r="DV126" s="55"/>
      <c r="DW126" s="55"/>
      <c r="DX126" s="55"/>
      <c r="DY126" s="55"/>
      <c r="DZ126" s="55"/>
      <c r="EA126" s="55"/>
      <c r="EB126" s="55"/>
      <c r="EC126" s="55"/>
      <c r="ED126" s="53"/>
      <c r="EE126" s="53"/>
      <c r="EF126" s="53"/>
      <c r="EG126" s="53"/>
      <c r="EH126" s="53"/>
      <c r="EI126" s="53"/>
      <c r="EJ126" s="53"/>
      <c r="EK126" s="53"/>
      <c r="EL126" s="53"/>
      <c r="EM126" s="53"/>
      <c r="EN126" s="53"/>
      <c r="EO126" s="53"/>
      <c r="EP126" s="53"/>
      <c r="EQ126" s="53"/>
      <c r="ER126" s="53"/>
      <c r="ES126" s="53"/>
      <c r="ET126" s="53"/>
      <c r="EU126" s="53"/>
      <c r="EV126" s="53"/>
      <c r="EW126" s="53"/>
      <c r="EX126" s="53"/>
      <c r="EY126" s="53"/>
      <c r="EZ126" s="53"/>
      <c r="FA126" s="53"/>
      <c r="FB126" s="53"/>
      <c r="FC126" s="53"/>
      <c r="FD126" s="53"/>
      <c r="FE126" s="53"/>
      <c r="FF126" s="53"/>
      <c r="FG126" s="53"/>
      <c r="FH126" s="53"/>
      <c r="FI126" s="53"/>
      <c r="FJ126" s="53"/>
      <c r="FK126" s="53"/>
      <c r="FL126" s="53"/>
      <c r="FM126" s="53"/>
    </row>
    <row r="127" spans="1:170" s="5" customFormat="1" ht="18.75" customHeight="1">
      <c r="A127" s="104"/>
      <c r="B127" s="104"/>
      <c r="C127" s="104" t="str">
        <f>C2</f>
        <v>Wohnen MFH</v>
      </c>
      <c r="D127" s="104"/>
      <c r="E127" s="104"/>
      <c r="F127" s="104"/>
      <c r="G127" s="104"/>
      <c r="H127" s="104"/>
      <c r="I127" s="105"/>
      <c r="J127" s="106"/>
      <c r="K127" s="106"/>
      <c r="L127" s="107"/>
      <c r="M127" s="107"/>
      <c r="N127" s="108"/>
      <c r="O127" s="109">
        <f>O2</f>
        <v>1.01</v>
      </c>
      <c r="P127" s="14">
        <v>0</v>
      </c>
      <c r="Q127" s="392">
        <v>1</v>
      </c>
      <c r="R127" s="14">
        <v>0</v>
      </c>
      <c r="S127" s="379"/>
      <c r="T127" s="618"/>
      <c r="U127" s="138"/>
      <c r="V127" s="27"/>
      <c r="W127" s="138"/>
      <c r="X127" s="138"/>
      <c r="Y127" s="27"/>
      <c r="Z127" s="138"/>
      <c r="AA127" s="138"/>
      <c r="AB127" s="36"/>
      <c r="AC127" s="147"/>
      <c r="AD127" s="147"/>
      <c r="AE127" s="36"/>
      <c r="AF127" s="36"/>
      <c r="AG127" s="36"/>
      <c r="AH127" s="36"/>
      <c r="AI127" s="36"/>
      <c r="AJ127" s="36"/>
      <c r="AK127" s="36"/>
      <c r="AL127" s="36"/>
      <c r="AM127" s="84"/>
      <c r="AN127" s="84"/>
      <c r="AO127" s="85"/>
      <c r="AP127" s="85"/>
      <c r="AQ127" s="54"/>
      <c r="AR127" s="54"/>
      <c r="AS127" s="54"/>
      <c r="AT127" s="54"/>
      <c r="AU127" s="54"/>
      <c r="AV127" s="54"/>
      <c r="AW127" s="54"/>
      <c r="AX127" s="54"/>
      <c r="AY127" s="54"/>
      <c r="AZ127" s="54"/>
      <c r="BA127" s="54"/>
      <c r="BB127" s="54"/>
      <c r="BC127" s="54"/>
      <c r="BD127" s="54"/>
      <c r="BE127" s="54"/>
      <c r="BF127" s="54"/>
      <c r="BG127" s="54"/>
      <c r="BH127" s="54"/>
      <c r="BI127" s="54"/>
      <c r="BJ127" s="54"/>
      <c r="BK127" s="54"/>
      <c r="BL127" s="54"/>
      <c r="BM127" s="54"/>
      <c r="BN127" s="54"/>
      <c r="BO127" s="54"/>
      <c r="BP127" s="54"/>
      <c r="BQ127" s="54"/>
      <c r="BR127" s="54"/>
      <c r="BS127" s="54"/>
      <c r="BT127" s="54"/>
      <c r="BU127" s="54"/>
      <c r="BV127" s="54"/>
      <c r="BW127" s="54"/>
      <c r="BX127" s="54"/>
      <c r="BY127" s="54"/>
      <c r="BZ127" s="54"/>
      <c r="CA127" s="54"/>
      <c r="CB127" s="54"/>
      <c r="CC127" s="54"/>
      <c r="CD127" s="54"/>
      <c r="CE127" s="54"/>
      <c r="CF127" s="54"/>
      <c r="CG127" s="54"/>
      <c r="CH127" s="54"/>
      <c r="CI127" s="54"/>
      <c r="CJ127" s="54"/>
      <c r="CK127" s="54"/>
      <c r="CL127" s="54"/>
      <c r="CM127" s="54"/>
      <c r="CN127" s="54"/>
      <c r="CO127" s="54"/>
      <c r="CP127" s="54"/>
      <c r="CQ127" s="54"/>
      <c r="CR127" s="54"/>
      <c r="CS127" s="54"/>
      <c r="CT127" s="54"/>
      <c r="CU127" s="55"/>
      <c r="CV127" s="55"/>
      <c r="CW127" s="55"/>
      <c r="CX127" s="55"/>
      <c r="CY127" s="55"/>
      <c r="CZ127" s="55"/>
      <c r="DA127" s="55"/>
      <c r="DB127" s="55"/>
      <c r="DC127" s="55"/>
      <c r="DD127" s="55"/>
      <c r="DE127" s="55"/>
      <c r="DF127" s="55"/>
      <c r="DG127" s="55"/>
      <c r="DH127" s="55"/>
      <c r="DI127" s="55"/>
      <c r="DJ127" s="55"/>
      <c r="DK127" s="55"/>
      <c r="DL127" s="55"/>
      <c r="DM127" s="55"/>
      <c r="DN127" s="55"/>
      <c r="DO127" s="55"/>
      <c r="DP127" s="55"/>
      <c r="DQ127" s="55"/>
      <c r="DR127" s="55"/>
      <c r="DS127" s="55"/>
      <c r="DT127" s="55"/>
      <c r="DU127" s="55"/>
      <c r="DV127" s="55"/>
      <c r="DW127" s="55"/>
      <c r="DX127" s="55"/>
      <c r="DY127" s="55"/>
      <c r="DZ127" s="55"/>
      <c r="EA127" s="55"/>
      <c r="EB127" s="55"/>
      <c r="EC127" s="55"/>
      <c r="ED127" s="53"/>
      <c r="EE127" s="53"/>
      <c r="EF127" s="53"/>
      <c r="EG127" s="53"/>
      <c r="EH127" s="53"/>
      <c r="EI127" s="53"/>
      <c r="EJ127" s="53"/>
      <c r="EK127" s="53"/>
      <c r="EL127" s="53"/>
      <c r="EM127" s="53"/>
      <c r="EN127" s="53"/>
      <c r="EO127" s="53"/>
      <c r="EP127" s="53"/>
      <c r="EQ127" s="53"/>
      <c r="ER127" s="53"/>
      <c r="ES127" s="53"/>
      <c r="ET127" s="53"/>
      <c r="EU127" s="53"/>
      <c r="EV127" s="53"/>
      <c r="EW127" s="53"/>
      <c r="EX127" s="53"/>
      <c r="EY127" s="53"/>
      <c r="EZ127" s="53"/>
      <c r="FA127" s="53"/>
      <c r="FB127" s="53"/>
      <c r="FC127" s="53"/>
      <c r="FD127" s="53"/>
      <c r="FE127" s="53"/>
      <c r="FF127" s="53"/>
      <c r="FG127" s="53"/>
      <c r="FH127" s="53"/>
      <c r="FI127" s="53"/>
      <c r="FJ127" s="53"/>
      <c r="FK127" s="53"/>
      <c r="FL127" s="53"/>
      <c r="FM127" s="53"/>
    </row>
    <row r="128" spans="1:170" s="5" customFormat="1" ht="1.5" customHeight="1">
      <c r="A128" s="104"/>
      <c r="B128" s="104"/>
      <c r="C128" s="110"/>
      <c r="D128" s="110"/>
      <c r="E128" s="110"/>
      <c r="F128" s="104"/>
      <c r="G128" s="104"/>
      <c r="H128" s="104"/>
      <c r="I128" s="105"/>
      <c r="J128" s="106"/>
      <c r="K128" s="106"/>
      <c r="L128" s="107"/>
      <c r="M128" s="107"/>
      <c r="N128" s="108"/>
      <c r="O128" s="109"/>
      <c r="P128" s="14">
        <v>0</v>
      </c>
      <c r="Q128" s="392">
        <v>1</v>
      </c>
      <c r="R128" s="14">
        <v>0</v>
      </c>
      <c r="S128" s="379"/>
      <c r="T128" s="618"/>
      <c r="U128" s="138"/>
      <c r="V128" s="27"/>
      <c r="W128" s="138"/>
      <c r="X128" s="138"/>
      <c r="Y128" s="27"/>
      <c r="Z128" s="138"/>
      <c r="AA128" s="138"/>
      <c r="AB128" s="36"/>
      <c r="AC128" s="147"/>
      <c r="AD128" s="147"/>
      <c r="AE128" s="36"/>
      <c r="AF128" s="36"/>
      <c r="AG128" s="36"/>
      <c r="AH128" s="36"/>
      <c r="AI128" s="36"/>
      <c r="AJ128" s="36"/>
      <c r="AK128" s="36"/>
      <c r="AL128" s="36"/>
      <c r="AM128" s="84"/>
      <c r="AN128" s="84"/>
      <c r="AO128" s="85"/>
      <c r="AP128" s="85"/>
      <c r="AQ128" s="54"/>
      <c r="AR128" s="54"/>
      <c r="AS128" s="54"/>
      <c r="AT128" s="54"/>
      <c r="AU128" s="54"/>
      <c r="AV128" s="54"/>
      <c r="AW128" s="54"/>
      <c r="AX128" s="54"/>
      <c r="AY128" s="54"/>
      <c r="AZ128" s="54"/>
      <c r="BA128" s="54"/>
      <c r="BB128" s="54"/>
      <c r="BC128" s="54"/>
      <c r="BD128" s="54"/>
      <c r="BE128" s="54"/>
      <c r="BF128" s="54"/>
      <c r="BG128" s="54"/>
      <c r="BH128" s="54"/>
      <c r="BI128" s="54"/>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5"/>
      <c r="CV128" s="55"/>
      <c r="CW128" s="55"/>
      <c r="CX128" s="55"/>
      <c r="CY128" s="55"/>
      <c r="CZ128" s="55"/>
      <c r="DA128" s="55"/>
      <c r="DB128" s="55"/>
      <c r="DC128" s="55"/>
      <c r="DD128" s="55"/>
      <c r="DE128" s="55"/>
      <c r="DF128" s="55"/>
      <c r="DG128" s="55"/>
      <c r="DH128" s="55"/>
      <c r="DI128" s="55"/>
      <c r="DJ128" s="55"/>
      <c r="DK128" s="55"/>
      <c r="DL128" s="55"/>
      <c r="DM128" s="55"/>
      <c r="DN128" s="55"/>
      <c r="DO128" s="55"/>
      <c r="DP128" s="55"/>
      <c r="DQ128" s="55"/>
      <c r="DR128" s="55"/>
      <c r="DS128" s="55"/>
      <c r="DT128" s="55"/>
      <c r="DU128" s="55"/>
      <c r="DV128" s="55"/>
      <c r="DW128" s="55"/>
      <c r="DX128" s="55"/>
      <c r="DY128" s="55"/>
      <c r="DZ128" s="55"/>
      <c r="EA128" s="55"/>
      <c r="EB128" s="55"/>
      <c r="EC128" s="55"/>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3"/>
      <c r="FK128" s="53"/>
      <c r="FL128" s="53"/>
      <c r="FM128" s="53"/>
    </row>
    <row r="129" spans="1:170" s="5" customFormat="1" ht="18" customHeight="1">
      <c r="A129" s="117"/>
      <c r="B129" s="117"/>
      <c r="C129" s="118"/>
      <c r="D129" s="118"/>
      <c r="E129" s="118"/>
      <c r="F129" s="118"/>
      <c r="G129" s="118"/>
      <c r="H129" s="118"/>
      <c r="I129" s="200" t="str">
        <f>I4</f>
        <v>Symbol</v>
      </c>
      <c r="J129" s="119" t="str">
        <f>J4</f>
        <v>Einheit</v>
      </c>
      <c r="K129" s="119"/>
      <c r="L129" s="266" t="str">
        <f>L4</f>
        <v>Projektwert</v>
      </c>
      <c r="M129" s="266" t="str">
        <f>M4</f>
        <v>Standardwert</v>
      </c>
      <c r="N129" s="266" t="str">
        <f>N4</f>
        <v>Zielwert</v>
      </c>
      <c r="O129" s="266" t="str">
        <f>O4</f>
        <v>Bestand</v>
      </c>
      <c r="P129" s="14">
        <v>0</v>
      </c>
      <c r="Q129" s="392">
        <v>1</v>
      </c>
      <c r="R129" s="14">
        <v>0</v>
      </c>
      <c r="S129" s="379"/>
      <c r="T129" s="618"/>
      <c r="U129" s="138"/>
      <c r="V129" s="27"/>
      <c r="W129" s="138"/>
      <c r="X129" s="138"/>
      <c r="Y129" s="27"/>
      <c r="Z129" s="138"/>
      <c r="AA129" s="138"/>
      <c r="AB129" s="36"/>
      <c r="AC129" s="147"/>
      <c r="AD129" s="147"/>
      <c r="AE129" s="36"/>
      <c r="AF129" s="36"/>
      <c r="AG129" s="36"/>
      <c r="AH129" s="36"/>
      <c r="AI129" s="36"/>
      <c r="AJ129" s="36"/>
      <c r="AK129" s="36"/>
      <c r="AL129" s="36"/>
      <c r="AM129" s="84"/>
      <c r="AN129" s="84"/>
      <c r="AO129" s="85"/>
      <c r="AP129" s="85"/>
      <c r="AQ129" s="54"/>
      <c r="AR129" s="54"/>
      <c r="AS129" s="54"/>
      <c r="AT129" s="54"/>
      <c r="AU129" s="54"/>
      <c r="AV129" s="54"/>
      <c r="AW129" s="54"/>
      <c r="AX129" s="54"/>
      <c r="AY129" s="54"/>
      <c r="AZ129" s="54"/>
      <c r="BA129" s="54"/>
      <c r="BB129" s="54"/>
      <c r="BC129" s="54"/>
      <c r="BD129" s="54"/>
      <c r="BE129" s="54"/>
      <c r="BF129" s="54"/>
      <c r="BG129" s="54"/>
      <c r="BH129" s="54"/>
      <c r="BI129" s="54"/>
      <c r="BJ129" s="54"/>
      <c r="BK129" s="54"/>
      <c r="BL129" s="54"/>
      <c r="BM129" s="54"/>
      <c r="BN129" s="54"/>
      <c r="BO129" s="54"/>
      <c r="BP129" s="54"/>
      <c r="BQ129" s="54"/>
      <c r="BR129" s="54"/>
      <c r="BS129" s="54"/>
      <c r="BT129" s="54"/>
      <c r="BU129" s="54"/>
      <c r="BV129" s="54"/>
      <c r="BW129" s="54"/>
      <c r="BX129" s="54"/>
      <c r="BY129" s="54"/>
      <c r="BZ129" s="54"/>
      <c r="CA129" s="54"/>
      <c r="CB129" s="54"/>
      <c r="CC129" s="54"/>
      <c r="CD129" s="54"/>
      <c r="CE129" s="54"/>
      <c r="CF129" s="54"/>
      <c r="CG129" s="54"/>
      <c r="CH129" s="54"/>
      <c r="CI129" s="54"/>
      <c r="CJ129" s="54"/>
      <c r="CK129" s="54"/>
      <c r="CL129" s="54"/>
      <c r="CM129" s="54"/>
      <c r="CN129" s="54"/>
      <c r="CO129" s="54"/>
      <c r="CP129" s="54"/>
      <c r="CQ129" s="54"/>
      <c r="CR129" s="54"/>
      <c r="CS129" s="54"/>
      <c r="CT129" s="54"/>
      <c r="CU129" s="55"/>
      <c r="CV129" s="55"/>
      <c r="CW129" s="55"/>
      <c r="CX129" s="55"/>
      <c r="CY129" s="55"/>
      <c r="CZ129" s="55"/>
      <c r="DA129" s="55"/>
      <c r="DB129" s="55"/>
      <c r="DC129" s="55"/>
      <c r="DD129" s="55"/>
      <c r="DE129" s="55"/>
      <c r="DF129" s="55"/>
      <c r="DG129" s="55"/>
      <c r="DH129" s="55"/>
      <c r="DI129" s="55"/>
      <c r="DJ129" s="55"/>
      <c r="DK129" s="55"/>
      <c r="DL129" s="55"/>
      <c r="DM129" s="55"/>
      <c r="DN129" s="55"/>
      <c r="DO129" s="55"/>
      <c r="DP129" s="55"/>
      <c r="DQ129" s="55"/>
      <c r="DR129" s="55"/>
      <c r="DS129" s="55"/>
      <c r="DT129" s="55"/>
      <c r="DU129" s="55"/>
      <c r="DV129" s="55"/>
      <c r="DW129" s="55"/>
      <c r="DX129" s="55"/>
      <c r="DY129" s="55"/>
      <c r="DZ129" s="55"/>
      <c r="EA129" s="55"/>
      <c r="EB129" s="55"/>
      <c r="EC129" s="55"/>
      <c r="ED129" s="53"/>
      <c r="EE129" s="53"/>
      <c r="EF129" s="53"/>
      <c r="EG129" s="53"/>
      <c r="EH129" s="53"/>
      <c r="EI129" s="53"/>
      <c r="EJ129" s="53"/>
      <c r="EK129" s="53"/>
      <c r="EL129" s="53"/>
      <c r="EM129" s="53"/>
      <c r="EN129" s="53"/>
      <c r="EO129" s="53"/>
      <c r="EP129" s="53"/>
      <c r="EQ129" s="53"/>
      <c r="ER129" s="53"/>
      <c r="ES129" s="53"/>
      <c r="ET129" s="53"/>
      <c r="EU129" s="53"/>
      <c r="EV129" s="53"/>
      <c r="EW129" s="53"/>
      <c r="EX129" s="53"/>
      <c r="EY129" s="53"/>
      <c r="EZ129" s="53"/>
      <c r="FA129" s="53"/>
      <c r="FB129" s="53"/>
      <c r="FC129" s="53"/>
      <c r="FD129" s="53"/>
      <c r="FE129" s="53"/>
      <c r="FF129" s="53"/>
      <c r="FG129" s="53"/>
      <c r="FH129" s="53"/>
      <c r="FI129" s="53"/>
      <c r="FJ129" s="53"/>
      <c r="FK129" s="53"/>
      <c r="FL129" s="53"/>
      <c r="FM129" s="53"/>
    </row>
    <row r="130" spans="1:170" s="8" customFormat="1" ht="18" customHeight="1">
      <c r="A130" s="1978" t="str">
        <f>Begriffe!F219</f>
        <v>Lüftung</v>
      </c>
      <c r="B130" s="204"/>
      <c r="C130" s="14" t="str">
        <f>Begriffe!F31</f>
        <v>Aussenluft-Volumenstrom pro Person</v>
      </c>
      <c r="D130" s="14"/>
      <c r="E130" s="182"/>
      <c r="F130" s="14" t="str">
        <f>Begriffe!$F$361</f>
        <v>Mit unterstützender Fensterlüftung</v>
      </c>
      <c r="G130" s="14"/>
      <c r="H130" s="14"/>
      <c r="I130" s="98" t="s">
        <v>450</v>
      </c>
      <c r="J130" s="377" t="s">
        <v>546</v>
      </c>
      <c r="K130" s="243"/>
      <c r="L130" s="519"/>
      <c r="M130" s="443">
        <f>IF(L130&lt;&gt;"",L130,INDEX(Eingabedaten!$D$9:$DN$53,nutzid,MATCH($C130,Eingabedaten!$D$6:$DN$6,0)))</f>
        <v>29</v>
      </c>
      <c r="N130" s="102"/>
      <c r="O130" s="102"/>
      <c r="P130" s="14">
        <v>0</v>
      </c>
      <c r="Q130" s="392">
        <v>1</v>
      </c>
      <c r="R130" s="14">
        <v>0</v>
      </c>
      <c r="S130" s="14"/>
      <c r="T130" s="243"/>
      <c r="U130" s="89"/>
      <c r="V130" s="64"/>
      <c r="W130" s="158" t="s">
        <v>56</v>
      </c>
      <c r="X130" s="158"/>
      <c r="Y130" s="64"/>
      <c r="Z130" s="158"/>
      <c r="AA130" s="158"/>
      <c r="AB130" s="65"/>
      <c r="AC130" s="89"/>
      <c r="AD130" s="89"/>
      <c r="AE130" s="7"/>
      <c r="AF130" s="7"/>
      <c r="AG130" s="7"/>
      <c r="AH130" s="7"/>
      <c r="AI130" s="7"/>
      <c r="AJ130" s="7"/>
      <c r="AK130" s="7"/>
      <c r="AL130" s="7"/>
      <c r="AM130" s="7"/>
      <c r="AN130" s="7"/>
      <c r="AO130" s="7"/>
      <c r="AP130" s="83"/>
      <c r="AQ130" s="83"/>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0"/>
      <c r="CA130" s="50"/>
      <c r="CB130" s="50"/>
      <c r="CC130" s="50"/>
      <c r="CD130" s="50"/>
      <c r="CE130" s="50"/>
      <c r="CF130" s="50"/>
      <c r="CG130" s="50"/>
      <c r="CH130" s="50"/>
      <c r="CI130" s="50"/>
      <c r="CJ130" s="50"/>
      <c r="CK130" s="50"/>
      <c r="CL130" s="50"/>
      <c r="CM130" s="50"/>
      <c r="CN130" s="50"/>
      <c r="CO130" s="50"/>
      <c r="CP130" s="50"/>
      <c r="CQ130" s="50"/>
      <c r="CR130" s="50"/>
      <c r="CS130" s="50"/>
      <c r="CT130" s="50"/>
      <c r="CU130" s="50"/>
      <c r="CV130" s="50"/>
      <c r="CW130" s="50"/>
      <c r="CX130" s="50"/>
      <c r="CY130" s="50"/>
      <c r="CZ130" s="50"/>
      <c r="DA130" s="50"/>
      <c r="DB130" s="50"/>
      <c r="DC130" s="50"/>
      <c r="DD130" s="50"/>
      <c r="DE130" s="49"/>
      <c r="DF130" s="49"/>
      <c r="DG130" s="49"/>
      <c r="DH130" s="49"/>
      <c r="DI130" s="49"/>
      <c r="DJ130" s="49"/>
      <c r="DK130" s="49"/>
      <c r="DL130" s="49"/>
      <c r="DM130" s="49"/>
      <c r="DN130" s="49"/>
      <c r="DO130" s="49"/>
      <c r="DP130" s="49"/>
      <c r="DQ130" s="49"/>
      <c r="DR130" s="49"/>
      <c r="DS130" s="49"/>
      <c r="DT130" s="49"/>
      <c r="DU130" s="49"/>
      <c r="DV130" s="49"/>
      <c r="DW130" s="49"/>
      <c r="DX130" s="49"/>
      <c r="DY130" s="49"/>
      <c r="DZ130" s="49"/>
      <c r="EA130" s="49"/>
      <c r="EB130" s="49"/>
      <c r="EC130" s="49"/>
      <c r="ED130" s="49"/>
      <c r="EE130" s="50"/>
      <c r="EF130" s="50"/>
      <c r="EG130" s="50"/>
      <c r="EH130" s="50"/>
      <c r="EI130" s="50"/>
      <c r="EJ130" s="50"/>
      <c r="EK130" s="50"/>
      <c r="EL130" s="50"/>
      <c r="EM130" s="50"/>
      <c r="EN130" s="50"/>
      <c r="EO130" s="50"/>
      <c r="EP130" s="50"/>
      <c r="EQ130" s="50"/>
      <c r="ER130" s="50"/>
      <c r="ES130" s="50"/>
      <c r="ET130" s="50"/>
      <c r="EU130" s="50"/>
      <c r="EV130" s="50"/>
      <c r="EW130" s="50"/>
      <c r="EX130" s="50"/>
      <c r="EY130" s="50"/>
      <c r="EZ130" s="50"/>
      <c r="FA130" s="50"/>
      <c r="FB130" s="50"/>
      <c r="FC130" s="50"/>
      <c r="FD130" s="50"/>
      <c r="FE130" s="50"/>
      <c r="FF130" s="50"/>
      <c r="FG130" s="50"/>
      <c r="FH130" s="50"/>
      <c r="FI130" s="50"/>
      <c r="FJ130" s="50"/>
      <c r="FK130" s="50"/>
      <c r="FL130" s="50"/>
      <c r="FM130" s="50"/>
      <c r="FN130" s="50"/>
    </row>
    <row r="131" spans="1:170" s="8" customFormat="1" ht="15.75" hidden="1" customHeight="1">
      <c r="A131" s="1976"/>
      <c r="B131" s="21"/>
      <c r="C131" s="17" t="s">
        <v>55</v>
      </c>
      <c r="D131" s="17"/>
      <c r="E131" s="196"/>
      <c r="F131" s="17"/>
      <c r="G131" s="17"/>
      <c r="H131" s="17"/>
      <c r="I131" s="22" t="s">
        <v>16</v>
      </c>
      <c r="J131" s="24" t="s">
        <v>16</v>
      </c>
      <c r="K131" s="24"/>
      <c r="L131" s="19"/>
      <c r="M131" s="19" t="s">
        <v>36</v>
      </c>
      <c r="N131" s="20" t="s">
        <v>36</v>
      </c>
      <c r="O131" s="20" t="s">
        <v>36</v>
      </c>
      <c r="P131" s="14">
        <v>0</v>
      </c>
      <c r="Q131" s="392">
        <v>0</v>
      </c>
      <c r="R131" s="14">
        <v>0</v>
      </c>
      <c r="S131" s="14"/>
      <c r="T131" s="243"/>
      <c r="U131" s="89"/>
      <c r="V131" s="64"/>
      <c r="W131" s="158"/>
      <c r="X131" s="158"/>
      <c r="Y131" s="64"/>
      <c r="Z131" s="158"/>
      <c r="AA131" s="158"/>
      <c r="AB131" s="65"/>
      <c r="AC131" s="89"/>
      <c r="AD131" s="89"/>
      <c r="AE131" s="7"/>
      <c r="AF131" s="7"/>
      <c r="AG131" s="7"/>
      <c r="AH131" s="7"/>
      <c r="AI131" s="7"/>
      <c r="AJ131" s="7"/>
      <c r="AK131" s="7"/>
      <c r="AL131" s="7"/>
      <c r="AM131" s="7"/>
      <c r="AN131" s="7"/>
      <c r="AO131" s="7"/>
      <c r="AP131" s="83"/>
      <c r="AQ131" s="83"/>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0"/>
      <c r="CA131" s="50"/>
      <c r="CB131" s="50"/>
      <c r="CC131" s="50"/>
      <c r="CD131" s="50"/>
      <c r="CE131" s="50"/>
      <c r="CF131" s="50"/>
      <c r="CG131" s="50"/>
      <c r="CH131" s="50"/>
      <c r="CI131" s="50"/>
      <c r="CJ131" s="50"/>
      <c r="CK131" s="50"/>
      <c r="CL131" s="50"/>
      <c r="CM131" s="50"/>
      <c r="CN131" s="50"/>
      <c r="CO131" s="50"/>
      <c r="CP131" s="50"/>
      <c r="CQ131" s="50"/>
      <c r="CR131" s="50"/>
      <c r="CS131" s="50"/>
      <c r="CT131" s="50"/>
      <c r="CU131" s="50"/>
      <c r="CV131" s="50"/>
      <c r="CW131" s="50"/>
      <c r="CX131" s="50"/>
      <c r="CY131" s="50"/>
      <c r="CZ131" s="50"/>
      <c r="DA131" s="50"/>
      <c r="DB131" s="50"/>
      <c r="DC131" s="50"/>
      <c r="DD131" s="50"/>
      <c r="DE131" s="49"/>
      <c r="DF131" s="49"/>
      <c r="DG131" s="49"/>
      <c r="DH131" s="49"/>
      <c r="DI131" s="49"/>
      <c r="DJ131" s="49"/>
      <c r="DK131" s="49"/>
      <c r="DL131" s="49"/>
      <c r="DM131" s="49"/>
      <c r="DN131" s="49"/>
      <c r="DO131" s="49"/>
      <c r="DP131" s="49"/>
      <c r="DQ131" s="49"/>
      <c r="DR131" s="49"/>
      <c r="DS131" s="49"/>
      <c r="DT131" s="49"/>
      <c r="DU131" s="49"/>
      <c r="DV131" s="49"/>
      <c r="DW131" s="49"/>
      <c r="DX131" s="49"/>
      <c r="DY131" s="49"/>
      <c r="DZ131" s="49"/>
      <c r="EA131" s="49"/>
      <c r="EB131" s="49"/>
      <c r="EC131" s="49"/>
      <c r="ED131" s="49"/>
      <c r="EE131" s="50"/>
      <c r="EF131" s="50"/>
      <c r="EG131" s="50"/>
      <c r="EH131" s="50"/>
      <c r="EI131" s="50"/>
      <c r="EJ131" s="50"/>
      <c r="EK131" s="50"/>
      <c r="EL131" s="50"/>
      <c r="EM131" s="50"/>
      <c r="EN131" s="50"/>
      <c r="EO131" s="50"/>
      <c r="EP131" s="50"/>
      <c r="EQ131" s="50"/>
      <c r="ER131" s="50"/>
      <c r="ES131" s="50"/>
      <c r="ET131" s="50"/>
      <c r="EU131" s="50"/>
      <c r="EV131" s="50"/>
      <c r="EW131" s="50"/>
      <c r="EX131" s="50"/>
      <c r="EY131" s="50"/>
      <c r="EZ131" s="50"/>
      <c r="FA131" s="50"/>
      <c r="FB131" s="50"/>
      <c r="FC131" s="50"/>
      <c r="FD131" s="50"/>
      <c r="FE131" s="50"/>
      <c r="FF131" s="50"/>
      <c r="FG131" s="50"/>
      <c r="FH131" s="50"/>
      <c r="FI131" s="50"/>
      <c r="FJ131" s="50"/>
      <c r="FK131" s="50"/>
      <c r="FL131" s="50"/>
      <c r="FM131" s="50"/>
      <c r="FN131" s="50"/>
    </row>
    <row r="132" spans="1:170" s="8" customFormat="1" ht="16.5" hidden="1" customHeight="1">
      <c r="A132" s="1976"/>
      <c r="B132" s="21"/>
      <c r="C132" s="395" t="s">
        <v>1470</v>
      </c>
      <c r="D132" s="17"/>
      <c r="E132" s="196"/>
      <c r="F132" s="17"/>
      <c r="G132" s="17"/>
      <c r="H132" s="17"/>
      <c r="I132" s="22" t="s">
        <v>451</v>
      </c>
      <c r="J132" s="24" t="s">
        <v>15</v>
      </c>
      <c r="K132" s="24"/>
      <c r="L132" s="19"/>
      <c r="M132" s="20">
        <f>IF(M136="IDA-C3",Profile!$O611,IF(M136="IDA-C4",Profile!$Q611,Profile!$U611))</f>
        <v>8760</v>
      </c>
      <c r="N132" s="20">
        <f>IF(N136="IDA-C3",Profile!$O611,IF(N136="IDA-C4",Profile!$Q611,Profile!$U611))</f>
        <v>7540</v>
      </c>
      <c r="O132" s="20">
        <f>IF(O136="IDA-C3",Profile!$O611,IF(O136="IDA-C4",Profile!$Q611,Profile!$U611))</f>
        <v>5750</v>
      </c>
      <c r="P132" s="14">
        <v>0</v>
      </c>
      <c r="Q132" s="392">
        <v>0</v>
      </c>
      <c r="R132" s="14">
        <v>0</v>
      </c>
      <c r="S132" s="14"/>
      <c r="T132" s="243" t="s">
        <v>261</v>
      </c>
      <c r="U132" s="89"/>
      <c r="V132" s="64"/>
      <c r="W132" s="158"/>
      <c r="X132" s="158"/>
      <c r="Y132" s="64"/>
      <c r="Z132" s="158"/>
      <c r="AA132" s="158"/>
      <c r="AB132" s="65"/>
      <c r="AC132" s="89"/>
      <c r="AD132" s="89"/>
      <c r="AE132" s="7"/>
      <c r="AF132" s="7"/>
      <c r="AG132" s="7"/>
      <c r="AH132" s="7"/>
      <c r="AI132" s="7"/>
      <c r="AJ132" s="7"/>
      <c r="AK132" s="7"/>
      <c r="AL132" s="7"/>
      <c r="AM132" s="7"/>
      <c r="AN132" s="7"/>
      <c r="AO132" s="7"/>
      <c r="AP132" s="83"/>
      <c r="AQ132" s="83"/>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0"/>
      <c r="CA132" s="50"/>
      <c r="CB132" s="50"/>
      <c r="CC132" s="50"/>
      <c r="CD132" s="50"/>
      <c r="CE132" s="50"/>
      <c r="CF132" s="50"/>
      <c r="CG132" s="50"/>
      <c r="CH132" s="50"/>
      <c r="CI132" s="50"/>
      <c r="CJ132" s="50"/>
      <c r="CK132" s="50"/>
      <c r="CL132" s="50"/>
      <c r="CM132" s="50"/>
      <c r="CN132" s="50"/>
      <c r="CO132" s="50"/>
      <c r="CP132" s="50"/>
      <c r="CQ132" s="50"/>
      <c r="CR132" s="50"/>
      <c r="CS132" s="50"/>
      <c r="CT132" s="50"/>
      <c r="CU132" s="50"/>
      <c r="CV132" s="50"/>
      <c r="CW132" s="50"/>
      <c r="CX132" s="50"/>
      <c r="CY132" s="50"/>
      <c r="CZ132" s="50"/>
      <c r="DA132" s="50"/>
      <c r="DB132" s="50"/>
      <c r="DC132" s="50"/>
      <c r="DD132" s="50"/>
      <c r="DE132" s="49"/>
      <c r="DF132" s="49"/>
      <c r="DG132" s="49"/>
      <c r="DH132" s="49"/>
      <c r="DI132" s="49"/>
      <c r="DJ132" s="49"/>
      <c r="DK132" s="49"/>
      <c r="DL132" s="49"/>
      <c r="DM132" s="49"/>
      <c r="DN132" s="49"/>
      <c r="DO132" s="49"/>
      <c r="DP132" s="49"/>
      <c r="DQ132" s="49"/>
      <c r="DR132" s="49"/>
      <c r="DS132" s="49"/>
      <c r="DT132" s="49"/>
      <c r="DU132" s="49"/>
      <c r="DV132" s="49"/>
      <c r="DW132" s="49"/>
      <c r="DX132" s="49"/>
      <c r="DY132" s="49"/>
      <c r="DZ132" s="49"/>
      <c r="EA132" s="49"/>
      <c r="EB132" s="49"/>
      <c r="EC132" s="49"/>
      <c r="ED132" s="49"/>
      <c r="EE132" s="50"/>
      <c r="EF132" s="50"/>
      <c r="EG132" s="50"/>
      <c r="EH132" s="50"/>
      <c r="EI132" s="50"/>
      <c r="EJ132" s="50"/>
      <c r="EK132" s="50"/>
      <c r="EL132" s="50"/>
      <c r="EM132" s="50"/>
      <c r="EN132" s="50"/>
      <c r="EO132" s="50"/>
      <c r="EP132" s="50"/>
      <c r="EQ132" s="50"/>
      <c r="ER132" s="50"/>
      <c r="ES132" s="50"/>
      <c r="ET132" s="50"/>
      <c r="EU132" s="50"/>
      <c r="EV132" s="50"/>
      <c r="EW132" s="50"/>
      <c r="EX132" s="50"/>
      <c r="EY132" s="50"/>
      <c r="EZ132" s="50"/>
      <c r="FA132" s="50"/>
      <c r="FB132" s="50"/>
      <c r="FC132" s="50"/>
      <c r="FD132" s="50"/>
      <c r="FE132" s="50"/>
      <c r="FF132" s="50"/>
      <c r="FG132" s="50"/>
      <c r="FH132" s="50"/>
      <c r="FI132" s="50"/>
      <c r="FJ132" s="50"/>
      <c r="FK132" s="50"/>
      <c r="FL132" s="50"/>
      <c r="FM132" s="50"/>
      <c r="FN132" s="50"/>
    </row>
    <row r="133" spans="1:170" s="8" customFormat="1" ht="18" customHeight="1">
      <c r="A133" s="1976"/>
      <c r="B133" s="204"/>
      <c r="C133" s="14" t="str">
        <f>Begriffe!F48</f>
        <v>Hygienebedingter Aussenluft-Volumenstrom</v>
      </c>
      <c r="D133" s="14"/>
      <c r="E133" s="14"/>
      <c r="F133" s="14" t="str">
        <f>Begriffe!$F$362</f>
        <v>Pro Nettogeschossfläche</v>
      </c>
      <c r="G133" s="14"/>
      <c r="H133" s="14"/>
      <c r="I133" s="98" t="s">
        <v>585</v>
      </c>
      <c r="J133" s="377" t="s">
        <v>980</v>
      </c>
      <c r="K133" s="377"/>
      <c r="L133" s="519"/>
      <c r="M133" s="148">
        <f>IF(L133&lt;&gt;"",L133,INDEX(Eingabedaten!$D$9:$DN$53,nutzid,MATCH($C133,Eingabedaten!$D$6:$DN$6,0)))</f>
        <v>0.82857142857142863</v>
      </c>
      <c r="N133" s="464">
        <f>M133</f>
        <v>0.82857142857142863</v>
      </c>
      <c r="O133" s="464">
        <f>M133</f>
        <v>0.82857142857142863</v>
      </c>
      <c r="P133" s="14">
        <v>1</v>
      </c>
      <c r="Q133" s="392">
        <v>1</v>
      </c>
      <c r="R133" s="14">
        <v>0</v>
      </c>
      <c r="S133" s="14"/>
      <c r="T133" s="243"/>
      <c r="U133" s="89"/>
      <c r="V133" s="64"/>
      <c r="W133" s="158"/>
      <c r="X133" s="158"/>
      <c r="Y133" s="64"/>
      <c r="Z133" s="158"/>
      <c r="AA133" s="158"/>
      <c r="AB133" s="65"/>
      <c r="AC133" s="89"/>
      <c r="AD133" s="89"/>
      <c r="AE133" s="7"/>
      <c r="AF133" s="7"/>
      <c r="AG133" s="7"/>
      <c r="AH133" s="7"/>
      <c r="AI133" s="7"/>
      <c r="AJ133" s="7"/>
      <c r="AK133" s="7"/>
      <c r="AL133" s="7"/>
      <c r="AM133" s="7"/>
      <c r="AN133" s="7"/>
      <c r="AO133" s="7"/>
      <c r="AP133" s="83"/>
      <c r="AQ133" s="83"/>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0"/>
      <c r="CA133" s="50"/>
      <c r="CB133" s="50"/>
      <c r="CC133" s="50"/>
      <c r="CD133" s="50"/>
      <c r="CE133" s="50"/>
      <c r="CF133" s="50"/>
      <c r="CG133" s="50"/>
      <c r="CH133" s="50"/>
      <c r="CI133" s="50"/>
      <c r="CJ133" s="50"/>
      <c r="CK133" s="50"/>
      <c r="CL133" s="50"/>
      <c r="CM133" s="50"/>
      <c r="CN133" s="50"/>
      <c r="CO133" s="50"/>
      <c r="CP133" s="50"/>
      <c r="CQ133" s="50"/>
      <c r="CR133" s="50"/>
      <c r="CS133" s="50"/>
      <c r="CT133" s="50"/>
      <c r="CU133" s="50"/>
      <c r="CV133" s="50"/>
      <c r="CW133" s="50"/>
      <c r="CX133" s="50"/>
      <c r="CY133" s="50"/>
      <c r="CZ133" s="50"/>
      <c r="DA133" s="50"/>
      <c r="DB133" s="50"/>
      <c r="DC133" s="50"/>
      <c r="DD133" s="50"/>
      <c r="DE133" s="49"/>
      <c r="DF133" s="49"/>
      <c r="DG133" s="49"/>
      <c r="DH133" s="49"/>
      <c r="DI133" s="49"/>
      <c r="DJ133" s="49"/>
      <c r="DK133" s="49"/>
      <c r="DL133" s="49"/>
      <c r="DM133" s="49"/>
      <c r="DN133" s="49"/>
      <c r="DO133" s="49"/>
      <c r="DP133" s="49"/>
      <c r="DQ133" s="49"/>
      <c r="DR133" s="49"/>
      <c r="DS133" s="49"/>
      <c r="DT133" s="49"/>
      <c r="DU133" s="49"/>
      <c r="DV133" s="49"/>
      <c r="DW133" s="49"/>
      <c r="DX133" s="49"/>
      <c r="DY133" s="49"/>
      <c r="DZ133" s="49"/>
      <c r="EA133" s="49"/>
      <c r="EB133" s="49"/>
      <c r="EC133" s="49"/>
      <c r="ED133" s="49"/>
      <c r="EE133" s="50"/>
      <c r="EF133" s="50"/>
      <c r="EG133" s="50"/>
      <c r="EH133" s="50"/>
      <c r="EI133" s="50"/>
      <c r="EJ133" s="50"/>
      <c r="EK133" s="50"/>
      <c r="EL133" s="50"/>
      <c r="EM133" s="50"/>
      <c r="EN133" s="50"/>
      <c r="EO133" s="50"/>
      <c r="EP133" s="50"/>
      <c r="EQ133" s="50"/>
      <c r="ER133" s="50"/>
      <c r="ES133" s="50"/>
      <c r="ET133" s="50"/>
      <c r="EU133" s="50"/>
      <c r="EV133" s="50"/>
      <c r="EW133" s="50"/>
      <c r="EX133" s="50"/>
      <c r="EY133" s="50"/>
      <c r="EZ133" s="50"/>
      <c r="FA133" s="50"/>
      <c r="FB133" s="50"/>
      <c r="FC133" s="50"/>
      <c r="FD133" s="50"/>
      <c r="FE133" s="50"/>
      <c r="FF133" s="50"/>
      <c r="FG133" s="50"/>
      <c r="FH133" s="50"/>
      <c r="FI133" s="50"/>
      <c r="FJ133" s="50"/>
      <c r="FK133" s="50"/>
      <c r="FL133" s="50"/>
      <c r="FM133" s="50"/>
      <c r="FN133" s="50"/>
    </row>
    <row r="134" spans="1:170" s="8" customFormat="1" ht="18" customHeight="1">
      <c r="A134" s="1976"/>
      <c r="B134" s="204"/>
      <c r="C134" s="14" t="str">
        <f>Begriffe!F90</f>
        <v>Prozessbedingter Aussenluft-Volumenstrom</v>
      </c>
      <c r="D134" s="14"/>
      <c r="E134" s="14"/>
      <c r="F134" s="14" t="str">
        <f>Begriffe!$F$362</f>
        <v>Pro Nettogeschossfläche</v>
      </c>
      <c r="G134" s="14"/>
      <c r="H134" s="14"/>
      <c r="I134" s="98" t="s">
        <v>1429</v>
      </c>
      <c r="J134" s="377" t="s">
        <v>980</v>
      </c>
      <c r="K134" s="377"/>
      <c r="L134" s="519"/>
      <c r="M134" s="148">
        <f>IF(L134&lt;&gt;"",L134,INDEX(Eingabedaten!$D$9:$DN$53,nutzid,MATCH($C134,Eingabedaten!$D$6:$DN$6,0)))</f>
        <v>0</v>
      </c>
      <c r="N134" s="464"/>
      <c r="O134" s="464"/>
      <c r="P134" s="14"/>
      <c r="Q134" s="392">
        <v>1</v>
      </c>
      <c r="R134" s="14"/>
      <c r="S134" s="14"/>
      <c r="T134" s="243"/>
      <c r="U134" s="89"/>
      <c r="V134" s="64"/>
      <c r="W134" s="158"/>
      <c r="X134" s="158"/>
      <c r="Y134" s="64"/>
      <c r="Z134" s="158"/>
      <c r="AA134" s="158"/>
      <c r="AB134" s="65"/>
      <c r="AC134" s="89"/>
      <c r="AD134" s="89"/>
      <c r="AE134" s="7"/>
      <c r="AF134" s="7"/>
      <c r="AG134" s="7"/>
      <c r="AH134" s="7"/>
      <c r="AI134" s="7"/>
      <c r="AJ134" s="7"/>
      <c r="AK134" s="7"/>
      <c r="AL134" s="7"/>
      <c r="AM134" s="7"/>
      <c r="AN134" s="7"/>
      <c r="AO134" s="7"/>
      <c r="AP134" s="83"/>
      <c r="AQ134" s="83"/>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50"/>
      <c r="DA134" s="50"/>
      <c r="DB134" s="50"/>
      <c r="DC134" s="50"/>
      <c r="DD134" s="50"/>
      <c r="DE134" s="49"/>
      <c r="DF134" s="49"/>
      <c r="DG134" s="49"/>
      <c r="DH134" s="49"/>
      <c r="DI134" s="49"/>
      <c r="DJ134" s="49"/>
      <c r="DK134" s="49"/>
      <c r="DL134" s="49"/>
      <c r="DM134" s="49"/>
      <c r="DN134" s="49"/>
      <c r="DO134" s="49"/>
      <c r="DP134" s="49"/>
      <c r="DQ134" s="49"/>
      <c r="DR134" s="49"/>
      <c r="DS134" s="49"/>
      <c r="DT134" s="49"/>
      <c r="DU134" s="49"/>
      <c r="DV134" s="49"/>
      <c r="DW134" s="49"/>
      <c r="DX134" s="49"/>
      <c r="DY134" s="49"/>
      <c r="DZ134" s="49"/>
      <c r="EA134" s="49"/>
      <c r="EB134" s="49"/>
      <c r="EC134" s="49"/>
      <c r="ED134" s="49"/>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50"/>
      <c r="FA134" s="50"/>
      <c r="FB134" s="50"/>
      <c r="FC134" s="50"/>
      <c r="FD134" s="50"/>
      <c r="FE134" s="50"/>
      <c r="FF134" s="50"/>
      <c r="FG134" s="50"/>
      <c r="FH134" s="50"/>
      <c r="FI134" s="50"/>
      <c r="FJ134" s="50"/>
      <c r="FK134" s="50"/>
      <c r="FL134" s="50"/>
      <c r="FM134" s="50"/>
      <c r="FN134" s="50"/>
    </row>
    <row r="135" spans="1:170" s="8" customFormat="1" ht="18" customHeight="1">
      <c r="A135" s="1976"/>
      <c r="B135" s="204"/>
      <c r="C135" s="14" t="str">
        <f>Begriffe!F32</f>
        <v>Aussenluft-Volumenstrom durch Infiltration</v>
      </c>
      <c r="D135" s="14"/>
      <c r="E135" s="14"/>
      <c r="F135" s="14"/>
      <c r="G135" s="14"/>
      <c r="H135" s="14"/>
      <c r="I135" s="98" t="s">
        <v>480</v>
      </c>
      <c r="J135" s="377" t="s">
        <v>980</v>
      </c>
      <c r="K135" s="377"/>
      <c r="L135" s="520"/>
      <c r="M135" s="444">
        <f>IF(L135&lt;&gt;"",L135,INDEX(Eingabedaten!$D$9:$DN$53,nutzid,MATCH($C135,Eingabedaten!$D$6:$DN$6,0)))</f>
        <v>0.15</v>
      </c>
      <c r="N135" s="444">
        <f>M135</f>
        <v>0.15</v>
      </c>
      <c r="O135" s="444">
        <f>INDEX(Eingabedaten!$D$9:$DN$53,nutzid,MATCH($C135,Eingabedaten!$D$6:$DN$6,0)+1)</f>
        <v>0.3</v>
      </c>
      <c r="P135" s="14">
        <v>0</v>
      </c>
      <c r="Q135" s="392">
        <v>1</v>
      </c>
      <c r="R135" s="14">
        <v>0</v>
      </c>
      <c r="S135" s="14"/>
      <c r="T135" s="243"/>
      <c r="U135" s="89"/>
      <c r="V135" s="64"/>
      <c r="W135" s="158"/>
      <c r="X135" s="158"/>
      <c r="Y135" s="64"/>
      <c r="Z135" s="158"/>
      <c r="AA135" s="158"/>
      <c r="AB135" s="65"/>
      <c r="AC135" s="89"/>
      <c r="AD135" s="89"/>
      <c r="AE135" s="7"/>
      <c r="AF135" s="7"/>
      <c r="AG135" s="7"/>
      <c r="AH135" s="7"/>
      <c r="AI135" s="7"/>
      <c r="AJ135" s="7"/>
      <c r="AK135" s="7"/>
      <c r="AL135" s="7"/>
      <c r="AM135" s="7"/>
      <c r="AN135" s="7"/>
      <c r="AO135" s="7"/>
      <c r="AP135" s="83"/>
      <c r="AQ135" s="83"/>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0"/>
      <c r="CA135" s="50"/>
      <c r="CB135" s="50"/>
      <c r="CC135" s="50"/>
      <c r="CD135" s="50"/>
      <c r="CE135" s="50"/>
      <c r="CF135" s="50"/>
      <c r="CG135" s="50"/>
      <c r="CH135" s="50"/>
      <c r="CI135" s="50"/>
      <c r="CJ135" s="50"/>
      <c r="CK135" s="50"/>
      <c r="CL135" s="50"/>
      <c r="CM135" s="50"/>
      <c r="CN135" s="50"/>
      <c r="CO135" s="50"/>
      <c r="CP135" s="50"/>
      <c r="CQ135" s="50"/>
      <c r="CR135" s="50"/>
      <c r="CS135" s="50"/>
      <c r="CT135" s="50"/>
      <c r="CU135" s="50"/>
      <c r="CV135" s="50"/>
      <c r="CW135" s="50"/>
      <c r="CX135" s="50"/>
      <c r="CY135" s="50"/>
      <c r="CZ135" s="50"/>
      <c r="DA135" s="50"/>
      <c r="DB135" s="50"/>
      <c r="DC135" s="50"/>
      <c r="DD135" s="50"/>
      <c r="DE135" s="49"/>
      <c r="DF135" s="49"/>
      <c r="DG135" s="49"/>
      <c r="DH135" s="49"/>
      <c r="DI135" s="49"/>
      <c r="DJ135" s="49"/>
      <c r="DK135" s="49"/>
      <c r="DL135" s="49"/>
      <c r="DM135" s="49"/>
      <c r="DN135" s="49"/>
      <c r="DO135" s="49"/>
      <c r="DP135" s="49"/>
      <c r="DQ135" s="49"/>
      <c r="DR135" s="49"/>
      <c r="DS135" s="49"/>
      <c r="DT135" s="49"/>
      <c r="DU135" s="49"/>
      <c r="DV135" s="49"/>
      <c r="DW135" s="49"/>
      <c r="DX135" s="49"/>
      <c r="DY135" s="49"/>
      <c r="DZ135" s="49"/>
      <c r="EA135" s="49"/>
      <c r="EB135" s="49"/>
      <c r="EC135" s="49"/>
      <c r="ED135" s="49"/>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50"/>
      <c r="FA135" s="50"/>
      <c r="FB135" s="50"/>
      <c r="FC135" s="50"/>
      <c r="FD135" s="50"/>
      <c r="FE135" s="50"/>
      <c r="FF135" s="50"/>
      <c r="FG135" s="50"/>
      <c r="FH135" s="50"/>
      <c r="FI135" s="50"/>
      <c r="FJ135" s="50"/>
      <c r="FK135" s="50"/>
      <c r="FL135" s="50"/>
      <c r="FM135" s="50"/>
      <c r="FN135" s="50"/>
    </row>
    <row r="136" spans="1:170" s="8" customFormat="1" ht="18" hidden="1" customHeight="1">
      <c r="A136" s="1976"/>
      <c r="B136" s="204"/>
      <c r="C136" s="14" t="str">
        <f>Begriffe!F103</f>
        <v>Steuerung und Regelung des Luftvolumenstroms (einstufig, zweistufig, stufenlos)</v>
      </c>
      <c r="D136" s="14"/>
      <c r="E136" s="14"/>
      <c r="F136" s="14"/>
      <c r="G136" s="14"/>
      <c r="H136" s="14"/>
      <c r="I136" s="98" t="s">
        <v>208</v>
      </c>
      <c r="J136" s="377" t="s">
        <v>208</v>
      </c>
      <c r="K136" s="377"/>
      <c r="L136" s="520"/>
      <c r="M136" s="444" t="str">
        <f>IF(L136&lt;&gt;"",L136,INDEX(Eingabedaten!$D$9:$DN$53,nutzid,MATCH($C136,Eingabedaten!$D$6:$DN$6,0)))</f>
        <v>IDA-C3</v>
      </c>
      <c r="N136" s="394" t="str">
        <f>INDEX(Eingabedaten!$D$9:$DN$53,nutzid,MATCH($C136,Eingabedaten!$D$6:$DN$6,0)+1)</f>
        <v>IDA-C4</v>
      </c>
      <c r="O136" s="394">
        <f>INDEX(Eingabedaten!$D$9:$DN$53,nutzid,MATCH($C136,Eingabedaten!$D$6:$DN$6,0)+2)</f>
        <v>0</v>
      </c>
      <c r="P136" s="14">
        <v>0</v>
      </c>
      <c r="Q136" s="392"/>
      <c r="R136" s="14">
        <v>0</v>
      </c>
      <c r="S136" s="14"/>
      <c r="T136" s="243"/>
      <c r="U136" s="89"/>
      <c r="V136" s="64"/>
      <c r="W136" s="158"/>
      <c r="X136" s="158"/>
      <c r="Y136" s="64"/>
      <c r="Z136" s="158"/>
      <c r="AA136" s="158"/>
      <c r="AB136" s="65"/>
      <c r="AC136" s="89"/>
      <c r="AD136" s="89"/>
      <c r="AE136" s="7"/>
      <c r="AF136" s="7"/>
      <c r="AG136" s="7"/>
      <c r="AH136" s="7"/>
      <c r="AI136" s="7"/>
      <c r="AJ136" s="7"/>
      <c r="AK136" s="7"/>
      <c r="AL136" s="7"/>
      <c r="AM136" s="7"/>
      <c r="AN136" s="7"/>
      <c r="AO136" s="7"/>
      <c r="AP136" s="83"/>
      <c r="AQ136" s="83"/>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50"/>
      <c r="DA136" s="50"/>
      <c r="DB136" s="50"/>
      <c r="DC136" s="50"/>
      <c r="DD136" s="50"/>
      <c r="DE136" s="49"/>
      <c r="DF136" s="49"/>
      <c r="DG136" s="49"/>
      <c r="DH136" s="49"/>
      <c r="DI136" s="49"/>
      <c r="DJ136" s="49"/>
      <c r="DK136" s="49"/>
      <c r="DL136" s="49"/>
      <c r="DM136" s="49"/>
      <c r="DN136" s="49"/>
      <c r="DO136" s="49"/>
      <c r="DP136" s="49"/>
      <c r="DQ136" s="49"/>
      <c r="DR136" s="49"/>
      <c r="DS136" s="49"/>
      <c r="DT136" s="49"/>
      <c r="DU136" s="49"/>
      <c r="DV136" s="49"/>
      <c r="DW136" s="49"/>
      <c r="DX136" s="49"/>
      <c r="DY136" s="49"/>
      <c r="DZ136" s="49"/>
      <c r="EA136" s="49"/>
      <c r="EB136" s="49"/>
      <c r="EC136" s="49"/>
      <c r="ED136" s="49"/>
      <c r="EE136" s="50"/>
      <c r="EF136" s="50"/>
      <c r="EG136" s="50"/>
      <c r="EH136" s="50"/>
      <c r="EI136" s="50"/>
      <c r="EJ136" s="50"/>
      <c r="EK136" s="50"/>
      <c r="EL136" s="50"/>
      <c r="EM136" s="50"/>
      <c r="EN136" s="50"/>
      <c r="EO136" s="50"/>
      <c r="EP136" s="50"/>
      <c r="EQ136" s="50"/>
      <c r="ER136" s="50"/>
      <c r="ES136" s="50"/>
      <c r="ET136" s="50"/>
      <c r="EU136" s="50"/>
      <c r="EV136" s="50"/>
      <c r="EW136" s="50"/>
      <c r="EX136" s="50"/>
      <c r="EY136" s="50"/>
      <c r="EZ136" s="50"/>
      <c r="FA136" s="50"/>
      <c r="FB136" s="50"/>
      <c r="FC136" s="50"/>
      <c r="FD136" s="50"/>
      <c r="FE136" s="50"/>
      <c r="FF136" s="50"/>
      <c r="FG136" s="50"/>
      <c r="FH136" s="50"/>
      <c r="FI136" s="50"/>
      <c r="FJ136" s="50"/>
      <c r="FK136" s="50"/>
      <c r="FL136" s="50"/>
      <c r="FM136" s="50"/>
      <c r="FN136" s="50"/>
    </row>
    <row r="137" spans="1:170" s="8" customFormat="1" ht="18" customHeight="1">
      <c r="A137" s="1976"/>
      <c r="B137" s="204"/>
      <c r="C137" s="14" t="str">
        <f>Begriffe!F103</f>
        <v>Steuerung und Regelung des Luftvolumenstroms (einstufig, zweistufig, stufenlos)</v>
      </c>
      <c r="D137" s="14"/>
      <c r="E137" s="14"/>
      <c r="F137" s="14"/>
      <c r="G137" s="14"/>
      <c r="H137" s="14"/>
      <c r="I137" s="98" t="s">
        <v>208</v>
      </c>
      <c r="J137" s="377" t="s">
        <v>208</v>
      </c>
      <c r="K137" s="377"/>
      <c r="L137" s="520"/>
      <c r="M137" s="444" t="str">
        <f>IF(M136="IDA-C3",Begriffe!$F248,IF(M136="IDA-C4",Begriffe!$F249,IF(M136="IDA-C6",Begriffe!$F250,0)))</f>
        <v>einstufig</v>
      </c>
      <c r="N137" s="444" t="str">
        <f>IF(N136="IDA-C3",Begriffe!$F248,IF(N136="IDA-C4",Begriffe!$F249,IF(N136="IDA-C6",Begriffe!$F250,0)))</f>
        <v>zweistufig</v>
      </c>
      <c r="O137" s="444">
        <f>IF(O136="IDA-C3",Begriffe!$F248,IF(O136="IDA-C4",Begriffe!$F249,IF(O136="IDA-C6",Begriffe!$F250,0)))</f>
        <v>0</v>
      </c>
      <c r="P137" s="14"/>
      <c r="Q137" s="392">
        <v>1</v>
      </c>
      <c r="R137" s="14"/>
      <c r="S137" s="14"/>
      <c r="T137" s="243"/>
      <c r="U137" s="89"/>
      <c r="V137" s="64"/>
      <c r="W137" s="158"/>
      <c r="X137" s="158"/>
      <c r="Y137" s="64"/>
      <c r="Z137" s="158"/>
      <c r="AA137" s="158"/>
      <c r="AB137" s="65"/>
      <c r="AC137" s="89"/>
      <c r="AD137" s="89"/>
      <c r="AE137" s="7"/>
      <c r="AF137" s="7"/>
      <c r="AG137" s="7"/>
      <c r="AH137" s="7"/>
      <c r="AI137" s="7"/>
      <c r="AJ137" s="7"/>
      <c r="AK137" s="7"/>
      <c r="AL137" s="7"/>
      <c r="AM137" s="7"/>
      <c r="AN137" s="7"/>
      <c r="AO137" s="7"/>
      <c r="AP137" s="83"/>
      <c r="AQ137" s="83"/>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50"/>
      <c r="DA137" s="50"/>
      <c r="DB137" s="50"/>
      <c r="DC137" s="50"/>
      <c r="DD137" s="50"/>
      <c r="DE137" s="49"/>
      <c r="DF137" s="49"/>
      <c r="DG137" s="49"/>
      <c r="DH137" s="49"/>
      <c r="DI137" s="49"/>
      <c r="DJ137" s="49"/>
      <c r="DK137" s="49"/>
      <c r="DL137" s="49"/>
      <c r="DM137" s="49"/>
      <c r="DN137" s="49"/>
      <c r="DO137" s="49"/>
      <c r="DP137" s="49"/>
      <c r="DQ137" s="49"/>
      <c r="DR137" s="49"/>
      <c r="DS137" s="49"/>
      <c r="DT137" s="49"/>
      <c r="DU137" s="49"/>
      <c r="DV137" s="49"/>
      <c r="DW137" s="49"/>
      <c r="DX137" s="49"/>
      <c r="DY137" s="49"/>
      <c r="DZ137" s="49"/>
      <c r="EA137" s="49"/>
      <c r="EB137" s="49"/>
      <c r="EC137" s="49"/>
      <c r="ED137" s="49"/>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0"/>
      <c r="FC137" s="50"/>
      <c r="FD137" s="50"/>
      <c r="FE137" s="50"/>
      <c r="FF137" s="50"/>
      <c r="FG137" s="50"/>
      <c r="FH137" s="50"/>
      <c r="FI137" s="50"/>
      <c r="FJ137" s="50"/>
      <c r="FK137" s="50"/>
      <c r="FL137" s="50"/>
      <c r="FM137" s="50"/>
      <c r="FN137" s="50"/>
    </row>
    <row r="138" spans="1:170" s="8" customFormat="1" ht="18" hidden="1" customHeight="1">
      <c r="A138" s="1976"/>
      <c r="B138" s="204"/>
      <c r="C138" s="1160" t="str">
        <f>Begriffe!F28</f>
        <v>Anlagentyp</v>
      </c>
      <c r="D138" s="1170"/>
      <c r="E138" s="1170" t="str">
        <f>INDEX(Eingabedaten!$D$9:$DN$53,nutzid,MATCH($C138,Eingabedaten!$D$6:$DN$6,0))</f>
        <v>Lüftungsanlage mit Lufterwärmung</v>
      </c>
      <c r="F138" s="1160"/>
      <c r="G138" s="1160"/>
      <c r="H138" s="1160"/>
      <c r="I138" s="1162"/>
      <c r="J138" s="1163"/>
      <c r="K138" s="1163"/>
      <c r="L138" s="99"/>
      <c r="M138" s="1166" t="str">
        <f>IF(M136=0,Begriffe!F379,"")</f>
        <v/>
      </c>
      <c r="N138" s="1166" t="str">
        <f>IF(N136=0,Begriffe!F379,"")</f>
        <v/>
      </c>
      <c r="O138" s="1166" t="str">
        <f>IF(O136=0,Begriffe!F379,"")</f>
        <v>Keine Anlagen</v>
      </c>
      <c r="P138" s="14">
        <v>0</v>
      </c>
      <c r="Q138" s="392"/>
      <c r="R138" s="14">
        <v>0</v>
      </c>
      <c r="S138" s="14"/>
      <c r="T138" s="243"/>
      <c r="U138" s="89"/>
      <c r="V138" s="64"/>
      <c r="W138" s="158"/>
      <c r="X138" s="158"/>
      <c r="Y138" s="64"/>
      <c r="Z138" s="158"/>
      <c r="AA138" s="158"/>
      <c r="AB138" s="65"/>
      <c r="AC138" s="89"/>
      <c r="AD138" s="89"/>
      <c r="AE138" s="7"/>
      <c r="AF138" s="7"/>
      <c r="AG138" s="7"/>
      <c r="AH138" s="7"/>
      <c r="AI138" s="7"/>
      <c r="AJ138" s="7"/>
      <c r="AK138" s="7"/>
      <c r="AL138" s="7"/>
      <c r="AM138" s="7"/>
      <c r="AN138" s="7"/>
      <c r="AO138" s="7"/>
      <c r="AP138" s="83"/>
      <c r="AQ138" s="83"/>
      <c r="AR138" s="50"/>
      <c r="AS138" s="50"/>
      <c r="AT138" s="50"/>
      <c r="AU138" s="50"/>
      <c r="AV138" s="50"/>
      <c r="AW138" s="50"/>
      <c r="AX138" s="50"/>
      <c r="AY138" s="50"/>
      <c r="AZ138" s="50"/>
      <c r="BA138" s="50"/>
      <c r="BB138" s="50"/>
      <c r="BC138" s="50"/>
      <c r="BD138" s="50"/>
      <c r="BE138" s="50"/>
      <c r="BF138" s="50"/>
      <c r="BG138" s="50"/>
      <c r="BH138" s="50"/>
      <c r="BI138" s="50"/>
      <c r="BJ138" s="50"/>
      <c r="BK138" s="50"/>
      <c r="BL138" s="50"/>
      <c r="BM138" s="50"/>
      <c r="BN138" s="50"/>
      <c r="BO138" s="50"/>
      <c r="BP138" s="50"/>
      <c r="BQ138" s="50"/>
      <c r="BR138" s="50"/>
      <c r="BS138" s="50"/>
      <c r="BT138" s="50"/>
      <c r="BU138" s="50"/>
      <c r="BV138" s="50"/>
      <c r="BW138" s="50"/>
      <c r="BX138" s="50"/>
      <c r="BY138" s="50"/>
      <c r="BZ138" s="50"/>
      <c r="CA138" s="50"/>
      <c r="CB138" s="50"/>
      <c r="CC138" s="50"/>
      <c r="CD138" s="50"/>
      <c r="CE138" s="50"/>
      <c r="CF138" s="50"/>
      <c r="CG138" s="50"/>
      <c r="CH138" s="50"/>
      <c r="CI138" s="50"/>
      <c r="CJ138" s="50"/>
      <c r="CK138" s="50"/>
      <c r="CL138" s="50"/>
      <c r="CM138" s="50"/>
      <c r="CN138" s="50"/>
      <c r="CO138" s="50"/>
      <c r="CP138" s="50"/>
      <c r="CQ138" s="50"/>
      <c r="CR138" s="50"/>
      <c r="CS138" s="50"/>
      <c r="CT138" s="50"/>
      <c r="CU138" s="50"/>
      <c r="CV138" s="50"/>
      <c r="CW138" s="50"/>
      <c r="CX138" s="50"/>
      <c r="CY138" s="50"/>
      <c r="CZ138" s="50"/>
      <c r="DA138" s="50"/>
      <c r="DB138" s="50"/>
      <c r="DC138" s="50"/>
      <c r="DD138" s="50"/>
      <c r="DE138" s="49"/>
      <c r="DF138" s="49"/>
      <c r="DG138" s="49"/>
      <c r="DH138" s="49"/>
      <c r="DI138" s="49"/>
      <c r="DJ138" s="49"/>
      <c r="DK138" s="49"/>
      <c r="DL138" s="49"/>
      <c r="DM138" s="49"/>
      <c r="DN138" s="49"/>
      <c r="DO138" s="49"/>
      <c r="DP138" s="49"/>
      <c r="DQ138" s="49"/>
      <c r="DR138" s="49"/>
      <c r="DS138" s="49"/>
      <c r="DT138" s="49"/>
      <c r="DU138" s="49"/>
      <c r="DV138" s="49"/>
      <c r="DW138" s="49"/>
      <c r="DX138" s="49"/>
      <c r="DY138" s="49"/>
      <c r="DZ138" s="49"/>
      <c r="EA138" s="49"/>
      <c r="EB138" s="49"/>
      <c r="EC138" s="49"/>
      <c r="ED138" s="49"/>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0"/>
      <c r="FC138" s="50"/>
      <c r="FD138" s="50"/>
      <c r="FE138" s="50"/>
      <c r="FF138" s="50"/>
      <c r="FG138" s="50"/>
      <c r="FH138" s="50"/>
      <c r="FI138" s="50"/>
      <c r="FJ138" s="50"/>
      <c r="FK138" s="50"/>
      <c r="FL138" s="50"/>
      <c r="FM138" s="50"/>
      <c r="FN138" s="50"/>
    </row>
    <row r="139" spans="1:170" s="8" customFormat="1" ht="18" customHeight="1">
      <c r="A139" s="1976"/>
      <c r="B139" s="204"/>
      <c r="C139" s="14" t="str">
        <f>Begriffe!F105</f>
        <v>Temperatur-Änderungsgrad der Wärmerückgewinnung</v>
      </c>
      <c r="D139" s="14"/>
      <c r="E139" s="14"/>
      <c r="F139" s="14"/>
      <c r="G139" s="14"/>
      <c r="H139" s="14"/>
      <c r="I139" s="155" t="s">
        <v>190</v>
      </c>
      <c r="J139" s="678" t="s">
        <v>208</v>
      </c>
      <c r="K139" s="377"/>
      <c r="L139" s="520"/>
      <c r="M139" s="444">
        <f>IF(L139&lt;&gt;"",L139,INDEX(Eingabedaten!$D$9:$DN$53,nutzid,MATCH($C139,Eingabedaten!$D$6:$DN$6,0)))</f>
        <v>0.73</v>
      </c>
      <c r="N139" s="444">
        <f>INDEX(Eingabedaten!$D$9:$DN$53,nutzid,MATCH($C139,Eingabedaten!$D$6:$DN$6,0)+1)</f>
        <v>0.78</v>
      </c>
      <c r="O139" s="444">
        <f>INDEX(Eingabedaten!$D$9:$DN$53,nutzid,MATCH($C139,Eingabedaten!$D$6:$DN$6,0)+2)</f>
        <v>0</v>
      </c>
      <c r="P139" s="14">
        <v>0</v>
      </c>
      <c r="Q139" s="392">
        <v>1</v>
      </c>
      <c r="R139" s="14">
        <v>0</v>
      </c>
      <c r="S139" s="14"/>
      <c r="T139" s="243"/>
      <c r="U139" s="89"/>
      <c r="V139" s="64"/>
      <c r="W139" s="158"/>
      <c r="X139" s="158"/>
      <c r="Y139" s="64"/>
      <c r="Z139" s="158"/>
      <c r="AA139" s="158"/>
      <c r="AB139" s="65"/>
      <c r="AC139" s="89"/>
      <c r="AD139" s="89"/>
      <c r="AE139" s="7"/>
      <c r="AF139" s="7"/>
      <c r="AG139" s="7"/>
      <c r="AH139" s="7"/>
      <c r="AI139" s="7"/>
      <c r="AJ139" s="7"/>
      <c r="AK139" s="7"/>
      <c r="AL139" s="7"/>
      <c r="AM139" s="7"/>
      <c r="AN139" s="7"/>
      <c r="AO139" s="7"/>
      <c r="AP139" s="83"/>
      <c r="AQ139" s="83"/>
      <c r="AR139" s="50"/>
      <c r="AS139" s="50"/>
      <c r="AT139" s="50"/>
      <c r="AU139" s="50"/>
      <c r="AV139" s="50"/>
      <c r="AW139" s="50"/>
      <c r="AX139" s="50"/>
      <c r="AY139" s="50"/>
      <c r="AZ139" s="50"/>
      <c r="BA139" s="50"/>
      <c r="BB139" s="50"/>
      <c r="BC139" s="50"/>
      <c r="BD139" s="50"/>
      <c r="BE139" s="50"/>
      <c r="BF139" s="50"/>
      <c r="BG139" s="50"/>
      <c r="BH139" s="50"/>
      <c r="BI139" s="50"/>
      <c r="BJ139" s="50"/>
      <c r="BK139" s="50"/>
      <c r="BL139" s="50"/>
      <c r="BM139" s="50"/>
      <c r="BN139" s="50"/>
      <c r="BO139" s="50"/>
      <c r="BP139" s="50"/>
      <c r="BQ139" s="50"/>
      <c r="BR139" s="50"/>
      <c r="BS139" s="50"/>
      <c r="BT139" s="50"/>
      <c r="BU139" s="50"/>
      <c r="BV139" s="50"/>
      <c r="BW139" s="50"/>
      <c r="BX139" s="50"/>
      <c r="BY139" s="50"/>
      <c r="BZ139" s="50"/>
      <c r="CA139" s="50"/>
      <c r="CB139" s="50"/>
      <c r="CC139" s="50"/>
      <c r="CD139" s="50"/>
      <c r="CE139" s="50"/>
      <c r="CF139" s="50"/>
      <c r="CG139" s="50"/>
      <c r="CH139" s="50"/>
      <c r="CI139" s="50"/>
      <c r="CJ139" s="50"/>
      <c r="CK139" s="50"/>
      <c r="CL139" s="50"/>
      <c r="CM139" s="50"/>
      <c r="CN139" s="50"/>
      <c r="CO139" s="50"/>
      <c r="CP139" s="50"/>
      <c r="CQ139" s="50"/>
      <c r="CR139" s="50"/>
      <c r="CS139" s="50"/>
      <c r="CT139" s="50"/>
      <c r="CU139" s="50"/>
      <c r="CV139" s="50"/>
      <c r="CW139" s="50"/>
      <c r="CX139" s="50"/>
      <c r="CY139" s="50"/>
      <c r="CZ139" s="50"/>
      <c r="DA139" s="50"/>
      <c r="DB139" s="50"/>
      <c r="DC139" s="50"/>
      <c r="DD139" s="50"/>
      <c r="DE139" s="49"/>
      <c r="DF139" s="49"/>
      <c r="DG139" s="49"/>
      <c r="DH139" s="49"/>
      <c r="DI139" s="49"/>
      <c r="DJ139" s="49"/>
      <c r="DK139" s="49"/>
      <c r="DL139" s="49"/>
      <c r="DM139" s="49"/>
      <c r="DN139" s="49"/>
      <c r="DO139" s="49"/>
      <c r="DP139" s="49"/>
      <c r="DQ139" s="49"/>
      <c r="DR139" s="49"/>
      <c r="DS139" s="49"/>
      <c r="DT139" s="49"/>
      <c r="DU139" s="49"/>
      <c r="DV139" s="49"/>
      <c r="DW139" s="49"/>
      <c r="DX139" s="49"/>
      <c r="DY139" s="49"/>
      <c r="DZ139" s="49"/>
      <c r="EA139" s="49"/>
      <c r="EB139" s="49"/>
      <c r="EC139" s="49"/>
      <c r="ED139" s="49"/>
      <c r="EE139" s="50"/>
      <c r="EF139" s="50"/>
      <c r="EG139" s="50"/>
      <c r="EH139" s="50"/>
      <c r="EI139" s="50"/>
      <c r="EJ139" s="50"/>
      <c r="EK139" s="50"/>
      <c r="EL139" s="50"/>
      <c r="EM139" s="50"/>
      <c r="EN139" s="50"/>
      <c r="EO139" s="50"/>
      <c r="EP139" s="50"/>
      <c r="EQ139" s="50"/>
      <c r="ER139" s="50"/>
      <c r="ES139" s="50"/>
      <c r="ET139" s="50"/>
      <c r="EU139" s="50"/>
      <c r="EV139" s="50"/>
      <c r="EW139" s="50"/>
      <c r="EX139" s="50"/>
      <c r="EY139" s="50"/>
      <c r="EZ139" s="50"/>
      <c r="FA139" s="50"/>
      <c r="FB139" s="50"/>
      <c r="FC139" s="50"/>
      <c r="FD139" s="50"/>
      <c r="FE139" s="50"/>
      <c r="FF139" s="50"/>
      <c r="FG139" s="50"/>
      <c r="FH139" s="50"/>
      <c r="FI139" s="50"/>
      <c r="FJ139" s="50"/>
      <c r="FK139" s="50"/>
      <c r="FL139" s="50"/>
      <c r="FM139" s="50"/>
      <c r="FN139" s="50"/>
    </row>
    <row r="140" spans="1:170" s="8" customFormat="1" ht="18" customHeight="1">
      <c r="A140" s="1976"/>
      <c r="B140" s="204"/>
      <c r="C140" s="14" t="str">
        <f>Begriffe!F53</f>
        <v>Anlagennutzungsgrad der Wärmerückgewinnung</v>
      </c>
      <c r="D140" s="14"/>
      <c r="E140" s="14"/>
      <c r="F140" s="14"/>
      <c r="G140" s="14"/>
      <c r="H140" s="14"/>
      <c r="I140" s="155" t="s">
        <v>1868</v>
      </c>
      <c r="J140" s="678" t="s">
        <v>208</v>
      </c>
      <c r="K140" s="377"/>
      <c r="L140" s="1159"/>
      <c r="M140" s="444">
        <f>IF(L140&lt;&gt;"",L140,INDEX(Eingabedaten!$D$9:$DN$53,nutzid,MATCH($C140,Eingabedaten!$D$6:$DN$6,0)))</f>
        <v>0.7</v>
      </c>
      <c r="N140" s="444">
        <f>INDEX(Eingabedaten!$D$9:$DN$53,nutzid,MATCH($C140,Eingabedaten!$D$6:$DN$6,0)+1)</f>
        <v>0.75</v>
      </c>
      <c r="O140" s="444">
        <f>INDEX(Eingabedaten!$D$9:$DN$53,nutzid,MATCH($C140,Eingabedaten!$D$6:$DN$6,0)+2)</f>
        <v>0</v>
      </c>
      <c r="P140" s="14">
        <v>0</v>
      </c>
      <c r="Q140" s="392">
        <v>1</v>
      </c>
      <c r="R140" s="14">
        <v>0</v>
      </c>
      <c r="S140" s="14"/>
      <c r="T140" s="243"/>
      <c r="U140" s="89"/>
      <c r="V140" s="64"/>
      <c r="W140" s="158"/>
      <c r="X140" s="158"/>
      <c r="Y140" s="64"/>
      <c r="Z140" s="158"/>
      <c r="AA140" s="158"/>
      <c r="AB140" s="65"/>
      <c r="AC140" s="89"/>
      <c r="AD140" s="89"/>
      <c r="AE140" s="7"/>
      <c r="AF140" s="7"/>
      <c r="AG140" s="7"/>
      <c r="AH140" s="7"/>
      <c r="AI140" s="7"/>
      <c r="AJ140" s="7"/>
      <c r="AK140" s="7"/>
      <c r="AL140" s="7">
        <v>2021</v>
      </c>
      <c r="AM140" s="7">
        <v>2023</v>
      </c>
      <c r="AN140" s="7"/>
      <c r="AO140" s="7"/>
      <c r="AP140" s="83"/>
      <c r="AQ140" s="83"/>
      <c r="AR140" s="50"/>
      <c r="AS140" s="50"/>
      <c r="AT140" s="50"/>
      <c r="AU140" s="50"/>
      <c r="AV140" s="50"/>
      <c r="AW140" s="50"/>
      <c r="AX140" s="50"/>
      <c r="AY140" s="50"/>
      <c r="AZ140" s="50"/>
      <c r="BA140" s="50"/>
      <c r="BB140" s="50"/>
      <c r="BC140" s="50"/>
      <c r="BD140" s="50"/>
      <c r="BE140" s="50"/>
      <c r="BF140" s="50"/>
      <c r="BG140" s="50"/>
      <c r="BH140" s="50"/>
      <c r="BI140" s="50"/>
      <c r="BJ140" s="50"/>
      <c r="BK140" s="50"/>
      <c r="BL140" s="50"/>
      <c r="BM140" s="50"/>
      <c r="BN140" s="50"/>
      <c r="BO140" s="50"/>
      <c r="BP140" s="50"/>
      <c r="BQ140" s="50"/>
      <c r="BR140" s="50"/>
      <c r="BS140" s="50"/>
      <c r="BT140" s="50"/>
      <c r="BU140" s="50"/>
      <c r="BV140" s="50"/>
      <c r="BW140" s="50"/>
      <c r="BX140" s="50"/>
      <c r="BY140" s="50"/>
      <c r="BZ140" s="50"/>
      <c r="CA140" s="50"/>
      <c r="CB140" s="50"/>
      <c r="CC140" s="50"/>
      <c r="CD140" s="50"/>
      <c r="CE140" s="50"/>
      <c r="CF140" s="50"/>
      <c r="CG140" s="50"/>
      <c r="CH140" s="50"/>
      <c r="CI140" s="50"/>
      <c r="CJ140" s="50"/>
      <c r="CK140" s="50"/>
      <c r="CL140" s="50"/>
      <c r="CM140" s="50"/>
      <c r="CN140" s="50"/>
      <c r="CO140" s="50"/>
      <c r="CP140" s="50"/>
      <c r="CQ140" s="50"/>
      <c r="CR140" s="50"/>
      <c r="CS140" s="50"/>
      <c r="CT140" s="50"/>
      <c r="CU140" s="50"/>
      <c r="CV140" s="50"/>
      <c r="CW140" s="50"/>
      <c r="CX140" s="50"/>
      <c r="CY140" s="50"/>
      <c r="CZ140" s="50"/>
      <c r="DA140" s="50"/>
      <c r="DB140" s="50"/>
      <c r="DC140" s="50"/>
      <c r="DD140" s="50"/>
      <c r="DE140" s="49"/>
      <c r="DF140" s="49"/>
      <c r="DG140" s="49"/>
      <c r="DH140" s="49"/>
      <c r="DI140" s="49"/>
      <c r="DJ140" s="49"/>
      <c r="DK140" s="49"/>
      <c r="DL140" s="49"/>
      <c r="DM140" s="49"/>
      <c r="DN140" s="49"/>
      <c r="DO140" s="49"/>
      <c r="DP140" s="49"/>
      <c r="DQ140" s="49"/>
      <c r="DR140" s="49"/>
      <c r="DS140" s="49"/>
      <c r="DT140" s="49"/>
      <c r="DU140" s="49"/>
      <c r="DV140" s="49"/>
      <c r="DW140" s="49"/>
      <c r="DX140" s="49"/>
      <c r="DY140" s="49"/>
      <c r="DZ140" s="49"/>
      <c r="EA140" s="49"/>
      <c r="EB140" s="49"/>
      <c r="EC140" s="49"/>
      <c r="ED140" s="49"/>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50"/>
      <c r="FA140" s="50"/>
      <c r="FB140" s="50"/>
      <c r="FC140" s="50"/>
      <c r="FD140" s="50"/>
      <c r="FE140" s="50"/>
      <c r="FF140" s="50"/>
      <c r="FG140" s="50"/>
      <c r="FH140" s="50"/>
      <c r="FI140" s="50"/>
      <c r="FJ140" s="50"/>
      <c r="FK140" s="50"/>
      <c r="FL140" s="50"/>
      <c r="FM140" s="50"/>
      <c r="FN140" s="50"/>
    </row>
    <row r="141" spans="1:170" s="8" customFormat="1" ht="18" customHeight="1">
      <c r="A141" s="1976"/>
      <c r="B141" s="204"/>
      <c r="C141" s="14" t="str">
        <f>Begriffe!F58</f>
        <v>Jährliche Volumenstrom-Volllaststunden</v>
      </c>
      <c r="D141" s="14"/>
      <c r="E141" s="14"/>
      <c r="F141" s="1267" t="str">
        <f>Begriffe!F381</f>
        <v>Hygienelüftung</v>
      </c>
      <c r="G141" s="14"/>
      <c r="H141" s="14"/>
      <c r="I141" s="98" t="s">
        <v>169</v>
      </c>
      <c r="J141" s="377" t="s">
        <v>15</v>
      </c>
      <c r="K141" s="377"/>
      <c r="L141" s="1159"/>
      <c r="M141" s="149">
        <f>ROUND(IF(M136="IDA-C3",Profile!$O611,IF(M136="IDA-C4",Profile!$Q611,Profile!$U611))*IF(M136=0,0,1),-1)</f>
        <v>8760</v>
      </c>
      <c r="N141" s="149">
        <f>ROUND(IF(N136="IDA-C3",Profile!$O611,IF(N136="IDA-C4",Profile!$Q611,Profile!$U611))*IF(N136=0,0,1),-1)</f>
        <v>7540</v>
      </c>
      <c r="O141" s="149">
        <f>ROUND(IF(O136="IDA-C3",Profile!$O611,IF(O136="IDA-C4",Profile!$Q611,Profile!$U611))*IF(O136=0,0,1),-1)</f>
        <v>0</v>
      </c>
      <c r="P141" s="14">
        <v>1</v>
      </c>
      <c r="Q141" s="392">
        <v>1</v>
      </c>
      <c r="R141" s="14"/>
      <c r="S141" s="14"/>
      <c r="T141" s="243"/>
      <c r="W141" s="1828" t="s">
        <v>2242</v>
      </c>
      <c r="X141" s="158"/>
      <c r="Y141" s="64"/>
      <c r="Z141" s="158"/>
      <c r="AA141" s="392" t="s">
        <v>2245</v>
      </c>
      <c r="AE141" s="392" t="s">
        <v>2244</v>
      </c>
      <c r="AF141" s="89"/>
      <c r="AG141" s="64"/>
      <c r="AH141" s="7"/>
      <c r="AI141" s="7"/>
      <c r="AJ141" s="14" t="s">
        <v>2246</v>
      </c>
      <c r="AK141" s="7"/>
      <c r="AL141" s="1831">
        <f>MAX(Profile!$N$68:$N$82)*0.9*M27*$M95</f>
        <v>15.120000000000003</v>
      </c>
      <c r="AM141" s="1831">
        <f>Profile!J124</f>
        <v>15.120000000000003</v>
      </c>
      <c r="AN141" s="7"/>
      <c r="AO141" s="7"/>
      <c r="AP141" s="83"/>
      <c r="AQ141" s="83"/>
      <c r="AR141" s="50"/>
      <c r="AS141" s="50"/>
      <c r="AT141" s="50"/>
      <c r="AU141" s="50"/>
      <c r="AV141" s="50"/>
      <c r="AW141" s="50"/>
      <c r="AX141" s="50"/>
      <c r="AY141" s="50"/>
      <c r="AZ141" s="50"/>
      <c r="BA141" s="50"/>
      <c r="BB141" s="50"/>
      <c r="BC141" s="50"/>
      <c r="BD141" s="50"/>
      <c r="BE141" s="50"/>
      <c r="BF141" s="50"/>
      <c r="BG141" s="50"/>
      <c r="BH141" s="50"/>
      <c r="BI141" s="50"/>
      <c r="BJ141" s="50"/>
      <c r="BK141" s="50"/>
      <c r="BL141" s="50"/>
      <c r="BM141" s="50"/>
      <c r="BN141" s="50"/>
      <c r="BO141" s="50"/>
      <c r="BP141" s="50"/>
      <c r="BQ141" s="50"/>
      <c r="BR141" s="50"/>
      <c r="BS141" s="50"/>
      <c r="BT141" s="50"/>
      <c r="BU141" s="50"/>
      <c r="BV141" s="50"/>
      <c r="BW141" s="50"/>
      <c r="BX141" s="50"/>
      <c r="BY141" s="50"/>
      <c r="BZ141" s="50"/>
      <c r="CA141" s="50"/>
      <c r="CB141" s="50"/>
      <c r="CC141" s="50"/>
      <c r="CD141" s="50"/>
      <c r="CE141" s="50"/>
      <c r="CF141" s="50"/>
      <c r="CG141" s="50"/>
      <c r="CH141" s="50"/>
      <c r="CI141" s="50"/>
      <c r="CJ141" s="50"/>
      <c r="CK141" s="50"/>
      <c r="CL141" s="50"/>
      <c r="CM141" s="50"/>
      <c r="CN141" s="50"/>
      <c r="CO141" s="50"/>
      <c r="CP141" s="50"/>
      <c r="CQ141" s="50"/>
      <c r="CR141" s="50"/>
      <c r="CS141" s="50"/>
      <c r="CT141" s="50"/>
      <c r="CU141" s="50"/>
      <c r="CV141" s="50"/>
      <c r="CW141" s="50"/>
      <c r="CX141" s="50"/>
      <c r="CY141" s="50"/>
      <c r="CZ141" s="50"/>
      <c r="DA141" s="50"/>
      <c r="DB141" s="50"/>
      <c r="DC141" s="50"/>
      <c r="DD141" s="50"/>
      <c r="DE141" s="49"/>
      <c r="DF141" s="49"/>
      <c r="DG141" s="49"/>
      <c r="DH141" s="49"/>
      <c r="DI141" s="49"/>
      <c r="DJ141" s="49"/>
      <c r="DK141" s="49"/>
      <c r="DL141" s="49"/>
      <c r="DM141" s="49"/>
      <c r="DN141" s="49"/>
      <c r="DO141" s="49"/>
      <c r="DP141" s="49"/>
      <c r="DQ141" s="49"/>
      <c r="DR141" s="49"/>
      <c r="DS141" s="49"/>
      <c r="DT141" s="49"/>
      <c r="DU141" s="49"/>
      <c r="DV141" s="49"/>
      <c r="DW141" s="49"/>
      <c r="DX141" s="49"/>
      <c r="DY141" s="49"/>
      <c r="DZ141" s="49"/>
      <c r="EA141" s="49"/>
      <c r="EB141" s="49"/>
      <c r="EC141" s="49"/>
      <c r="ED141" s="49"/>
      <c r="EE141" s="50"/>
      <c r="EF141" s="50"/>
      <c r="EG141" s="50"/>
      <c r="EH141" s="50"/>
      <c r="EI141" s="50"/>
      <c r="EJ141" s="50"/>
      <c r="EK141" s="50"/>
      <c r="EL141" s="50"/>
      <c r="EM141" s="50"/>
      <c r="EN141" s="50"/>
      <c r="EO141" s="50"/>
      <c r="EP141" s="50"/>
      <c r="EQ141" s="50"/>
      <c r="ER141" s="50"/>
      <c r="ES141" s="50"/>
      <c r="ET141" s="50"/>
      <c r="EU141" s="50"/>
      <c r="EV141" s="50"/>
      <c r="EW141" s="50"/>
      <c r="EX141" s="50"/>
      <c r="EY141" s="50"/>
      <c r="EZ141" s="50"/>
      <c r="FA141" s="50"/>
      <c r="FB141" s="50"/>
      <c r="FC141" s="50"/>
      <c r="FD141" s="50"/>
      <c r="FE141" s="50"/>
      <c r="FF141" s="50"/>
      <c r="FG141" s="50"/>
      <c r="FH141" s="50"/>
      <c r="FI141" s="50"/>
      <c r="FJ141" s="50"/>
      <c r="FK141" s="50"/>
      <c r="FL141" s="50"/>
      <c r="FM141" s="50"/>
      <c r="FN141" s="50"/>
    </row>
    <row r="142" spans="1:170" s="8" customFormat="1" ht="18" hidden="1" customHeight="1">
      <c r="A142" s="1976"/>
      <c r="B142" s="204"/>
      <c r="C142" s="1160" t="str">
        <f>Begriffe!F102</f>
        <v>Spezifische Ventilatorleistung</v>
      </c>
      <c r="D142" s="1160"/>
      <c r="E142" s="1161"/>
      <c r="F142" s="1160" t="str">
        <f>Begriffe!$F$363</f>
        <v>Total Zu- und Abluft</v>
      </c>
      <c r="G142" s="1160"/>
      <c r="H142" s="1160"/>
      <c r="I142" s="1162" t="s">
        <v>1471</v>
      </c>
      <c r="J142" s="1163" t="s">
        <v>1472</v>
      </c>
      <c r="K142" s="1163"/>
      <c r="L142" s="1164"/>
      <c r="M142" s="1165">
        <f>IF(L142&lt;&gt;"",L142,INDEX(Eingabedaten!$D$9:$DN$53,nutzid,MATCH($C142,Eingabedaten!$D$6:$DN$6,0)))*IF(M136=0,0,1)</f>
        <v>0.56000000000000005</v>
      </c>
      <c r="N142" s="1165">
        <f>INDEX(Eingabedaten!$D$9:$DN$53,nutzid,MATCH($C142,Eingabedaten!$D$6:$DN$6,0)+1)*IF(N136=0,0,1)</f>
        <v>0.34</v>
      </c>
      <c r="O142" s="1165">
        <f>INDEX(Eingabedaten!$D$9:$DN$53,nutzid,MATCH($C142,Eingabedaten!$D$6:$DN$6,0)+2)*IF(O136=0,0,1)</f>
        <v>0</v>
      </c>
      <c r="P142" s="14">
        <v>0</v>
      </c>
      <c r="Q142" s="392"/>
      <c r="R142" s="14">
        <v>0</v>
      </c>
      <c r="S142" s="14"/>
      <c r="T142" s="243"/>
      <c r="W142" s="158"/>
      <c r="X142" s="158"/>
      <c r="Y142" s="64"/>
      <c r="Z142" s="158"/>
      <c r="AE142" s="89"/>
      <c r="AF142" s="89"/>
      <c r="AG142" s="64"/>
      <c r="AH142" s="7"/>
      <c r="AI142" s="7"/>
      <c r="AJ142" s="7"/>
      <c r="AK142" s="7"/>
      <c r="AL142" s="7"/>
      <c r="AM142" s="7"/>
      <c r="AN142" s="7"/>
      <c r="AO142" s="7"/>
      <c r="AP142" s="83"/>
      <c r="AQ142" s="83"/>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0"/>
      <c r="CA142" s="50"/>
      <c r="CB142" s="50"/>
      <c r="CC142" s="50"/>
      <c r="CD142" s="50"/>
      <c r="CE142" s="50"/>
      <c r="CF142" s="50"/>
      <c r="CG142" s="50"/>
      <c r="CH142" s="50"/>
      <c r="CI142" s="50"/>
      <c r="CJ142" s="50"/>
      <c r="CK142" s="50"/>
      <c r="CL142" s="50"/>
      <c r="CM142" s="50"/>
      <c r="CN142" s="50"/>
      <c r="CO142" s="50"/>
      <c r="CP142" s="50"/>
      <c r="CQ142" s="50"/>
      <c r="CR142" s="50"/>
      <c r="CS142" s="50"/>
      <c r="CT142" s="50"/>
      <c r="CU142" s="50"/>
      <c r="CV142" s="50"/>
      <c r="CW142" s="50"/>
      <c r="CX142" s="50"/>
      <c r="CY142" s="50"/>
      <c r="CZ142" s="50"/>
      <c r="DA142" s="50"/>
      <c r="DB142" s="50"/>
      <c r="DC142" s="50"/>
      <c r="DD142" s="50"/>
      <c r="DE142" s="49"/>
      <c r="DF142" s="49"/>
      <c r="DG142" s="49"/>
      <c r="DH142" s="49"/>
      <c r="DI142" s="49"/>
      <c r="DJ142" s="49"/>
      <c r="DK142" s="49"/>
      <c r="DL142" s="49"/>
      <c r="DM142" s="49"/>
      <c r="DN142" s="49"/>
      <c r="DO142" s="49"/>
      <c r="DP142" s="49"/>
      <c r="DQ142" s="49"/>
      <c r="DR142" s="49"/>
      <c r="DS142" s="49"/>
      <c r="DT142" s="49"/>
      <c r="DU142" s="49"/>
      <c r="DV142" s="49"/>
      <c r="DW142" s="49"/>
      <c r="DX142" s="49"/>
      <c r="DY142" s="49"/>
      <c r="DZ142" s="49"/>
      <c r="EA142" s="49"/>
      <c r="EB142" s="49"/>
      <c r="EC142" s="49"/>
      <c r="ED142" s="49"/>
      <c r="EE142" s="50"/>
      <c r="EF142" s="50"/>
      <c r="EG142" s="50"/>
      <c r="EH142" s="50"/>
      <c r="EI142" s="50"/>
      <c r="EJ142" s="50"/>
      <c r="EK142" s="50"/>
      <c r="EL142" s="50"/>
      <c r="EM142" s="50"/>
      <c r="EN142" s="50"/>
      <c r="EO142" s="50"/>
      <c r="EP142" s="50"/>
      <c r="EQ142" s="50"/>
      <c r="ER142" s="50"/>
      <c r="ES142" s="50"/>
      <c r="ET142" s="50"/>
      <c r="EU142" s="50"/>
      <c r="EV142" s="50"/>
      <c r="EW142" s="50"/>
      <c r="EX142" s="50"/>
      <c r="EY142" s="50"/>
      <c r="EZ142" s="50"/>
      <c r="FA142" s="50"/>
      <c r="FB142" s="50"/>
      <c r="FC142" s="50"/>
      <c r="FD142" s="50"/>
      <c r="FE142" s="50"/>
      <c r="FF142" s="50"/>
      <c r="FG142" s="50"/>
      <c r="FH142" s="50"/>
      <c r="FI142" s="50"/>
      <c r="FJ142" s="50"/>
      <c r="FK142" s="50"/>
      <c r="FL142" s="50"/>
      <c r="FM142" s="50"/>
      <c r="FN142" s="50"/>
    </row>
    <row r="143" spans="1:170" s="8" customFormat="1" ht="18" hidden="1" customHeight="1">
      <c r="A143" s="1976"/>
      <c r="B143" s="204"/>
      <c r="C143" s="1160" t="str">
        <f>Begriffe!F40</f>
        <v>Elektrische Leistung der Lüftung</v>
      </c>
      <c r="D143" s="1160"/>
      <c r="E143" s="1161"/>
      <c r="F143" s="1160" t="str">
        <f>Begriffe!F380</f>
        <v>Ohne Fensterlüftung, ohne Prozessanlagen</v>
      </c>
      <c r="G143" s="1160"/>
      <c r="H143" s="1160"/>
      <c r="I143" s="1162" t="s">
        <v>1473</v>
      </c>
      <c r="J143" s="1163" t="s">
        <v>1474</v>
      </c>
      <c r="K143" s="1163"/>
      <c r="L143" s="1166"/>
      <c r="M143" s="1167">
        <f>(M133*M142)</f>
        <v>0.46400000000000008</v>
      </c>
      <c r="N143" s="1167">
        <f>(N133*N142)</f>
        <v>0.28171428571428575</v>
      </c>
      <c r="O143" s="1168">
        <f>(O133*O142)</f>
        <v>0</v>
      </c>
      <c r="P143" s="14">
        <v>1</v>
      </c>
      <c r="Q143" s="392"/>
      <c r="R143" s="14">
        <v>0</v>
      </c>
      <c r="S143" s="14"/>
      <c r="T143" s="243"/>
      <c r="W143" s="158"/>
      <c r="X143" s="1981"/>
      <c r="Y143" s="64"/>
      <c r="Z143" s="158"/>
      <c r="AE143" s="89"/>
      <c r="AF143" s="89"/>
      <c r="AG143" s="64"/>
      <c r="AH143" s="7"/>
      <c r="AI143" s="7"/>
      <c r="AJ143" s="7"/>
      <c r="AK143" s="7"/>
      <c r="AL143" s="7"/>
      <c r="AM143" s="7"/>
      <c r="AN143" s="7"/>
      <c r="AO143" s="7"/>
      <c r="AP143" s="83"/>
      <c r="AQ143" s="83"/>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0"/>
      <c r="CA143" s="50"/>
      <c r="CB143" s="50"/>
      <c r="CC143" s="50"/>
      <c r="CD143" s="50"/>
      <c r="CE143" s="50"/>
      <c r="CF143" s="50"/>
      <c r="CG143" s="50"/>
      <c r="CH143" s="50"/>
      <c r="CI143" s="50"/>
      <c r="CJ143" s="50"/>
      <c r="CK143" s="50"/>
      <c r="CL143" s="50"/>
      <c r="CM143" s="50"/>
      <c r="CN143" s="50"/>
      <c r="CO143" s="50"/>
      <c r="CP143" s="50"/>
      <c r="CQ143" s="50"/>
      <c r="CR143" s="50"/>
      <c r="CS143" s="50"/>
      <c r="CT143" s="50"/>
      <c r="CU143" s="50"/>
      <c r="CV143" s="50"/>
      <c r="CW143" s="50"/>
      <c r="CX143" s="50"/>
      <c r="CY143" s="50"/>
      <c r="CZ143" s="50"/>
      <c r="DA143" s="50"/>
      <c r="DB143" s="50"/>
      <c r="DC143" s="50"/>
      <c r="DD143" s="50"/>
      <c r="DE143" s="49"/>
      <c r="DF143" s="49"/>
      <c r="DG143" s="49"/>
      <c r="DH143" s="49"/>
      <c r="DI143" s="49"/>
      <c r="DJ143" s="49"/>
      <c r="DK143" s="49"/>
      <c r="DL143" s="49"/>
      <c r="DM143" s="49"/>
      <c r="DN143" s="49"/>
      <c r="DO143" s="49"/>
      <c r="DP143" s="49"/>
      <c r="DQ143" s="49"/>
      <c r="DR143" s="49"/>
      <c r="DS143" s="49"/>
      <c r="DT143" s="49"/>
      <c r="DU143" s="49"/>
      <c r="DV143" s="49"/>
      <c r="DW143" s="49"/>
      <c r="DX143" s="49"/>
      <c r="DY143" s="49"/>
      <c r="DZ143" s="49"/>
      <c r="EA143" s="49"/>
      <c r="EB143" s="49"/>
      <c r="EC143" s="49"/>
      <c r="ED143" s="49"/>
      <c r="EE143" s="50"/>
      <c r="EF143" s="50"/>
      <c r="EG143" s="50"/>
      <c r="EH143" s="50"/>
      <c r="EI143" s="50"/>
      <c r="EJ143" s="50"/>
      <c r="EK143" s="50"/>
      <c r="EL143" s="50"/>
      <c r="EM143" s="50"/>
      <c r="EN143" s="50"/>
      <c r="EO143" s="50"/>
      <c r="EP143" s="50"/>
      <c r="EQ143" s="50"/>
      <c r="ER143" s="50"/>
      <c r="ES143" s="50"/>
      <c r="ET143" s="50"/>
      <c r="EU143" s="50"/>
      <c r="EV143" s="50"/>
      <c r="EW143" s="50"/>
      <c r="EX143" s="50"/>
      <c r="EY143" s="50"/>
      <c r="EZ143" s="50"/>
      <c r="FA143" s="50"/>
      <c r="FB143" s="50"/>
      <c r="FC143" s="50"/>
      <c r="FD143" s="50"/>
      <c r="FE143" s="50"/>
      <c r="FF143" s="50"/>
      <c r="FG143" s="50"/>
      <c r="FH143" s="50"/>
      <c r="FI143" s="50"/>
      <c r="FJ143" s="50"/>
      <c r="FK143" s="50"/>
      <c r="FL143" s="50"/>
      <c r="FM143" s="50"/>
      <c r="FN143" s="50"/>
    </row>
    <row r="144" spans="1:170" s="8" customFormat="1" ht="18" hidden="1" customHeight="1">
      <c r="A144" s="1976"/>
      <c r="B144" s="204"/>
      <c r="C144" s="1160" t="str">
        <f>Begriffe!F57</f>
        <v>Jährliche Volllaststunden der Lüftung</v>
      </c>
      <c r="D144" s="1160"/>
      <c r="E144" s="1160"/>
      <c r="F144" s="1160" t="str">
        <f>Begriffe!$F$364</f>
        <v>Elektrizitätsbedarf</v>
      </c>
      <c r="G144" s="1160"/>
      <c r="H144" s="1160"/>
      <c r="I144" s="1162" t="s">
        <v>1475</v>
      </c>
      <c r="J144" s="1163" t="s">
        <v>15</v>
      </c>
      <c r="K144" s="1163"/>
      <c r="L144" s="1166"/>
      <c r="M144" s="1169">
        <f>ROUND(IF(M136="IDA-C3",Profile!$P$611,IF(M136="IDA-C4",Profile!$T$611,Profile!$AB$611))*IF(M136=0,0,1),-1)</f>
        <v>8760</v>
      </c>
      <c r="N144" s="1169">
        <f>ROUND(IF(N136="IDA-C3",Profile!$P$611,IF(N136="IDA-C4",Profile!$T$611,Profile!$AB$611))*IF(N136=0,0,1),-1)</f>
        <v>6440</v>
      </c>
      <c r="O144" s="1169">
        <f>ROUND(IF(O136="IDA-C3",Profile!$P$611,IF(O136="IDA-C4",Profile!$T$611,Profile!$AB$611))*IF(O136=0,0,1),-1)</f>
        <v>0</v>
      </c>
      <c r="P144" s="14">
        <v>1</v>
      </c>
      <c r="Q144" s="392"/>
      <c r="R144" s="14">
        <v>0</v>
      </c>
      <c r="S144" s="14"/>
      <c r="T144" s="243"/>
      <c r="W144" s="158"/>
      <c r="X144" s="1981"/>
      <c r="Y144" s="64"/>
      <c r="Z144" s="158"/>
      <c r="AE144" s="89"/>
      <c r="AF144" s="89"/>
      <c r="AG144" s="64"/>
      <c r="AH144" s="7"/>
      <c r="AI144" s="7"/>
      <c r="AJ144" s="7"/>
      <c r="AK144" s="7"/>
      <c r="AL144" s="7"/>
      <c r="AM144" s="7"/>
      <c r="AN144" s="7"/>
      <c r="AO144" s="7"/>
      <c r="AP144" s="83"/>
      <c r="AQ144" s="83"/>
      <c r="AR144" s="50"/>
      <c r="AS144" s="50"/>
      <c r="AT144" s="50"/>
      <c r="AU144" s="50"/>
      <c r="AV144" s="50"/>
      <c r="AW144" s="50"/>
      <c r="AX144" s="50"/>
      <c r="AY144" s="50"/>
      <c r="AZ144" s="50"/>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c r="BW144" s="50"/>
      <c r="BX144" s="50"/>
      <c r="BY144" s="50"/>
      <c r="BZ144" s="50"/>
      <c r="CA144" s="50"/>
      <c r="CB144" s="50"/>
      <c r="CC144" s="50"/>
      <c r="CD144" s="50"/>
      <c r="CE144" s="50"/>
      <c r="CF144" s="50"/>
      <c r="CG144" s="50"/>
      <c r="CH144" s="50"/>
      <c r="CI144" s="50"/>
      <c r="CJ144" s="50"/>
      <c r="CK144" s="50"/>
      <c r="CL144" s="50"/>
      <c r="CM144" s="50"/>
      <c r="CN144" s="50"/>
      <c r="CO144" s="50"/>
      <c r="CP144" s="50"/>
      <c r="CQ144" s="50"/>
      <c r="CR144" s="50"/>
      <c r="CS144" s="50"/>
      <c r="CT144" s="50"/>
      <c r="CU144" s="50"/>
      <c r="CV144" s="50"/>
      <c r="CW144" s="50"/>
      <c r="CX144" s="50"/>
      <c r="CY144" s="50"/>
      <c r="CZ144" s="50"/>
      <c r="DA144" s="50"/>
      <c r="DB144" s="50"/>
      <c r="DC144" s="50"/>
      <c r="DD144" s="50"/>
      <c r="DE144" s="49"/>
      <c r="DF144" s="49"/>
      <c r="DG144" s="49"/>
      <c r="DH144" s="49"/>
      <c r="DI144" s="49"/>
      <c r="DJ144" s="49"/>
      <c r="DK144" s="49"/>
      <c r="DL144" s="49"/>
      <c r="DM144" s="49"/>
      <c r="DN144" s="49"/>
      <c r="DO144" s="49"/>
      <c r="DP144" s="49"/>
      <c r="DQ144" s="49"/>
      <c r="DR144" s="49"/>
      <c r="DS144" s="49"/>
      <c r="DT144" s="49"/>
      <c r="DU144" s="49"/>
      <c r="DV144" s="49"/>
      <c r="DW144" s="49"/>
      <c r="DX144" s="49"/>
      <c r="DY144" s="49"/>
      <c r="DZ144" s="49"/>
      <c r="EA144" s="49"/>
      <c r="EB144" s="49"/>
      <c r="EC144" s="49"/>
      <c r="ED144" s="49"/>
      <c r="EE144" s="50"/>
      <c r="EF144" s="50"/>
      <c r="EG144" s="50"/>
      <c r="EH144" s="50"/>
      <c r="EI144" s="50"/>
      <c r="EJ144" s="50"/>
      <c r="EK144" s="50"/>
      <c r="EL144" s="50"/>
      <c r="EM144" s="50"/>
      <c r="EN144" s="50"/>
      <c r="EO144" s="50"/>
      <c r="EP144" s="50"/>
      <c r="EQ144" s="50"/>
      <c r="ER144" s="50"/>
      <c r="ES144" s="50"/>
      <c r="ET144" s="50"/>
      <c r="EU144" s="50"/>
      <c r="EV144" s="50"/>
      <c r="EW144" s="50"/>
      <c r="EX144" s="50"/>
      <c r="EY144" s="50"/>
      <c r="EZ144" s="50"/>
      <c r="FA144" s="50"/>
      <c r="FB144" s="50"/>
      <c r="FC144" s="50"/>
      <c r="FD144" s="50"/>
      <c r="FE144" s="50"/>
      <c r="FF144" s="50"/>
      <c r="FG144" s="50"/>
      <c r="FH144" s="50"/>
      <c r="FI144" s="50"/>
      <c r="FJ144" s="50"/>
      <c r="FK144" s="50"/>
      <c r="FL144" s="50"/>
      <c r="FM144" s="50"/>
      <c r="FN144" s="50"/>
    </row>
    <row r="145" spans="1:170" s="8" customFormat="1" ht="18" hidden="1" customHeight="1">
      <c r="A145" s="1977"/>
      <c r="B145" s="204"/>
      <c r="C145" s="1160" t="str">
        <f>Begriffe!F63</f>
        <v>Jährlicher Elektrizitätsbedarf der Lüftung</v>
      </c>
      <c r="D145" s="1160"/>
      <c r="E145" s="1160"/>
      <c r="F145" s="1160" t="str">
        <f>Begriffe!F380</f>
        <v>Ohne Fensterlüftung, ohne Prozessanlagen</v>
      </c>
      <c r="G145" s="1160"/>
      <c r="H145" s="1160"/>
      <c r="I145" s="1162" t="s">
        <v>1476</v>
      </c>
      <c r="J145" s="1163" t="s">
        <v>1477</v>
      </c>
      <c r="K145" s="1163"/>
      <c r="L145" s="1166"/>
      <c r="M145" s="1168">
        <f>M143*M144/1000</f>
        <v>4.0646400000000007</v>
      </c>
      <c r="N145" s="1168">
        <f>N143*N144/1000</f>
        <v>1.8142400000000003</v>
      </c>
      <c r="O145" s="1168">
        <f>O143*O144/1000</f>
        <v>0</v>
      </c>
      <c r="P145" s="14">
        <v>1</v>
      </c>
      <c r="Q145" s="392"/>
      <c r="R145" s="14">
        <v>0</v>
      </c>
      <c r="S145" s="14"/>
      <c r="T145" s="243"/>
      <c r="W145" s="158"/>
      <c r="X145" s="1981"/>
      <c r="Y145" s="64"/>
      <c r="Z145" s="158"/>
      <c r="AE145" s="89"/>
      <c r="AF145" s="89"/>
      <c r="AG145" s="64"/>
      <c r="AH145" s="7"/>
      <c r="AI145" s="7"/>
      <c r="AJ145" s="7"/>
      <c r="AK145" s="7"/>
      <c r="AL145" s="7"/>
      <c r="AM145" s="7"/>
      <c r="AN145" s="7"/>
      <c r="AO145" s="7"/>
      <c r="AP145" s="83"/>
      <c r="AQ145" s="83"/>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50"/>
      <c r="DA145" s="50"/>
      <c r="DB145" s="50"/>
      <c r="DC145" s="50"/>
      <c r="DD145" s="50"/>
      <c r="DE145" s="49"/>
      <c r="DF145" s="49"/>
      <c r="DG145" s="49"/>
      <c r="DH145" s="49"/>
      <c r="DI145" s="49"/>
      <c r="DJ145" s="49"/>
      <c r="DK145" s="49"/>
      <c r="DL145" s="49"/>
      <c r="DM145" s="49"/>
      <c r="DN145" s="49"/>
      <c r="DO145" s="49"/>
      <c r="DP145" s="49"/>
      <c r="DQ145" s="49"/>
      <c r="DR145" s="49"/>
      <c r="DS145" s="49"/>
      <c r="DT145" s="49"/>
      <c r="DU145" s="49"/>
      <c r="DV145" s="49"/>
      <c r="DW145" s="49"/>
      <c r="DX145" s="49"/>
      <c r="DY145" s="49"/>
      <c r="DZ145" s="49"/>
      <c r="EA145" s="49"/>
      <c r="EB145" s="49"/>
      <c r="EC145" s="49"/>
      <c r="ED145" s="49"/>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50"/>
      <c r="FA145" s="50"/>
      <c r="FB145" s="50"/>
      <c r="FC145" s="50"/>
      <c r="FD145" s="50"/>
      <c r="FE145" s="50"/>
      <c r="FF145" s="50"/>
      <c r="FG145" s="50"/>
      <c r="FH145" s="50"/>
      <c r="FI145" s="50"/>
      <c r="FJ145" s="50"/>
      <c r="FK145" s="50"/>
      <c r="FL145" s="50"/>
      <c r="FM145" s="50"/>
      <c r="FN145" s="50"/>
    </row>
    <row r="146" spans="1:170" s="8" customFormat="1" ht="2.25" customHeight="1">
      <c r="A146" s="113"/>
      <c r="B146" s="495"/>
      <c r="C146" s="495"/>
      <c r="D146" s="495"/>
      <c r="E146" s="495"/>
      <c r="F146" s="495"/>
      <c r="G146" s="495"/>
      <c r="H146" s="495"/>
      <c r="I146" s="691"/>
      <c r="J146" s="495"/>
      <c r="K146" s="495"/>
      <c r="L146" s="116"/>
      <c r="M146" s="692"/>
      <c r="N146" s="136"/>
      <c r="O146" s="136"/>
      <c r="P146" s="14">
        <v>0</v>
      </c>
      <c r="Q146" s="451">
        <v>1</v>
      </c>
      <c r="R146" s="14">
        <v>0</v>
      </c>
      <c r="S146" s="14"/>
      <c r="T146" s="243"/>
      <c r="W146" s="158"/>
      <c r="X146" s="164"/>
      <c r="Y146" s="64"/>
      <c r="Z146" s="158"/>
      <c r="AE146" s="89"/>
      <c r="AF146" s="89"/>
      <c r="AG146" s="64"/>
      <c r="AH146" s="7"/>
      <c r="AI146" s="7"/>
      <c r="AJ146" s="7"/>
      <c r="AK146" s="7"/>
      <c r="AL146" s="1831"/>
      <c r="AM146" s="1831"/>
      <c r="AN146" s="7"/>
      <c r="AO146" s="7"/>
      <c r="AP146" s="83"/>
      <c r="AQ146" s="83"/>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50"/>
      <c r="DA146" s="50"/>
      <c r="DB146" s="50"/>
      <c r="DC146" s="50"/>
      <c r="DD146" s="50"/>
      <c r="DE146" s="49"/>
      <c r="DF146" s="49"/>
      <c r="DG146" s="49"/>
      <c r="DH146" s="49"/>
      <c r="DI146" s="49"/>
      <c r="DJ146" s="49"/>
      <c r="DK146" s="49"/>
      <c r="DL146" s="49"/>
      <c r="DM146" s="49"/>
      <c r="DN146" s="49"/>
      <c r="DO146" s="49"/>
      <c r="DP146" s="49"/>
      <c r="DQ146" s="49"/>
      <c r="DR146" s="49"/>
      <c r="DS146" s="49"/>
      <c r="DT146" s="49"/>
      <c r="DU146" s="49"/>
      <c r="DV146" s="49"/>
      <c r="DW146" s="49"/>
      <c r="DX146" s="49"/>
      <c r="DY146" s="49"/>
      <c r="DZ146" s="49"/>
      <c r="EA146" s="49"/>
      <c r="EB146" s="49"/>
      <c r="EC146" s="49"/>
      <c r="ED146" s="49"/>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50"/>
      <c r="FA146" s="50"/>
      <c r="FB146" s="50"/>
      <c r="FC146" s="50"/>
      <c r="FD146" s="50"/>
      <c r="FE146" s="50"/>
      <c r="FF146" s="50"/>
      <c r="FG146" s="50"/>
      <c r="FH146" s="50"/>
      <c r="FI146" s="50"/>
      <c r="FJ146" s="50"/>
      <c r="FK146" s="50"/>
      <c r="FL146" s="50"/>
      <c r="FM146" s="50"/>
      <c r="FN146" s="50"/>
    </row>
    <row r="147" spans="1:170" s="14" customFormat="1" ht="18" customHeight="1">
      <c r="A147" s="1978" t="str">
        <f>Begriffe!F220</f>
        <v>Raumkühlung</v>
      </c>
      <c r="B147" s="204"/>
      <c r="C147" s="14" t="str">
        <f>Begriffe!F42</f>
        <v>Externe Wärmeeintragsleistung</v>
      </c>
      <c r="F147" s="14" t="str">
        <f>Begriffe!$F$365</f>
        <v>Solar, Transmission, Lüftung</v>
      </c>
      <c r="I147" s="155" t="s">
        <v>967</v>
      </c>
      <c r="J147" s="678" t="s">
        <v>149</v>
      </c>
      <c r="K147" s="678"/>
      <c r="L147" s="170"/>
      <c r="M147" s="1832">
        <f>Profile!J124+Profile!O124+Profile!P124</f>
        <v>18.611472605042021</v>
      </c>
      <c r="N147" s="702">
        <f>Profile!J184+Profile!O184+Profile!P184</f>
        <v>13.282030612436976</v>
      </c>
      <c r="O147" s="702">
        <f>Profile!J224+Profile!O224+Profile!P224</f>
        <v>30.78450554621849</v>
      </c>
      <c r="P147" s="14">
        <v>1</v>
      </c>
      <c r="Q147" s="392">
        <v>1</v>
      </c>
      <c r="R147" s="14">
        <v>1</v>
      </c>
      <c r="T147" s="243"/>
      <c r="W147" s="65">
        <f>MAX(Profile!$N$68:$N$82)*0.9*M27*$M95+IF($M$31=0,0,(MAX(Profile!$O$68:$O$82)-$M$31)*M173/(M13)+(MAX(Profile!$O$68:$O$82)-$M$31)*M174/(M13))</f>
        <v>18.373941176470591</v>
      </c>
      <c r="X147" s="65">
        <f>MAX(Profile!$N$68:$N$82)*0.9*N27*$M95+IF($M$31=0,0,(MAX(Profile!$O$68:$O$82)-$M$31)*N173/(M13)+(MAX(Profile!$O$68:$O$82)-$M$31)*N174/(M13))</f>
        <v>13.240588235294119</v>
      </c>
      <c r="Y147" s="65">
        <f>MAX(Profile!$N$68:$N$82)*0.9*O27*$M95+IF($M$31=0,0,(MAX(Profile!$O$68:$O$82)-$M$31)*O173/(M13)+(MAX(Profile!$O$68:$O$82)-$M$31)*O174/(M13))</f>
        <v>32.075294117647061</v>
      </c>
      <c r="AA147" s="14">
        <f>Profile!J124+Profile!O124+Profile!P124</f>
        <v>18.611472605042021</v>
      </c>
      <c r="AB147" s="14">
        <f>Profile!J184+Profile!O184+Profile!P184</f>
        <v>13.282030612436976</v>
      </c>
      <c r="AC147" s="14">
        <f>Profile!J224+Profile!O224+Profile!P224</f>
        <v>30.78450554621849</v>
      </c>
      <c r="AE147" s="378">
        <f>SUMPRODUCT(Profile!J98:J121,Profile!B98:B121)+SUMPRODUCT(Profile!O98:O121,Profile!B98:B121)+SUMPRODUCT(Profile!P98:P121,Profile!B98:B121)</f>
        <v>18.553281394957985</v>
      </c>
      <c r="AF147" s="378">
        <f>SUMPRODUCT(Profile!J158:J181,Profile!B158:B181)+SUMPRODUCT(Profile!O158:O181,Profile!B158:B181)+SUMPRODUCT(Profile!P158:P181,Profile!B158:B181)</f>
        <v>13.240663435563025</v>
      </c>
      <c r="AG147" s="1829">
        <f>SUMPRODUCT(Profile!J198:J221,Profile!B198:B221)+SUMPRODUCT(Profile!O198:O221,Profile!B198:B221)+SUMPRODUCT(Profile!P198:P221,Profile!B198:B221)</f>
        <v>30.498191596638655</v>
      </c>
      <c r="AH147" s="7"/>
      <c r="AI147" s="7"/>
      <c r="AJ147" s="14" t="s">
        <v>2247</v>
      </c>
      <c r="AK147" s="7"/>
      <c r="AL147" s="1831">
        <f>IF($M$31=0,0,(MAX(Profile!$O$68:$O$82)-$M$31)*M173/(M13))</f>
        <v>2.7739411764705886</v>
      </c>
      <c r="AM147" s="1831">
        <f>Profile!P124</f>
        <v>2.773941176470589</v>
      </c>
      <c r="AN147" s="7"/>
      <c r="AO147" s="7"/>
      <c r="AP147" s="83"/>
      <c r="AQ147" s="83"/>
      <c r="AR147" s="50"/>
      <c r="AS147" s="50"/>
      <c r="AT147" s="50"/>
      <c r="AU147" s="50"/>
      <c r="AV147" s="50"/>
      <c r="AW147" s="50"/>
      <c r="AX147" s="50"/>
      <c r="AY147" s="50"/>
      <c r="AZ147" s="50"/>
      <c r="BA147" s="50"/>
      <c r="BB147" s="50"/>
      <c r="BC147" s="50"/>
      <c r="BD147" s="50"/>
      <c r="BE147" s="50"/>
      <c r="BF147" s="50"/>
      <c r="BG147" s="50"/>
      <c r="BH147" s="50"/>
      <c r="BI147" s="50"/>
      <c r="BJ147" s="50"/>
      <c r="BK147" s="50"/>
      <c r="BL147" s="50"/>
      <c r="BM147" s="50"/>
      <c r="BN147" s="50"/>
      <c r="BO147" s="50"/>
      <c r="BP147" s="50"/>
      <c r="BQ147" s="50"/>
      <c r="BR147" s="50"/>
      <c r="BS147" s="50"/>
      <c r="BT147" s="50"/>
      <c r="BU147" s="50"/>
      <c r="BV147" s="50"/>
      <c r="BW147" s="50"/>
      <c r="BX147" s="50"/>
      <c r="BY147" s="50"/>
      <c r="BZ147" s="50"/>
      <c r="CA147" s="50"/>
      <c r="CB147" s="50"/>
      <c r="CC147" s="50"/>
      <c r="CD147" s="50"/>
      <c r="CE147" s="50"/>
      <c r="CF147" s="50"/>
      <c r="CG147" s="50"/>
      <c r="CH147" s="50"/>
      <c r="CI147" s="50"/>
      <c r="CJ147" s="50"/>
      <c r="CK147" s="50"/>
      <c r="CL147" s="50"/>
      <c r="CM147" s="50"/>
      <c r="CN147" s="50"/>
      <c r="CO147" s="50"/>
      <c r="CP147" s="50"/>
      <c r="CQ147" s="50"/>
      <c r="CR147" s="50"/>
      <c r="CS147" s="50"/>
      <c r="CT147" s="50"/>
      <c r="CU147" s="50"/>
      <c r="CV147" s="50"/>
      <c r="CW147" s="50"/>
      <c r="CX147" s="50"/>
      <c r="CY147" s="50"/>
      <c r="CZ147" s="50"/>
      <c r="DA147" s="50"/>
      <c r="DB147" s="50"/>
      <c r="DC147" s="50"/>
      <c r="DD147" s="50"/>
      <c r="DE147" s="49"/>
      <c r="DF147" s="49"/>
      <c r="DG147" s="49"/>
      <c r="DH147" s="49"/>
      <c r="DI147" s="49"/>
      <c r="DJ147" s="49"/>
      <c r="DK147" s="49"/>
      <c r="DL147" s="49"/>
      <c r="DM147" s="49"/>
      <c r="DN147" s="49"/>
      <c r="DO147" s="49"/>
      <c r="DP147" s="49"/>
      <c r="DQ147" s="49"/>
      <c r="DR147" s="49"/>
      <c r="DS147" s="49"/>
      <c r="DT147" s="49"/>
      <c r="DU147" s="49"/>
      <c r="DV147" s="49"/>
      <c r="DW147" s="49"/>
      <c r="DX147" s="49"/>
      <c r="DY147" s="49"/>
      <c r="DZ147" s="49"/>
      <c r="EA147" s="49"/>
      <c r="EB147" s="49"/>
      <c r="EC147" s="49"/>
      <c r="ED147" s="49"/>
      <c r="EE147" s="50"/>
      <c r="EF147" s="50"/>
      <c r="EG147" s="50"/>
      <c r="EH147" s="50"/>
      <c r="EI147" s="50"/>
      <c r="EJ147" s="50"/>
      <c r="EK147" s="50"/>
      <c r="EL147" s="50"/>
      <c r="EM147" s="50"/>
      <c r="EN147" s="50"/>
      <c r="EO147" s="50"/>
      <c r="EP147" s="50"/>
      <c r="EQ147" s="50"/>
      <c r="ER147" s="50"/>
      <c r="ES147" s="50"/>
      <c r="ET147" s="50"/>
      <c r="EU147" s="50"/>
      <c r="EV147" s="50"/>
      <c r="EW147" s="50"/>
      <c r="EX147" s="50"/>
      <c r="EY147" s="50"/>
      <c r="EZ147" s="50"/>
      <c r="FA147" s="50"/>
      <c r="FB147" s="50"/>
      <c r="FC147" s="50"/>
      <c r="FD147" s="50"/>
      <c r="FE147" s="50"/>
      <c r="FF147" s="50"/>
      <c r="FG147" s="50"/>
      <c r="FH147" s="50"/>
      <c r="FI147" s="50"/>
      <c r="FJ147" s="50"/>
      <c r="FK147" s="50"/>
      <c r="FL147" s="50"/>
      <c r="FM147" s="50"/>
      <c r="FN147" s="50"/>
    </row>
    <row r="148" spans="1:170" s="14" customFormat="1" ht="18" customHeight="1">
      <c r="A148" s="1976"/>
      <c r="B148" s="204"/>
      <c r="C148" s="14" t="str">
        <f>Begriffe!F50</f>
        <v>Interne Wärmeeintragsleistung</v>
      </c>
      <c r="F148" s="14" t="str">
        <f>Begriffe!$F$366</f>
        <v>Personen, Geräte, Beleuchtung</v>
      </c>
      <c r="I148" s="155" t="s">
        <v>968</v>
      </c>
      <c r="J148" s="377" t="s">
        <v>149</v>
      </c>
      <c r="K148" s="377"/>
      <c r="L148" s="99"/>
      <c r="M148" s="148">
        <f>$M62+M80+M122</f>
        <v>15.379166666666668</v>
      </c>
      <c r="N148" s="148">
        <f>$M62+N80+N122</f>
        <v>9.3097222222222218</v>
      </c>
      <c r="O148" s="148">
        <f>$M62+O80+O122</f>
        <v>18.230357142857144</v>
      </c>
      <c r="P148" s="14">
        <v>1</v>
      </c>
      <c r="Q148" s="392">
        <v>1</v>
      </c>
      <c r="R148" s="14">
        <v>1</v>
      </c>
      <c r="W148" s="89">
        <f>$M62+M80+M122</f>
        <v>15.379166666666668</v>
      </c>
      <c r="X148" s="89">
        <f>$M62+N80+N122</f>
        <v>9.3097222222222218</v>
      </c>
      <c r="Y148" s="65">
        <f>$M62+O80+O122</f>
        <v>18.230357142857144</v>
      </c>
      <c r="AA148" s="14">
        <f>Profile!C124+Profile!D124+Profile!F124</f>
        <v>15.379166666666668</v>
      </c>
      <c r="AB148" s="14">
        <f>Profile!C184+Profile!D184+Profile!F184</f>
        <v>9.3097222222222218</v>
      </c>
      <c r="AC148" s="14">
        <f>Profile!C224+Profile!D224+Profile!F224</f>
        <v>18.230357142857144</v>
      </c>
      <c r="AE148" s="378">
        <f>SUMPRODUCT(Profile!C98:C121,Profile!B98:B121)+SUMPRODUCT(Profile!D98:D121,Profile!B98:B121)+SUMPRODUCT(Profile!F98:F121,Profile!B98:B121)</f>
        <v>2</v>
      </c>
      <c r="AF148" s="378">
        <f>SUMPRODUCT(Profile!C158:C181,Profile!B158:B181)+SUMPRODUCT(Profile!D158:D181,Profile!B158:B181)+SUMPRODUCT(Profile!F158:F181,Profile!B158:B181)</f>
        <v>1</v>
      </c>
      <c r="AG148" s="1829">
        <f>SUMPRODUCT(Profile!C198:C221,Profile!B198:B221)+SUMPRODUCT(Profile!D198:D221,Profile!B198:B221)+SUMPRODUCT(Profile!F198:F221,Profile!B198:B221)</f>
        <v>2.4000000000000004</v>
      </c>
      <c r="AH148" s="7"/>
      <c r="AI148" s="7"/>
      <c r="AJ148" s="14" t="s">
        <v>2248</v>
      </c>
      <c r="AK148" s="7"/>
      <c r="AL148" s="1833">
        <f>(MAX(Profile!$O$68:$O$82)-$M$31)*M174/(M13)</f>
        <v>0.48000000000000009</v>
      </c>
      <c r="AM148" s="1831">
        <f>Profile!O124</f>
        <v>0.71753142857142882</v>
      </c>
      <c r="AN148" s="7"/>
      <c r="AO148" s="7"/>
      <c r="AP148" s="83"/>
      <c r="AQ148" s="83"/>
      <c r="AR148" s="50"/>
      <c r="AS148" s="50"/>
      <c r="AT148" s="50"/>
      <c r="AU148" s="50"/>
      <c r="AV148" s="50"/>
      <c r="AW148" s="50"/>
      <c r="AX148" s="50"/>
      <c r="AY148" s="50"/>
      <c r="AZ148" s="50"/>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c r="BW148" s="50"/>
      <c r="BX148" s="50"/>
      <c r="BY148" s="50"/>
      <c r="BZ148" s="50"/>
      <c r="CA148" s="50"/>
      <c r="CB148" s="50"/>
      <c r="CC148" s="50"/>
      <c r="CD148" s="50"/>
      <c r="CE148" s="50"/>
      <c r="CF148" s="50"/>
      <c r="CG148" s="50"/>
      <c r="CH148" s="50"/>
      <c r="CI148" s="50"/>
      <c r="CJ148" s="50"/>
      <c r="CK148" s="50"/>
      <c r="CL148" s="50"/>
      <c r="CM148" s="50"/>
      <c r="CN148" s="50"/>
      <c r="CO148" s="50"/>
      <c r="CP148" s="50"/>
      <c r="CQ148" s="50"/>
      <c r="CR148" s="50"/>
      <c r="CS148" s="50"/>
      <c r="CT148" s="50"/>
      <c r="CU148" s="50"/>
      <c r="CV148" s="50"/>
      <c r="CW148" s="50"/>
      <c r="CX148" s="50"/>
      <c r="CY148" s="50"/>
      <c r="CZ148" s="50"/>
      <c r="DA148" s="50"/>
      <c r="DB148" s="50"/>
      <c r="DC148" s="50"/>
      <c r="DD148" s="50"/>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50"/>
      <c r="EF148" s="50"/>
      <c r="EG148" s="50"/>
      <c r="EH148" s="50"/>
      <c r="EI148" s="50"/>
      <c r="EJ148" s="50"/>
      <c r="EK148" s="50"/>
      <c r="EL148" s="50"/>
      <c r="EM148" s="50"/>
      <c r="EN148" s="50"/>
      <c r="EO148" s="50"/>
      <c r="EP148" s="50"/>
      <c r="EQ148" s="50"/>
      <c r="ER148" s="50"/>
      <c r="ES148" s="50"/>
      <c r="ET148" s="50"/>
      <c r="EU148" s="50"/>
      <c r="EV148" s="50"/>
      <c r="EW148" s="50"/>
      <c r="EX148" s="50"/>
      <c r="EY148" s="50"/>
      <c r="EZ148" s="50"/>
      <c r="FA148" s="50"/>
      <c r="FB148" s="50"/>
      <c r="FC148" s="50"/>
      <c r="FD148" s="50"/>
      <c r="FE148" s="50"/>
      <c r="FF148" s="50"/>
      <c r="FG148" s="50"/>
      <c r="FH148" s="50"/>
      <c r="FI148" s="50"/>
      <c r="FJ148" s="50"/>
      <c r="FK148" s="50"/>
      <c r="FL148" s="50"/>
      <c r="FM148" s="50"/>
      <c r="FN148" s="50"/>
    </row>
    <row r="149" spans="1:170" s="8" customFormat="1" ht="18" customHeight="1">
      <c r="A149" s="1976"/>
      <c r="B149" s="204"/>
      <c r="C149" s="14" t="str">
        <f>Begriffe!F49</f>
        <v>Interne Wärmeeinträge pro Tag</v>
      </c>
      <c r="D149" s="14"/>
      <c r="E149" s="14"/>
      <c r="F149" s="14" t="str">
        <f>Begriffe!$F$366</f>
        <v>Personen, Geräte, Beleuchtung</v>
      </c>
      <c r="G149" s="14"/>
      <c r="H149" s="14"/>
      <c r="I149" s="98" t="s">
        <v>969</v>
      </c>
      <c r="J149" s="377" t="s">
        <v>970</v>
      </c>
      <c r="K149" s="377"/>
      <c r="L149" s="99"/>
      <c r="M149" s="149">
        <f>Profile!C123+Profile!D123+Profile!F123</f>
        <v>116.53749999999999</v>
      </c>
      <c r="N149" s="149">
        <f>Profile!C183+Profile!D183+Profile!F183</f>
        <v>76.329166666666666</v>
      </c>
      <c r="O149" s="149">
        <f>Profile!C223+Profile!D223+Profile!F223</f>
        <v>133.89107142857142</v>
      </c>
      <c r="P149" s="14">
        <v>1</v>
      </c>
      <c r="Q149" s="392">
        <v>1</v>
      </c>
      <c r="R149" s="14">
        <v>1</v>
      </c>
      <c r="S149" s="14"/>
      <c r="T149" s="14"/>
      <c r="W149" s="89">
        <f>M64+M81+M123</f>
        <v>109.32641994844182</v>
      </c>
      <c r="X149" s="89">
        <f>N64+N81+N123</f>
        <v>71.706679454129386</v>
      </c>
      <c r="Y149" s="65">
        <f>O64+O81+O123</f>
        <v>124.61968279085377</v>
      </c>
      <c r="AE149" s="67" t="str">
        <f>IF(AE147+AE148=M157,"x","")</f>
        <v>x</v>
      </c>
      <c r="AF149" s="67" t="str">
        <f>IF(AF147+AF148=N157,"x","")</f>
        <v>x</v>
      </c>
      <c r="AG149" s="1830"/>
      <c r="AH149" s="7"/>
      <c r="AI149" s="7"/>
      <c r="AJ149" s="7"/>
      <c r="AK149" s="7"/>
      <c r="AL149" s="7"/>
      <c r="AN149" s="7"/>
      <c r="AO149" s="7"/>
      <c r="AP149" s="83"/>
      <c r="AQ149" s="83"/>
      <c r="AR149" s="50"/>
      <c r="AS149" s="50"/>
      <c r="AT149" s="50"/>
      <c r="AU149" s="50"/>
      <c r="AV149" s="50"/>
      <c r="AW149" s="50"/>
      <c r="AX149" s="50"/>
      <c r="AY149" s="50"/>
      <c r="AZ149" s="50"/>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c r="BW149" s="50"/>
      <c r="BX149" s="50"/>
      <c r="BY149" s="50"/>
      <c r="BZ149" s="50"/>
      <c r="CA149" s="50"/>
      <c r="CB149" s="50"/>
      <c r="CC149" s="50"/>
      <c r="CD149" s="50"/>
      <c r="CE149" s="50"/>
      <c r="CF149" s="50"/>
      <c r="CG149" s="50"/>
      <c r="CH149" s="50"/>
      <c r="CI149" s="50"/>
      <c r="CJ149" s="50"/>
      <c r="CK149" s="50"/>
      <c r="CL149" s="50"/>
      <c r="CM149" s="50"/>
      <c r="CN149" s="50"/>
      <c r="CO149" s="50"/>
      <c r="CP149" s="50"/>
      <c r="CQ149" s="50"/>
      <c r="CR149" s="50"/>
      <c r="CS149" s="50"/>
      <c r="CT149" s="50"/>
      <c r="CU149" s="50"/>
      <c r="CV149" s="50"/>
      <c r="CW149" s="50"/>
      <c r="CX149" s="50"/>
      <c r="CY149" s="50"/>
      <c r="CZ149" s="50"/>
      <c r="DA149" s="50"/>
      <c r="DB149" s="50"/>
      <c r="DC149" s="50"/>
      <c r="DD149" s="50"/>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50"/>
      <c r="EF149" s="50"/>
      <c r="EG149" s="50"/>
      <c r="EH149" s="50"/>
      <c r="EI149" s="50"/>
      <c r="EJ149" s="50"/>
      <c r="EK149" s="50"/>
      <c r="EL149" s="50"/>
      <c r="EM149" s="50"/>
      <c r="EN149" s="50"/>
      <c r="EO149" s="50"/>
      <c r="EP149" s="50"/>
      <c r="EQ149" s="50"/>
      <c r="ER149" s="50"/>
      <c r="ES149" s="50"/>
      <c r="ET149" s="50"/>
      <c r="EU149" s="50"/>
      <c r="EV149" s="50"/>
      <c r="EW149" s="50"/>
      <c r="EX149" s="50"/>
      <c r="EY149" s="50"/>
      <c r="EZ149" s="50"/>
      <c r="FA149" s="50"/>
      <c r="FB149" s="50"/>
      <c r="FC149" s="50"/>
      <c r="FD149" s="50"/>
      <c r="FE149" s="50"/>
      <c r="FF149" s="50"/>
      <c r="FG149" s="50"/>
      <c r="FH149" s="50"/>
      <c r="FI149" s="50"/>
      <c r="FJ149" s="50"/>
      <c r="FK149" s="50"/>
      <c r="FL149" s="50"/>
      <c r="FM149" s="50"/>
      <c r="FN149" s="50"/>
    </row>
    <row r="150" spans="1:170" s="8" customFormat="1" ht="18" hidden="1" customHeight="1">
      <c r="A150" s="1976"/>
      <c r="B150" s="204"/>
      <c r="C150" s="395" t="str">
        <f>Begriffe!F82</f>
        <v>Notwendigkeit einer Kühlung</v>
      </c>
      <c r="D150" s="395"/>
      <c r="E150" s="395"/>
      <c r="F150" s="395" t="str">
        <f>Begriffe!$F$367</f>
        <v>Mit unterstützender Fensterlüftung Tag und Nacht</v>
      </c>
      <c r="G150" s="395"/>
      <c r="H150" s="395"/>
      <c r="I150" s="396"/>
      <c r="J150" s="397"/>
      <c r="K150" s="397"/>
      <c r="L150" s="401"/>
      <c r="M150" s="476" t="str">
        <f>IF(M$31=0,"-",IF(M158=0,"-",IF(OR(nutzid=1,nutzid=2),"-",IF(nutzid=33,"nicht notwend.",IF(nutzid=44,"notwendig",IF(M149&lt;140,"nicht notwend.",IF(M149&lt;=200,"erwünscht","notwendig")))))))</f>
        <v>-</v>
      </c>
      <c r="N150" s="476" t="str">
        <f>IF(M$31=0,"-",IF(N158=0,"-",IF(OR(nutzid=1,nutzid=2),"-",IF(nutzid=33,"nicht notwend.",IF(nutzid=44,"notwendig",IF(N149&lt;140,"nicht notwend.",IF(N149&lt;=200,"erwünscht","notwendig")))))))</f>
        <v>-</v>
      </c>
      <c r="O150" s="476" t="s">
        <v>16</v>
      </c>
      <c r="P150" s="14">
        <v>0</v>
      </c>
      <c r="Q150" s="392">
        <v>0</v>
      </c>
      <c r="R150" s="14">
        <v>1</v>
      </c>
      <c r="S150" s="14"/>
      <c r="T150" s="14"/>
      <c r="X150" s="158"/>
      <c r="Y150" s="64"/>
      <c r="Z150" s="158"/>
      <c r="AA150" s="158"/>
      <c r="AB150" s="65"/>
      <c r="AC150" s="89"/>
      <c r="AD150" s="89"/>
      <c r="AE150" s="7"/>
      <c r="AF150" s="7"/>
      <c r="AG150" s="7"/>
      <c r="AH150" s="7"/>
      <c r="AI150" s="7"/>
      <c r="AJ150" s="7"/>
      <c r="AK150" s="7"/>
      <c r="AL150" s="7"/>
      <c r="AM150" s="7"/>
      <c r="AN150" s="7"/>
      <c r="AO150" s="7"/>
      <c r="AP150" s="83"/>
      <c r="AQ150" s="83"/>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50"/>
      <c r="DA150" s="50"/>
      <c r="DB150" s="50"/>
      <c r="DC150" s="50"/>
      <c r="DD150" s="50"/>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50"/>
      <c r="EF150" s="50"/>
      <c r="EG150" s="50"/>
      <c r="EH150" s="50"/>
      <c r="EI150" s="50"/>
      <c r="EJ150" s="50"/>
      <c r="EK150" s="50"/>
      <c r="EL150" s="50"/>
      <c r="EM150" s="50"/>
      <c r="EN150" s="50"/>
      <c r="EO150" s="50"/>
      <c r="EP150" s="50"/>
      <c r="EQ150" s="50"/>
      <c r="ER150" s="50"/>
      <c r="ES150" s="50"/>
      <c r="ET150" s="50"/>
      <c r="EU150" s="50"/>
      <c r="EV150" s="50"/>
      <c r="EW150" s="50"/>
      <c r="EX150" s="50"/>
      <c r="EY150" s="50"/>
      <c r="EZ150" s="50"/>
      <c r="FA150" s="50"/>
      <c r="FB150" s="50"/>
      <c r="FC150" s="50"/>
      <c r="FD150" s="50"/>
      <c r="FE150" s="50"/>
      <c r="FF150" s="50"/>
      <c r="FG150" s="50"/>
      <c r="FH150" s="50"/>
      <c r="FI150" s="50"/>
      <c r="FJ150" s="50"/>
      <c r="FK150" s="50"/>
      <c r="FL150" s="50"/>
      <c r="FM150" s="50"/>
      <c r="FN150" s="50"/>
    </row>
    <row r="151" spans="1:170" s="8" customFormat="1" ht="18" hidden="1" customHeight="1">
      <c r="A151" s="1976"/>
      <c r="B151" s="204"/>
      <c r="C151" s="527" t="s">
        <v>729</v>
      </c>
      <c r="D151" s="395"/>
      <c r="E151" s="395"/>
      <c r="F151" s="395" t="str">
        <f>Begriffe!$F$368</f>
        <v>Mit unterstützender Fensterlüftung bei Belegung</v>
      </c>
      <c r="G151" s="395"/>
      <c r="H151" s="395"/>
      <c r="I151" s="396"/>
      <c r="J151" s="397"/>
      <c r="K151" s="397"/>
      <c r="L151" s="401"/>
      <c r="M151" s="476" t="str">
        <f>IF(M$31=0,"-",IF(M158=0,"-",IF(OR(nutzid=1,nutzid=2),"-",IF(nutzid=33,"nicht notwend.",IF(nutzid=44,"notwendig",IF(M149&lt;100,"nicht notwend.",IF(M149&lt;=140,"erwünscht","notwendig")))))))</f>
        <v>-</v>
      </c>
      <c r="N151" s="476" t="str">
        <f>IF(M$31=0,"-",IF(N158=0,"-",IF(OR(nutzid=1,nutzid=2),"-",IF(nutzid=33,"nicht notwend.",IF(nutzid=44,"notwendig",IF(N149&lt;100,"nicht notwend.",IF(N149&lt;=140,"erwünscht","notwendig")))))))</f>
        <v>-</v>
      </c>
      <c r="O151" s="476" t="s">
        <v>16</v>
      </c>
      <c r="P151" s="14">
        <v>0</v>
      </c>
      <c r="Q151" s="392">
        <v>0</v>
      </c>
      <c r="R151" s="14">
        <v>0</v>
      </c>
      <c r="S151" s="14"/>
      <c r="T151" s="14"/>
      <c r="X151" s="158"/>
      <c r="Y151" s="64"/>
      <c r="Z151" s="158"/>
      <c r="AA151" s="158"/>
      <c r="AB151" s="65"/>
      <c r="AC151" s="89"/>
      <c r="AD151" s="89"/>
      <c r="AE151" s="7"/>
      <c r="AF151" s="7"/>
      <c r="AG151" s="7"/>
      <c r="AH151" s="7"/>
      <c r="AI151" s="7"/>
      <c r="AJ151" s="7"/>
      <c r="AK151" s="7"/>
      <c r="AL151" s="7"/>
      <c r="AM151" s="7"/>
      <c r="AN151" s="7"/>
      <c r="AO151" s="7"/>
      <c r="AP151" s="83"/>
      <c r="AQ151" s="83"/>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50"/>
      <c r="DA151" s="50"/>
      <c r="DB151" s="50"/>
      <c r="DC151" s="50"/>
      <c r="DD151" s="50"/>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50"/>
      <c r="EF151" s="50"/>
      <c r="EG151" s="50"/>
      <c r="EH151" s="50"/>
      <c r="EI151" s="50"/>
      <c r="EJ151" s="50"/>
      <c r="EK151" s="50"/>
      <c r="EL151" s="50"/>
      <c r="EM151" s="50"/>
      <c r="EN151" s="50"/>
      <c r="EO151" s="50"/>
      <c r="EP151" s="50"/>
      <c r="EQ151" s="50"/>
      <c r="ER151" s="50"/>
      <c r="ES151" s="50"/>
      <c r="ET151" s="50"/>
      <c r="EU151" s="50"/>
      <c r="EV151" s="50"/>
      <c r="EW151" s="50"/>
      <c r="EX151" s="50"/>
      <c r="EY151" s="50"/>
      <c r="EZ151" s="50"/>
      <c r="FA151" s="50"/>
      <c r="FB151" s="50"/>
      <c r="FC151" s="50"/>
      <c r="FD151" s="50"/>
      <c r="FE151" s="50"/>
      <c r="FF151" s="50"/>
      <c r="FG151" s="50"/>
      <c r="FH151" s="50"/>
      <c r="FI151" s="50"/>
      <c r="FJ151" s="50"/>
      <c r="FK151" s="50"/>
      <c r="FL151" s="50"/>
      <c r="FM151" s="50"/>
      <c r="FN151" s="50"/>
    </row>
    <row r="152" spans="1:170" s="8" customFormat="1" ht="18" hidden="1" customHeight="1">
      <c r="A152" s="1976"/>
      <c r="B152" s="204"/>
      <c r="C152" s="471"/>
      <c r="D152" s="395"/>
      <c r="E152" s="395"/>
      <c r="F152" s="395" t="str">
        <f>Begriffe!$F$369</f>
        <v>Ohne Fensterlüftung</v>
      </c>
      <c r="G152" s="395"/>
      <c r="H152" s="395"/>
      <c r="I152" s="396"/>
      <c r="J152" s="397"/>
      <c r="K152" s="397"/>
      <c r="L152" s="401"/>
      <c r="M152" s="476" t="str">
        <f>IF(M$31=0,"-",IF(M158=0,"-",IF(OR(nutzid=1,nutzid=2),"-",IF(nutzid=33,"nicht notwend.",IF(nutzid=44,"notwendig",IF(M149&lt;80,"nicht notwend.",IF(M149&lt;=120,"erwünscht","notwendig")))))))</f>
        <v>-</v>
      </c>
      <c r="N152" s="476" t="str">
        <f>IF(M$31=0,"-",IF(N158=0,"-",IF(OR(nutzid=1,nutzid=2),"-",IF(nutzid=33,"nicht notwend.",IF(nutzid=44,"notwendig",IF(N149&lt;80,"nicht notwend.",IF(N149&lt;=120,"erwünscht","notwendig")))))))</f>
        <v>-</v>
      </c>
      <c r="O152" s="476" t="s">
        <v>16</v>
      </c>
      <c r="P152" s="14">
        <v>0</v>
      </c>
      <c r="Q152" s="392">
        <v>0</v>
      </c>
      <c r="R152" s="14">
        <v>0</v>
      </c>
      <c r="S152" s="14"/>
      <c r="T152" s="14"/>
      <c r="X152" s="158"/>
      <c r="Y152" s="64"/>
      <c r="Z152" s="158"/>
      <c r="AA152" s="158"/>
      <c r="AB152" s="65"/>
      <c r="AC152" s="89"/>
      <c r="AD152" s="89"/>
      <c r="AE152" s="7"/>
      <c r="AF152" s="7"/>
      <c r="AG152" s="7"/>
      <c r="AH152" s="7"/>
      <c r="AI152" s="7"/>
      <c r="AJ152" s="7"/>
      <c r="AK152" s="7"/>
      <c r="AL152" s="7"/>
      <c r="AM152" s="7"/>
      <c r="AN152" s="7"/>
      <c r="AO152" s="7"/>
      <c r="AP152" s="83"/>
      <c r="AQ152" s="83"/>
      <c r="AR152" s="50"/>
      <c r="AS152" s="50"/>
      <c r="AT152" s="50"/>
      <c r="AU152" s="50"/>
      <c r="AV152" s="50"/>
      <c r="AW152" s="50"/>
      <c r="AX152" s="50"/>
      <c r="AY152" s="50"/>
      <c r="AZ152" s="50"/>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c r="BW152" s="50"/>
      <c r="BX152" s="50"/>
      <c r="BY152" s="50"/>
      <c r="BZ152" s="50"/>
      <c r="CA152" s="50"/>
      <c r="CB152" s="50"/>
      <c r="CC152" s="50"/>
      <c r="CD152" s="50"/>
      <c r="CE152" s="50"/>
      <c r="CF152" s="50"/>
      <c r="CG152" s="50"/>
      <c r="CH152" s="50"/>
      <c r="CI152" s="50"/>
      <c r="CJ152" s="50"/>
      <c r="CK152" s="50"/>
      <c r="CL152" s="50"/>
      <c r="CM152" s="50"/>
      <c r="CN152" s="50"/>
      <c r="CO152" s="50"/>
      <c r="CP152" s="50"/>
      <c r="CQ152" s="50"/>
      <c r="CR152" s="50"/>
      <c r="CS152" s="50"/>
      <c r="CT152" s="50"/>
      <c r="CU152" s="50"/>
      <c r="CV152" s="50"/>
      <c r="CW152" s="50"/>
      <c r="CX152" s="50"/>
      <c r="CY152" s="50"/>
      <c r="CZ152" s="50"/>
      <c r="DA152" s="50"/>
      <c r="DB152" s="50"/>
      <c r="DC152" s="50"/>
      <c r="DD152" s="50"/>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50"/>
      <c r="EF152" s="50"/>
      <c r="EG152" s="50"/>
      <c r="EH152" s="50"/>
      <c r="EI152" s="50"/>
      <c r="EJ152" s="50"/>
      <c r="EK152" s="50"/>
      <c r="EL152" s="50"/>
      <c r="EM152" s="50"/>
      <c r="EN152" s="50"/>
      <c r="EO152" s="50"/>
      <c r="EP152" s="50"/>
      <c r="EQ152" s="50"/>
      <c r="ER152" s="50"/>
      <c r="ES152" s="50"/>
      <c r="ET152" s="50"/>
      <c r="EU152" s="50"/>
      <c r="EV152" s="50"/>
      <c r="EW152" s="50"/>
      <c r="EX152" s="50"/>
      <c r="EY152" s="50"/>
      <c r="EZ152" s="50"/>
      <c r="FA152" s="50"/>
      <c r="FB152" s="50"/>
      <c r="FC152" s="50"/>
      <c r="FD152" s="50"/>
      <c r="FE152" s="50"/>
      <c r="FF152" s="50"/>
      <c r="FG152" s="50"/>
      <c r="FH152" s="50"/>
      <c r="FI152" s="50"/>
      <c r="FJ152" s="50"/>
      <c r="FK152" s="50"/>
      <c r="FL152" s="50"/>
      <c r="FM152" s="50"/>
      <c r="FN152" s="50"/>
    </row>
    <row r="153" spans="1:170" s="8" customFormat="1" ht="18" customHeight="1">
      <c r="A153" s="1976"/>
      <c r="B153" s="204"/>
      <c r="C153" s="14" t="str">
        <f>Begriffe!F82</f>
        <v>Notwendigkeit einer Kühlung</v>
      </c>
      <c r="D153" s="14"/>
      <c r="E153" s="14"/>
      <c r="F153" s="14" t="str">
        <f>Begriffe!$F$367</f>
        <v>Mit unterstützender Fensterlüftung Tag und Nacht</v>
      </c>
      <c r="G153" s="14"/>
      <c r="H153" s="14"/>
      <c r="I153" s="98"/>
      <c r="J153" s="377"/>
      <c r="K153" s="377"/>
      <c r="L153" s="99"/>
      <c r="M153" s="444" t="str">
        <f>IF(OR($O$2=1.01,$O$2=1.02,$M$31=0),"-",IF(M$149&lt;140,Begriffe!$F$257,IF(M$149&lt;200,Begriffe!$F$258,Begriffe!$F$259)))</f>
        <v>-</v>
      </c>
      <c r="N153" s="444" t="str">
        <f>IF(OR($O$2=1.01,$O$2=1.02,$M$31=0),"-",IF(N$149&lt;140,Begriffe!$F$257,IF(N$149&lt;200,Begriffe!$F$258,Begriffe!$F$259)))</f>
        <v>-</v>
      </c>
      <c r="O153" s="444" t="s">
        <v>16</v>
      </c>
      <c r="P153" s="14">
        <v>1</v>
      </c>
      <c r="Q153" s="392">
        <v>1</v>
      </c>
      <c r="R153" s="14">
        <v>1</v>
      </c>
      <c r="S153" s="14"/>
      <c r="T153" s="14"/>
      <c r="W153" s="8" t="str">
        <f>INDEX(Eingabedaten!$D$9:$DN$53,nutzid,MATCH($C153,Eingabedaten!$D$6:$DN$6,0)+0)</f>
        <v>-</v>
      </c>
      <c r="X153" s="158" t="str">
        <f>INDEX(Eingabedaten!$D$9:$DN$53,nutzid,MATCH($C153,Eingabedaten!$D$6:$DN$6,0)+3)</f>
        <v>-</v>
      </c>
      <c r="Y153" s="64"/>
      <c r="Z153" s="158"/>
      <c r="AA153" s="158"/>
      <c r="AB153" s="65"/>
      <c r="AC153" s="89"/>
      <c r="AD153" s="89"/>
      <c r="AE153" s="7"/>
      <c r="AF153" s="7"/>
      <c r="AG153" s="7"/>
      <c r="AH153" s="7"/>
      <c r="AI153" s="7"/>
      <c r="AJ153" s="7"/>
      <c r="AK153" s="7"/>
      <c r="AL153" s="7"/>
      <c r="AM153" s="7"/>
      <c r="AN153" s="7"/>
      <c r="AO153" s="7"/>
      <c r="AP153" s="83"/>
      <c r="AQ153" s="83"/>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c r="CW153" s="50"/>
      <c r="CX153" s="50"/>
      <c r="CY153" s="50"/>
      <c r="CZ153" s="50"/>
      <c r="DA153" s="50"/>
      <c r="DB153" s="50"/>
      <c r="DC153" s="50"/>
      <c r="DD153" s="50"/>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50"/>
      <c r="EF153" s="50"/>
      <c r="EG153" s="50"/>
      <c r="EH153" s="50"/>
      <c r="EI153" s="50"/>
      <c r="EJ153" s="50"/>
      <c r="EK153" s="50"/>
      <c r="EL153" s="50"/>
      <c r="EM153" s="50"/>
      <c r="EN153" s="50"/>
      <c r="EO153" s="50"/>
      <c r="EP153" s="50"/>
      <c r="EQ153" s="50"/>
      <c r="ER153" s="50"/>
      <c r="ES153" s="50"/>
      <c r="ET153" s="50"/>
      <c r="EU153" s="50"/>
      <c r="EV153" s="50"/>
      <c r="EW153" s="50"/>
      <c r="EX153" s="50"/>
      <c r="EY153" s="50"/>
      <c r="EZ153" s="50"/>
      <c r="FA153" s="50"/>
      <c r="FB153" s="50"/>
      <c r="FC153" s="50"/>
      <c r="FD153" s="50"/>
      <c r="FE153" s="50"/>
      <c r="FF153" s="50"/>
      <c r="FG153" s="50"/>
      <c r="FH153" s="50"/>
      <c r="FI153" s="50"/>
      <c r="FJ153" s="50"/>
      <c r="FK153" s="50"/>
      <c r="FL153" s="50"/>
      <c r="FM153" s="50"/>
      <c r="FN153" s="50"/>
    </row>
    <row r="154" spans="1:170" s="8" customFormat="1" ht="18" customHeight="1">
      <c r="A154" s="1976"/>
      <c r="B154" s="204"/>
      <c r="C154" s="14"/>
      <c r="D154" s="14"/>
      <c r="E154" s="14"/>
      <c r="F154" s="14" t="str">
        <f>Begriffe!$F$368</f>
        <v>Mit unterstützender Fensterlüftung bei Belegung</v>
      </c>
      <c r="G154" s="14"/>
      <c r="H154" s="14"/>
      <c r="I154" s="98"/>
      <c r="J154" s="377"/>
      <c r="K154" s="377"/>
      <c r="L154" s="99"/>
      <c r="M154" s="444" t="str">
        <f>IF(OR($O$2=1.01,$O$2=1.02,$M$31=0),"-",IF(M$149&lt;100,Begriffe!$F$257,IF(M$149&lt;140,Begriffe!$F$258,Begriffe!$F$259)))</f>
        <v>-</v>
      </c>
      <c r="N154" s="444" t="str">
        <f>IF(OR($O$2=1.01,$O$2=1.02,$M$31=0),"-",IF(N$149&lt;100,Begriffe!$F$257,IF(N$149&lt;140,Begriffe!$F$258,Begriffe!$F$259)))</f>
        <v>-</v>
      </c>
      <c r="O154" s="444" t="s">
        <v>16</v>
      </c>
      <c r="P154" s="14">
        <v>1</v>
      </c>
      <c r="Q154" s="392">
        <v>1</v>
      </c>
      <c r="R154" s="14">
        <v>0</v>
      </c>
      <c r="S154" s="14"/>
      <c r="T154" s="14"/>
      <c r="W154" s="8" t="str">
        <f>INDEX(Eingabedaten!$D$9:$DN$53,nutzid,MATCH($C153,Eingabedaten!$D$6:$DN$6,0)+1)</f>
        <v>-</v>
      </c>
      <c r="X154" s="158" t="str">
        <f>INDEX(Eingabedaten!$D$9:$DN$53,nutzid,MATCH($C153,Eingabedaten!$D$6:$DN$6,0)+4)</f>
        <v>-</v>
      </c>
      <c r="Y154" s="64"/>
      <c r="Z154" s="158"/>
      <c r="AA154" s="158"/>
      <c r="AB154" s="65"/>
      <c r="AC154" s="89"/>
      <c r="AD154" s="89"/>
      <c r="AE154" s="7"/>
      <c r="AF154" s="7"/>
      <c r="AG154" s="7"/>
      <c r="AH154" s="7"/>
      <c r="AI154" s="7"/>
      <c r="AJ154" s="7"/>
      <c r="AK154" s="7"/>
      <c r="AL154" s="7"/>
      <c r="AM154" s="7"/>
      <c r="AN154" s="7"/>
      <c r="AO154" s="7"/>
      <c r="AP154" s="83"/>
      <c r="AQ154" s="83"/>
      <c r="AR154" s="50"/>
      <c r="AS154" s="50"/>
      <c r="AT154" s="50"/>
      <c r="AU154" s="50"/>
      <c r="AV154" s="50"/>
      <c r="AW154" s="50"/>
      <c r="AX154" s="50"/>
      <c r="AY154" s="50"/>
      <c r="AZ154" s="50"/>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c r="CW154" s="50"/>
      <c r="CX154" s="50"/>
      <c r="CY154" s="50"/>
      <c r="CZ154" s="50"/>
      <c r="DA154" s="50"/>
      <c r="DB154" s="50"/>
      <c r="DC154" s="50"/>
      <c r="DD154" s="50"/>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50"/>
      <c r="EF154" s="50"/>
      <c r="EG154" s="50"/>
      <c r="EH154" s="50"/>
      <c r="EI154" s="50"/>
      <c r="EJ154" s="50"/>
      <c r="EK154" s="50"/>
      <c r="EL154" s="50"/>
      <c r="EM154" s="50"/>
      <c r="EN154" s="50"/>
      <c r="EO154" s="50"/>
      <c r="EP154" s="50"/>
      <c r="EQ154" s="50"/>
      <c r="ER154" s="50"/>
      <c r="ES154" s="50"/>
      <c r="ET154" s="50"/>
      <c r="EU154" s="50"/>
      <c r="EV154" s="50"/>
      <c r="EW154" s="50"/>
      <c r="EX154" s="50"/>
      <c r="EY154" s="50"/>
      <c r="EZ154" s="50"/>
      <c r="FA154" s="50"/>
      <c r="FB154" s="50"/>
      <c r="FC154" s="50"/>
      <c r="FD154" s="50"/>
      <c r="FE154" s="50"/>
      <c r="FF154" s="50"/>
      <c r="FG154" s="50"/>
      <c r="FH154" s="50"/>
      <c r="FI154" s="50"/>
      <c r="FJ154" s="50"/>
      <c r="FK154" s="50"/>
      <c r="FL154" s="50"/>
      <c r="FM154" s="50"/>
      <c r="FN154" s="50"/>
    </row>
    <row r="155" spans="1:170" s="8" customFormat="1" ht="18" customHeight="1">
      <c r="A155" s="1976"/>
      <c r="B155" s="204"/>
      <c r="C155" s="14"/>
      <c r="D155" s="14"/>
      <c r="E155" s="14"/>
      <c r="F155" s="14" t="str">
        <f>Begriffe!$F$369</f>
        <v>Ohne Fensterlüftung</v>
      </c>
      <c r="G155" s="14"/>
      <c r="H155" s="14"/>
      <c r="I155" s="98"/>
      <c r="J155" s="377"/>
      <c r="K155" s="377"/>
      <c r="L155" s="99"/>
      <c r="M155" s="444" t="str">
        <f>IF(OR($O$2=1.01,$O$2=1.02,$M$31=0),"-",IF(M$149&lt;80,Begriffe!$F$257,IF(M$149&lt;120,Begriffe!$F$258,Begriffe!$F$259)))</f>
        <v>-</v>
      </c>
      <c r="N155" s="444" t="str">
        <f>IF(OR($O$2=1.01,$O$2=1.02,$M$31=0),"-",IF(N$149&lt;80,Begriffe!$F$257,IF(N$149&lt;120,Begriffe!$F$258,Begriffe!$F$259)))</f>
        <v>-</v>
      </c>
      <c r="O155" s="444" t="s">
        <v>16</v>
      </c>
      <c r="P155" s="14">
        <v>1</v>
      </c>
      <c r="Q155" s="392">
        <v>1</v>
      </c>
      <c r="R155" s="14">
        <v>0</v>
      </c>
      <c r="S155" s="14"/>
      <c r="T155" s="14"/>
      <c r="W155" s="8" t="str">
        <f>INDEX(Eingabedaten!$D$9:$DN$53,nutzid,MATCH($C153,Eingabedaten!$D$6:$DN$6,0)+2)</f>
        <v>-</v>
      </c>
      <c r="X155" s="158" t="str">
        <f>INDEX(Eingabedaten!$D$9:$DN$53,nutzid,MATCH($C153,Eingabedaten!$D$6:$DN$6,0)+5)</f>
        <v>-</v>
      </c>
      <c r="Y155" s="64"/>
      <c r="Z155" s="158"/>
      <c r="AA155" s="158"/>
      <c r="AB155" s="65"/>
      <c r="AC155" s="89"/>
      <c r="AD155" s="89"/>
      <c r="AE155" s="7"/>
      <c r="AF155" s="7"/>
      <c r="AG155" s="7"/>
      <c r="AH155" s="7"/>
      <c r="AI155" s="7"/>
      <c r="AJ155" s="7"/>
      <c r="AK155" s="7"/>
      <c r="AL155" s="7"/>
      <c r="AM155" s="7"/>
      <c r="AN155" s="7"/>
      <c r="AO155" s="7"/>
      <c r="AP155" s="83"/>
      <c r="AQ155" s="83"/>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50"/>
      <c r="CM155" s="50"/>
      <c r="CN155" s="50"/>
      <c r="CO155" s="50"/>
      <c r="CP155" s="50"/>
      <c r="CQ155" s="50"/>
      <c r="CR155" s="50"/>
      <c r="CS155" s="50"/>
      <c r="CT155" s="50"/>
      <c r="CU155" s="50"/>
      <c r="CV155" s="50"/>
      <c r="CW155" s="50"/>
      <c r="CX155" s="50"/>
      <c r="CY155" s="50"/>
      <c r="CZ155" s="50"/>
      <c r="DA155" s="50"/>
      <c r="DB155" s="50"/>
      <c r="DC155" s="50"/>
      <c r="DD155" s="50"/>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50"/>
      <c r="EF155" s="50"/>
      <c r="EG155" s="50"/>
      <c r="EH155" s="50"/>
      <c r="EI155" s="50"/>
      <c r="EJ155" s="50"/>
      <c r="EK155" s="50"/>
      <c r="EL155" s="50"/>
      <c r="EM155" s="50"/>
      <c r="EN155" s="50"/>
      <c r="EO155" s="50"/>
      <c r="EP155" s="50"/>
      <c r="EQ155" s="50"/>
      <c r="ER155" s="50"/>
      <c r="ES155" s="50"/>
      <c r="ET155" s="50"/>
      <c r="EU155" s="50"/>
      <c r="EV155" s="50"/>
      <c r="EW155" s="50"/>
      <c r="EX155" s="50"/>
      <c r="EY155" s="50"/>
      <c r="EZ155" s="50"/>
      <c r="FA155" s="50"/>
      <c r="FB155" s="50"/>
      <c r="FC155" s="50"/>
      <c r="FD155" s="50"/>
      <c r="FE155" s="50"/>
      <c r="FF155" s="50"/>
      <c r="FG155" s="50"/>
      <c r="FH155" s="50"/>
      <c r="FI155" s="50"/>
      <c r="FJ155" s="50"/>
      <c r="FK155" s="50"/>
      <c r="FL155" s="50"/>
      <c r="FM155" s="50"/>
      <c r="FN155" s="50"/>
    </row>
    <row r="156" spans="1:170" s="8" customFormat="1" ht="18" hidden="1" customHeight="1">
      <c r="A156" s="1976"/>
      <c r="B156" s="204"/>
      <c r="C156" s="14" t="str">
        <f>Begriffe!F68</f>
        <v>Klimakälteleistungsbedarf</v>
      </c>
      <c r="D156" s="13"/>
      <c r="E156" s="13"/>
      <c r="F156" s="14" t="str">
        <f>Begriffe!F380</f>
        <v>Ohne Fensterlüftung, ohne Prozessanlagen</v>
      </c>
      <c r="G156" s="13"/>
      <c r="H156" s="13"/>
      <c r="I156" s="155" t="s">
        <v>971</v>
      </c>
      <c r="J156" s="103" t="s">
        <v>54</v>
      </c>
      <c r="K156" s="103"/>
      <c r="L156" s="99"/>
      <c r="M156" s="394">
        <f>IF($M31=0,0,(M147+M148)*0.7)</f>
        <v>23.79344749019608</v>
      </c>
      <c r="N156" s="394">
        <f t="shared" ref="N156:O156" si="0">IF($M31=0,0,(N147+N148)*0.7)</f>
        <v>15.814226984261436</v>
      </c>
      <c r="O156" s="394">
        <f t="shared" si="0"/>
        <v>34.310403882352944</v>
      </c>
      <c r="P156" s="14">
        <v>1</v>
      </c>
      <c r="Q156" s="392"/>
      <c r="R156" s="14"/>
      <c r="S156" s="14"/>
      <c r="T156" s="243" t="s">
        <v>1485</v>
      </c>
      <c r="X156" s="158"/>
      <c r="Y156" s="64"/>
      <c r="Z156" s="158"/>
      <c r="AA156" s="158"/>
      <c r="AB156" s="65"/>
      <c r="AC156" s="89"/>
      <c r="AD156" s="89"/>
      <c r="AE156" s="7"/>
      <c r="AF156" s="7"/>
      <c r="AG156" s="7"/>
      <c r="AH156" s="7"/>
      <c r="AI156" s="7"/>
      <c r="AJ156" s="7"/>
      <c r="AK156" s="7"/>
      <c r="AL156" s="7"/>
      <c r="AM156" s="7"/>
      <c r="AN156" s="7"/>
      <c r="AO156" s="7"/>
      <c r="AP156" s="83"/>
      <c r="AQ156" s="83"/>
      <c r="AR156" s="50"/>
      <c r="AS156" s="50"/>
      <c r="AT156" s="50"/>
      <c r="AU156" s="50"/>
      <c r="AV156" s="50"/>
      <c r="AW156" s="50"/>
      <c r="AX156" s="50"/>
      <c r="AY156" s="50"/>
      <c r="AZ156" s="50"/>
      <c r="BA156" s="50"/>
      <c r="BB156" s="50"/>
      <c r="BC156" s="50"/>
      <c r="BD156" s="50"/>
      <c r="BE156" s="50"/>
      <c r="BF156" s="50"/>
      <c r="BG156" s="50"/>
      <c r="BH156" s="50"/>
      <c r="BI156" s="50"/>
      <c r="BJ156" s="50"/>
      <c r="BK156" s="50"/>
      <c r="BL156" s="50"/>
      <c r="BM156" s="50"/>
      <c r="BN156" s="50"/>
      <c r="BO156" s="50"/>
      <c r="BP156" s="50"/>
      <c r="BQ156" s="50"/>
      <c r="BR156" s="50"/>
      <c r="BS156" s="50"/>
      <c r="BT156" s="50"/>
      <c r="BU156" s="50"/>
      <c r="BV156" s="50"/>
      <c r="BW156" s="50"/>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c r="CW156" s="50"/>
      <c r="CX156" s="50"/>
      <c r="CY156" s="50"/>
      <c r="CZ156" s="50"/>
      <c r="DA156" s="50"/>
      <c r="DB156" s="50"/>
      <c r="DC156" s="50"/>
      <c r="DD156" s="50"/>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50"/>
      <c r="EF156" s="50"/>
      <c r="EG156" s="50"/>
      <c r="EH156" s="50"/>
      <c r="EI156" s="50"/>
      <c r="EJ156" s="50"/>
      <c r="EK156" s="50"/>
      <c r="EL156" s="50"/>
      <c r="EM156" s="50"/>
      <c r="EN156" s="50"/>
      <c r="EO156" s="50"/>
      <c r="EP156" s="50"/>
      <c r="EQ156" s="50"/>
      <c r="ER156" s="50"/>
      <c r="ES156" s="50"/>
      <c r="ET156" s="50"/>
      <c r="EU156" s="50"/>
      <c r="EV156" s="50"/>
      <c r="EW156" s="50"/>
      <c r="EX156" s="50"/>
      <c r="EY156" s="50"/>
      <c r="EZ156" s="50"/>
      <c r="FA156" s="50"/>
      <c r="FB156" s="50"/>
      <c r="FC156" s="50"/>
      <c r="FD156" s="50"/>
      <c r="FE156" s="50"/>
      <c r="FF156" s="50"/>
      <c r="FG156" s="50"/>
      <c r="FH156" s="50"/>
      <c r="FI156" s="50"/>
      <c r="FJ156" s="50"/>
      <c r="FK156" s="50"/>
      <c r="FL156" s="50"/>
      <c r="FM156" s="50"/>
      <c r="FN156" s="50"/>
    </row>
    <row r="157" spans="1:170" s="8" customFormat="1" ht="18" customHeight="1">
      <c r="A157" s="1976"/>
      <c r="B157" s="204"/>
      <c r="C157" s="14" t="str">
        <f>Begriffe!F68</f>
        <v>Klimakälteleistungsbedarf</v>
      </c>
      <c r="D157" s="13"/>
      <c r="E157" s="13"/>
      <c r="F157" s="14" t="str">
        <f>Begriffe!F380</f>
        <v>Ohne Fensterlüftung, ohne Prozessanlagen</v>
      </c>
      <c r="G157" s="13"/>
      <c r="H157" s="13"/>
      <c r="I157" s="155" t="s">
        <v>971</v>
      </c>
      <c r="J157" s="103" t="s">
        <v>54</v>
      </c>
      <c r="K157" s="103"/>
      <c r="L157" s="99"/>
      <c r="M157" s="148">
        <f>-Profile!U125</f>
        <v>20.553281394957988</v>
      </c>
      <c r="N157" s="148">
        <f>-Profile!U185</f>
        <v>14.240663435563025</v>
      </c>
      <c r="O157" s="148">
        <f>IF(O160=0,0,-Profile!U225)</f>
        <v>0</v>
      </c>
      <c r="P157" s="14">
        <v>1</v>
      </c>
      <c r="Q157" s="392">
        <v>1</v>
      </c>
      <c r="R157" s="14"/>
      <c r="S157" s="14">
        <v>1</v>
      </c>
      <c r="T157" s="243" t="s">
        <v>1593</v>
      </c>
      <c r="X157" s="158"/>
      <c r="Y157" s="64"/>
      <c r="Z157" s="158"/>
      <c r="AA157" s="158"/>
      <c r="AB157" s="65"/>
      <c r="AC157" s="89"/>
      <c r="AD157" s="89"/>
      <c r="AE157" s="7"/>
      <c r="AF157" s="7"/>
      <c r="AG157" s="7"/>
      <c r="AH157" s="7"/>
      <c r="AI157" s="7"/>
      <c r="AJ157" s="7"/>
      <c r="AK157" s="7"/>
      <c r="AL157" s="7"/>
      <c r="AM157" s="7"/>
      <c r="AN157" s="7"/>
      <c r="AO157" s="7"/>
      <c r="AP157" s="83"/>
      <c r="AQ157" s="83"/>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50"/>
      <c r="DA157" s="50"/>
      <c r="DB157" s="50"/>
      <c r="DC157" s="50"/>
      <c r="DD157" s="50"/>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50"/>
      <c r="EF157" s="50"/>
      <c r="EG157" s="50"/>
      <c r="EH157" s="50"/>
      <c r="EI157" s="50"/>
      <c r="EJ157" s="50"/>
      <c r="EK157" s="50"/>
      <c r="EL157" s="50"/>
      <c r="EM157" s="50"/>
      <c r="EN157" s="50"/>
      <c r="EO157" s="50"/>
      <c r="EP157" s="50"/>
      <c r="EQ157" s="50"/>
      <c r="ER157" s="50"/>
      <c r="ES157" s="50"/>
      <c r="ET157" s="50"/>
      <c r="EU157" s="50"/>
      <c r="EV157" s="50"/>
      <c r="EW157" s="50"/>
      <c r="EX157" s="50"/>
      <c r="EY157" s="50"/>
      <c r="EZ157" s="50"/>
      <c r="FA157" s="50"/>
      <c r="FB157" s="50"/>
      <c r="FC157" s="50"/>
      <c r="FD157" s="50"/>
      <c r="FE157" s="50"/>
      <c r="FF157" s="50"/>
      <c r="FG157" s="50"/>
      <c r="FH157" s="50"/>
      <c r="FI157" s="50"/>
      <c r="FJ157" s="50"/>
      <c r="FK157" s="50"/>
      <c r="FL157" s="50"/>
      <c r="FM157" s="50"/>
      <c r="FN157" s="50"/>
    </row>
    <row r="158" spans="1:170" s="8" customFormat="1" ht="18" hidden="1" customHeight="1">
      <c r="A158" s="1976"/>
      <c r="B158" s="204"/>
      <c r="C158" s="14" t="str">
        <f>Begriffe!F68</f>
        <v>Klimakälteleistungsbedarf</v>
      </c>
      <c r="D158" s="14"/>
      <c r="E158" s="182"/>
      <c r="F158" s="14" t="str">
        <f>Begriffe!$F$369</f>
        <v>Ohne Fensterlüftung</v>
      </c>
      <c r="G158" s="14"/>
      <c r="H158" s="14"/>
      <c r="I158" s="155" t="s">
        <v>971</v>
      </c>
      <c r="J158" s="377" t="s">
        <v>149</v>
      </c>
      <c r="K158" s="377"/>
      <c r="L158" s="519"/>
      <c r="M158" s="394">
        <f>-Profile!T125</f>
        <v>20.553281394957988</v>
      </c>
      <c r="N158" s="394">
        <f>-Profile!T185</f>
        <v>14.240663435563025</v>
      </c>
      <c r="O158" s="394">
        <f>-Profile!T225</f>
        <v>32.898191596638654</v>
      </c>
      <c r="P158" s="14">
        <v>1</v>
      </c>
      <c r="Q158" s="392"/>
      <c r="R158" s="14">
        <v>1</v>
      </c>
      <c r="S158" s="14"/>
      <c r="T158" s="243" t="s">
        <v>1456</v>
      </c>
      <c r="U158" s="89"/>
      <c r="V158" s="64"/>
      <c r="W158" s="158"/>
      <c r="X158" s="158"/>
      <c r="Y158" s="64"/>
      <c r="Z158" s="158"/>
      <c r="AA158" s="158"/>
      <c r="AB158" s="65"/>
      <c r="AC158" s="89"/>
      <c r="AD158" s="89"/>
      <c r="AE158" s="7"/>
      <c r="AF158" s="7"/>
      <c r="AG158" s="7"/>
      <c r="AH158" s="7"/>
      <c r="AI158" s="7"/>
      <c r="AJ158" s="7"/>
      <c r="AK158" s="7"/>
      <c r="AL158" s="7"/>
      <c r="AM158" s="7"/>
      <c r="AN158" s="7"/>
      <c r="AO158" s="7"/>
      <c r="AP158" s="83"/>
      <c r="AQ158" s="83"/>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50"/>
      <c r="DA158" s="50"/>
      <c r="DB158" s="50"/>
      <c r="DC158" s="50"/>
      <c r="DD158" s="50"/>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50"/>
      <c r="EF158" s="50"/>
      <c r="EG158" s="50"/>
      <c r="EH158" s="50"/>
      <c r="EI158" s="50"/>
      <c r="EJ158" s="50"/>
      <c r="EK158" s="50"/>
      <c r="EL158" s="50"/>
      <c r="EM158" s="50"/>
      <c r="EN158" s="50"/>
      <c r="EO158" s="50"/>
      <c r="EP158" s="50"/>
      <c r="EQ158" s="50"/>
      <c r="ER158" s="50"/>
      <c r="ES158" s="50"/>
      <c r="ET158" s="50"/>
      <c r="EU158" s="50"/>
      <c r="EV158" s="50"/>
      <c r="EW158" s="50"/>
      <c r="EX158" s="50"/>
      <c r="EY158" s="50"/>
      <c r="EZ158" s="50"/>
      <c r="FA158" s="50"/>
      <c r="FB158" s="50"/>
      <c r="FC158" s="50"/>
      <c r="FD158" s="50"/>
      <c r="FE158" s="50"/>
      <c r="FF158" s="50"/>
      <c r="FG158" s="50"/>
      <c r="FH158" s="50"/>
      <c r="FI158" s="50"/>
      <c r="FJ158" s="50"/>
      <c r="FK158" s="50"/>
      <c r="FL158" s="50"/>
      <c r="FM158" s="50"/>
      <c r="FN158" s="50"/>
    </row>
    <row r="159" spans="1:170" s="8" customFormat="1" ht="17.25" customHeight="1">
      <c r="A159" s="1976"/>
      <c r="B159" s="204"/>
      <c r="C159" s="14" t="str">
        <f>Begriffe!F60</f>
        <v>Jährliche Volllaststunden der Raumkühlung</v>
      </c>
      <c r="D159" s="14"/>
      <c r="E159" s="14"/>
      <c r="F159" s="14" t="str">
        <f>Begriffe!F380</f>
        <v>Ohne Fensterlüftung, ohne Prozessanlagen</v>
      </c>
      <c r="G159" s="14"/>
      <c r="H159" s="14"/>
      <c r="I159" s="98" t="s">
        <v>972</v>
      </c>
      <c r="J159" s="377" t="s">
        <v>15</v>
      </c>
      <c r="K159" s="377"/>
      <c r="L159" s="102"/>
      <c r="M159" s="149">
        <f>IF(M157=0,0,ROUND(M160*1000/M157,-1))</f>
        <v>240</v>
      </c>
      <c r="N159" s="149">
        <f>IF(N157=0,0,ROUND(N160*1000/N157,-1))</f>
        <v>190</v>
      </c>
      <c r="O159" s="149">
        <f>IF(O157=0,0,ROUND(O160*1000/O157,-1))</f>
        <v>0</v>
      </c>
      <c r="P159" s="14">
        <v>1</v>
      </c>
      <c r="Q159" s="392">
        <v>1</v>
      </c>
      <c r="R159" s="14">
        <v>1</v>
      </c>
      <c r="S159" s="14"/>
      <c r="T159" s="243"/>
      <c r="U159" s="89"/>
      <c r="V159" s="64"/>
      <c r="W159" s="158"/>
      <c r="X159" s="158"/>
      <c r="Y159" s="64"/>
      <c r="Z159" s="158"/>
      <c r="AA159" s="158"/>
      <c r="AB159" s="65"/>
      <c r="AC159" s="89"/>
      <c r="AD159" s="89"/>
      <c r="AE159" s="7"/>
      <c r="AF159" s="7"/>
      <c r="AG159" s="7"/>
      <c r="AH159" s="7"/>
      <c r="AI159" s="7"/>
      <c r="AJ159" s="7"/>
      <c r="AK159" s="7"/>
      <c r="AL159" s="7"/>
      <c r="AM159" s="7"/>
      <c r="AN159" s="7"/>
      <c r="AO159" s="7"/>
      <c r="AP159" s="83"/>
      <c r="AQ159" s="83"/>
      <c r="AR159" s="50"/>
      <c r="AS159" s="50"/>
      <c r="AT159" s="50"/>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c r="CW159" s="50"/>
      <c r="CX159" s="50"/>
      <c r="CY159" s="50"/>
      <c r="CZ159" s="50"/>
      <c r="DA159" s="50"/>
      <c r="DB159" s="50"/>
      <c r="DC159" s="50"/>
      <c r="DD159" s="50"/>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50"/>
      <c r="EF159" s="50"/>
      <c r="EG159" s="50"/>
      <c r="EH159" s="50"/>
      <c r="EI159" s="50"/>
      <c r="EJ159" s="50"/>
      <c r="EK159" s="50"/>
      <c r="EL159" s="50"/>
      <c r="EM159" s="50"/>
      <c r="EN159" s="50"/>
      <c r="EO159" s="50"/>
      <c r="EP159" s="50"/>
      <c r="EQ159" s="50"/>
      <c r="ER159" s="50"/>
      <c r="ES159" s="50"/>
      <c r="ET159" s="50"/>
      <c r="EU159" s="50"/>
      <c r="EV159" s="50"/>
      <c r="EW159" s="50"/>
      <c r="EX159" s="50"/>
      <c r="EY159" s="50"/>
      <c r="EZ159" s="50"/>
      <c r="FA159" s="50"/>
      <c r="FB159" s="50"/>
      <c r="FC159" s="50"/>
      <c r="FD159" s="50"/>
      <c r="FE159" s="50"/>
      <c r="FF159" s="50"/>
      <c r="FG159" s="50"/>
      <c r="FH159" s="50"/>
      <c r="FI159" s="50"/>
      <c r="FJ159" s="50"/>
      <c r="FK159" s="50"/>
      <c r="FL159" s="50"/>
      <c r="FM159" s="50"/>
      <c r="FN159" s="50"/>
    </row>
    <row r="160" spans="1:170" s="8" customFormat="1" ht="18" customHeight="1">
      <c r="A160" s="1976"/>
      <c r="B160" s="204"/>
      <c r="C160" s="14" t="str">
        <f>Begriffe!F66</f>
        <v>Jährlicher Klimakältebedarf</v>
      </c>
      <c r="D160" s="13"/>
      <c r="E160" s="13"/>
      <c r="F160" s="14" t="str">
        <f>Begriffe!F380</f>
        <v>Ohne Fensterlüftung, ohne Prozessanlagen</v>
      </c>
      <c r="G160" s="13"/>
      <c r="H160" s="13"/>
      <c r="I160" s="98" t="s">
        <v>973</v>
      </c>
      <c r="J160" s="103" t="s">
        <v>441</v>
      </c>
      <c r="K160" s="103"/>
      <c r="L160" s="99"/>
      <c r="M160" s="148">
        <f>IF($M33=0,0,'SIA 380-1_Qc'!P137/3.6)</f>
        <v>4.9837705373583496</v>
      </c>
      <c r="N160" s="148">
        <f>IF($M33=0,0,'SIA 380-1_Qc'!P167/3.6)</f>
        <v>2.7573988470164092</v>
      </c>
      <c r="O160" s="148">
        <f>IF($M33=0,0,'SIA 380-1_Qc'!P197/3.6)</f>
        <v>0</v>
      </c>
      <c r="P160" s="14">
        <v>1</v>
      </c>
      <c r="Q160" s="392">
        <v>1</v>
      </c>
      <c r="R160" s="14"/>
      <c r="S160" s="14">
        <v>1</v>
      </c>
      <c r="T160" s="243" t="s">
        <v>1484</v>
      </c>
      <c r="U160" s="89"/>
      <c r="V160" s="64"/>
      <c r="W160" s="158"/>
      <c r="X160" s="158"/>
      <c r="Y160" s="64"/>
      <c r="Z160" s="158"/>
      <c r="AA160" s="158"/>
      <c r="AB160" s="65"/>
      <c r="AC160" s="89"/>
      <c r="AD160" s="89"/>
      <c r="AE160" s="7"/>
      <c r="AF160" s="7"/>
      <c r="AG160" s="7"/>
      <c r="AH160" s="7"/>
      <c r="AI160" s="7"/>
      <c r="AJ160" s="7"/>
      <c r="AK160" s="7"/>
      <c r="AL160" s="7"/>
      <c r="AM160" s="7"/>
      <c r="AN160" s="7"/>
      <c r="AO160" s="7"/>
      <c r="AP160" s="83"/>
      <c r="AQ160" s="83"/>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50"/>
      <c r="DA160" s="50"/>
      <c r="DB160" s="50"/>
      <c r="DC160" s="50"/>
      <c r="DD160" s="50"/>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50"/>
      <c r="EF160" s="50"/>
      <c r="EG160" s="50"/>
      <c r="EH160" s="50"/>
      <c r="EI160" s="50"/>
      <c r="EJ160" s="50"/>
      <c r="EK160" s="50"/>
      <c r="EL160" s="50"/>
      <c r="EM160" s="50"/>
      <c r="EN160" s="50"/>
      <c r="EO160" s="50"/>
      <c r="EP160" s="50"/>
      <c r="EQ160" s="50"/>
      <c r="ER160" s="50"/>
      <c r="ES160" s="50"/>
      <c r="ET160" s="50"/>
      <c r="EU160" s="50"/>
      <c r="EV160" s="50"/>
      <c r="EW160" s="50"/>
      <c r="EX160" s="50"/>
      <c r="EY160" s="50"/>
      <c r="EZ160" s="50"/>
      <c r="FA160" s="50"/>
      <c r="FB160" s="50"/>
      <c r="FC160" s="50"/>
      <c r="FD160" s="50"/>
      <c r="FE160" s="50"/>
      <c r="FF160" s="50"/>
      <c r="FG160" s="50"/>
      <c r="FH160" s="50"/>
      <c r="FI160" s="50"/>
      <c r="FJ160" s="50"/>
      <c r="FK160" s="50"/>
      <c r="FL160" s="50"/>
      <c r="FM160" s="50"/>
      <c r="FN160" s="50"/>
    </row>
    <row r="161" spans="1:170" s="8" customFormat="1" ht="18" hidden="1" customHeight="1">
      <c r="A161" s="1977"/>
      <c r="B161" s="204"/>
      <c r="C161" s="1127" t="str">
        <f>Begriffe!F66</f>
        <v>Jährlicher Klimakältebedarf</v>
      </c>
      <c r="D161" s="1127"/>
      <c r="E161" s="1127"/>
      <c r="F161" s="14" t="str">
        <f>Begriffe!$F$369</f>
        <v>Ohne Fensterlüftung</v>
      </c>
      <c r="G161" s="14"/>
      <c r="H161" s="14"/>
      <c r="I161" s="126" t="s">
        <v>973</v>
      </c>
      <c r="J161" s="677" t="s">
        <v>441</v>
      </c>
      <c r="K161" s="677"/>
      <c r="L161" s="522"/>
      <c r="M161" s="1194">
        <f>IF(L161&lt;&gt;"",L161,IF(M$31=0,0,IF(ISERR(INDEX(#REF!,nutzid,4)),0,INDEX(#REF!,nutzid,4))))</f>
        <v>0</v>
      </c>
      <c r="N161" s="1194">
        <f>IF(M$31=0,0,IF(ISERR(INDEX(#REF!,nutzid,6)),0,INDEX(#REF!,nutzid,6)))</f>
        <v>0</v>
      </c>
      <c r="O161" s="1194">
        <f>IF(M$31=0,0,IF(ISERR(INDEX(#REF!,nutzid,8)),0,INDEX(#REF!,nutzid,8)))</f>
        <v>0</v>
      </c>
      <c r="P161" s="14">
        <v>1</v>
      </c>
      <c r="Q161" s="392"/>
      <c r="R161" s="14">
        <v>1</v>
      </c>
      <c r="S161" s="14"/>
      <c r="T161" s="243" t="s">
        <v>1483</v>
      </c>
      <c r="U161" s="89"/>
      <c r="V161" s="64"/>
      <c r="W161" s="158"/>
      <c r="X161" s="158"/>
      <c r="Y161" s="64"/>
      <c r="Z161" s="158"/>
      <c r="AA161" s="158"/>
      <c r="AB161" s="65"/>
      <c r="AC161" s="89"/>
      <c r="AD161" s="89"/>
      <c r="AE161" s="7"/>
      <c r="AF161" s="7"/>
      <c r="AG161" s="7"/>
      <c r="AH161" s="7"/>
      <c r="AI161" s="7"/>
      <c r="AJ161" s="7"/>
      <c r="AK161" s="7"/>
      <c r="AL161" s="7"/>
      <c r="AM161" s="7"/>
      <c r="AN161" s="7"/>
      <c r="AO161" s="7"/>
      <c r="AP161" s="83"/>
      <c r="AQ161" s="83"/>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50"/>
      <c r="DA161" s="50"/>
      <c r="DB161" s="50"/>
      <c r="DC161" s="50"/>
      <c r="DD161" s="50"/>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50"/>
      <c r="EF161" s="50"/>
      <c r="EG161" s="50"/>
      <c r="EH161" s="50"/>
      <c r="EI161" s="50"/>
      <c r="EJ161" s="50"/>
      <c r="EK161" s="50"/>
      <c r="EL161" s="50"/>
      <c r="EM161" s="50"/>
      <c r="EN161" s="50"/>
      <c r="EO161" s="50"/>
      <c r="EP161" s="50"/>
      <c r="EQ161" s="50"/>
      <c r="ER161" s="50"/>
      <c r="ES161" s="50"/>
      <c r="ET161" s="50"/>
      <c r="EU161" s="50"/>
      <c r="EV161" s="50"/>
      <c r="EW161" s="50"/>
      <c r="EX161" s="50"/>
      <c r="EY161" s="50"/>
      <c r="EZ161" s="50"/>
      <c r="FA161" s="50"/>
      <c r="FB161" s="50"/>
      <c r="FC161" s="50"/>
      <c r="FD161" s="50"/>
      <c r="FE161" s="50"/>
      <c r="FF161" s="50"/>
      <c r="FG161" s="50"/>
      <c r="FH161" s="50"/>
      <c r="FI161" s="50"/>
      <c r="FJ161" s="50"/>
      <c r="FK161" s="50"/>
      <c r="FL161" s="50"/>
      <c r="FM161" s="50"/>
      <c r="FN161" s="50"/>
    </row>
    <row r="162" spans="1:170" s="5" customFormat="1" ht="2.25" customHeight="1">
      <c r="A162" s="113"/>
      <c r="B162" s="495"/>
      <c r="C162" s="1126"/>
      <c r="D162" s="495"/>
      <c r="E162" s="495"/>
      <c r="F162" s="495"/>
      <c r="G162" s="495"/>
      <c r="H162" s="495"/>
      <c r="I162" s="693"/>
      <c r="J162" s="694"/>
      <c r="K162" s="694"/>
      <c r="L162" s="122"/>
      <c r="M162" s="696"/>
      <c r="N162" s="136"/>
      <c r="O162" s="136"/>
      <c r="P162" s="14">
        <v>0</v>
      </c>
      <c r="Q162" s="392">
        <v>1</v>
      </c>
      <c r="R162" s="14">
        <v>0</v>
      </c>
      <c r="S162" s="379"/>
      <c r="T162" s="618"/>
      <c r="U162" s="147"/>
      <c r="V162" s="27"/>
      <c r="W162" s="138"/>
      <c r="X162" s="138"/>
      <c r="Y162" s="27"/>
      <c r="Z162" s="138"/>
      <c r="AA162" s="138"/>
      <c r="AB162" s="36"/>
      <c r="AC162" s="147"/>
      <c r="AD162" s="147"/>
      <c r="AE162" s="36"/>
      <c r="AF162" s="36"/>
      <c r="AG162" s="36"/>
      <c r="AH162" s="36"/>
      <c r="AI162" s="36"/>
      <c r="AJ162" s="36"/>
      <c r="AK162" s="36"/>
      <c r="AL162" s="36"/>
      <c r="AM162" s="36"/>
      <c r="AN162" s="84"/>
      <c r="AO162" s="84"/>
      <c r="AP162" s="85"/>
      <c r="AQ162" s="85"/>
      <c r="AR162" s="54"/>
      <c r="AS162" s="54"/>
      <c r="AT162" s="54"/>
      <c r="AU162" s="54"/>
      <c r="AV162" s="54"/>
      <c r="AW162" s="54"/>
      <c r="AX162" s="54"/>
      <c r="AY162" s="54"/>
      <c r="AZ162" s="54"/>
      <c r="BA162" s="54"/>
      <c r="BB162" s="54"/>
      <c r="BC162" s="54"/>
      <c r="BD162" s="54"/>
      <c r="BE162" s="54"/>
      <c r="BF162" s="54"/>
      <c r="BG162" s="54"/>
      <c r="BH162" s="54"/>
      <c r="BI162" s="54"/>
      <c r="BJ162" s="54"/>
      <c r="BK162" s="54"/>
      <c r="BL162" s="54"/>
      <c r="BM162" s="54"/>
      <c r="BN162" s="54"/>
      <c r="BO162" s="54"/>
      <c r="BP162" s="54"/>
      <c r="BQ162" s="54"/>
      <c r="BR162" s="54"/>
      <c r="BS162" s="54"/>
      <c r="BT162" s="54"/>
      <c r="BU162" s="54"/>
      <c r="BV162" s="54"/>
      <c r="BW162" s="54"/>
      <c r="BX162" s="54"/>
      <c r="BY162" s="54"/>
      <c r="BZ162" s="54"/>
      <c r="CA162" s="54"/>
      <c r="CB162" s="54"/>
      <c r="CC162" s="54"/>
      <c r="CD162" s="54"/>
      <c r="CE162" s="54"/>
      <c r="CF162" s="54"/>
      <c r="CG162" s="54"/>
      <c r="CH162" s="54"/>
      <c r="CI162" s="54"/>
      <c r="CJ162" s="54"/>
      <c r="CK162" s="54"/>
      <c r="CL162" s="54"/>
      <c r="CM162" s="54"/>
      <c r="CN162" s="54"/>
      <c r="CO162" s="54"/>
      <c r="CP162" s="54"/>
      <c r="CQ162" s="54"/>
      <c r="CR162" s="54"/>
      <c r="CS162" s="54"/>
      <c r="CT162" s="54"/>
      <c r="CU162" s="54"/>
      <c r="CV162" s="55"/>
      <c r="CW162" s="55"/>
      <c r="CX162" s="55"/>
      <c r="CY162" s="55"/>
      <c r="CZ162" s="55"/>
      <c r="DA162" s="55"/>
      <c r="DB162" s="55"/>
      <c r="DC162" s="55"/>
      <c r="DD162" s="55"/>
      <c r="DE162" s="55"/>
      <c r="DF162" s="55"/>
      <c r="DG162" s="55"/>
      <c r="DH162" s="55"/>
      <c r="DI162" s="55"/>
      <c r="DJ162" s="55"/>
      <c r="DK162" s="55"/>
      <c r="DL162" s="55"/>
      <c r="DM162" s="55"/>
      <c r="DN162" s="55"/>
      <c r="DO162" s="55"/>
      <c r="DP162" s="55"/>
      <c r="DQ162" s="55"/>
      <c r="DR162" s="55"/>
      <c r="DS162" s="55"/>
      <c r="DT162" s="55"/>
      <c r="DU162" s="55"/>
      <c r="DV162" s="55"/>
      <c r="DW162" s="55"/>
      <c r="DX162" s="55"/>
      <c r="DY162" s="55"/>
      <c r="DZ162" s="55"/>
      <c r="EA162" s="55"/>
      <c r="EB162" s="55"/>
      <c r="EC162" s="55"/>
      <c r="ED162" s="55"/>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3"/>
      <c r="FK162" s="53"/>
      <c r="FL162" s="53"/>
      <c r="FM162" s="53"/>
      <c r="FN162" s="53"/>
    </row>
    <row r="163" spans="1:170" s="8" customFormat="1" ht="18" hidden="1" customHeight="1">
      <c r="A163" s="1976" t="s">
        <v>20</v>
      </c>
      <c r="B163" s="21"/>
      <c r="C163" s="395" t="s">
        <v>489</v>
      </c>
      <c r="D163" s="395"/>
      <c r="E163" s="395"/>
      <c r="F163" s="395" t="s">
        <v>160</v>
      </c>
      <c r="G163" s="395"/>
      <c r="H163" s="395"/>
      <c r="I163" s="396" t="s">
        <v>161</v>
      </c>
      <c r="J163" s="397" t="s">
        <v>177</v>
      </c>
      <c r="K163" s="397"/>
      <c r="L163" s="398"/>
      <c r="M163" s="399" t="e">
        <f>INDEX(Eingabedaten!$D$9:$DN$53,nutzid,MATCH($C163,Eingabedaten!$D$6:$DN$6,0))</f>
        <v>#N/A</v>
      </c>
      <c r="N163" s="399" t="e">
        <f>INDEX(Eingabedaten!$D$9:$DN$53,nutzid,MATCH($C163,Eingabedaten!$D$6:$DN$6,0)+1)</f>
        <v>#N/A</v>
      </c>
      <c r="O163" s="399" t="e">
        <f>INDEX(Eingabedaten!$D$9:$DN$53,nutzid,MATCH($C163,Eingabedaten!$D$6:$DN$6,0)+2)</f>
        <v>#N/A</v>
      </c>
      <c r="P163" s="14">
        <v>0</v>
      </c>
      <c r="Q163" s="392">
        <v>0</v>
      </c>
      <c r="R163" s="14">
        <v>0</v>
      </c>
      <c r="S163" s="14"/>
      <c r="T163" s="243"/>
      <c r="U163" s="89"/>
      <c r="V163" s="64"/>
      <c r="W163" s="158"/>
      <c r="X163" s="158"/>
      <c r="Y163" s="64"/>
      <c r="Z163" s="158"/>
      <c r="AA163" s="158"/>
      <c r="AB163" s="65"/>
      <c r="AC163" s="89"/>
      <c r="AD163" s="89"/>
      <c r="AE163" s="7"/>
      <c r="AF163" s="7"/>
      <c r="AG163" s="7"/>
      <c r="AH163" s="7"/>
      <c r="AI163" s="7"/>
      <c r="AJ163" s="7"/>
      <c r="AK163" s="7"/>
      <c r="AL163" s="7"/>
      <c r="AM163" s="7"/>
      <c r="AN163" s="7"/>
      <c r="AO163" s="7"/>
      <c r="AP163" s="83"/>
      <c r="AQ163" s="83"/>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50"/>
      <c r="EF163" s="50"/>
      <c r="EG163" s="50"/>
      <c r="EH163" s="50"/>
      <c r="EI163" s="50"/>
      <c r="EJ163" s="50"/>
      <c r="EK163" s="50"/>
      <c r="EL163" s="50"/>
      <c r="EM163" s="50"/>
      <c r="EN163" s="50"/>
      <c r="EO163" s="50"/>
      <c r="EP163" s="50"/>
      <c r="EQ163" s="50"/>
      <c r="ER163" s="50"/>
      <c r="ES163" s="50"/>
      <c r="ET163" s="50"/>
      <c r="EU163" s="50"/>
      <c r="EV163" s="50"/>
      <c r="EW163" s="50"/>
      <c r="EX163" s="50"/>
      <c r="EY163" s="50"/>
      <c r="EZ163" s="50"/>
      <c r="FA163" s="50"/>
      <c r="FB163" s="50"/>
      <c r="FC163" s="50"/>
      <c r="FD163" s="50"/>
      <c r="FE163" s="50"/>
      <c r="FF163" s="50"/>
      <c r="FG163" s="50"/>
      <c r="FH163" s="50"/>
      <c r="FI163" s="50"/>
      <c r="FJ163" s="50"/>
      <c r="FK163" s="50"/>
      <c r="FL163" s="50"/>
      <c r="FM163" s="50"/>
      <c r="FN163" s="50"/>
    </row>
    <row r="164" spans="1:170" s="8" customFormat="1" ht="18" hidden="1" customHeight="1">
      <c r="A164" s="1976"/>
      <c r="B164" s="21"/>
      <c r="C164" s="471" t="s">
        <v>510</v>
      </c>
      <c r="D164" s="395"/>
      <c r="E164" s="395"/>
      <c r="F164" s="395"/>
      <c r="G164" s="395"/>
      <c r="H164" s="395"/>
      <c r="I164" s="400" t="s">
        <v>189</v>
      </c>
      <c r="J164" s="397" t="s">
        <v>208</v>
      </c>
      <c r="K164" s="397"/>
      <c r="L164" s="401"/>
      <c r="M164" s="399">
        <v>0.7</v>
      </c>
      <c r="N164" s="399"/>
      <c r="O164" s="399"/>
      <c r="P164" s="14">
        <v>0</v>
      </c>
      <c r="Q164" s="392">
        <v>0</v>
      </c>
      <c r="R164" s="14">
        <v>0</v>
      </c>
      <c r="S164" s="14"/>
      <c r="T164" s="243"/>
      <c r="U164" s="89"/>
      <c r="V164" s="64"/>
      <c r="W164" s="158"/>
      <c r="X164" s="158"/>
      <c r="Y164" s="64"/>
      <c r="Z164" s="158"/>
      <c r="AA164" s="158"/>
      <c r="AB164" s="65"/>
      <c r="AC164" s="89"/>
      <c r="AD164" s="89"/>
      <c r="AE164" s="7"/>
      <c r="AF164" s="7"/>
      <c r="AG164" s="7"/>
      <c r="AH164" s="7"/>
      <c r="AI164" s="7"/>
      <c r="AJ164" s="7"/>
      <c r="AK164" s="7"/>
      <c r="AL164" s="7"/>
      <c r="AM164" s="7"/>
      <c r="AN164" s="7"/>
      <c r="AO164" s="7"/>
      <c r="AP164" s="83"/>
      <c r="AQ164" s="83"/>
      <c r="AR164" s="50"/>
      <c r="AS164" s="50"/>
      <c r="AT164" s="50"/>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c r="CC164" s="50"/>
      <c r="CD164" s="50"/>
      <c r="CE164" s="50"/>
      <c r="CF164" s="50"/>
      <c r="CG164" s="50"/>
      <c r="CH164" s="50"/>
      <c r="CI164" s="50"/>
      <c r="CJ164" s="50"/>
      <c r="CK164" s="50"/>
      <c r="CL164" s="50"/>
      <c r="CM164" s="50"/>
      <c r="CN164" s="50"/>
      <c r="CO164" s="50"/>
      <c r="CP164" s="50"/>
      <c r="CQ164" s="50"/>
      <c r="CR164" s="50"/>
      <c r="CS164" s="50"/>
      <c r="CT164" s="50"/>
      <c r="CU164" s="50"/>
      <c r="CV164" s="50"/>
      <c r="CW164" s="50"/>
      <c r="CX164" s="50"/>
      <c r="CY164" s="50"/>
      <c r="CZ164" s="50"/>
      <c r="DA164" s="50"/>
      <c r="DB164" s="50"/>
      <c r="DC164" s="50"/>
      <c r="DD164" s="50"/>
      <c r="DE164" s="50"/>
      <c r="DF164" s="50"/>
      <c r="DG164" s="50"/>
      <c r="DH164" s="50"/>
      <c r="DI164" s="50"/>
      <c r="DJ164" s="50"/>
      <c r="DK164" s="50"/>
      <c r="DL164" s="49"/>
      <c r="DM164" s="49"/>
      <c r="DN164" s="49"/>
      <c r="DO164" s="49"/>
      <c r="DP164" s="49"/>
      <c r="DQ164" s="49"/>
      <c r="DR164" s="49"/>
      <c r="DS164" s="49"/>
      <c r="DT164" s="49"/>
      <c r="DU164" s="49"/>
      <c r="DV164" s="49"/>
      <c r="DW164" s="49"/>
      <c r="DX164" s="49"/>
      <c r="DY164" s="49"/>
      <c r="DZ164" s="49"/>
      <c r="EA164" s="49"/>
      <c r="EB164" s="49"/>
      <c r="EC164" s="49"/>
      <c r="ED164" s="49"/>
      <c r="EE164" s="50"/>
      <c r="EF164" s="50"/>
      <c r="EG164" s="50"/>
      <c r="EH164" s="50"/>
      <c r="EI164" s="50"/>
      <c r="EJ164" s="50"/>
      <c r="EK164" s="50"/>
      <c r="EL164" s="50"/>
      <c r="EM164" s="50"/>
      <c r="EN164" s="50"/>
      <c r="EO164" s="50"/>
      <c r="EP164" s="50"/>
      <c r="EQ164" s="50"/>
      <c r="ER164" s="50"/>
      <c r="ES164" s="50"/>
      <c r="ET164" s="50"/>
      <c r="EU164" s="50"/>
      <c r="EV164" s="50"/>
      <c r="EW164" s="50"/>
      <c r="EX164" s="50"/>
      <c r="EY164" s="50"/>
      <c r="EZ164" s="50"/>
      <c r="FA164" s="50"/>
      <c r="FB164" s="50"/>
      <c r="FC164" s="50"/>
      <c r="FD164" s="50"/>
      <c r="FE164" s="50"/>
      <c r="FF164" s="50"/>
      <c r="FG164" s="50"/>
      <c r="FH164" s="50"/>
      <c r="FI164" s="50"/>
      <c r="FJ164" s="50"/>
      <c r="FK164" s="50"/>
      <c r="FL164" s="50"/>
      <c r="FM164" s="50"/>
      <c r="FN164" s="50"/>
    </row>
    <row r="165" spans="1:170" s="8" customFormat="1" ht="18" hidden="1" customHeight="1">
      <c r="A165" s="1976"/>
      <c r="B165" s="21"/>
      <c r="C165" s="472" t="s">
        <v>511</v>
      </c>
      <c r="D165" s="402"/>
      <c r="E165" s="403"/>
      <c r="F165" s="404"/>
      <c r="G165" s="404"/>
      <c r="H165" s="404"/>
      <c r="I165" s="396" t="s">
        <v>170</v>
      </c>
      <c r="J165" s="397" t="s">
        <v>171</v>
      </c>
      <c r="K165" s="397"/>
      <c r="L165" s="405"/>
      <c r="M165" s="401">
        <f>IF(M36="",0,(288.58*(1.098+21/100)^(8.02))/((273+20)*461.5)*M36/100*1000)</f>
        <v>5.514958704941062</v>
      </c>
      <c r="N165" s="406">
        <f>M165</f>
        <v>5.514958704941062</v>
      </c>
      <c r="O165" s="406">
        <f>M165</f>
        <v>5.514958704941062</v>
      </c>
      <c r="P165" s="14">
        <v>0</v>
      </c>
      <c r="Q165" s="392">
        <v>0</v>
      </c>
      <c r="R165" s="14">
        <v>0</v>
      </c>
      <c r="S165" s="14"/>
      <c r="T165" s="243"/>
      <c r="U165" s="89"/>
      <c r="V165" s="64"/>
      <c r="W165" s="158"/>
      <c r="X165" s="158"/>
      <c r="Y165" s="64"/>
      <c r="Z165" s="158"/>
      <c r="AA165" s="158"/>
      <c r="AB165" s="65"/>
      <c r="AC165" s="89"/>
      <c r="AD165" s="89"/>
      <c r="AE165" s="7"/>
      <c r="AF165" s="7"/>
      <c r="AG165" s="7"/>
      <c r="AH165" s="7"/>
      <c r="AI165" s="7"/>
      <c r="AJ165" s="7"/>
      <c r="AK165" s="7"/>
      <c r="AL165" s="7"/>
      <c r="AM165" s="7"/>
      <c r="AN165" s="7"/>
      <c r="AO165" s="7"/>
      <c r="AP165" s="83"/>
      <c r="AQ165" s="83"/>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49"/>
      <c r="DM165" s="49"/>
      <c r="DN165" s="49"/>
      <c r="DO165" s="49"/>
      <c r="DP165" s="49"/>
      <c r="DQ165" s="49"/>
      <c r="DR165" s="49"/>
      <c r="DS165" s="49"/>
      <c r="DT165" s="49"/>
      <c r="DU165" s="49"/>
      <c r="DV165" s="49"/>
      <c r="DW165" s="49"/>
      <c r="DX165" s="49"/>
      <c r="DY165" s="49"/>
      <c r="DZ165" s="49"/>
      <c r="EA165" s="49"/>
      <c r="EB165" s="49"/>
      <c r="EC165" s="49"/>
      <c r="ED165" s="49"/>
      <c r="EE165" s="50"/>
      <c r="EF165" s="50"/>
      <c r="EG165" s="50"/>
      <c r="EH165" s="50"/>
      <c r="EI165" s="50"/>
      <c r="EJ165" s="50"/>
      <c r="EK165" s="50"/>
      <c r="EL165" s="50"/>
      <c r="EM165" s="50"/>
      <c r="EN165" s="50"/>
      <c r="EO165" s="50"/>
      <c r="EP165" s="50"/>
      <c r="EQ165" s="50"/>
      <c r="ER165" s="50"/>
      <c r="ES165" s="50"/>
      <c r="ET165" s="50"/>
      <c r="EU165" s="50"/>
      <c r="EV165" s="50"/>
      <c r="EW165" s="50"/>
      <c r="EX165" s="50"/>
      <c r="EY165" s="50"/>
      <c r="EZ165" s="50"/>
      <c r="FA165" s="50"/>
      <c r="FB165" s="50"/>
      <c r="FC165" s="50"/>
      <c r="FD165" s="50"/>
      <c r="FE165" s="50"/>
      <c r="FF165" s="50"/>
      <c r="FG165" s="50"/>
      <c r="FH165" s="50"/>
      <c r="FI165" s="50"/>
      <c r="FJ165" s="50"/>
      <c r="FK165" s="50"/>
      <c r="FL165" s="50"/>
      <c r="FM165" s="50"/>
      <c r="FN165" s="50"/>
    </row>
    <row r="166" spans="1:170" s="8" customFormat="1" ht="18" hidden="1" customHeight="1">
      <c r="A166" s="1976"/>
      <c r="B166" s="21"/>
      <c r="C166" s="472" t="s">
        <v>512</v>
      </c>
      <c r="D166" s="402"/>
      <c r="E166" s="403"/>
      <c r="F166" s="404" t="s">
        <v>168</v>
      </c>
      <c r="G166" s="404"/>
      <c r="H166" s="404"/>
      <c r="I166" s="396" t="s">
        <v>172</v>
      </c>
      <c r="J166" s="397" t="s">
        <v>171</v>
      </c>
      <c r="K166" s="397"/>
      <c r="L166" s="405"/>
      <c r="M166" s="407">
        <v>1.1499999999999999</v>
      </c>
      <c r="N166" s="401"/>
      <c r="O166" s="401"/>
      <c r="P166" s="14">
        <v>0</v>
      </c>
      <c r="Q166" s="392">
        <v>0</v>
      </c>
      <c r="R166" s="14">
        <v>0</v>
      </c>
      <c r="S166" s="14"/>
      <c r="T166" s="243"/>
      <c r="U166" s="89"/>
      <c r="V166" s="64"/>
      <c r="W166" s="158"/>
      <c r="X166" s="158"/>
      <c r="Y166" s="64"/>
      <c r="Z166" s="158"/>
      <c r="AA166" s="158"/>
      <c r="AB166" s="65"/>
      <c r="AC166" s="89"/>
      <c r="AD166" s="89"/>
      <c r="AE166" s="7"/>
      <c r="AF166" s="7"/>
      <c r="AG166" s="7"/>
      <c r="AH166" s="7"/>
      <c r="AI166" s="7"/>
      <c r="AJ166" s="7"/>
      <c r="AK166" s="7"/>
      <c r="AL166" s="7"/>
      <c r="AM166" s="7"/>
      <c r="AN166" s="7"/>
      <c r="AO166" s="7"/>
      <c r="AP166" s="83"/>
      <c r="AQ166" s="83"/>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49"/>
      <c r="DM166" s="49"/>
      <c r="DN166" s="49"/>
      <c r="DO166" s="49"/>
      <c r="DP166" s="49"/>
      <c r="DQ166" s="49"/>
      <c r="DR166" s="49"/>
      <c r="DS166" s="49"/>
      <c r="DT166" s="49"/>
      <c r="DU166" s="49"/>
      <c r="DV166" s="49"/>
      <c r="DW166" s="49"/>
      <c r="DX166" s="49"/>
      <c r="DY166" s="49"/>
      <c r="DZ166" s="49"/>
      <c r="EA166" s="49"/>
      <c r="EB166" s="49"/>
      <c r="EC166" s="49"/>
      <c r="ED166" s="49"/>
      <c r="EE166" s="50"/>
      <c r="EF166" s="50"/>
      <c r="EG166" s="50"/>
      <c r="EH166" s="50"/>
      <c r="EI166" s="50"/>
      <c r="EJ166" s="50"/>
      <c r="EK166" s="50"/>
      <c r="EL166" s="50"/>
      <c r="EM166" s="50"/>
      <c r="EN166" s="50"/>
      <c r="EO166" s="50"/>
      <c r="EP166" s="50"/>
      <c r="EQ166" s="50"/>
      <c r="ER166" s="50"/>
      <c r="ES166" s="50"/>
      <c r="ET166" s="50"/>
      <c r="EU166" s="50"/>
      <c r="EV166" s="50"/>
      <c r="EW166" s="50"/>
      <c r="EX166" s="50"/>
      <c r="EY166" s="50"/>
      <c r="EZ166" s="50"/>
      <c r="FA166" s="50"/>
      <c r="FB166" s="50"/>
      <c r="FC166" s="50"/>
      <c r="FD166" s="50"/>
      <c r="FE166" s="50"/>
      <c r="FF166" s="50"/>
      <c r="FG166" s="50"/>
      <c r="FH166" s="50"/>
      <c r="FI166" s="50"/>
      <c r="FJ166" s="50"/>
      <c r="FK166" s="50"/>
      <c r="FL166" s="50"/>
      <c r="FM166" s="50"/>
      <c r="FN166" s="50"/>
    </row>
    <row r="167" spans="1:170" s="8" customFormat="1" ht="18" hidden="1" customHeight="1">
      <c r="A167" s="1976"/>
      <c r="B167" s="21"/>
      <c r="C167" s="472" t="s">
        <v>513</v>
      </c>
      <c r="D167" s="402"/>
      <c r="E167" s="403"/>
      <c r="F167" s="404"/>
      <c r="G167" s="404"/>
      <c r="H167" s="404"/>
      <c r="I167" s="408" t="s">
        <v>166</v>
      </c>
      <c r="J167" s="397" t="s">
        <v>167</v>
      </c>
      <c r="K167" s="397"/>
      <c r="L167" s="405"/>
      <c r="M167" s="401">
        <v>1.1399999999999999</v>
      </c>
      <c r="N167" s="401"/>
      <c r="O167" s="401"/>
      <c r="P167" s="14">
        <v>0</v>
      </c>
      <c r="Q167" s="392">
        <v>0</v>
      </c>
      <c r="R167" s="14">
        <v>0</v>
      </c>
      <c r="S167" s="14"/>
      <c r="T167" s="243" t="s">
        <v>151</v>
      </c>
      <c r="U167" s="89"/>
      <c r="V167" s="64"/>
      <c r="W167" s="158"/>
      <c r="X167" s="158"/>
      <c r="Y167" s="64"/>
      <c r="Z167" s="158"/>
      <c r="AA167" s="158"/>
      <c r="AB167" s="65"/>
      <c r="AC167" s="89"/>
      <c r="AD167" s="89"/>
      <c r="AE167" s="7"/>
      <c r="AF167" s="7"/>
      <c r="AG167" s="7"/>
      <c r="AH167" s="7"/>
      <c r="AI167" s="7"/>
      <c r="AJ167" s="7"/>
      <c r="AK167" s="7"/>
      <c r="AL167" s="7"/>
      <c r="AM167" s="7"/>
      <c r="AN167" s="7"/>
      <c r="AO167" s="7"/>
      <c r="AP167" s="83"/>
      <c r="AQ167" s="83"/>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49"/>
      <c r="DM167" s="49"/>
      <c r="DN167" s="49"/>
      <c r="DO167" s="49"/>
      <c r="DP167" s="49"/>
      <c r="DQ167" s="49"/>
      <c r="DR167" s="49"/>
      <c r="DS167" s="49"/>
      <c r="DT167" s="49"/>
      <c r="DU167" s="49"/>
      <c r="DV167" s="49"/>
      <c r="DW167" s="49"/>
      <c r="DX167" s="49"/>
      <c r="DY167" s="49"/>
      <c r="DZ167" s="49"/>
      <c r="EA167" s="49"/>
      <c r="EB167" s="49"/>
      <c r="EC167" s="49"/>
      <c r="ED167" s="49"/>
      <c r="EE167" s="50"/>
      <c r="EF167" s="50"/>
      <c r="EG167" s="50"/>
      <c r="EH167" s="50"/>
      <c r="EI167" s="50"/>
      <c r="EJ167" s="50"/>
      <c r="EK167" s="50"/>
      <c r="EL167" s="50"/>
      <c r="EM167" s="50"/>
      <c r="EN167" s="50"/>
      <c r="EO167" s="50"/>
      <c r="EP167" s="50"/>
      <c r="EQ167" s="50"/>
      <c r="ER167" s="50"/>
      <c r="ES167" s="50"/>
      <c r="ET167" s="50"/>
      <c r="EU167" s="50"/>
      <c r="EV167" s="50"/>
      <c r="EW167" s="50"/>
      <c r="EX167" s="50"/>
      <c r="EY167" s="50"/>
      <c r="EZ167" s="50"/>
      <c r="FA167" s="50"/>
      <c r="FB167" s="50"/>
      <c r="FC167" s="50"/>
      <c r="FD167" s="50"/>
      <c r="FE167" s="50"/>
      <c r="FF167" s="50"/>
      <c r="FG167" s="50"/>
      <c r="FH167" s="50"/>
      <c r="FI167" s="50"/>
      <c r="FJ167" s="50"/>
      <c r="FK167" s="50"/>
      <c r="FL167" s="50"/>
      <c r="FM167" s="50"/>
      <c r="FN167" s="50"/>
    </row>
    <row r="168" spans="1:170" s="8" customFormat="1" ht="18" hidden="1" customHeight="1">
      <c r="A168" s="1976"/>
      <c r="B168" s="21"/>
      <c r="C168" s="472" t="s">
        <v>514</v>
      </c>
      <c r="D168" s="402"/>
      <c r="E168" s="403"/>
      <c r="F168" s="404"/>
      <c r="G168" s="404"/>
      <c r="H168" s="404"/>
      <c r="I168" s="396" t="s">
        <v>452</v>
      </c>
      <c r="J168" s="397" t="s">
        <v>177</v>
      </c>
      <c r="K168" s="397"/>
      <c r="L168" s="405"/>
      <c r="M168" s="401" t="e">
        <f>IF(M133*($M165-$M166)*(1-$M164)-IF(M136="RAL-C3",$M68*$M53/$M52,$M68)-M163&gt;0,M133*($M165-$M166)*(1-$M164)-IF(M136="RAL-C3",$M68*$M53/$M52,$M68)-M163,0)</f>
        <v>#N/A</v>
      </c>
      <c r="N168" s="401" t="e">
        <f>IF(N133*($M165-$M166)*(1-$M164)-IF(N136="RAL-C3",$M68*$M53/$M52,$M68)-N163&gt;0,N133*($M165-$M166)*(1-$M164)-IF(N136="RAL-C3",$M68*$M53/$M52,$M68)-N163,0)</f>
        <v>#N/A</v>
      </c>
      <c r="O168" s="401" t="e">
        <f>IF(O133*($M165-$M166)*(1-$M164)-IF(O136="RAL-C3",$M68*$M53/$M52,$M68)-O163&gt;0,O133*($M165-$M166)*(1-$M164)-IF(O136="RAL-C3",$M68*$M53/$M52,$M68)-O163,0)</f>
        <v>#N/A</v>
      </c>
      <c r="P168" s="14">
        <v>0</v>
      </c>
      <c r="Q168" s="392">
        <v>0</v>
      </c>
      <c r="R168" s="14">
        <v>0</v>
      </c>
      <c r="S168" s="14"/>
      <c r="T168" s="243"/>
      <c r="U168" s="89"/>
      <c r="V168" s="64"/>
      <c r="W168" s="158"/>
      <c r="X168" s="158"/>
      <c r="Y168" s="64"/>
      <c r="Z168" s="158"/>
      <c r="AA168" s="158"/>
      <c r="AB168" s="65"/>
      <c r="AC168" s="89"/>
      <c r="AD168" s="89"/>
      <c r="AE168" s="7"/>
      <c r="AF168" s="7"/>
      <c r="AG168" s="7"/>
      <c r="AH168" s="7"/>
      <c r="AI168" s="7"/>
      <c r="AJ168" s="7"/>
      <c r="AK168" s="7"/>
      <c r="AL168" s="7"/>
      <c r="AM168" s="7"/>
      <c r="AN168" s="7"/>
      <c r="AO168" s="7"/>
      <c r="AP168" s="83"/>
      <c r="AQ168" s="83"/>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49"/>
      <c r="DM168" s="49"/>
      <c r="DN168" s="49"/>
      <c r="DO168" s="49"/>
      <c r="DP168" s="49"/>
      <c r="DQ168" s="49"/>
      <c r="DR168" s="49"/>
      <c r="DS168" s="49"/>
      <c r="DT168" s="49"/>
      <c r="DU168" s="49"/>
      <c r="DV168" s="49"/>
      <c r="DW168" s="49"/>
      <c r="DX168" s="49"/>
      <c r="DY168" s="49"/>
      <c r="DZ168" s="49"/>
      <c r="EA168" s="49"/>
      <c r="EB168" s="49"/>
      <c r="EC168" s="49"/>
      <c r="ED168" s="49"/>
      <c r="EE168" s="50"/>
      <c r="EF168" s="50"/>
      <c r="EG168" s="50"/>
      <c r="EH168" s="50"/>
      <c r="EI168" s="50"/>
      <c r="EJ168" s="50"/>
      <c r="EK168" s="50"/>
      <c r="EL168" s="50"/>
      <c r="EM168" s="50"/>
      <c r="EN168" s="50"/>
      <c r="EO168" s="50"/>
      <c r="EP168" s="50"/>
      <c r="EQ168" s="50"/>
      <c r="ER168" s="50"/>
      <c r="ES168" s="50"/>
      <c r="ET168" s="50"/>
      <c r="EU168" s="50"/>
      <c r="EV168" s="50"/>
      <c r="EW168" s="50"/>
      <c r="EX168" s="50"/>
      <c r="EY168" s="50"/>
      <c r="EZ168" s="50"/>
      <c r="FA168" s="50"/>
      <c r="FB168" s="50"/>
      <c r="FC168" s="50"/>
      <c r="FD168" s="50"/>
      <c r="FE168" s="50"/>
      <c r="FF168" s="50"/>
      <c r="FG168" s="50"/>
      <c r="FH168" s="50"/>
      <c r="FI168" s="50"/>
      <c r="FJ168" s="50"/>
      <c r="FK168" s="50"/>
      <c r="FL168" s="50"/>
      <c r="FM168" s="50"/>
      <c r="FN168" s="50"/>
    </row>
    <row r="169" spans="1:170" s="8" customFormat="1" ht="18" hidden="1" customHeight="1">
      <c r="A169" s="1976"/>
      <c r="B169" s="21"/>
      <c r="C169" s="395" t="s">
        <v>515</v>
      </c>
      <c r="D169" s="395"/>
      <c r="E169" s="409"/>
      <c r="F169" s="395"/>
      <c r="G169" s="395"/>
      <c r="H169" s="395"/>
      <c r="I169" s="410" t="s">
        <v>453</v>
      </c>
      <c r="J169" s="397" t="s">
        <v>54</v>
      </c>
      <c r="K169" s="397"/>
      <c r="L169" s="401"/>
      <c r="M169" s="398" t="e">
        <f>M168*0.71</f>
        <v>#N/A</v>
      </c>
      <c r="N169" s="398" t="e">
        <f>N168*0.71</f>
        <v>#N/A</v>
      </c>
      <c r="O169" s="398" t="e">
        <f>O168*0.71</f>
        <v>#N/A</v>
      </c>
      <c r="P169" s="14">
        <v>0</v>
      </c>
      <c r="Q169" s="392">
        <v>0</v>
      </c>
      <c r="R169" s="14">
        <v>0</v>
      </c>
      <c r="S169" s="14"/>
      <c r="T169" s="243"/>
      <c r="U169" s="89"/>
      <c r="V169" s="64"/>
      <c r="W169" s="158"/>
      <c r="X169" s="158"/>
      <c r="Y169" s="64"/>
      <c r="Z169" s="158"/>
      <c r="AA169" s="158"/>
      <c r="AB169" s="65"/>
      <c r="AC169" s="89"/>
      <c r="AD169" s="89"/>
      <c r="AE169" s="7"/>
      <c r="AF169" s="7"/>
      <c r="AG169" s="7"/>
      <c r="AH169" s="7"/>
      <c r="AI169" s="7"/>
      <c r="AJ169" s="7"/>
      <c r="AK169" s="7"/>
      <c r="AL169" s="7"/>
      <c r="AM169" s="7"/>
      <c r="AN169" s="7"/>
      <c r="AO169" s="7"/>
      <c r="AP169" s="83"/>
      <c r="AQ169" s="83"/>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50"/>
      <c r="EF169" s="50"/>
      <c r="EG169" s="50"/>
      <c r="EH169" s="50"/>
      <c r="EI169" s="50"/>
      <c r="EJ169" s="50"/>
      <c r="EK169" s="50"/>
      <c r="EL169" s="50"/>
      <c r="EM169" s="50"/>
      <c r="EN169" s="50"/>
      <c r="EO169" s="50"/>
      <c r="EP169" s="50"/>
      <c r="EQ169" s="50"/>
      <c r="ER169" s="50"/>
      <c r="ES169" s="50"/>
      <c r="ET169" s="50"/>
      <c r="EU169" s="50"/>
      <c r="EV169" s="50"/>
      <c r="EW169" s="50"/>
      <c r="EX169" s="50"/>
      <c r="EY169" s="50"/>
      <c r="EZ169" s="50"/>
      <c r="FA169" s="50"/>
      <c r="FB169" s="50"/>
      <c r="FC169" s="50"/>
      <c r="FD169" s="50"/>
      <c r="FE169" s="50"/>
      <c r="FF169" s="50"/>
      <c r="FG169" s="50"/>
      <c r="FH169" s="50"/>
      <c r="FI169" s="50"/>
      <c r="FJ169" s="50"/>
      <c r="FK169" s="50"/>
      <c r="FL169" s="50"/>
      <c r="FM169" s="50"/>
      <c r="FN169" s="50"/>
    </row>
    <row r="170" spans="1:170" s="8" customFormat="1" ht="18" hidden="1" customHeight="1">
      <c r="A170" s="1976"/>
      <c r="B170" s="21"/>
      <c r="C170" s="395" t="s">
        <v>498</v>
      </c>
      <c r="D170" s="395"/>
      <c r="E170" s="395"/>
      <c r="F170" s="395"/>
      <c r="G170" s="395"/>
      <c r="H170" s="395"/>
      <c r="I170" s="410" t="s">
        <v>454</v>
      </c>
      <c r="J170" s="397" t="s">
        <v>15</v>
      </c>
      <c r="K170" s="397"/>
      <c r="L170" s="401"/>
      <c r="M170" s="411" t="e">
        <f>IF(M169=0,0,ROUND(M171/M169*1000,-1))</f>
        <v>#N/A</v>
      </c>
      <c r="N170" s="411" t="e">
        <f>IF(N169=0,0,ROUND(N171/N169*1000,-1))</f>
        <v>#N/A</v>
      </c>
      <c r="O170" s="411" t="e">
        <f>IF(O169=0,0,ROUND(O171/O169*1000,-1))</f>
        <v>#N/A</v>
      </c>
      <c r="P170" s="14">
        <v>0</v>
      </c>
      <c r="Q170" s="392">
        <v>0</v>
      </c>
      <c r="R170" s="14">
        <v>0</v>
      </c>
      <c r="S170" s="14"/>
      <c r="T170" s="243"/>
      <c r="U170" s="89"/>
      <c r="V170" s="64"/>
      <c r="W170" s="158"/>
      <c r="X170" s="158"/>
      <c r="Y170" s="64"/>
      <c r="Z170" s="158"/>
      <c r="AA170" s="158"/>
      <c r="AB170" s="65"/>
      <c r="AC170" s="89"/>
      <c r="AD170" s="89"/>
      <c r="AE170" s="7"/>
      <c r="AF170" s="7"/>
      <c r="AG170" s="7"/>
      <c r="AH170" s="7"/>
      <c r="AI170" s="7"/>
      <c r="AJ170" s="7"/>
      <c r="AK170" s="7"/>
      <c r="AL170" s="7"/>
      <c r="AM170" s="7"/>
      <c r="AN170" s="7"/>
      <c r="AO170" s="7"/>
      <c r="AP170" s="83"/>
      <c r="AQ170" s="83"/>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50"/>
      <c r="EF170" s="50"/>
      <c r="EG170" s="50"/>
      <c r="EH170" s="50"/>
      <c r="EI170" s="50"/>
      <c r="EJ170" s="50"/>
      <c r="EK170" s="50"/>
      <c r="EL170" s="50"/>
      <c r="EM170" s="50"/>
      <c r="EN170" s="50"/>
      <c r="EO170" s="50"/>
      <c r="EP170" s="50"/>
      <c r="EQ170" s="50"/>
      <c r="ER170" s="50"/>
      <c r="ES170" s="50"/>
      <c r="ET170" s="50"/>
      <c r="EU170" s="50"/>
      <c r="EV170" s="50"/>
      <c r="EW170" s="50"/>
      <c r="EX170" s="50"/>
      <c r="EY170" s="50"/>
      <c r="EZ170" s="50"/>
      <c r="FA170" s="50"/>
      <c r="FB170" s="50"/>
      <c r="FC170" s="50"/>
      <c r="FD170" s="50"/>
      <c r="FE170" s="50"/>
      <c r="FF170" s="50"/>
      <c r="FG170" s="50"/>
      <c r="FH170" s="50"/>
      <c r="FI170" s="50"/>
      <c r="FJ170" s="50"/>
      <c r="FK170" s="50"/>
      <c r="FL170" s="50"/>
      <c r="FM170" s="50"/>
      <c r="FN170" s="50"/>
    </row>
    <row r="171" spans="1:170" s="8" customFormat="1" ht="18" hidden="1" customHeight="1">
      <c r="A171" s="1977"/>
      <c r="B171" s="21"/>
      <c r="C171" s="395" t="s">
        <v>516</v>
      </c>
      <c r="D171" s="395"/>
      <c r="E171" s="395"/>
      <c r="F171" s="395"/>
      <c r="G171" s="395"/>
      <c r="H171" s="395"/>
      <c r="I171" s="412" t="s">
        <v>455</v>
      </c>
      <c r="J171" s="413" t="s">
        <v>62</v>
      </c>
      <c r="K171" s="413"/>
      <c r="L171" s="414"/>
      <c r="M171" s="415" t="e">
        <f>#REF!</f>
        <v>#REF!</v>
      </c>
      <c r="N171" s="415" t="e">
        <f>#REF!</f>
        <v>#REF!</v>
      </c>
      <c r="O171" s="415" t="e">
        <f>#REF!</f>
        <v>#REF!</v>
      </c>
      <c r="P171" s="14">
        <v>0</v>
      </c>
      <c r="Q171" s="392">
        <v>0</v>
      </c>
      <c r="R171" s="14">
        <v>0</v>
      </c>
      <c r="S171" s="14"/>
      <c r="T171" s="243"/>
      <c r="U171" s="89"/>
      <c r="V171" s="64"/>
      <c r="W171" s="158"/>
      <c r="X171" s="158"/>
      <c r="Y171" s="64"/>
      <c r="Z171" s="158"/>
      <c r="AA171" s="158"/>
      <c r="AB171" s="65"/>
      <c r="AC171" s="89"/>
      <c r="AD171" s="89"/>
      <c r="AE171" s="7"/>
      <c r="AF171" s="7"/>
      <c r="AG171" s="7"/>
      <c r="AH171" s="7"/>
      <c r="AI171" s="7"/>
      <c r="AJ171" s="7"/>
      <c r="AK171" s="7"/>
      <c r="AL171" s="7"/>
      <c r="AM171" s="7"/>
      <c r="AN171" s="7"/>
      <c r="AO171" s="7"/>
      <c r="AP171" s="83"/>
      <c r="AQ171" s="83"/>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50"/>
      <c r="EF171" s="50"/>
      <c r="EG171" s="50"/>
      <c r="EH171" s="50"/>
      <c r="EI171" s="50"/>
      <c r="EJ171" s="50"/>
      <c r="EK171" s="50"/>
      <c r="EL171" s="50"/>
      <c r="EM171" s="50"/>
      <c r="EN171" s="50"/>
      <c r="EO171" s="50"/>
      <c r="EP171" s="50"/>
      <c r="EQ171" s="50"/>
      <c r="ER171" s="50"/>
      <c r="ES171" s="50"/>
      <c r="ET171" s="50"/>
      <c r="EU171" s="50"/>
      <c r="EV171" s="50"/>
      <c r="EW171" s="50"/>
      <c r="EX171" s="50"/>
      <c r="EY171" s="50"/>
      <c r="EZ171" s="50"/>
      <c r="FA171" s="50"/>
      <c r="FB171" s="50"/>
      <c r="FC171" s="50"/>
      <c r="FD171" s="50"/>
      <c r="FE171" s="50"/>
      <c r="FF171" s="50"/>
      <c r="FG171" s="50"/>
      <c r="FH171" s="50"/>
      <c r="FI171" s="50"/>
      <c r="FJ171" s="50"/>
      <c r="FK171" s="50"/>
      <c r="FL171" s="50"/>
      <c r="FM171" s="50"/>
      <c r="FN171" s="50"/>
    </row>
    <row r="172" spans="1:170" s="5" customFormat="1" ht="2.25" hidden="1" customHeight="1">
      <c r="A172" s="113"/>
      <c r="B172" s="113"/>
      <c r="C172" s="114"/>
      <c r="D172" s="114"/>
      <c r="E172" s="114"/>
      <c r="F172" s="114"/>
      <c r="G172" s="114"/>
      <c r="H172" s="114"/>
      <c r="I172" s="154"/>
      <c r="J172" s="121"/>
      <c r="K172" s="121"/>
      <c r="L172" s="122"/>
      <c r="M172" s="122"/>
      <c r="N172" s="136"/>
      <c r="O172" s="136"/>
      <c r="P172" s="14">
        <v>0</v>
      </c>
      <c r="Q172" s="392">
        <v>0</v>
      </c>
      <c r="R172" s="14">
        <v>0</v>
      </c>
      <c r="S172" s="379"/>
      <c r="T172" s="618"/>
      <c r="U172" s="147"/>
      <c r="V172" s="36"/>
      <c r="W172" s="138"/>
      <c r="X172" s="138"/>
      <c r="Y172" s="27"/>
      <c r="Z172" s="138"/>
      <c r="AA172" s="138"/>
      <c r="AB172" s="36"/>
      <c r="AC172" s="147"/>
      <c r="AD172" s="147"/>
      <c r="AE172" s="36"/>
      <c r="AF172" s="36"/>
      <c r="AG172" s="36"/>
      <c r="AH172" s="36"/>
      <c r="AI172" s="36"/>
      <c r="AJ172" s="36"/>
      <c r="AK172" s="36"/>
      <c r="AL172" s="36"/>
      <c r="AM172" s="36"/>
      <c r="AN172" s="84"/>
      <c r="AO172" s="84"/>
      <c r="AP172" s="85"/>
      <c r="AQ172" s="85"/>
      <c r="AR172" s="54"/>
      <c r="AS172" s="54"/>
      <c r="AT172" s="54"/>
      <c r="AU172" s="54"/>
      <c r="AV172" s="54"/>
      <c r="AW172" s="54"/>
      <c r="AX172" s="54"/>
      <c r="AY172" s="54"/>
      <c r="AZ172" s="54"/>
      <c r="BA172" s="54"/>
      <c r="BB172" s="54"/>
      <c r="BC172" s="54"/>
      <c r="BD172" s="54"/>
      <c r="BE172" s="54"/>
      <c r="BF172" s="54"/>
      <c r="BG172" s="54"/>
      <c r="BH172" s="54"/>
      <c r="BI172" s="54"/>
      <c r="BJ172" s="54"/>
      <c r="BK172" s="54"/>
      <c r="BL172" s="54"/>
      <c r="BM172" s="54"/>
      <c r="BN172" s="54"/>
      <c r="BO172" s="54"/>
      <c r="BP172" s="54"/>
      <c r="BQ172" s="54"/>
      <c r="BR172" s="54"/>
      <c r="BS172" s="54"/>
      <c r="BT172" s="54"/>
      <c r="BU172" s="54"/>
      <c r="BV172" s="54"/>
      <c r="BW172" s="54"/>
      <c r="BX172" s="54"/>
      <c r="BY172" s="54"/>
      <c r="BZ172" s="54"/>
      <c r="CA172" s="54"/>
      <c r="CB172" s="54"/>
      <c r="CC172" s="54"/>
      <c r="CD172" s="54"/>
      <c r="CE172" s="54"/>
      <c r="CF172" s="54"/>
      <c r="CG172" s="54"/>
      <c r="CH172" s="54"/>
      <c r="CI172" s="54"/>
      <c r="CJ172" s="54"/>
      <c r="CK172" s="54"/>
      <c r="CL172" s="54"/>
      <c r="CM172" s="54"/>
      <c r="CN172" s="54"/>
      <c r="CO172" s="54"/>
      <c r="CP172" s="54"/>
      <c r="CQ172" s="54"/>
      <c r="CR172" s="54"/>
      <c r="CS172" s="54"/>
      <c r="CT172" s="54"/>
      <c r="CU172" s="54"/>
      <c r="CV172" s="55"/>
      <c r="CW172" s="55"/>
      <c r="CX172" s="55"/>
      <c r="CY172" s="55"/>
      <c r="CZ172" s="55"/>
      <c r="DA172" s="55"/>
      <c r="DB172" s="55"/>
      <c r="DC172" s="55"/>
      <c r="DD172" s="55"/>
      <c r="DE172" s="55"/>
      <c r="DF172" s="55"/>
      <c r="DG172" s="55"/>
      <c r="DH172" s="55"/>
      <c r="DI172" s="55"/>
      <c r="DJ172" s="55"/>
      <c r="DK172" s="55"/>
      <c r="DL172" s="55"/>
      <c r="DM172" s="55"/>
      <c r="DN172" s="55"/>
      <c r="DO172" s="55"/>
      <c r="DP172" s="55"/>
      <c r="DQ172" s="55"/>
      <c r="DR172" s="55"/>
      <c r="DS172" s="55"/>
      <c r="DT172" s="55"/>
      <c r="DU172" s="55"/>
      <c r="DV172" s="55"/>
      <c r="DW172" s="55"/>
      <c r="DX172" s="55"/>
      <c r="DY172" s="55"/>
      <c r="DZ172" s="55"/>
      <c r="EA172" s="55"/>
      <c r="EB172" s="55"/>
      <c r="EC172" s="55"/>
      <c r="ED172" s="55"/>
      <c r="EE172" s="53"/>
      <c r="EF172" s="53"/>
      <c r="EG172" s="53"/>
      <c r="EH172" s="53"/>
      <c r="EI172" s="53"/>
      <c r="EJ172" s="53"/>
      <c r="EK172" s="53"/>
      <c r="EL172" s="53"/>
      <c r="EM172" s="53"/>
      <c r="EN172" s="53"/>
      <c r="EO172" s="53"/>
      <c r="EP172" s="53"/>
      <c r="EQ172" s="53"/>
      <c r="ER172" s="53"/>
      <c r="ES172" s="53"/>
      <c r="ET172" s="53"/>
      <c r="EU172" s="53"/>
      <c r="EV172" s="53"/>
      <c r="EW172" s="53"/>
      <c r="EX172" s="53"/>
      <c r="EY172" s="53"/>
      <c r="EZ172" s="53"/>
      <c r="FA172" s="53"/>
      <c r="FB172" s="53"/>
      <c r="FC172" s="53"/>
      <c r="FD172" s="53"/>
      <c r="FE172" s="53"/>
      <c r="FF172" s="53"/>
      <c r="FG172" s="53"/>
      <c r="FH172" s="53"/>
      <c r="FI172" s="53"/>
      <c r="FJ172" s="53"/>
      <c r="FK172" s="53"/>
      <c r="FL172" s="53"/>
      <c r="FM172" s="53"/>
      <c r="FN172" s="53"/>
    </row>
    <row r="173" spans="1:170" s="8" customFormat="1" ht="18" customHeight="1">
      <c r="A173" s="1976" t="str">
        <f>Begriffe!F222</f>
        <v>Raumheizung</v>
      </c>
      <c r="B173" s="204"/>
      <c r="C173" s="500" t="str">
        <f>Begriffe!F110</f>
        <v>Transmissions-Wärmetransferkoeffizient</v>
      </c>
      <c r="D173" s="379"/>
      <c r="E173" s="379"/>
      <c r="F173" s="267"/>
      <c r="G173" s="14"/>
      <c r="H173" s="14"/>
      <c r="I173" s="98" t="s">
        <v>173</v>
      </c>
      <c r="J173" s="499" t="s">
        <v>49</v>
      </c>
      <c r="K173" s="499"/>
      <c r="L173" s="201"/>
      <c r="M173" s="394">
        <f>(($M$14-$M95*($M$13)/M20)*M18+$M95*($M$13)/M20*M19)*(1+M21)</f>
        <v>9.2464705882352956</v>
      </c>
      <c r="N173" s="394">
        <f>(($M$14-$M95*($M$13)/N20)*N18+$M95*($M$13)/N20*N19)*(1+N21)</f>
        <v>6.5352941176470596</v>
      </c>
      <c r="O173" s="394">
        <f>(($M$14-$M95*($M$13)/O20)*O18+$M95*($M$13)/O20*O19)*(1+O21)</f>
        <v>26.917647058823533</v>
      </c>
      <c r="P173" s="14">
        <v>0</v>
      </c>
      <c r="Q173" s="392">
        <v>1</v>
      </c>
      <c r="R173" s="14">
        <v>0</v>
      </c>
      <c r="S173" s="14"/>
      <c r="T173" s="14"/>
      <c r="V173" s="64"/>
      <c r="W173" s="158"/>
      <c r="X173" s="158"/>
      <c r="Y173" s="64"/>
      <c r="Z173" s="158"/>
      <c r="AA173" s="158"/>
      <c r="AB173" s="65"/>
      <c r="AC173" s="89"/>
      <c r="AD173" s="89"/>
      <c r="AE173" s="7"/>
      <c r="AF173" s="7"/>
      <c r="AG173" s="7"/>
      <c r="AH173" s="7"/>
      <c r="AI173" s="7"/>
      <c r="AJ173" s="7"/>
      <c r="AK173" s="7"/>
      <c r="AL173" s="7"/>
      <c r="AM173" s="7"/>
      <c r="AN173" s="7"/>
      <c r="AO173" s="7"/>
      <c r="AP173" s="83"/>
      <c r="AQ173" s="83"/>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50"/>
      <c r="EF173" s="50"/>
      <c r="EG173" s="50"/>
      <c r="EH173" s="50"/>
      <c r="EI173" s="50"/>
      <c r="EJ173" s="50"/>
      <c r="EK173" s="50"/>
      <c r="EL173" s="50"/>
      <c r="EM173" s="50"/>
      <c r="EN173" s="50"/>
      <c r="EO173" s="50"/>
      <c r="EP173" s="50"/>
      <c r="EQ173" s="50"/>
      <c r="ER173" s="50"/>
      <c r="ES173" s="50"/>
      <c r="ET173" s="50"/>
      <c r="EU173" s="50"/>
      <c r="EV173" s="50"/>
      <c r="EW173" s="50"/>
      <c r="EX173" s="50"/>
      <c r="EY173" s="50"/>
      <c r="EZ173" s="50"/>
      <c r="FA173" s="50"/>
      <c r="FB173" s="50"/>
      <c r="FC173" s="50"/>
      <c r="FD173" s="50"/>
      <c r="FE173" s="50"/>
      <c r="FF173" s="50"/>
      <c r="FG173" s="50"/>
      <c r="FH173" s="50"/>
      <c r="FI173" s="50"/>
      <c r="FJ173" s="50"/>
      <c r="FK173" s="50"/>
      <c r="FL173" s="50"/>
      <c r="FM173" s="50"/>
      <c r="FN173" s="50"/>
    </row>
    <row r="174" spans="1:170" s="8" customFormat="1" ht="18" customHeight="1">
      <c r="A174" s="1976"/>
      <c r="B174" s="204"/>
      <c r="C174" s="501" t="str">
        <f>Begriffe!F76</f>
        <v>Lüftungs-Wärmetransferkoeffizient</v>
      </c>
      <c r="D174" s="379"/>
      <c r="E174" s="379"/>
      <c r="F174" s="267"/>
      <c r="G174" s="14"/>
      <c r="H174" s="14"/>
      <c r="I174" s="98" t="s">
        <v>174</v>
      </c>
      <c r="J174" s="499" t="s">
        <v>49</v>
      </c>
      <c r="K174" s="499"/>
      <c r="L174" s="201"/>
      <c r="M174" s="697">
        <f>(M180*0.32*$M$13)</f>
        <v>1.6</v>
      </c>
      <c r="N174" s="697">
        <f>(N180*0.32*$M$13)</f>
        <v>1.6</v>
      </c>
      <c r="O174" s="697">
        <f>(O180*0.32*$M$13)</f>
        <v>8</v>
      </c>
      <c r="P174" s="14">
        <v>0</v>
      </c>
      <c r="Q174" s="392">
        <v>1</v>
      </c>
      <c r="R174" s="14">
        <v>0</v>
      </c>
      <c r="S174" s="14"/>
      <c r="T174" s="243"/>
      <c r="U174" s="89"/>
      <c r="V174" s="64"/>
      <c r="W174" s="158"/>
      <c r="X174" s="158"/>
      <c r="Y174" s="64"/>
      <c r="Z174" s="158"/>
      <c r="AA174" s="158"/>
      <c r="AB174" s="65"/>
      <c r="AC174" s="89"/>
      <c r="AD174" s="89"/>
      <c r="AE174" s="7"/>
      <c r="AF174" s="7"/>
      <c r="AG174" s="7"/>
      <c r="AH174" s="7"/>
      <c r="AI174" s="7"/>
      <c r="AJ174" s="7"/>
      <c r="AK174" s="7"/>
      <c r="AL174" s="7"/>
      <c r="AM174" s="7"/>
      <c r="AN174" s="7"/>
      <c r="AO174" s="7"/>
      <c r="AP174" s="83"/>
      <c r="AQ174" s="83"/>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50"/>
      <c r="DA174" s="50"/>
      <c r="DB174" s="50"/>
      <c r="DC174" s="50"/>
      <c r="DD174" s="50"/>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50"/>
      <c r="EF174" s="50"/>
      <c r="EG174" s="50"/>
      <c r="EH174" s="50"/>
      <c r="EI174" s="50"/>
      <c r="EJ174" s="50"/>
      <c r="EK174" s="50"/>
      <c r="EL174" s="50"/>
      <c r="EM174" s="50"/>
      <c r="EN174" s="50"/>
      <c r="EO174" s="50"/>
      <c r="EP174" s="50"/>
      <c r="EQ174" s="50"/>
      <c r="ER174" s="50"/>
      <c r="ES174" s="50"/>
      <c r="ET174" s="50"/>
      <c r="EU174" s="50"/>
      <c r="EV174" s="50"/>
      <c r="EW174" s="50"/>
      <c r="EX174" s="50"/>
      <c r="EY174" s="50"/>
      <c r="EZ174" s="50"/>
      <c r="FA174" s="50"/>
      <c r="FB174" s="50"/>
      <c r="FC174" s="50"/>
      <c r="FD174" s="50"/>
      <c r="FE174" s="50"/>
      <c r="FF174" s="50"/>
      <c r="FG174" s="50"/>
      <c r="FH174" s="50"/>
      <c r="FI174" s="50"/>
      <c r="FJ174" s="50"/>
      <c r="FK174" s="50"/>
      <c r="FL174" s="50"/>
      <c r="FM174" s="50"/>
      <c r="FN174" s="50"/>
    </row>
    <row r="175" spans="1:170" s="8" customFormat="1" ht="18" customHeight="1">
      <c r="A175" s="1976"/>
      <c r="B175" s="204"/>
      <c r="C175" s="501" t="str">
        <f>Begriffe!F124</f>
        <v>Wärmetransferkoeffizient</v>
      </c>
      <c r="D175" s="379"/>
      <c r="E175" s="379"/>
      <c r="F175" s="14"/>
      <c r="G175" s="14"/>
      <c r="H175" s="14"/>
      <c r="I175" s="98" t="s">
        <v>595</v>
      </c>
      <c r="J175" s="499" t="s">
        <v>49</v>
      </c>
      <c r="K175" s="499"/>
      <c r="L175" s="201"/>
      <c r="M175" s="697">
        <f>SUM(M173:M174)</f>
        <v>10.846470588235295</v>
      </c>
      <c r="N175" s="697">
        <f>SUM(N173:N174)</f>
        <v>8.1352941176470601</v>
      </c>
      <c r="O175" s="697">
        <f>SUM(O173:O174)</f>
        <v>34.917647058823533</v>
      </c>
      <c r="P175" s="14">
        <v>1</v>
      </c>
      <c r="Q175" s="392">
        <v>1</v>
      </c>
      <c r="R175" s="14">
        <v>0</v>
      </c>
      <c r="S175" s="14"/>
      <c r="T175" s="243"/>
      <c r="U175" s="89"/>
      <c r="V175" s="64"/>
      <c r="W175" s="158"/>
      <c r="X175" s="158"/>
      <c r="Y175" s="64"/>
      <c r="Z175" s="158"/>
      <c r="AA175" s="158"/>
      <c r="AB175" s="65"/>
      <c r="AC175" s="89"/>
      <c r="AD175" s="89"/>
      <c r="AE175" s="7"/>
      <c r="AF175" s="7"/>
      <c r="AG175" s="7"/>
      <c r="AH175" s="7"/>
      <c r="AI175" s="7"/>
      <c r="AJ175" s="7"/>
      <c r="AK175" s="7"/>
      <c r="AL175" s="7"/>
      <c r="AM175" s="7"/>
      <c r="AN175" s="7"/>
      <c r="AO175" s="7"/>
      <c r="AP175" s="83"/>
      <c r="AQ175" s="83"/>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50"/>
      <c r="EF175" s="50"/>
      <c r="EG175" s="50"/>
      <c r="EH175" s="50"/>
      <c r="EI175" s="50"/>
      <c r="EJ175" s="50"/>
      <c r="EK175" s="50"/>
      <c r="EL175" s="50"/>
      <c r="EM175" s="50"/>
      <c r="EN175" s="50"/>
      <c r="EO175" s="50"/>
      <c r="EP175" s="50"/>
      <c r="EQ175" s="50"/>
      <c r="ER175" s="50"/>
      <c r="ES175" s="50"/>
      <c r="ET175" s="50"/>
      <c r="EU175" s="50"/>
      <c r="EV175" s="50"/>
      <c r="EW175" s="50"/>
      <c r="EX175" s="50"/>
      <c r="EY175" s="50"/>
      <c r="EZ175" s="50"/>
      <c r="FA175" s="50"/>
      <c r="FB175" s="50"/>
      <c r="FC175" s="50"/>
      <c r="FD175" s="50"/>
      <c r="FE175" s="50"/>
      <c r="FF175" s="50"/>
      <c r="FG175" s="50"/>
      <c r="FH175" s="50"/>
      <c r="FI175" s="50"/>
      <c r="FJ175" s="50"/>
      <c r="FK175" s="50"/>
      <c r="FL175" s="50"/>
      <c r="FM175" s="50"/>
      <c r="FN175" s="50"/>
    </row>
    <row r="176" spans="1:170" s="8" customFormat="1" ht="18" customHeight="1">
      <c r="A176" s="1976"/>
      <c r="B176" s="204"/>
      <c r="C176" s="501" t="str">
        <f>Begriffe!F127</f>
        <v>Zeitkonstante</v>
      </c>
      <c r="D176" s="379"/>
      <c r="E176" s="379"/>
      <c r="F176" s="14"/>
      <c r="G176" s="14"/>
      <c r="H176" s="14"/>
      <c r="I176" s="675" t="s">
        <v>175</v>
      </c>
      <c r="J176" s="499" t="s">
        <v>15</v>
      </c>
      <c r="K176" s="499"/>
      <c r="L176" s="201"/>
      <c r="M176" s="698">
        <f>IF(M175&lt;=0,0,$M28*$M13/M175)</f>
        <v>221.27013395520362</v>
      </c>
      <c r="N176" s="698">
        <f>IF(N175&lt;=0,0,$M28*$M13/N175)</f>
        <v>295.01084598698475</v>
      </c>
      <c r="O176" s="698">
        <f>IF(O175&lt;=0,0,$M28*$M13/O175)</f>
        <v>68.733153638814002</v>
      </c>
      <c r="P176" s="14">
        <v>1</v>
      </c>
      <c r="Q176" s="392">
        <v>1</v>
      </c>
      <c r="R176" s="14">
        <v>0</v>
      </c>
      <c r="S176" s="14"/>
      <c r="T176" s="243"/>
      <c r="U176" s="89"/>
      <c r="V176" s="64"/>
      <c r="W176" s="158"/>
      <c r="X176" s="158"/>
      <c r="Y176" s="64"/>
      <c r="Z176" s="158"/>
      <c r="AA176" s="158"/>
      <c r="AB176" s="65"/>
      <c r="AC176" s="89"/>
      <c r="AD176" s="89"/>
      <c r="AE176" s="7"/>
      <c r="AF176" s="7"/>
      <c r="AG176" s="7"/>
      <c r="AH176" s="7"/>
      <c r="AI176" s="7"/>
      <c r="AJ176" s="7"/>
      <c r="AK176" s="7"/>
      <c r="AL176" s="7"/>
      <c r="AM176" s="7"/>
      <c r="AN176" s="7"/>
      <c r="AO176" s="7"/>
      <c r="AP176" s="83"/>
      <c r="AQ176" s="83"/>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50"/>
      <c r="DA176" s="50"/>
      <c r="DB176" s="50"/>
      <c r="DC176" s="50"/>
      <c r="DD176" s="50"/>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50"/>
      <c r="EF176" s="50"/>
      <c r="EG176" s="50"/>
      <c r="EH176" s="50"/>
      <c r="EI176" s="50"/>
      <c r="EJ176" s="50"/>
      <c r="EK176" s="50"/>
      <c r="EL176" s="50"/>
      <c r="EM176" s="50"/>
      <c r="EN176" s="50"/>
      <c r="EO176" s="50"/>
      <c r="EP176" s="50"/>
      <c r="EQ176" s="50"/>
      <c r="ER176" s="50"/>
      <c r="ES176" s="50"/>
      <c r="ET176" s="50"/>
      <c r="EU176" s="50"/>
      <c r="EV176" s="50"/>
      <c r="EW176" s="50"/>
      <c r="EX176" s="50"/>
      <c r="EY176" s="50"/>
      <c r="EZ176" s="50"/>
      <c r="FA176" s="50"/>
      <c r="FB176" s="50"/>
      <c r="FC176" s="50"/>
      <c r="FD176" s="50"/>
      <c r="FE176" s="50"/>
      <c r="FF176" s="50"/>
      <c r="FG176" s="50"/>
      <c r="FH176" s="50"/>
      <c r="FI176" s="50"/>
      <c r="FJ176" s="50"/>
      <c r="FK176" s="50"/>
      <c r="FL176" s="50"/>
      <c r="FM176" s="50"/>
      <c r="FN176" s="50"/>
    </row>
    <row r="177" spans="1:170" s="8" customFormat="1" ht="18" customHeight="1">
      <c r="A177" s="1976"/>
      <c r="B177" s="204"/>
      <c r="C177" s="501" t="str">
        <f>Begriffe!F106</f>
        <v>Temperaturkorrektur</v>
      </c>
      <c r="D177" s="379"/>
      <c r="E177" s="379"/>
      <c r="F177" s="265"/>
      <c r="G177" s="14"/>
      <c r="H177" s="14"/>
      <c r="I177" s="675" t="s">
        <v>978</v>
      </c>
      <c r="J177" s="499" t="s">
        <v>3</v>
      </c>
      <c r="K177" s="499"/>
      <c r="L177" s="201"/>
      <c r="M177" s="697">
        <f>MAX(MIN(0.015*M176-3.4,0),-3)</f>
        <v>-8.0947990671945913E-2</v>
      </c>
      <c r="N177" s="697">
        <f>MAX(MIN(0.015*N176-3.4,0),-3)</f>
        <v>0</v>
      </c>
      <c r="O177" s="697">
        <f>MAX(MIN(0.015*O176-3.4,0),-3)</f>
        <v>-2.3690026954177901</v>
      </c>
      <c r="P177" s="14">
        <v>1</v>
      </c>
      <c r="Q177" s="392">
        <v>1</v>
      </c>
      <c r="R177" s="14">
        <v>0</v>
      </c>
      <c r="S177" s="14"/>
      <c r="T177" s="243"/>
      <c r="U177" s="89"/>
      <c r="V177" s="64"/>
      <c r="W177" s="158"/>
      <c r="X177" s="158"/>
      <c r="Y177" s="64"/>
      <c r="Z177" s="158"/>
      <c r="AA177" s="158"/>
      <c r="AB177" s="65"/>
      <c r="AC177" s="89"/>
      <c r="AD177" s="89"/>
      <c r="AE177" s="7"/>
      <c r="AF177" s="7"/>
      <c r="AG177" s="7"/>
      <c r="AH177" s="7"/>
      <c r="AI177" s="7"/>
      <c r="AJ177" s="7"/>
      <c r="AK177" s="7"/>
      <c r="AL177" s="7"/>
      <c r="AM177" s="7"/>
      <c r="AN177" s="7"/>
      <c r="AO177" s="7"/>
      <c r="AP177" s="83"/>
      <c r="AQ177" s="83"/>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50"/>
      <c r="DA177" s="50"/>
      <c r="DB177" s="50"/>
      <c r="DC177" s="50"/>
      <c r="DD177" s="50"/>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50"/>
      <c r="EF177" s="50"/>
      <c r="EG177" s="50"/>
      <c r="EH177" s="50"/>
      <c r="EI177" s="50"/>
      <c r="EJ177" s="50"/>
      <c r="EK177" s="50"/>
      <c r="EL177" s="50"/>
      <c r="EM177" s="50"/>
      <c r="EN177" s="50"/>
      <c r="EO177" s="50"/>
      <c r="EP177" s="50"/>
      <c r="EQ177" s="50"/>
      <c r="ER177" s="50"/>
      <c r="ES177" s="50"/>
      <c r="ET177" s="50"/>
      <c r="EU177" s="50"/>
      <c r="EV177" s="50"/>
      <c r="EW177" s="50"/>
      <c r="EX177" s="50"/>
      <c r="EY177" s="50"/>
      <c r="EZ177" s="50"/>
      <c r="FA177" s="50"/>
      <c r="FB177" s="50"/>
      <c r="FC177" s="50"/>
      <c r="FD177" s="50"/>
      <c r="FE177" s="50"/>
      <c r="FF177" s="50"/>
      <c r="FG177" s="50"/>
      <c r="FH177" s="50"/>
      <c r="FI177" s="50"/>
      <c r="FJ177" s="50"/>
      <c r="FK177" s="50"/>
      <c r="FL177" s="50"/>
      <c r="FM177" s="50"/>
      <c r="FN177" s="50"/>
    </row>
    <row r="178" spans="1:170" s="8" customFormat="1" ht="18" hidden="1" customHeight="1">
      <c r="A178" s="1976"/>
      <c r="B178" s="204"/>
      <c r="C178" s="1152" t="s">
        <v>1468</v>
      </c>
      <c r="D178" s="1153"/>
      <c r="E178" s="1153"/>
      <c r="F178" s="1154" t="s">
        <v>1466</v>
      </c>
      <c r="G178" s="471"/>
      <c r="H178" s="471"/>
      <c r="I178" s="1157" t="s">
        <v>1517</v>
      </c>
      <c r="J178" s="719" t="s">
        <v>149</v>
      </c>
      <c r="K178" s="1155"/>
      <c r="L178" s="405"/>
      <c r="M178" s="1158">
        <f>M173/$M13*($M32-$M5-M177)</f>
        <v>13.21364474898154</v>
      </c>
      <c r="N178" s="1158">
        <f>N173/$M13*($M32-$M5-N177)</f>
        <v>9.3127941176470586</v>
      </c>
      <c r="O178" s="1158">
        <f>O173/$M13*($M32-$M5-O177)</f>
        <v>41.546045980656423</v>
      </c>
      <c r="P178" s="14"/>
      <c r="Q178" s="392"/>
      <c r="R178" s="14"/>
      <c r="S178" s="14"/>
      <c r="T178" s="243"/>
      <c r="U178" s="89"/>
      <c r="V178" s="64"/>
      <c r="W178" s="158"/>
      <c r="X178" s="158"/>
      <c r="Y178" s="64"/>
      <c r="Z178" s="158"/>
      <c r="AA178" s="158"/>
      <c r="AB178" s="65"/>
      <c r="AC178" s="89"/>
      <c r="AD178" s="89"/>
      <c r="AE178" s="7"/>
      <c r="AF178" s="7"/>
      <c r="AG178" s="7"/>
      <c r="AH178" s="7"/>
      <c r="AI178" s="7"/>
      <c r="AJ178" s="7"/>
      <c r="AK178" s="7"/>
      <c r="AL178" s="7"/>
      <c r="AM178" s="7"/>
      <c r="AN178" s="7"/>
      <c r="AO178" s="7"/>
      <c r="AP178" s="83"/>
      <c r="AQ178" s="83"/>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c r="CC178" s="50"/>
      <c r="CD178" s="50"/>
      <c r="CE178" s="50"/>
      <c r="CF178" s="50"/>
      <c r="CG178" s="50"/>
      <c r="CH178" s="50"/>
      <c r="CI178" s="50"/>
      <c r="CJ178" s="50"/>
      <c r="CK178" s="50"/>
      <c r="CL178" s="50"/>
      <c r="CM178" s="50"/>
      <c r="CN178" s="50"/>
      <c r="CO178" s="50"/>
      <c r="CP178" s="50"/>
      <c r="CQ178" s="50"/>
      <c r="CR178" s="50"/>
      <c r="CS178" s="50"/>
      <c r="CT178" s="50"/>
      <c r="CU178" s="50"/>
      <c r="CV178" s="50"/>
      <c r="CW178" s="50"/>
      <c r="CX178" s="50"/>
      <c r="CY178" s="50"/>
      <c r="CZ178" s="50"/>
      <c r="DA178" s="50"/>
      <c r="DB178" s="50"/>
      <c r="DC178" s="50"/>
      <c r="DD178" s="50"/>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50"/>
      <c r="EF178" s="50"/>
      <c r="EG178" s="50"/>
      <c r="EH178" s="50"/>
      <c r="EI178" s="50"/>
      <c r="EJ178" s="50"/>
      <c r="EK178" s="50"/>
      <c r="EL178" s="50"/>
      <c r="EM178" s="50"/>
      <c r="EN178" s="50"/>
      <c r="EO178" s="50"/>
      <c r="EP178" s="50"/>
      <c r="EQ178" s="50"/>
      <c r="ER178" s="50"/>
      <c r="ES178" s="50"/>
      <c r="ET178" s="50"/>
      <c r="EU178" s="50"/>
      <c r="EV178" s="50"/>
      <c r="EW178" s="50"/>
      <c r="EX178" s="50"/>
      <c r="EY178" s="50"/>
      <c r="EZ178" s="50"/>
      <c r="FA178" s="50"/>
      <c r="FB178" s="50"/>
      <c r="FC178" s="50"/>
      <c r="FD178" s="50"/>
      <c r="FE178" s="50"/>
      <c r="FF178" s="50"/>
      <c r="FG178" s="50"/>
      <c r="FH178" s="50"/>
      <c r="FI178" s="50"/>
      <c r="FJ178" s="50"/>
      <c r="FK178" s="50"/>
      <c r="FL178" s="50"/>
      <c r="FM178" s="50"/>
      <c r="FN178" s="50"/>
    </row>
    <row r="179" spans="1:170" s="8" customFormat="1" ht="18" hidden="1" customHeight="1">
      <c r="A179" s="1976"/>
      <c r="B179" s="204"/>
      <c r="C179" s="1152" t="str">
        <f>Begriffe!F107</f>
        <v>Thermisch wirksame Mindest-Luftwechselrate</v>
      </c>
      <c r="D179" s="1153"/>
      <c r="E179" s="1153"/>
      <c r="F179" s="1154" t="s">
        <v>1466</v>
      </c>
      <c r="G179" s="471"/>
      <c r="H179" s="471"/>
      <c r="I179" s="410" t="s">
        <v>1462</v>
      </c>
      <c r="J179" s="1155" t="s">
        <v>1461</v>
      </c>
      <c r="K179" s="1155"/>
      <c r="L179" s="405"/>
      <c r="M179" s="1158">
        <f>IF(L179&lt;&gt;"",L179,INDEX(Eingabedaten!$D$9:$DN$53,nutzid,MATCH($C179,Eingabedaten!$D$6:$DN$6,0)))</f>
        <v>0.1</v>
      </c>
      <c r="N179" s="1156">
        <f>M179</f>
        <v>0.1</v>
      </c>
      <c r="O179" s="1156">
        <f>IF(L179&lt;&gt;"",L179,INDEX(Eingabedaten!$D$9:$DN$53,nutzid,MATCH($C179,Eingabedaten!$D$6:$DN$6,0)+1))</f>
        <v>0.5</v>
      </c>
      <c r="P179" s="14"/>
      <c r="Q179" s="392"/>
      <c r="R179" s="14"/>
      <c r="S179" s="14"/>
      <c r="T179" s="243"/>
      <c r="U179" s="89"/>
      <c r="V179" s="64"/>
      <c r="W179" s="158"/>
      <c r="X179" s="158"/>
      <c r="Y179" s="64"/>
      <c r="Z179" s="158"/>
      <c r="AA179" s="158"/>
      <c r="AB179" s="65"/>
      <c r="AC179" s="89"/>
      <c r="AD179" s="89"/>
      <c r="AE179" s="7"/>
      <c r="AF179" s="7"/>
      <c r="AG179" s="7"/>
      <c r="AH179" s="7"/>
      <c r="AI179" s="7"/>
      <c r="AJ179" s="7"/>
      <c r="AK179" s="7"/>
      <c r="AL179" s="7"/>
      <c r="AM179" s="7"/>
      <c r="AN179" s="7"/>
      <c r="AO179" s="7"/>
      <c r="AP179" s="83"/>
      <c r="AQ179" s="83"/>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c r="CC179" s="50"/>
      <c r="CD179" s="50"/>
      <c r="CE179" s="50"/>
      <c r="CF179" s="50"/>
      <c r="CG179" s="50"/>
      <c r="CH179" s="50"/>
      <c r="CI179" s="50"/>
      <c r="CJ179" s="50"/>
      <c r="CK179" s="50"/>
      <c r="CL179" s="50"/>
      <c r="CM179" s="50"/>
      <c r="CN179" s="50"/>
      <c r="CO179" s="50"/>
      <c r="CP179" s="50"/>
      <c r="CQ179" s="50"/>
      <c r="CR179" s="50"/>
      <c r="CS179" s="50"/>
      <c r="CT179" s="50"/>
      <c r="CU179" s="50"/>
      <c r="CV179" s="50"/>
      <c r="CW179" s="50"/>
      <c r="CX179" s="50"/>
      <c r="CY179" s="50"/>
      <c r="CZ179" s="50"/>
      <c r="DA179" s="50"/>
      <c r="DB179" s="50"/>
      <c r="DC179" s="50"/>
      <c r="DD179" s="50"/>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50"/>
      <c r="EF179" s="50"/>
      <c r="EG179" s="50"/>
      <c r="EH179" s="50"/>
      <c r="EI179" s="50"/>
      <c r="EJ179" s="50"/>
      <c r="EK179" s="50"/>
      <c r="EL179" s="50"/>
      <c r="EM179" s="50"/>
      <c r="EN179" s="50"/>
      <c r="EO179" s="50"/>
      <c r="EP179" s="50"/>
      <c r="EQ179" s="50"/>
      <c r="ER179" s="50"/>
      <c r="ES179" s="50"/>
      <c r="ET179" s="50"/>
      <c r="EU179" s="50"/>
      <c r="EV179" s="50"/>
      <c r="EW179" s="50"/>
      <c r="EX179" s="50"/>
      <c r="EY179" s="50"/>
      <c r="EZ179" s="50"/>
      <c r="FA179" s="50"/>
      <c r="FB179" s="50"/>
      <c r="FC179" s="50"/>
      <c r="FD179" s="50"/>
      <c r="FE179" s="50"/>
      <c r="FF179" s="50"/>
      <c r="FG179" s="50"/>
      <c r="FH179" s="50"/>
      <c r="FI179" s="50"/>
      <c r="FJ179" s="50"/>
      <c r="FK179" s="50"/>
      <c r="FL179" s="50"/>
      <c r="FM179" s="50"/>
      <c r="FN179" s="50"/>
    </row>
    <row r="180" spans="1:170" s="8" customFormat="1" ht="18" hidden="1" customHeight="1">
      <c r="A180" s="1976"/>
      <c r="B180" s="204"/>
      <c r="C180" s="1152" t="s">
        <v>1463</v>
      </c>
      <c r="D180" s="1153"/>
      <c r="E180" s="1153"/>
      <c r="F180" s="1154" t="s">
        <v>1466</v>
      </c>
      <c r="G180" s="471"/>
      <c r="H180" s="471"/>
      <c r="I180" s="410" t="s">
        <v>1464</v>
      </c>
      <c r="J180" s="719" t="s">
        <v>980</v>
      </c>
      <c r="K180" s="1155"/>
      <c r="L180" s="405"/>
      <c r="M180" s="1156">
        <f>M179*$M12</f>
        <v>0.25</v>
      </c>
      <c r="N180" s="1156">
        <f>N179*$M12</f>
        <v>0.25</v>
      </c>
      <c r="O180" s="1156">
        <f>O179*$M12</f>
        <v>1.25</v>
      </c>
      <c r="P180" s="14"/>
      <c r="Q180" s="392"/>
      <c r="R180" s="14"/>
      <c r="S180" s="14"/>
      <c r="T180" s="243"/>
      <c r="U180" s="89"/>
      <c r="V180" s="64"/>
      <c r="W180" s="158"/>
      <c r="X180" s="158"/>
      <c r="Y180" s="64"/>
      <c r="Z180" s="158"/>
      <c r="AA180" s="158"/>
      <c r="AB180" s="65"/>
      <c r="AC180" s="89"/>
      <c r="AD180" s="89"/>
      <c r="AE180" s="7"/>
      <c r="AF180" s="7"/>
      <c r="AG180" s="7"/>
      <c r="AH180" s="7"/>
      <c r="AI180" s="7"/>
      <c r="AJ180" s="7"/>
      <c r="AK180" s="7"/>
      <c r="AL180" s="7"/>
      <c r="AM180" s="7"/>
      <c r="AN180" s="7"/>
      <c r="AO180" s="7"/>
      <c r="AP180" s="83"/>
      <c r="AQ180" s="83"/>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50"/>
      <c r="DA180" s="50"/>
      <c r="DB180" s="50"/>
      <c r="DC180" s="50"/>
      <c r="DD180" s="50"/>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50"/>
      <c r="EF180" s="50"/>
      <c r="EG180" s="50"/>
      <c r="EH180" s="50"/>
      <c r="EI180" s="50"/>
      <c r="EJ180" s="50"/>
      <c r="EK180" s="50"/>
      <c r="EL180" s="50"/>
      <c r="EM180" s="50"/>
      <c r="EN180" s="50"/>
      <c r="EO180" s="50"/>
      <c r="EP180" s="50"/>
      <c r="EQ180" s="50"/>
      <c r="ER180" s="50"/>
      <c r="ES180" s="50"/>
      <c r="ET180" s="50"/>
      <c r="EU180" s="50"/>
      <c r="EV180" s="50"/>
      <c r="EW180" s="50"/>
      <c r="EX180" s="50"/>
      <c r="EY180" s="50"/>
      <c r="EZ180" s="50"/>
      <c r="FA180" s="50"/>
      <c r="FB180" s="50"/>
      <c r="FC180" s="50"/>
      <c r="FD180" s="50"/>
      <c r="FE180" s="50"/>
      <c r="FF180" s="50"/>
      <c r="FG180" s="50"/>
      <c r="FH180" s="50"/>
      <c r="FI180" s="50"/>
      <c r="FJ180" s="50"/>
      <c r="FK180" s="50"/>
      <c r="FL180" s="50"/>
      <c r="FM180" s="50"/>
      <c r="FN180" s="50"/>
    </row>
    <row r="181" spans="1:170" s="8" customFormat="1" ht="18" hidden="1" customHeight="1">
      <c r="A181" s="1976"/>
      <c r="B181" s="204"/>
      <c r="C181" s="1152" t="s">
        <v>1467</v>
      </c>
      <c r="D181" s="1153"/>
      <c r="E181" s="1153"/>
      <c r="F181" s="1154" t="s">
        <v>1466</v>
      </c>
      <c r="G181" s="471"/>
      <c r="H181" s="471"/>
      <c r="I181" s="1272" t="s">
        <v>1465</v>
      </c>
      <c r="J181" s="719" t="s">
        <v>149</v>
      </c>
      <c r="K181" s="1155"/>
      <c r="L181" s="405"/>
      <c r="M181" s="1158">
        <f>M174/$M$13*($M32-$M5-M177)</f>
        <v>2.2864758392537556</v>
      </c>
      <c r="N181" s="1158">
        <f>N174/$M$13*($M32-$M5-N177)</f>
        <v>2.2800000000000002</v>
      </c>
      <c r="O181" s="1158">
        <f>O174/$M$13*($M32-$M5-O177)</f>
        <v>12.347601078167116</v>
      </c>
      <c r="P181" s="14"/>
      <c r="Q181" s="392"/>
      <c r="R181" s="14"/>
      <c r="S181" s="14"/>
      <c r="T181" s="243"/>
      <c r="U181" s="89"/>
      <c r="V181" s="64"/>
      <c r="W181" s="158"/>
      <c r="X181" s="158"/>
      <c r="Y181" s="64"/>
      <c r="Z181" s="158"/>
      <c r="AA181" s="158"/>
      <c r="AB181" s="65"/>
      <c r="AC181" s="89"/>
      <c r="AD181" s="89"/>
      <c r="AE181" s="7"/>
      <c r="AF181" s="7"/>
      <c r="AG181" s="7"/>
      <c r="AH181" s="7"/>
      <c r="AI181" s="7"/>
      <c r="AJ181" s="7"/>
      <c r="AK181" s="7"/>
      <c r="AL181" s="7"/>
      <c r="AM181" s="7"/>
      <c r="AN181" s="7"/>
      <c r="AO181" s="7"/>
      <c r="AP181" s="83"/>
      <c r="AQ181" s="83"/>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50"/>
      <c r="DA181" s="50"/>
      <c r="DB181" s="50"/>
      <c r="DC181" s="50"/>
      <c r="DD181" s="50"/>
      <c r="DE181" s="49"/>
      <c r="DF181" s="49"/>
      <c r="DG181" s="49"/>
      <c r="DH181" s="49"/>
      <c r="DI181" s="49"/>
      <c r="DJ181" s="49"/>
      <c r="DK181" s="49"/>
      <c r="DL181" s="49"/>
      <c r="DM181" s="49"/>
      <c r="DN181" s="49"/>
      <c r="DO181" s="49"/>
      <c r="DP181" s="49"/>
      <c r="DQ181" s="49"/>
      <c r="DR181" s="49"/>
      <c r="DS181" s="49"/>
      <c r="DT181" s="49"/>
      <c r="DU181" s="49"/>
      <c r="DV181" s="49"/>
      <c r="DW181" s="49"/>
      <c r="DX181" s="49"/>
      <c r="DY181" s="49"/>
      <c r="DZ181" s="49"/>
      <c r="EA181" s="49"/>
      <c r="EB181" s="49"/>
      <c r="EC181" s="49"/>
      <c r="ED181" s="49"/>
      <c r="EE181" s="50"/>
      <c r="EF181" s="50"/>
      <c r="EG181" s="50"/>
      <c r="EH181" s="50"/>
      <c r="EI181" s="50"/>
      <c r="EJ181" s="50"/>
      <c r="EK181" s="50"/>
      <c r="EL181" s="50"/>
      <c r="EM181" s="50"/>
      <c r="EN181" s="50"/>
      <c r="EO181" s="50"/>
      <c r="EP181" s="50"/>
      <c r="EQ181" s="50"/>
      <c r="ER181" s="50"/>
      <c r="ES181" s="50"/>
      <c r="ET181" s="50"/>
      <c r="EU181" s="50"/>
      <c r="EV181" s="50"/>
      <c r="EW181" s="50"/>
      <c r="EX181" s="50"/>
      <c r="EY181" s="50"/>
      <c r="EZ181" s="50"/>
      <c r="FA181" s="50"/>
      <c r="FB181" s="50"/>
      <c r="FC181" s="50"/>
      <c r="FD181" s="50"/>
      <c r="FE181" s="50"/>
      <c r="FF181" s="50"/>
      <c r="FG181" s="50"/>
      <c r="FH181" s="50"/>
      <c r="FI181" s="50"/>
      <c r="FJ181" s="50"/>
      <c r="FK181" s="50"/>
      <c r="FL181" s="50"/>
      <c r="FM181" s="50"/>
      <c r="FN181" s="50"/>
    </row>
    <row r="182" spans="1:170" s="8" customFormat="1" ht="18" customHeight="1">
      <c r="A182" s="1976"/>
      <c r="B182" s="204"/>
      <c r="C182" s="501" t="str">
        <f>Begriffe!F81</f>
        <v>Norm-Heizlast</v>
      </c>
      <c r="D182" s="379"/>
      <c r="E182" s="379"/>
      <c r="F182" s="265"/>
      <c r="G182" s="14"/>
      <c r="H182" s="14"/>
      <c r="I182" s="675" t="s">
        <v>1866</v>
      </c>
      <c r="J182" s="377" t="s">
        <v>149</v>
      </c>
      <c r="K182" s="499"/>
      <c r="L182" s="201"/>
      <c r="M182" s="1271">
        <f>M178+M181</f>
        <v>15.500120588235296</v>
      </c>
      <c r="N182" s="1271">
        <f>N178+N181</f>
        <v>11.59279411764706</v>
      </c>
      <c r="O182" s="1271">
        <f>O178+O181</f>
        <v>53.893647058823539</v>
      </c>
      <c r="P182" s="14">
        <v>1</v>
      </c>
      <c r="Q182" s="392">
        <v>1</v>
      </c>
      <c r="R182" s="14"/>
      <c r="S182" s="14">
        <v>1</v>
      </c>
      <c r="T182" s="243" t="s">
        <v>1518</v>
      </c>
      <c r="U182" s="89"/>
      <c r="V182" s="64"/>
      <c r="W182" s="158"/>
      <c r="X182" s="158"/>
      <c r="Y182" s="64"/>
      <c r="Z182" s="158"/>
      <c r="AA182" s="158"/>
      <c r="AB182" s="65"/>
      <c r="AC182" s="89"/>
      <c r="AD182" s="89"/>
      <c r="AE182" s="7"/>
      <c r="AF182" s="7"/>
      <c r="AG182" s="7"/>
      <c r="AH182" s="7"/>
      <c r="AI182" s="7"/>
      <c r="AJ182" s="7"/>
      <c r="AK182" s="7"/>
      <c r="AL182" s="7"/>
      <c r="AM182" s="7"/>
      <c r="AN182" s="7"/>
      <c r="AO182" s="7"/>
      <c r="AP182" s="83"/>
      <c r="AQ182" s="83"/>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c r="BW182" s="50"/>
      <c r="BX182" s="50"/>
      <c r="BY182" s="50"/>
      <c r="BZ182" s="50"/>
      <c r="CA182" s="50"/>
      <c r="CB182" s="50"/>
      <c r="CC182" s="50"/>
      <c r="CD182" s="50"/>
      <c r="CE182" s="50"/>
      <c r="CF182" s="50"/>
      <c r="CG182" s="50"/>
      <c r="CH182" s="50"/>
      <c r="CI182" s="50"/>
      <c r="CJ182" s="50"/>
      <c r="CK182" s="50"/>
      <c r="CL182" s="50"/>
      <c r="CM182" s="50"/>
      <c r="CN182" s="50"/>
      <c r="CO182" s="50"/>
      <c r="CP182" s="50"/>
      <c r="CQ182" s="50"/>
      <c r="CR182" s="50"/>
      <c r="CS182" s="50"/>
      <c r="CT182" s="50"/>
      <c r="CU182" s="50"/>
      <c r="CV182" s="50"/>
      <c r="CW182" s="50"/>
      <c r="CX182" s="50"/>
      <c r="CY182" s="50"/>
      <c r="CZ182" s="50"/>
      <c r="DA182" s="50"/>
      <c r="DB182" s="50"/>
      <c r="DC182" s="50"/>
      <c r="DD182" s="50"/>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50"/>
      <c r="EF182" s="50"/>
      <c r="EG182" s="50"/>
      <c r="EH182" s="50"/>
      <c r="EI182" s="50"/>
      <c r="EJ182" s="50"/>
      <c r="EK182" s="50"/>
      <c r="EL182" s="50"/>
      <c r="EM182" s="50"/>
      <c r="EN182" s="50"/>
      <c r="EO182" s="50"/>
      <c r="EP182" s="50"/>
      <c r="EQ182" s="50"/>
      <c r="ER182" s="50"/>
      <c r="ES182" s="50"/>
      <c r="ET182" s="50"/>
      <c r="EU182" s="50"/>
      <c r="EV182" s="50"/>
      <c r="EW182" s="50"/>
      <c r="EX182" s="50"/>
      <c r="EY182" s="50"/>
      <c r="EZ182" s="50"/>
      <c r="FA182" s="50"/>
      <c r="FB182" s="50"/>
      <c r="FC182" s="50"/>
      <c r="FD182" s="50"/>
      <c r="FE182" s="50"/>
      <c r="FF182" s="50"/>
      <c r="FG182" s="50"/>
      <c r="FH182" s="50"/>
      <c r="FI182" s="50"/>
      <c r="FJ182" s="50"/>
      <c r="FK182" s="50"/>
      <c r="FL182" s="50"/>
      <c r="FM182" s="50"/>
      <c r="FN182" s="50"/>
    </row>
    <row r="183" spans="1:170" s="8" customFormat="1" ht="18" customHeight="1">
      <c r="A183" s="1976"/>
      <c r="B183" s="204"/>
      <c r="C183" s="501" t="str">
        <f>Begriffe!F59</f>
        <v>Jährliche Volllaststunden der Raumheizung</v>
      </c>
      <c r="D183" s="14"/>
      <c r="E183" s="14"/>
      <c r="F183" s="14"/>
      <c r="G183" s="14"/>
      <c r="H183" s="14"/>
      <c r="I183" s="98" t="s">
        <v>979</v>
      </c>
      <c r="J183" s="377" t="s">
        <v>15</v>
      </c>
      <c r="K183" s="377"/>
      <c r="L183" s="99"/>
      <c r="M183" s="149">
        <f>IF(M182=0,0,ROUND(M188*1000/M182,-1))</f>
        <v>960</v>
      </c>
      <c r="N183" s="149">
        <f>IF(N182=0,0,ROUND(N188*1000/N182,-1))</f>
        <v>890</v>
      </c>
      <c r="O183" s="149">
        <f>IF(O182=0,0,ROUND(O188*1000/O182,-1))</f>
        <v>1920</v>
      </c>
      <c r="P183" s="14">
        <v>1</v>
      </c>
      <c r="Q183" s="392">
        <v>1</v>
      </c>
      <c r="R183" s="14">
        <v>0</v>
      </c>
      <c r="S183" s="14"/>
      <c r="T183" s="14"/>
      <c r="U183" s="89"/>
      <c r="V183" s="64"/>
      <c r="W183" s="158"/>
      <c r="X183" s="158"/>
      <c r="Y183" s="64"/>
      <c r="Z183" s="158"/>
      <c r="AA183" s="158"/>
      <c r="AB183" s="65"/>
      <c r="AC183" s="89"/>
      <c r="AD183" s="89"/>
      <c r="AE183" s="7"/>
      <c r="AF183" s="7"/>
      <c r="AG183" s="7"/>
      <c r="AH183" s="7"/>
      <c r="AI183" s="7"/>
      <c r="AJ183" s="7"/>
      <c r="AK183" s="7"/>
      <c r="AL183" s="7"/>
      <c r="AM183" s="7"/>
      <c r="AN183" s="7"/>
      <c r="AO183" s="7"/>
      <c r="AP183" s="83"/>
      <c r="AQ183" s="83"/>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c r="CC183" s="50"/>
      <c r="CD183" s="50"/>
      <c r="CE183" s="50"/>
      <c r="CF183" s="50"/>
      <c r="CG183" s="50"/>
      <c r="CH183" s="50"/>
      <c r="CI183" s="50"/>
      <c r="CJ183" s="50"/>
      <c r="CK183" s="50"/>
      <c r="CL183" s="50"/>
      <c r="CM183" s="50"/>
      <c r="CN183" s="50"/>
      <c r="CO183" s="50"/>
      <c r="CP183" s="50"/>
      <c r="CQ183" s="50"/>
      <c r="CR183" s="50"/>
      <c r="CS183" s="50"/>
      <c r="CT183" s="50"/>
      <c r="CU183" s="50"/>
      <c r="CV183" s="50"/>
      <c r="CW183" s="50"/>
      <c r="CX183" s="50"/>
      <c r="CY183" s="50"/>
      <c r="CZ183" s="50"/>
      <c r="DA183" s="50"/>
      <c r="DB183" s="50"/>
      <c r="DC183" s="50"/>
      <c r="DD183" s="50"/>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50"/>
      <c r="EF183" s="50"/>
      <c r="EG183" s="50"/>
      <c r="EH183" s="50"/>
      <c r="EI183" s="50"/>
      <c r="EJ183" s="50"/>
      <c r="EK183" s="50"/>
      <c r="EL183" s="50"/>
      <c r="EM183" s="50"/>
      <c r="EN183" s="50"/>
      <c r="EO183" s="50"/>
      <c r="EP183" s="50"/>
      <c r="EQ183" s="50"/>
      <c r="ER183" s="50"/>
      <c r="ES183" s="50"/>
      <c r="ET183" s="50"/>
      <c r="EU183" s="50"/>
      <c r="EV183" s="50"/>
      <c r="EW183" s="50"/>
      <c r="EX183" s="50"/>
      <c r="EY183" s="50"/>
      <c r="EZ183" s="50"/>
      <c r="FA183" s="50"/>
      <c r="FB183" s="50"/>
      <c r="FC183" s="50"/>
      <c r="FD183" s="50"/>
      <c r="FE183" s="50"/>
      <c r="FF183" s="50"/>
      <c r="FG183" s="50"/>
      <c r="FH183" s="50"/>
      <c r="FI183" s="50"/>
      <c r="FJ183" s="50"/>
      <c r="FK183" s="50"/>
      <c r="FL183" s="50"/>
      <c r="FM183" s="50"/>
      <c r="FN183" s="50"/>
    </row>
    <row r="184" spans="1:170" s="8" customFormat="1" ht="18" hidden="1" customHeight="1">
      <c r="A184" s="1976"/>
      <c r="B184" s="21"/>
      <c r="C184" s="256" t="s">
        <v>258</v>
      </c>
      <c r="D184" s="37"/>
      <c r="E184" s="37"/>
      <c r="F184" s="37"/>
      <c r="G184" s="37"/>
      <c r="H184" s="37"/>
      <c r="I184" s="22" t="s">
        <v>456</v>
      </c>
      <c r="J184" s="203" t="s">
        <v>62</v>
      </c>
      <c r="K184" s="203"/>
      <c r="L184" s="202"/>
      <c r="M184" s="124">
        <f>INDEX(Eingabedaten!$D$9:$IA$53,nutzid,MATCH("Qh,li0",Eingabedaten!$D$6:$IA$6,0))/3.6</f>
        <v>3.6111111111111112</v>
      </c>
      <c r="N184" s="124">
        <f>M184</f>
        <v>3.6111111111111112</v>
      </c>
      <c r="O184" s="124">
        <f>M184</f>
        <v>3.6111111111111112</v>
      </c>
      <c r="P184" s="14">
        <v>0</v>
      </c>
      <c r="Q184" s="392">
        <v>0</v>
      </c>
      <c r="R184" s="14">
        <v>0</v>
      </c>
      <c r="S184" s="14"/>
      <c r="T184" s="14"/>
      <c r="U184" s="89"/>
      <c r="V184" s="64"/>
      <c r="W184" s="158"/>
      <c r="X184" s="158"/>
      <c r="Y184" s="64"/>
      <c r="Z184" s="158"/>
      <c r="AA184" s="158"/>
      <c r="AB184" s="65"/>
      <c r="AC184" s="89"/>
      <c r="AD184" s="89"/>
      <c r="AE184" s="7"/>
      <c r="AF184" s="7"/>
      <c r="AG184" s="7"/>
      <c r="AH184" s="7"/>
      <c r="AI184" s="7"/>
      <c r="AJ184" s="7"/>
      <c r="AK184" s="7"/>
      <c r="AL184" s="7"/>
      <c r="AM184" s="7"/>
      <c r="AN184" s="7"/>
      <c r="AO184" s="7"/>
      <c r="AP184" s="83"/>
      <c r="AQ184" s="83"/>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50"/>
      <c r="DA184" s="50"/>
      <c r="DB184" s="50"/>
      <c r="DC184" s="50"/>
      <c r="DD184" s="50"/>
      <c r="DE184" s="49"/>
      <c r="DF184" s="49"/>
      <c r="DG184" s="49"/>
      <c r="DH184" s="49"/>
      <c r="DI184" s="49"/>
      <c r="DJ184" s="49"/>
      <c r="DK184" s="49"/>
      <c r="DL184" s="49"/>
      <c r="DM184" s="49"/>
      <c r="DN184" s="49"/>
      <c r="DO184" s="49"/>
      <c r="DP184" s="49"/>
      <c r="DQ184" s="49"/>
      <c r="DR184" s="49"/>
      <c r="DS184" s="49"/>
      <c r="DT184" s="49"/>
      <c r="DU184" s="49"/>
      <c r="DV184" s="49"/>
      <c r="DW184" s="49"/>
      <c r="DX184" s="49"/>
      <c r="DY184" s="49"/>
      <c r="DZ184" s="49"/>
      <c r="EA184" s="49"/>
      <c r="EB184" s="49"/>
      <c r="EC184" s="49"/>
      <c r="ED184" s="49"/>
      <c r="EE184" s="50"/>
      <c r="EF184" s="50"/>
      <c r="EG184" s="50"/>
      <c r="EH184" s="50"/>
      <c r="EI184" s="50"/>
      <c r="EJ184" s="50"/>
      <c r="EK184" s="50"/>
      <c r="EL184" s="50"/>
      <c r="EM184" s="50"/>
      <c r="EN184" s="50"/>
      <c r="EO184" s="50"/>
      <c r="EP184" s="50"/>
      <c r="EQ184" s="50"/>
      <c r="ER184" s="50"/>
      <c r="ES184" s="50"/>
      <c r="ET184" s="50"/>
      <c r="EU184" s="50"/>
      <c r="EV184" s="50"/>
      <c r="EW184" s="50"/>
      <c r="EX184" s="50"/>
      <c r="EY184" s="50"/>
      <c r="EZ184" s="50"/>
      <c r="FA184" s="50"/>
      <c r="FB184" s="50"/>
      <c r="FC184" s="50"/>
      <c r="FD184" s="50"/>
      <c r="FE184" s="50"/>
      <c r="FF184" s="50"/>
      <c r="FG184" s="50"/>
      <c r="FH184" s="50"/>
      <c r="FI184" s="50"/>
      <c r="FJ184" s="50"/>
      <c r="FK184" s="50"/>
      <c r="FL184" s="50"/>
      <c r="FM184" s="50"/>
      <c r="FN184" s="50"/>
    </row>
    <row r="185" spans="1:170" s="8" customFormat="1" ht="18" hidden="1" customHeight="1">
      <c r="A185" s="1976"/>
      <c r="B185" s="21"/>
      <c r="C185" s="256" t="s">
        <v>259</v>
      </c>
      <c r="D185" s="37"/>
      <c r="E185" s="37"/>
      <c r="F185" s="37"/>
      <c r="G185" s="37"/>
      <c r="H185" s="37"/>
      <c r="I185" s="22" t="s">
        <v>457</v>
      </c>
      <c r="J185" s="203" t="s">
        <v>62</v>
      </c>
      <c r="K185" s="203"/>
      <c r="L185" s="202"/>
      <c r="M185" s="124">
        <f>INDEX(Eingabedaten!$D$9:$IA$53,nutzid,MATCH("dQh,li",Eingabedaten!$D$6:$IA$6,0))/3.6</f>
        <v>3.8888888888888888</v>
      </c>
      <c r="N185" s="124">
        <f>M185</f>
        <v>3.8888888888888888</v>
      </c>
      <c r="O185" s="124">
        <f>M185</f>
        <v>3.8888888888888888</v>
      </c>
      <c r="P185" s="14">
        <v>0</v>
      </c>
      <c r="Q185" s="392">
        <v>0</v>
      </c>
      <c r="R185" s="14">
        <v>0</v>
      </c>
      <c r="S185" s="14"/>
      <c r="T185" s="14"/>
      <c r="U185" s="89"/>
      <c r="V185" s="64"/>
      <c r="W185" s="158"/>
      <c r="X185" s="158"/>
      <c r="Y185" s="64"/>
      <c r="Z185" s="158"/>
      <c r="AA185" s="158"/>
      <c r="AB185" s="65"/>
      <c r="AC185" s="89"/>
      <c r="AD185" s="89"/>
      <c r="AE185" s="7"/>
      <c r="AF185" s="7"/>
      <c r="AG185" s="7"/>
      <c r="AH185" s="7"/>
      <c r="AI185" s="7"/>
      <c r="AJ185" s="7"/>
      <c r="AK185" s="7"/>
      <c r="AL185" s="7"/>
      <c r="AM185" s="7"/>
      <c r="AN185" s="7"/>
      <c r="AO185" s="7"/>
      <c r="AP185" s="83"/>
      <c r="AQ185" s="83"/>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50"/>
      <c r="DA185" s="50"/>
      <c r="DB185" s="50"/>
      <c r="DC185" s="50"/>
      <c r="DD185" s="50"/>
      <c r="DE185" s="49"/>
      <c r="DF185" s="49"/>
      <c r="DG185" s="49"/>
      <c r="DH185" s="49"/>
      <c r="DI185" s="49"/>
      <c r="DJ185" s="49"/>
      <c r="DK185" s="49"/>
      <c r="DL185" s="49"/>
      <c r="DM185" s="49"/>
      <c r="DN185" s="49"/>
      <c r="DO185" s="49"/>
      <c r="DP185" s="49"/>
      <c r="DQ185" s="49"/>
      <c r="DR185" s="49"/>
      <c r="DS185" s="49"/>
      <c r="DT185" s="49"/>
      <c r="DU185" s="49"/>
      <c r="DV185" s="49"/>
      <c r="DW185" s="49"/>
      <c r="DX185" s="49"/>
      <c r="DY185" s="49"/>
      <c r="DZ185" s="49"/>
      <c r="EA185" s="49"/>
      <c r="EB185" s="49"/>
      <c r="EC185" s="49"/>
      <c r="ED185" s="49"/>
      <c r="EE185" s="50"/>
      <c r="EF185" s="50"/>
      <c r="EG185" s="50"/>
      <c r="EH185" s="50"/>
      <c r="EI185" s="50"/>
      <c r="EJ185" s="50"/>
      <c r="EK185" s="50"/>
      <c r="EL185" s="50"/>
      <c r="EM185" s="50"/>
      <c r="EN185" s="50"/>
      <c r="EO185" s="50"/>
      <c r="EP185" s="50"/>
      <c r="EQ185" s="50"/>
      <c r="ER185" s="50"/>
      <c r="ES185" s="50"/>
      <c r="ET185" s="50"/>
      <c r="EU185" s="50"/>
      <c r="EV185" s="50"/>
      <c r="EW185" s="50"/>
      <c r="EX185" s="50"/>
      <c r="EY185" s="50"/>
      <c r="EZ185" s="50"/>
      <c r="FA185" s="50"/>
      <c r="FB185" s="50"/>
      <c r="FC185" s="50"/>
      <c r="FD185" s="50"/>
      <c r="FE185" s="50"/>
      <c r="FF185" s="50"/>
      <c r="FG185" s="50"/>
      <c r="FH185" s="50"/>
      <c r="FI185" s="50"/>
      <c r="FJ185" s="50"/>
      <c r="FK185" s="50"/>
      <c r="FL185" s="50"/>
      <c r="FM185" s="50"/>
      <c r="FN185" s="50"/>
    </row>
    <row r="186" spans="1:170" s="8" customFormat="1" ht="18" hidden="1" customHeight="1">
      <c r="A186" s="1976"/>
      <c r="B186" s="21"/>
      <c r="C186" s="256" t="s">
        <v>1528</v>
      </c>
      <c r="D186" s="37"/>
      <c r="E186" s="37"/>
      <c r="F186" s="37"/>
      <c r="G186" s="37"/>
      <c r="H186" s="37"/>
      <c r="I186" s="22" t="s">
        <v>257</v>
      </c>
      <c r="J186" s="203" t="s">
        <v>178</v>
      </c>
      <c r="K186" s="203"/>
      <c r="L186" s="202"/>
      <c r="M186" s="124">
        <f>INDEX(Eingabedaten!$D$9:$IQ$53,nutzid,MATCH($C186,Eingabedaten!$D$6:$IQ$6,0))</f>
        <v>0.7</v>
      </c>
      <c r="N186" s="124">
        <f>M186</f>
        <v>0.7</v>
      </c>
      <c r="O186" s="124">
        <f>M186</f>
        <v>0.7</v>
      </c>
      <c r="P186" s="14">
        <v>0</v>
      </c>
      <c r="Q186" s="392">
        <v>0</v>
      </c>
      <c r="R186" s="14">
        <v>0</v>
      </c>
      <c r="S186" s="14"/>
      <c r="T186" s="14" t="s">
        <v>1529</v>
      </c>
      <c r="U186" s="89"/>
      <c r="V186" s="64"/>
      <c r="W186" s="158"/>
      <c r="X186" s="158"/>
      <c r="Y186" s="64"/>
      <c r="Z186" s="158"/>
      <c r="AA186" s="158"/>
      <c r="AB186" s="65"/>
      <c r="AC186" s="89"/>
      <c r="AD186" s="89"/>
      <c r="AE186" s="7"/>
      <c r="AF186" s="7"/>
      <c r="AG186" s="7"/>
      <c r="AH186" s="7"/>
      <c r="AI186" s="7"/>
      <c r="AJ186" s="7"/>
      <c r="AK186" s="7"/>
      <c r="AL186" s="7"/>
      <c r="AM186" s="7"/>
      <c r="AN186" s="7"/>
      <c r="AO186" s="7"/>
      <c r="AP186" s="83"/>
      <c r="AQ186" s="83"/>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50"/>
      <c r="DA186" s="50"/>
      <c r="DB186" s="50"/>
      <c r="DC186" s="50"/>
      <c r="DD186" s="50"/>
      <c r="DE186" s="49"/>
      <c r="DF186" s="49"/>
      <c r="DG186" s="49"/>
      <c r="DH186" s="49"/>
      <c r="DI186" s="49"/>
      <c r="DJ186" s="49"/>
      <c r="DK186" s="49"/>
      <c r="DL186" s="49"/>
      <c r="DM186" s="49"/>
      <c r="DN186" s="49"/>
      <c r="DO186" s="49"/>
      <c r="DP186" s="49"/>
      <c r="DQ186" s="49"/>
      <c r="DR186" s="49"/>
      <c r="DS186" s="49"/>
      <c r="DT186" s="49"/>
      <c r="DU186" s="49"/>
      <c r="DV186" s="49"/>
      <c r="DW186" s="49"/>
      <c r="DX186" s="49"/>
      <c r="DY186" s="49"/>
      <c r="DZ186" s="49"/>
      <c r="EA186" s="49"/>
      <c r="EB186" s="49"/>
      <c r="EC186" s="49"/>
      <c r="ED186" s="49"/>
      <c r="EE186" s="50"/>
      <c r="EF186" s="50"/>
      <c r="EG186" s="50"/>
      <c r="EH186" s="50"/>
      <c r="EI186" s="50"/>
      <c r="EJ186" s="50"/>
      <c r="EK186" s="50"/>
      <c r="EL186" s="50"/>
      <c r="EM186" s="50"/>
      <c r="EN186" s="50"/>
      <c r="EO186" s="50"/>
      <c r="EP186" s="50"/>
      <c r="EQ186" s="50"/>
      <c r="ER186" s="50"/>
      <c r="ES186" s="50"/>
      <c r="ET186" s="50"/>
      <c r="EU186" s="50"/>
      <c r="EV186" s="50"/>
      <c r="EW186" s="50"/>
      <c r="EX186" s="50"/>
      <c r="EY186" s="50"/>
      <c r="EZ186" s="50"/>
      <c r="FA186" s="50"/>
      <c r="FB186" s="50"/>
      <c r="FC186" s="50"/>
      <c r="FD186" s="50"/>
      <c r="FE186" s="50"/>
      <c r="FF186" s="50"/>
      <c r="FG186" s="50"/>
      <c r="FH186" s="50"/>
      <c r="FI186" s="50"/>
      <c r="FJ186" s="50"/>
      <c r="FK186" s="50"/>
      <c r="FL186" s="50"/>
      <c r="FM186" s="50"/>
      <c r="FN186" s="50"/>
    </row>
    <row r="187" spans="1:170" s="8" customFormat="1" ht="18" customHeight="1">
      <c r="A187" s="1976"/>
      <c r="B187" s="204"/>
      <c r="C187" s="501" t="str">
        <f>Begriffe!F108</f>
        <v>Thermisch wirksamer Aussenluft-Volumenstrom</v>
      </c>
      <c r="D187" s="265"/>
      <c r="E187" s="265"/>
      <c r="F187" s="265"/>
      <c r="G187" s="265"/>
      <c r="H187" s="265"/>
      <c r="I187" s="126" t="s">
        <v>478</v>
      </c>
      <c r="J187" s="377" t="s">
        <v>980</v>
      </c>
      <c r="K187" s="377"/>
      <c r="L187" s="519"/>
      <c r="M187" s="700">
        <f>IF(L187&lt;&gt;0,L187,IF(M133=0,0,(($M133-M135)*(1-M140)*M132)/8760+M135))</f>
        <v>0.35357142857142859</v>
      </c>
      <c r="N187" s="700">
        <f>IF(M133=0,0,(($M133-N135)*(1-N140)*N132)/8760+N135)</f>
        <v>0.29601679712981083</v>
      </c>
      <c r="O187" s="700">
        <f>IF(M133=0,0,(($M133-O135)*(1-O140)*O132)/8760+O135)</f>
        <v>0.64695042400521863</v>
      </c>
      <c r="P187" s="14">
        <v>1</v>
      </c>
      <c r="Q187" s="392">
        <v>1</v>
      </c>
      <c r="R187" s="14">
        <v>0</v>
      </c>
      <c r="S187" s="14"/>
      <c r="T187" s="14"/>
      <c r="U187" s="89"/>
      <c r="V187" s="64"/>
      <c r="W187" s="158"/>
      <c r="X187" s="158"/>
      <c r="Y187" s="64"/>
      <c r="Z187" s="158"/>
      <c r="AA187" s="158"/>
      <c r="AB187" s="65"/>
      <c r="AC187" s="89"/>
      <c r="AD187" s="89"/>
      <c r="AE187" s="7"/>
      <c r="AF187" s="7"/>
      <c r="AG187" s="7"/>
      <c r="AH187" s="7"/>
      <c r="AI187" s="7"/>
      <c r="AJ187" s="7"/>
      <c r="AK187" s="7"/>
      <c r="AL187" s="7"/>
      <c r="AM187" s="7"/>
      <c r="AN187" s="7"/>
      <c r="AO187" s="7"/>
      <c r="AP187" s="83"/>
      <c r="AQ187" s="83"/>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c r="BW187" s="50"/>
      <c r="BX187" s="50"/>
      <c r="BY187" s="50"/>
      <c r="BZ187" s="50"/>
      <c r="CA187" s="50"/>
      <c r="CB187" s="50"/>
      <c r="CC187" s="50"/>
      <c r="CD187" s="50"/>
      <c r="CE187" s="50"/>
      <c r="CF187" s="50"/>
      <c r="CG187" s="50"/>
      <c r="CH187" s="50"/>
      <c r="CI187" s="50"/>
      <c r="CJ187" s="50"/>
      <c r="CK187" s="50"/>
      <c r="CL187" s="50"/>
      <c r="CM187" s="50"/>
      <c r="CN187" s="50"/>
      <c r="CO187" s="50"/>
      <c r="CP187" s="50"/>
      <c r="CQ187" s="50"/>
      <c r="CR187" s="50"/>
      <c r="CS187" s="50"/>
      <c r="CT187" s="50"/>
      <c r="CU187" s="50"/>
      <c r="CV187" s="50"/>
      <c r="CW187" s="50"/>
      <c r="CX187" s="50"/>
      <c r="CY187" s="50"/>
      <c r="CZ187" s="50"/>
      <c r="DA187" s="50"/>
      <c r="DB187" s="50"/>
      <c r="DC187" s="50"/>
      <c r="DD187" s="50"/>
      <c r="DE187" s="49"/>
      <c r="DF187" s="49"/>
      <c r="DG187" s="49"/>
      <c r="DH187" s="49"/>
      <c r="DI187" s="49"/>
      <c r="DJ187" s="49"/>
      <c r="DK187" s="49"/>
      <c r="DL187" s="49"/>
      <c r="DM187" s="49"/>
      <c r="DN187" s="49"/>
      <c r="DO187" s="49"/>
      <c r="DP187" s="49"/>
      <c r="DQ187" s="49"/>
      <c r="DR187" s="49"/>
      <c r="DS187" s="49"/>
      <c r="DT187" s="49"/>
      <c r="DU187" s="49"/>
      <c r="DV187" s="49"/>
      <c r="DW187" s="49"/>
      <c r="DX187" s="49"/>
      <c r="DY187" s="49"/>
      <c r="DZ187" s="49"/>
      <c r="EA187" s="49"/>
      <c r="EB187" s="49"/>
      <c r="EC187" s="49"/>
      <c r="ED187" s="49"/>
      <c r="EE187" s="50"/>
      <c r="EF187" s="50"/>
      <c r="EG187" s="50"/>
      <c r="EH187" s="50"/>
      <c r="EI187" s="50"/>
      <c r="EJ187" s="50"/>
      <c r="EK187" s="50"/>
      <c r="EL187" s="50"/>
      <c r="EM187" s="50"/>
      <c r="EN187" s="50"/>
      <c r="EO187" s="50"/>
      <c r="EP187" s="50"/>
      <c r="EQ187" s="50"/>
      <c r="ER187" s="50"/>
      <c r="ES187" s="50"/>
      <c r="ET187" s="50"/>
      <c r="EU187" s="50"/>
      <c r="EV187" s="50"/>
      <c r="EW187" s="50"/>
      <c r="EX187" s="50"/>
      <c r="EY187" s="50"/>
      <c r="EZ187" s="50"/>
      <c r="FA187" s="50"/>
      <c r="FB187" s="50"/>
      <c r="FC187" s="50"/>
      <c r="FD187" s="50"/>
      <c r="FE187" s="50"/>
      <c r="FF187" s="50"/>
      <c r="FG187" s="50"/>
      <c r="FH187" s="50"/>
      <c r="FI187" s="50"/>
      <c r="FJ187" s="50"/>
      <c r="FK187" s="50"/>
      <c r="FL187" s="50"/>
      <c r="FM187" s="50"/>
      <c r="FN187" s="50"/>
    </row>
    <row r="188" spans="1:170" s="8" customFormat="1" ht="18" customHeight="1">
      <c r="A188" s="1977"/>
      <c r="B188" s="204"/>
      <c r="C188" s="14" t="str">
        <f>Begriffe!F65</f>
        <v xml:space="preserve">Jährlicher Heizwärmebedarf </v>
      </c>
      <c r="D188" s="14"/>
      <c r="E188" s="14"/>
      <c r="F188" s="14" t="str">
        <f>Begriffe!F380</f>
        <v>Ohne Fensterlüftung, ohne Prozessanlagen</v>
      </c>
      <c r="G188" s="14"/>
      <c r="H188" s="14"/>
      <c r="I188" s="126" t="s">
        <v>458</v>
      </c>
      <c r="J188" s="677" t="s">
        <v>441</v>
      </c>
      <c r="K188" s="677"/>
      <c r="L188" s="522"/>
      <c r="M188" s="701">
        <f>IF($L188&lt;&gt;"",$L188,IF(OR(nutzid=44,nutzid=45),0,MAX(0,'SIA 380-1'!P133/3.6)))</f>
        <v>14.853826963696013</v>
      </c>
      <c r="N188" s="701">
        <f>IF(OR(nutzid=44,nutzid=45),0,MAX(0,'SIA 380-1'!P165/3.6))</f>
        <v>10.295092187550507</v>
      </c>
      <c r="O188" s="701">
        <f>IF(OR(nutzid=44,nutzid=45),0,MAX(0,'SIA 380-1'!P195/3.6))</f>
        <v>103.48468160361931</v>
      </c>
      <c r="P188" s="14">
        <v>1</v>
      </c>
      <c r="Q188" s="392">
        <v>1</v>
      </c>
      <c r="R188" s="14">
        <v>0</v>
      </c>
      <c r="S188" s="392">
        <v>1</v>
      </c>
      <c r="T188" s="89"/>
      <c r="U188" s="14"/>
      <c r="V188" s="158"/>
      <c r="W188" s="158"/>
      <c r="X188" s="158"/>
      <c r="Y188" s="64"/>
      <c r="Z188" s="243"/>
      <c r="AA188" s="158"/>
      <c r="AB188" s="65"/>
      <c r="AC188" s="89"/>
      <c r="AD188" s="89"/>
      <c r="AE188" s="7"/>
      <c r="AF188" s="7"/>
      <c r="AG188" s="7"/>
      <c r="AH188" s="7"/>
      <c r="AI188" s="7"/>
      <c r="AJ188" s="7"/>
      <c r="AK188" s="7"/>
      <c r="AL188" s="7"/>
      <c r="AM188" s="7"/>
      <c r="AN188" s="7"/>
      <c r="AO188" s="7"/>
      <c r="AP188" s="83"/>
      <c r="AQ188" s="83"/>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0"/>
      <c r="CA188" s="50"/>
      <c r="CB188" s="50"/>
      <c r="CC188" s="50"/>
      <c r="CD188" s="50"/>
      <c r="CE188" s="50"/>
      <c r="CF188" s="50"/>
      <c r="CG188" s="50"/>
      <c r="CH188" s="50"/>
      <c r="CI188" s="50"/>
      <c r="CJ188" s="50"/>
      <c r="CK188" s="50"/>
      <c r="CL188" s="50"/>
      <c r="CM188" s="50"/>
      <c r="CN188" s="50"/>
      <c r="CO188" s="50"/>
      <c r="CP188" s="50"/>
      <c r="CQ188" s="50"/>
      <c r="CR188" s="50"/>
      <c r="CS188" s="50"/>
      <c r="CT188" s="50"/>
      <c r="CU188" s="50"/>
      <c r="CV188" s="50"/>
      <c r="CW188" s="50"/>
      <c r="CX188" s="50"/>
      <c r="CY188" s="50"/>
      <c r="CZ188" s="50"/>
      <c r="DA188" s="50"/>
      <c r="DB188" s="50"/>
      <c r="DC188" s="50"/>
      <c r="DD188" s="50"/>
      <c r="DE188" s="49"/>
      <c r="DF188" s="49"/>
      <c r="DG188" s="49"/>
      <c r="DH188" s="49"/>
      <c r="DI188" s="49"/>
      <c r="DJ188" s="49"/>
      <c r="DK188" s="49"/>
      <c r="DL188" s="49"/>
      <c r="DM188" s="49"/>
      <c r="DN188" s="49"/>
      <c r="DO188" s="49"/>
      <c r="DP188" s="49"/>
      <c r="DQ188" s="49"/>
      <c r="DR188" s="49"/>
      <c r="DS188" s="49"/>
      <c r="DT188" s="49"/>
      <c r="DU188" s="49"/>
      <c r="DV188" s="49"/>
      <c r="DW188" s="49"/>
      <c r="DX188" s="49"/>
      <c r="DY188" s="49"/>
      <c r="DZ188" s="49"/>
      <c r="EA188" s="49"/>
      <c r="EB188" s="49"/>
      <c r="EC188" s="49"/>
      <c r="ED188" s="49"/>
      <c r="EE188" s="50"/>
      <c r="EF188" s="50"/>
      <c r="EG188" s="50"/>
      <c r="EH188" s="50"/>
      <c r="EI188" s="50"/>
      <c r="EJ188" s="50"/>
      <c r="EK188" s="50"/>
      <c r="EL188" s="50"/>
      <c r="EM188" s="50"/>
      <c r="EN188" s="50"/>
      <c r="EO188" s="50"/>
      <c r="EP188" s="50"/>
      <c r="EQ188" s="50"/>
      <c r="ER188" s="50"/>
      <c r="ES188" s="50"/>
      <c r="ET188" s="50"/>
      <c r="EU188" s="50"/>
      <c r="EV188" s="50"/>
      <c r="EW188" s="50"/>
      <c r="EX188" s="50"/>
      <c r="EY188" s="50"/>
      <c r="EZ188" s="50"/>
      <c r="FA188" s="50"/>
      <c r="FB188" s="50"/>
      <c r="FC188" s="50"/>
      <c r="FD188" s="50"/>
      <c r="FE188" s="50"/>
      <c r="FF188" s="50"/>
      <c r="FG188" s="50"/>
      <c r="FH188" s="50"/>
      <c r="FI188" s="50"/>
      <c r="FJ188" s="50"/>
      <c r="FK188" s="50"/>
      <c r="FL188" s="50"/>
      <c r="FM188" s="50"/>
      <c r="FN188" s="50"/>
    </row>
    <row r="189" spans="1:170" s="5" customFormat="1" ht="1.5" customHeight="1">
      <c r="A189" s="113"/>
      <c r="B189" s="495"/>
      <c r="C189" s="495"/>
      <c r="D189" s="495"/>
      <c r="E189" s="495"/>
      <c r="F189" s="495"/>
      <c r="G189" s="495"/>
      <c r="H189" s="495"/>
      <c r="I189" s="693"/>
      <c r="J189" s="694"/>
      <c r="K189" s="694"/>
      <c r="L189" s="122"/>
      <c r="M189" s="696"/>
      <c r="N189" s="136"/>
      <c r="O189" s="136"/>
      <c r="P189" s="14">
        <v>0</v>
      </c>
      <c r="Q189" s="392">
        <v>1</v>
      </c>
      <c r="R189" s="14">
        <v>0</v>
      </c>
      <c r="S189" s="618"/>
      <c r="T189" s="147"/>
      <c r="U189" s="147"/>
      <c r="V189" s="27"/>
      <c r="W189" s="138"/>
      <c r="X189" s="138"/>
      <c r="Y189" s="27"/>
      <c r="Z189" s="138"/>
      <c r="AA189" s="138"/>
      <c r="AB189" s="36"/>
      <c r="AC189" s="147"/>
      <c r="AD189" s="147"/>
      <c r="AE189" s="36"/>
      <c r="AF189" s="36"/>
      <c r="AG189" s="36"/>
      <c r="AH189" s="36"/>
      <c r="AI189" s="36"/>
      <c r="AJ189" s="36"/>
      <c r="AK189" s="36"/>
      <c r="AL189" s="36"/>
      <c r="AM189" s="36"/>
      <c r="AN189" s="84"/>
      <c r="AO189" s="84"/>
      <c r="AP189" s="85"/>
      <c r="AQ189" s="85"/>
      <c r="AR189" s="54"/>
      <c r="AS189" s="54"/>
      <c r="AT189" s="54"/>
      <c r="AU189" s="54"/>
      <c r="AV189" s="54"/>
      <c r="AW189" s="54"/>
      <c r="AX189" s="54"/>
      <c r="AY189" s="54"/>
      <c r="AZ189" s="54"/>
      <c r="BA189" s="54"/>
      <c r="BB189" s="54"/>
      <c r="BC189" s="54"/>
      <c r="BD189" s="54"/>
      <c r="BE189" s="54"/>
      <c r="BF189" s="54"/>
      <c r="BG189" s="54"/>
      <c r="BH189" s="54"/>
      <c r="BI189" s="54"/>
      <c r="BJ189" s="54"/>
      <c r="BK189" s="54"/>
      <c r="BL189" s="54"/>
      <c r="BM189" s="54"/>
      <c r="BN189" s="54"/>
      <c r="BO189" s="54"/>
      <c r="BP189" s="54"/>
      <c r="BQ189" s="54"/>
      <c r="BR189" s="54"/>
      <c r="BS189" s="54"/>
      <c r="BT189" s="54"/>
      <c r="BU189" s="54"/>
      <c r="BV189" s="54"/>
      <c r="BW189" s="54"/>
      <c r="BX189" s="54"/>
      <c r="BY189" s="54"/>
      <c r="BZ189" s="54"/>
      <c r="CA189" s="54"/>
      <c r="CB189" s="54"/>
      <c r="CC189" s="54"/>
      <c r="CD189" s="54"/>
      <c r="CE189" s="54"/>
      <c r="CF189" s="54"/>
      <c r="CG189" s="54"/>
      <c r="CH189" s="54"/>
      <c r="CI189" s="54"/>
      <c r="CJ189" s="54"/>
      <c r="CK189" s="54"/>
      <c r="CL189" s="54"/>
      <c r="CM189" s="54"/>
      <c r="CN189" s="54"/>
      <c r="CO189" s="54"/>
      <c r="CP189" s="54"/>
      <c r="CQ189" s="54"/>
      <c r="CR189" s="54"/>
      <c r="CS189" s="54"/>
      <c r="CT189" s="54"/>
      <c r="CU189" s="54"/>
      <c r="CV189" s="55"/>
      <c r="CW189" s="55"/>
      <c r="CX189" s="55"/>
      <c r="CY189" s="55"/>
      <c r="CZ189" s="55"/>
      <c r="DA189" s="55"/>
      <c r="DB189" s="55"/>
      <c r="DC189" s="55"/>
      <c r="DD189" s="55"/>
      <c r="DE189" s="55"/>
      <c r="DF189" s="55"/>
      <c r="DG189" s="55"/>
      <c r="DH189" s="55"/>
      <c r="DI189" s="55"/>
      <c r="DJ189" s="55"/>
      <c r="DK189" s="55"/>
      <c r="DL189" s="55"/>
      <c r="DM189" s="55"/>
      <c r="DN189" s="55"/>
      <c r="DO189" s="55"/>
      <c r="DP189" s="55"/>
      <c r="DQ189" s="55"/>
      <c r="DR189" s="55"/>
      <c r="DS189" s="55"/>
      <c r="DT189" s="55"/>
      <c r="DU189" s="55"/>
      <c r="DV189" s="55"/>
      <c r="DW189" s="55"/>
      <c r="DX189" s="55"/>
      <c r="DY189" s="55"/>
      <c r="DZ189" s="55"/>
      <c r="EA189" s="55"/>
      <c r="EB189" s="55"/>
      <c r="EC189" s="55"/>
      <c r="ED189" s="55"/>
      <c r="EE189" s="53"/>
      <c r="EF189" s="53"/>
      <c r="EG189" s="53"/>
      <c r="EH189" s="53"/>
      <c r="EI189" s="53"/>
      <c r="EJ189" s="53"/>
      <c r="EK189" s="53"/>
      <c r="EL189" s="53"/>
      <c r="EM189" s="53"/>
      <c r="EN189" s="53"/>
      <c r="EO189" s="53"/>
      <c r="EP189" s="53"/>
      <c r="EQ189" s="53"/>
      <c r="ER189" s="53"/>
      <c r="ES189" s="53"/>
      <c r="ET189" s="53"/>
      <c r="EU189" s="53"/>
      <c r="EV189" s="53"/>
      <c r="EW189" s="53"/>
      <c r="EX189" s="53"/>
      <c r="EY189" s="53"/>
      <c r="EZ189" s="53"/>
      <c r="FA189" s="53"/>
      <c r="FB189" s="53"/>
      <c r="FC189" s="53"/>
      <c r="FD189" s="53"/>
      <c r="FE189" s="53"/>
      <c r="FF189" s="53"/>
      <c r="FG189" s="53"/>
      <c r="FH189" s="53"/>
      <c r="FI189" s="53"/>
      <c r="FJ189" s="53"/>
      <c r="FK189" s="53"/>
      <c r="FL189" s="53"/>
      <c r="FM189" s="53"/>
      <c r="FN189" s="53"/>
    </row>
    <row r="190" spans="1:170" s="9" customFormat="1" ht="18" customHeight="1">
      <c r="A190" s="1976" t="str">
        <f>Begriffe!F223</f>
        <v>Wasser</v>
      </c>
      <c r="B190" s="204"/>
      <c r="C190" s="14" t="str">
        <f>Begriffe!F36</f>
        <v>Bezugseinheit</v>
      </c>
      <c r="D190" s="14"/>
      <c r="E190" s="14"/>
      <c r="F190" s="14"/>
      <c r="G190" s="14"/>
      <c r="H190" s="14"/>
      <c r="I190" s="98"/>
      <c r="J190" s="678"/>
      <c r="K190" s="377"/>
      <c r="L190" s="509"/>
      <c r="M190" s="394" t="str">
        <f>IF(INDEX(Eingabedaten!$D$9:$DN$53,nutzid,MATCH($C190,Eingabedaten!$D$6:$DN$6,0))=0,"",INDEX(Eingabedaten!$D$9:$DN$53,nutzid,MATCH($C190,Eingabedaten!$D$6:$DN$6,0)))</f>
        <v>Person</v>
      </c>
      <c r="N190" s="149"/>
      <c r="O190" s="149"/>
      <c r="P190" s="14">
        <v>0</v>
      </c>
      <c r="Q190" s="14">
        <v>1</v>
      </c>
      <c r="R190" s="14">
        <v>0</v>
      </c>
      <c r="S190" s="243"/>
      <c r="V190" s="64"/>
      <c r="W190" s="158"/>
      <c r="X190" s="158"/>
      <c r="Y190" s="64"/>
      <c r="Z190" s="158"/>
      <c r="AA190" s="158"/>
      <c r="AB190" s="65"/>
      <c r="AC190" s="89"/>
      <c r="AD190" s="89"/>
      <c r="AE190" s="65"/>
      <c r="AF190" s="65"/>
      <c r="AG190" s="65"/>
      <c r="AH190" s="65"/>
      <c r="AI190" s="65"/>
      <c r="AJ190" s="65"/>
      <c r="AK190" s="65"/>
      <c r="AL190" s="65"/>
      <c r="AM190" s="65"/>
      <c r="AN190" s="66"/>
      <c r="AO190" s="66"/>
      <c r="AP190" s="81"/>
      <c r="AQ190" s="81"/>
      <c r="AR190" s="42"/>
      <c r="AS190" s="42"/>
      <c r="AT190" s="42"/>
      <c r="AU190" s="42"/>
      <c r="AV190" s="42"/>
      <c r="AW190" s="42"/>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c r="CD190" s="42"/>
      <c r="CE190" s="42"/>
      <c r="CF190" s="42"/>
      <c r="CG190" s="42"/>
      <c r="CH190" s="42"/>
      <c r="CI190" s="42"/>
      <c r="CJ190" s="42"/>
      <c r="CK190" s="42"/>
      <c r="CL190" s="42"/>
      <c r="CM190" s="42"/>
      <c r="CN190" s="42"/>
      <c r="CO190" s="42"/>
      <c r="CP190" s="42"/>
      <c r="CQ190" s="42"/>
      <c r="CR190" s="42"/>
      <c r="CS190" s="42"/>
      <c r="CT190" s="42"/>
      <c r="CU190" s="42"/>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row>
    <row r="191" spans="1:170" s="9" customFormat="1" ht="18" customHeight="1">
      <c r="A191" s="1976"/>
      <c r="B191" s="204"/>
      <c r="C191" s="14" t="str">
        <f>Begriffe!F86</f>
        <v>Nutzwarmwasserbedarf pro Bezugseinheit</v>
      </c>
      <c r="D191" s="14"/>
      <c r="E191" s="14"/>
      <c r="F191" s="14" t="s">
        <v>1869</v>
      </c>
      <c r="G191" s="14"/>
      <c r="H191" s="14"/>
      <c r="I191" s="126" t="s">
        <v>584</v>
      </c>
      <c r="J191" s="678" t="s">
        <v>544</v>
      </c>
      <c r="K191" s="377"/>
      <c r="L191" s="521"/>
      <c r="M191" s="394">
        <f>IF(L191&lt;&gt;"",L191,INDEX(Eingabedaten!$D$9:$DN$53,nutzid,MATCH($C191,Eingabedaten!$D$6:$DN$6,0)))</f>
        <v>35</v>
      </c>
      <c r="N191" s="149"/>
      <c r="O191" s="149"/>
      <c r="P191" s="14">
        <v>0</v>
      </c>
      <c r="Q191" s="14">
        <v>1</v>
      </c>
      <c r="R191" s="14">
        <v>0</v>
      </c>
      <c r="S191" s="243"/>
      <c r="V191" s="64"/>
      <c r="W191" s="158"/>
      <c r="X191" s="158"/>
      <c r="Y191" s="64"/>
      <c r="Z191" s="158"/>
      <c r="AA191" s="158"/>
      <c r="AB191" s="65"/>
      <c r="AC191" s="89"/>
      <c r="AD191" s="89"/>
      <c r="AE191" s="65"/>
      <c r="AF191" s="65"/>
      <c r="AG191" s="65"/>
      <c r="AH191" s="65"/>
      <c r="AI191" s="65"/>
      <c r="AJ191" s="65"/>
      <c r="AK191" s="65"/>
      <c r="AL191" s="65"/>
      <c r="AM191" s="65"/>
      <c r="AN191" s="66"/>
      <c r="AO191" s="66"/>
      <c r="AP191" s="81"/>
      <c r="AQ191" s="81"/>
      <c r="AR191" s="42"/>
      <c r="AS191" s="42"/>
      <c r="AT191" s="42"/>
      <c r="AU191" s="42"/>
      <c r="AV191" s="42"/>
      <c r="AW191" s="42"/>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c r="CD191" s="42"/>
      <c r="CE191" s="42"/>
      <c r="CF191" s="42"/>
      <c r="CG191" s="42"/>
      <c r="CH191" s="42"/>
      <c r="CI191" s="42"/>
      <c r="CJ191" s="42"/>
      <c r="CK191" s="42"/>
      <c r="CL191" s="42"/>
      <c r="CM191" s="42"/>
      <c r="CN191" s="42"/>
      <c r="CO191" s="42"/>
      <c r="CP191" s="42"/>
      <c r="CQ191" s="42"/>
      <c r="CR191" s="42"/>
      <c r="CS191" s="42"/>
      <c r="CT191" s="42"/>
      <c r="CU191" s="42"/>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6"/>
      <c r="EF191" s="46"/>
      <c r="EG191" s="46"/>
      <c r="EH191" s="46"/>
      <c r="EI191" s="46"/>
      <c r="EJ191" s="46"/>
      <c r="EK191" s="46"/>
      <c r="EL191" s="46"/>
      <c r="EM191" s="46"/>
      <c r="EN191" s="46"/>
      <c r="EO191" s="46"/>
      <c r="EP191" s="46"/>
      <c r="EQ191" s="46"/>
      <c r="ER191" s="46"/>
      <c r="ES191" s="46"/>
      <c r="ET191" s="46"/>
      <c r="EU191" s="46"/>
      <c r="EV191" s="46"/>
      <c r="EW191" s="46"/>
      <c r="EX191" s="46"/>
      <c r="EY191" s="46"/>
      <c r="EZ191" s="46"/>
      <c r="FA191" s="46"/>
      <c r="FB191" s="46"/>
      <c r="FC191" s="46"/>
      <c r="FD191" s="46"/>
      <c r="FE191" s="46"/>
      <c r="FF191" s="46"/>
      <c r="FG191" s="46"/>
      <c r="FH191" s="46"/>
      <c r="FI191" s="46"/>
      <c r="FJ191" s="46"/>
      <c r="FK191" s="46"/>
      <c r="FL191" s="46"/>
      <c r="FM191" s="46"/>
      <c r="FN191" s="46"/>
    </row>
    <row r="192" spans="1:170" s="9" customFormat="1" ht="18" customHeight="1">
      <c r="A192" s="1976"/>
      <c r="B192" s="204"/>
      <c r="C192" s="14" t="str">
        <f>Begriffe!F29</f>
        <v>Anzahl Bezugseinheiten pro Person</v>
      </c>
      <c r="D192" s="14"/>
      <c r="E192" s="14"/>
      <c r="F192" s="14"/>
      <c r="G192" s="14"/>
      <c r="H192" s="14"/>
      <c r="I192" s="98"/>
      <c r="J192" s="678"/>
      <c r="K192" s="377"/>
      <c r="L192" s="509"/>
      <c r="M192" s="394">
        <f>IF(L192&lt;&gt;"",L192,INDEX(Eingabedaten!$D$9:$DN$53,nutzid,MATCH($C192,Eingabedaten!$D$6:$DN$6,0)))</f>
        <v>1</v>
      </c>
      <c r="N192" s="149"/>
      <c r="O192" s="149"/>
      <c r="P192" s="14">
        <v>0</v>
      </c>
      <c r="Q192" s="14">
        <v>1</v>
      </c>
      <c r="R192" s="14">
        <v>0</v>
      </c>
      <c r="S192" s="243"/>
      <c r="V192" s="64"/>
      <c r="W192" s="158"/>
      <c r="X192" s="158"/>
      <c r="Y192" s="64"/>
      <c r="Z192" s="158"/>
      <c r="AA192" s="158"/>
      <c r="AB192" s="65"/>
      <c r="AC192" s="89"/>
      <c r="AD192" s="89"/>
      <c r="AE192" s="65"/>
      <c r="AF192" s="65"/>
      <c r="AG192" s="65"/>
      <c r="AH192" s="65"/>
      <c r="AI192" s="65"/>
      <c r="AJ192" s="65"/>
      <c r="AK192" s="65"/>
      <c r="AL192" s="65"/>
      <c r="AM192" s="65"/>
      <c r="AN192" s="66"/>
      <c r="AO192" s="66"/>
      <c r="AP192" s="81"/>
      <c r="AQ192" s="81"/>
      <c r="AR192" s="42"/>
      <c r="AS192" s="42"/>
      <c r="AT192" s="42"/>
      <c r="AU192" s="42"/>
      <c r="AV192" s="42"/>
      <c r="AW192" s="42"/>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c r="CD192" s="42"/>
      <c r="CE192" s="42"/>
      <c r="CF192" s="42"/>
      <c r="CG192" s="42"/>
      <c r="CH192" s="42"/>
      <c r="CI192" s="42"/>
      <c r="CJ192" s="42"/>
      <c r="CK192" s="42"/>
      <c r="CL192" s="42"/>
      <c r="CM192" s="42"/>
      <c r="CN192" s="42"/>
      <c r="CO192" s="42"/>
      <c r="CP192" s="42"/>
      <c r="CQ192" s="42"/>
      <c r="CR192" s="42"/>
      <c r="CS192" s="42"/>
      <c r="CT192" s="42"/>
      <c r="CU192" s="42"/>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6"/>
      <c r="EF192" s="46"/>
      <c r="EG192" s="46"/>
      <c r="EH192" s="46"/>
      <c r="EI192" s="46"/>
      <c r="EJ192" s="46"/>
      <c r="EK192" s="46"/>
      <c r="EL192" s="46"/>
      <c r="EM192" s="46"/>
      <c r="EN192" s="46"/>
      <c r="EO192" s="46"/>
      <c r="EP192" s="46"/>
      <c r="EQ192" s="46"/>
      <c r="ER192" s="46"/>
      <c r="ES192" s="46"/>
      <c r="ET192" s="46"/>
      <c r="EU192" s="46"/>
      <c r="EV192" s="46"/>
      <c r="EW192" s="46"/>
      <c r="EX192" s="46"/>
      <c r="EY192" s="46"/>
      <c r="EZ192" s="46"/>
      <c r="FA192" s="46"/>
      <c r="FB192" s="46"/>
      <c r="FC192" s="46"/>
      <c r="FD192" s="46"/>
      <c r="FE192" s="46"/>
      <c r="FF192" s="46"/>
      <c r="FG192" s="46"/>
      <c r="FH192" s="46"/>
      <c r="FI192" s="46"/>
      <c r="FJ192" s="46"/>
      <c r="FK192" s="46"/>
      <c r="FL192" s="46"/>
      <c r="FM192" s="46"/>
      <c r="FN192" s="46"/>
    </row>
    <row r="193" spans="1:175" s="9" customFormat="1" ht="18" customHeight="1">
      <c r="A193" s="1976"/>
      <c r="B193" s="204"/>
      <c r="C193" s="14" t="str">
        <f>Begriffe!F125</f>
        <v>Warmwasserbedarf pro Person</v>
      </c>
      <c r="D193" s="14"/>
      <c r="E193" s="14"/>
      <c r="F193" s="14" t="s">
        <v>1869</v>
      </c>
      <c r="G193" s="14"/>
      <c r="H193" s="14"/>
      <c r="I193" s="126" t="s">
        <v>582</v>
      </c>
      <c r="J193" s="678" t="s">
        <v>544</v>
      </c>
      <c r="K193" s="377"/>
      <c r="L193" s="102"/>
      <c r="M193" s="394">
        <f>M191*M192</f>
        <v>35</v>
      </c>
      <c r="N193" s="149"/>
      <c r="O193" s="149"/>
      <c r="P193" s="14">
        <v>1</v>
      </c>
      <c r="Q193" s="14">
        <v>1</v>
      </c>
      <c r="R193" s="14">
        <v>0</v>
      </c>
      <c r="S193" s="243"/>
      <c r="V193" s="64"/>
      <c r="W193" s="158"/>
      <c r="X193" s="158"/>
      <c r="Y193" s="64"/>
      <c r="Z193" s="158"/>
      <c r="AA193" s="158"/>
      <c r="AB193" s="65"/>
      <c r="AC193" s="89"/>
      <c r="AD193" s="89"/>
      <c r="AE193" s="65"/>
      <c r="AF193" s="65"/>
      <c r="AG193" s="65"/>
      <c r="AH193" s="65"/>
      <c r="AI193" s="65"/>
      <c r="AJ193" s="65"/>
      <c r="AK193" s="65"/>
      <c r="AL193" s="65"/>
      <c r="AM193" s="65"/>
      <c r="AN193" s="66"/>
      <c r="AO193" s="66"/>
      <c r="AP193" s="81"/>
      <c r="AQ193" s="81"/>
      <c r="AR193" s="42"/>
      <c r="AS193" s="42"/>
      <c r="AT193" s="42"/>
      <c r="AU193" s="42"/>
      <c r="AV193" s="42"/>
      <c r="AW193" s="42"/>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c r="CD193" s="42"/>
      <c r="CE193" s="42"/>
      <c r="CF193" s="42"/>
      <c r="CG193" s="42"/>
      <c r="CH193" s="42"/>
      <c r="CI193" s="42"/>
      <c r="CJ193" s="42"/>
      <c r="CK193" s="42"/>
      <c r="CL193" s="42"/>
      <c r="CM193" s="42"/>
      <c r="CN193" s="42"/>
      <c r="CO193" s="42"/>
      <c r="CP193" s="42"/>
      <c r="CQ193" s="42"/>
      <c r="CR193" s="42"/>
      <c r="CS193" s="42"/>
      <c r="CT193" s="42"/>
      <c r="CU193" s="42"/>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6"/>
      <c r="EF193" s="46"/>
      <c r="EG193" s="46"/>
      <c r="EH193" s="46"/>
      <c r="EI193" s="46"/>
      <c r="EJ193" s="46"/>
      <c r="EK193" s="46"/>
      <c r="EL193" s="46"/>
      <c r="EM193" s="46"/>
      <c r="EN193" s="46"/>
      <c r="EO193" s="46"/>
      <c r="EP193" s="46"/>
      <c r="EQ193" s="46"/>
      <c r="ER193" s="46"/>
      <c r="ES193" s="46"/>
      <c r="ET193" s="46"/>
      <c r="EU193" s="46"/>
      <c r="EV193" s="46"/>
      <c r="EW193" s="46"/>
      <c r="EX193" s="46"/>
      <c r="EY193" s="46"/>
      <c r="EZ193" s="46"/>
      <c r="FA193" s="46"/>
      <c r="FB193" s="46"/>
      <c r="FC193" s="46"/>
      <c r="FD193" s="46"/>
      <c r="FE193" s="46"/>
      <c r="FF193" s="46"/>
      <c r="FG193" s="46"/>
      <c r="FH193" s="46"/>
      <c r="FI193" s="46"/>
      <c r="FJ193" s="46"/>
      <c r="FK193" s="46"/>
      <c r="FL193" s="46"/>
      <c r="FM193" s="46"/>
      <c r="FN193" s="46"/>
    </row>
    <row r="194" spans="1:175" s="9" customFormat="1" ht="18" customHeight="1">
      <c r="A194" s="1976"/>
      <c r="B194" s="204"/>
      <c r="C194" s="14" t="str">
        <f>Begriffe!F111</f>
        <v>Verhältnis Wasserbedarf zu Warmwasserbedarf</v>
      </c>
      <c r="D194" s="14"/>
      <c r="E194" s="14"/>
      <c r="F194" s="14"/>
      <c r="G194" s="14"/>
      <c r="H194" s="14"/>
      <c r="I194" s="98"/>
      <c r="J194" s="678"/>
      <c r="K194" s="377"/>
      <c r="L194" s="509"/>
      <c r="M194" s="443">
        <f>IF(L194&lt;&gt;"",L194,INDEX(Eingabedaten!$D$9:$DN$53,nutzid,MATCH($C194,Eingabedaten!$D$6:$DN$6,0)))</f>
        <v>4</v>
      </c>
      <c r="N194" s="149"/>
      <c r="O194" s="149"/>
      <c r="P194" s="14">
        <v>0</v>
      </c>
      <c r="Q194" s="14">
        <v>1</v>
      </c>
      <c r="R194" s="14">
        <v>0</v>
      </c>
      <c r="S194" s="243"/>
      <c r="V194" s="64"/>
      <c r="W194" s="158"/>
      <c r="X194" s="158"/>
      <c r="Y194" s="64"/>
      <c r="Z194" s="158"/>
      <c r="AA194" s="158"/>
      <c r="AB194" s="65"/>
      <c r="AC194" s="89"/>
      <c r="AD194" s="89"/>
      <c r="AE194" s="65"/>
      <c r="AF194" s="65"/>
      <c r="AG194" s="65"/>
      <c r="AH194" s="65"/>
      <c r="AI194" s="65"/>
      <c r="AJ194" s="65"/>
      <c r="AK194" s="65"/>
      <c r="AL194" s="65"/>
      <c r="AM194" s="65"/>
      <c r="AN194" s="66"/>
      <c r="AO194" s="66"/>
      <c r="AP194" s="81"/>
      <c r="AQ194" s="81"/>
      <c r="AR194" s="42"/>
      <c r="AS194" s="42"/>
      <c r="AT194" s="42"/>
      <c r="AU194" s="42"/>
      <c r="AV194" s="42"/>
      <c r="AW194" s="42"/>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c r="CD194" s="42"/>
      <c r="CE194" s="42"/>
      <c r="CF194" s="42"/>
      <c r="CG194" s="42"/>
      <c r="CH194" s="42"/>
      <c r="CI194" s="42"/>
      <c r="CJ194" s="42"/>
      <c r="CK194" s="42"/>
      <c r="CL194" s="42"/>
      <c r="CM194" s="42"/>
      <c r="CN194" s="42"/>
      <c r="CO194" s="42"/>
      <c r="CP194" s="42"/>
      <c r="CQ194" s="42"/>
      <c r="CR194" s="42"/>
      <c r="CS194" s="42"/>
      <c r="CT194" s="42"/>
      <c r="CU194" s="42"/>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6"/>
      <c r="EF194" s="46"/>
      <c r="EG194" s="46"/>
      <c r="EH194" s="46"/>
      <c r="EI194" s="46"/>
      <c r="EJ194" s="46"/>
      <c r="EK194" s="46"/>
      <c r="EL194" s="46"/>
      <c r="EM194" s="46"/>
      <c r="EN194" s="46"/>
      <c r="EO194" s="46"/>
      <c r="EP194" s="46"/>
      <c r="EQ194" s="46"/>
      <c r="ER194" s="46"/>
      <c r="ES194" s="46"/>
      <c r="ET194" s="46"/>
      <c r="EU194" s="46"/>
      <c r="EV194" s="46"/>
      <c r="EW194" s="46"/>
      <c r="EX194" s="46"/>
      <c r="EY194" s="46"/>
      <c r="EZ194" s="46"/>
      <c r="FA194" s="46"/>
      <c r="FB194" s="46"/>
      <c r="FC194" s="46"/>
      <c r="FD194" s="46"/>
      <c r="FE194" s="46"/>
      <c r="FF194" s="46"/>
      <c r="FG194" s="46"/>
      <c r="FH194" s="46"/>
      <c r="FI194" s="46"/>
      <c r="FJ194" s="46"/>
      <c r="FK194" s="46"/>
      <c r="FL194" s="46"/>
      <c r="FM194" s="46"/>
      <c r="FN194" s="46"/>
    </row>
    <row r="195" spans="1:175" s="9" customFormat="1" ht="18" customHeight="1">
      <c r="A195" s="1976"/>
      <c r="B195" s="204"/>
      <c r="C195" s="14" t="str">
        <f>Begriffe!F126</f>
        <v>Wasserbedarf pro Person</v>
      </c>
      <c r="D195" s="14"/>
      <c r="E195" s="14"/>
      <c r="F195" s="14" t="str">
        <f>Begriffe!F370</f>
        <v>Warm- und Kaltwasser</v>
      </c>
      <c r="G195" s="14"/>
      <c r="H195" s="14"/>
      <c r="I195" s="126" t="s">
        <v>583</v>
      </c>
      <c r="J195" s="678" t="s">
        <v>544</v>
      </c>
      <c r="K195" s="377"/>
      <c r="L195" s="100"/>
      <c r="M195" s="443">
        <f>M193*M194</f>
        <v>140</v>
      </c>
      <c r="N195" s="149"/>
      <c r="O195" s="149"/>
      <c r="P195" s="14">
        <v>1</v>
      </c>
      <c r="Q195" s="14">
        <v>1</v>
      </c>
      <c r="R195" s="14">
        <v>0</v>
      </c>
      <c r="S195" s="243"/>
      <c r="V195" s="64"/>
      <c r="W195" s="158"/>
      <c r="X195" s="158"/>
      <c r="Y195" s="64"/>
      <c r="Z195" s="158"/>
      <c r="AA195" s="158"/>
      <c r="AB195" s="65"/>
      <c r="AC195" s="89"/>
      <c r="AD195" s="89"/>
      <c r="AE195" s="65"/>
      <c r="AF195" s="65"/>
      <c r="AG195" s="65"/>
      <c r="AH195" s="65"/>
      <c r="AI195" s="65"/>
      <c r="AJ195" s="65"/>
      <c r="AK195" s="65"/>
      <c r="AL195" s="65"/>
      <c r="AM195" s="65"/>
      <c r="AN195" s="66"/>
      <c r="AO195" s="66"/>
      <c r="AP195" s="81"/>
      <c r="AQ195" s="81"/>
      <c r="AR195" s="42"/>
      <c r="AS195" s="42"/>
      <c r="AT195" s="42"/>
      <c r="AU195" s="42"/>
      <c r="AV195" s="42"/>
      <c r="AW195" s="42"/>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c r="CD195" s="42"/>
      <c r="CE195" s="42"/>
      <c r="CF195" s="42"/>
      <c r="CG195" s="42"/>
      <c r="CH195" s="42"/>
      <c r="CI195" s="42"/>
      <c r="CJ195" s="42"/>
      <c r="CK195" s="42"/>
      <c r="CL195" s="42"/>
      <c r="CM195" s="42"/>
      <c r="CN195" s="42"/>
      <c r="CO195" s="42"/>
      <c r="CP195" s="42"/>
      <c r="CQ195" s="42"/>
      <c r="CR195" s="42"/>
      <c r="CS195" s="42"/>
      <c r="CT195" s="42"/>
      <c r="CU195" s="42"/>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row>
    <row r="196" spans="1:175" s="14" customFormat="1" ht="18" customHeight="1">
      <c r="A196" s="1977"/>
      <c r="B196" s="204"/>
      <c r="C196" s="1127" t="str">
        <f>Begriffe!F67</f>
        <v>Jährlicher Wärmebedarf für Warmwasser</v>
      </c>
      <c r="D196" s="1950"/>
      <c r="E196" s="1950"/>
      <c r="F196" s="14" t="s">
        <v>1870</v>
      </c>
      <c r="I196" s="126" t="s">
        <v>449</v>
      </c>
      <c r="J196" s="677" t="s">
        <v>441</v>
      </c>
      <c r="K196" s="677"/>
      <c r="L196" s="125"/>
      <c r="M196" s="695">
        <f>IF($M$58=0,0,$M193*0.058*$M55/$M$58*$M$56)</f>
        <v>16.936000000000003</v>
      </c>
      <c r="N196" s="695">
        <f>IF($M$58=0,0,$M193*0.058*$M55/$M$58*$M$56)</f>
        <v>16.936000000000003</v>
      </c>
      <c r="O196" s="695">
        <f>IF($M$58=0,0,$M193*0.058*$M55/$M$58*$M$56)</f>
        <v>16.936000000000003</v>
      </c>
      <c r="P196" s="14">
        <v>1</v>
      </c>
      <c r="Q196" s="392">
        <v>1</v>
      </c>
      <c r="R196" s="14">
        <v>0</v>
      </c>
      <c r="S196" s="14" t="s">
        <v>56</v>
      </c>
      <c r="T196" s="7"/>
      <c r="U196" s="7"/>
      <c r="V196" s="63"/>
      <c r="W196" s="63"/>
      <c r="X196" s="64"/>
      <c r="Y196" s="63"/>
      <c r="Z196" s="63"/>
      <c r="AA196" s="63"/>
      <c r="AB196" s="63"/>
      <c r="AC196" s="63"/>
      <c r="AD196" s="63"/>
      <c r="AE196" s="63"/>
      <c r="AF196" s="7"/>
      <c r="AG196" s="7"/>
      <c r="AH196" s="7"/>
      <c r="AI196" s="7"/>
      <c r="AJ196" s="7"/>
      <c r="AK196" s="7"/>
      <c r="AL196" s="7"/>
      <c r="AM196" s="7"/>
      <c r="AN196" s="7"/>
      <c r="AO196" s="7"/>
      <c r="AP196" s="7"/>
      <c r="AQ196" s="7"/>
      <c r="AR196" s="7"/>
      <c r="AS196" s="7"/>
      <c r="AT196" s="7"/>
      <c r="AU196" s="83"/>
      <c r="AV196" s="83"/>
      <c r="AW196" s="50"/>
      <c r="AX196" s="50"/>
      <c r="AY196" s="50"/>
      <c r="AZ196" s="50"/>
      <c r="BA196" s="50"/>
      <c r="BB196" s="50"/>
      <c r="BC196" s="50"/>
      <c r="BD196" s="50"/>
      <c r="BE196" s="50"/>
      <c r="BF196" s="50"/>
      <c r="BG196" s="50"/>
      <c r="BH196" s="50"/>
      <c r="BI196" s="50"/>
      <c r="BJ196" s="50"/>
      <c r="BK196" s="50"/>
      <c r="BL196" s="50"/>
      <c r="BM196" s="50"/>
      <c r="BN196" s="50"/>
      <c r="BO196" s="50"/>
      <c r="BP196" s="50"/>
      <c r="BQ196" s="50"/>
      <c r="BR196" s="50"/>
      <c r="BS196" s="50"/>
      <c r="BT196" s="50"/>
      <c r="BU196" s="50"/>
      <c r="BV196" s="50"/>
      <c r="BW196" s="50"/>
      <c r="BX196" s="50"/>
      <c r="BY196" s="50"/>
      <c r="BZ196" s="50"/>
      <c r="CA196" s="50"/>
      <c r="CB196" s="50"/>
      <c r="CC196" s="50"/>
      <c r="CD196" s="50"/>
      <c r="CE196" s="50"/>
      <c r="CF196" s="50"/>
      <c r="CG196" s="50"/>
      <c r="CH196" s="50"/>
      <c r="CI196" s="50"/>
      <c r="CJ196" s="50"/>
      <c r="CK196" s="50"/>
      <c r="CL196" s="50"/>
      <c r="CM196" s="50"/>
      <c r="CN196" s="50"/>
      <c r="CO196" s="50"/>
      <c r="CP196" s="50"/>
      <c r="CQ196" s="50"/>
      <c r="CR196" s="50"/>
      <c r="CS196" s="50"/>
      <c r="CT196" s="50"/>
      <c r="CU196" s="50"/>
      <c r="CV196" s="50"/>
      <c r="CW196" s="50"/>
      <c r="CX196" s="50"/>
      <c r="CY196" s="50"/>
      <c r="CZ196" s="50"/>
      <c r="DA196" s="50"/>
      <c r="DB196" s="50"/>
      <c r="DC196" s="50"/>
      <c r="DD196" s="50"/>
      <c r="DE196" s="50"/>
      <c r="DF196" s="50"/>
      <c r="DG196" s="50"/>
      <c r="DH196" s="50"/>
      <c r="DI196" s="50"/>
      <c r="DJ196" s="49"/>
      <c r="DK196" s="49"/>
      <c r="DL196" s="49"/>
      <c r="DM196" s="49"/>
      <c r="DN196" s="49"/>
      <c r="DO196" s="49"/>
      <c r="DP196" s="49"/>
      <c r="DQ196" s="49"/>
      <c r="DR196" s="49"/>
      <c r="DS196" s="49"/>
      <c r="DT196" s="49"/>
      <c r="DU196" s="49"/>
      <c r="DV196" s="49"/>
      <c r="DW196" s="49"/>
      <c r="DX196" s="49"/>
      <c r="DY196" s="49"/>
      <c r="DZ196" s="49"/>
      <c r="EA196" s="49"/>
      <c r="EB196" s="49"/>
      <c r="EC196" s="49"/>
      <c r="ED196" s="49"/>
      <c r="EE196" s="49"/>
      <c r="EF196" s="49"/>
      <c r="EG196" s="49"/>
      <c r="EH196" s="49"/>
      <c r="EI196" s="49"/>
      <c r="EJ196" s="50"/>
      <c r="EK196" s="50"/>
      <c r="EL196" s="50"/>
      <c r="EM196" s="50"/>
      <c r="EN196" s="50"/>
      <c r="EO196" s="50"/>
      <c r="EP196" s="50"/>
      <c r="EQ196" s="50"/>
      <c r="ER196" s="50"/>
      <c r="ES196" s="50"/>
      <c r="ET196" s="50"/>
      <c r="EU196" s="50"/>
      <c r="EV196" s="50"/>
      <c r="EW196" s="50"/>
      <c r="EX196" s="50"/>
      <c r="EY196" s="50"/>
      <c r="EZ196" s="50"/>
      <c r="FA196" s="50"/>
      <c r="FB196" s="50"/>
      <c r="FC196" s="50"/>
      <c r="FD196" s="50"/>
      <c r="FE196" s="50"/>
      <c r="FF196" s="50"/>
      <c r="FG196" s="50"/>
      <c r="FH196" s="50"/>
      <c r="FI196" s="50"/>
      <c r="FJ196" s="50"/>
      <c r="FK196" s="50"/>
      <c r="FL196" s="50"/>
      <c r="FM196" s="50"/>
      <c r="FN196" s="50"/>
      <c r="FO196" s="50"/>
      <c r="FP196" s="50"/>
      <c r="FQ196" s="50"/>
      <c r="FR196" s="50"/>
      <c r="FS196" s="50"/>
    </row>
    <row r="197" spans="1:175" s="5" customFormat="1" ht="1.5" customHeight="1">
      <c r="A197" s="113"/>
      <c r="B197" s="495"/>
      <c r="C197" s="495"/>
      <c r="D197" s="495"/>
      <c r="E197" s="495"/>
      <c r="F197" s="495"/>
      <c r="G197" s="495"/>
      <c r="H197" s="495"/>
      <c r="I197" s="693"/>
      <c r="J197" s="694"/>
      <c r="K197" s="694"/>
      <c r="L197" s="122"/>
      <c r="M197" s="696"/>
      <c r="N197" s="136"/>
      <c r="O197" s="136"/>
      <c r="P197" s="379"/>
      <c r="Q197" s="392">
        <v>1</v>
      </c>
      <c r="R197" s="379"/>
      <c r="S197" s="379"/>
      <c r="T197" s="1"/>
      <c r="U197" s="1"/>
      <c r="V197" s="25"/>
      <c r="W197" s="25"/>
      <c r="X197" s="27"/>
      <c r="Y197" s="27"/>
      <c r="Z197" s="27"/>
      <c r="AA197" s="27"/>
      <c r="AB197" s="27"/>
      <c r="AC197" s="27"/>
      <c r="AD197" s="27"/>
      <c r="AE197" s="27"/>
      <c r="AF197" s="36"/>
      <c r="AG197" s="36"/>
      <c r="AH197" s="36"/>
      <c r="AI197" s="36"/>
      <c r="AJ197" s="36"/>
      <c r="AK197" s="36"/>
      <c r="AL197" s="36"/>
      <c r="AM197" s="36"/>
      <c r="AN197" s="36"/>
      <c r="AO197" s="36"/>
      <c r="AP197" s="36"/>
      <c r="AQ197" s="36"/>
      <c r="AR197" s="36"/>
      <c r="AS197" s="84"/>
      <c r="AT197" s="84"/>
      <c r="AU197" s="85"/>
      <c r="AV197" s="85"/>
      <c r="AW197" s="54"/>
      <c r="AX197" s="54"/>
      <c r="AY197" s="54"/>
      <c r="AZ197" s="54"/>
      <c r="BA197" s="54"/>
      <c r="BB197" s="54"/>
      <c r="BC197" s="54"/>
      <c r="BD197" s="54"/>
      <c r="BE197" s="54"/>
      <c r="BF197" s="54"/>
      <c r="BG197" s="54"/>
      <c r="BH197" s="54"/>
      <c r="BI197" s="54"/>
      <c r="BJ197" s="54"/>
      <c r="BK197" s="54"/>
      <c r="BL197" s="54"/>
      <c r="BM197" s="54"/>
      <c r="BN197" s="54"/>
      <c r="BO197" s="54"/>
      <c r="BP197" s="54"/>
      <c r="BQ197" s="54"/>
      <c r="BR197" s="54"/>
      <c r="BS197" s="54"/>
      <c r="BT197" s="54"/>
      <c r="BU197" s="54"/>
      <c r="BV197" s="54"/>
      <c r="BW197" s="54"/>
      <c r="BX197" s="54"/>
      <c r="BY197" s="54"/>
      <c r="BZ197" s="54"/>
      <c r="CA197" s="54"/>
      <c r="CB197" s="54"/>
      <c r="CC197" s="54"/>
      <c r="CD197" s="54"/>
      <c r="CE197" s="54"/>
      <c r="CF197" s="54"/>
      <c r="CG197" s="54"/>
      <c r="CH197" s="54"/>
      <c r="CI197" s="54"/>
      <c r="CJ197" s="54"/>
      <c r="CK197" s="54"/>
      <c r="CL197" s="54"/>
      <c r="CM197" s="54"/>
      <c r="CN197" s="54"/>
      <c r="CO197" s="54"/>
      <c r="CP197" s="54"/>
      <c r="CQ197" s="54"/>
      <c r="CR197" s="54"/>
      <c r="CS197" s="54"/>
      <c r="CT197" s="54"/>
      <c r="CU197" s="54"/>
      <c r="CV197" s="54"/>
      <c r="CW197" s="54"/>
      <c r="CX197" s="54"/>
      <c r="CY197" s="54"/>
      <c r="CZ197" s="54"/>
      <c r="DA197" s="55"/>
      <c r="DB197" s="55"/>
      <c r="DC197" s="55"/>
      <c r="DD197" s="55"/>
      <c r="DE197" s="55"/>
      <c r="DF197" s="55"/>
      <c r="DG197" s="55"/>
      <c r="DH197" s="55"/>
      <c r="DI197" s="55"/>
      <c r="DJ197" s="55"/>
      <c r="DK197" s="55"/>
      <c r="DL197" s="55"/>
      <c r="DM197" s="55"/>
      <c r="DN197" s="55"/>
      <c r="DO197" s="55"/>
      <c r="DP197" s="55"/>
      <c r="DQ197" s="55"/>
      <c r="DR197" s="55"/>
      <c r="DS197" s="55"/>
      <c r="DT197" s="55"/>
      <c r="DU197" s="55"/>
      <c r="DV197" s="55"/>
      <c r="DW197" s="55"/>
      <c r="DX197" s="55"/>
      <c r="DY197" s="55"/>
      <c r="DZ197" s="55"/>
      <c r="EA197" s="55"/>
      <c r="EB197" s="55"/>
      <c r="EC197" s="55"/>
      <c r="ED197" s="55"/>
      <c r="EE197" s="55"/>
      <c r="EF197" s="55"/>
      <c r="EG197" s="55"/>
      <c r="EH197" s="55"/>
      <c r="EI197" s="55"/>
      <c r="EJ197" s="53"/>
      <c r="EK197" s="53"/>
      <c r="EL197" s="53"/>
      <c r="EM197" s="53"/>
      <c r="EN197" s="53"/>
      <c r="EO197" s="53"/>
      <c r="EP197" s="53"/>
      <c r="EQ197" s="53"/>
      <c r="ER197" s="53"/>
      <c r="ES197" s="53"/>
      <c r="ET197" s="53"/>
      <c r="EU197" s="53"/>
      <c r="EV197" s="53"/>
      <c r="EW197" s="53"/>
      <c r="EX197" s="53"/>
      <c r="EY197" s="53"/>
      <c r="EZ197" s="53"/>
      <c r="FA197" s="53"/>
      <c r="FB197" s="53"/>
      <c r="FC197" s="53"/>
      <c r="FD197" s="53"/>
      <c r="FE197" s="53"/>
      <c r="FF197" s="53"/>
      <c r="FG197" s="53"/>
      <c r="FH197" s="53"/>
      <c r="FI197" s="53"/>
      <c r="FJ197" s="53"/>
      <c r="FK197" s="53"/>
      <c r="FL197" s="53"/>
      <c r="FM197" s="53"/>
      <c r="FN197" s="53"/>
      <c r="FO197" s="53"/>
      <c r="FP197" s="53"/>
      <c r="FQ197" s="53"/>
      <c r="FR197" s="53"/>
      <c r="FS197" s="53"/>
    </row>
    <row r="198" spans="1:175" s="13" customFormat="1" ht="23.6" customHeight="1">
      <c r="A198" s="1978" t="str">
        <f>Begriffe!F343</f>
        <v>Energie- und Leistungsbedarf</v>
      </c>
      <c r="B198" s="204"/>
      <c r="C198" s="95" t="str">
        <f>Begriffe!F117</f>
        <v>Wärmebilanz pro Monat (exkl. Prozessanlagen)</v>
      </c>
      <c r="H198" s="95" t="str">
        <f>Begriffe!F122</f>
        <v>Wärmeleistungsbilanz am August-Auslegungstag  (exkl. Prozessanlagen)</v>
      </c>
      <c r="O198" s="111"/>
      <c r="P198" s="393"/>
      <c r="Q198" s="14">
        <v>1</v>
      </c>
      <c r="R198" s="393"/>
      <c r="S198" s="14"/>
      <c r="T198" s="7"/>
      <c r="U198" s="7"/>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51"/>
      <c r="DK198" s="51"/>
      <c r="DL198" s="51"/>
      <c r="DM198" s="51"/>
      <c r="DN198" s="51"/>
      <c r="DO198" s="51"/>
      <c r="DP198" s="51"/>
      <c r="DQ198" s="51"/>
      <c r="DR198" s="51"/>
      <c r="DS198" s="51"/>
      <c r="DT198" s="51"/>
      <c r="DU198" s="51"/>
      <c r="DV198" s="51"/>
      <c r="DW198" s="51"/>
      <c r="DX198" s="51"/>
      <c r="DY198" s="51"/>
      <c r="DZ198" s="51"/>
      <c r="EA198" s="51"/>
      <c r="EB198" s="51"/>
      <c r="EC198" s="51"/>
      <c r="ED198" s="51"/>
      <c r="EE198" s="51"/>
      <c r="EF198" s="51"/>
      <c r="EG198" s="51"/>
      <c r="EH198" s="51"/>
      <c r="EI198" s="51"/>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row>
    <row r="199" spans="1:175" s="13" customFormat="1" ht="16.100000000000001" customHeight="1">
      <c r="A199" s="1976"/>
      <c r="B199" s="204"/>
      <c r="O199" s="111"/>
      <c r="P199" s="393"/>
      <c r="Q199" s="14">
        <v>1</v>
      </c>
      <c r="R199" s="14"/>
      <c r="S199" s="14"/>
      <c r="T199" s="7"/>
      <c r="U199" s="7"/>
      <c r="V199" s="7"/>
      <c r="W199" s="7"/>
      <c r="X199" s="7"/>
      <c r="Y199" s="7"/>
      <c r="Z199" s="7"/>
      <c r="AA199" s="7"/>
      <c r="AB199" s="7"/>
      <c r="AC199" s="7"/>
      <c r="AD199" s="7"/>
      <c r="AE199" s="7"/>
      <c r="AF199" s="7"/>
      <c r="AG199" s="7"/>
      <c r="AH199" s="7"/>
      <c r="AI199" s="7"/>
      <c r="AJ199" s="7"/>
      <c r="AK199" s="7"/>
      <c r="AL199" s="7"/>
      <c r="AM199" s="7"/>
      <c r="AN199" s="7"/>
      <c r="AO199" s="7"/>
      <c r="AP199" s="7"/>
      <c r="AQ199" s="7"/>
      <c r="AR199" s="7"/>
      <c r="AS199" s="7"/>
      <c r="AT199" s="7"/>
      <c r="AU199" s="7"/>
      <c r="AV199" s="7"/>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51"/>
      <c r="DK199" s="51"/>
      <c r="DL199" s="51"/>
      <c r="DM199" s="51"/>
      <c r="DN199" s="51"/>
      <c r="DO199" s="51"/>
      <c r="DP199" s="51"/>
      <c r="DQ199" s="51"/>
      <c r="DR199" s="51"/>
      <c r="DS199" s="51"/>
      <c r="DT199" s="51"/>
      <c r="DU199" s="51"/>
      <c r="DV199" s="51"/>
      <c r="DW199" s="51"/>
      <c r="DX199" s="51"/>
      <c r="DY199" s="51"/>
      <c r="DZ199" s="51"/>
      <c r="EA199" s="51"/>
      <c r="EB199" s="51"/>
      <c r="EC199" s="51"/>
      <c r="ED199" s="51"/>
      <c r="EE199" s="51"/>
      <c r="EF199" s="51"/>
      <c r="EG199" s="51"/>
      <c r="EH199" s="51"/>
      <c r="EI199" s="51"/>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row>
    <row r="200" spans="1:175" s="13" customFormat="1" ht="16.100000000000001" customHeight="1">
      <c r="A200" s="1976"/>
      <c r="B200" s="204"/>
      <c r="O200" s="111"/>
      <c r="P200" s="1265"/>
      <c r="Q200" s="14">
        <v>1</v>
      </c>
      <c r="R200" s="14"/>
      <c r="S200" s="14"/>
      <c r="T200" s="7"/>
      <c r="U200" s="7"/>
      <c r="V200" s="7"/>
      <c r="W200" s="7"/>
      <c r="X200" s="7"/>
      <c r="Y200" s="7"/>
      <c r="Z200" s="7"/>
      <c r="AA200" s="7"/>
      <c r="AB200" s="7"/>
      <c r="AC200" s="7"/>
      <c r="AD200" s="7"/>
      <c r="AE200" s="7"/>
      <c r="AF200" s="7"/>
      <c r="AG200" s="7"/>
      <c r="AH200" s="7"/>
      <c r="AI200" s="7"/>
      <c r="AJ200" s="7"/>
      <c r="AK200" s="7"/>
      <c r="AL200" s="7"/>
      <c r="AM200" s="7"/>
      <c r="AN200" s="7"/>
      <c r="AO200" s="7"/>
      <c r="AP200" s="7"/>
      <c r="AQ200" s="7"/>
      <c r="AR200" s="7"/>
      <c r="AS200" s="7"/>
      <c r="AT200" s="7"/>
      <c r="AU200" s="7"/>
      <c r="AV200" s="7"/>
      <c r="AW200" s="40"/>
      <c r="AX200" s="40"/>
      <c r="AY200" s="40"/>
      <c r="AZ200" s="40"/>
      <c r="BA200" s="40"/>
      <c r="BB200" s="40"/>
      <c r="BC200" s="40"/>
      <c r="BD200" s="40"/>
      <c r="BE200" s="40"/>
      <c r="BF200" s="40"/>
      <c r="BG200" s="40"/>
      <c r="BH200" s="40"/>
      <c r="BI200" s="40"/>
      <c r="BJ200" s="40"/>
      <c r="BK200" s="40"/>
      <c r="BL200" s="40"/>
      <c r="BM200" s="40"/>
      <c r="BN200" s="40"/>
      <c r="BO200" s="40"/>
      <c r="BP200" s="40"/>
      <c r="BQ200" s="40"/>
      <c r="BR200" s="40"/>
      <c r="BS200" s="40"/>
      <c r="BT200" s="40"/>
      <c r="BU200" s="40"/>
      <c r="BV200" s="40"/>
      <c r="BW200" s="40"/>
      <c r="BX200" s="40"/>
      <c r="BY200" s="40"/>
      <c r="BZ200" s="40"/>
      <c r="CA200" s="40"/>
      <c r="CB200" s="40"/>
      <c r="CC200" s="40"/>
      <c r="CD200" s="40"/>
      <c r="CE200" s="40"/>
      <c r="CF200" s="40"/>
      <c r="CG200" s="40"/>
      <c r="CH200" s="40"/>
      <c r="CI200" s="40"/>
      <c r="CJ200" s="40"/>
      <c r="CK200" s="40"/>
      <c r="CL200" s="40"/>
      <c r="CM200" s="40"/>
      <c r="CN200" s="40"/>
      <c r="CO200" s="40"/>
      <c r="CP200" s="40"/>
      <c r="CQ200" s="40"/>
      <c r="CR200" s="40"/>
      <c r="CS200" s="40"/>
      <c r="CT200" s="40"/>
      <c r="CU200" s="40"/>
      <c r="CV200" s="40"/>
      <c r="CW200" s="40"/>
      <c r="CX200" s="40"/>
      <c r="CY200" s="40"/>
      <c r="CZ200" s="40"/>
      <c r="DA200" s="40"/>
      <c r="DB200" s="40"/>
      <c r="DC200" s="40"/>
      <c r="DD200" s="40"/>
      <c r="DE200" s="40"/>
      <c r="DF200" s="40"/>
      <c r="DG200" s="40"/>
      <c r="DH200" s="40"/>
      <c r="DI200" s="40"/>
      <c r="DJ200" s="51"/>
      <c r="DK200" s="51"/>
      <c r="DL200" s="51"/>
      <c r="DM200" s="51"/>
      <c r="DN200" s="51"/>
      <c r="DO200" s="51"/>
      <c r="DP200" s="51"/>
      <c r="DQ200" s="51"/>
      <c r="DR200" s="51"/>
      <c r="DS200" s="51"/>
      <c r="DT200" s="51"/>
      <c r="DU200" s="51"/>
      <c r="DV200" s="51"/>
      <c r="DW200" s="51"/>
      <c r="DX200" s="51"/>
      <c r="DY200" s="51"/>
      <c r="DZ200" s="51"/>
      <c r="EA200" s="51"/>
      <c r="EB200" s="51"/>
      <c r="EC200" s="51"/>
      <c r="ED200" s="51"/>
      <c r="EE200" s="51"/>
      <c r="EF200" s="51"/>
      <c r="EG200" s="51"/>
      <c r="EH200" s="51"/>
      <c r="EI200" s="51"/>
      <c r="EJ200" s="40"/>
      <c r="EK200" s="40"/>
      <c r="EL200" s="40"/>
      <c r="EM200" s="40"/>
      <c r="EN200" s="40"/>
      <c r="EO200" s="40"/>
      <c r="EP200" s="40"/>
      <c r="EQ200" s="40"/>
      <c r="ER200" s="40"/>
      <c r="ES200" s="40"/>
      <c r="ET200" s="40"/>
      <c r="EU200" s="40"/>
      <c r="EV200" s="40"/>
      <c r="EW200" s="40"/>
      <c r="EX200" s="40"/>
      <c r="EY200" s="40"/>
      <c r="EZ200" s="40"/>
      <c r="FA200" s="40"/>
      <c r="FB200" s="40"/>
      <c r="FC200" s="40"/>
      <c r="FD200" s="40"/>
      <c r="FE200" s="40"/>
      <c r="FF200" s="40"/>
      <c r="FG200" s="40"/>
      <c r="FH200" s="40"/>
      <c r="FI200" s="40"/>
      <c r="FJ200" s="40"/>
      <c r="FK200" s="40"/>
      <c r="FL200" s="40"/>
      <c r="FM200" s="40"/>
      <c r="FN200" s="40"/>
      <c r="FO200" s="40"/>
      <c r="FP200" s="40"/>
      <c r="FQ200" s="40"/>
      <c r="FR200" s="40"/>
      <c r="FS200" s="40"/>
    </row>
    <row r="201" spans="1:175" s="13" customFormat="1" ht="16.100000000000001" customHeight="1">
      <c r="A201" s="1976"/>
      <c r="B201" s="204"/>
      <c r="O201" s="111"/>
      <c r="P201" s="1265"/>
      <c r="Q201" s="14">
        <v>1</v>
      </c>
      <c r="R201" s="14"/>
      <c r="S201" s="14"/>
      <c r="T201" s="7"/>
      <c r="U201" s="7"/>
      <c r="V201" s="7"/>
      <c r="W201" s="7"/>
      <c r="X201" s="7"/>
      <c r="Y201" s="7"/>
      <c r="Z201" s="7"/>
      <c r="AA201" s="7"/>
      <c r="AB201" s="7"/>
      <c r="AC201" s="7"/>
      <c r="AD201" s="7"/>
      <c r="AE201" s="7"/>
      <c r="AF201" s="7"/>
      <c r="AG201" s="7"/>
      <c r="AH201" s="7"/>
      <c r="AI201" s="7"/>
      <c r="AJ201" s="7"/>
      <c r="AK201" s="7"/>
      <c r="AL201" s="7"/>
      <c r="AM201" s="7"/>
      <c r="AN201" s="7"/>
      <c r="AO201" s="7"/>
      <c r="AP201" s="7"/>
      <c r="AQ201" s="7"/>
      <c r="AR201" s="7"/>
      <c r="AS201" s="7"/>
      <c r="AT201" s="7"/>
      <c r="AU201" s="7"/>
      <c r="AV201" s="7"/>
      <c r="AW201" s="40"/>
      <c r="AX201" s="40"/>
      <c r="AY201" s="40"/>
      <c r="AZ201" s="40"/>
      <c r="BA201" s="40"/>
      <c r="BB201" s="40"/>
      <c r="BC201" s="40"/>
      <c r="BD201" s="40"/>
      <c r="BE201" s="40"/>
      <c r="BF201" s="40"/>
      <c r="BG201" s="40"/>
      <c r="BH201" s="40"/>
      <c r="BI201" s="40"/>
      <c r="BJ201" s="40"/>
      <c r="BK201" s="40"/>
      <c r="BL201" s="40"/>
      <c r="BM201" s="40"/>
      <c r="BN201" s="40"/>
      <c r="BO201" s="40"/>
      <c r="BP201" s="40"/>
      <c r="BQ201" s="40"/>
      <c r="BR201" s="40"/>
      <c r="BS201" s="40"/>
      <c r="BT201" s="40"/>
      <c r="BU201" s="40"/>
      <c r="BV201" s="40"/>
      <c r="BW201" s="40"/>
      <c r="BX201" s="40"/>
      <c r="BY201" s="40"/>
      <c r="BZ201" s="40"/>
      <c r="CA201" s="40"/>
      <c r="CB201" s="40"/>
      <c r="CC201" s="40"/>
      <c r="CD201" s="40"/>
      <c r="CE201" s="40"/>
      <c r="CF201" s="40"/>
      <c r="CG201" s="40"/>
      <c r="CH201" s="40"/>
      <c r="CI201" s="40"/>
      <c r="CJ201" s="40"/>
      <c r="CK201" s="40"/>
      <c r="CL201" s="40"/>
      <c r="CM201" s="40"/>
      <c r="CN201" s="40"/>
      <c r="CO201" s="40"/>
      <c r="CP201" s="40"/>
      <c r="CQ201" s="40"/>
      <c r="CR201" s="40"/>
      <c r="CS201" s="40"/>
      <c r="CT201" s="40"/>
      <c r="CU201" s="40"/>
      <c r="CV201" s="40"/>
      <c r="CW201" s="40"/>
      <c r="CX201" s="40"/>
      <c r="CY201" s="40"/>
      <c r="CZ201" s="40"/>
      <c r="DA201" s="40"/>
      <c r="DB201" s="40"/>
      <c r="DC201" s="40"/>
      <c r="DD201" s="40"/>
      <c r="DE201" s="40"/>
      <c r="DF201" s="40"/>
      <c r="DG201" s="40"/>
      <c r="DH201" s="40"/>
      <c r="DI201" s="40"/>
      <c r="DJ201" s="51"/>
      <c r="DK201" s="51"/>
      <c r="DL201" s="51"/>
      <c r="DM201" s="51"/>
      <c r="DN201" s="51"/>
      <c r="DO201" s="51"/>
      <c r="DP201" s="51"/>
      <c r="DQ201" s="51"/>
      <c r="DR201" s="51"/>
      <c r="DS201" s="51"/>
      <c r="DT201" s="51"/>
      <c r="DU201" s="51"/>
      <c r="DV201" s="51"/>
      <c r="DW201" s="51"/>
      <c r="DX201" s="51"/>
      <c r="DY201" s="51"/>
      <c r="DZ201" s="51"/>
      <c r="EA201" s="51"/>
      <c r="EB201" s="51"/>
      <c r="EC201" s="51"/>
      <c r="ED201" s="51"/>
      <c r="EE201" s="51"/>
      <c r="EF201" s="51"/>
      <c r="EG201" s="51"/>
      <c r="EH201" s="51"/>
      <c r="EI201" s="51"/>
      <c r="EJ201" s="40"/>
      <c r="EK201" s="40"/>
      <c r="EL201" s="40"/>
      <c r="EM201" s="40"/>
      <c r="EN201" s="40"/>
      <c r="EO201" s="40"/>
      <c r="EP201" s="40"/>
      <c r="EQ201" s="40"/>
      <c r="ER201" s="40"/>
      <c r="ES201" s="40"/>
      <c r="ET201" s="40"/>
      <c r="EU201" s="40"/>
      <c r="EV201" s="40"/>
      <c r="EW201" s="40"/>
      <c r="EX201" s="40"/>
      <c r="EY201" s="40"/>
      <c r="EZ201" s="40"/>
      <c r="FA201" s="40"/>
      <c r="FB201" s="40"/>
      <c r="FC201" s="40"/>
      <c r="FD201" s="40"/>
      <c r="FE201" s="40"/>
      <c r="FF201" s="40"/>
      <c r="FG201" s="40"/>
      <c r="FH201" s="40"/>
      <c r="FI201" s="40"/>
      <c r="FJ201" s="40"/>
      <c r="FK201" s="40"/>
      <c r="FL201" s="40"/>
      <c r="FM201" s="40"/>
      <c r="FN201" s="40"/>
      <c r="FO201" s="40"/>
      <c r="FP201" s="40"/>
      <c r="FQ201" s="40"/>
      <c r="FR201" s="40"/>
      <c r="FS201" s="40"/>
    </row>
    <row r="202" spans="1:175" s="13" customFormat="1" ht="16.100000000000001" customHeight="1">
      <c r="A202" s="1976"/>
      <c r="B202" s="204"/>
      <c r="O202" s="111"/>
      <c r="P202" s="393"/>
      <c r="Q202" s="14">
        <v>1</v>
      </c>
      <c r="R202" s="14"/>
      <c r="S202" s="14"/>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40"/>
      <c r="AX202" s="40"/>
      <c r="AY202" s="40"/>
      <c r="AZ202" s="40"/>
      <c r="BA202" s="40"/>
      <c r="BB202" s="40"/>
      <c r="BC202" s="40"/>
      <c r="BD202" s="40"/>
      <c r="BE202" s="40"/>
      <c r="BF202" s="40"/>
      <c r="BG202" s="40"/>
      <c r="BH202" s="40"/>
      <c r="BI202" s="40"/>
      <c r="BJ202" s="40"/>
      <c r="BK202" s="40"/>
      <c r="BL202" s="40"/>
      <c r="BM202" s="40"/>
      <c r="BN202" s="40"/>
      <c r="BO202" s="40"/>
      <c r="BP202" s="40"/>
      <c r="BQ202" s="40"/>
      <c r="BR202" s="40"/>
      <c r="BS202" s="40"/>
      <c r="BT202" s="40"/>
      <c r="BU202" s="40"/>
      <c r="BV202" s="40"/>
      <c r="BW202" s="40"/>
      <c r="BX202" s="40"/>
      <c r="BY202" s="40"/>
      <c r="BZ202" s="40"/>
      <c r="CA202" s="40"/>
      <c r="CB202" s="40"/>
      <c r="CC202" s="40"/>
      <c r="CD202" s="40"/>
      <c r="CE202" s="40"/>
      <c r="CF202" s="40"/>
      <c r="CG202" s="40"/>
      <c r="CH202" s="40"/>
      <c r="CI202" s="40"/>
      <c r="CJ202" s="40"/>
      <c r="CK202" s="40"/>
      <c r="CL202" s="40"/>
      <c r="CM202" s="40"/>
      <c r="CN202" s="40"/>
      <c r="CO202" s="40"/>
      <c r="CP202" s="40"/>
      <c r="CQ202" s="40"/>
      <c r="CR202" s="40"/>
      <c r="CS202" s="40"/>
      <c r="CT202" s="40"/>
      <c r="CU202" s="40"/>
      <c r="CV202" s="40"/>
      <c r="CW202" s="40"/>
      <c r="CX202" s="40"/>
      <c r="CY202" s="40"/>
      <c r="CZ202" s="40"/>
      <c r="DA202" s="40"/>
      <c r="DB202" s="40"/>
      <c r="DC202" s="40"/>
      <c r="DD202" s="40"/>
      <c r="DE202" s="40"/>
      <c r="DF202" s="40"/>
      <c r="DG202" s="40"/>
      <c r="DH202" s="40"/>
      <c r="DI202" s="40"/>
      <c r="DJ202" s="51"/>
      <c r="DK202" s="51"/>
      <c r="DL202" s="51"/>
      <c r="DM202" s="51"/>
      <c r="DN202" s="51"/>
      <c r="DO202" s="51"/>
      <c r="DP202" s="51"/>
      <c r="DQ202" s="51"/>
      <c r="DR202" s="51"/>
      <c r="DS202" s="51"/>
      <c r="DT202" s="51"/>
      <c r="DU202" s="51"/>
      <c r="DV202" s="51"/>
      <c r="DW202" s="51"/>
      <c r="DX202" s="51"/>
      <c r="DY202" s="51"/>
      <c r="DZ202" s="51"/>
      <c r="EA202" s="51"/>
      <c r="EB202" s="51"/>
      <c r="EC202" s="51"/>
      <c r="ED202" s="51"/>
      <c r="EE202" s="51"/>
      <c r="EF202" s="51"/>
      <c r="EG202" s="51"/>
      <c r="EH202" s="51"/>
      <c r="EI202" s="51"/>
      <c r="EJ202" s="40"/>
      <c r="EK202" s="40"/>
      <c r="EL202" s="40"/>
      <c r="EM202" s="40"/>
      <c r="EN202" s="40"/>
      <c r="EO202" s="40"/>
      <c r="EP202" s="40"/>
      <c r="EQ202" s="40"/>
      <c r="ER202" s="40"/>
      <c r="ES202" s="40"/>
      <c r="ET202" s="40"/>
      <c r="EU202" s="40"/>
      <c r="EV202" s="40"/>
      <c r="EW202" s="40"/>
      <c r="EX202" s="40"/>
      <c r="EY202" s="40"/>
      <c r="EZ202" s="40"/>
      <c r="FA202" s="40"/>
      <c r="FB202" s="40"/>
      <c r="FC202" s="40"/>
      <c r="FD202" s="40"/>
      <c r="FE202" s="40"/>
      <c r="FF202" s="40"/>
      <c r="FG202" s="40"/>
      <c r="FH202" s="40"/>
      <c r="FI202" s="40"/>
      <c r="FJ202" s="40"/>
      <c r="FK202" s="40"/>
      <c r="FL202" s="40"/>
      <c r="FM202" s="40"/>
      <c r="FN202" s="40"/>
      <c r="FO202" s="40"/>
      <c r="FP202" s="40"/>
      <c r="FQ202" s="40"/>
      <c r="FR202" s="40"/>
      <c r="FS202" s="40"/>
    </row>
    <row r="203" spans="1:175" s="13" customFormat="1" ht="16.100000000000001" customHeight="1">
      <c r="A203" s="1976"/>
      <c r="B203" s="204"/>
      <c r="O203" s="111"/>
      <c r="P203" s="393"/>
      <c r="Q203" s="14">
        <v>1</v>
      </c>
      <c r="R203" s="14"/>
      <c r="S203" s="14"/>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51"/>
      <c r="DK203" s="51"/>
      <c r="DL203" s="51"/>
      <c r="DM203" s="51"/>
      <c r="DN203" s="51"/>
      <c r="DO203" s="51"/>
      <c r="DP203" s="51"/>
      <c r="DQ203" s="51"/>
      <c r="DR203" s="51"/>
      <c r="DS203" s="51"/>
      <c r="DT203" s="51"/>
      <c r="DU203" s="51"/>
      <c r="DV203" s="51"/>
      <c r="DW203" s="51"/>
      <c r="DX203" s="51"/>
      <c r="DY203" s="51"/>
      <c r="DZ203" s="51"/>
      <c r="EA203" s="51"/>
      <c r="EB203" s="51"/>
      <c r="EC203" s="51"/>
      <c r="ED203" s="51"/>
      <c r="EE203" s="51"/>
      <c r="EF203" s="51"/>
      <c r="EG203" s="51"/>
      <c r="EH203" s="51"/>
      <c r="EI203" s="51"/>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row>
    <row r="204" spans="1:175" s="13" customFormat="1" ht="16.100000000000001" customHeight="1">
      <c r="A204" s="1976"/>
      <c r="B204" s="204"/>
      <c r="O204" s="111"/>
      <c r="P204" s="393"/>
      <c r="Q204" s="14">
        <v>1</v>
      </c>
      <c r="R204" s="14"/>
      <c r="S204" s="14"/>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51"/>
      <c r="DK204" s="51"/>
      <c r="DL204" s="51"/>
      <c r="DM204" s="51"/>
      <c r="DN204" s="51"/>
      <c r="DO204" s="51"/>
      <c r="DP204" s="51"/>
      <c r="DQ204" s="51"/>
      <c r="DR204" s="51"/>
      <c r="DS204" s="51"/>
      <c r="DT204" s="51"/>
      <c r="DU204" s="51"/>
      <c r="DV204" s="51"/>
      <c r="DW204" s="51"/>
      <c r="DX204" s="51"/>
      <c r="DY204" s="51"/>
      <c r="DZ204" s="51"/>
      <c r="EA204" s="51"/>
      <c r="EB204" s="51"/>
      <c r="EC204" s="51"/>
      <c r="ED204" s="51"/>
      <c r="EE204" s="51"/>
      <c r="EF204" s="51"/>
      <c r="EG204" s="51"/>
      <c r="EH204" s="51"/>
      <c r="EI204" s="51"/>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row>
    <row r="205" spans="1:175" s="13" customFormat="1" ht="16.100000000000001" customHeight="1">
      <c r="A205" s="1976"/>
      <c r="B205" s="204"/>
      <c r="O205" s="111"/>
      <c r="P205" s="393"/>
      <c r="Q205" s="14">
        <v>1</v>
      </c>
      <c r="R205" s="14"/>
      <c r="S205" s="14"/>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40"/>
      <c r="AX205" s="40"/>
      <c r="AY205" s="40"/>
      <c r="AZ205" s="40"/>
      <c r="BA205" s="40"/>
      <c r="BB205" s="40"/>
      <c r="BC205" s="40"/>
      <c r="BD205" s="40"/>
      <c r="BE205" s="40"/>
      <c r="BF205" s="40"/>
      <c r="BG205" s="40"/>
      <c r="BH205" s="40"/>
      <c r="BI205" s="40"/>
      <c r="BJ205" s="40"/>
      <c r="BK205" s="40"/>
      <c r="BL205" s="40"/>
      <c r="BM205" s="40"/>
      <c r="BN205" s="40"/>
      <c r="BO205" s="40"/>
      <c r="BP205" s="40"/>
      <c r="BQ205" s="40"/>
      <c r="BR205" s="40"/>
      <c r="BS205" s="40"/>
      <c r="BT205" s="40"/>
      <c r="BU205" s="40"/>
      <c r="BV205" s="40"/>
      <c r="BW205" s="40"/>
      <c r="BX205" s="40"/>
      <c r="BY205" s="40"/>
      <c r="BZ205" s="40"/>
      <c r="CA205" s="40"/>
      <c r="CB205" s="40"/>
      <c r="CC205" s="40"/>
      <c r="CD205" s="40"/>
      <c r="CE205" s="40"/>
      <c r="CF205" s="40"/>
      <c r="CG205" s="40"/>
      <c r="CH205" s="40"/>
      <c r="CI205" s="40"/>
      <c r="CJ205" s="40"/>
      <c r="CK205" s="40"/>
      <c r="CL205" s="40"/>
      <c r="CM205" s="40"/>
      <c r="CN205" s="40"/>
      <c r="CO205" s="40"/>
      <c r="CP205" s="40"/>
      <c r="CQ205" s="40"/>
      <c r="CR205" s="40"/>
      <c r="CS205" s="40"/>
      <c r="CT205" s="40"/>
      <c r="CU205" s="40"/>
      <c r="CV205" s="40"/>
      <c r="CW205" s="40"/>
      <c r="CX205" s="40"/>
      <c r="CY205" s="40"/>
      <c r="CZ205" s="40"/>
      <c r="DA205" s="40"/>
      <c r="DB205" s="40"/>
      <c r="DC205" s="40"/>
      <c r="DD205" s="40"/>
      <c r="DE205" s="40"/>
      <c r="DF205" s="40"/>
      <c r="DG205" s="40"/>
      <c r="DH205" s="40"/>
      <c r="DI205" s="40"/>
      <c r="DJ205" s="51"/>
      <c r="DK205" s="51"/>
      <c r="DL205" s="51"/>
      <c r="DM205" s="51"/>
      <c r="DN205" s="51"/>
      <c r="DO205" s="51"/>
      <c r="DP205" s="51"/>
      <c r="DQ205" s="51"/>
      <c r="DR205" s="51"/>
      <c r="DS205" s="51"/>
      <c r="DT205" s="51"/>
      <c r="DU205" s="51"/>
      <c r="DV205" s="51"/>
      <c r="DW205" s="51"/>
      <c r="DX205" s="51"/>
      <c r="DY205" s="51"/>
      <c r="DZ205" s="51"/>
      <c r="EA205" s="51"/>
      <c r="EB205" s="51"/>
      <c r="EC205" s="51"/>
      <c r="ED205" s="51"/>
      <c r="EE205" s="51"/>
      <c r="EF205" s="51"/>
      <c r="EG205" s="51"/>
      <c r="EH205" s="51"/>
      <c r="EI205" s="51"/>
      <c r="EJ205" s="40"/>
      <c r="EK205" s="40"/>
      <c r="EL205" s="40"/>
      <c r="EM205" s="40"/>
      <c r="EN205" s="40"/>
      <c r="EO205" s="40"/>
      <c r="EP205" s="40"/>
      <c r="EQ205" s="40"/>
      <c r="ER205" s="40"/>
      <c r="ES205" s="40"/>
      <c r="ET205" s="40"/>
      <c r="EU205" s="40"/>
      <c r="EV205" s="40"/>
      <c r="EW205" s="40"/>
      <c r="EX205" s="40"/>
      <c r="EY205" s="40"/>
      <c r="EZ205" s="40"/>
      <c r="FA205" s="40"/>
      <c r="FB205" s="40"/>
      <c r="FC205" s="40"/>
      <c r="FD205" s="40"/>
      <c r="FE205" s="40"/>
      <c r="FF205" s="40"/>
      <c r="FG205" s="40"/>
      <c r="FH205" s="40"/>
      <c r="FI205" s="40"/>
      <c r="FJ205" s="40"/>
      <c r="FK205" s="40"/>
      <c r="FL205" s="40"/>
      <c r="FM205" s="40"/>
      <c r="FN205" s="40"/>
      <c r="FO205" s="40"/>
      <c r="FP205" s="40"/>
      <c r="FQ205" s="40"/>
      <c r="FR205" s="40"/>
      <c r="FS205" s="40"/>
    </row>
    <row r="206" spans="1:175" s="13" customFormat="1" ht="16.100000000000001" customHeight="1">
      <c r="A206" s="1976"/>
      <c r="B206" s="204"/>
      <c r="O206" s="111"/>
      <c r="P206" s="393"/>
      <c r="Q206" s="14">
        <v>1</v>
      </c>
      <c r="R206" s="14"/>
      <c r="S206" s="14"/>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40"/>
      <c r="AX206" s="40"/>
      <c r="AY206" s="40"/>
      <c r="AZ206" s="40"/>
      <c r="BA206" s="40"/>
      <c r="BB206" s="40"/>
      <c r="BC206" s="40"/>
      <c r="BD206" s="40"/>
      <c r="BE206" s="40"/>
      <c r="BF206" s="40"/>
      <c r="BG206" s="40"/>
      <c r="BH206" s="40"/>
      <c r="BI206" s="40"/>
      <c r="BJ206" s="40"/>
      <c r="BK206" s="40"/>
      <c r="BL206" s="40"/>
      <c r="BM206" s="40"/>
      <c r="BN206" s="40"/>
      <c r="BO206" s="40"/>
      <c r="BP206" s="40"/>
      <c r="BQ206" s="40"/>
      <c r="BR206" s="40"/>
      <c r="BS206" s="40"/>
      <c r="BT206" s="40"/>
      <c r="BU206" s="40"/>
      <c r="BV206" s="40"/>
      <c r="BW206" s="40"/>
      <c r="BX206" s="40"/>
      <c r="BY206" s="40"/>
      <c r="BZ206" s="40"/>
      <c r="CA206" s="40"/>
      <c r="CB206" s="40"/>
      <c r="CC206" s="40"/>
      <c r="CD206" s="40"/>
      <c r="CE206" s="40"/>
      <c r="CF206" s="40"/>
      <c r="CG206" s="40"/>
      <c r="CH206" s="40"/>
      <c r="CI206" s="40"/>
      <c r="CJ206" s="40"/>
      <c r="CK206" s="40"/>
      <c r="CL206" s="40"/>
      <c r="CM206" s="40"/>
      <c r="CN206" s="40"/>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51"/>
      <c r="DK206" s="51"/>
      <c r="DL206" s="51"/>
      <c r="DM206" s="51"/>
      <c r="DN206" s="51"/>
      <c r="DO206" s="51"/>
      <c r="DP206" s="51"/>
      <c r="DQ206" s="51"/>
      <c r="DR206" s="51"/>
      <c r="DS206" s="51"/>
      <c r="DT206" s="51"/>
      <c r="DU206" s="51"/>
      <c r="DV206" s="51"/>
      <c r="DW206" s="51"/>
      <c r="DX206" s="51"/>
      <c r="DY206" s="51"/>
      <c r="DZ206" s="51"/>
      <c r="EA206" s="51"/>
      <c r="EB206" s="51"/>
      <c r="EC206" s="51"/>
      <c r="ED206" s="51"/>
      <c r="EE206" s="51"/>
      <c r="EF206" s="51"/>
      <c r="EG206" s="51"/>
      <c r="EH206" s="51"/>
      <c r="EI206" s="51"/>
      <c r="EJ206" s="40"/>
      <c r="EK206" s="40"/>
      <c r="EL206" s="40"/>
      <c r="EM206" s="40"/>
      <c r="EN206" s="40"/>
      <c r="EO206" s="40"/>
      <c r="EP206" s="40"/>
      <c r="EQ206" s="40"/>
      <c r="ER206" s="40"/>
      <c r="ES206" s="40"/>
      <c r="ET206" s="40"/>
      <c r="EU206" s="40"/>
      <c r="EV206" s="40"/>
      <c r="EW206" s="40"/>
      <c r="EX206" s="40"/>
      <c r="EY206" s="40"/>
      <c r="EZ206" s="40"/>
      <c r="FA206" s="40"/>
      <c r="FB206" s="40"/>
      <c r="FC206" s="40"/>
      <c r="FD206" s="40"/>
      <c r="FE206" s="40"/>
      <c r="FF206" s="40"/>
      <c r="FG206" s="40"/>
      <c r="FH206" s="40"/>
      <c r="FI206" s="40"/>
      <c r="FJ206" s="40"/>
      <c r="FK206" s="40"/>
      <c r="FL206" s="40"/>
      <c r="FM206" s="40"/>
      <c r="FN206" s="40"/>
      <c r="FO206" s="40"/>
      <c r="FP206" s="40"/>
      <c r="FQ206" s="40"/>
      <c r="FR206" s="40"/>
      <c r="FS206" s="40"/>
    </row>
    <row r="207" spans="1:175" s="13" customFormat="1" ht="16.100000000000001" customHeight="1">
      <c r="A207" s="1976"/>
      <c r="B207" s="204"/>
      <c r="O207" s="111"/>
      <c r="P207" s="393"/>
      <c r="Q207" s="14">
        <v>1</v>
      </c>
      <c r="R207" s="14"/>
      <c r="S207" s="14"/>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40"/>
      <c r="AX207" s="40"/>
      <c r="AY207" s="40"/>
      <c r="AZ207" s="40"/>
      <c r="BA207" s="40"/>
      <c r="BB207" s="40"/>
      <c r="BC207" s="40"/>
      <c r="BD207" s="40"/>
      <c r="BE207" s="40"/>
      <c r="BF207" s="40"/>
      <c r="BG207" s="40"/>
      <c r="BH207" s="40"/>
      <c r="BI207" s="40"/>
      <c r="BJ207" s="40"/>
      <c r="BK207" s="40"/>
      <c r="BL207" s="40"/>
      <c r="BM207" s="40"/>
      <c r="BN207" s="40"/>
      <c r="BO207" s="40"/>
      <c r="BP207" s="40"/>
      <c r="BQ207" s="40"/>
      <c r="BR207" s="40"/>
      <c r="BS207" s="40"/>
      <c r="BT207" s="40"/>
      <c r="BU207" s="40"/>
      <c r="BV207" s="40"/>
      <c r="BW207" s="40"/>
      <c r="BX207" s="40"/>
      <c r="BY207" s="40"/>
      <c r="BZ207" s="40"/>
      <c r="CA207" s="40"/>
      <c r="CB207" s="40"/>
      <c r="CC207" s="40"/>
      <c r="CD207" s="40"/>
      <c r="CE207" s="40"/>
      <c r="CF207" s="40"/>
      <c r="CG207" s="40"/>
      <c r="CH207" s="40"/>
      <c r="CI207" s="40"/>
      <c r="CJ207" s="40"/>
      <c r="CK207" s="40"/>
      <c r="CL207" s="40"/>
      <c r="CM207" s="40"/>
      <c r="CN207" s="40"/>
      <c r="CO207" s="40"/>
      <c r="CP207" s="40"/>
      <c r="CQ207" s="40"/>
      <c r="CR207" s="40"/>
      <c r="CS207" s="40"/>
      <c r="CT207" s="40"/>
      <c r="CU207" s="40"/>
      <c r="CV207" s="40"/>
      <c r="CW207" s="40"/>
      <c r="CX207" s="40"/>
      <c r="CY207" s="40"/>
      <c r="CZ207" s="40"/>
      <c r="DA207" s="40"/>
      <c r="DB207" s="40"/>
      <c r="DC207" s="40"/>
      <c r="DD207" s="40"/>
      <c r="DE207" s="40"/>
      <c r="DF207" s="40"/>
      <c r="DG207" s="40"/>
      <c r="DH207" s="40"/>
      <c r="DI207" s="40"/>
      <c r="DJ207" s="51"/>
      <c r="DK207" s="51"/>
      <c r="DL207" s="51"/>
      <c r="DM207" s="51"/>
      <c r="DN207" s="51"/>
      <c r="DO207" s="51"/>
      <c r="DP207" s="51"/>
      <c r="DQ207" s="51"/>
      <c r="DR207" s="51"/>
      <c r="DS207" s="51"/>
      <c r="DT207" s="51"/>
      <c r="DU207" s="51"/>
      <c r="DV207" s="51"/>
      <c r="DW207" s="51"/>
      <c r="DX207" s="51"/>
      <c r="DY207" s="51"/>
      <c r="DZ207" s="51"/>
      <c r="EA207" s="51"/>
      <c r="EB207" s="51"/>
      <c r="EC207" s="51"/>
      <c r="ED207" s="51"/>
      <c r="EE207" s="51"/>
      <c r="EF207" s="51"/>
      <c r="EG207" s="51"/>
      <c r="EH207" s="51"/>
      <c r="EI207" s="51"/>
      <c r="EJ207" s="40"/>
      <c r="EK207" s="40"/>
      <c r="EL207" s="40"/>
      <c r="EM207" s="40"/>
      <c r="EN207" s="40"/>
      <c r="EO207" s="40"/>
      <c r="EP207" s="40"/>
      <c r="EQ207" s="40"/>
      <c r="ER207" s="40"/>
      <c r="ES207" s="40"/>
      <c r="ET207" s="40"/>
      <c r="EU207" s="40"/>
      <c r="EV207" s="40"/>
      <c r="EW207" s="40"/>
      <c r="EX207" s="40"/>
      <c r="EY207" s="40"/>
      <c r="EZ207" s="40"/>
      <c r="FA207" s="40"/>
      <c r="FB207" s="40"/>
      <c r="FC207" s="40"/>
      <c r="FD207" s="40"/>
      <c r="FE207" s="40"/>
      <c r="FF207" s="40"/>
      <c r="FG207" s="40"/>
      <c r="FH207" s="40"/>
      <c r="FI207" s="40"/>
      <c r="FJ207" s="40"/>
      <c r="FK207" s="40"/>
      <c r="FL207" s="40"/>
      <c r="FM207" s="40"/>
      <c r="FN207" s="40"/>
      <c r="FO207" s="40"/>
      <c r="FP207" s="40"/>
      <c r="FQ207" s="40"/>
      <c r="FR207" s="40"/>
      <c r="FS207" s="40"/>
    </row>
    <row r="208" spans="1:175" s="13" customFormat="1" ht="16.100000000000001" customHeight="1">
      <c r="A208" s="1976"/>
      <c r="B208" s="204"/>
      <c r="O208" s="111"/>
      <c r="P208" s="393"/>
      <c r="Q208" s="14">
        <v>1</v>
      </c>
      <c r="R208" s="14"/>
      <c r="S208" s="14"/>
      <c r="T208" s="7"/>
      <c r="U208" s="7"/>
      <c r="V208" s="7"/>
      <c r="W208" s="7"/>
      <c r="X208" s="7"/>
      <c r="Y208" s="7"/>
      <c r="Z208" s="7"/>
      <c r="AA208" s="7"/>
      <c r="AB208" s="7"/>
      <c r="AC208" s="7"/>
      <c r="AD208" s="7"/>
      <c r="AE208" s="7"/>
      <c r="AF208" s="7"/>
      <c r="AG208" s="7"/>
      <c r="AH208" s="7"/>
      <c r="AI208" s="7"/>
      <c r="AJ208" s="7"/>
      <c r="AK208" s="7"/>
      <c r="AL208" s="7"/>
      <c r="AM208" s="7"/>
      <c r="AN208" s="7"/>
      <c r="AO208" s="7"/>
      <c r="AP208" s="7"/>
      <c r="AQ208" s="7"/>
      <c r="AR208" s="7"/>
      <c r="AS208" s="7"/>
      <c r="AT208" s="7"/>
      <c r="AU208" s="7"/>
      <c r="AV208" s="7"/>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51"/>
      <c r="DK208" s="51"/>
      <c r="DL208" s="51"/>
      <c r="DM208" s="51"/>
      <c r="DN208" s="51"/>
      <c r="DO208" s="51"/>
      <c r="DP208" s="51"/>
      <c r="DQ208" s="51"/>
      <c r="DR208" s="51"/>
      <c r="DS208" s="51"/>
      <c r="DT208" s="51"/>
      <c r="DU208" s="51"/>
      <c r="DV208" s="51"/>
      <c r="DW208" s="51"/>
      <c r="DX208" s="51"/>
      <c r="DY208" s="51"/>
      <c r="DZ208" s="51"/>
      <c r="EA208" s="51"/>
      <c r="EB208" s="51"/>
      <c r="EC208" s="51"/>
      <c r="ED208" s="51"/>
      <c r="EE208" s="51"/>
      <c r="EF208" s="51"/>
      <c r="EG208" s="51"/>
      <c r="EH208" s="51"/>
      <c r="EI208" s="51"/>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row>
    <row r="209" spans="1:175" s="13" customFormat="1" ht="16.100000000000001" customHeight="1">
      <c r="A209" s="1976"/>
      <c r="B209" s="204"/>
      <c r="O209" s="111"/>
      <c r="P209" s="393"/>
      <c r="Q209" s="14">
        <v>1</v>
      </c>
      <c r="R209" s="14"/>
      <c r="S209" s="14"/>
      <c r="T209" s="7"/>
      <c r="U209" s="7"/>
      <c r="V209" s="7"/>
      <c r="W209" s="7"/>
      <c r="X209" s="7"/>
      <c r="Y209" s="7"/>
      <c r="Z209" s="7"/>
      <c r="AA209" s="7"/>
      <c r="AB209" s="7"/>
      <c r="AC209" s="7"/>
      <c r="AD209" s="7"/>
      <c r="AE209" s="7"/>
      <c r="AF209" s="7"/>
      <c r="AG209" s="7"/>
      <c r="AH209" s="7"/>
      <c r="AI209" s="7"/>
      <c r="AJ209" s="7"/>
      <c r="AK209" s="7"/>
      <c r="AL209" s="7"/>
      <c r="AM209" s="7"/>
      <c r="AN209" s="7"/>
      <c r="AO209" s="7"/>
      <c r="AP209" s="7"/>
      <c r="AQ209" s="7"/>
      <c r="AR209" s="7"/>
      <c r="AS209" s="7"/>
      <c r="AT209" s="7"/>
      <c r="AU209" s="7"/>
      <c r="AV209" s="7"/>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51"/>
      <c r="DK209" s="51"/>
      <c r="DL209" s="51"/>
      <c r="DM209" s="51"/>
      <c r="DN209" s="51"/>
      <c r="DO209" s="51"/>
      <c r="DP209" s="51"/>
      <c r="DQ209" s="51"/>
      <c r="DR209" s="51"/>
      <c r="DS209" s="51"/>
      <c r="DT209" s="51"/>
      <c r="DU209" s="51"/>
      <c r="DV209" s="51"/>
      <c r="DW209" s="51"/>
      <c r="DX209" s="51"/>
      <c r="DY209" s="51"/>
      <c r="DZ209" s="51"/>
      <c r="EA209" s="51"/>
      <c r="EB209" s="51"/>
      <c r="EC209" s="51"/>
      <c r="ED209" s="51"/>
      <c r="EE209" s="51"/>
      <c r="EF209" s="51"/>
      <c r="EG209" s="51"/>
      <c r="EH209" s="51"/>
      <c r="EI209" s="51"/>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row>
    <row r="210" spans="1:175" s="13" customFormat="1" ht="16.100000000000001" customHeight="1">
      <c r="A210" s="1976"/>
      <c r="B210" s="204"/>
      <c r="O210" s="111"/>
      <c r="P210" s="393"/>
      <c r="Q210" s="14">
        <v>1</v>
      </c>
      <c r="R210" s="14"/>
      <c r="S210" s="14"/>
      <c r="T210" s="7"/>
      <c r="U210" s="7"/>
      <c r="V210" s="63"/>
      <c r="W210" s="63"/>
      <c r="X210" s="64"/>
      <c r="Y210" s="63"/>
      <c r="Z210" s="63"/>
      <c r="AA210" s="63"/>
      <c r="AB210" s="63"/>
      <c r="AC210" s="63"/>
      <c r="AD210" s="63"/>
      <c r="AE210" s="63"/>
      <c r="AF210" s="7"/>
      <c r="AG210" s="7"/>
      <c r="AH210" s="7"/>
      <c r="AI210" s="7"/>
      <c r="AJ210" s="7"/>
      <c r="AK210" s="7"/>
      <c r="AL210" s="7"/>
      <c r="AM210" s="7"/>
      <c r="AN210" s="7"/>
      <c r="AO210" s="7"/>
      <c r="AP210" s="7"/>
      <c r="AQ210" s="7"/>
      <c r="AR210" s="7"/>
      <c r="AS210" s="7"/>
      <c r="AT210" s="7"/>
      <c r="AU210" s="7"/>
      <c r="AV210" s="7"/>
      <c r="AW210" s="40"/>
      <c r="AX210" s="40"/>
      <c r="AY210" s="40"/>
      <c r="AZ210" s="40"/>
      <c r="BA210" s="40"/>
      <c r="BB210" s="40"/>
      <c r="BC210" s="40"/>
      <c r="BD210" s="40"/>
      <c r="BE210" s="40"/>
      <c r="BF210" s="40"/>
      <c r="BG210" s="40"/>
      <c r="BH210" s="40"/>
      <c r="BI210" s="40"/>
      <c r="BJ210" s="40"/>
      <c r="BK210" s="40"/>
      <c r="BL210" s="40"/>
      <c r="BM210" s="40"/>
      <c r="BN210" s="40"/>
      <c r="BO210" s="40"/>
      <c r="BP210" s="40"/>
      <c r="BQ210" s="40"/>
      <c r="BR210" s="40"/>
      <c r="BS210" s="40"/>
      <c r="BT210" s="40"/>
      <c r="BU210" s="40"/>
      <c r="BV210" s="40"/>
      <c r="BW210" s="40"/>
      <c r="BX210" s="40"/>
      <c r="BY210" s="40"/>
      <c r="BZ210" s="40"/>
      <c r="CA210" s="40"/>
      <c r="CB210" s="40"/>
      <c r="CC210" s="40"/>
      <c r="CD210" s="40"/>
      <c r="CE210" s="40"/>
      <c r="CF210" s="40"/>
      <c r="CG210" s="40"/>
      <c r="CH210" s="40"/>
      <c r="CI210" s="40"/>
      <c r="CJ210" s="40"/>
      <c r="CK210" s="40"/>
      <c r="CL210" s="40"/>
      <c r="CM210" s="40"/>
      <c r="CN210" s="40"/>
      <c r="CO210" s="40"/>
      <c r="CP210" s="40"/>
      <c r="CQ210" s="40"/>
      <c r="CR210" s="40"/>
      <c r="CS210" s="40"/>
      <c r="CT210" s="40"/>
      <c r="CU210" s="40"/>
      <c r="CV210" s="40"/>
      <c r="CW210" s="40"/>
      <c r="CX210" s="40"/>
      <c r="CY210" s="40"/>
      <c r="CZ210" s="40"/>
      <c r="DA210" s="40"/>
      <c r="DB210" s="40"/>
      <c r="DC210" s="40"/>
      <c r="DD210" s="40"/>
      <c r="DE210" s="40"/>
      <c r="DF210" s="40"/>
      <c r="DG210" s="40"/>
      <c r="DH210" s="40"/>
      <c r="DI210" s="40"/>
      <c r="DJ210" s="51"/>
      <c r="DK210" s="51"/>
      <c r="DL210" s="51"/>
      <c r="DM210" s="51"/>
      <c r="DN210" s="51"/>
      <c r="DO210" s="51"/>
      <c r="DP210" s="51"/>
      <c r="DQ210" s="51"/>
      <c r="DR210" s="51"/>
      <c r="DS210" s="51"/>
      <c r="DT210" s="51"/>
      <c r="DU210" s="51"/>
      <c r="DV210" s="51"/>
      <c r="DW210" s="51"/>
      <c r="DX210" s="51"/>
      <c r="DY210" s="51"/>
      <c r="DZ210" s="51"/>
      <c r="EA210" s="51"/>
      <c r="EB210" s="51"/>
      <c r="EC210" s="51"/>
      <c r="ED210" s="51"/>
      <c r="EE210" s="51"/>
      <c r="EF210" s="51"/>
      <c r="EG210" s="51"/>
      <c r="EH210" s="51"/>
      <c r="EI210" s="51"/>
      <c r="EJ210" s="40"/>
      <c r="EK210" s="40"/>
      <c r="EL210" s="40"/>
      <c r="EM210" s="40"/>
      <c r="EN210" s="40"/>
      <c r="EO210" s="40"/>
      <c r="EP210" s="40"/>
      <c r="EQ210" s="40"/>
      <c r="ER210" s="40"/>
      <c r="ES210" s="40"/>
      <c r="ET210" s="40"/>
      <c r="EU210" s="40"/>
      <c r="EV210" s="40"/>
      <c r="EW210" s="40"/>
      <c r="EX210" s="40"/>
      <c r="EY210" s="40"/>
      <c r="EZ210" s="40"/>
      <c r="FA210" s="40"/>
      <c r="FB210" s="40"/>
      <c r="FC210" s="40"/>
      <c r="FD210" s="40"/>
      <c r="FE210" s="40"/>
      <c r="FF210" s="40"/>
      <c r="FG210" s="40"/>
      <c r="FH210" s="40"/>
      <c r="FI210" s="40"/>
      <c r="FJ210" s="40"/>
      <c r="FK210" s="40"/>
      <c r="FL210" s="40"/>
      <c r="FM210" s="40"/>
      <c r="FN210" s="40"/>
      <c r="FO210" s="40"/>
      <c r="FP210" s="40"/>
      <c r="FQ210" s="40"/>
      <c r="FR210" s="40"/>
      <c r="FS210" s="40"/>
    </row>
    <row r="211" spans="1:175" s="13" customFormat="1" ht="16.100000000000001" customHeight="1">
      <c r="A211" s="1976"/>
      <c r="B211" s="204"/>
      <c r="O211" s="111"/>
      <c r="P211" s="393"/>
      <c r="Q211" s="14">
        <v>1</v>
      </c>
      <c r="R211" s="14"/>
      <c r="S211" s="14"/>
      <c r="T211" s="7"/>
      <c r="U211" s="7"/>
      <c r="V211" s="63"/>
      <c r="W211" s="63"/>
      <c r="X211" s="64"/>
      <c r="Y211" s="63"/>
      <c r="Z211" s="63"/>
      <c r="AA211" s="63"/>
      <c r="AB211" s="63"/>
      <c r="AC211" s="63"/>
      <c r="AD211" s="63"/>
      <c r="AE211" s="63"/>
      <c r="AF211" s="7"/>
      <c r="AG211" s="7"/>
      <c r="AH211" s="7"/>
      <c r="AI211" s="7"/>
      <c r="AJ211" s="7"/>
      <c r="AK211" s="7"/>
      <c r="AL211" s="7"/>
      <c r="AM211" s="7"/>
      <c r="AN211" s="7"/>
      <c r="AO211" s="7"/>
      <c r="AP211" s="7"/>
      <c r="AQ211" s="7"/>
      <c r="AR211" s="7"/>
      <c r="AS211" s="7"/>
      <c r="AT211" s="7"/>
      <c r="AU211" s="7"/>
      <c r="AV211" s="7"/>
      <c r="AW211" s="40"/>
      <c r="AX211" s="40"/>
      <c r="AY211" s="40"/>
      <c r="AZ211" s="40"/>
      <c r="BA211" s="40"/>
      <c r="BB211" s="40"/>
      <c r="BC211" s="40"/>
      <c r="BD211" s="40"/>
      <c r="BE211" s="40"/>
      <c r="BF211" s="40"/>
      <c r="BG211" s="40"/>
      <c r="BH211" s="40"/>
      <c r="BI211" s="40"/>
      <c r="BJ211" s="40"/>
      <c r="BK211" s="40"/>
      <c r="BL211" s="40"/>
      <c r="BM211" s="40"/>
      <c r="BN211" s="40"/>
      <c r="BO211" s="40"/>
      <c r="BP211" s="40"/>
      <c r="BQ211" s="40"/>
      <c r="BR211" s="40"/>
      <c r="BS211" s="40"/>
      <c r="BT211" s="40"/>
      <c r="BU211" s="40"/>
      <c r="BV211" s="40"/>
      <c r="BW211" s="40"/>
      <c r="BX211" s="40"/>
      <c r="BY211" s="40"/>
      <c r="BZ211" s="40"/>
      <c r="CA211" s="40"/>
      <c r="CB211" s="40"/>
      <c r="CC211" s="40"/>
      <c r="CD211" s="40"/>
      <c r="CE211" s="40"/>
      <c r="CF211" s="40"/>
      <c r="CG211" s="40"/>
      <c r="CH211" s="40"/>
      <c r="CI211" s="40"/>
      <c r="CJ211" s="40"/>
      <c r="CK211" s="40"/>
      <c r="CL211" s="40"/>
      <c r="CM211" s="40"/>
      <c r="CN211" s="40"/>
      <c r="CO211" s="40"/>
      <c r="CP211" s="40"/>
      <c r="CQ211" s="40"/>
      <c r="CR211" s="40"/>
      <c r="CS211" s="40"/>
      <c r="CT211" s="40"/>
      <c r="CU211" s="40"/>
      <c r="CV211" s="40"/>
      <c r="CW211" s="40"/>
      <c r="CX211" s="40"/>
      <c r="CY211" s="40"/>
      <c r="CZ211" s="40"/>
      <c r="DA211" s="40"/>
      <c r="DB211" s="40"/>
      <c r="DC211" s="40"/>
      <c r="DD211" s="40"/>
      <c r="DE211" s="40"/>
      <c r="DF211" s="40"/>
      <c r="DG211" s="40"/>
      <c r="DH211" s="40"/>
      <c r="DI211" s="40"/>
      <c r="DJ211" s="51"/>
      <c r="DK211" s="51"/>
      <c r="DL211" s="51"/>
      <c r="DM211" s="51"/>
      <c r="DN211" s="51"/>
      <c r="DO211" s="51"/>
      <c r="DP211" s="51"/>
      <c r="DQ211" s="51"/>
      <c r="DR211" s="51"/>
      <c r="DS211" s="51"/>
      <c r="DT211" s="51"/>
      <c r="DU211" s="51"/>
      <c r="DV211" s="51"/>
      <c r="DW211" s="51"/>
      <c r="DX211" s="51"/>
      <c r="DY211" s="51"/>
      <c r="DZ211" s="51"/>
      <c r="EA211" s="51"/>
      <c r="EB211" s="51"/>
      <c r="EC211" s="51"/>
      <c r="ED211" s="51"/>
      <c r="EE211" s="51"/>
      <c r="EF211" s="51"/>
      <c r="EG211" s="51"/>
      <c r="EH211" s="51"/>
      <c r="EI211" s="51"/>
      <c r="EJ211" s="40"/>
      <c r="EK211" s="40"/>
      <c r="EL211" s="40"/>
      <c r="EM211" s="40"/>
      <c r="EN211" s="40"/>
      <c r="EO211" s="40"/>
      <c r="EP211" s="40"/>
      <c r="EQ211" s="40"/>
      <c r="ER211" s="40"/>
      <c r="ES211" s="40"/>
      <c r="ET211" s="40"/>
      <c r="EU211" s="40"/>
      <c r="EV211" s="40"/>
      <c r="EW211" s="40"/>
      <c r="EX211" s="40"/>
      <c r="EY211" s="40"/>
      <c r="EZ211" s="40"/>
      <c r="FA211" s="40"/>
      <c r="FB211" s="40"/>
      <c r="FC211" s="40"/>
      <c r="FD211" s="40"/>
      <c r="FE211" s="40"/>
      <c r="FF211" s="40"/>
      <c r="FG211" s="40"/>
      <c r="FH211" s="40"/>
      <c r="FI211" s="40"/>
      <c r="FJ211" s="40"/>
      <c r="FK211" s="40"/>
      <c r="FL211" s="40"/>
      <c r="FM211" s="40"/>
      <c r="FN211" s="40"/>
      <c r="FO211" s="40"/>
      <c r="FP211" s="40"/>
      <c r="FQ211" s="40"/>
      <c r="FR211" s="40"/>
      <c r="FS211" s="40"/>
    </row>
    <row r="212" spans="1:175" s="13" customFormat="1" ht="16.100000000000001" customHeight="1">
      <c r="A212" s="1976"/>
      <c r="B212" s="204"/>
      <c r="C212" s="1792" t="s">
        <v>2212</v>
      </c>
      <c r="D212" s="1791"/>
      <c r="E212" s="1790"/>
      <c r="F212" s="1790"/>
      <c r="H212" s="95" t="str">
        <f>Begriffe!F98</f>
        <v>Relative Raumluftfeuchte am Nutzungstag (März)</v>
      </c>
      <c r="O212" s="111"/>
      <c r="P212" s="393"/>
      <c r="Q212" s="14">
        <v>1</v>
      </c>
      <c r="R212" s="14"/>
      <c r="S212" s="14"/>
      <c r="T212" s="7"/>
      <c r="U212" s="7"/>
      <c r="V212" s="63"/>
      <c r="W212" s="63"/>
      <c r="X212" s="64"/>
      <c r="Y212" s="63"/>
      <c r="Z212" s="63"/>
      <c r="AA212" s="63"/>
      <c r="AB212" s="63"/>
      <c r="AC212" s="63"/>
      <c r="AD212" s="63"/>
      <c r="AE212" s="63"/>
      <c r="AF212" s="7"/>
      <c r="AG212" s="7"/>
      <c r="AH212" s="7"/>
      <c r="AI212" s="7"/>
      <c r="AJ212" s="7"/>
      <c r="AK212" s="7"/>
      <c r="AL212" s="7"/>
      <c r="AM212" s="7"/>
      <c r="AN212" s="7"/>
      <c r="AO212" s="7"/>
      <c r="AP212" s="7"/>
      <c r="AQ212" s="7"/>
      <c r="AR212" s="7"/>
      <c r="AS212" s="7"/>
      <c r="AT212" s="7"/>
      <c r="AU212" s="7"/>
      <c r="AV212" s="7"/>
      <c r="AW212" s="40"/>
      <c r="AX212" s="40"/>
      <c r="AY212" s="40"/>
      <c r="AZ212" s="40"/>
      <c r="BA212" s="40"/>
      <c r="BB212" s="40"/>
      <c r="BC212" s="40"/>
      <c r="BD212" s="40"/>
      <c r="BE212" s="40"/>
      <c r="BF212" s="40"/>
      <c r="BG212" s="40"/>
      <c r="BH212" s="40"/>
      <c r="BI212" s="40"/>
      <c r="BJ212" s="40"/>
      <c r="BK212" s="40"/>
      <c r="BL212" s="40"/>
      <c r="BM212" s="40"/>
      <c r="BN212" s="40"/>
      <c r="BO212" s="40"/>
      <c r="BP212" s="40"/>
      <c r="BQ212" s="40"/>
      <c r="BR212" s="40"/>
      <c r="BS212" s="40"/>
      <c r="BT212" s="40"/>
      <c r="BU212" s="40"/>
      <c r="BV212" s="40"/>
      <c r="BW212" s="40"/>
      <c r="BX212" s="40"/>
      <c r="BY212" s="40"/>
      <c r="BZ212" s="40"/>
      <c r="CA212" s="40"/>
      <c r="CB212" s="40"/>
      <c r="CC212" s="40"/>
      <c r="CD212" s="40"/>
      <c r="CE212" s="40"/>
      <c r="CF212" s="40"/>
      <c r="CG212" s="40"/>
      <c r="CH212" s="40"/>
      <c r="CI212" s="40"/>
      <c r="CJ212" s="40"/>
      <c r="CK212" s="40"/>
      <c r="CL212" s="40"/>
      <c r="CM212" s="40"/>
      <c r="CN212" s="40"/>
      <c r="CO212" s="40"/>
      <c r="CP212" s="40"/>
      <c r="CQ212" s="40"/>
      <c r="CR212" s="40"/>
      <c r="CS212" s="40"/>
      <c r="CT212" s="40"/>
      <c r="CU212" s="40"/>
      <c r="CV212" s="40"/>
      <c r="CW212" s="40"/>
      <c r="CX212" s="40"/>
      <c r="CY212" s="40"/>
      <c r="CZ212" s="40"/>
      <c r="DA212" s="40"/>
      <c r="DB212" s="40"/>
      <c r="DC212" s="40"/>
      <c r="DD212" s="40"/>
      <c r="DE212" s="40"/>
      <c r="DF212" s="40"/>
      <c r="DG212" s="40"/>
      <c r="DH212" s="40"/>
      <c r="DI212" s="40"/>
      <c r="DJ212" s="51"/>
      <c r="DK212" s="51"/>
      <c r="DL212" s="51"/>
      <c r="DM212" s="51"/>
      <c r="DN212" s="51"/>
      <c r="DO212" s="51"/>
      <c r="DP212" s="51"/>
      <c r="DQ212" s="51"/>
      <c r="DR212" s="51"/>
      <c r="DS212" s="51"/>
      <c r="DT212" s="51"/>
      <c r="DU212" s="51"/>
      <c r="DV212" s="51"/>
      <c r="DW212" s="51"/>
      <c r="DX212" s="51"/>
      <c r="DY212" s="51"/>
      <c r="DZ212" s="51"/>
      <c r="EA212" s="51"/>
      <c r="EB212" s="51"/>
      <c r="EC212" s="51"/>
      <c r="ED212" s="51"/>
      <c r="EE212" s="51"/>
      <c r="EF212" s="51"/>
      <c r="EG212" s="51"/>
      <c r="EH212" s="51"/>
      <c r="EI212" s="51"/>
      <c r="EJ212" s="40"/>
      <c r="EK212" s="40"/>
      <c r="EL212" s="40"/>
      <c r="EM212" s="40"/>
      <c r="EN212" s="40"/>
      <c r="EO212" s="40"/>
      <c r="EP212" s="40"/>
      <c r="EQ212" s="40"/>
      <c r="ER212" s="40"/>
      <c r="ES212" s="40"/>
      <c r="ET212" s="40"/>
      <c r="EU212" s="40"/>
      <c r="EV212" s="40"/>
      <c r="EW212" s="40"/>
      <c r="EX212" s="40"/>
      <c r="EY212" s="40"/>
      <c r="EZ212" s="40"/>
      <c r="FA212" s="40"/>
      <c r="FB212" s="40"/>
      <c r="FC212" s="40"/>
      <c r="FD212" s="40"/>
      <c r="FE212" s="40"/>
      <c r="FF212" s="40"/>
      <c r="FG212" s="40"/>
      <c r="FH212" s="40"/>
      <c r="FI212" s="40"/>
      <c r="FJ212" s="40"/>
      <c r="FK212" s="40"/>
      <c r="FL212" s="40"/>
      <c r="FM212" s="40"/>
      <c r="FN212" s="40"/>
      <c r="FO212" s="40"/>
      <c r="FP212" s="40"/>
      <c r="FQ212" s="40"/>
      <c r="FR212" s="40"/>
      <c r="FS212" s="40"/>
    </row>
    <row r="213" spans="1:175" s="13" customFormat="1" ht="16.100000000000001" customHeight="1">
      <c r="A213" s="1976"/>
      <c r="B213" s="204"/>
      <c r="O213" s="111"/>
      <c r="P213" s="393"/>
      <c r="Q213" s="14">
        <v>1</v>
      </c>
      <c r="R213" s="14"/>
      <c r="S213" s="14"/>
      <c r="T213" s="7"/>
      <c r="U213" s="7"/>
      <c r="V213" s="63"/>
      <c r="W213" s="63"/>
      <c r="X213" s="64"/>
      <c r="Y213" s="63"/>
      <c r="Z213" s="63"/>
      <c r="AA213" s="63"/>
      <c r="AB213" s="63"/>
      <c r="AC213" s="63"/>
      <c r="AD213" s="63"/>
      <c r="AE213" s="63"/>
      <c r="AF213" s="7"/>
      <c r="AG213" s="7"/>
      <c r="AH213" s="7"/>
      <c r="AI213" s="7"/>
      <c r="AJ213" s="7"/>
      <c r="AK213" s="7"/>
      <c r="AL213" s="7"/>
      <c r="AM213" s="7"/>
      <c r="AN213" s="7"/>
      <c r="AO213" s="7"/>
      <c r="AP213" s="7"/>
      <c r="AQ213" s="7"/>
      <c r="AR213" s="7"/>
      <c r="AS213" s="7"/>
      <c r="AT213" s="7"/>
      <c r="AU213" s="7"/>
      <c r="AV213" s="7"/>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51"/>
      <c r="DK213" s="51"/>
      <c r="DL213" s="51"/>
      <c r="DM213" s="51"/>
      <c r="DN213" s="51"/>
      <c r="DO213" s="51"/>
      <c r="DP213" s="51"/>
      <c r="DQ213" s="51"/>
      <c r="DR213" s="51"/>
      <c r="DS213" s="51"/>
      <c r="DT213" s="51"/>
      <c r="DU213" s="51"/>
      <c r="DV213" s="51"/>
      <c r="DW213" s="51"/>
      <c r="DX213" s="51"/>
      <c r="DY213" s="51"/>
      <c r="DZ213" s="51"/>
      <c r="EA213" s="51"/>
      <c r="EB213" s="51"/>
      <c r="EC213" s="51"/>
      <c r="ED213" s="51"/>
      <c r="EE213" s="51"/>
      <c r="EF213" s="51"/>
      <c r="EG213" s="51"/>
      <c r="EH213" s="51"/>
      <c r="EI213" s="51"/>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row>
    <row r="214" spans="1:175" s="13" customFormat="1" ht="16.100000000000001" customHeight="1">
      <c r="A214" s="1976"/>
      <c r="B214" s="204"/>
      <c r="O214" s="111"/>
      <c r="P214" s="393"/>
      <c r="Q214" s="14">
        <v>1</v>
      </c>
      <c r="R214" s="14"/>
      <c r="S214" s="14"/>
      <c r="T214" s="7"/>
      <c r="U214" s="7"/>
      <c r="V214" s="63"/>
      <c r="W214" s="63"/>
      <c r="X214" s="64"/>
      <c r="Y214" s="63"/>
      <c r="Z214" s="63"/>
      <c r="AA214" s="63"/>
      <c r="AB214" s="63"/>
      <c r="AC214" s="63"/>
      <c r="AD214" s="63"/>
      <c r="AE214" s="63"/>
      <c r="AF214" s="7"/>
      <c r="AG214" s="7"/>
      <c r="AH214" s="7"/>
      <c r="AI214" s="7"/>
      <c r="AJ214" s="7"/>
      <c r="AK214" s="7"/>
      <c r="AL214" s="7"/>
      <c r="AM214" s="7"/>
      <c r="AN214" s="7"/>
      <c r="AO214" s="7"/>
      <c r="AP214" s="7"/>
      <c r="AQ214" s="7"/>
      <c r="AR214" s="7"/>
      <c r="AS214" s="7"/>
      <c r="AT214" s="7"/>
      <c r="AU214" s="7"/>
      <c r="AV214" s="7"/>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51"/>
      <c r="DK214" s="51"/>
      <c r="DL214" s="51"/>
      <c r="DM214" s="51"/>
      <c r="DN214" s="51"/>
      <c r="DO214" s="51"/>
      <c r="DP214" s="51"/>
      <c r="DQ214" s="51"/>
      <c r="DR214" s="51"/>
      <c r="DS214" s="51"/>
      <c r="DT214" s="51"/>
      <c r="DU214" s="51"/>
      <c r="DV214" s="51"/>
      <c r="DW214" s="51"/>
      <c r="DX214" s="51"/>
      <c r="DY214" s="51"/>
      <c r="DZ214" s="51"/>
      <c r="EA214" s="51"/>
      <c r="EB214" s="51"/>
      <c r="EC214" s="51"/>
      <c r="ED214" s="51"/>
      <c r="EE214" s="51"/>
      <c r="EF214" s="51"/>
      <c r="EG214" s="51"/>
      <c r="EH214" s="51"/>
      <c r="EI214" s="51"/>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row>
    <row r="215" spans="1:175" s="13" customFormat="1" ht="16.100000000000001" customHeight="1">
      <c r="A215" s="1976"/>
      <c r="B215" s="204"/>
      <c r="O215" s="111"/>
      <c r="P215" s="393"/>
      <c r="Q215" s="14">
        <v>1</v>
      </c>
      <c r="R215" s="14"/>
      <c r="S215" s="14"/>
      <c r="T215" s="7"/>
      <c r="U215" s="7"/>
      <c r="V215" s="63"/>
      <c r="W215" s="63"/>
      <c r="X215" s="64"/>
      <c r="Y215" s="63"/>
      <c r="Z215" s="63"/>
      <c r="AA215" s="63"/>
      <c r="AB215" s="63"/>
      <c r="AC215" s="63"/>
      <c r="AD215" s="63"/>
      <c r="AE215" s="63"/>
      <c r="AF215" s="7"/>
      <c r="AG215" s="7"/>
      <c r="AH215" s="7"/>
      <c r="AI215" s="7"/>
      <c r="AJ215" s="7"/>
      <c r="AK215" s="7"/>
      <c r="AL215" s="7"/>
      <c r="AM215" s="7"/>
      <c r="AN215" s="7"/>
      <c r="AO215" s="7"/>
      <c r="AP215" s="7"/>
      <c r="AQ215" s="7"/>
      <c r="AR215" s="7"/>
      <c r="AS215" s="7"/>
      <c r="AT215" s="7"/>
      <c r="AU215" s="7"/>
      <c r="AV215" s="7"/>
      <c r="AW215" s="40"/>
      <c r="AX215" s="40"/>
      <c r="AY215" s="40"/>
      <c r="AZ215" s="40"/>
      <c r="BA215" s="40"/>
      <c r="BB215" s="40"/>
      <c r="BC215" s="40"/>
      <c r="BD215" s="40"/>
      <c r="BE215" s="40"/>
      <c r="BF215" s="40"/>
      <c r="BG215" s="40"/>
      <c r="BH215" s="40"/>
      <c r="BI215" s="40"/>
      <c r="BJ215" s="40"/>
      <c r="BK215" s="40"/>
      <c r="BL215" s="40"/>
      <c r="BM215" s="40"/>
      <c r="BN215" s="40"/>
      <c r="BO215" s="40"/>
      <c r="BP215" s="40"/>
      <c r="BQ215" s="40"/>
      <c r="BR215" s="40"/>
      <c r="BS215" s="40"/>
      <c r="BT215" s="40"/>
      <c r="BU215" s="40"/>
      <c r="BV215" s="40"/>
      <c r="BW215" s="40"/>
      <c r="BX215" s="40"/>
      <c r="BY215" s="40"/>
      <c r="BZ215" s="40"/>
      <c r="CA215" s="40"/>
      <c r="CB215" s="40"/>
      <c r="CC215" s="40"/>
      <c r="CD215" s="40"/>
      <c r="CE215" s="40"/>
      <c r="CF215" s="40"/>
      <c r="CG215" s="40"/>
      <c r="CH215" s="40"/>
      <c r="CI215" s="40"/>
      <c r="CJ215" s="40"/>
      <c r="CK215" s="40"/>
      <c r="CL215" s="40"/>
      <c r="CM215" s="40"/>
      <c r="CN215" s="40"/>
      <c r="CO215" s="40"/>
      <c r="CP215" s="40"/>
      <c r="CQ215" s="40"/>
      <c r="CR215" s="40"/>
      <c r="CS215" s="40"/>
      <c r="CT215" s="40"/>
      <c r="CU215" s="40"/>
      <c r="CV215" s="40"/>
      <c r="CW215" s="40"/>
      <c r="CX215" s="40"/>
      <c r="CY215" s="40"/>
      <c r="CZ215" s="40"/>
      <c r="DA215" s="40"/>
      <c r="DB215" s="40"/>
      <c r="DC215" s="40"/>
      <c r="DD215" s="40"/>
      <c r="DE215" s="40"/>
      <c r="DF215" s="40"/>
      <c r="DG215" s="40"/>
      <c r="DH215" s="40"/>
      <c r="DI215" s="40"/>
      <c r="DJ215" s="51"/>
      <c r="DK215" s="51"/>
      <c r="DL215" s="51"/>
      <c r="DM215" s="51"/>
      <c r="DN215" s="51"/>
      <c r="DO215" s="51"/>
      <c r="DP215" s="51"/>
      <c r="DQ215" s="51"/>
      <c r="DR215" s="51"/>
      <c r="DS215" s="51"/>
      <c r="DT215" s="51"/>
      <c r="DU215" s="51"/>
      <c r="DV215" s="51"/>
      <c r="DW215" s="51"/>
      <c r="DX215" s="51"/>
      <c r="DY215" s="51"/>
      <c r="DZ215" s="51"/>
      <c r="EA215" s="51"/>
      <c r="EB215" s="51"/>
      <c r="EC215" s="51"/>
      <c r="ED215" s="51"/>
      <c r="EE215" s="51"/>
      <c r="EF215" s="51"/>
      <c r="EG215" s="51"/>
      <c r="EH215" s="51"/>
      <c r="EI215" s="51"/>
      <c r="EJ215" s="40"/>
      <c r="EK215" s="40"/>
      <c r="EL215" s="40"/>
      <c r="EM215" s="40"/>
      <c r="EN215" s="40"/>
      <c r="EO215" s="40"/>
      <c r="EP215" s="40"/>
      <c r="EQ215" s="40"/>
      <c r="ER215" s="40"/>
      <c r="ES215" s="40"/>
      <c r="ET215" s="40"/>
      <c r="EU215" s="40"/>
      <c r="EV215" s="40"/>
      <c r="EW215" s="40"/>
      <c r="EX215" s="40"/>
      <c r="EY215" s="40"/>
      <c r="EZ215" s="40"/>
      <c r="FA215" s="40"/>
      <c r="FB215" s="40"/>
      <c r="FC215" s="40"/>
      <c r="FD215" s="40"/>
      <c r="FE215" s="40"/>
      <c r="FF215" s="40"/>
      <c r="FG215" s="40"/>
      <c r="FH215" s="40"/>
      <c r="FI215" s="40"/>
      <c r="FJ215" s="40"/>
      <c r="FK215" s="40"/>
      <c r="FL215" s="40"/>
      <c r="FM215" s="40"/>
      <c r="FN215" s="40"/>
      <c r="FO215" s="40"/>
      <c r="FP215" s="40"/>
      <c r="FQ215" s="40"/>
      <c r="FR215" s="40"/>
      <c r="FS215" s="40"/>
    </row>
    <row r="216" spans="1:175" s="13" customFormat="1" ht="16.100000000000001" customHeight="1">
      <c r="A216" s="1976"/>
      <c r="B216" s="204"/>
      <c r="O216" s="111"/>
      <c r="P216" s="393"/>
      <c r="Q216" s="14">
        <v>1</v>
      </c>
      <c r="R216" s="14"/>
      <c r="S216" s="14"/>
      <c r="T216" s="7"/>
      <c r="U216" s="7"/>
      <c r="V216" s="63"/>
      <c r="W216" s="63"/>
      <c r="X216" s="64"/>
      <c r="Y216" s="63"/>
      <c r="Z216" s="63"/>
      <c r="AA216" s="63"/>
      <c r="AB216" s="63"/>
      <c r="AC216" s="63"/>
      <c r="AD216" s="63"/>
      <c r="AE216" s="63"/>
      <c r="AF216" s="7"/>
      <c r="AG216" s="7"/>
      <c r="AH216" s="7"/>
      <c r="AI216" s="7"/>
      <c r="AJ216" s="7"/>
      <c r="AK216" s="7"/>
      <c r="AL216" s="7"/>
      <c r="AM216" s="7"/>
      <c r="AN216" s="7"/>
      <c r="AO216" s="7"/>
      <c r="AP216" s="7"/>
      <c r="AQ216" s="7"/>
      <c r="AR216" s="7"/>
      <c r="AS216" s="7"/>
      <c r="AT216" s="7"/>
      <c r="AU216" s="7"/>
      <c r="AV216" s="7"/>
      <c r="AW216" s="40"/>
      <c r="AX216" s="40"/>
      <c r="AY216" s="40"/>
      <c r="AZ216" s="40"/>
      <c r="BA216" s="40"/>
      <c r="BB216" s="40"/>
      <c r="BC216" s="40"/>
      <c r="BD216" s="40"/>
      <c r="BE216" s="40"/>
      <c r="BF216" s="40"/>
      <c r="BG216" s="40"/>
      <c r="BH216" s="40"/>
      <c r="BI216" s="40"/>
      <c r="BJ216" s="40"/>
      <c r="BK216" s="40"/>
      <c r="BL216" s="40"/>
      <c r="BM216" s="40"/>
      <c r="BN216" s="40"/>
      <c r="BO216" s="40"/>
      <c r="BP216" s="40"/>
      <c r="BQ216" s="40"/>
      <c r="BR216" s="40"/>
      <c r="BS216" s="40"/>
      <c r="BT216" s="40"/>
      <c r="BU216" s="40"/>
      <c r="BV216" s="40"/>
      <c r="BW216" s="40"/>
      <c r="BX216" s="40"/>
      <c r="BY216" s="40"/>
      <c r="BZ216" s="40"/>
      <c r="CA216" s="40"/>
      <c r="CB216" s="40"/>
      <c r="CC216" s="40"/>
      <c r="CD216" s="40"/>
      <c r="CE216" s="40"/>
      <c r="CF216" s="40"/>
      <c r="CG216" s="40"/>
      <c r="CH216" s="40"/>
      <c r="CI216" s="40"/>
      <c r="CJ216" s="40"/>
      <c r="CK216" s="40"/>
      <c r="CL216" s="40"/>
      <c r="CM216" s="40"/>
      <c r="CN216" s="40"/>
      <c r="CO216" s="40"/>
      <c r="CP216" s="40"/>
      <c r="CQ216" s="40"/>
      <c r="CR216" s="40"/>
      <c r="CS216" s="40"/>
      <c r="CT216" s="40"/>
      <c r="CU216" s="40"/>
      <c r="CV216" s="40"/>
      <c r="CW216" s="40"/>
      <c r="CX216" s="40"/>
      <c r="CY216" s="40"/>
      <c r="CZ216" s="40"/>
      <c r="DA216" s="40"/>
      <c r="DB216" s="40"/>
      <c r="DC216" s="40"/>
      <c r="DD216" s="40"/>
      <c r="DE216" s="40"/>
      <c r="DF216" s="40"/>
      <c r="DG216" s="40"/>
      <c r="DH216" s="40"/>
      <c r="DI216" s="40"/>
      <c r="DJ216" s="51"/>
      <c r="DK216" s="51"/>
      <c r="DL216" s="51"/>
      <c r="DM216" s="51"/>
      <c r="DN216" s="51"/>
      <c r="DO216" s="51"/>
      <c r="DP216" s="51"/>
      <c r="DQ216" s="51"/>
      <c r="DR216" s="51"/>
      <c r="DS216" s="51"/>
      <c r="DT216" s="51"/>
      <c r="DU216" s="51"/>
      <c r="DV216" s="51"/>
      <c r="DW216" s="51"/>
      <c r="DX216" s="51"/>
      <c r="DY216" s="51"/>
      <c r="DZ216" s="51"/>
      <c r="EA216" s="51"/>
      <c r="EB216" s="51"/>
      <c r="EC216" s="51"/>
      <c r="ED216" s="51"/>
      <c r="EE216" s="51"/>
      <c r="EF216" s="51"/>
      <c r="EG216" s="51"/>
      <c r="EH216" s="51"/>
      <c r="EI216" s="51"/>
      <c r="EJ216" s="40"/>
      <c r="EK216" s="40"/>
      <c r="EL216" s="40"/>
      <c r="EM216" s="40"/>
      <c r="EN216" s="40"/>
      <c r="EO216" s="40"/>
      <c r="EP216" s="40"/>
      <c r="EQ216" s="40"/>
      <c r="ER216" s="40"/>
      <c r="ES216" s="40"/>
      <c r="ET216" s="40"/>
      <c r="EU216" s="40"/>
      <c r="EV216" s="40"/>
      <c r="EW216" s="40"/>
      <c r="EX216" s="40"/>
      <c r="EY216" s="40"/>
      <c r="EZ216" s="40"/>
      <c r="FA216" s="40"/>
      <c r="FB216" s="40"/>
      <c r="FC216" s="40"/>
      <c r="FD216" s="40"/>
      <c r="FE216" s="40"/>
      <c r="FF216" s="40"/>
      <c r="FG216" s="40"/>
      <c r="FH216" s="40"/>
      <c r="FI216" s="40"/>
      <c r="FJ216" s="40"/>
      <c r="FK216" s="40"/>
      <c r="FL216" s="40"/>
      <c r="FM216" s="40"/>
      <c r="FN216" s="40"/>
      <c r="FO216" s="40"/>
      <c r="FP216" s="40"/>
      <c r="FQ216" s="40"/>
      <c r="FR216" s="40"/>
      <c r="FS216" s="40"/>
    </row>
    <row r="217" spans="1:175" s="13" customFormat="1" ht="16.100000000000001" customHeight="1">
      <c r="A217" s="1976"/>
      <c r="B217" s="204"/>
      <c r="O217" s="111"/>
      <c r="P217" s="393"/>
      <c r="Q217" s="14">
        <v>1</v>
      </c>
      <c r="R217" s="14"/>
      <c r="S217" s="14"/>
      <c r="T217" s="7"/>
      <c r="U217" s="7"/>
      <c r="V217" s="63"/>
      <c r="W217" s="63"/>
      <c r="X217" s="64"/>
      <c r="Y217" s="63"/>
      <c r="Z217" s="63"/>
      <c r="AA217" s="63"/>
      <c r="AB217" s="63"/>
      <c r="AC217" s="63"/>
      <c r="AD217" s="63"/>
      <c r="AE217" s="63"/>
      <c r="AF217" s="7"/>
      <c r="AG217" s="7"/>
      <c r="AH217" s="7"/>
      <c r="AI217" s="7"/>
      <c r="AJ217" s="7"/>
      <c r="AK217" s="7"/>
      <c r="AL217" s="7"/>
      <c r="AM217" s="7"/>
      <c r="AN217" s="7"/>
      <c r="AO217" s="7"/>
      <c r="AP217" s="7"/>
      <c r="AQ217" s="7"/>
      <c r="AR217" s="7"/>
      <c r="AS217" s="7"/>
      <c r="AT217" s="7"/>
      <c r="AU217" s="7"/>
      <c r="AV217" s="7"/>
      <c r="AW217" s="40"/>
      <c r="AX217" s="40"/>
      <c r="AY217" s="40"/>
      <c r="AZ217" s="40"/>
      <c r="BA217" s="40"/>
      <c r="BB217" s="40"/>
      <c r="BC217" s="40"/>
      <c r="BD217" s="40"/>
      <c r="BE217" s="40"/>
      <c r="BF217" s="40"/>
      <c r="BG217" s="40"/>
      <c r="BH217" s="40"/>
      <c r="BI217" s="40"/>
      <c r="BJ217" s="40"/>
      <c r="BK217" s="40"/>
      <c r="BL217" s="40"/>
      <c r="BM217" s="40"/>
      <c r="BN217" s="40"/>
      <c r="BO217" s="40"/>
      <c r="BP217" s="40"/>
      <c r="BQ217" s="40"/>
      <c r="BR217" s="40"/>
      <c r="BS217" s="40"/>
      <c r="BT217" s="40"/>
      <c r="BU217" s="40"/>
      <c r="BV217" s="40"/>
      <c r="BW217" s="40"/>
      <c r="BX217" s="40"/>
      <c r="BY217" s="40"/>
      <c r="BZ217" s="40"/>
      <c r="CA217" s="40"/>
      <c r="CB217" s="40"/>
      <c r="CC217" s="40"/>
      <c r="CD217" s="40"/>
      <c r="CE217" s="40"/>
      <c r="CF217" s="40"/>
      <c r="CG217" s="40"/>
      <c r="CH217" s="40"/>
      <c r="CI217" s="40"/>
      <c r="CJ217" s="40"/>
      <c r="CK217" s="40"/>
      <c r="CL217" s="40"/>
      <c r="CM217" s="40"/>
      <c r="CN217" s="40"/>
      <c r="CO217" s="40"/>
      <c r="CP217" s="40"/>
      <c r="CQ217" s="40"/>
      <c r="CR217" s="40"/>
      <c r="CS217" s="40"/>
      <c r="CT217" s="40"/>
      <c r="CU217" s="40"/>
      <c r="CV217" s="40"/>
      <c r="CW217" s="40"/>
      <c r="CX217" s="40"/>
      <c r="CY217" s="40"/>
      <c r="CZ217" s="40"/>
      <c r="DA217" s="40"/>
      <c r="DB217" s="40"/>
      <c r="DC217" s="40"/>
      <c r="DD217" s="40"/>
      <c r="DE217" s="40"/>
      <c r="DF217" s="40"/>
      <c r="DG217" s="40"/>
      <c r="DH217" s="40"/>
      <c r="DI217" s="40"/>
      <c r="DJ217" s="51"/>
      <c r="DK217" s="51"/>
      <c r="DL217" s="51"/>
      <c r="DM217" s="51"/>
      <c r="DN217" s="51"/>
      <c r="DO217" s="51"/>
      <c r="DP217" s="51"/>
      <c r="DQ217" s="51"/>
      <c r="DR217" s="51"/>
      <c r="DS217" s="51"/>
      <c r="DT217" s="51"/>
      <c r="DU217" s="51"/>
      <c r="DV217" s="51"/>
      <c r="DW217" s="51"/>
      <c r="DX217" s="51"/>
      <c r="DY217" s="51"/>
      <c r="DZ217" s="51"/>
      <c r="EA217" s="51"/>
      <c r="EB217" s="51"/>
      <c r="EC217" s="51"/>
      <c r="ED217" s="51"/>
      <c r="EE217" s="51"/>
      <c r="EF217" s="51"/>
      <c r="EG217" s="51"/>
      <c r="EH217" s="51"/>
      <c r="EI217" s="51"/>
      <c r="EJ217" s="40"/>
      <c r="EK217" s="40"/>
      <c r="EL217" s="40"/>
      <c r="EM217" s="40"/>
      <c r="EN217" s="40"/>
      <c r="EO217" s="40"/>
      <c r="EP217" s="40"/>
      <c r="EQ217" s="40"/>
      <c r="ER217" s="40"/>
      <c r="ES217" s="40"/>
      <c r="ET217" s="40"/>
      <c r="EU217" s="40"/>
      <c r="EV217" s="40"/>
      <c r="EW217" s="40"/>
      <c r="EX217" s="40"/>
      <c r="EY217" s="40"/>
      <c r="EZ217" s="40"/>
      <c r="FA217" s="40"/>
      <c r="FB217" s="40"/>
      <c r="FC217" s="40"/>
      <c r="FD217" s="40"/>
      <c r="FE217" s="40"/>
      <c r="FF217" s="40"/>
      <c r="FG217" s="40"/>
      <c r="FH217" s="40"/>
      <c r="FI217" s="40"/>
      <c r="FJ217" s="40"/>
      <c r="FK217" s="40"/>
      <c r="FL217" s="40"/>
      <c r="FM217" s="40"/>
      <c r="FN217" s="40"/>
      <c r="FO217" s="40"/>
      <c r="FP217" s="40"/>
      <c r="FQ217" s="40"/>
      <c r="FR217" s="40"/>
      <c r="FS217" s="40"/>
    </row>
    <row r="218" spans="1:175" s="13" customFormat="1" ht="16.100000000000001" customHeight="1">
      <c r="A218" s="1976"/>
      <c r="B218" s="204"/>
      <c r="O218" s="111"/>
      <c r="P218" s="393"/>
      <c r="Q218" s="14">
        <v>1</v>
      </c>
      <c r="R218" s="14"/>
      <c r="S218" s="14"/>
      <c r="T218" s="7"/>
      <c r="U218" s="7"/>
      <c r="V218" s="63"/>
      <c r="W218" s="63"/>
      <c r="X218" s="64"/>
      <c r="Y218" s="63"/>
      <c r="Z218" s="63"/>
      <c r="AA218" s="63"/>
      <c r="AB218" s="63"/>
      <c r="AC218" s="63"/>
      <c r="AD218" s="63"/>
      <c r="AE218" s="63"/>
      <c r="AF218" s="7"/>
      <c r="AG218" s="7"/>
      <c r="AH218" s="7"/>
      <c r="AI218" s="7"/>
      <c r="AJ218" s="7"/>
      <c r="AK218" s="7"/>
      <c r="AL218" s="7"/>
      <c r="AM218" s="7"/>
      <c r="AN218" s="7"/>
      <c r="AO218" s="7"/>
      <c r="AP218" s="7"/>
      <c r="AQ218" s="7"/>
      <c r="AR218" s="7"/>
      <c r="AS218" s="7"/>
      <c r="AT218" s="7"/>
      <c r="AU218" s="7"/>
      <c r="AV218" s="7"/>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51"/>
      <c r="DK218" s="51"/>
      <c r="DL218" s="51"/>
      <c r="DM218" s="51"/>
      <c r="DN218" s="51"/>
      <c r="DO218" s="51"/>
      <c r="DP218" s="51"/>
      <c r="DQ218" s="51"/>
      <c r="DR218" s="51"/>
      <c r="DS218" s="51"/>
      <c r="DT218" s="51"/>
      <c r="DU218" s="51"/>
      <c r="DV218" s="51"/>
      <c r="DW218" s="51"/>
      <c r="DX218" s="51"/>
      <c r="DY218" s="51"/>
      <c r="DZ218" s="51"/>
      <c r="EA218" s="51"/>
      <c r="EB218" s="51"/>
      <c r="EC218" s="51"/>
      <c r="ED218" s="51"/>
      <c r="EE218" s="51"/>
      <c r="EF218" s="51"/>
      <c r="EG218" s="51"/>
      <c r="EH218" s="51"/>
      <c r="EI218" s="51"/>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row>
    <row r="219" spans="1:175" s="13" customFormat="1" ht="16.100000000000001" customHeight="1">
      <c r="A219" s="1976"/>
      <c r="B219" s="204"/>
      <c r="O219" s="111"/>
      <c r="P219" s="393"/>
      <c r="Q219" s="14">
        <v>1</v>
      </c>
      <c r="R219" s="14"/>
      <c r="S219" s="14"/>
      <c r="T219" s="7"/>
      <c r="U219" s="7"/>
      <c r="V219" s="63"/>
      <c r="W219" s="63"/>
      <c r="X219" s="64"/>
      <c r="Y219" s="63"/>
      <c r="Z219" s="63"/>
      <c r="AA219" s="63"/>
      <c r="AB219" s="63"/>
      <c r="AC219" s="63"/>
      <c r="AD219" s="63"/>
      <c r="AE219" s="63"/>
      <c r="AF219" s="7"/>
      <c r="AG219" s="7"/>
      <c r="AH219" s="7"/>
      <c r="AI219" s="7"/>
      <c r="AJ219" s="7"/>
      <c r="AK219" s="7"/>
      <c r="AL219" s="7"/>
      <c r="AM219" s="7"/>
      <c r="AN219" s="7"/>
      <c r="AO219" s="7"/>
      <c r="AP219" s="7"/>
      <c r="AQ219" s="7"/>
      <c r="AR219" s="7"/>
      <c r="AS219" s="7"/>
      <c r="AT219" s="7"/>
      <c r="AU219" s="7"/>
      <c r="AV219" s="7"/>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51"/>
      <c r="DK219" s="51"/>
      <c r="DL219" s="51"/>
      <c r="DM219" s="51"/>
      <c r="DN219" s="51"/>
      <c r="DO219" s="51"/>
      <c r="DP219" s="51"/>
      <c r="DQ219" s="51"/>
      <c r="DR219" s="51"/>
      <c r="DS219" s="51"/>
      <c r="DT219" s="51"/>
      <c r="DU219" s="51"/>
      <c r="DV219" s="51"/>
      <c r="DW219" s="51"/>
      <c r="DX219" s="51"/>
      <c r="DY219" s="51"/>
      <c r="DZ219" s="51"/>
      <c r="EA219" s="51"/>
      <c r="EB219" s="51"/>
      <c r="EC219" s="51"/>
      <c r="ED219" s="51"/>
      <c r="EE219" s="51"/>
      <c r="EF219" s="51"/>
      <c r="EG219" s="51"/>
      <c r="EH219" s="51"/>
      <c r="EI219" s="51"/>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row>
    <row r="220" spans="1:175" s="13" customFormat="1" ht="16.100000000000001" customHeight="1">
      <c r="A220" s="1976"/>
      <c r="B220" s="204"/>
      <c r="O220" s="111"/>
      <c r="P220" s="393"/>
      <c r="Q220" s="14">
        <v>1</v>
      </c>
      <c r="R220" s="14"/>
      <c r="S220" s="14"/>
      <c r="T220" s="7"/>
      <c r="U220" s="7"/>
      <c r="V220" s="63"/>
      <c r="W220" s="63"/>
      <c r="X220" s="64"/>
      <c r="Y220" s="63"/>
      <c r="Z220" s="63"/>
      <c r="AA220" s="63"/>
      <c r="AB220" s="63"/>
      <c r="AC220" s="63"/>
      <c r="AD220" s="63"/>
      <c r="AE220" s="63"/>
      <c r="AF220" s="7"/>
      <c r="AG220" s="7"/>
      <c r="AH220" s="7"/>
      <c r="AI220" s="7"/>
      <c r="AJ220" s="7"/>
      <c r="AK220" s="7"/>
      <c r="AL220" s="7"/>
      <c r="AM220" s="7"/>
      <c r="AN220" s="7"/>
      <c r="AO220" s="7"/>
      <c r="AP220" s="7"/>
      <c r="AQ220" s="7"/>
      <c r="AR220" s="7"/>
      <c r="AS220" s="7"/>
      <c r="AT220" s="7"/>
      <c r="AU220" s="7"/>
      <c r="AV220" s="7"/>
      <c r="AW220" s="40"/>
      <c r="AX220" s="40"/>
      <c r="AY220" s="40"/>
      <c r="AZ220" s="40"/>
      <c r="BA220" s="40"/>
      <c r="BB220" s="40"/>
      <c r="BC220" s="40"/>
      <c r="BD220" s="40"/>
      <c r="BE220" s="40"/>
      <c r="BF220" s="40"/>
      <c r="BG220" s="40"/>
      <c r="BH220" s="40"/>
      <c r="BI220" s="40"/>
      <c r="BJ220" s="40"/>
      <c r="BK220" s="40"/>
      <c r="BL220" s="40"/>
      <c r="BM220" s="40"/>
      <c r="BN220" s="40"/>
      <c r="BO220" s="40"/>
      <c r="BP220" s="40"/>
      <c r="BQ220" s="40"/>
      <c r="BR220" s="40"/>
      <c r="BS220" s="40"/>
      <c r="BT220" s="40"/>
      <c r="BU220" s="40"/>
      <c r="BV220" s="40"/>
      <c r="BW220" s="40"/>
      <c r="BX220" s="40"/>
      <c r="BY220" s="40"/>
      <c r="BZ220" s="40"/>
      <c r="CA220" s="40"/>
      <c r="CB220" s="40"/>
      <c r="CC220" s="40"/>
      <c r="CD220" s="40"/>
      <c r="CE220" s="40"/>
      <c r="CF220" s="40"/>
      <c r="CG220" s="40"/>
      <c r="CH220" s="40"/>
      <c r="CI220" s="40"/>
      <c r="CJ220" s="40"/>
      <c r="CK220" s="40"/>
      <c r="CL220" s="40"/>
      <c r="CM220" s="40"/>
      <c r="CN220" s="40"/>
      <c r="CO220" s="40"/>
      <c r="CP220" s="40"/>
      <c r="CQ220" s="40"/>
      <c r="CR220" s="40"/>
      <c r="CS220" s="40"/>
      <c r="CT220" s="40"/>
      <c r="CU220" s="40"/>
      <c r="CV220" s="40"/>
      <c r="CW220" s="40"/>
      <c r="CX220" s="40"/>
      <c r="CY220" s="40"/>
      <c r="CZ220" s="40"/>
      <c r="DA220" s="40"/>
      <c r="DB220" s="40"/>
      <c r="DC220" s="40"/>
      <c r="DD220" s="40"/>
      <c r="DE220" s="40"/>
      <c r="DF220" s="40"/>
      <c r="DG220" s="40"/>
      <c r="DH220" s="40"/>
      <c r="DI220" s="40"/>
      <c r="DJ220" s="51"/>
      <c r="DK220" s="51"/>
      <c r="DL220" s="51"/>
      <c r="DM220" s="51"/>
      <c r="DN220" s="51"/>
      <c r="DO220" s="51"/>
      <c r="DP220" s="51"/>
      <c r="DQ220" s="51"/>
      <c r="DR220" s="51"/>
      <c r="DS220" s="51"/>
      <c r="DT220" s="51"/>
      <c r="DU220" s="51"/>
      <c r="DV220" s="51"/>
      <c r="DW220" s="51"/>
      <c r="DX220" s="51"/>
      <c r="DY220" s="51"/>
      <c r="DZ220" s="51"/>
      <c r="EA220" s="51"/>
      <c r="EB220" s="51"/>
      <c r="EC220" s="51"/>
      <c r="ED220" s="51"/>
      <c r="EE220" s="51"/>
      <c r="EF220" s="51"/>
      <c r="EG220" s="51"/>
      <c r="EH220" s="51"/>
      <c r="EI220" s="51"/>
      <c r="EJ220" s="40"/>
      <c r="EK220" s="40"/>
      <c r="EL220" s="40"/>
      <c r="EM220" s="40"/>
      <c r="EN220" s="40"/>
      <c r="EO220" s="40"/>
      <c r="EP220" s="40"/>
      <c r="EQ220" s="40"/>
      <c r="ER220" s="40"/>
      <c r="ES220" s="40"/>
      <c r="ET220" s="40"/>
      <c r="EU220" s="40"/>
      <c r="EV220" s="40"/>
      <c r="EW220" s="40"/>
      <c r="EX220" s="40"/>
      <c r="EY220" s="40"/>
      <c r="EZ220" s="40"/>
      <c r="FA220" s="40"/>
      <c r="FB220" s="40"/>
      <c r="FC220" s="40"/>
      <c r="FD220" s="40"/>
      <c r="FE220" s="40"/>
      <c r="FF220" s="40"/>
      <c r="FG220" s="40"/>
      <c r="FH220" s="40"/>
      <c r="FI220" s="40"/>
      <c r="FJ220" s="40"/>
      <c r="FK220" s="40"/>
      <c r="FL220" s="40"/>
      <c r="FM220" s="40"/>
      <c r="FN220" s="40"/>
      <c r="FO220" s="40"/>
      <c r="FP220" s="40"/>
      <c r="FQ220" s="40"/>
      <c r="FR220" s="40"/>
      <c r="FS220" s="40"/>
    </row>
    <row r="221" spans="1:175" s="13" customFormat="1" ht="16.100000000000001" customHeight="1">
      <c r="A221" s="1976"/>
      <c r="B221" s="204"/>
      <c r="O221" s="111"/>
      <c r="P221" s="393"/>
      <c r="Q221" s="14">
        <v>1</v>
      </c>
      <c r="R221" s="14"/>
      <c r="S221" s="14"/>
      <c r="T221" s="7"/>
      <c r="U221" s="7"/>
      <c r="V221" s="63"/>
      <c r="W221" s="63"/>
      <c r="X221" s="64"/>
      <c r="Y221" s="63"/>
      <c r="Z221" s="63"/>
      <c r="AA221" s="63"/>
      <c r="AB221" s="63"/>
      <c r="AC221" s="63"/>
      <c r="AD221" s="63"/>
      <c r="AE221" s="63"/>
      <c r="AF221" s="7"/>
      <c r="AG221" s="7"/>
      <c r="AH221" s="7"/>
      <c r="AI221" s="7"/>
      <c r="AJ221" s="7"/>
      <c r="AK221" s="7"/>
      <c r="AL221" s="7"/>
      <c r="AM221" s="7"/>
      <c r="AN221" s="7"/>
      <c r="AO221" s="7"/>
      <c r="AP221" s="7"/>
      <c r="AQ221" s="7"/>
      <c r="AR221" s="7"/>
      <c r="AS221" s="7"/>
      <c r="AT221" s="7"/>
      <c r="AU221" s="7"/>
      <c r="AV221" s="7"/>
      <c r="AW221" s="40"/>
      <c r="AX221" s="40"/>
      <c r="AY221" s="40"/>
      <c r="AZ221" s="40"/>
      <c r="BA221" s="40"/>
      <c r="BB221" s="40"/>
      <c r="BC221" s="40"/>
      <c r="BD221" s="40"/>
      <c r="BE221" s="40"/>
      <c r="BF221" s="40"/>
      <c r="BG221" s="40"/>
      <c r="BH221" s="40"/>
      <c r="BI221" s="40"/>
      <c r="BJ221" s="40"/>
      <c r="BK221" s="40"/>
      <c r="BL221" s="40"/>
      <c r="BM221" s="40"/>
      <c r="BN221" s="40"/>
      <c r="BO221" s="40"/>
      <c r="BP221" s="40"/>
      <c r="BQ221" s="40"/>
      <c r="BR221" s="40"/>
      <c r="BS221" s="40"/>
      <c r="BT221" s="40"/>
      <c r="BU221" s="40"/>
      <c r="BV221" s="40"/>
      <c r="BW221" s="40"/>
      <c r="BX221" s="40"/>
      <c r="BY221" s="40"/>
      <c r="BZ221" s="40"/>
      <c r="CA221" s="40"/>
      <c r="CB221" s="40"/>
      <c r="CC221" s="40"/>
      <c r="CD221" s="40"/>
      <c r="CE221" s="40"/>
      <c r="CF221" s="40"/>
      <c r="CG221" s="40"/>
      <c r="CH221" s="40"/>
      <c r="CI221" s="40"/>
      <c r="CJ221" s="40"/>
      <c r="CK221" s="40"/>
      <c r="CL221" s="40"/>
      <c r="CM221" s="40"/>
      <c r="CN221" s="40"/>
      <c r="CO221" s="40"/>
      <c r="CP221" s="40"/>
      <c r="CQ221" s="40"/>
      <c r="CR221" s="40"/>
      <c r="CS221" s="40"/>
      <c r="CT221" s="40"/>
      <c r="CU221" s="40"/>
      <c r="CV221" s="40"/>
      <c r="CW221" s="40"/>
      <c r="CX221" s="40"/>
      <c r="CY221" s="40"/>
      <c r="CZ221" s="40"/>
      <c r="DA221" s="40"/>
      <c r="DB221" s="40"/>
      <c r="DC221" s="40"/>
      <c r="DD221" s="40"/>
      <c r="DE221" s="40"/>
      <c r="DF221" s="40"/>
      <c r="DG221" s="40"/>
      <c r="DH221" s="40"/>
      <c r="DI221" s="40"/>
      <c r="DJ221" s="51"/>
      <c r="DK221" s="51"/>
      <c r="DL221" s="51"/>
      <c r="DM221" s="51"/>
      <c r="DN221" s="51"/>
      <c r="DO221" s="51"/>
      <c r="DP221" s="51"/>
      <c r="DQ221" s="51"/>
      <c r="DR221" s="51"/>
      <c r="DS221" s="51"/>
      <c r="DT221" s="51"/>
      <c r="DU221" s="51"/>
      <c r="DV221" s="51"/>
      <c r="DW221" s="51"/>
      <c r="DX221" s="51"/>
      <c r="DY221" s="51"/>
      <c r="DZ221" s="51"/>
      <c r="EA221" s="51"/>
      <c r="EB221" s="51"/>
      <c r="EC221" s="51"/>
      <c r="ED221" s="51"/>
      <c r="EE221" s="51"/>
      <c r="EF221" s="51"/>
      <c r="EG221" s="51"/>
      <c r="EH221" s="51"/>
      <c r="EI221" s="51"/>
      <c r="EJ221" s="40"/>
      <c r="EK221" s="40"/>
      <c r="EL221" s="40"/>
      <c r="EM221" s="40"/>
      <c r="EN221" s="40"/>
      <c r="EO221" s="40"/>
      <c r="EP221" s="40"/>
      <c r="EQ221" s="40"/>
      <c r="ER221" s="40"/>
      <c r="ES221" s="40"/>
      <c r="ET221" s="40"/>
      <c r="EU221" s="40"/>
      <c r="EV221" s="40"/>
      <c r="EW221" s="40"/>
      <c r="EX221" s="40"/>
      <c r="EY221" s="40"/>
      <c r="EZ221" s="40"/>
      <c r="FA221" s="40"/>
      <c r="FB221" s="40"/>
      <c r="FC221" s="40"/>
      <c r="FD221" s="40"/>
      <c r="FE221" s="40"/>
      <c r="FF221" s="40"/>
      <c r="FG221" s="40"/>
      <c r="FH221" s="40"/>
      <c r="FI221" s="40"/>
      <c r="FJ221" s="40"/>
      <c r="FK221" s="40"/>
      <c r="FL221" s="40"/>
      <c r="FM221" s="40"/>
      <c r="FN221" s="40"/>
      <c r="FO221" s="40"/>
      <c r="FP221" s="40"/>
      <c r="FQ221" s="40"/>
      <c r="FR221" s="40"/>
      <c r="FS221" s="40"/>
    </row>
    <row r="222" spans="1:175" s="13" customFormat="1" ht="16.100000000000001" customHeight="1">
      <c r="A222" s="1976"/>
      <c r="B222" s="204"/>
      <c r="O222" s="111"/>
      <c r="P222" s="393"/>
      <c r="Q222" s="14">
        <v>1</v>
      </c>
      <c r="R222" s="14"/>
      <c r="S222" s="14"/>
      <c r="T222" s="7"/>
      <c r="U222" s="7"/>
      <c r="V222" s="63"/>
      <c r="W222" s="63"/>
      <c r="X222" s="64"/>
      <c r="Y222" s="63"/>
      <c r="Z222" s="63"/>
      <c r="AA222" s="63"/>
      <c r="AB222" s="63"/>
      <c r="AC222" s="63"/>
      <c r="AD222" s="63"/>
      <c r="AE222" s="63"/>
      <c r="AF222" s="7"/>
      <c r="AG222" s="7"/>
      <c r="AH222" s="7"/>
      <c r="AI222" s="7"/>
      <c r="AJ222" s="7"/>
      <c r="AK222" s="7"/>
      <c r="AL222" s="7"/>
      <c r="AM222" s="7"/>
      <c r="AN222" s="7"/>
      <c r="AO222" s="7"/>
      <c r="AP222" s="7"/>
      <c r="AQ222" s="7"/>
      <c r="AR222" s="7"/>
      <c r="AS222" s="7"/>
      <c r="AT222" s="7"/>
      <c r="AU222" s="7"/>
      <c r="AV222" s="7"/>
      <c r="AW222" s="40"/>
      <c r="AX222" s="40"/>
      <c r="AY222" s="40"/>
      <c r="AZ222" s="40"/>
      <c r="BA222" s="40"/>
      <c r="BB222" s="40"/>
      <c r="BC222" s="40"/>
      <c r="BD222" s="40"/>
      <c r="BE222" s="40"/>
      <c r="BF222" s="40"/>
      <c r="BG222" s="40"/>
      <c r="BH222" s="40"/>
      <c r="BI222" s="40"/>
      <c r="BJ222" s="40"/>
      <c r="BK222" s="40"/>
      <c r="BL222" s="40"/>
      <c r="BM222" s="40"/>
      <c r="BN222" s="40"/>
      <c r="BO222" s="40"/>
      <c r="BP222" s="40"/>
      <c r="BQ222" s="40"/>
      <c r="BR222" s="40"/>
      <c r="BS222" s="40"/>
      <c r="BT222" s="40"/>
      <c r="BU222" s="40"/>
      <c r="BV222" s="40"/>
      <c r="BW222" s="40"/>
      <c r="BX222" s="40"/>
      <c r="BY222" s="40"/>
      <c r="BZ222" s="40"/>
      <c r="CA222" s="40"/>
      <c r="CB222" s="40"/>
      <c r="CC222" s="40"/>
      <c r="CD222" s="40"/>
      <c r="CE222" s="40"/>
      <c r="CF222" s="40"/>
      <c r="CG222" s="40"/>
      <c r="CH222" s="40"/>
      <c r="CI222" s="40"/>
      <c r="CJ222" s="40"/>
      <c r="CK222" s="40"/>
      <c r="CL222" s="40"/>
      <c r="CM222" s="40"/>
      <c r="CN222" s="40"/>
      <c r="CO222" s="40"/>
      <c r="CP222" s="40"/>
      <c r="CQ222" s="40"/>
      <c r="CR222" s="40"/>
      <c r="CS222" s="40"/>
      <c r="CT222" s="40"/>
      <c r="CU222" s="40"/>
      <c r="CV222" s="40"/>
      <c r="CW222" s="40"/>
      <c r="CX222" s="40"/>
      <c r="CY222" s="40"/>
      <c r="CZ222" s="40"/>
      <c r="DA222" s="40"/>
      <c r="DB222" s="40"/>
      <c r="DC222" s="40"/>
      <c r="DD222" s="40"/>
      <c r="DE222" s="40"/>
      <c r="DF222" s="40"/>
      <c r="DG222" s="40"/>
      <c r="DH222" s="40"/>
      <c r="DI222" s="40"/>
      <c r="DJ222" s="51"/>
      <c r="DK222" s="51"/>
      <c r="DL222" s="51"/>
      <c r="DM222" s="51"/>
      <c r="DN222" s="51"/>
      <c r="DO222" s="51"/>
      <c r="DP222" s="51"/>
      <c r="DQ222" s="51"/>
      <c r="DR222" s="51"/>
      <c r="DS222" s="51"/>
      <c r="DT222" s="51"/>
      <c r="DU222" s="51"/>
      <c r="DV222" s="51"/>
      <c r="DW222" s="51"/>
      <c r="DX222" s="51"/>
      <c r="DY222" s="51"/>
      <c r="DZ222" s="51"/>
      <c r="EA222" s="51"/>
      <c r="EB222" s="51"/>
      <c r="EC222" s="51"/>
      <c r="ED222" s="51"/>
      <c r="EE222" s="51"/>
      <c r="EF222" s="51"/>
      <c r="EG222" s="51"/>
      <c r="EH222" s="51"/>
      <c r="EI222" s="51"/>
      <c r="EJ222" s="40"/>
      <c r="EK222" s="40"/>
      <c r="EL222" s="40"/>
      <c r="EM222" s="40"/>
      <c r="EN222" s="40"/>
      <c r="EO222" s="40"/>
      <c r="EP222" s="40"/>
      <c r="EQ222" s="40"/>
      <c r="ER222" s="40"/>
      <c r="ES222" s="40"/>
      <c r="ET222" s="40"/>
      <c r="EU222" s="40"/>
      <c r="EV222" s="40"/>
      <c r="EW222" s="40"/>
      <c r="EX222" s="40"/>
      <c r="EY222" s="40"/>
      <c r="EZ222" s="40"/>
      <c r="FA222" s="40"/>
      <c r="FB222" s="40"/>
      <c r="FC222" s="40"/>
      <c r="FD222" s="40"/>
      <c r="FE222" s="40"/>
      <c r="FF222" s="40"/>
      <c r="FG222" s="40"/>
      <c r="FH222" s="40"/>
      <c r="FI222" s="40"/>
      <c r="FJ222" s="40"/>
      <c r="FK222" s="40"/>
      <c r="FL222" s="40"/>
      <c r="FM222" s="40"/>
      <c r="FN222" s="40"/>
      <c r="FO222" s="40"/>
      <c r="FP222" s="40"/>
      <c r="FQ222" s="40"/>
      <c r="FR222" s="40"/>
      <c r="FS222" s="40"/>
    </row>
    <row r="223" spans="1:175" s="13" customFormat="1" ht="16.100000000000001" customHeight="1">
      <c r="A223" s="1976"/>
      <c r="B223" s="204"/>
      <c r="O223" s="111"/>
      <c r="P223" s="393"/>
      <c r="Q223" s="14">
        <v>1</v>
      </c>
      <c r="R223" s="14"/>
      <c r="S223" s="14"/>
      <c r="T223" s="7"/>
      <c r="U223" s="7"/>
      <c r="V223" s="63"/>
      <c r="W223" s="63"/>
      <c r="X223" s="64"/>
      <c r="Y223" s="63"/>
      <c r="Z223" s="63"/>
      <c r="AA223" s="63"/>
      <c r="AB223" s="63"/>
      <c r="AC223" s="63"/>
      <c r="AD223" s="63"/>
      <c r="AE223" s="63"/>
      <c r="AF223" s="7"/>
      <c r="AG223" s="7"/>
      <c r="AH223" s="7"/>
      <c r="AI223" s="7"/>
      <c r="AJ223" s="7"/>
      <c r="AK223" s="7"/>
      <c r="AL223" s="7"/>
      <c r="AM223" s="7"/>
      <c r="AN223" s="7"/>
      <c r="AO223" s="7"/>
      <c r="AP223" s="7"/>
      <c r="AQ223" s="7"/>
      <c r="AR223" s="7"/>
      <c r="AS223" s="7"/>
      <c r="AT223" s="7"/>
      <c r="AU223" s="7"/>
      <c r="AV223" s="7"/>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51"/>
      <c r="DK223" s="51"/>
      <c r="DL223" s="51"/>
      <c r="DM223" s="51"/>
      <c r="DN223" s="51"/>
      <c r="DO223" s="51"/>
      <c r="DP223" s="51"/>
      <c r="DQ223" s="51"/>
      <c r="DR223" s="51"/>
      <c r="DS223" s="51"/>
      <c r="DT223" s="51"/>
      <c r="DU223" s="51"/>
      <c r="DV223" s="51"/>
      <c r="DW223" s="51"/>
      <c r="DX223" s="51"/>
      <c r="DY223" s="51"/>
      <c r="DZ223" s="51"/>
      <c r="EA223" s="51"/>
      <c r="EB223" s="51"/>
      <c r="EC223" s="51"/>
      <c r="ED223" s="51"/>
      <c r="EE223" s="51"/>
      <c r="EF223" s="51"/>
      <c r="EG223" s="51"/>
      <c r="EH223" s="51"/>
      <c r="EI223" s="51"/>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row>
    <row r="224" spans="1:175" s="13" customFormat="1" ht="16.100000000000001" customHeight="1">
      <c r="A224" s="1976"/>
      <c r="B224" s="204"/>
      <c r="O224" s="111"/>
      <c r="P224" s="393"/>
      <c r="Q224" s="14">
        <v>1</v>
      </c>
      <c r="R224" s="14"/>
      <c r="S224" s="14"/>
      <c r="T224" s="7"/>
      <c r="U224" s="7"/>
      <c r="V224" s="63"/>
      <c r="W224" s="63"/>
      <c r="X224" s="64"/>
      <c r="Y224" s="63"/>
      <c r="Z224" s="63"/>
      <c r="AA224" s="63"/>
      <c r="AB224" s="63"/>
      <c r="AC224" s="63"/>
      <c r="AD224" s="63"/>
      <c r="AE224" s="63"/>
      <c r="AF224" s="7"/>
      <c r="AG224" s="7"/>
      <c r="AH224" s="7"/>
      <c r="AI224" s="7"/>
      <c r="AJ224" s="7"/>
      <c r="AK224" s="7"/>
      <c r="AL224" s="7"/>
      <c r="AM224" s="7"/>
      <c r="AN224" s="7"/>
      <c r="AO224" s="7"/>
      <c r="AP224" s="7"/>
      <c r="AQ224" s="7"/>
      <c r="AR224" s="7"/>
      <c r="AS224" s="7"/>
      <c r="AT224" s="7"/>
      <c r="AU224" s="7"/>
      <c r="AV224" s="7"/>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51"/>
      <c r="DK224" s="51"/>
      <c r="DL224" s="51"/>
      <c r="DM224" s="51"/>
      <c r="DN224" s="51"/>
      <c r="DO224" s="51"/>
      <c r="DP224" s="51"/>
      <c r="DQ224" s="51"/>
      <c r="DR224" s="51"/>
      <c r="DS224" s="51"/>
      <c r="DT224" s="51"/>
      <c r="DU224" s="51"/>
      <c r="DV224" s="51"/>
      <c r="DW224" s="51"/>
      <c r="DX224" s="51"/>
      <c r="DY224" s="51"/>
      <c r="DZ224" s="51"/>
      <c r="EA224" s="51"/>
      <c r="EB224" s="51"/>
      <c r="EC224" s="51"/>
      <c r="ED224" s="51"/>
      <c r="EE224" s="51"/>
      <c r="EF224" s="51"/>
      <c r="EG224" s="51"/>
      <c r="EH224" s="51"/>
      <c r="EI224" s="51"/>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row>
    <row r="225" spans="1:175" s="13" customFormat="1" ht="16.100000000000001" customHeight="1">
      <c r="A225" s="1976"/>
      <c r="B225" s="204"/>
      <c r="O225" s="111"/>
      <c r="P225" s="393"/>
      <c r="Q225" s="14">
        <v>1</v>
      </c>
      <c r="R225" s="14"/>
      <c r="S225" s="14"/>
      <c r="T225" s="7"/>
      <c r="U225" s="7"/>
      <c r="V225" s="63"/>
      <c r="W225" s="63"/>
      <c r="X225" s="64"/>
      <c r="Y225" s="63"/>
      <c r="Z225" s="63"/>
      <c r="AA225" s="63"/>
      <c r="AB225" s="63"/>
      <c r="AC225" s="63"/>
      <c r="AD225" s="63"/>
      <c r="AE225" s="63"/>
      <c r="AF225" s="7"/>
      <c r="AG225" s="7"/>
      <c r="AH225" s="7"/>
      <c r="AI225" s="7"/>
      <c r="AJ225" s="7"/>
      <c r="AK225" s="7"/>
      <c r="AL225" s="7"/>
      <c r="AM225" s="7"/>
      <c r="AN225" s="7"/>
      <c r="AO225" s="7"/>
      <c r="AP225" s="7"/>
      <c r="AQ225" s="7"/>
      <c r="AR225" s="7"/>
      <c r="AS225" s="7"/>
      <c r="AT225" s="7"/>
      <c r="AU225" s="7"/>
      <c r="AV225" s="7"/>
      <c r="AW225" s="40"/>
      <c r="AX225" s="40"/>
      <c r="AY225" s="40"/>
      <c r="AZ225" s="40"/>
      <c r="BA225" s="40"/>
      <c r="BB225" s="40"/>
      <c r="BC225" s="40"/>
      <c r="BD225" s="40"/>
      <c r="BE225" s="40"/>
      <c r="BF225" s="40"/>
      <c r="BG225" s="40"/>
      <c r="BH225" s="40"/>
      <c r="BI225" s="40"/>
      <c r="BJ225" s="40"/>
      <c r="BK225" s="40"/>
      <c r="BL225" s="40"/>
      <c r="BM225" s="40"/>
      <c r="BN225" s="40"/>
      <c r="BO225" s="40"/>
      <c r="BP225" s="40"/>
      <c r="BQ225" s="40"/>
      <c r="BR225" s="40"/>
      <c r="BS225" s="40"/>
      <c r="BT225" s="40"/>
      <c r="BU225" s="40"/>
      <c r="BV225" s="40"/>
      <c r="BW225" s="40"/>
      <c r="BX225" s="40"/>
      <c r="BY225" s="40"/>
      <c r="BZ225" s="40"/>
      <c r="CA225" s="40"/>
      <c r="CB225" s="40"/>
      <c r="CC225" s="40"/>
      <c r="CD225" s="40"/>
      <c r="CE225" s="40"/>
      <c r="CF225" s="40"/>
      <c r="CG225" s="40"/>
      <c r="CH225" s="40"/>
      <c r="CI225" s="40"/>
      <c r="CJ225" s="40"/>
      <c r="CK225" s="40"/>
      <c r="CL225" s="40"/>
      <c r="CM225" s="40"/>
      <c r="CN225" s="40"/>
      <c r="CO225" s="40"/>
      <c r="CP225" s="40"/>
      <c r="CQ225" s="40"/>
      <c r="CR225" s="40"/>
      <c r="CS225" s="40"/>
      <c r="CT225" s="40"/>
      <c r="CU225" s="40"/>
      <c r="CV225" s="40"/>
      <c r="CW225" s="40"/>
      <c r="CX225" s="40"/>
      <c r="CY225" s="40"/>
      <c r="CZ225" s="40"/>
      <c r="DA225" s="40"/>
      <c r="DB225" s="40"/>
      <c r="DC225" s="40"/>
      <c r="DD225" s="40"/>
      <c r="DE225" s="40"/>
      <c r="DF225" s="40"/>
      <c r="DG225" s="40"/>
      <c r="DH225" s="40"/>
      <c r="DI225" s="40"/>
      <c r="DJ225" s="51"/>
      <c r="DK225" s="51"/>
      <c r="DL225" s="51"/>
      <c r="DM225" s="51"/>
      <c r="DN225" s="51"/>
      <c r="DO225" s="51"/>
      <c r="DP225" s="51"/>
      <c r="DQ225" s="51"/>
      <c r="DR225" s="51"/>
      <c r="DS225" s="51"/>
      <c r="DT225" s="51"/>
      <c r="DU225" s="51"/>
      <c r="DV225" s="51"/>
      <c r="DW225" s="51"/>
      <c r="DX225" s="51"/>
      <c r="DY225" s="51"/>
      <c r="DZ225" s="51"/>
      <c r="EA225" s="51"/>
      <c r="EB225" s="51"/>
      <c r="EC225" s="51"/>
      <c r="ED225" s="51"/>
      <c r="EE225" s="51"/>
      <c r="EF225" s="51"/>
      <c r="EG225" s="51"/>
      <c r="EH225" s="51"/>
      <c r="EI225" s="51"/>
      <c r="EJ225" s="40"/>
      <c r="EK225" s="40"/>
      <c r="EL225" s="40"/>
      <c r="EM225" s="40"/>
      <c r="EN225" s="40"/>
      <c r="EO225" s="40"/>
      <c r="EP225" s="40"/>
      <c r="EQ225" s="40"/>
      <c r="ER225" s="40"/>
      <c r="ES225" s="40"/>
      <c r="ET225" s="40"/>
      <c r="EU225" s="40"/>
      <c r="EV225" s="40"/>
      <c r="EW225" s="40"/>
      <c r="EX225" s="40"/>
      <c r="EY225" s="40"/>
      <c r="EZ225" s="40"/>
      <c r="FA225" s="40"/>
      <c r="FB225" s="40"/>
      <c r="FC225" s="40"/>
      <c r="FD225" s="40"/>
      <c r="FE225" s="40"/>
      <c r="FF225" s="40"/>
      <c r="FG225" s="40"/>
      <c r="FH225" s="40"/>
      <c r="FI225" s="40"/>
      <c r="FJ225" s="40"/>
      <c r="FK225" s="40"/>
      <c r="FL225" s="40"/>
      <c r="FM225" s="40"/>
      <c r="FN225" s="40"/>
      <c r="FO225" s="40"/>
      <c r="FP225" s="40"/>
      <c r="FQ225" s="40"/>
      <c r="FR225" s="40"/>
      <c r="FS225" s="40"/>
    </row>
    <row r="226" spans="1:175" s="13" customFormat="1" ht="13.5" customHeight="1">
      <c r="A226" s="1976"/>
      <c r="B226" s="204"/>
      <c r="O226" s="111"/>
      <c r="P226" s="393"/>
      <c r="Q226" s="14">
        <v>1</v>
      </c>
      <c r="R226" s="14"/>
      <c r="S226" s="14"/>
      <c r="T226" s="7"/>
      <c r="U226" s="7"/>
      <c r="V226" s="63"/>
      <c r="W226" s="63"/>
      <c r="X226" s="64"/>
      <c r="Y226" s="63"/>
      <c r="Z226" s="63"/>
      <c r="AA226" s="63"/>
      <c r="AB226" s="63"/>
      <c r="AC226" s="63"/>
      <c r="AD226" s="63"/>
      <c r="AE226" s="63"/>
      <c r="AF226" s="7"/>
      <c r="AG226" s="7"/>
      <c r="AH226" s="7"/>
      <c r="AI226" s="7"/>
      <c r="AJ226" s="7"/>
      <c r="AK226" s="7"/>
      <c r="AL226" s="7"/>
      <c r="AM226" s="7"/>
      <c r="AN226" s="7"/>
      <c r="AO226" s="7"/>
      <c r="AP226" s="7"/>
      <c r="AQ226" s="7"/>
      <c r="AR226" s="7"/>
      <c r="AS226" s="7"/>
      <c r="AT226" s="7"/>
      <c r="AU226" s="7"/>
      <c r="AV226" s="7"/>
      <c r="AW226" s="40"/>
      <c r="AX226" s="40"/>
      <c r="AY226" s="40"/>
      <c r="AZ226" s="40"/>
      <c r="BA226" s="40"/>
      <c r="BB226" s="40"/>
      <c r="BC226" s="40"/>
      <c r="BD226" s="40"/>
      <c r="BE226" s="40"/>
      <c r="BF226" s="40"/>
      <c r="BG226" s="40"/>
      <c r="BH226" s="40"/>
      <c r="BI226" s="40"/>
      <c r="BJ226" s="40"/>
      <c r="BK226" s="40"/>
      <c r="BL226" s="40"/>
      <c r="BM226" s="40"/>
      <c r="BN226" s="40"/>
      <c r="BO226" s="40"/>
      <c r="BP226" s="40"/>
      <c r="BQ226" s="40"/>
      <c r="BR226" s="40"/>
      <c r="BS226" s="40"/>
      <c r="BT226" s="40"/>
      <c r="BU226" s="40"/>
      <c r="BV226" s="40"/>
      <c r="BW226" s="40"/>
      <c r="BX226" s="40"/>
      <c r="BY226" s="40"/>
      <c r="BZ226" s="40"/>
      <c r="CA226" s="40"/>
      <c r="CB226" s="40"/>
      <c r="CC226" s="40"/>
      <c r="CD226" s="40"/>
      <c r="CE226" s="40"/>
      <c r="CF226" s="40"/>
      <c r="CG226" s="40"/>
      <c r="CH226" s="40"/>
      <c r="CI226" s="40"/>
      <c r="CJ226" s="40"/>
      <c r="CK226" s="40"/>
      <c r="CL226" s="40"/>
      <c r="CM226" s="40"/>
      <c r="CN226" s="40"/>
      <c r="CO226" s="40"/>
      <c r="CP226" s="40"/>
      <c r="CQ226" s="40"/>
      <c r="CR226" s="40"/>
      <c r="CS226" s="40"/>
      <c r="CT226" s="40"/>
      <c r="CU226" s="40"/>
      <c r="CV226" s="40"/>
      <c r="CW226" s="40"/>
      <c r="CX226" s="40"/>
      <c r="CY226" s="40"/>
      <c r="CZ226" s="40"/>
      <c r="DA226" s="40"/>
      <c r="DB226" s="40"/>
      <c r="DC226" s="40"/>
      <c r="DD226" s="40"/>
      <c r="DE226" s="40"/>
      <c r="DF226" s="40"/>
      <c r="DG226" s="40"/>
      <c r="DH226" s="40"/>
      <c r="DI226" s="40"/>
      <c r="DJ226" s="51"/>
      <c r="DK226" s="51"/>
      <c r="DL226" s="51"/>
      <c r="DM226" s="51"/>
      <c r="DN226" s="51"/>
      <c r="DO226" s="51"/>
      <c r="DP226" s="51"/>
      <c r="DQ226" s="51"/>
      <c r="DR226" s="51"/>
      <c r="DS226" s="51"/>
      <c r="DT226" s="51"/>
      <c r="DU226" s="51"/>
      <c r="DV226" s="51"/>
      <c r="DW226" s="51"/>
      <c r="DX226" s="51"/>
      <c r="DY226" s="51"/>
      <c r="DZ226" s="51"/>
      <c r="EA226" s="51"/>
      <c r="EB226" s="51"/>
      <c r="EC226" s="51"/>
      <c r="ED226" s="51"/>
      <c r="EE226" s="51"/>
      <c r="EF226" s="51"/>
      <c r="EG226" s="51"/>
      <c r="EH226" s="51"/>
      <c r="EI226" s="51"/>
      <c r="EJ226" s="40"/>
      <c r="EK226" s="40"/>
      <c r="EL226" s="40"/>
      <c r="EM226" s="40"/>
      <c r="EN226" s="40"/>
      <c r="EO226" s="40"/>
      <c r="EP226" s="40"/>
      <c r="EQ226" s="40"/>
      <c r="ER226" s="40"/>
      <c r="ES226" s="40"/>
      <c r="ET226" s="40"/>
      <c r="EU226" s="40"/>
      <c r="EV226" s="40"/>
      <c r="EW226" s="40"/>
      <c r="EX226" s="40"/>
      <c r="EY226" s="40"/>
      <c r="EZ226" s="40"/>
      <c r="FA226" s="40"/>
      <c r="FB226" s="40"/>
      <c r="FC226" s="40"/>
      <c r="FD226" s="40"/>
      <c r="FE226" s="40"/>
      <c r="FF226" s="40"/>
      <c r="FG226" s="40"/>
      <c r="FH226" s="40"/>
      <c r="FI226" s="40"/>
      <c r="FJ226" s="40"/>
      <c r="FK226" s="40"/>
      <c r="FL226" s="40"/>
      <c r="FM226" s="40"/>
      <c r="FN226" s="40"/>
      <c r="FO226" s="40"/>
      <c r="FP226" s="40"/>
      <c r="FQ226" s="40"/>
      <c r="FR226" s="40"/>
      <c r="FS226" s="40"/>
    </row>
    <row r="227" spans="1:175" s="13" customFormat="1" ht="5.25" customHeight="1">
      <c r="A227" s="1977"/>
      <c r="B227" s="204"/>
      <c r="O227" s="111"/>
      <c r="P227" s="393"/>
      <c r="Q227" s="14">
        <v>1</v>
      </c>
      <c r="R227" s="14"/>
      <c r="S227" s="14"/>
      <c r="T227" s="7"/>
      <c r="U227" s="7"/>
      <c r="V227" s="63"/>
      <c r="W227" s="63"/>
      <c r="X227" s="64"/>
      <c r="Y227" s="63"/>
      <c r="Z227" s="63"/>
      <c r="AA227" s="63"/>
      <c r="AB227" s="63"/>
      <c r="AC227" s="63"/>
      <c r="AD227" s="63"/>
      <c r="AE227" s="63"/>
      <c r="AF227" s="7"/>
      <c r="AG227" s="7"/>
      <c r="AH227" s="7"/>
      <c r="AI227" s="7"/>
      <c r="AJ227" s="7"/>
      <c r="AK227" s="7"/>
      <c r="AL227" s="7"/>
      <c r="AM227" s="7"/>
      <c r="AN227" s="7"/>
      <c r="AO227" s="7"/>
      <c r="AP227" s="7"/>
      <c r="AQ227" s="7"/>
      <c r="AR227" s="7"/>
      <c r="AS227" s="7"/>
      <c r="AT227" s="7"/>
      <c r="AU227" s="7"/>
      <c r="AV227" s="7"/>
      <c r="AW227" s="40"/>
      <c r="AX227" s="40"/>
      <c r="AY227" s="40"/>
      <c r="AZ227" s="40"/>
      <c r="BA227" s="40"/>
      <c r="BB227" s="40"/>
      <c r="BC227" s="40"/>
      <c r="BD227" s="40"/>
      <c r="BE227" s="40"/>
      <c r="BF227" s="40"/>
      <c r="BG227" s="40"/>
      <c r="BH227" s="40"/>
      <c r="BI227" s="40"/>
      <c r="BJ227" s="40"/>
      <c r="BK227" s="40"/>
      <c r="BL227" s="40"/>
      <c r="BM227" s="40"/>
      <c r="BN227" s="40"/>
      <c r="BO227" s="40"/>
      <c r="BP227" s="40"/>
      <c r="BQ227" s="40"/>
      <c r="BR227" s="40"/>
      <c r="BS227" s="40"/>
      <c r="BT227" s="40"/>
      <c r="BU227" s="40"/>
      <c r="BV227" s="40"/>
      <c r="BW227" s="40"/>
      <c r="BX227" s="40"/>
      <c r="BY227" s="40"/>
      <c r="BZ227" s="40"/>
      <c r="CA227" s="40"/>
      <c r="CB227" s="40"/>
      <c r="CC227" s="40"/>
      <c r="CD227" s="40"/>
      <c r="CE227" s="40"/>
      <c r="CF227" s="40"/>
      <c r="CG227" s="40"/>
      <c r="CH227" s="40"/>
      <c r="CI227" s="40"/>
      <c r="CJ227" s="40"/>
      <c r="CK227" s="40"/>
      <c r="CL227" s="40"/>
      <c r="CM227" s="40"/>
      <c r="CN227" s="40"/>
      <c r="CO227" s="40"/>
      <c r="CP227" s="40"/>
      <c r="CQ227" s="40"/>
      <c r="CR227" s="40"/>
      <c r="CS227" s="40"/>
      <c r="CT227" s="40"/>
      <c r="CU227" s="40"/>
      <c r="CV227" s="40"/>
      <c r="CW227" s="40"/>
      <c r="CX227" s="40"/>
      <c r="CY227" s="40"/>
      <c r="CZ227" s="40"/>
      <c r="DA227" s="40"/>
      <c r="DB227" s="40"/>
      <c r="DC227" s="40"/>
      <c r="DD227" s="40"/>
      <c r="DE227" s="40"/>
      <c r="DF227" s="40"/>
      <c r="DG227" s="40"/>
      <c r="DH227" s="40"/>
      <c r="DI227" s="40"/>
      <c r="DJ227" s="51"/>
      <c r="DK227" s="51"/>
      <c r="DL227" s="51"/>
      <c r="DM227" s="51"/>
      <c r="DN227" s="51"/>
      <c r="DO227" s="51"/>
      <c r="DP227" s="51"/>
      <c r="DQ227" s="51"/>
      <c r="DR227" s="51"/>
      <c r="DS227" s="51"/>
      <c r="DT227" s="51"/>
      <c r="DU227" s="51"/>
      <c r="DV227" s="51"/>
      <c r="DW227" s="51"/>
      <c r="DX227" s="51"/>
      <c r="DY227" s="51"/>
      <c r="DZ227" s="51"/>
      <c r="EA227" s="51"/>
      <c r="EB227" s="51"/>
      <c r="EC227" s="51"/>
      <c r="ED227" s="51"/>
      <c r="EE227" s="51"/>
      <c r="EF227" s="51"/>
      <c r="EG227" s="51"/>
      <c r="EH227" s="51"/>
      <c r="EI227" s="51"/>
      <c r="EJ227" s="40"/>
      <c r="EK227" s="40"/>
      <c r="EL227" s="40"/>
      <c r="EM227" s="40"/>
      <c r="EN227" s="40"/>
      <c r="EO227" s="40"/>
      <c r="EP227" s="40"/>
      <c r="EQ227" s="40"/>
      <c r="ER227" s="40"/>
      <c r="ES227" s="40"/>
      <c r="ET227" s="40"/>
      <c r="EU227" s="40"/>
      <c r="EV227" s="40"/>
      <c r="EW227" s="40"/>
      <c r="EX227" s="40"/>
      <c r="EY227" s="40"/>
      <c r="EZ227" s="40"/>
      <c r="FA227" s="40"/>
      <c r="FB227" s="40"/>
      <c r="FC227" s="40"/>
      <c r="FD227" s="40"/>
      <c r="FE227" s="40"/>
      <c r="FF227" s="40"/>
      <c r="FG227" s="40"/>
      <c r="FH227" s="40"/>
      <c r="FI227" s="40"/>
      <c r="FJ227" s="40"/>
      <c r="FK227" s="40"/>
      <c r="FL227" s="40"/>
      <c r="FM227" s="40"/>
      <c r="FN227" s="40"/>
      <c r="FO227" s="40"/>
      <c r="FP227" s="40"/>
      <c r="FQ227" s="40"/>
      <c r="FR227" s="40"/>
      <c r="FS227" s="40"/>
    </row>
    <row r="228" spans="1:175" s="13" customFormat="1" ht="2.25" customHeight="1">
      <c r="A228" s="113"/>
      <c r="B228" s="495"/>
      <c r="C228" s="114"/>
      <c r="D228" s="114"/>
      <c r="E228" s="114"/>
      <c r="F228" s="114"/>
      <c r="G228" s="114"/>
      <c r="H228" s="114"/>
      <c r="I228" s="115"/>
      <c r="J228" s="114"/>
      <c r="K228" s="114"/>
      <c r="L228" s="116"/>
      <c r="M228" s="116"/>
      <c r="N228" s="136"/>
      <c r="O228" s="452"/>
      <c r="P228" s="393"/>
      <c r="Q228" s="393">
        <v>1</v>
      </c>
      <c r="R228" s="14"/>
      <c r="S228" s="14"/>
      <c r="T228" s="7"/>
      <c r="U228" s="7"/>
      <c r="V228" s="63"/>
      <c r="W228" s="63"/>
      <c r="X228" s="64"/>
      <c r="Y228" s="63"/>
      <c r="Z228" s="63"/>
      <c r="AA228" s="63"/>
      <c r="AB228" s="63"/>
      <c r="AC228" s="63"/>
      <c r="AD228" s="63"/>
      <c r="AE228" s="63"/>
      <c r="AF228" s="7"/>
      <c r="AG228" s="7"/>
      <c r="AH228" s="7"/>
      <c r="AI228" s="7"/>
      <c r="AJ228" s="7"/>
      <c r="AK228" s="7"/>
      <c r="AL228" s="7"/>
      <c r="AM228" s="7"/>
      <c r="AN228" s="7"/>
      <c r="AO228" s="7"/>
      <c r="AP228" s="7"/>
      <c r="AQ228" s="7"/>
      <c r="AR228" s="7"/>
      <c r="AS228" s="7"/>
      <c r="AT228" s="7"/>
      <c r="AU228" s="7"/>
      <c r="AV228" s="7"/>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51"/>
      <c r="DK228" s="51"/>
      <c r="DL228" s="51"/>
      <c r="DM228" s="51"/>
      <c r="DN228" s="51"/>
      <c r="DO228" s="51"/>
      <c r="DP228" s="51"/>
      <c r="DQ228" s="51"/>
      <c r="DR228" s="51"/>
      <c r="DS228" s="51"/>
      <c r="DT228" s="51"/>
      <c r="DU228" s="51"/>
      <c r="DV228" s="51"/>
      <c r="DW228" s="51"/>
      <c r="DX228" s="51"/>
      <c r="DY228" s="51"/>
      <c r="DZ228" s="51"/>
      <c r="EA228" s="51"/>
      <c r="EB228" s="51"/>
      <c r="EC228" s="51"/>
      <c r="ED228" s="51"/>
      <c r="EE228" s="51"/>
      <c r="EF228" s="51"/>
      <c r="EG228" s="51"/>
      <c r="EH228" s="51"/>
      <c r="EI228" s="51"/>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row>
    <row r="229" spans="1:175" s="13" customFormat="1" ht="16.100000000000001" customHeight="1">
      <c r="A229" s="1978" t="str">
        <f>Begriffe!F232</f>
        <v>Kommentare</v>
      </c>
      <c r="B229" s="204"/>
      <c r="C229" s="243"/>
      <c r="D229" s="243"/>
      <c r="E229" s="243"/>
      <c r="F229" s="243"/>
      <c r="G229" s="14"/>
      <c r="H229" s="14"/>
      <c r="I229" s="243"/>
      <c r="J229" s="243"/>
      <c r="K229" s="243"/>
      <c r="L229" s="10"/>
      <c r="M229" s="243"/>
      <c r="N229" s="14"/>
      <c r="O229" s="703"/>
      <c r="P229" s="393"/>
      <c r="Q229" s="392">
        <v>1</v>
      </c>
      <c r="R229" s="243"/>
      <c r="S229" s="243"/>
      <c r="T229" s="65"/>
      <c r="U229" s="65"/>
      <c r="V229" s="65"/>
      <c r="W229" s="63"/>
      <c r="X229" s="64"/>
      <c r="Y229" s="64"/>
      <c r="Z229" s="64"/>
      <c r="AA229" s="64"/>
      <c r="AB229" s="64"/>
      <c r="AC229" s="64"/>
      <c r="AD229" s="64"/>
      <c r="AE229" s="64"/>
      <c r="AF229" s="65"/>
      <c r="AG229" s="65"/>
      <c r="AH229" s="65"/>
      <c r="AI229" s="65"/>
      <c r="AJ229" s="65"/>
      <c r="AK229" s="65"/>
      <c r="AL229" s="65"/>
      <c r="AM229" s="65"/>
      <c r="AN229" s="65"/>
      <c r="AO229" s="65"/>
      <c r="AP229" s="65"/>
      <c r="AQ229" s="65"/>
      <c r="AR229" s="65"/>
      <c r="AS229" s="66"/>
      <c r="AT229" s="66"/>
      <c r="AU229" s="66"/>
      <c r="AV229" s="66"/>
      <c r="AW229" s="41"/>
      <c r="AX229" s="41"/>
      <c r="AY229" s="41"/>
      <c r="AZ229" s="41"/>
      <c r="BA229" s="41"/>
      <c r="BB229" s="41"/>
      <c r="BC229" s="41"/>
      <c r="BD229" s="41"/>
      <c r="BE229" s="41"/>
      <c r="BF229" s="41"/>
      <c r="BG229" s="41"/>
      <c r="BH229" s="41"/>
      <c r="BI229" s="41"/>
      <c r="BJ229" s="41"/>
      <c r="BK229" s="41"/>
      <c r="BL229" s="41"/>
      <c r="BM229" s="41"/>
      <c r="BN229" s="41"/>
      <c r="BO229" s="41"/>
      <c r="BP229" s="41"/>
      <c r="BQ229" s="41"/>
      <c r="BR229" s="41"/>
      <c r="BS229" s="41"/>
      <c r="BT229" s="41"/>
      <c r="BU229" s="41"/>
      <c r="BV229" s="41"/>
      <c r="BW229" s="41"/>
      <c r="BX229" s="41"/>
      <c r="BY229" s="41"/>
      <c r="BZ229" s="41"/>
      <c r="CA229" s="41"/>
      <c r="CB229" s="41"/>
      <c r="CC229" s="41"/>
      <c r="CD229" s="41"/>
      <c r="CE229" s="41"/>
      <c r="CF229" s="41"/>
      <c r="CG229" s="41"/>
      <c r="CH229" s="41"/>
      <c r="CI229" s="41"/>
      <c r="CJ229" s="41"/>
      <c r="CK229" s="41"/>
      <c r="CL229" s="41"/>
      <c r="CM229" s="41"/>
      <c r="CN229" s="41"/>
      <c r="CO229" s="41"/>
      <c r="CP229" s="41"/>
      <c r="CQ229" s="41"/>
      <c r="CR229" s="41"/>
      <c r="CS229" s="41"/>
      <c r="CT229" s="41"/>
      <c r="CU229" s="41"/>
      <c r="CV229" s="41"/>
      <c r="CW229" s="41"/>
      <c r="CX229" s="41"/>
      <c r="CY229" s="41"/>
      <c r="CZ229" s="41"/>
      <c r="DA229" s="51"/>
      <c r="DB229" s="51"/>
      <c r="DC229" s="51"/>
      <c r="DD229" s="51"/>
      <c r="DE229" s="51"/>
      <c r="DF229" s="51"/>
      <c r="DG229" s="51"/>
      <c r="DH229" s="51"/>
      <c r="DI229" s="51"/>
      <c r="DJ229" s="51"/>
      <c r="DK229" s="51"/>
      <c r="DL229" s="51"/>
      <c r="DM229" s="51"/>
      <c r="DN229" s="51"/>
      <c r="DO229" s="51"/>
      <c r="DP229" s="51"/>
      <c r="DQ229" s="51"/>
      <c r="DR229" s="51"/>
      <c r="DS229" s="51"/>
      <c r="DT229" s="51"/>
      <c r="DU229" s="51"/>
      <c r="DV229" s="51"/>
      <c r="DW229" s="51"/>
      <c r="DX229" s="51"/>
      <c r="DY229" s="51"/>
      <c r="DZ229" s="51"/>
      <c r="EA229" s="51"/>
      <c r="EB229" s="51"/>
      <c r="EC229" s="51"/>
      <c r="ED229" s="51"/>
      <c r="EE229" s="51"/>
      <c r="EF229" s="51"/>
      <c r="EG229" s="51"/>
      <c r="EH229" s="51"/>
      <c r="EI229" s="51"/>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row>
    <row r="230" spans="1:175" s="13" customFormat="1" ht="16.100000000000001" customHeight="1">
      <c r="A230" s="1976"/>
      <c r="B230" s="204" t="s">
        <v>142</v>
      </c>
      <c r="C230" s="243" t="str">
        <f>IF(INDEX(Eingabedaten!$GM$9:$GV$53,nutzid,MATCH($B230,Eingabedaten!$GM$6:$HQ$6,0))=0,"",INDEX(Eingabedaten!$GM$9:$GV$53,nutzid,MATCH($B230,Eingabedaten!$GM$6:$HQ$6,0)))</f>
        <v>- Im Schlafzimmer erhöhter Schallschutz</v>
      </c>
      <c r="D230" s="243"/>
      <c r="E230" s="243"/>
      <c r="F230" s="243"/>
      <c r="G230" s="14"/>
      <c r="H230" s="14"/>
      <c r="I230" s="243"/>
      <c r="J230" s="243"/>
      <c r="K230" s="243"/>
      <c r="L230" s="10"/>
      <c r="M230" s="243"/>
      <c r="N230" s="14"/>
      <c r="O230" s="704"/>
      <c r="P230" s="393"/>
      <c r="Q230" s="392">
        <v>1</v>
      </c>
      <c r="R230" s="243"/>
      <c r="S230" s="243"/>
      <c r="T230" s="65"/>
      <c r="U230" s="65"/>
      <c r="V230" s="65"/>
      <c r="W230" s="63"/>
      <c r="X230" s="64"/>
      <c r="Y230" s="64"/>
      <c r="Z230" s="64"/>
      <c r="AA230" s="64"/>
      <c r="AB230" s="64"/>
      <c r="AC230" s="64"/>
      <c r="AD230" s="64"/>
      <c r="AE230" s="64"/>
      <c r="AF230" s="65"/>
      <c r="AG230" s="65"/>
      <c r="AH230" s="65"/>
      <c r="AI230" s="65"/>
      <c r="AJ230" s="65"/>
      <c r="AK230" s="65"/>
      <c r="AL230" s="65"/>
      <c r="AM230" s="65"/>
      <c r="AN230" s="65"/>
      <c r="AO230" s="65"/>
      <c r="AP230" s="65"/>
      <c r="AQ230" s="65"/>
      <c r="AR230" s="65"/>
      <c r="AS230" s="66"/>
      <c r="AT230" s="66"/>
      <c r="AU230" s="66"/>
      <c r="AV230" s="66"/>
      <c r="AW230" s="41"/>
      <c r="AX230" s="41"/>
      <c r="AY230" s="41"/>
      <c r="AZ230" s="41"/>
      <c r="BA230" s="41"/>
      <c r="BB230" s="41"/>
      <c r="BC230" s="41"/>
      <c r="BD230" s="41"/>
      <c r="BE230" s="41"/>
      <c r="BF230" s="41"/>
      <c r="BG230" s="41"/>
      <c r="BH230" s="41"/>
      <c r="BI230" s="41"/>
      <c r="BJ230" s="41"/>
      <c r="BK230" s="41"/>
      <c r="BL230" s="41"/>
      <c r="BM230" s="41"/>
      <c r="BN230" s="41"/>
      <c r="BO230" s="41"/>
      <c r="BP230" s="41"/>
      <c r="BQ230" s="41"/>
      <c r="BR230" s="41"/>
      <c r="BS230" s="41"/>
      <c r="BT230" s="41"/>
      <c r="BU230" s="41"/>
      <c r="BV230" s="41"/>
      <c r="BW230" s="41"/>
      <c r="BX230" s="41"/>
      <c r="BY230" s="41"/>
      <c r="BZ230" s="41"/>
      <c r="CA230" s="41"/>
      <c r="CB230" s="41"/>
      <c r="CC230" s="41"/>
      <c r="CD230" s="41"/>
      <c r="CE230" s="41"/>
      <c r="CF230" s="41"/>
      <c r="CG230" s="41"/>
      <c r="CH230" s="41"/>
      <c r="CI230" s="41"/>
      <c r="CJ230" s="41"/>
      <c r="CK230" s="41"/>
      <c r="CL230" s="41"/>
      <c r="CM230" s="41"/>
      <c r="CN230" s="41"/>
      <c r="CO230" s="41"/>
      <c r="CP230" s="41"/>
      <c r="CQ230" s="41"/>
      <c r="CR230" s="41"/>
      <c r="CS230" s="41"/>
      <c r="CT230" s="41"/>
      <c r="CU230" s="41"/>
      <c r="CV230" s="41"/>
      <c r="CW230" s="41"/>
      <c r="CX230" s="41"/>
      <c r="CY230" s="41"/>
      <c r="CZ230" s="41"/>
      <c r="DA230" s="51"/>
      <c r="DB230" s="51"/>
      <c r="DC230" s="51"/>
      <c r="DD230" s="51"/>
      <c r="DE230" s="51"/>
      <c r="DF230" s="51"/>
      <c r="DG230" s="51"/>
      <c r="DH230" s="51"/>
      <c r="DI230" s="51"/>
      <c r="DJ230" s="51"/>
      <c r="DK230" s="51"/>
      <c r="DL230" s="51"/>
      <c r="DM230" s="51"/>
      <c r="DN230" s="51"/>
      <c r="DO230" s="51"/>
      <c r="DP230" s="51"/>
      <c r="DQ230" s="51"/>
      <c r="DR230" s="51"/>
      <c r="DS230" s="51"/>
      <c r="DT230" s="51"/>
      <c r="DU230" s="51"/>
      <c r="DV230" s="51"/>
      <c r="DW230" s="51"/>
      <c r="DX230" s="51"/>
      <c r="DY230" s="51"/>
      <c r="DZ230" s="51"/>
      <c r="EA230" s="51"/>
      <c r="EB230" s="51"/>
      <c r="EC230" s="51"/>
      <c r="ED230" s="51"/>
      <c r="EE230" s="51"/>
      <c r="EF230" s="51"/>
      <c r="EG230" s="51"/>
      <c r="EH230" s="51"/>
      <c r="EI230" s="51"/>
      <c r="EJ230" s="40"/>
      <c r="EK230" s="40"/>
      <c r="EL230" s="40"/>
      <c r="EM230" s="40"/>
      <c r="EN230" s="40"/>
      <c r="EO230" s="40"/>
      <c r="EP230" s="40"/>
      <c r="EQ230" s="40"/>
      <c r="ER230" s="40"/>
      <c r="ES230" s="40"/>
      <c r="ET230" s="40"/>
      <c r="EU230" s="40"/>
      <c r="EV230" s="40"/>
      <c r="EW230" s="40"/>
      <c r="EX230" s="40"/>
      <c r="EY230" s="40"/>
      <c r="EZ230" s="40"/>
      <c r="FA230" s="40"/>
      <c r="FB230" s="40"/>
      <c r="FC230" s="40"/>
      <c r="FD230" s="40"/>
      <c r="FE230" s="40"/>
      <c r="FF230" s="40"/>
      <c r="FG230" s="40"/>
      <c r="FH230" s="40"/>
      <c r="FI230" s="40"/>
      <c r="FJ230" s="40"/>
      <c r="FK230" s="40"/>
      <c r="FL230" s="40"/>
      <c r="FM230" s="40"/>
      <c r="FN230" s="40"/>
      <c r="FO230" s="40"/>
      <c r="FP230" s="40"/>
      <c r="FQ230" s="40"/>
      <c r="FR230" s="40"/>
      <c r="FS230" s="40"/>
    </row>
    <row r="231" spans="1:175" s="13" customFormat="1" ht="5.25" customHeight="1">
      <c r="A231" s="1976"/>
      <c r="B231" s="204"/>
      <c r="C231" s="243"/>
      <c r="D231" s="243"/>
      <c r="E231" s="243"/>
      <c r="F231" s="243"/>
      <c r="G231" s="14"/>
      <c r="H231" s="14"/>
      <c r="I231" s="243"/>
      <c r="J231" s="243"/>
      <c r="K231" s="243"/>
      <c r="L231" s="10"/>
      <c r="M231" s="243"/>
      <c r="N231" s="14"/>
      <c r="O231" s="704"/>
      <c r="P231" s="393"/>
      <c r="Q231" s="392">
        <v>1</v>
      </c>
      <c r="R231" s="243"/>
      <c r="S231" s="243"/>
      <c r="T231" s="65"/>
      <c r="U231" s="65"/>
      <c r="V231" s="65"/>
      <c r="W231" s="63"/>
      <c r="X231" s="64"/>
      <c r="Y231" s="64"/>
      <c r="Z231" s="64"/>
      <c r="AA231" s="64"/>
      <c r="AB231" s="64"/>
      <c r="AC231" s="64"/>
      <c r="AD231" s="64"/>
      <c r="AE231" s="64"/>
      <c r="AF231" s="65"/>
      <c r="AG231" s="65"/>
      <c r="AH231" s="65"/>
      <c r="AI231" s="65"/>
      <c r="AJ231" s="65"/>
      <c r="AK231" s="65"/>
      <c r="AL231" s="65"/>
      <c r="AM231" s="65"/>
      <c r="AN231" s="65"/>
      <c r="AO231" s="65"/>
      <c r="AP231" s="65"/>
      <c r="AQ231" s="65"/>
      <c r="AR231" s="65"/>
      <c r="AS231" s="66"/>
      <c r="AT231" s="66"/>
      <c r="AU231" s="66"/>
      <c r="AV231" s="66"/>
      <c r="AW231" s="41"/>
      <c r="AX231" s="41"/>
      <c r="AY231" s="41"/>
      <c r="AZ231" s="41"/>
      <c r="BA231" s="41"/>
      <c r="BB231" s="41"/>
      <c r="BC231" s="41"/>
      <c r="BD231" s="41"/>
      <c r="BE231" s="41"/>
      <c r="BF231" s="41"/>
      <c r="BG231" s="41"/>
      <c r="BH231" s="41"/>
      <c r="BI231" s="41"/>
      <c r="BJ231" s="41"/>
      <c r="BK231" s="41"/>
      <c r="BL231" s="41"/>
      <c r="BM231" s="41"/>
      <c r="BN231" s="41"/>
      <c r="BO231" s="41"/>
      <c r="BP231" s="41"/>
      <c r="BQ231" s="41"/>
      <c r="BR231" s="41"/>
      <c r="BS231" s="41"/>
      <c r="BT231" s="41"/>
      <c r="BU231" s="41"/>
      <c r="BV231" s="41"/>
      <c r="BW231" s="41"/>
      <c r="BX231" s="41"/>
      <c r="BY231" s="41"/>
      <c r="BZ231" s="41"/>
      <c r="CA231" s="41"/>
      <c r="CB231" s="41"/>
      <c r="CC231" s="41"/>
      <c r="CD231" s="41"/>
      <c r="CE231" s="41"/>
      <c r="CF231" s="41"/>
      <c r="CG231" s="41"/>
      <c r="CH231" s="41"/>
      <c r="CI231" s="41"/>
      <c r="CJ231" s="41"/>
      <c r="CK231" s="41"/>
      <c r="CL231" s="41"/>
      <c r="CM231" s="41"/>
      <c r="CN231" s="41"/>
      <c r="CO231" s="41"/>
      <c r="CP231" s="41"/>
      <c r="CQ231" s="41"/>
      <c r="CR231" s="41"/>
      <c r="CS231" s="41"/>
      <c r="CT231" s="41"/>
      <c r="CU231" s="41"/>
      <c r="CV231" s="41"/>
      <c r="CW231" s="41"/>
      <c r="CX231" s="41"/>
      <c r="CY231" s="41"/>
      <c r="CZ231" s="41"/>
      <c r="DA231" s="51"/>
      <c r="DB231" s="51"/>
      <c r="DC231" s="51"/>
      <c r="DD231" s="51"/>
      <c r="DE231" s="51"/>
      <c r="DF231" s="51"/>
      <c r="DG231" s="51"/>
      <c r="DH231" s="51"/>
      <c r="DI231" s="51"/>
      <c r="DJ231" s="51"/>
      <c r="DK231" s="51"/>
      <c r="DL231" s="51"/>
      <c r="DM231" s="51"/>
      <c r="DN231" s="51"/>
      <c r="DO231" s="51"/>
      <c r="DP231" s="51"/>
      <c r="DQ231" s="51"/>
      <c r="DR231" s="51"/>
      <c r="DS231" s="51"/>
      <c r="DT231" s="51"/>
      <c r="DU231" s="51"/>
      <c r="DV231" s="51"/>
      <c r="DW231" s="51"/>
      <c r="DX231" s="51"/>
      <c r="DY231" s="51"/>
      <c r="DZ231" s="51"/>
      <c r="EA231" s="51"/>
      <c r="EB231" s="51"/>
      <c r="EC231" s="51"/>
      <c r="ED231" s="51"/>
      <c r="EE231" s="51"/>
      <c r="EF231" s="51"/>
      <c r="EG231" s="51"/>
      <c r="EH231" s="51"/>
      <c r="EI231" s="51"/>
      <c r="EJ231" s="40"/>
      <c r="EK231" s="40"/>
      <c r="EL231" s="40"/>
      <c r="EM231" s="40"/>
      <c r="EN231" s="40"/>
      <c r="EO231" s="40"/>
      <c r="EP231" s="40"/>
      <c r="EQ231" s="40"/>
      <c r="ER231" s="40"/>
      <c r="ES231" s="40"/>
      <c r="ET231" s="40"/>
      <c r="EU231" s="40"/>
      <c r="EV231" s="40"/>
      <c r="EW231" s="40"/>
      <c r="EX231" s="40"/>
      <c r="EY231" s="40"/>
      <c r="EZ231" s="40"/>
      <c r="FA231" s="40"/>
      <c r="FB231" s="40"/>
      <c r="FC231" s="40"/>
      <c r="FD231" s="40"/>
      <c r="FE231" s="40"/>
      <c r="FF231" s="40"/>
      <c r="FG231" s="40"/>
      <c r="FH231" s="40"/>
      <c r="FI231" s="40"/>
      <c r="FJ231" s="40"/>
      <c r="FK231" s="40"/>
      <c r="FL231" s="40"/>
      <c r="FM231" s="40"/>
      <c r="FN231" s="40"/>
      <c r="FO231" s="40"/>
      <c r="FP231" s="40"/>
      <c r="FQ231" s="40"/>
      <c r="FR231" s="40"/>
      <c r="FS231" s="40"/>
    </row>
    <row r="232" spans="1:175" s="13" customFormat="1" ht="16.100000000000001" customHeight="1">
      <c r="A232" s="1976"/>
      <c r="B232" s="204" t="s">
        <v>143</v>
      </c>
      <c r="C232" s="243" t="str">
        <f>IF(INDEX(Eingabedaten!$GM$9:$GV$53,nutzid,MATCH($B232,Eingabedaten!$GM$6:$HQ$6,0))=0,"",INDEX(Eingabedaten!$GM$9:$GV$53,nutzid,MATCH($B232,Eingabedaten!$GM$6:$HQ$6,0)))</f>
        <v/>
      </c>
      <c r="D232" s="243"/>
      <c r="E232" s="243"/>
      <c r="F232" s="243"/>
      <c r="G232" s="14"/>
      <c r="H232" s="14"/>
      <c r="I232" s="243"/>
      <c r="J232" s="243"/>
      <c r="K232" s="243"/>
      <c r="L232" s="10"/>
      <c r="M232" s="243"/>
      <c r="N232" s="14"/>
      <c r="O232" s="704"/>
      <c r="P232" s="393"/>
      <c r="Q232" s="392">
        <v>1</v>
      </c>
      <c r="R232" s="243"/>
      <c r="S232" s="243"/>
      <c r="T232" s="65"/>
      <c r="U232" s="65"/>
      <c r="V232" s="65"/>
      <c r="W232" s="63"/>
      <c r="X232" s="64"/>
      <c r="Y232" s="64"/>
      <c r="Z232" s="64"/>
      <c r="AA232" s="64"/>
      <c r="AB232" s="64"/>
      <c r="AC232" s="64"/>
      <c r="AD232" s="64"/>
      <c r="AE232" s="64"/>
      <c r="AF232" s="65"/>
      <c r="AG232" s="65"/>
      <c r="AH232" s="65"/>
      <c r="AI232" s="65"/>
      <c r="AJ232" s="65"/>
      <c r="AK232" s="65"/>
      <c r="AL232" s="65"/>
      <c r="AM232" s="65"/>
      <c r="AN232" s="65"/>
      <c r="AO232" s="65"/>
      <c r="AP232" s="65"/>
      <c r="AQ232" s="65"/>
      <c r="AR232" s="65"/>
      <c r="AS232" s="66"/>
      <c r="AT232" s="66"/>
      <c r="AU232" s="66"/>
      <c r="AV232" s="66"/>
      <c r="AW232" s="41"/>
      <c r="AX232" s="41"/>
      <c r="AY232" s="41"/>
      <c r="AZ232" s="41"/>
      <c r="BA232" s="41"/>
      <c r="BB232" s="41"/>
      <c r="BC232" s="41"/>
      <c r="BD232" s="41"/>
      <c r="BE232" s="41"/>
      <c r="BF232" s="41"/>
      <c r="BG232" s="41"/>
      <c r="BH232" s="41"/>
      <c r="BI232" s="41"/>
      <c r="BJ232" s="41"/>
      <c r="BK232" s="41"/>
      <c r="BL232" s="41"/>
      <c r="BM232" s="41"/>
      <c r="BN232" s="41"/>
      <c r="BO232" s="41"/>
      <c r="BP232" s="41"/>
      <c r="BQ232" s="41"/>
      <c r="BR232" s="41"/>
      <c r="BS232" s="41"/>
      <c r="BT232" s="41"/>
      <c r="BU232" s="41"/>
      <c r="BV232" s="41"/>
      <c r="BW232" s="41"/>
      <c r="BX232" s="41"/>
      <c r="BY232" s="41"/>
      <c r="BZ232" s="41"/>
      <c r="CA232" s="41"/>
      <c r="CB232" s="41"/>
      <c r="CC232" s="41"/>
      <c r="CD232" s="41"/>
      <c r="CE232" s="41"/>
      <c r="CF232" s="41"/>
      <c r="CG232" s="41"/>
      <c r="CH232" s="41"/>
      <c r="CI232" s="41"/>
      <c r="CJ232" s="41"/>
      <c r="CK232" s="41"/>
      <c r="CL232" s="41"/>
      <c r="CM232" s="41"/>
      <c r="CN232" s="41"/>
      <c r="CO232" s="41"/>
      <c r="CP232" s="41"/>
      <c r="CQ232" s="41"/>
      <c r="CR232" s="41"/>
      <c r="CS232" s="41"/>
      <c r="CT232" s="41"/>
      <c r="CU232" s="41"/>
      <c r="CV232" s="41"/>
      <c r="CW232" s="41"/>
      <c r="CX232" s="41"/>
      <c r="CY232" s="41"/>
      <c r="CZ232" s="41"/>
      <c r="DA232" s="51"/>
      <c r="DB232" s="51"/>
      <c r="DC232" s="51"/>
      <c r="DD232" s="51"/>
      <c r="DE232" s="51"/>
      <c r="DF232" s="51"/>
      <c r="DG232" s="51"/>
      <c r="DH232" s="51"/>
      <c r="DI232" s="51"/>
      <c r="DJ232" s="51"/>
      <c r="DK232" s="51"/>
      <c r="DL232" s="51"/>
      <c r="DM232" s="51"/>
      <c r="DN232" s="51"/>
      <c r="DO232" s="51"/>
      <c r="DP232" s="51"/>
      <c r="DQ232" s="51"/>
      <c r="DR232" s="51"/>
      <c r="DS232" s="51"/>
      <c r="DT232" s="51"/>
      <c r="DU232" s="51"/>
      <c r="DV232" s="51"/>
      <c r="DW232" s="51"/>
      <c r="DX232" s="51"/>
      <c r="DY232" s="51"/>
      <c r="DZ232" s="51"/>
      <c r="EA232" s="51"/>
      <c r="EB232" s="51"/>
      <c r="EC232" s="51"/>
      <c r="ED232" s="51"/>
      <c r="EE232" s="51"/>
      <c r="EF232" s="51"/>
      <c r="EG232" s="51"/>
      <c r="EH232" s="51"/>
      <c r="EI232" s="51"/>
      <c r="EJ232" s="40"/>
      <c r="EK232" s="40"/>
      <c r="EL232" s="40"/>
      <c r="EM232" s="40"/>
      <c r="EN232" s="40"/>
      <c r="EO232" s="40"/>
      <c r="EP232" s="40"/>
      <c r="EQ232" s="40"/>
      <c r="ER232" s="40"/>
      <c r="ES232" s="40"/>
      <c r="ET232" s="40"/>
      <c r="EU232" s="40"/>
      <c r="EV232" s="40"/>
      <c r="EW232" s="40"/>
      <c r="EX232" s="40"/>
      <c r="EY232" s="40"/>
      <c r="EZ232" s="40"/>
      <c r="FA232" s="40"/>
      <c r="FB232" s="40"/>
      <c r="FC232" s="40"/>
      <c r="FD232" s="40"/>
      <c r="FE232" s="40"/>
      <c r="FF232" s="40"/>
      <c r="FG232" s="40"/>
      <c r="FH232" s="40"/>
      <c r="FI232" s="40"/>
      <c r="FJ232" s="40"/>
      <c r="FK232" s="40"/>
      <c r="FL232" s="40"/>
      <c r="FM232" s="40"/>
      <c r="FN232" s="40"/>
      <c r="FO232" s="40"/>
      <c r="FP232" s="40"/>
      <c r="FQ232" s="40"/>
      <c r="FR232" s="40"/>
      <c r="FS232" s="40"/>
    </row>
    <row r="233" spans="1:175" s="13" customFormat="1" ht="5.25" customHeight="1">
      <c r="A233" s="1976"/>
      <c r="B233" s="204"/>
      <c r="C233" s="243"/>
      <c r="D233" s="243"/>
      <c r="E233" s="243"/>
      <c r="F233" s="243"/>
      <c r="G233" s="14"/>
      <c r="H233" s="14"/>
      <c r="I233" s="243"/>
      <c r="J233" s="243"/>
      <c r="K233" s="243"/>
      <c r="L233" s="10"/>
      <c r="M233" s="243"/>
      <c r="N233" s="14"/>
      <c r="O233" s="704"/>
      <c r="P233" s="393"/>
      <c r="Q233" s="392">
        <v>1</v>
      </c>
      <c r="R233" s="243"/>
      <c r="S233" s="243"/>
      <c r="T233" s="65"/>
      <c r="U233" s="65"/>
      <c r="V233" s="65"/>
      <c r="W233" s="63"/>
      <c r="X233" s="64"/>
      <c r="Y233" s="64"/>
      <c r="Z233" s="64"/>
      <c r="AA233" s="64"/>
      <c r="AB233" s="64"/>
      <c r="AC233" s="64"/>
      <c r="AD233" s="64"/>
      <c r="AE233" s="64"/>
      <c r="AF233" s="65"/>
      <c r="AG233" s="65"/>
      <c r="AH233" s="65"/>
      <c r="AI233" s="65"/>
      <c r="AJ233" s="65"/>
      <c r="AK233" s="65"/>
      <c r="AL233" s="65"/>
      <c r="AM233" s="65"/>
      <c r="AN233" s="65"/>
      <c r="AO233" s="65"/>
      <c r="AP233" s="65"/>
      <c r="AQ233" s="65"/>
      <c r="AR233" s="65"/>
      <c r="AS233" s="66"/>
      <c r="AT233" s="66"/>
      <c r="AU233" s="66"/>
      <c r="AV233" s="66"/>
      <c r="AW233" s="41"/>
      <c r="AX233" s="41"/>
      <c r="AY233" s="41"/>
      <c r="AZ233" s="41"/>
      <c r="BA233" s="41"/>
      <c r="BB233" s="41"/>
      <c r="BC233" s="41"/>
      <c r="BD233" s="41"/>
      <c r="BE233" s="41"/>
      <c r="BF233" s="41"/>
      <c r="BG233" s="41"/>
      <c r="BH233" s="41"/>
      <c r="BI233" s="41"/>
      <c r="BJ233" s="41"/>
      <c r="BK233" s="41"/>
      <c r="BL233" s="41"/>
      <c r="BM233" s="41"/>
      <c r="BN233" s="41"/>
      <c r="BO233" s="41"/>
      <c r="BP233" s="41"/>
      <c r="BQ233" s="41"/>
      <c r="BR233" s="41"/>
      <c r="BS233" s="41"/>
      <c r="BT233" s="41"/>
      <c r="BU233" s="41"/>
      <c r="BV233" s="41"/>
      <c r="BW233" s="41"/>
      <c r="BX233" s="41"/>
      <c r="BY233" s="41"/>
      <c r="BZ233" s="41"/>
      <c r="CA233" s="41"/>
      <c r="CB233" s="41"/>
      <c r="CC233" s="41"/>
      <c r="CD233" s="41"/>
      <c r="CE233" s="41"/>
      <c r="CF233" s="41"/>
      <c r="CG233" s="41"/>
      <c r="CH233" s="41"/>
      <c r="CI233" s="41"/>
      <c r="CJ233" s="41"/>
      <c r="CK233" s="41"/>
      <c r="CL233" s="41"/>
      <c r="CM233" s="41"/>
      <c r="CN233" s="41"/>
      <c r="CO233" s="41"/>
      <c r="CP233" s="41"/>
      <c r="CQ233" s="41"/>
      <c r="CR233" s="41"/>
      <c r="CS233" s="41"/>
      <c r="CT233" s="41"/>
      <c r="CU233" s="41"/>
      <c r="CV233" s="41"/>
      <c r="CW233" s="41"/>
      <c r="CX233" s="41"/>
      <c r="CY233" s="41"/>
      <c r="CZ233" s="41"/>
      <c r="DA233" s="51"/>
      <c r="DB233" s="51"/>
      <c r="DC233" s="51"/>
      <c r="DD233" s="51"/>
      <c r="DE233" s="51"/>
      <c r="DF233" s="51"/>
      <c r="DG233" s="51"/>
      <c r="DH233" s="51"/>
      <c r="DI233" s="51"/>
      <c r="DJ233" s="51"/>
      <c r="DK233" s="51"/>
      <c r="DL233" s="51"/>
      <c r="DM233" s="51"/>
      <c r="DN233" s="51"/>
      <c r="DO233" s="51"/>
      <c r="DP233" s="51"/>
      <c r="DQ233" s="51"/>
      <c r="DR233" s="51"/>
      <c r="DS233" s="51"/>
      <c r="DT233" s="51"/>
      <c r="DU233" s="51"/>
      <c r="DV233" s="51"/>
      <c r="DW233" s="51"/>
      <c r="DX233" s="51"/>
      <c r="DY233" s="51"/>
      <c r="DZ233" s="51"/>
      <c r="EA233" s="51"/>
      <c r="EB233" s="51"/>
      <c r="EC233" s="51"/>
      <c r="ED233" s="51"/>
      <c r="EE233" s="51"/>
      <c r="EF233" s="51"/>
      <c r="EG233" s="51"/>
      <c r="EH233" s="51"/>
      <c r="EI233" s="51"/>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row>
    <row r="234" spans="1:175" s="13" customFormat="1" ht="16.100000000000001" customHeight="1">
      <c r="A234" s="1976"/>
      <c r="B234" s="204" t="s">
        <v>144</v>
      </c>
      <c r="C234" s="243" t="str">
        <f>IF(INDEX(Eingabedaten!$GM$9:$GV$53,nutzid,MATCH($B234,Eingabedaten!$GM$6:$HQ$6,0))=0,"",INDEX(Eingabedaten!$GM$9:$GV$53,nutzid,MATCH($B234,Eingabedaten!$GM$6:$HQ$6,0)))</f>
        <v>- Keine Lüftungsanlage im Bestand</v>
      </c>
      <c r="D234" s="243"/>
      <c r="E234" s="243"/>
      <c r="F234" s="243"/>
      <c r="G234" s="14"/>
      <c r="H234" s="14"/>
      <c r="I234" s="243"/>
      <c r="J234" s="243"/>
      <c r="K234" s="243"/>
      <c r="L234" s="10"/>
      <c r="M234" s="243"/>
      <c r="N234" s="14"/>
      <c r="O234" s="704"/>
      <c r="P234" s="393"/>
      <c r="Q234" s="392">
        <v>1</v>
      </c>
      <c r="R234" s="243"/>
      <c r="S234" s="243"/>
      <c r="T234" s="65"/>
      <c r="U234" s="65"/>
      <c r="V234" s="65"/>
      <c r="W234" s="63"/>
      <c r="X234" s="64"/>
      <c r="Y234" s="64"/>
      <c r="Z234" s="64"/>
      <c r="AA234" s="64"/>
      <c r="AB234" s="64"/>
      <c r="AC234" s="64"/>
      <c r="AD234" s="64"/>
      <c r="AE234" s="64"/>
      <c r="AF234" s="65"/>
      <c r="AG234" s="65"/>
      <c r="AH234" s="65"/>
      <c r="AI234" s="65"/>
      <c r="AJ234" s="65"/>
      <c r="AK234" s="65"/>
      <c r="AL234" s="65"/>
      <c r="AM234" s="65"/>
      <c r="AN234" s="65"/>
      <c r="AO234" s="65"/>
      <c r="AP234" s="65"/>
      <c r="AQ234" s="65"/>
      <c r="AR234" s="65"/>
      <c r="AS234" s="66"/>
      <c r="AT234" s="66"/>
      <c r="AU234" s="66"/>
      <c r="AV234" s="66"/>
      <c r="AW234" s="41"/>
      <c r="AX234" s="41"/>
      <c r="AY234" s="41"/>
      <c r="AZ234" s="41"/>
      <c r="BA234" s="41"/>
      <c r="BB234" s="41"/>
      <c r="BC234" s="41"/>
      <c r="BD234" s="41"/>
      <c r="BE234" s="41"/>
      <c r="BF234" s="41"/>
      <c r="BG234" s="41"/>
      <c r="BH234" s="41"/>
      <c r="BI234" s="41"/>
      <c r="BJ234" s="41"/>
      <c r="BK234" s="41"/>
      <c r="BL234" s="41"/>
      <c r="BM234" s="41"/>
      <c r="BN234" s="41"/>
      <c r="BO234" s="41"/>
      <c r="BP234" s="41"/>
      <c r="BQ234" s="41"/>
      <c r="BR234" s="41"/>
      <c r="BS234" s="41"/>
      <c r="BT234" s="41"/>
      <c r="BU234" s="41"/>
      <c r="BV234" s="41"/>
      <c r="BW234" s="41"/>
      <c r="BX234" s="41"/>
      <c r="BY234" s="41"/>
      <c r="BZ234" s="41"/>
      <c r="CA234" s="41"/>
      <c r="CB234" s="41"/>
      <c r="CC234" s="41"/>
      <c r="CD234" s="41"/>
      <c r="CE234" s="41"/>
      <c r="CF234" s="41"/>
      <c r="CG234" s="41"/>
      <c r="CH234" s="41"/>
      <c r="CI234" s="41"/>
      <c r="CJ234" s="41"/>
      <c r="CK234" s="41"/>
      <c r="CL234" s="41"/>
      <c r="CM234" s="41"/>
      <c r="CN234" s="41"/>
      <c r="CO234" s="41"/>
      <c r="CP234" s="41"/>
      <c r="CQ234" s="41"/>
      <c r="CR234" s="41"/>
      <c r="CS234" s="41"/>
      <c r="CT234" s="41"/>
      <c r="CU234" s="41"/>
      <c r="CV234" s="41"/>
      <c r="CW234" s="41"/>
      <c r="CX234" s="41"/>
      <c r="CY234" s="41"/>
      <c r="CZ234" s="41"/>
      <c r="DA234" s="51"/>
      <c r="DB234" s="51"/>
      <c r="DC234" s="51"/>
      <c r="DD234" s="51"/>
      <c r="DE234" s="51"/>
      <c r="DF234" s="51"/>
      <c r="DG234" s="51"/>
      <c r="DH234" s="51"/>
      <c r="DI234" s="51"/>
      <c r="DJ234" s="51"/>
      <c r="DK234" s="51"/>
      <c r="DL234" s="51"/>
      <c r="DM234" s="51"/>
      <c r="DN234" s="51"/>
      <c r="DO234" s="51"/>
      <c r="DP234" s="51"/>
      <c r="DQ234" s="51"/>
      <c r="DR234" s="51"/>
      <c r="DS234" s="51"/>
      <c r="DT234" s="51"/>
      <c r="DU234" s="51"/>
      <c r="DV234" s="51"/>
      <c r="DW234" s="51"/>
      <c r="DX234" s="51"/>
      <c r="DY234" s="51"/>
      <c r="DZ234" s="51"/>
      <c r="EA234" s="51"/>
      <c r="EB234" s="51"/>
      <c r="EC234" s="51"/>
      <c r="ED234" s="51"/>
      <c r="EE234" s="51"/>
      <c r="EF234" s="51"/>
      <c r="EG234" s="51"/>
      <c r="EH234" s="51"/>
      <c r="EI234" s="51"/>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row>
    <row r="235" spans="1:175" s="13" customFormat="1" ht="5.25" customHeight="1">
      <c r="A235" s="1976"/>
      <c r="B235" s="204"/>
      <c r="C235" s="243"/>
      <c r="D235" s="243"/>
      <c r="E235" s="243"/>
      <c r="F235" s="243"/>
      <c r="G235" s="14"/>
      <c r="H235" s="14"/>
      <c r="I235" s="243"/>
      <c r="J235" s="243"/>
      <c r="K235" s="243"/>
      <c r="L235" s="10"/>
      <c r="M235" s="243"/>
      <c r="N235" s="14"/>
      <c r="O235" s="704"/>
      <c r="P235" s="393"/>
      <c r="Q235" s="392">
        <v>1</v>
      </c>
      <c r="R235" s="243"/>
      <c r="S235" s="243"/>
      <c r="T235" s="65"/>
      <c r="U235" s="65"/>
      <c r="V235" s="65"/>
      <c r="W235" s="63"/>
      <c r="X235" s="64"/>
      <c r="Y235" s="64"/>
      <c r="Z235" s="64"/>
      <c r="AA235" s="64"/>
      <c r="AB235" s="64"/>
      <c r="AC235" s="64"/>
      <c r="AD235" s="64"/>
      <c r="AE235" s="64"/>
      <c r="AF235" s="65"/>
      <c r="AG235" s="65"/>
      <c r="AH235" s="65"/>
      <c r="AI235" s="65"/>
      <c r="AJ235" s="65"/>
      <c r="AK235" s="65"/>
      <c r="AL235" s="65"/>
      <c r="AM235" s="65"/>
      <c r="AN235" s="65"/>
      <c r="AO235" s="65"/>
      <c r="AP235" s="65"/>
      <c r="AQ235" s="65"/>
      <c r="AR235" s="65"/>
      <c r="AS235" s="66"/>
      <c r="AT235" s="66"/>
      <c r="AU235" s="66"/>
      <c r="AV235" s="66"/>
      <c r="AW235" s="41"/>
      <c r="AX235" s="41"/>
      <c r="AY235" s="41"/>
      <c r="AZ235" s="41"/>
      <c r="BA235" s="41"/>
      <c r="BB235" s="41"/>
      <c r="BC235" s="41"/>
      <c r="BD235" s="41"/>
      <c r="BE235" s="41"/>
      <c r="BF235" s="41"/>
      <c r="BG235" s="41"/>
      <c r="BH235" s="41"/>
      <c r="BI235" s="41"/>
      <c r="BJ235" s="41"/>
      <c r="BK235" s="41"/>
      <c r="BL235" s="41"/>
      <c r="BM235" s="41"/>
      <c r="BN235" s="41"/>
      <c r="BO235" s="41"/>
      <c r="BP235" s="41"/>
      <c r="BQ235" s="41"/>
      <c r="BR235" s="41"/>
      <c r="BS235" s="41"/>
      <c r="BT235" s="41"/>
      <c r="BU235" s="41"/>
      <c r="BV235" s="41"/>
      <c r="BW235" s="41"/>
      <c r="BX235" s="41"/>
      <c r="BY235" s="41"/>
      <c r="BZ235" s="41"/>
      <c r="CA235" s="41"/>
      <c r="CB235" s="41"/>
      <c r="CC235" s="41"/>
      <c r="CD235" s="41"/>
      <c r="CE235" s="41"/>
      <c r="CF235" s="41"/>
      <c r="CG235" s="41"/>
      <c r="CH235" s="41"/>
      <c r="CI235" s="41"/>
      <c r="CJ235" s="41"/>
      <c r="CK235" s="41"/>
      <c r="CL235" s="41"/>
      <c r="CM235" s="41"/>
      <c r="CN235" s="41"/>
      <c r="CO235" s="41"/>
      <c r="CP235" s="41"/>
      <c r="CQ235" s="41"/>
      <c r="CR235" s="41"/>
      <c r="CS235" s="41"/>
      <c r="CT235" s="41"/>
      <c r="CU235" s="41"/>
      <c r="CV235" s="41"/>
      <c r="CW235" s="41"/>
      <c r="CX235" s="41"/>
      <c r="CY235" s="41"/>
      <c r="CZ235" s="41"/>
      <c r="DA235" s="51"/>
      <c r="DB235" s="51"/>
      <c r="DC235" s="51"/>
      <c r="DD235" s="51"/>
      <c r="DE235" s="51"/>
      <c r="DF235" s="51"/>
      <c r="DG235" s="51"/>
      <c r="DH235" s="51"/>
      <c r="DI235" s="51"/>
      <c r="DJ235" s="51"/>
      <c r="DK235" s="51"/>
      <c r="DL235" s="51"/>
      <c r="DM235" s="51"/>
      <c r="DN235" s="51"/>
      <c r="DO235" s="51"/>
      <c r="DP235" s="51"/>
      <c r="DQ235" s="51"/>
      <c r="DR235" s="51"/>
      <c r="DS235" s="51"/>
      <c r="DT235" s="51"/>
      <c r="DU235" s="51"/>
      <c r="DV235" s="51"/>
      <c r="DW235" s="51"/>
      <c r="DX235" s="51"/>
      <c r="DY235" s="51"/>
      <c r="DZ235" s="51"/>
      <c r="EA235" s="51"/>
      <c r="EB235" s="51"/>
      <c r="EC235" s="51"/>
      <c r="ED235" s="51"/>
      <c r="EE235" s="51"/>
      <c r="EF235" s="51"/>
      <c r="EG235" s="51"/>
      <c r="EH235" s="51"/>
      <c r="EI235" s="51"/>
      <c r="EJ235" s="40"/>
      <c r="EK235" s="40"/>
      <c r="EL235" s="40"/>
      <c r="EM235" s="40"/>
      <c r="EN235" s="40"/>
      <c r="EO235" s="40"/>
      <c r="EP235" s="40"/>
      <c r="EQ235" s="40"/>
      <c r="ER235" s="40"/>
      <c r="ES235" s="40"/>
      <c r="ET235" s="40"/>
      <c r="EU235" s="40"/>
      <c r="EV235" s="40"/>
      <c r="EW235" s="40"/>
      <c r="EX235" s="40"/>
      <c r="EY235" s="40"/>
      <c r="EZ235" s="40"/>
      <c r="FA235" s="40"/>
      <c r="FB235" s="40"/>
      <c r="FC235" s="40"/>
      <c r="FD235" s="40"/>
      <c r="FE235" s="40"/>
      <c r="FF235" s="40"/>
      <c r="FG235" s="40"/>
      <c r="FH235" s="40"/>
      <c r="FI235" s="40"/>
      <c r="FJ235" s="40"/>
      <c r="FK235" s="40"/>
      <c r="FL235" s="40"/>
      <c r="FM235" s="40"/>
      <c r="FN235" s="40"/>
      <c r="FO235" s="40"/>
      <c r="FP235" s="40"/>
      <c r="FQ235" s="40"/>
      <c r="FR235" s="40"/>
      <c r="FS235" s="40"/>
    </row>
    <row r="236" spans="1:175" s="13" customFormat="1" ht="16.100000000000001" customHeight="1">
      <c r="A236" s="1976"/>
      <c r="B236" s="204" t="s">
        <v>145</v>
      </c>
      <c r="C236" s="243" t="str">
        <f>IF(INDEX(Eingabedaten!$GM$9:$GV$53,nutzid,MATCH($B236,Eingabedaten!$GM$6:$HQ$6,0))=0,"",INDEX(Eingabedaten!$GM$9:$GV$53,nutzid,MATCH($B236,Eingabedaten!$GM$6:$HQ$6,0)))</f>
        <v>- Der Klimakälteleistungsbedarf und der jährliche Klimakältebedarf gelten für Räume ohne unterstützende Fensterlüftung</v>
      </c>
      <c r="D236" s="243"/>
      <c r="E236" s="243"/>
      <c r="F236" s="243"/>
      <c r="G236" s="14"/>
      <c r="H236" s="14"/>
      <c r="I236" s="243"/>
      <c r="J236" s="243"/>
      <c r="K236" s="243"/>
      <c r="L236" s="10"/>
      <c r="M236" s="243"/>
      <c r="N236" s="14"/>
      <c r="O236" s="704"/>
      <c r="P236" s="393"/>
      <c r="Q236" s="392">
        <v>1</v>
      </c>
      <c r="R236" s="243"/>
      <c r="S236" s="243"/>
      <c r="T236" s="65"/>
      <c r="U236" s="65"/>
      <c r="V236" s="65"/>
      <c r="W236" s="63"/>
      <c r="X236" s="64"/>
      <c r="Y236" s="64"/>
      <c r="Z236" s="64"/>
      <c r="AA236" s="64"/>
      <c r="AB236" s="64"/>
      <c r="AC236" s="64"/>
      <c r="AD236" s="64"/>
      <c r="AE236" s="64"/>
      <c r="AF236" s="65"/>
      <c r="AG236" s="65"/>
      <c r="AH236" s="65"/>
      <c r="AI236" s="65"/>
      <c r="AJ236" s="65"/>
      <c r="AK236" s="65"/>
      <c r="AL236" s="65"/>
      <c r="AM236" s="65"/>
      <c r="AN236" s="65"/>
      <c r="AO236" s="65"/>
      <c r="AP236" s="65"/>
      <c r="AQ236" s="65"/>
      <c r="AR236" s="65"/>
      <c r="AS236" s="66"/>
      <c r="AT236" s="66"/>
      <c r="AU236" s="66"/>
      <c r="AV236" s="66"/>
      <c r="AW236" s="41"/>
      <c r="AX236" s="41"/>
      <c r="AY236" s="41"/>
      <c r="AZ236" s="41"/>
      <c r="BA236" s="41"/>
      <c r="BB236" s="41"/>
      <c r="BC236" s="41"/>
      <c r="BD236" s="41"/>
      <c r="BE236" s="41"/>
      <c r="BF236" s="41"/>
      <c r="BG236" s="41"/>
      <c r="BH236" s="41"/>
      <c r="BI236" s="41"/>
      <c r="BJ236" s="41"/>
      <c r="BK236" s="41"/>
      <c r="BL236" s="41"/>
      <c r="BM236" s="41"/>
      <c r="BN236" s="41"/>
      <c r="BO236" s="41"/>
      <c r="BP236" s="41"/>
      <c r="BQ236" s="41"/>
      <c r="BR236" s="41"/>
      <c r="BS236" s="41"/>
      <c r="BT236" s="41"/>
      <c r="BU236" s="41"/>
      <c r="BV236" s="41"/>
      <c r="BW236" s="41"/>
      <c r="BX236" s="41"/>
      <c r="BY236" s="41"/>
      <c r="BZ236" s="41"/>
      <c r="CA236" s="41"/>
      <c r="CB236" s="41"/>
      <c r="CC236" s="41"/>
      <c r="CD236" s="41"/>
      <c r="CE236" s="41"/>
      <c r="CF236" s="41"/>
      <c r="CG236" s="41"/>
      <c r="CH236" s="41"/>
      <c r="CI236" s="41"/>
      <c r="CJ236" s="41"/>
      <c r="CK236" s="41"/>
      <c r="CL236" s="41"/>
      <c r="CM236" s="41"/>
      <c r="CN236" s="41"/>
      <c r="CO236" s="41"/>
      <c r="CP236" s="41"/>
      <c r="CQ236" s="41"/>
      <c r="CR236" s="41"/>
      <c r="CS236" s="41"/>
      <c r="CT236" s="41"/>
      <c r="CU236" s="41"/>
      <c r="CV236" s="41"/>
      <c r="CW236" s="41"/>
      <c r="CX236" s="41"/>
      <c r="CY236" s="41"/>
      <c r="CZ236" s="41"/>
      <c r="DA236" s="51"/>
      <c r="DB236" s="51"/>
      <c r="DC236" s="51"/>
      <c r="DD236" s="51"/>
      <c r="DE236" s="51"/>
      <c r="DF236" s="51"/>
      <c r="DG236" s="51"/>
      <c r="DH236" s="51"/>
      <c r="DI236" s="51"/>
      <c r="DJ236" s="51"/>
      <c r="DK236" s="51"/>
      <c r="DL236" s="51"/>
      <c r="DM236" s="51"/>
      <c r="DN236" s="51"/>
      <c r="DO236" s="51"/>
      <c r="DP236" s="51"/>
      <c r="DQ236" s="51"/>
      <c r="DR236" s="51"/>
      <c r="DS236" s="51"/>
      <c r="DT236" s="51"/>
      <c r="DU236" s="51"/>
      <c r="DV236" s="51"/>
      <c r="DW236" s="51"/>
      <c r="DX236" s="51"/>
      <c r="DY236" s="51"/>
      <c r="DZ236" s="51"/>
      <c r="EA236" s="51"/>
      <c r="EB236" s="51"/>
      <c r="EC236" s="51"/>
      <c r="ED236" s="51"/>
      <c r="EE236" s="51"/>
      <c r="EF236" s="51"/>
      <c r="EG236" s="51"/>
      <c r="EH236" s="51"/>
      <c r="EI236" s="51"/>
      <c r="EJ236" s="40"/>
      <c r="EK236" s="40"/>
      <c r="EL236" s="40"/>
      <c r="EM236" s="40"/>
      <c r="EN236" s="40"/>
      <c r="EO236" s="40"/>
      <c r="EP236" s="40"/>
      <c r="EQ236" s="40"/>
      <c r="ER236" s="40"/>
      <c r="ES236" s="40"/>
      <c r="ET236" s="40"/>
      <c r="EU236" s="40"/>
      <c r="EV236" s="40"/>
      <c r="EW236" s="40"/>
      <c r="EX236" s="40"/>
      <c r="EY236" s="40"/>
      <c r="EZ236" s="40"/>
      <c r="FA236" s="40"/>
      <c r="FB236" s="40"/>
      <c r="FC236" s="40"/>
      <c r="FD236" s="40"/>
      <c r="FE236" s="40"/>
      <c r="FF236" s="40"/>
      <c r="FG236" s="40"/>
      <c r="FH236" s="40"/>
      <c r="FI236" s="40"/>
      <c r="FJ236" s="40"/>
      <c r="FK236" s="40"/>
      <c r="FL236" s="40"/>
      <c r="FM236" s="40"/>
      <c r="FN236" s="40"/>
      <c r="FO236" s="40"/>
      <c r="FP236" s="40"/>
      <c r="FQ236" s="40"/>
      <c r="FR236" s="40"/>
      <c r="FS236" s="40"/>
    </row>
    <row r="237" spans="1:175" s="13" customFormat="1" ht="5.25" customHeight="1">
      <c r="A237" s="1976"/>
      <c r="B237" s="204"/>
      <c r="C237" s="243"/>
      <c r="D237" s="243"/>
      <c r="E237" s="243"/>
      <c r="F237" s="243"/>
      <c r="G237" s="14"/>
      <c r="H237" s="14"/>
      <c r="I237" s="243"/>
      <c r="J237" s="243"/>
      <c r="K237" s="243"/>
      <c r="L237" s="10"/>
      <c r="M237" s="243"/>
      <c r="N237" s="14"/>
      <c r="O237" s="704"/>
      <c r="P237" s="393"/>
      <c r="Q237" s="392">
        <v>1</v>
      </c>
      <c r="R237" s="243"/>
      <c r="S237" s="243"/>
      <c r="T237" s="65"/>
      <c r="U237" s="65"/>
      <c r="V237" s="65"/>
      <c r="W237" s="63"/>
      <c r="X237" s="64"/>
      <c r="Y237" s="64"/>
      <c r="Z237" s="64"/>
      <c r="AA237" s="64"/>
      <c r="AB237" s="64"/>
      <c r="AC237" s="64"/>
      <c r="AD237" s="64"/>
      <c r="AE237" s="64"/>
      <c r="AF237" s="65"/>
      <c r="AG237" s="65"/>
      <c r="AH237" s="65"/>
      <c r="AI237" s="65"/>
      <c r="AJ237" s="65"/>
      <c r="AK237" s="65"/>
      <c r="AL237" s="65"/>
      <c r="AM237" s="65"/>
      <c r="AN237" s="65"/>
      <c r="AO237" s="65"/>
      <c r="AP237" s="65"/>
      <c r="AQ237" s="65"/>
      <c r="AR237" s="65"/>
      <c r="AS237" s="66"/>
      <c r="AT237" s="66"/>
      <c r="AU237" s="66"/>
      <c r="AV237" s="66"/>
      <c r="AW237" s="41"/>
      <c r="AX237" s="41"/>
      <c r="AY237" s="41"/>
      <c r="AZ237" s="41"/>
      <c r="BA237" s="41"/>
      <c r="BB237" s="41"/>
      <c r="BC237" s="41"/>
      <c r="BD237" s="41"/>
      <c r="BE237" s="41"/>
      <c r="BF237" s="41"/>
      <c r="BG237" s="41"/>
      <c r="BH237" s="41"/>
      <c r="BI237" s="41"/>
      <c r="BJ237" s="41"/>
      <c r="BK237" s="41"/>
      <c r="BL237" s="41"/>
      <c r="BM237" s="41"/>
      <c r="BN237" s="41"/>
      <c r="BO237" s="41"/>
      <c r="BP237" s="41"/>
      <c r="BQ237" s="41"/>
      <c r="BR237" s="41"/>
      <c r="BS237" s="41"/>
      <c r="BT237" s="41"/>
      <c r="BU237" s="41"/>
      <c r="BV237" s="41"/>
      <c r="BW237" s="41"/>
      <c r="BX237" s="41"/>
      <c r="BY237" s="41"/>
      <c r="BZ237" s="41"/>
      <c r="CA237" s="41"/>
      <c r="CB237" s="41"/>
      <c r="CC237" s="41"/>
      <c r="CD237" s="41"/>
      <c r="CE237" s="41"/>
      <c r="CF237" s="41"/>
      <c r="CG237" s="41"/>
      <c r="CH237" s="41"/>
      <c r="CI237" s="41"/>
      <c r="CJ237" s="41"/>
      <c r="CK237" s="41"/>
      <c r="CL237" s="41"/>
      <c r="CM237" s="41"/>
      <c r="CN237" s="41"/>
      <c r="CO237" s="41"/>
      <c r="CP237" s="41"/>
      <c r="CQ237" s="41"/>
      <c r="CR237" s="41"/>
      <c r="CS237" s="41"/>
      <c r="CT237" s="41"/>
      <c r="CU237" s="41"/>
      <c r="CV237" s="41"/>
      <c r="CW237" s="41"/>
      <c r="CX237" s="41"/>
      <c r="CY237" s="41"/>
      <c r="CZ237" s="41"/>
      <c r="DA237" s="51"/>
      <c r="DB237" s="51"/>
      <c r="DC237" s="51"/>
      <c r="DD237" s="51"/>
      <c r="DE237" s="51"/>
      <c r="DF237" s="51"/>
      <c r="DG237" s="51"/>
      <c r="DH237" s="51"/>
      <c r="DI237" s="51"/>
      <c r="DJ237" s="51"/>
      <c r="DK237" s="51"/>
      <c r="DL237" s="51"/>
      <c r="DM237" s="51"/>
      <c r="DN237" s="51"/>
      <c r="DO237" s="51"/>
      <c r="DP237" s="51"/>
      <c r="DQ237" s="51"/>
      <c r="DR237" s="51"/>
      <c r="DS237" s="51"/>
      <c r="DT237" s="51"/>
      <c r="DU237" s="51"/>
      <c r="DV237" s="51"/>
      <c r="DW237" s="51"/>
      <c r="DX237" s="51"/>
      <c r="DY237" s="51"/>
      <c r="DZ237" s="51"/>
      <c r="EA237" s="51"/>
      <c r="EB237" s="51"/>
      <c r="EC237" s="51"/>
      <c r="ED237" s="51"/>
      <c r="EE237" s="51"/>
      <c r="EF237" s="51"/>
      <c r="EG237" s="51"/>
      <c r="EH237" s="51"/>
      <c r="EI237" s="51"/>
      <c r="EJ237" s="40"/>
      <c r="EK237" s="40"/>
      <c r="EL237" s="40"/>
      <c r="EM237" s="40"/>
      <c r="EN237" s="40"/>
      <c r="EO237" s="40"/>
      <c r="EP237" s="40"/>
      <c r="EQ237" s="40"/>
      <c r="ER237" s="40"/>
      <c r="ES237" s="40"/>
      <c r="ET237" s="40"/>
      <c r="EU237" s="40"/>
      <c r="EV237" s="40"/>
      <c r="EW237" s="40"/>
      <c r="EX237" s="40"/>
      <c r="EY237" s="40"/>
      <c r="EZ237" s="40"/>
      <c r="FA237" s="40"/>
      <c r="FB237" s="40"/>
      <c r="FC237" s="40"/>
      <c r="FD237" s="40"/>
      <c r="FE237" s="40"/>
      <c r="FF237" s="40"/>
      <c r="FG237" s="40"/>
      <c r="FH237" s="40"/>
      <c r="FI237" s="40"/>
      <c r="FJ237" s="40"/>
      <c r="FK237" s="40"/>
      <c r="FL237" s="40"/>
      <c r="FM237" s="40"/>
      <c r="FN237" s="40"/>
      <c r="FO237" s="40"/>
      <c r="FP237" s="40"/>
      <c r="FQ237" s="40"/>
      <c r="FR237" s="40"/>
      <c r="FS237" s="40"/>
    </row>
    <row r="238" spans="1:175" s="13" customFormat="1" ht="16.100000000000001" customHeight="1">
      <c r="A238" s="1976"/>
      <c r="B238" s="204" t="s">
        <v>146</v>
      </c>
      <c r="C238" s="243" t="str">
        <f>IF(INDEX(Eingabedaten!$GM$9:$GV$53,nutzid,MATCH($B238,Eingabedaten!$GM$6:$HQ$6,0))=0,"",INDEX(Eingabedaten!$GM$9:$GV$53,nutzid,MATCH($B238,Eingabedaten!$GM$6:$HQ$6,0)))</f>
        <v/>
      </c>
      <c r="D238" s="243"/>
      <c r="E238" s="243"/>
      <c r="F238" s="243"/>
      <c r="G238" s="14"/>
      <c r="H238" s="14"/>
      <c r="I238" s="243"/>
      <c r="J238" s="243"/>
      <c r="K238" s="243"/>
      <c r="L238" s="10"/>
      <c r="M238" s="243"/>
      <c r="N238" s="14"/>
      <c r="O238" s="704"/>
      <c r="P238" s="393"/>
      <c r="Q238" s="392">
        <v>1</v>
      </c>
      <c r="R238" s="243"/>
      <c r="S238" s="243"/>
      <c r="T238" s="65"/>
      <c r="U238" s="65"/>
      <c r="V238" s="65"/>
      <c r="W238" s="63"/>
      <c r="X238" s="64"/>
      <c r="Y238" s="64"/>
      <c r="Z238" s="64"/>
      <c r="AA238" s="64"/>
      <c r="AB238" s="64"/>
      <c r="AC238" s="64"/>
      <c r="AD238" s="64"/>
      <c r="AE238" s="64"/>
      <c r="AF238" s="65"/>
      <c r="AG238" s="65"/>
      <c r="AH238" s="65"/>
      <c r="AI238" s="65"/>
      <c r="AJ238" s="65"/>
      <c r="AK238" s="65"/>
      <c r="AL238" s="65"/>
      <c r="AM238" s="65"/>
      <c r="AN238" s="65"/>
      <c r="AO238" s="65"/>
      <c r="AP238" s="65"/>
      <c r="AQ238" s="65"/>
      <c r="AR238" s="65"/>
      <c r="AS238" s="66"/>
      <c r="AT238" s="66"/>
      <c r="AU238" s="66"/>
      <c r="AV238" s="66"/>
      <c r="AW238" s="41"/>
      <c r="AX238" s="41"/>
      <c r="AY238" s="41"/>
      <c r="AZ238" s="41"/>
      <c r="BA238" s="41"/>
      <c r="BB238" s="41"/>
      <c r="BC238" s="41"/>
      <c r="BD238" s="41"/>
      <c r="BE238" s="41"/>
      <c r="BF238" s="41"/>
      <c r="BG238" s="41"/>
      <c r="BH238" s="41"/>
      <c r="BI238" s="41"/>
      <c r="BJ238" s="41"/>
      <c r="BK238" s="41"/>
      <c r="BL238" s="41"/>
      <c r="BM238" s="41"/>
      <c r="BN238" s="41"/>
      <c r="BO238" s="41"/>
      <c r="BP238" s="41"/>
      <c r="BQ238" s="41"/>
      <c r="BR238" s="41"/>
      <c r="BS238" s="41"/>
      <c r="BT238" s="41"/>
      <c r="BU238" s="41"/>
      <c r="BV238" s="41"/>
      <c r="BW238" s="41"/>
      <c r="BX238" s="41"/>
      <c r="BY238" s="41"/>
      <c r="BZ238" s="41"/>
      <c r="CA238" s="41"/>
      <c r="CB238" s="41"/>
      <c r="CC238" s="41"/>
      <c r="CD238" s="41"/>
      <c r="CE238" s="41"/>
      <c r="CF238" s="41"/>
      <c r="CG238" s="41"/>
      <c r="CH238" s="41"/>
      <c r="CI238" s="41"/>
      <c r="CJ238" s="41"/>
      <c r="CK238" s="41"/>
      <c r="CL238" s="41"/>
      <c r="CM238" s="41"/>
      <c r="CN238" s="41"/>
      <c r="CO238" s="41"/>
      <c r="CP238" s="41"/>
      <c r="CQ238" s="41"/>
      <c r="CR238" s="41"/>
      <c r="CS238" s="41"/>
      <c r="CT238" s="41"/>
      <c r="CU238" s="41"/>
      <c r="CV238" s="41"/>
      <c r="CW238" s="41"/>
      <c r="CX238" s="41"/>
      <c r="CY238" s="41"/>
      <c r="CZ238" s="41"/>
      <c r="DA238" s="51"/>
      <c r="DB238" s="51"/>
      <c r="DC238" s="51"/>
      <c r="DD238" s="51"/>
      <c r="DE238" s="51"/>
      <c r="DF238" s="51"/>
      <c r="DG238" s="51"/>
      <c r="DH238" s="51"/>
      <c r="DI238" s="51"/>
      <c r="DJ238" s="51"/>
      <c r="DK238" s="51"/>
      <c r="DL238" s="51"/>
      <c r="DM238" s="51"/>
      <c r="DN238" s="51"/>
      <c r="DO238" s="51"/>
      <c r="DP238" s="51"/>
      <c r="DQ238" s="51"/>
      <c r="DR238" s="51"/>
      <c r="DS238" s="51"/>
      <c r="DT238" s="51"/>
      <c r="DU238" s="51"/>
      <c r="DV238" s="51"/>
      <c r="DW238" s="51"/>
      <c r="DX238" s="51"/>
      <c r="DY238" s="51"/>
      <c r="DZ238" s="51"/>
      <c r="EA238" s="51"/>
      <c r="EB238" s="51"/>
      <c r="EC238" s="51"/>
      <c r="ED238" s="51"/>
      <c r="EE238" s="51"/>
      <c r="EF238" s="51"/>
      <c r="EG238" s="51"/>
      <c r="EH238" s="51"/>
      <c r="EI238" s="51"/>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row>
    <row r="239" spans="1:175" s="13" customFormat="1" ht="5.25" customHeight="1">
      <c r="A239" s="1976"/>
      <c r="B239" s="204"/>
      <c r="C239" s="243"/>
      <c r="D239" s="243"/>
      <c r="E239" s="243"/>
      <c r="F239" s="243"/>
      <c r="G239" s="14"/>
      <c r="H239" s="14"/>
      <c r="I239" s="243"/>
      <c r="J239" s="243"/>
      <c r="K239" s="243"/>
      <c r="L239" s="10"/>
      <c r="M239" s="243"/>
      <c r="N239" s="14"/>
      <c r="O239" s="704"/>
      <c r="P239" s="393"/>
      <c r="Q239" s="392">
        <v>1</v>
      </c>
      <c r="R239" s="243"/>
      <c r="S239" s="243"/>
      <c r="T239" s="65"/>
      <c r="U239" s="65"/>
      <c r="V239" s="65"/>
      <c r="W239" s="63"/>
      <c r="X239" s="64"/>
      <c r="Y239" s="64"/>
      <c r="Z239" s="64"/>
      <c r="AA239" s="64"/>
      <c r="AB239" s="64"/>
      <c r="AC239" s="64"/>
      <c r="AD239" s="64"/>
      <c r="AE239" s="64"/>
      <c r="AF239" s="65"/>
      <c r="AG239" s="65"/>
      <c r="AH239" s="65"/>
      <c r="AI239" s="65"/>
      <c r="AJ239" s="65"/>
      <c r="AK239" s="65"/>
      <c r="AL239" s="65"/>
      <c r="AM239" s="65"/>
      <c r="AN239" s="65"/>
      <c r="AO239" s="65"/>
      <c r="AP239" s="65"/>
      <c r="AQ239" s="65"/>
      <c r="AR239" s="65"/>
      <c r="AS239" s="66"/>
      <c r="AT239" s="66"/>
      <c r="AU239" s="66"/>
      <c r="AV239" s="66"/>
      <c r="AW239" s="41"/>
      <c r="AX239" s="41"/>
      <c r="AY239" s="41"/>
      <c r="AZ239" s="41"/>
      <c r="BA239" s="41"/>
      <c r="BB239" s="41"/>
      <c r="BC239" s="41"/>
      <c r="BD239" s="41"/>
      <c r="BE239" s="41"/>
      <c r="BF239" s="41"/>
      <c r="BG239" s="41"/>
      <c r="BH239" s="41"/>
      <c r="BI239" s="41"/>
      <c r="BJ239" s="41"/>
      <c r="BK239" s="41"/>
      <c r="BL239" s="41"/>
      <c r="BM239" s="41"/>
      <c r="BN239" s="41"/>
      <c r="BO239" s="41"/>
      <c r="BP239" s="41"/>
      <c r="BQ239" s="41"/>
      <c r="BR239" s="41"/>
      <c r="BS239" s="41"/>
      <c r="BT239" s="41"/>
      <c r="BU239" s="41"/>
      <c r="BV239" s="41"/>
      <c r="BW239" s="41"/>
      <c r="BX239" s="41"/>
      <c r="BY239" s="41"/>
      <c r="BZ239" s="41"/>
      <c r="CA239" s="41"/>
      <c r="CB239" s="41"/>
      <c r="CC239" s="41"/>
      <c r="CD239" s="41"/>
      <c r="CE239" s="41"/>
      <c r="CF239" s="41"/>
      <c r="CG239" s="41"/>
      <c r="CH239" s="41"/>
      <c r="CI239" s="41"/>
      <c r="CJ239" s="41"/>
      <c r="CK239" s="41"/>
      <c r="CL239" s="41"/>
      <c r="CM239" s="41"/>
      <c r="CN239" s="41"/>
      <c r="CO239" s="41"/>
      <c r="CP239" s="41"/>
      <c r="CQ239" s="41"/>
      <c r="CR239" s="41"/>
      <c r="CS239" s="41"/>
      <c r="CT239" s="41"/>
      <c r="CU239" s="41"/>
      <c r="CV239" s="41"/>
      <c r="CW239" s="41"/>
      <c r="CX239" s="41"/>
      <c r="CY239" s="41"/>
      <c r="CZ239" s="41"/>
      <c r="DA239" s="51"/>
      <c r="DB239" s="51"/>
      <c r="DC239" s="51"/>
      <c r="DD239" s="51"/>
      <c r="DE239" s="51"/>
      <c r="DF239" s="51"/>
      <c r="DG239" s="51"/>
      <c r="DH239" s="51"/>
      <c r="DI239" s="51"/>
      <c r="DJ239" s="51"/>
      <c r="DK239" s="51"/>
      <c r="DL239" s="51"/>
      <c r="DM239" s="51"/>
      <c r="DN239" s="51"/>
      <c r="DO239" s="51"/>
      <c r="DP239" s="51"/>
      <c r="DQ239" s="51"/>
      <c r="DR239" s="51"/>
      <c r="DS239" s="51"/>
      <c r="DT239" s="51"/>
      <c r="DU239" s="51"/>
      <c r="DV239" s="51"/>
      <c r="DW239" s="51"/>
      <c r="DX239" s="51"/>
      <c r="DY239" s="51"/>
      <c r="DZ239" s="51"/>
      <c r="EA239" s="51"/>
      <c r="EB239" s="51"/>
      <c r="EC239" s="51"/>
      <c r="ED239" s="51"/>
      <c r="EE239" s="51"/>
      <c r="EF239" s="51"/>
      <c r="EG239" s="51"/>
      <c r="EH239" s="51"/>
      <c r="EI239" s="51"/>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row>
    <row r="240" spans="1:175" s="13" customFormat="1" ht="16.100000000000001" customHeight="1">
      <c r="A240" s="1976"/>
      <c r="B240" s="204" t="s">
        <v>147</v>
      </c>
      <c r="C240" s="243" t="str">
        <f>IF(INDEX(Eingabedaten!$GM$9:$GV$53,nutzid,MATCH($B240,Eingabedaten!$GM$6:$HQ$6,0))=0,"",INDEX(Eingabedaten!$GM$9:$GV$53,nutzid,MATCH($B240,Eingabedaten!$GM$6:$HQ$6,0)))</f>
        <v>- Wasser- und Warmwasserbedarf pro Person</v>
      </c>
      <c r="D240" s="243"/>
      <c r="E240" s="243"/>
      <c r="F240" s="243"/>
      <c r="G240" s="14"/>
      <c r="H240" s="14"/>
      <c r="I240" s="243"/>
      <c r="J240" s="243"/>
      <c r="K240" s="243"/>
      <c r="L240" s="10"/>
      <c r="M240" s="243"/>
      <c r="N240" s="14"/>
      <c r="O240" s="704"/>
      <c r="P240" s="393"/>
      <c r="Q240" s="392">
        <v>1</v>
      </c>
      <c r="R240" s="243"/>
      <c r="S240" s="243"/>
      <c r="T240" s="65"/>
      <c r="U240" s="65"/>
      <c r="V240" s="65"/>
      <c r="W240" s="63"/>
      <c r="X240" s="64"/>
      <c r="Y240" s="64"/>
      <c r="Z240" s="64"/>
      <c r="AA240" s="64"/>
      <c r="AB240" s="64"/>
      <c r="AC240" s="64"/>
      <c r="AD240" s="64"/>
      <c r="AE240" s="64"/>
      <c r="AF240" s="65"/>
      <c r="AG240" s="65"/>
      <c r="AH240" s="65"/>
      <c r="AI240" s="65"/>
      <c r="AJ240" s="65"/>
      <c r="AK240" s="65"/>
      <c r="AL240" s="65"/>
      <c r="AM240" s="65"/>
      <c r="AN240" s="65"/>
      <c r="AO240" s="65"/>
      <c r="AP240" s="65"/>
      <c r="AQ240" s="65"/>
      <c r="AR240" s="65"/>
      <c r="AS240" s="66"/>
      <c r="AT240" s="66"/>
      <c r="AU240" s="66"/>
      <c r="AV240" s="66"/>
      <c r="AW240" s="41"/>
      <c r="AX240" s="41"/>
      <c r="AY240" s="41"/>
      <c r="AZ240" s="41"/>
      <c r="BA240" s="41"/>
      <c r="BB240" s="41"/>
      <c r="BC240" s="41"/>
      <c r="BD240" s="41"/>
      <c r="BE240" s="41"/>
      <c r="BF240" s="41"/>
      <c r="BG240" s="41"/>
      <c r="BH240" s="41"/>
      <c r="BI240" s="41"/>
      <c r="BJ240" s="41"/>
      <c r="BK240" s="41"/>
      <c r="BL240" s="41"/>
      <c r="BM240" s="41"/>
      <c r="BN240" s="41"/>
      <c r="BO240" s="41"/>
      <c r="BP240" s="41"/>
      <c r="BQ240" s="41"/>
      <c r="BR240" s="41"/>
      <c r="BS240" s="41"/>
      <c r="BT240" s="41"/>
      <c r="BU240" s="41"/>
      <c r="BV240" s="41"/>
      <c r="BW240" s="41"/>
      <c r="BX240" s="41"/>
      <c r="BY240" s="41"/>
      <c r="BZ240" s="41"/>
      <c r="CA240" s="41"/>
      <c r="CB240" s="41"/>
      <c r="CC240" s="41"/>
      <c r="CD240" s="41"/>
      <c r="CE240" s="41"/>
      <c r="CF240" s="41"/>
      <c r="CG240" s="41"/>
      <c r="CH240" s="41"/>
      <c r="CI240" s="41"/>
      <c r="CJ240" s="41"/>
      <c r="CK240" s="41"/>
      <c r="CL240" s="41"/>
      <c r="CM240" s="41"/>
      <c r="CN240" s="41"/>
      <c r="CO240" s="41"/>
      <c r="CP240" s="41"/>
      <c r="CQ240" s="41"/>
      <c r="CR240" s="41"/>
      <c r="CS240" s="41"/>
      <c r="CT240" s="41"/>
      <c r="CU240" s="41"/>
      <c r="CV240" s="41"/>
      <c r="CW240" s="41"/>
      <c r="CX240" s="41"/>
      <c r="CY240" s="41"/>
      <c r="CZ240" s="41"/>
      <c r="DA240" s="51"/>
      <c r="DB240" s="51"/>
      <c r="DC240" s="51"/>
      <c r="DD240" s="51"/>
      <c r="DE240" s="51"/>
      <c r="DF240" s="51"/>
      <c r="DG240" s="51"/>
      <c r="DH240" s="51"/>
      <c r="DI240" s="51"/>
      <c r="DJ240" s="51"/>
      <c r="DK240" s="51"/>
      <c r="DL240" s="51"/>
      <c r="DM240" s="51"/>
      <c r="DN240" s="51"/>
      <c r="DO240" s="51"/>
      <c r="DP240" s="51"/>
      <c r="DQ240" s="51"/>
      <c r="DR240" s="51"/>
      <c r="DS240" s="51"/>
      <c r="DT240" s="51"/>
      <c r="DU240" s="51"/>
      <c r="DV240" s="51"/>
      <c r="DW240" s="51"/>
      <c r="DX240" s="51"/>
      <c r="DY240" s="51"/>
      <c r="DZ240" s="51"/>
      <c r="EA240" s="51"/>
      <c r="EB240" s="51"/>
      <c r="EC240" s="51"/>
      <c r="ED240" s="51"/>
      <c r="EE240" s="51"/>
      <c r="EF240" s="51"/>
      <c r="EG240" s="51"/>
      <c r="EH240" s="51"/>
      <c r="EI240" s="51"/>
      <c r="EJ240" s="40"/>
      <c r="EK240" s="40"/>
      <c r="EL240" s="40"/>
      <c r="EM240" s="40"/>
      <c r="EN240" s="40"/>
      <c r="EO240" s="40"/>
      <c r="EP240" s="40"/>
      <c r="EQ240" s="40"/>
      <c r="ER240" s="40"/>
      <c r="ES240" s="40"/>
      <c r="ET240" s="40"/>
      <c r="EU240" s="40"/>
      <c r="EV240" s="40"/>
      <c r="EW240" s="40"/>
      <c r="EX240" s="40"/>
      <c r="EY240" s="40"/>
      <c r="EZ240" s="40"/>
      <c r="FA240" s="40"/>
      <c r="FB240" s="40"/>
      <c r="FC240" s="40"/>
      <c r="FD240" s="40"/>
      <c r="FE240" s="40"/>
      <c r="FF240" s="40"/>
      <c r="FG240" s="40"/>
      <c r="FH240" s="40"/>
      <c r="FI240" s="40"/>
      <c r="FJ240" s="40"/>
      <c r="FK240" s="40"/>
      <c r="FL240" s="40"/>
      <c r="FM240" s="40"/>
      <c r="FN240" s="40"/>
      <c r="FO240" s="40"/>
      <c r="FP240" s="40"/>
      <c r="FQ240" s="40"/>
      <c r="FR240" s="40"/>
      <c r="FS240" s="40"/>
    </row>
    <row r="241" spans="1:175" s="13" customFormat="1" ht="5.25" customHeight="1">
      <c r="A241" s="92"/>
      <c r="B241" s="204"/>
      <c r="C241" s="243"/>
      <c r="D241" s="243"/>
      <c r="E241" s="243"/>
      <c r="F241" s="243"/>
      <c r="G241" s="14"/>
      <c r="H241" s="14"/>
      <c r="I241" s="243"/>
      <c r="J241" s="243"/>
      <c r="K241" s="243"/>
      <c r="L241" s="10"/>
      <c r="M241" s="243"/>
      <c r="N241" s="14"/>
      <c r="O241" s="705"/>
      <c r="P241" s="393"/>
      <c r="Q241" s="392">
        <v>1</v>
      </c>
      <c r="R241" s="243"/>
      <c r="S241" s="243"/>
      <c r="T241" s="65"/>
      <c r="U241" s="65"/>
      <c r="V241" s="65"/>
      <c r="W241" s="63"/>
      <c r="X241" s="64"/>
      <c r="Y241" s="64"/>
      <c r="Z241" s="64"/>
      <c r="AA241" s="64"/>
      <c r="AB241" s="64"/>
      <c r="AC241" s="64"/>
      <c r="AD241" s="64"/>
      <c r="AE241" s="64"/>
      <c r="AF241" s="65"/>
      <c r="AG241" s="65"/>
      <c r="AH241" s="65"/>
      <c r="AI241" s="65"/>
      <c r="AJ241" s="65"/>
      <c r="AK241" s="65"/>
      <c r="AL241" s="65"/>
      <c r="AM241" s="65"/>
      <c r="AN241" s="65"/>
      <c r="AO241" s="65"/>
      <c r="AP241" s="65"/>
      <c r="AQ241" s="65"/>
      <c r="AR241" s="65"/>
      <c r="AS241" s="66"/>
      <c r="AT241" s="66"/>
      <c r="AU241" s="66"/>
      <c r="AV241" s="66"/>
      <c r="AW241" s="41"/>
      <c r="AX241" s="41"/>
      <c r="AY241" s="41"/>
      <c r="AZ241" s="41"/>
      <c r="BA241" s="41"/>
      <c r="BB241" s="41"/>
      <c r="BC241" s="41"/>
      <c r="BD241" s="41"/>
      <c r="BE241" s="41"/>
      <c r="BF241" s="41"/>
      <c r="BG241" s="41"/>
      <c r="BH241" s="41"/>
      <c r="BI241" s="41"/>
      <c r="BJ241" s="41"/>
      <c r="BK241" s="41"/>
      <c r="BL241" s="41"/>
      <c r="BM241" s="41"/>
      <c r="BN241" s="41"/>
      <c r="BO241" s="41"/>
      <c r="BP241" s="41"/>
      <c r="BQ241" s="41"/>
      <c r="BR241" s="41"/>
      <c r="BS241" s="41"/>
      <c r="BT241" s="41"/>
      <c r="BU241" s="41"/>
      <c r="BV241" s="41"/>
      <c r="BW241" s="41"/>
      <c r="BX241" s="41"/>
      <c r="BY241" s="41"/>
      <c r="BZ241" s="41"/>
      <c r="CA241" s="41"/>
      <c r="CB241" s="41"/>
      <c r="CC241" s="41"/>
      <c r="CD241" s="41"/>
      <c r="CE241" s="41"/>
      <c r="CF241" s="41"/>
      <c r="CG241" s="41"/>
      <c r="CH241" s="41"/>
      <c r="CI241" s="41"/>
      <c r="CJ241" s="41"/>
      <c r="CK241" s="41"/>
      <c r="CL241" s="41"/>
      <c r="CM241" s="41"/>
      <c r="CN241" s="41"/>
      <c r="CO241" s="41"/>
      <c r="CP241" s="41"/>
      <c r="CQ241" s="41"/>
      <c r="CR241" s="41"/>
      <c r="CS241" s="41"/>
      <c r="CT241" s="41"/>
      <c r="CU241" s="41"/>
      <c r="CV241" s="41"/>
      <c r="CW241" s="41"/>
      <c r="CX241" s="41"/>
      <c r="CY241" s="41"/>
      <c r="CZ241" s="41"/>
      <c r="DA241" s="51"/>
      <c r="DB241" s="51"/>
      <c r="DC241" s="51"/>
      <c r="DD241" s="51"/>
      <c r="DE241" s="51"/>
      <c r="DF241" s="51"/>
      <c r="DG241" s="51"/>
      <c r="DH241" s="51"/>
      <c r="DI241" s="51"/>
      <c r="DJ241" s="51"/>
      <c r="DK241" s="51"/>
      <c r="DL241" s="51"/>
      <c r="DM241" s="51"/>
      <c r="DN241" s="51"/>
      <c r="DO241" s="51"/>
      <c r="DP241" s="51"/>
      <c r="DQ241" s="51"/>
      <c r="DR241" s="51"/>
      <c r="DS241" s="51"/>
      <c r="DT241" s="51"/>
      <c r="DU241" s="51"/>
      <c r="DV241" s="51"/>
      <c r="DW241" s="51"/>
      <c r="DX241" s="51"/>
      <c r="DY241" s="51"/>
      <c r="DZ241" s="51"/>
      <c r="EA241" s="51"/>
      <c r="EB241" s="51"/>
      <c r="EC241" s="51"/>
      <c r="ED241" s="51"/>
      <c r="EE241" s="51"/>
      <c r="EF241" s="51"/>
      <c r="EG241" s="51"/>
      <c r="EH241" s="51"/>
      <c r="EI241" s="51"/>
      <c r="EJ241" s="40"/>
      <c r="EK241" s="40"/>
      <c r="EL241" s="40"/>
      <c r="EM241" s="40"/>
      <c r="EN241" s="40"/>
      <c r="EO241" s="40"/>
      <c r="EP241" s="40"/>
      <c r="EQ241" s="40"/>
      <c r="ER241" s="40"/>
      <c r="ES241" s="40"/>
      <c r="ET241" s="40"/>
      <c r="EU241" s="40"/>
      <c r="EV241" s="40"/>
      <c r="EW241" s="40"/>
      <c r="EX241" s="40"/>
      <c r="EY241" s="40"/>
      <c r="EZ241" s="40"/>
      <c r="FA241" s="40"/>
      <c r="FB241" s="40"/>
      <c r="FC241" s="40"/>
      <c r="FD241" s="40"/>
      <c r="FE241" s="40"/>
      <c r="FF241" s="40"/>
      <c r="FG241" s="40"/>
      <c r="FH241" s="40"/>
      <c r="FI241" s="40"/>
      <c r="FJ241" s="40"/>
      <c r="FK241" s="40"/>
      <c r="FL241" s="40"/>
      <c r="FM241" s="40"/>
      <c r="FN241" s="40"/>
      <c r="FO241" s="40"/>
      <c r="FP241" s="40"/>
      <c r="FQ241" s="40"/>
      <c r="FR241" s="40"/>
      <c r="FS241" s="40"/>
    </row>
    <row r="242" spans="1:175" s="13" customFormat="1" ht="2.25" customHeight="1">
      <c r="A242" s="113"/>
      <c r="B242" s="495" t="s">
        <v>22</v>
      </c>
      <c r="C242" s="136" t="s">
        <v>22</v>
      </c>
      <c r="D242" s="114"/>
      <c r="E242" s="114"/>
      <c r="F242" s="114"/>
      <c r="G242" s="114"/>
      <c r="H242" s="114"/>
      <c r="I242" s="115"/>
      <c r="J242" s="114"/>
      <c r="K242" s="114"/>
      <c r="L242" s="116"/>
      <c r="M242" s="116"/>
      <c r="N242" s="136"/>
      <c r="O242" s="452"/>
      <c r="P242" s="14"/>
      <c r="Q242" s="243"/>
      <c r="R242" s="243"/>
      <c r="S242" s="243"/>
      <c r="T242" s="65"/>
      <c r="U242" s="65"/>
      <c r="V242" s="65"/>
      <c r="W242" s="63"/>
      <c r="X242" s="64"/>
      <c r="Y242" s="64"/>
      <c r="Z242" s="64"/>
      <c r="AA242" s="64"/>
      <c r="AB242" s="64"/>
      <c r="AC242" s="64"/>
      <c r="AD242" s="64"/>
      <c r="AE242" s="64"/>
      <c r="AF242" s="65"/>
      <c r="AG242" s="65"/>
      <c r="AH242" s="65"/>
      <c r="AI242" s="65"/>
      <c r="AJ242" s="65"/>
      <c r="AK242" s="65"/>
      <c r="AL242" s="65"/>
      <c r="AM242" s="65"/>
      <c r="AN242" s="65"/>
      <c r="AO242" s="65"/>
      <c r="AP242" s="65"/>
      <c r="AQ242" s="65"/>
      <c r="AR242" s="65"/>
      <c r="AS242" s="66"/>
      <c r="AT242" s="66"/>
      <c r="AU242" s="66"/>
      <c r="AV242" s="66"/>
      <c r="AW242" s="41"/>
      <c r="AX242" s="41"/>
      <c r="AY242" s="41"/>
      <c r="AZ242" s="41"/>
      <c r="BA242" s="41"/>
      <c r="BB242" s="41"/>
      <c r="BC242" s="41"/>
      <c r="BD242" s="41"/>
      <c r="BE242" s="41"/>
      <c r="BF242" s="41"/>
      <c r="BG242" s="41"/>
      <c r="BH242" s="41"/>
      <c r="BI242" s="41"/>
      <c r="BJ242" s="41"/>
      <c r="BK242" s="41"/>
      <c r="BL242" s="41"/>
      <c r="BM242" s="41"/>
      <c r="BN242" s="41"/>
      <c r="BO242" s="41"/>
      <c r="BP242" s="41"/>
      <c r="BQ242" s="41"/>
      <c r="BR242" s="41"/>
      <c r="BS242" s="41"/>
      <c r="BT242" s="41"/>
      <c r="BU242" s="41"/>
      <c r="BV242" s="41"/>
      <c r="BW242" s="41"/>
      <c r="BX242" s="41"/>
      <c r="BY242" s="41"/>
      <c r="BZ242" s="41"/>
      <c r="CA242" s="41"/>
      <c r="CB242" s="41"/>
      <c r="CC242" s="41"/>
      <c r="CD242" s="41"/>
      <c r="CE242" s="41"/>
      <c r="CF242" s="41"/>
      <c r="CG242" s="41"/>
      <c r="CH242" s="41"/>
      <c r="CI242" s="41"/>
      <c r="CJ242" s="41"/>
      <c r="CK242" s="41"/>
      <c r="CL242" s="41"/>
      <c r="CM242" s="41"/>
      <c r="CN242" s="41"/>
      <c r="CO242" s="41"/>
      <c r="CP242" s="41"/>
      <c r="CQ242" s="41"/>
      <c r="CR242" s="41"/>
      <c r="CS242" s="41"/>
      <c r="CT242" s="41"/>
      <c r="CU242" s="41"/>
      <c r="CV242" s="41"/>
      <c r="CW242" s="41"/>
      <c r="CX242" s="41"/>
      <c r="CY242" s="41"/>
      <c r="CZ242" s="41"/>
      <c r="DA242" s="51"/>
      <c r="DB242" s="51"/>
      <c r="DC242" s="51"/>
      <c r="DD242" s="51"/>
      <c r="DE242" s="51"/>
      <c r="DF242" s="51"/>
      <c r="DG242" s="51"/>
      <c r="DH242" s="51"/>
      <c r="DI242" s="51"/>
      <c r="DJ242" s="51"/>
      <c r="DK242" s="51"/>
      <c r="DL242" s="51"/>
      <c r="DM242" s="51"/>
      <c r="DN242" s="51"/>
      <c r="DO242" s="51"/>
      <c r="DP242" s="51"/>
      <c r="DQ242" s="51"/>
      <c r="DR242" s="51"/>
      <c r="DS242" s="51"/>
      <c r="DT242" s="51"/>
      <c r="DU242" s="51"/>
      <c r="DV242" s="51"/>
      <c r="DW242" s="51"/>
      <c r="DX242" s="51"/>
      <c r="DY242" s="51"/>
      <c r="DZ242" s="51"/>
      <c r="EA242" s="51"/>
      <c r="EB242" s="51"/>
      <c r="EC242" s="51"/>
      <c r="ED242" s="51"/>
      <c r="EE242" s="51"/>
      <c r="EF242" s="51"/>
      <c r="EG242" s="51"/>
      <c r="EH242" s="51"/>
      <c r="EI242" s="51"/>
      <c r="EJ242" s="40"/>
      <c r="EK242" s="40"/>
      <c r="EL242" s="40"/>
      <c r="EM242" s="40"/>
      <c r="EN242" s="40"/>
      <c r="EO242" s="40"/>
      <c r="EP242" s="40"/>
      <c r="EQ242" s="40"/>
      <c r="ER242" s="40"/>
      <c r="ES242" s="40"/>
      <c r="ET242" s="40"/>
      <c r="EU242" s="40"/>
      <c r="EV242" s="40"/>
      <c r="EW242" s="40"/>
      <c r="EX242" s="40"/>
      <c r="EY242" s="40"/>
      <c r="EZ242" s="40"/>
      <c r="FA242" s="40"/>
      <c r="FB242" s="40"/>
      <c r="FC242" s="40"/>
      <c r="FD242" s="40"/>
      <c r="FE242" s="40"/>
      <c r="FF242" s="40"/>
      <c r="FG242" s="40"/>
      <c r="FH242" s="40"/>
      <c r="FI242" s="40"/>
      <c r="FJ242" s="40"/>
      <c r="FK242" s="40"/>
      <c r="FL242" s="40"/>
      <c r="FM242" s="40"/>
      <c r="FN242" s="40"/>
      <c r="FO242" s="40"/>
      <c r="FP242" s="40"/>
      <c r="FQ242" s="40"/>
      <c r="FR242" s="40"/>
      <c r="FS242" s="40"/>
    </row>
    <row r="243" spans="1:175" s="13" customFormat="1" ht="9.75" customHeight="1">
      <c r="A243" s="145"/>
      <c r="B243" s="497"/>
      <c r="C243" s="140" t="s">
        <v>22</v>
      </c>
      <c r="D243" s="140" t="s">
        <v>22</v>
      </c>
      <c r="E243" s="140" t="s">
        <v>22</v>
      </c>
      <c r="F243" s="140" t="s">
        <v>22</v>
      </c>
      <c r="G243" s="140" t="s">
        <v>22</v>
      </c>
      <c r="H243" s="140" t="s">
        <v>22</v>
      </c>
      <c r="I243" s="142" t="s">
        <v>22</v>
      </c>
      <c r="J243" s="140" t="s">
        <v>22</v>
      </c>
      <c r="K243" s="140"/>
      <c r="L243" s="143" t="s">
        <v>22</v>
      </c>
      <c r="M243" s="143" t="s">
        <v>22</v>
      </c>
      <c r="N243" s="144" t="s">
        <v>22</v>
      </c>
      <c r="O243" s="144" t="s">
        <v>22</v>
      </c>
      <c r="P243" s="14"/>
      <c r="Q243" s="243"/>
      <c r="R243" s="243"/>
      <c r="S243" s="243"/>
      <c r="T243" s="65"/>
      <c r="U243" s="65"/>
      <c r="V243" s="65"/>
      <c r="W243" s="63"/>
      <c r="X243" s="64"/>
      <c r="Y243" s="64"/>
      <c r="Z243" s="64"/>
      <c r="AA243" s="64"/>
      <c r="AB243" s="64"/>
      <c r="AC243" s="64"/>
      <c r="AD243" s="64"/>
      <c r="AE243" s="64"/>
      <c r="AF243" s="65"/>
      <c r="AG243" s="65"/>
      <c r="AH243" s="65"/>
      <c r="AI243" s="65"/>
      <c r="AJ243" s="65"/>
      <c r="AK243" s="65"/>
      <c r="AL243" s="65"/>
      <c r="AM243" s="65"/>
      <c r="AN243" s="65"/>
      <c r="AO243" s="65"/>
      <c r="AP243" s="65"/>
      <c r="AQ243" s="65"/>
      <c r="AR243" s="65"/>
      <c r="AS243" s="66"/>
      <c r="AT243" s="66"/>
      <c r="AU243" s="66"/>
      <c r="AV243" s="66"/>
      <c r="AW243" s="41"/>
      <c r="AX243" s="41"/>
      <c r="AY243" s="41"/>
      <c r="AZ243" s="41"/>
      <c r="BA243" s="41"/>
      <c r="BB243" s="41"/>
      <c r="BC243" s="41"/>
      <c r="BD243" s="41"/>
      <c r="BE243" s="41"/>
      <c r="BF243" s="41"/>
      <c r="BG243" s="41"/>
      <c r="BH243" s="41"/>
      <c r="BI243" s="41"/>
      <c r="BJ243" s="41"/>
      <c r="BK243" s="41"/>
      <c r="BL243" s="41"/>
      <c r="BM243" s="41"/>
      <c r="BN243" s="41"/>
      <c r="BO243" s="41"/>
      <c r="BP243" s="41"/>
      <c r="BQ243" s="41"/>
      <c r="BR243" s="41"/>
      <c r="BS243" s="41"/>
      <c r="BT243" s="41"/>
      <c r="BU243" s="41"/>
      <c r="BV243" s="41"/>
      <c r="BW243" s="41"/>
      <c r="BX243" s="41"/>
      <c r="BY243" s="41"/>
      <c r="BZ243" s="41"/>
      <c r="CA243" s="41"/>
      <c r="CB243" s="41"/>
      <c r="CC243" s="41"/>
      <c r="CD243" s="41"/>
      <c r="CE243" s="41"/>
      <c r="CF243" s="41"/>
      <c r="CG243" s="41"/>
      <c r="CH243" s="41"/>
      <c r="CI243" s="41"/>
      <c r="CJ243" s="41"/>
      <c r="CK243" s="41"/>
      <c r="CL243" s="41"/>
      <c r="CM243" s="41"/>
      <c r="CN243" s="41"/>
      <c r="CO243" s="41"/>
      <c r="CP243" s="41"/>
      <c r="CQ243" s="41"/>
      <c r="CR243" s="41"/>
      <c r="CS243" s="41"/>
      <c r="CT243" s="41"/>
      <c r="CU243" s="41"/>
      <c r="CV243" s="41"/>
      <c r="CW243" s="41"/>
      <c r="CX243" s="41"/>
      <c r="CY243" s="41"/>
      <c r="CZ243" s="41"/>
      <c r="DA243" s="51"/>
      <c r="DB243" s="51"/>
      <c r="DC243" s="51"/>
      <c r="DD243" s="51"/>
      <c r="DE243" s="51"/>
      <c r="DF243" s="51"/>
      <c r="DG243" s="51"/>
      <c r="DH243" s="51"/>
      <c r="DI243" s="51"/>
      <c r="DJ243" s="51"/>
      <c r="DK243" s="51"/>
      <c r="DL243" s="51"/>
      <c r="DM243" s="51"/>
      <c r="DN243" s="51"/>
      <c r="DO243" s="51"/>
      <c r="DP243" s="51"/>
      <c r="DQ243" s="51"/>
      <c r="DR243" s="51"/>
      <c r="DS243" s="51"/>
      <c r="DT243" s="51"/>
      <c r="DU243" s="51"/>
      <c r="DV243" s="51"/>
      <c r="DW243" s="51"/>
      <c r="DX243" s="51"/>
      <c r="DY243" s="51"/>
      <c r="DZ243" s="51"/>
      <c r="EA243" s="51"/>
      <c r="EB243" s="51"/>
      <c r="EC243" s="51"/>
      <c r="ED243" s="51"/>
      <c r="EE243" s="51"/>
      <c r="EF243" s="51"/>
      <c r="EG243" s="51"/>
      <c r="EH243" s="51"/>
      <c r="EI243" s="51"/>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row>
    <row r="244" spans="1:175" s="13" customFormat="1" ht="9.75" customHeight="1">
      <c r="A244" s="139"/>
      <c r="B244" s="497"/>
      <c r="C244" s="140"/>
      <c r="D244" s="141"/>
      <c r="E244" s="141"/>
      <c r="F244" s="141"/>
      <c r="G244" s="141"/>
      <c r="H244" s="141"/>
      <c r="I244" s="142"/>
      <c r="J244" s="141"/>
      <c r="K244" s="141"/>
      <c r="L244" s="143"/>
      <c r="M244" s="143"/>
      <c r="N244" s="144"/>
      <c r="O244" s="144"/>
      <c r="P244" s="14"/>
      <c r="Q244" s="243"/>
      <c r="R244" s="243"/>
      <c r="S244" s="243"/>
      <c r="T244" s="65"/>
      <c r="U244" s="65"/>
      <c r="V244" s="65"/>
      <c r="W244" s="63"/>
      <c r="X244" s="64"/>
      <c r="Y244" s="64"/>
      <c r="Z244" s="64"/>
      <c r="AA244" s="64"/>
      <c r="AB244" s="64"/>
      <c r="AC244" s="64"/>
      <c r="AD244" s="64"/>
      <c r="AE244" s="64"/>
      <c r="AF244" s="65"/>
      <c r="AG244" s="65"/>
      <c r="AH244" s="65"/>
      <c r="AI244" s="65"/>
      <c r="AJ244" s="65"/>
      <c r="AK244" s="65"/>
      <c r="AL244" s="65"/>
      <c r="AM244" s="65"/>
      <c r="AN244" s="65"/>
      <c r="AO244" s="65"/>
      <c r="AP244" s="65"/>
      <c r="AQ244" s="65"/>
      <c r="AR244" s="65"/>
      <c r="AS244" s="66"/>
      <c r="AT244" s="66"/>
      <c r="AU244" s="66"/>
      <c r="AV244" s="66"/>
      <c r="AW244" s="41"/>
      <c r="AX244" s="41"/>
      <c r="AY244" s="41"/>
      <c r="AZ244" s="41"/>
      <c r="BA244" s="41"/>
      <c r="BB244" s="41"/>
      <c r="BC244" s="41"/>
      <c r="BD244" s="41"/>
      <c r="BE244" s="41"/>
      <c r="BF244" s="41"/>
      <c r="BG244" s="41"/>
      <c r="BH244" s="41"/>
      <c r="BI244" s="41"/>
      <c r="BJ244" s="41"/>
      <c r="BK244" s="41"/>
      <c r="BL244" s="41"/>
      <c r="BM244" s="41"/>
      <c r="BN244" s="41"/>
      <c r="BO244" s="41"/>
      <c r="BP244" s="41"/>
      <c r="BQ244" s="41"/>
      <c r="BR244" s="41"/>
      <c r="BS244" s="41"/>
      <c r="BT244" s="41"/>
      <c r="BU244" s="41"/>
      <c r="BV244" s="41"/>
      <c r="BW244" s="41"/>
      <c r="BX244" s="41"/>
      <c r="BY244" s="41"/>
      <c r="BZ244" s="41"/>
      <c r="CA244" s="41"/>
      <c r="CB244" s="41"/>
      <c r="CC244" s="41"/>
      <c r="CD244" s="41"/>
      <c r="CE244" s="41"/>
      <c r="CF244" s="41"/>
      <c r="CG244" s="41"/>
      <c r="CH244" s="41"/>
      <c r="CI244" s="41"/>
      <c r="CJ244" s="41"/>
      <c r="CK244" s="41"/>
      <c r="CL244" s="41"/>
      <c r="CM244" s="41"/>
      <c r="CN244" s="41"/>
      <c r="CO244" s="41"/>
      <c r="CP244" s="41"/>
      <c r="CQ244" s="41"/>
      <c r="CR244" s="41"/>
      <c r="CS244" s="41"/>
      <c r="CT244" s="41"/>
      <c r="CU244" s="41"/>
      <c r="CV244" s="41"/>
      <c r="CW244" s="41"/>
      <c r="CX244" s="41"/>
      <c r="CY244" s="41"/>
      <c r="CZ244" s="41"/>
      <c r="DA244" s="51"/>
      <c r="DB244" s="51"/>
      <c r="DC244" s="51"/>
      <c r="DD244" s="51"/>
      <c r="DE244" s="51"/>
      <c r="DF244" s="51"/>
      <c r="DG244" s="51"/>
      <c r="DH244" s="51"/>
      <c r="DI244" s="51"/>
      <c r="DJ244" s="51"/>
      <c r="DK244" s="51"/>
      <c r="DL244" s="51"/>
      <c r="DM244" s="51"/>
      <c r="DN244" s="51"/>
      <c r="DO244" s="51"/>
      <c r="DP244" s="51"/>
      <c r="DQ244" s="51"/>
      <c r="DR244" s="51"/>
      <c r="DS244" s="51"/>
      <c r="DT244" s="51"/>
      <c r="DU244" s="51"/>
      <c r="DV244" s="51"/>
      <c r="DW244" s="51"/>
      <c r="DX244" s="51"/>
      <c r="DY244" s="51"/>
      <c r="DZ244" s="51"/>
      <c r="EA244" s="51"/>
      <c r="EB244" s="51"/>
      <c r="EC244" s="51"/>
      <c r="ED244" s="51"/>
      <c r="EE244" s="51"/>
      <c r="EF244" s="51"/>
      <c r="EG244" s="51"/>
      <c r="EH244" s="51"/>
      <c r="EI244" s="51"/>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row>
    <row r="245" spans="1:175" s="13" customFormat="1" ht="9.75" hidden="1" customHeight="1">
      <c r="A245" s="139"/>
      <c r="B245" s="497"/>
      <c r="C245" s="140"/>
      <c r="D245" s="141"/>
      <c r="E245" s="141"/>
      <c r="F245" s="141"/>
      <c r="G245" s="141"/>
      <c r="H245" s="141"/>
      <c r="I245" s="142"/>
      <c r="J245" s="141"/>
      <c r="K245" s="141"/>
      <c r="L245" s="143"/>
      <c r="M245" s="143"/>
      <c r="N245" s="144"/>
      <c r="O245" s="144"/>
      <c r="P245" s="14"/>
      <c r="Q245" s="243"/>
      <c r="R245" s="65"/>
      <c r="S245" s="243"/>
      <c r="T245" s="65"/>
      <c r="U245" s="65"/>
      <c r="V245" s="65"/>
      <c r="W245" s="63"/>
      <c r="X245" s="64"/>
      <c r="Y245" s="64"/>
      <c r="Z245" s="64"/>
      <c r="AA245" s="64"/>
      <c r="AB245" s="64"/>
      <c r="AC245" s="64"/>
      <c r="AD245" s="64"/>
      <c r="AE245" s="64"/>
      <c r="AF245" s="65"/>
      <c r="AG245" s="65"/>
      <c r="AH245" s="65"/>
      <c r="AI245" s="65"/>
      <c r="AJ245" s="65"/>
      <c r="AK245" s="65"/>
      <c r="AL245" s="65"/>
      <c r="AM245" s="65"/>
      <c r="AN245" s="65"/>
      <c r="AO245" s="65"/>
      <c r="AP245" s="65"/>
      <c r="AQ245" s="65"/>
      <c r="AR245" s="65"/>
      <c r="AS245" s="66"/>
      <c r="AT245" s="66"/>
      <c r="AU245" s="66"/>
      <c r="AV245" s="66"/>
      <c r="AW245" s="41"/>
      <c r="AX245" s="41"/>
      <c r="AY245" s="41"/>
      <c r="AZ245" s="41"/>
      <c r="BA245" s="41"/>
      <c r="BB245" s="41"/>
      <c r="BC245" s="41"/>
      <c r="BD245" s="41"/>
      <c r="BE245" s="41"/>
      <c r="BF245" s="41"/>
      <c r="BG245" s="41"/>
      <c r="BH245" s="41"/>
      <c r="BI245" s="41"/>
      <c r="BJ245" s="41"/>
      <c r="BK245" s="41"/>
      <c r="BL245" s="41"/>
      <c r="BM245" s="41"/>
      <c r="BN245" s="41"/>
      <c r="BO245" s="41"/>
      <c r="BP245" s="41"/>
      <c r="BQ245" s="41"/>
      <c r="BR245" s="41"/>
      <c r="BS245" s="41"/>
      <c r="BT245" s="41"/>
      <c r="BU245" s="41"/>
      <c r="BV245" s="41"/>
      <c r="BW245" s="41"/>
      <c r="BX245" s="41"/>
      <c r="BY245" s="41"/>
      <c r="BZ245" s="41"/>
      <c r="CA245" s="41"/>
      <c r="CB245" s="41"/>
      <c r="CC245" s="41"/>
      <c r="CD245" s="41"/>
      <c r="CE245" s="41"/>
      <c r="CF245" s="41"/>
      <c r="CG245" s="41"/>
      <c r="CH245" s="41"/>
      <c r="CI245" s="41"/>
      <c r="CJ245" s="41"/>
      <c r="CK245" s="41"/>
      <c r="CL245" s="41"/>
      <c r="CM245" s="41"/>
      <c r="CN245" s="41"/>
      <c r="CO245" s="41"/>
      <c r="CP245" s="41"/>
      <c r="CQ245" s="41"/>
      <c r="CR245" s="41"/>
      <c r="CS245" s="41"/>
      <c r="CT245" s="41"/>
      <c r="CU245" s="41"/>
      <c r="CV245" s="41"/>
      <c r="CW245" s="41"/>
      <c r="CX245" s="41"/>
      <c r="CY245" s="41"/>
      <c r="CZ245" s="41"/>
      <c r="DA245" s="51"/>
      <c r="DB245" s="51"/>
      <c r="DC245" s="51"/>
      <c r="DD245" s="51"/>
      <c r="DE245" s="51"/>
      <c r="DF245" s="51"/>
      <c r="DG245" s="51"/>
      <c r="DH245" s="51"/>
      <c r="DI245" s="51"/>
      <c r="DJ245" s="51"/>
      <c r="DK245" s="51"/>
      <c r="DL245" s="51"/>
      <c r="DM245" s="51"/>
      <c r="DN245" s="51"/>
      <c r="DO245" s="51"/>
      <c r="DP245" s="51"/>
      <c r="DQ245" s="51"/>
      <c r="DR245" s="51"/>
      <c r="DS245" s="51"/>
      <c r="DT245" s="51"/>
      <c r="DU245" s="51"/>
      <c r="DV245" s="51"/>
      <c r="DW245" s="51"/>
      <c r="DX245" s="51"/>
      <c r="DY245" s="51"/>
      <c r="DZ245" s="51"/>
      <c r="EA245" s="51"/>
      <c r="EB245" s="51"/>
      <c r="EC245" s="51"/>
      <c r="ED245" s="51"/>
      <c r="EE245" s="51"/>
      <c r="EF245" s="51"/>
      <c r="EG245" s="51"/>
      <c r="EH245" s="51"/>
      <c r="EI245" s="51"/>
      <c r="EJ245" s="40"/>
      <c r="EK245" s="40"/>
      <c r="EL245" s="40"/>
      <c r="EM245" s="40"/>
      <c r="EN245" s="40"/>
      <c r="EO245" s="40"/>
      <c r="EP245" s="40"/>
      <c r="EQ245" s="40"/>
      <c r="ER245" s="40"/>
      <c r="ES245" s="40"/>
      <c r="ET245" s="40"/>
      <c r="EU245" s="40"/>
      <c r="EV245" s="40"/>
      <c r="EW245" s="40"/>
      <c r="EX245" s="40"/>
      <c r="EY245" s="40"/>
      <c r="EZ245" s="40"/>
      <c r="FA245" s="40"/>
      <c r="FB245" s="40"/>
      <c r="FC245" s="40"/>
      <c r="FD245" s="40"/>
      <c r="FE245" s="40"/>
      <c r="FF245" s="40"/>
      <c r="FG245" s="40"/>
      <c r="FH245" s="40"/>
      <c r="FI245" s="40"/>
      <c r="FJ245" s="40"/>
      <c r="FK245" s="40"/>
      <c r="FL245" s="40"/>
      <c r="FM245" s="40"/>
      <c r="FN245" s="40"/>
      <c r="FO245" s="40"/>
      <c r="FP245" s="40"/>
      <c r="FQ245" s="40"/>
      <c r="FR245" s="40"/>
      <c r="FS245" s="40"/>
    </row>
    <row r="246" spans="1:175" s="13" customFormat="1" ht="9.75" hidden="1" customHeight="1">
      <c r="A246" s="139"/>
      <c r="B246" s="497"/>
      <c r="C246" s="140"/>
      <c r="D246" s="141"/>
      <c r="E246" s="141"/>
      <c r="F246" s="141"/>
      <c r="G246" s="141"/>
      <c r="H246" s="141"/>
      <c r="I246" s="142"/>
      <c r="J246" s="141"/>
      <c r="K246" s="141"/>
      <c r="L246" s="143"/>
      <c r="M246" s="143"/>
      <c r="N246" s="144"/>
      <c r="O246" s="144"/>
      <c r="P246" s="14"/>
      <c r="Q246" s="243"/>
      <c r="R246" s="65"/>
      <c r="S246" s="243"/>
      <c r="T246" s="65"/>
      <c r="U246" s="65"/>
      <c r="V246" s="65"/>
      <c r="W246" s="63"/>
      <c r="X246" s="64"/>
      <c r="Y246" s="64"/>
      <c r="Z246" s="64"/>
      <c r="AA246" s="64"/>
      <c r="AB246" s="64"/>
      <c r="AC246" s="64"/>
      <c r="AD246" s="64"/>
      <c r="AE246" s="64"/>
      <c r="AF246" s="65"/>
      <c r="AG246" s="65"/>
      <c r="AH246" s="65"/>
      <c r="AI246" s="65"/>
      <c r="AJ246" s="65"/>
      <c r="AK246" s="65"/>
      <c r="AL246" s="65"/>
      <c r="AM246" s="65"/>
      <c r="AN246" s="65"/>
      <c r="AO246" s="65"/>
      <c r="AP246" s="65"/>
      <c r="AQ246" s="65"/>
      <c r="AR246" s="65"/>
      <c r="AS246" s="66"/>
      <c r="AT246" s="66"/>
      <c r="AU246" s="66"/>
      <c r="AV246" s="66"/>
      <c r="AW246" s="41"/>
      <c r="AX246" s="41"/>
      <c r="AY246" s="41"/>
      <c r="AZ246" s="41"/>
      <c r="BA246" s="41"/>
      <c r="BB246" s="41"/>
      <c r="BC246" s="41"/>
      <c r="BD246" s="41"/>
      <c r="BE246" s="41"/>
      <c r="BF246" s="41"/>
      <c r="BG246" s="41"/>
      <c r="BH246" s="41"/>
      <c r="BI246" s="41"/>
      <c r="BJ246" s="41"/>
      <c r="BK246" s="41"/>
      <c r="BL246" s="41"/>
      <c r="BM246" s="41"/>
      <c r="BN246" s="41"/>
      <c r="BO246" s="41"/>
      <c r="BP246" s="41"/>
      <c r="BQ246" s="41"/>
      <c r="BR246" s="41"/>
      <c r="BS246" s="41"/>
      <c r="BT246" s="41"/>
      <c r="BU246" s="41"/>
      <c r="BV246" s="41"/>
      <c r="BW246" s="41"/>
      <c r="BX246" s="41"/>
      <c r="BY246" s="41"/>
      <c r="BZ246" s="41"/>
      <c r="CA246" s="41"/>
      <c r="CB246" s="41"/>
      <c r="CC246" s="41"/>
      <c r="CD246" s="41"/>
      <c r="CE246" s="41"/>
      <c r="CF246" s="41"/>
      <c r="CG246" s="41"/>
      <c r="CH246" s="41"/>
      <c r="CI246" s="41"/>
      <c r="CJ246" s="41"/>
      <c r="CK246" s="41"/>
      <c r="CL246" s="41"/>
      <c r="CM246" s="41"/>
      <c r="CN246" s="41"/>
      <c r="CO246" s="41"/>
      <c r="CP246" s="41"/>
      <c r="CQ246" s="41"/>
      <c r="CR246" s="41"/>
      <c r="CS246" s="41"/>
      <c r="CT246" s="41"/>
      <c r="CU246" s="41"/>
      <c r="CV246" s="41"/>
      <c r="CW246" s="41"/>
      <c r="CX246" s="41"/>
      <c r="CY246" s="41"/>
      <c r="CZ246" s="41"/>
      <c r="DA246" s="51"/>
      <c r="DB246" s="51"/>
      <c r="DC246" s="51"/>
      <c r="DD246" s="51"/>
      <c r="DE246" s="51"/>
      <c r="DF246" s="51"/>
      <c r="DG246" s="51"/>
      <c r="DH246" s="51"/>
      <c r="DI246" s="51"/>
      <c r="DJ246" s="51"/>
      <c r="DK246" s="51"/>
      <c r="DL246" s="51"/>
      <c r="DM246" s="51"/>
      <c r="DN246" s="51"/>
      <c r="DO246" s="51"/>
      <c r="DP246" s="51"/>
      <c r="DQ246" s="51"/>
      <c r="DR246" s="51"/>
      <c r="DS246" s="51"/>
      <c r="DT246" s="51"/>
      <c r="DU246" s="51"/>
      <c r="DV246" s="51"/>
      <c r="DW246" s="51"/>
      <c r="DX246" s="51"/>
      <c r="DY246" s="51"/>
      <c r="DZ246" s="51"/>
      <c r="EA246" s="51"/>
      <c r="EB246" s="51"/>
      <c r="EC246" s="51"/>
      <c r="ED246" s="51"/>
      <c r="EE246" s="51"/>
      <c r="EF246" s="51"/>
      <c r="EG246" s="51"/>
      <c r="EH246" s="51"/>
      <c r="EI246" s="51"/>
      <c r="EJ246" s="40"/>
      <c r="EK246" s="40"/>
      <c r="EL246" s="40"/>
      <c r="EM246" s="40"/>
      <c r="EN246" s="40"/>
      <c r="EO246" s="40"/>
      <c r="EP246" s="40"/>
      <c r="EQ246" s="40"/>
      <c r="ER246" s="40"/>
      <c r="ES246" s="40"/>
      <c r="ET246" s="40"/>
      <c r="EU246" s="40"/>
      <c r="EV246" s="40"/>
      <c r="EW246" s="40"/>
      <c r="EX246" s="40"/>
      <c r="EY246" s="40"/>
      <c r="EZ246" s="40"/>
      <c r="FA246" s="40"/>
      <c r="FB246" s="40"/>
      <c r="FC246" s="40"/>
      <c r="FD246" s="40"/>
      <c r="FE246" s="40"/>
      <c r="FF246" s="40"/>
      <c r="FG246" s="40"/>
      <c r="FH246" s="40"/>
      <c r="FI246" s="40"/>
      <c r="FJ246" s="40"/>
      <c r="FK246" s="40"/>
      <c r="FL246" s="40"/>
      <c r="FM246" s="40"/>
      <c r="FN246" s="40"/>
      <c r="FO246" s="40"/>
      <c r="FP246" s="40"/>
      <c r="FQ246" s="40"/>
      <c r="FR246" s="40"/>
      <c r="FS246" s="40"/>
    </row>
    <row r="247" spans="1:175" s="13" customFormat="1" ht="9.75" hidden="1" customHeight="1">
      <c r="A247" s="139"/>
      <c r="B247" s="497"/>
      <c r="C247" s="140"/>
      <c r="D247" s="141"/>
      <c r="E247" s="141"/>
      <c r="F247" s="141"/>
      <c r="G247" s="141"/>
      <c r="H247" s="141"/>
      <c r="I247" s="142"/>
      <c r="J247" s="141"/>
      <c r="K247" s="141"/>
      <c r="L247" s="143"/>
      <c r="M247" s="143"/>
      <c r="N247" s="144"/>
      <c r="O247" s="144"/>
      <c r="P247" s="14"/>
      <c r="Q247" s="243"/>
      <c r="R247" s="65"/>
      <c r="S247" s="243"/>
      <c r="T247" s="65"/>
      <c r="U247" s="65"/>
      <c r="V247" s="65"/>
      <c r="W247" s="63"/>
      <c r="X247" s="64"/>
      <c r="Y247" s="64"/>
      <c r="Z247" s="64"/>
      <c r="AA247" s="64"/>
      <c r="AB247" s="64"/>
      <c r="AC247" s="64"/>
      <c r="AD247" s="64"/>
      <c r="AE247" s="64"/>
      <c r="AF247" s="65"/>
      <c r="AG247" s="65"/>
      <c r="AH247" s="65"/>
      <c r="AI247" s="65"/>
      <c r="AJ247" s="65"/>
      <c r="AK247" s="65"/>
      <c r="AL247" s="65"/>
      <c r="AM247" s="65"/>
      <c r="AN247" s="65"/>
      <c r="AO247" s="65"/>
      <c r="AP247" s="65"/>
      <c r="AQ247" s="65"/>
      <c r="AR247" s="65"/>
      <c r="AS247" s="66"/>
      <c r="AT247" s="66"/>
      <c r="AU247" s="66"/>
      <c r="AV247" s="66"/>
      <c r="AW247" s="41"/>
      <c r="AX247" s="41"/>
      <c r="AY247" s="41"/>
      <c r="AZ247" s="41"/>
      <c r="BA247" s="41"/>
      <c r="BB247" s="41"/>
      <c r="BC247" s="41"/>
      <c r="BD247" s="41"/>
      <c r="BE247" s="41"/>
      <c r="BF247" s="41"/>
      <c r="BG247" s="41"/>
      <c r="BH247" s="41"/>
      <c r="BI247" s="41"/>
      <c r="BJ247" s="41"/>
      <c r="BK247" s="41"/>
      <c r="BL247" s="41"/>
      <c r="BM247" s="41"/>
      <c r="BN247" s="41"/>
      <c r="BO247" s="41"/>
      <c r="BP247" s="41"/>
      <c r="BQ247" s="41"/>
      <c r="BR247" s="41"/>
      <c r="BS247" s="41"/>
      <c r="BT247" s="41"/>
      <c r="BU247" s="41"/>
      <c r="BV247" s="41"/>
      <c r="BW247" s="41"/>
      <c r="BX247" s="41"/>
      <c r="BY247" s="41"/>
      <c r="BZ247" s="41"/>
      <c r="CA247" s="41"/>
      <c r="CB247" s="41"/>
      <c r="CC247" s="41"/>
      <c r="CD247" s="41"/>
      <c r="CE247" s="41"/>
      <c r="CF247" s="41"/>
      <c r="CG247" s="41"/>
      <c r="CH247" s="41"/>
      <c r="CI247" s="41"/>
      <c r="CJ247" s="41"/>
      <c r="CK247" s="41"/>
      <c r="CL247" s="41"/>
      <c r="CM247" s="41"/>
      <c r="CN247" s="41"/>
      <c r="CO247" s="41"/>
      <c r="CP247" s="41"/>
      <c r="CQ247" s="41"/>
      <c r="CR247" s="41"/>
      <c r="CS247" s="41"/>
      <c r="CT247" s="41"/>
      <c r="CU247" s="41"/>
      <c r="CV247" s="41"/>
      <c r="CW247" s="41"/>
      <c r="CX247" s="41"/>
      <c r="CY247" s="41"/>
      <c r="CZ247" s="4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40"/>
      <c r="EK247" s="40"/>
      <c r="EL247" s="40"/>
      <c r="EM247" s="40"/>
      <c r="EN247" s="40"/>
      <c r="EO247" s="40"/>
      <c r="EP247" s="40"/>
      <c r="EQ247" s="40"/>
      <c r="ER247" s="40"/>
      <c r="ES247" s="40"/>
      <c r="ET247" s="40"/>
      <c r="EU247" s="40"/>
      <c r="EV247" s="40"/>
      <c r="EW247" s="40"/>
      <c r="EX247" s="40"/>
      <c r="EY247" s="40"/>
      <c r="EZ247" s="40"/>
      <c r="FA247" s="40"/>
      <c r="FB247" s="40"/>
      <c r="FC247" s="40"/>
      <c r="FD247" s="40"/>
      <c r="FE247" s="40"/>
      <c r="FF247" s="40"/>
      <c r="FG247" s="40"/>
      <c r="FH247" s="40"/>
      <c r="FI247" s="40"/>
      <c r="FJ247" s="40"/>
      <c r="FK247" s="40"/>
      <c r="FL247" s="40"/>
      <c r="FM247" s="40"/>
      <c r="FN247" s="40"/>
      <c r="FO247" s="40"/>
      <c r="FP247" s="40"/>
      <c r="FQ247" s="40"/>
      <c r="FR247" s="40"/>
      <c r="FS247" s="40"/>
    </row>
    <row r="248" spans="1:175" s="13" customFormat="1" ht="9.75" hidden="1" customHeight="1">
      <c r="A248" s="139"/>
      <c r="B248" s="497"/>
      <c r="C248" s="140"/>
      <c r="D248" s="141"/>
      <c r="E248" s="141"/>
      <c r="F248" s="141"/>
      <c r="G248" s="141"/>
      <c r="H248" s="141"/>
      <c r="I248" s="142"/>
      <c r="J248" s="141"/>
      <c r="K248" s="141"/>
      <c r="L248" s="143"/>
      <c r="M248" s="143"/>
      <c r="N248" s="144"/>
      <c r="O248" s="144"/>
      <c r="P248" s="14"/>
      <c r="Q248" s="243"/>
      <c r="R248" s="65"/>
      <c r="S248" s="243"/>
      <c r="T248" s="65"/>
      <c r="U248" s="65"/>
      <c r="V248" s="65"/>
      <c r="W248" s="63"/>
      <c r="X248" s="64"/>
      <c r="Y248" s="64"/>
      <c r="Z248" s="64"/>
      <c r="AA248" s="64"/>
      <c r="AB248" s="64"/>
      <c r="AC248" s="64"/>
      <c r="AD248" s="64"/>
      <c r="AE248" s="64"/>
      <c r="AF248" s="65"/>
      <c r="AG248" s="65"/>
      <c r="AH248" s="65"/>
      <c r="AI248" s="65"/>
      <c r="AJ248" s="65"/>
      <c r="AK248" s="65"/>
      <c r="AL248" s="65"/>
      <c r="AM248" s="65"/>
      <c r="AN248" s="65"/>
      <c r="AO248" s="65"/>
      <c r="AP248" s="65"/>
      <c r="AQ248" s="65"/>
      <c r="AR248" s="65"/>
      <c r="AS248" s="66"/>
      <c r="AT248" s="66"/>
      <c r="AU248" s="66"/>
      <c r="AV248" s="66"/>
      <c r="AW248" s="41"/>
      <c r="AX248" s="41"/>
      <c r="AY248" s="41"/>
      <c r="AZ248" s="41"/>
      <c r="BA248" s="41"/>
      <c r="BB248" s="41"/>
      <c r="BC248" s="41"/>
      <c r="BD248" s="41"/>
      <c r="BE248" s="41"/>
      <c r="BF248" s="41"/>
      <c r="BG248" s="41"/>
      <c r="BH248" s="41"/>
      <c r="BI248" s="41"/>
      <c r="BJ248" s="41"/>
      <c r="BK248" s="41"/>
      <c r="BL248" s="41"/>
      <c r="BM248" s="41"/>
      <c r="BN248" s="41"/>
      <c r="BO248" s="41"/>
      <c r="BP248" s="41"/>
      <c r="BQ248" s="41"/>
      <c r="BR248" s="41"/>
      <c r="BS248" s="41"/>
      <c r="BT248" s="41"/>
      <c r="BU248" s="41"/>
      <c r="BV248" s="41"/>
      <c r="BW248" s="41"/>
      <c r="BX248" s="41"/>
      <c r="BY248" s="41"/>
      <c r="BZ248" s="41"/>
      <c r="CA248" s="41"/>
      <c r="CB248" s="41"/>
      <c r="CC248" s="41"/>
      <c r="CD248" s="41"/>
      <c r="CE248" s="41"/>
      <c r="CF248" s="41"/>
      <c r="CG248" s="41"/>
      <c r="CH248" s="41"/>
      <c r="CI248" s="41"/>
      <c r="CJ248" s="41"/>
      <c r="CK248" s="41"/>
      <c r="CL248" s="41"/>
      <c r="CM248" s="41"/>
      <c r="CN248" s="41"/>
      <c r="CO248" s="41"/>
      <c r="CP248" s="41"/>
      <c r="CQ248" s="41"/>
      <c r="CR248" s="41"/>
      <c r="CS248" s="41"/>
      <c r="CT248" s="41"/>
      <c r="CU248" s="41"/>
      <c r="CV248" s="41"/>
      <c r="CW248" s="41"/>
      <c r="CX248" s="41"/>
      <c r="CY248" s="41"/>
      <c r="CZ248" s="41"/>
      <c r="DA248" s="51"/>
      <c r="DB248" s="51"/>
      <c r="DC248" s="51"/>
      <c r="DD248" s="51"/>
      <c r="DE248" s="51"/>
      <c r="DF248" s="51"/>
      <c r="DG248" s="51"/>
      <c r="DH248" s="51"/>
      <c r="DI248" s="51"/>
      <c r="DJ248" s="51"/>
      <c r="DK248" s="51"/>
      <c r="DL248" s="51"/>
      <c r="DM248" s="51"/>
      <c r="DN248" s="51"/>
      <c r="DO248" s="51"/>
      <c r="DP248" s="51"/>
      <c r="DQ248" s="51"/>
      <c r="DR248" s="51"/>
      <c r="DS248" s="51"/>
      <c r="DT248" s="51"/>
      <c r="DU248" s="51"/>
      <c r="DV248" s="51"/>
      <c r="DW248" s="51"/>
      <c r="DX248" s="51"/>
      <c r="DY248" s="51"/>
      <c r="DZ248" s="51"/>
      <c r="EA248" s="51"/>
      <c r="EB248" s="51"/>
      <c r="EC248" s="51"/>
      <c r="ED248" s="51"/>
      <c r="EE248" s="51"/>
      <c r="EF248" s="51"/>
      <c r="EG248" s="51"/>
      <c r="EH248" s="51"/>
      <c r="EI248" s="51"/>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row>
    <row r="249" spans="1:175" s="13" customFormat="1" ht="9.75" hidden="1" customHeight="1">
      <c r="A249" s="139"/>
      <c r="B249" s="497"/>
      <c r="C249" s="140"/>
      <c r="D249" s="141"/>
      <c r="E249" s="141"/>
      <c r="F249" s="141"/>
      <c r="G249" s="141"/>
      <c r="H249" s="141"/>
      <c r="I249" s="142"/>
      <c r="J249" s="141"/>
      <c r="K249" s="141"/>
      <c r="L249" s="143"/>
      <c r="M249" s="143"/>
      <c r="N249" s="144"/>
      <c r="O249" s="144"/>
      <c r="P249" s="14"/>
      <c r="Q249" s="243"/>
      <c r="R249" s="65"/>
      <c r="S249" s="243"/>
      <c r="T249" s="65"/>
      <c r="U249" s="65"/>
      <c r="V249" s="65"/>
      <c r="W249" s="63"/>
      <c r="X249" s="64"/>
      <c r="Y249" s="64"/>
      <c r="Z249" s="64"/>
      <c r="AA249" s="64"/>
      <c r="AB249" s="64"/>
      <c r="AC249" s="64"/>
      <c r="AD249" s="64"/>
      <c r="AE249" s="64"/>
      <c r="AF249" s="65"/>
      <c r="AG249" s="65"/>
      <c r="AH249" s="65"/>
      <c r="AI249" s="65"/>
      <c r="AJ249" s="65"/>
      <c r="AK249" s="65"/>
      <c r="AL249" s="65"/>
      <c r="AM249" s="65"/>
      <c r="AN249" s="65"/>
      <c r="AO249" s="65"/>
      <c r="AP249" s="65"/>
      <c r="AQ249" s="65"/>
      <c r="AR249" s="65"/>
      <c r="AS249" s="66"/>
      <c r="AT249" s="66"/>
      <c r="AU249" s="66"/>
      <c r="AV249" s="66"/>
      <c r="AW249" s="41"/>
      <c r="AX249" s="41"/>
      <c r="AY249" s="41"/>
      <c r="AZ249" s="41"/>
      <c r="BA249" s="41"/>
      <c r="BB249" s="41"/>
      <c r="BC249" s="41"/>
      <c r="BD249" s="41"/>
      <c r="BE249" s="41"/>
      <c r="BF249" s="41"/>
      <c r="BG249" s="41"/>
      <c r="BH249" s="41"/>
      <c r="BI249" s="41"/>
      <c r="BJ249" s="41"/>
      <c r="BK249" s="41"/>
      <c r="BL249" s="41"/>
      <c r="BM249" s="41"/>
      <c r="BN249" s="41"/>
      <c r="BO249" s="41"/>
      <c r="BP249" s="41"/>
      <c r="BQ249" s="41"/>
      <c r="BR249" s="41"/>
      <c r="BS249" s="41"/>
      <c r="BT249" s="41"/>
      <c r="BU249" s="41"/>
      <c r="BV249" s="41"/>
      <c r="BW249" s="41"/>
      <c r="BX249" s="41"/>
      <c r="BY249" s="41"/>
      <c r="BZ249" s="41"/>
      <c r="CA249" s="41"/>
      <c r="CB249" s="41"/>
      <c r="CC249" s="41"/>
      <c r="CD249" s="41"/>
      <c r="CE249" s="41"/>
      <c r="CF249" s="41"/>
      <c r="CG249" s="41"/>
      <c r="CH249" s="41"/>
      <c r="CI249" s="41"/>
      <c r="CJ249" s="41"/>
      <c r="CK249" s="41"/>
      <c r="CL249" s="41"/>
      <c r="CM249" s="41"/>
      <c r="CN249" s="41"/>
      <c r="CO249" s="41"/>
      <c r="CP249" s="41"/>
      <c r="CQ249" s="41"/>
      <c r="CR249" s="41"/>
      <c r="CS249" s="41"/>
      <c r="CT249" s="41"/>
      <c r="CU249" s="41"/>
      <c r="CV249" s="41"/>
      <c r="CW249" s="41"/>
      <c r="CX249" s="41"/>
      <c r="CY249" s="41"/>
      <c r="CZ249" s="41"/>
      <c r="DA249" s="51"/>
      <c r="DB249" s="51"/>
      <c r="DC249" s="51"/>
      <c r="DD249" s="51"/>
      <c r="DE249" s="51"/>
      <c r="DF249" s="51"/>
      <c r="DG249" s="51"/>
      <c r="DH249" s="51"/>
      <c r="DI249" s="51"/>
      <c r="DJ249" s="51"/>
      <c r="DK249" s="51"/>
      <c r="DL249" s="51"/>
      <c r="DM249" s="51"/>
      <c r="DN249" s="51"/>
      <c r="DO249" s="51"/>
      <c r="DP249" s="51"/>
      <c r="DQ249" s="51"/>
      <c r="DR249" s="51"/>
      <c r="DS249" s="51"/>
      <c r="DT249" s="51"/>
      <c r="DU249" s="51"/>
      <c r="DV249" s="51"/>
      <c r="DW249" s="51"/>
      <c r="DX249" s="51"/>
      <c r="DY249" s="51"/>
      <c r="DZ249" s="51"/>
      <c r="EA249" s="51"/>
      <c r="EB249" s="51"/>
      <c r="EC249" s="51"/>
      <c r="ED249" s="51"/>
      <c r="EE249" s="51"/>
      <c r="EF249" s="51"/>
      <c r="EG249" s="51"/>
      <c r="EH249" s="51"/>
      <c r="EI249" s="51"/>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row>
    <row r="250" spans="1:175" s="13" customFormat="1" ht="9.75" hidden="1" customHeight="1">
      <c r="A250" s="139"/>
      <c r="B250" s="497"/>
      <c r="C250" s="140"/>
      <c r="D250" s="141"/>
      <c r="E250" s="141"/>
      <c r="F250" s="141"/>
      <c r="G250" s="141"/>
      <c r="H250" s="141"/>
      <c r="I250" s="142"/>
      <c r="J250" s="141"/>
      <c r="K250" s="141"/>
      <c r="L250" s="143"/>
      <c r="M250" s="143"/>
      <c r="N250" s="144"/>
      <c r="O250" s="144"/>
      <c r="P250" s="14"/>
      <c r="Q250" s="243"/>
      <c r="R250" s="65"/>
      <c r="S250" s="243"/>
      <c r="T250" s="65"/>
      <c r="U250" s="65"/>
      <c r="V250" s="65"/>
      <c r="W250" s="63"/>
      <c r="X250" s="64"/>
      <c r="Y250" s="64"/>
      <c r="Z250" s="64"/>
      <c r="AA250" s="64"/>
      <c r="AB250" s="64"/>
      <c r="AC250" s="64"/>
      <c r="AD250" s="64"/>
      <c r="AE250" s="64"/>
      <c r="AF250" s="65"/>
      <c r="AG250" s="65"/>
      <c r="AH250" s="65"/>
      <c r="AI250" s="65"/>
      <c r="AJ250" s="65"/>
      <c r="AK250" s="65"/>
      <c r="AL250" s="65"/>
      <c r="AM250" s="65"/>
      <c r="AN250" s="65"/>
      <c r="AO250" s="65"/>
      <c r="AP250" s="65"/>
      <c r="AQ250" s="65"/>
      <c r="AR250" s="65"/>
      <c r="AS250" s="66"/>
      <c r="AT250" s="66"/>
      <c r="AU250" s="66"/>
      <c r="AV250" s="66"/>
      <c r="AW250" s="41"/>
      <c r="AX250" s="41"/>
      <c r="AY250" s="41"/>
      <c r="AZ250" s="41"/>
      <c r="BA250" s="41"/>
      <c r="BB250" s="41"/>
      <c r="BC250" s="41"/>
      <c r="BD250" s="41"/>
      <c r="BE250" s="41"/>
      <c r="BF250" s="41"/>
      <c r="BG250" s="41"/>
      <c r="BH250" s="41"/>
      <c r="BI250" s="41"/>
      <c r="BJ250" s="41"/>
      <c r="BK250" s="41"/>
      <c r="BL250" s="41"/>
      <c r="BM250" s="41"/>
      <c r="BN250" s="41"/>
      <c r="BO250" s="41"/>
      <c r="BP250" s="41"/>
      <c r="BQ250" s="41"/>
      <c r="BR250" s="41"/>
      <c r="BS250" s="41"/>
      <c r="BT250" s="41"/>
      <c r="BU250" s="41"/>
      <c r="BV250" s="41"/>
      <c r="BW250" s="41"/>
      <c r="BX250" s="41"/>
      <c r="BY250" s="41"/>
      <c r="BZ250" s="41"/>
      <c r="CA250" s="41"/>
      <c r="CB250" s="41"/>
      <c r="CC250" s="41"/>
      <c r="CD250" s="41"/>
      <c r="CE250" s="41"/>
      <c r="CF250" s="41"/>
      <c r="CG250" s="41"/>
      <c r="CH250" s="41"/>
      <c r="CI250" s="41"/>
      <c r="CJ250" s="41"/>
      <c r="CK250" s="41"/>
      <c r="CL250" s="41"/>
      <c r="CM250" s="41"/>
      <c r="CN250" s="41"/>
      <c r="CO250" s="41"/>
      <c r="CP250" s="41"/>
      <c r="CQ250" s="41"/>
      <c r="CR250" s="41"/>
      <c r="CS250" s="41"/>
      <c r="CT250" s="41"/>
      <c r="CU250" s="41"/>
      <c r="CV250" s="41"/>
      <c r="CW250" s="41"/>
      <c r="CX250" s="41"/>
      <c r="CY250" s="41"/>
      <c r="CZ250" s="41"/>
      <c r="DA250" s="51"/>
      <c r="DB250" s="51"/>
      <c r="DC250" s="51"/>
      <c r="DD250" s="51"/>
      <c r="DE250" s="51"/>
      <c r="DF250" s="51"/>
      <c r="DG250" s="51"/>
      <c r="DH250" s="51"/>
      <c r="DI250" s="51"/>
      <c r="DJ250" s="51"/>
      <c r="DK250" s="51"/>
      <c r="DL250" s="51"/>
      <c r="DM250" s="51"/>
      <c r="DN250" s="51"/>
      <c r="DO250" s="51"/>
      <c r="DP250" s="51"/>
      <c r="DQ250" s="51"/>
      <c r="DR250" s="51"/>
      <c r="DS250" s="51"/>
      <c r="DT250" s="51"/>
      <c r="DU250" s="51"/>
      <c r="DV250" s="51"/>
      <c r="DW250" s="51"/>
      <c r="DX250" s="51"/>
      <c r="DY250" s="51"/>
      <c r="DZ250" s="51"/>
      <c r="EA250" s="51"/>
      <c r="EB250" s="51"/>
      <c r="EC250" s="51"/>
      <c r="ED250" s="51"/>
      <c r="EE250" s="51"/>
      <c r="EF250" s="51"/>
      <c r="EG250" s="51"/>
      <c r="EH250" s="51"/>
      <c r="EI250" s="51"/>
      <c r="EJ250" s="40"/>
      <c r="EK250" s="40"/>
      <c r="EL250" s="40"/>
      <c r="EM250" s="40"/>
      <c r="EN250" s="40"/>
      <c r="EO250" s="40"/>
      <c r="EP250" s="40"/>
      <c r="EQ250" s="40"/>
      <c r="ER250" s="40"/>
      <c r="ES250" s="40"/>
      <c r="ET250" s="40"/>
      <c r="EU250" s="40"/>
      <c r="EV250" s="40"/>
      <c r="EW250" s="40"/>
      <c r="EX250" s="40"/>
      <c r="EY250" s="40"/>
      <c r="EZ250" s="40"/>
      <c r="FA250" s="40"/>
      <c r="FB250" s="40"/>
      <c r="FC250" s="40"/>
      <c r="FD250" s="40"/>
      <c r="FE250" s="40"/>
      <c r="FF250" s="40"/>
      <c r="FG250" s="40"/>
      <c r="FH250" s="40"/>
      <c r="FI250" s="40"/>
      <c r="FJ250" s="40"/>
      <c r="FK250" s="40"/>
      <c r="FL250" s="40"/>
      <c r="FM250" s="40"/>
      <c r="FN250" s="40"/>
      <c r="FO250" s="40"/>
      <c r="FP250" s="40"/>
      <c r="FQ250" s="40"/>
      <c r="FR250" s="40"/>
      <c r="FS250" s="40"/>
    </row>
    <row r="251" spans="1:175" s="13" customFormat="1" ht="9.75" hidden="1" customHeight="1">
      <c r="A251" s="139"/>
      <c r="B251" s="497"/>
      <c r="C251" s="140"/>
      <c r="D251" s="141"/>
      <c r="E251" s="141"/>
      <c r="F251" s="141"/>
      <c r="G251" s="141"/>
      <c r="H251" s="141"/>
      <c r="I251" s="142"/>
      <c r="J251" s="141"/>
      <c r="K251" s="141"/>
      <c r="L251" s="143"/>
      <c r="M251" s="143"/>
      <c r="N251" s="144"/>
      <c r="O251" s="144"/>
      <c r="P251" s="14"/>
      <c r="Q251" s="243"/>
      <c r="R251" s="65"/>
      <c r="S251" s="243"/>
      <c r="T251" s="65"/>
      <c r="U251" s="65"/>
      <c r="V251" s="65"/>
      <c r="W251" s="63"/>
      <c r="X251" s="64"/>
      <c r="Y251" s="64"/>
      <c r="Z251" s="64"/>
      <c r="AA251" s="64"/>
      <c r="AB251" s="64"/>
      <c r="AC251" s="64"/>
      <c r="AD251" s="64"/>
      <c r="AE251" s="64"/>
      <c r="AF251" s="65"/>
      <c r="AG251" s="65"/>
      <c r="AH251" s="65"/>
      <c r="AI251" s="65"/>
      <c r="AJ251" s="65"/>
      <c r="AK251" s="65"/>
      <c r="AL251" s="65"/>
      <c r="AM251" s="65"/>
      <c r="AN251" s="65"/>
      <c r="AO251" s="65"/>
      <c r="AP251" s="65"/>
      <c r="AQ251" s="65"/>
      <c r="AR251" s="65"/>
      <c r="AS251" s="66"/>
      <c r="AT251" s="66"/>
      <c r="AU251" s="66"/>
      <c r="AV251" s="66"/>
      <c r="AW251" s="41"/>
      <c r="AX251" s="41"/>
      <c r="AY251" s="41"/>
      <c r="AZ251" s="41"/>
      <c r="BA251" s="41"/>
      <c r="BB251" s="41"/>
      <c r="BC251" s="41"/>
      <c r="BD251" s="41"/>
      <c r="BE251" s="41"/>
      <c r="BF251" s="41"/>
      <c r="BG251" s="41"/>
      <c r="BH251" s="41"/>
      <c r="BI251" s="41"/>
      <c r="BJ251" s="41"/>
      <c r="BK251" s="41"/>
      <c r="BL251" s="41"/>
      <c r="BM251" s="41"/>
      <c r="BN251" s="41"/>
      <c r="BO251" s="41"/>
      <c r="BP251" s="41"/>
      <c r="BQ251" s="41"/>
      <c r="BR251" s="41"/>
      <c r="BS251" s="41"/>
      <c r="BT251" s="41"/>
      <c r="BU251" s="41"/>
      <c r="BV251" s="41"/>
      <c r="BW251" s="41"/>
      <c r="BX251" s="41"/>
      <c r="BY251" s="41"/>
      <c r="BZ251" s="41"/>
      <c r="CA251" s="41"/>
      <c r="CB251" s="41"/>
      <c r="CC251" s="41"/>
      <c r="CD251" s="41"/>
      <c r="CE251" s="41"/>
      <c r="CF251" s="41"/>
      <c r="CG251" s="41"/>
      <c r="CH251" s="41"/>
      <c r="CI251" s="41"/>
      <c r="CJ251" s="41"/>
      <c r="CK251" s="41"/>
      <c r="CL251" s="41"/>
      <c r="CM251" s="41"/>
      <c r="CN251" s="41"/>
      <c r="CO251" s="41"/>
      <c r="CP251" s="41"/>
      <c r="CQ251" s="41"/>
      <c r="CR251" s="41"/>
      <c r="CS251" s="41"/>
      <c r="CT251" s="41"/>
      <c r="CU251" s="41"/>
      <c r="CV251" s="41"/>
      <c r="CW251" s="41"/>
      <c r="CX251" s="41"/>
      <c r="CY251" s="41"/>
      <c r="CZ251" s="41"/>
      <c r="DA251" s="51"/>
      <c r="DB251" s="51"/>
      <c r="DC251" s="51"/>
      <c r="DD251" s="51"/>
      <c r="DE251" s="51"/>
      <c r="DF251" s="51"/>
      <c r="DG251" s="51"/>
      <c r="DH251" s="51"/>
      <c r="DI251" s="51"/>
      <c r="DJ251" s="51"/>
      <c r="DK251" s="51"/>
      <c r="DL251" s="51"/>
      <c r="DM251" s="51"/>
      <c r="DN251" s="51"/>
      <c r="DO251" s="51"/>
      <c r="DP251" s="51"/>
      <c r="DQ251" s="51"/>
      <c r="DR251" s="51"/>
      <c r="DS251" s="51"/>
      <c r="DT251" s="51"/>
      <c r="DU251" s="51"/>
      <c r="DV251" s="51"/>
      <c r="DW251" s="51"/>
      <c r="DX251" s="51"/>
      <c r="DY251" s="51"/>
      <c r="DZ251" s="51"/>
      <c r="EA251" s="51"/>
      <c r="EB251" s="51"/>
      <c r="EC251" s="51"/>
      <c r="ED251" s="51"/>
      <c r="EE251" s="51"/>
      <c r="EF251" s="51"/>
      <c r="EG251" s="51"/>
      <c r="EH251" s="51"/>
      <c r="EI251" s="51"/>
      <c r="EJ251" s="40"/>
      <c r="EK251" s="40"/>
      <c r="EL251" s="40"/>
      <c r="EM251" s="40"/>
      <c r="EN251" s="40"/>
      <c r="EO251" s="40"/>
      <c r="EP251" s="40"/>
      <c r="EQ251" s="40"/>
      <c r="ER251" s="40"/>
      <c r="ES251" s="40"/>
      <c r="ET251" s="40"/>
      <c r="EU251" s="40"/>
      <c r="EV251" s="40"/>
      <c r="EW251" s="40"/>
      <c r="EX251" s="40"/>
      <c r="EY251" s="40"/>
      <c r="EZ251" s="40"/>
      <c r="FA251" s="40"/>
      <c r="FB251" s="40"/>
      <c r="FC251" s="40"/>
      <c r="FD251" s="40"/>
      <c r="FE251" s="40"/>
      <c r="FF251" s="40"/>
      <c r="FG251" s="40"/>
      <c r="FH251" s="40"/>
      <c r="FI251" s="40"/>
      <c r="FJ251" s="40"/>
      <c r="FK251" s="40"/>
      <c r="FL251" s="40"/>
      <c r="FM251" s="40"/>
      <c r="FN251" s="40"/>
      <c r="FO251" s="40"/>
      <c r="FP251" s="40"/>
      <c r="FQ251" s="40"/>
      <c r="FR251" s="40"/>
      <c r="FS251" s="40"/>
    </row>
    <row r="252" spans="1:175" s="13" customFormat="1" ht="9.75" hidden="1" customHeight="1">
      <c r="A252" s="139"/>
      <c r="B252" s="497"/>
      <c r="C252" s="140"/>
      <c r="D252" s="141"/>
      <c r="E252" s="141"/>
      <c r="F252" s="141"/>
      <c r="G252" s="141"/>
      <c r="H252" s="141"/>
      <c r="I252" s="142"/>
      <c r="J252" s="141"/>
      <c r="K252" s="141"/>
      <c r="L252" s="143"/>
      <c r="M252" s="143"/>
      <c r="N252" s="144"/>
      <c r="O252" s="144"/>
      <c r="P252" s="14"/>
      <c r="Q252" s="243"/>
      <c r="R252" s="65"/>
      <c r="S252" s="243"/>
      <c r="T252" s="65"/>
      <c r="U252" s="65"/>
      <c r="V252" s="65"/>
      <c r="W252" s="63"/>
      <c r="X252" s="64"/>
      <c r="Y252" s="64"/>
      <c r="Z252" s="64"/>
      <c r="AA252" s="64"/>
      <c r="AB252" s="64"/>
      <c r="AC252" s="64"/>
      <c r="AD252" s="64"/>
      <c r="AE252" s="64"/>
      <c r="AF252" s="65"/>
      <c r="AG252" s="65"/>
      <c r="AH252" s="65"/>
      <c r="AI252" s="65"/>
      <c r="AJ252" s="65"/>
      <c r="AK252" s="65"/>
      <c r="AL252" s="65"/>
      <c r="AM252" s="65"/>
      <c r="AN252" s="65"/>
      <c r="AO252" s="65"/>
      <c r="AP252" s="65"/>
      <c r="AQ252" s="65"/>
      <c r="AR252" s="65"/>
      <c r="AS252" s="66"/>
      <c r="AT252" s="66"/>
      <c r="AU252" s="66"/>
      <c r="AV252" s="66"/>
      <c r="AW252" s="41"/>
      <c r="AX252" s="41"/>
      <c r="AY252" s="41"/>
      <c r="AZ252" s="41"/>
      <c r="BA252" s="41"/>
      <c r="BB252" s="41"/>
      <c r="BC252" s="41"/>
      <c r="BD252" s="41"/>
      <c r="BE252" s="41"/>
      <c r="BF252" s="41"/>
      <c r="BG252" s="41"/>
      <c r="BH252" s="41"/>
      <c r="BI252" s="41"/>
      <c r="BJ252" s="41"/>
      <c r="BK252" s="41"/>
      <c r="BL252" s="41"/>
      <c r="BM252" s="41"/>
      <c r="BN252" s="41"/>
      <c r="BO252" s="41"/>
      <c r="BP252" s="41"/>
      <c r="BQ252" s="41"/>
      <c r="BR252" s="41"/>
      <c r="BS252" s="41"/>
      <c r="BT252" s="41"/>
      <c r="BU252" s="41"/>
      <c r="BV252" s="41"/>
      <c r="BW252" s="41"/>
      <c r="BX252" s="41"/>
      <c r="BY252" s="41"/>
      <c r="BZ252" s="41"/>
      <c r="CA252" s="41"/>
      <c r="CB252" s="41"/>
      <c r="CC252" s="41"/>
      <c r="CD252" s="41"/>
      <c r="CE252" s="41"/>
      <c r="CF252" s="41"/>
      <c r="CG252" s="41"/>
      <c r="CH252" s="41"/>
      <c r="CI252" s="41"/>
      <c r="CJ252" s="41"/>
      <c r="CK252" s="41"/>
      <c r="CL252" s="41"/>
      <c r="CM252" s="41"/>
      <c r="CN252" s="41"/>
      <c r="CO252" s="41"/>
      <c r="CP252" s="41"/>
      <c r="CQ252" s="41"/>
      <c r="CR252" s="41"/>
      <c r="CS252" s="41"/>
      <c r="CT252" s="41"/>
      <c r="CU252" s="41"/>
      <c r="CV252" s="41"/>
      <c r="CW252" s="41"/>
      <c r="CX252" s="41"/>
      <c r="CY252" s="41"/>
      <c r="CZ252" s="41"/>
      <c r="DA252" s="51"/>
      <c r="DB252" s="51"/>
      <c r="DC252" s="51"/>
      <c r="DD252" s="51"/>
      <c r="DE252" s="51"/>
      <c r="DF252" s="51"/>
      <c r="DG252" s="51"/>
      <c r="DH252" s="51"/>
      <c r="DI252" s="51"/>
      <c r="DJ252" s="51"/>
      <c r="DK252" s="51"/>
      <c r="DL252" s="51"/>
      <c r="DM252" s="51"/>
      <c r="DN252" s="51"/>
      <c r="DO252" s="51"/>
      <c r="DP252" s="51"/>
      <c r="DQ252" s="51"/>
      <c r="DR252" s="51"/>
      <c r="DS252" s="51"/>
      <c r="DT252" s="51"/>
      <c r="DU252" s="51"/>
      <c r="DV252" s="51"/>
      <c r="DW252" s="51"/>
      <c r="DX252" s="51"/>
      <c r="DY252" s="51"/>
      <c r="DZ252" s="51"/>
      <c r="EA252" s="51"/>
      <c r="EB252" s="51"/>
      <c r="EC252" s="51"/>
      <c r="ED252" s="51"/>
      <c r="EE252" s="51"/>
      <c r="EF252" s="51"/>
      <c r="EG252" s="51"/>
      <c r="EH252" s="51"/>
      <c r="EI252" s="51"/>
      <c r="EJ252" s="40"/>
      <c r="EK252" s="40"/>
      <c r="EL252" s="40"/>
      <c r="EM252" s="40"/>
      <c r="EN252" s="40"/>
      <c r="EO252" s="40"/>
      <c r="EP252" s="40"/>
      <c r="EQ252" s="40"/>
      <c r="ER252" s="40"/>
      <c r="ES252" s="40"/>
      <c r="ET252" s="40"/>
      <c r="EU252" s="40"/>
      <c r="EV252" s="40"/>
      <c r="EW252" s="40"/>
      <c r="EX252" s="40"/>
      <c r="EY252" s="40"/>
      <c r="EZ252" s="40"/>
      <c r="FA252" s="40"/>
      <c r="FB252" s="40"/>
      <c r="FC252" s="40"/>
      <c r="FD252" s="40"/>
      <c r="FE252" s="40"/>
      <c r="FF252" s="40"/>
      <c r="FG252" s="40"/>
      <c r="FH252" s="40"/>
      <c r="FI252" s="40"/>
      <c r="FJ252" s="40"/>
      <c r="FK252" s="40"/>
      <c r="FL252" s="40"/>
      <c r="FM252" s="40"/>
      <c r="FN252" s="40"/>
      <c r="FO252" s="40"/>
      <c r="FP252" s="40"/>
      <c r="FQ252" s="40"/>
      <c r="FR252" s="40"/>
      <c r="FS252" s="40"/>
    </row>
    <row r="253" spans="1:175" s="13" customFormat="1" ht="9.75" hidden="1" customHeight="1">
      <c r="A253" s="139"/>
      <c r="B253" s="497"/>
      <c r="C253" s="140"/>
      <c r="D253" s="141"/>
      <c r="E253" s="141"/>
      <c r="F253" s="141"/>
      <c r="G253" s="141"/>
      <c r="H253" s="141"/>
      <c r="I253" s="142"/>
      <c r="J253" s="141"/>
      <c r="K253" s="141"/>
      <c r="L253" s="143"/>
      <c r="M253" s="143"/>
      <c r="N253" s="144"/>
      <c r="O253" s="144"/>
      <c r="P253" s="14"/>
      <c r="Q253" s="243"/>
      <c r="R253" s="65"/>
      <c r="S253" s="243"/>
      <c r="T253" s="65"/>
      <c r="U253" s="65"/>
      <c r="V253" s="65"/>
      <c r="W253" s="63"/>
      <c r="X253" s="64"/>
      <c r="Y253" s="64"/>
      <c r="Z253" s="64"/>
      <c r="AA253" s="64"/>
      <c r="AB253" s="64"/>
      <c r="AC253" s="64"/>
      <c r="AD253" s="64"/>
      <c r="AE253" s="64"/>
      <c r="AF253" s="65"/>
      <c r="AG253" s="65"/>
      <c r="AH253" s="65"/>
      <c r="AI253" s="65"/>
      <c r="AJ253" s="65"/>
      <c r="AK253" s="65"/>
      <c r="AL253" s="65"/>
      <c r="AM253" s="65"/>
      <c r="AN253" s="65"/>
      <c r="AO253" s="65"/>
      <c r="AP253" s="65"/>
      <c r="AQ253" s="65"/>
      <c r="AR253" s="65"/>
      <c r="AS253" s="66"/>
      <c r="AT253" s="66"/>
      <c r="AU253" s="66"/>
      <c r="AV253" s="66"/>
      <c r="AW253" s="41"/>
      <c r="AX253" s="41"/>
      <c r="AY253" s="41"/>
      <c r="AZ253" s="41"/>
      <c r="BA253" s="41"/>
      <c r="BB253" s="41"/>
      <c r="BC253" s="41"/>
      <c r="BD253" s="41"/>
      <c r="BE253" s="41"/>
      <c r="BF253" s="41"/>
      <c r="BG253" s="41"/>
      <c r="BH253" s="41"/>
      <c r="BI253" s="41"/>
      <c r="BJ253" s="41"/>
      <c r="BK253" s="41"/>
      <c r="BL253" s="41"/>
      <c r="BM253" s="41"/>
      <c r="BN253" s="41"/>
      <c r="BO253" s="41"/>
      <c r="BP253" s="41"/>
      <c r="BQ253" s="41"/>
      <c r="BR253" s="41"/>
      <c r="BS253" s="41"/>
      <c r="BT253" s="41"/>
      <c r="BU253" s="41"/>
      <c r="BV253" s="41"/>
      <c r="BW253" s="41"/>
      <c r="BX253" s="41"/>
      <c r="BY253" s="41"/>
      <c r="BZ253" s="41"/>
      <c r="CA253" s="41"/>
      <c r="CB253" s="41"/>
      <c r="CC253" s="41"/>
      <c r="CD253" s="41"/>
      <c r="CE253" s="41"/>
      <c r="CF253" s="41"/>
      <c r="CG253" s="41"/>
      <c r="CH253" s="41"/>
      <c r="CI253" s="41"/>
      <c r="CJ253" s="41"/>
      <c r="CK253" s="41"/>
      <c r="CL253" s="41"/>
      <c r="CM253" s="41"/>
      <c r="CN253" s="41"/>
      <c r="CO253" s="41"/>
      <c r="CP253" s="41"/>
      <c r="CQ253" s="41"/>
      <c r="CR253" s="41"/>
      <c r="CS253" s="41"/>
      <c r="CT253" s="41"/>
      <c r="CU253" s="41"/>
      <c r="CV253" s="41"/>
      <c r="CW253" s="41"/>
      <c r="CX253" s="41"/>
      <c r="CY253" s="41"/>
      <c r="CZ253" s="41"/>
      <c r="DA253" s="51"/>
      <c r="DB253" s="51"/>
      <c r="DC253" s="51"/>
      <c r="DD253" s="51"/>
      <c r="DE253" s="51"/>
      <c r="DF253" s="51"/>
      <c r="DG253" s="51"/>
      <c r="DH253" s="51"/>
      <c r="DI253" s="51"/>
      <c r="DJ253" s="51"/>
      <c r="DK253" s="51"/>
      <c r="DL253" s="51"/>
      <c r="DM253" s="51"/>
      <c r="DN253" s="51"/>
      <c r="DO253" s="51"/>
      <c r="DP253" s="51"/>
      <c r="DQ253" s="51"/>
      <c r="DR253" s="51"/>
      <c r="DS253" s="51"/>
      <c r="DT253" s="51"/>
      <c r="DU253" s="51"/>
      <c r="DV253" s="51"/>
      <c r="DW253" s="51"/>
      <c r="DX253" s="51"/>
      <c r="DY253" s="51"/>
      <c r="DZ253" s="51"/>
      <c r="EA253" s="51"/>
      <c r="EB253" s="51"/>
      <c r="EC253" s="51"/>
      <c r="ED253" s="51"/>
      <c r="EE253" s="51"/>
      <c r="EF253" s="51"/>
      <c r="EG253" s="51"/>
      <c r="EH253" s="51"/>
      <c r="EI253" s="51"/>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row>
    <row r="254" spans="1:175" s="13" customFormat="1" ht="9.75" hidden="1" customHeight="1">
      <c r="A254" s="139"/>
      <c r="B254" s="497"/>
      <c r="C254" s="140"/>
      <c r="D254" s="141"/>
      <c r="E254" s="141"/>
      <c r="F254" s="141"/>
      <c r="G254" s="141"/>
      <c r="H254" s="141"/>
      <c r="I254" s="142"/>
      <c r="J254" s="141"/>
      <c r="K254" s="141"/>
      <c r="L254" s="143"/>
      <c r="M254" s="143"/>
      <c r="N254" s="144"/>
      <c r="O254" s="144"/>
      <c r="P254" s="14"/>
      <c r="Q254" s="243"/>
      <c r="R254" s="65"/>
      <c r="S254" s="243"/>
      <c r="T254" s="65"/>
      <c r="U254" s="65"/>
      <c r="V254" s="65"/>
      <c r="W254" s="63"/>
      <c r="X254" s="64"/>
      <c r="Y254" s="64"/>
      <c r="Z254" s="64"/>
      <c r="AA254" s="64"/>
      <c r="AB254" s="64"/>
      <c r="AC254" s="64"/>
      <c r="AD254" s="64"/>
      <c r="AE254" s="64"/>
      <c r="AF254" s="65"/>
      <c r="AG254" s="65"/>
      <c r="AH254" s="65"/>
      <c r="AI254" s="65"/>
      <c r="AJ254" s="65"/>
      <c r="AK254" s="65"/>
      <c r="AL254" s="65"/>
      <c r="AM254" s="65"/>
      <c r="AN254" s="65"/>
      <c r="AO254" s="65"/>
      <c r="AP254" s="65"/>
      <c r="AQ254" s="65"/>
      <c r="AR254" s="65"/>
      <c r="AS254" s="66"/>
      <c r="AT254" s="66"/>
      <c r="AU254" s="66"/>
      <c r="AV254" s="66"/>
      <c r="AW254" s="41"/>
      <c r="AX254" s="41"/>
      <c r="AY254" s="41"/>
      <c r="AZ254" s="41"/>
      <c r="BA254" s="41"/>
      <c r="BB254" s="41"/>
      <c r="BC254" s="41"/>
      <c r="BD254" s="41"/>
      <c r="BE254" s="41"/>
      <c r="BF254" s="41"/>
      <c r="BG254" s="41"/>
      <c r="BH254" s="41"/>
      <c r="BI254" s="41"/>
      <c r="BJ254" s="41"/>
      <c r="BK254" s="41"/>
      <c r="BL254" s="41"/>
      <c r="BM254" s="41"/>
      <c r="BN254" s="41"/>
      <c r="BO254" s="41"/>
      <c r="BP254" s="41"/>
      <c r="BQ254" s="41"/>
      <c r="BR254" s="41"/>
      <c r="BS254" s="41"/>
      <c r="BT254" s="41"/>
      <c r="BU254" s="41"/>
      <c r="BV254" s="41"/>
      <c r="BW254" s="41"/>
      <c r="BX254" s="41"/>
      <c r="BY254" s="41"/>
      <c r="BZ254" s="41"/>
      <c r="CA254" s="41"/>
      <c r="CB254" s="41"/>
      <c r="CC254" s="41"/>
      <c r="CD254" s="41"/>
      <c r="CE254" s="41"/>
      <c r="CF254" s="41"/>
      <c r="CG254" s="41"/>
      <c r="CH254" s="41"/>
      <c r="CI254" s="41"/>
      <c r="CJ254" s="41"/>
      <c r="CK254" s="41"/>
      <c r="CL254" s="41"/>
      <c r="CM254" s="41"/>
      <c r="CN254" s="41"/>
      <c r="CO254" s="41"/>
      <c r="CP254" s="41"/>
      <c r="CQ254" s="41"/>
      <c r="CR254" s="41"/>
      <c r="CS254" s="41"/>
      <c r="CT254" s="41"/>
      <c r="CU254" s="41"/>
      <c r="CV254" s="41"/>
      <c r="CW254" s="41"/>
      <c r="CX254" s="41"/>
      <c r="CY254" s="41"/>
      <c r="CZ254" s="41"/>
      <c r="DA254" s="51"/>
      <c r="DB254" s="51"/>
      <c r="DC254" s="51"/>
      <c r="DD254" s="51"/>
      <c r="DE254" s="51"/>
      <c r="DF254" s="51"/>
      <c r="DG254" s="51"/>
      <c r="DH254" s="51"/>
      <c r="DI254" s="51"/>
      <c r="DJ254" s="51"/>
      <c r="DK254" s="51"/>
      <c r="DL254" s="51"/>
      <c r="DM254" s="51"/>
      <c r="DN254" s="51"/>
      <c r="DO254" s="51"/>
      <c r="DP254" s="51"/>
      <c r="DQ254" s="51"/>
      <c r="DR254" s="51"/>
      <c r="DS254" s="51"/>
      <c r="DT254" s="51"/>
      <c r="DU254" s="51"/>
      <c r="DV254" s="51"/>
      <c r="DW254" s="51"/>
      <c r="DX254" s="51"/>
      <c r="DY254" s="51"/>
      <c r="DZ254" s="51"/>
      <c r="EA254" s="51"/>
      <c r="EB254" s="51"/>
      <c r="EC254" s="51"/>
      <c r="ED254" s="51"/>
      <c r="EE254" s="51"/>
      <c r="EF254" s="51"/>
      <c r="EG254" s="51"/>
      <c r="EH254" s="51"/>
      <c r="EI254" s="51"/>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row>
    <row r="255" spans="1:175" s="13" customFormat="1" ht="9.75" hidden="1" customHeight="1">
      <c r="A255" s="139"/>
      <c r="B255" s="497"/>
      <c r="C255" s="140"/>
      <c r="D255" s="141"/>
      <c r="E255" s="141"/>
      <c r="F255" s="141"/>
      <c r="G255" s="141"/>
      <c r="H255" s="141"/>
      <c r="I255" s="142"/>
      <c r="J255" s="141"/>
      <c r="K255" s="141"/>
      <c r="L255" s="143"/>
      <c r="M255" s="143"/>
      <c r="N255" s="144"/>
      <c r="O255" s="144"/>
      <c r="P255" s="14"/>
      <c r="Q255" s="243"/>
      <c r="R255" s="65"/>
      <c r="S255" s="243"/>
      <c r="T255" s="65"/>
      <c r="U255" s="65"/>
      <c r="V255" s="65"/>
      <c r="W255" s="63"/>
      <c r="X255" s="64"/>
      <c r="Y255" s="64"/>
      <c r="Z255" s="64"/>
      <c r="AA255" s="64"/>
      <c r="AB255" s="64"/>
      <c r="AC255" s="64"/>
      <c r="AD255" s="64"/>
      <c r="AE255" s="64"/>
      <c r="AF255" s="65"/>
      <c r="AG255" s="65"/>
      <c r="AH255" s="65"/>
      <c r="AI255" s="65"/>
      <c r="AJ255" s="65"/>
      <c r="AK255" s="65"/>
      <c r="AL255" s="65"/>
      <c r="AM255" s="65"/>
      <c r="AN255" s="65"/>
      <c r="AO255" s="65"/>
      <c r="AP255" s="65"/>
      <c r="AQ255" s="65"/>
      <c r="AR255" s="65"/>
      <c r="AS255" s="66"/>
      <c r="AT255" s="66"/>
      <c r="AU255" s="66"/>
      <c r="AV255" s="66"/>
      <c r="AW255" s="41"/>
      <c r="AX255" s="41"/>
      <c r="AY255" s="41"/>
      <c r="AZ255" s="41"/>
      <c r="BA255" s="41"/>
      <c r="BB255" s="41"/>
      <c r="BC255" s="41"/>
      <c r="BD255" s="41"/>
      <c r="BE255" s="41"/>
      <c r="BF255" s="41"/>
      <c r="BG255" s="41"/>
      <c r="BH255" s="41"/>
      <c r="BI255" s="41"/>
      <c r="BJ255" s="41"/>
      <c r="BK255" s="41"/>
      <c r="BL255" s="41"/>
      <c r="BM255" s="41"/>
      <c r="BN255" s="41"/>
      <c r="BO255" s="41"/>
      <c r="BP255" s="41"/>
      <c r="BQ255" s="41"/>
      <c r="BR255" s="41"/>
      <c r="BS255" s="41"/>
      <c r="BT255" s="41"/>
      <c r="BU255" s="41"/>
      <c r="BV255" s="41"/>
      <c r="BW255" s="41"/>
      <c r="BX255" s="41"/>
      <c r="BY255" s="41"/>
      <c r="BZ255" s="41"/>
      <c r="CA255" s="41"/>
      <c r="CB255" s="41"/>
      <c r="CC255" s="41"/>
      <c r="CD255" s="41"/>
      <c r="CE255" s="41"/>
      <c r="CF255" s="41"/>
      <c r="CG255" s="41"/>
      <c r="CH255" s="41"/>
      <c r="CI255" s="41"/>
      <c r="CJ255" s="41"/>
      <c r="CK255" s="41"/>
      <c r="CL255" s="41"/>
      <c r="CM255" s="41"/>
      <c r="CN255" s="41"/>
      <c r="CO255" s="41"/>
      <c r="CP255" s="41"/>
      <c r="CQ255" s="41"/>
      <c r="CR255" s="41"/>
      <c r="CS255" s="41"/>
      <c r="CT255" s="41"/>
      <c r="CU255" s="41"/>
      <c r="CV255" s="41"/>
      <c r="CW255" s="41"/>
      <c r="CX255" s="41"/>
      <c r="CY255" s="41"/>
      <c r="CZ255" s="41"/>
      <c r="DA255" s="51"/>
      <c r="DB255" s="51"/>
      <c r="DC255" s="51"/>
      <c r="DD255" s="51"/>
      <c r="DE255" s="51"/>
      <c r="DF255" s="51"/>
      <c r="DG255" s="51"/>
      <c r="DH255" s="51"/>
      <c r="DI255" s="51"/>
      <c r="DJ255" s="51"/>
      <c r="DK255" s="51"/>
      <c r="DL255" s="51"/>
      <c r="DM255" s="51"/>
      <c r="DN255" s="51"/>
      <c r="DO255" s="51"/>
      <c r="DP255" s="51"/>
      <c r="DQ255" s="51"/>
      <c r="DR255" s="51"/>
      <c r="DS255" s="51"/>
      <c r="DT255" s="51"/>
      <c r="DU255" s="51"/>
      <c r="DV255" s="51"/>
      <c r="DW255" s="51"/>
      <c r="DX255" s="51"/>
      <c r="DY255" s="51"/>
      <c r="DZ255" s="51"/>
      <c r="EA255" s="51"/>
      <c r="EB255" s="51"/>
      <c r="EC255" s="51"/>
      <c r="ED255" s="51"/>
      <c r="EE255" s="51"/>
      <c r="EF255" s="51"/>
      <c r="EG255" s="51"/>
      <c r="EH255" s="51"/>
      <c r="EI255" s="51"/>
      <c r="EJ255" s="40"/>
      <c r="EK255" s="40"/>
      <c r="EL255" s="40"/>
      <c r="EM255" s="40"/>
      <c r="EN255" s="40"/>
      <c r="EO255" s="40"/>
      <c r="EP255" s="40"/>
      <c r="EQ255" s="40"/>
      <c r="ER255" s="40"/>
      <c r="ES255" s="40"/>
      <c r="ET255" s="40"/>
      <c r="EU255" s="40"/>
      <c r="EV255" s="40"/>
      <c r="EW255" s="40"/>
      <c r="EX255" s="40"/>
      <c r="EY255" s="40"/>
      <c r="EZ255" s="40"/>
      <c r="FA255" s="40"/>
      <c r="FB255" s="40"/>
      <c r="FC255" s="40"/>
      <c r="FD255" s="40"/>
      <c r="FE255" s="40"/>
      <c r="FF255" s="40"/>
      <c r="FG255" s="40"/>
      <c r="FH255" s="40"/>
      <c r="FI255" s="40"/>
      <c r="FJ255" s="40"/>
      <c r="FK255" s="40"/>
      <c r="FL255" s="40"/>
      <c r="FM255" s="40"/>
      <c r="FN255" s="40"/>
      <c r="FO255" s="40"/>
      <c r="FP255" s="40"/>
      <c r="FQ255" s="40"/>
      <c r="FR255" s="40"/>
      <c r="FS255" s="40"/>
    </row>
    <row r="256" spans="1:175" s="13" customFormat="1" ht="9.75" hidden="1" customHeight="1">
      <c r="A256" s="139"/>
      <c r="B256" s="497"/>
      <c r="C256" s="140"/>
      <c r="D256" s="141"/>
      <c r="E256" s="141"/>
      <c r="F256" s="141"/>
      <c r="G256" s="141"/>
      <c r="H256" s="141"/>
      <c r="I256" s="142"/>
      <c r="J256" s="141"/>
      <c r="K256" s="141"/>
      <c r="L256" s="143"/>
      <c r="M256" s="143"/>
      <c r="N256" s="144"/>
      <c r="O256" s="144"/>
      <c r="P256" s="14"/>
      <c r="Q256" s="243"/>
      <c r="R256" s="65"/>
      <c r="S256" s="243"/>
      <c r="T256" s="65"/>
      <c r="U256" s="65"/>
      <c r="V256" s="65"/>
      <c r="W256" s="63"/>
      <c r="X256" s="64"/>
      <c r="Y256" s="64"/>
      <c r="Z256" s="64"/>
      <c r="AA256" s="64"/>
      <c r="AB256" s="64"/>
      <c r="AC256" s="64"/>
      <c r="AD256" s="64"/>
      <c r="AE256" s="64"/>
      <c r="AF256" s="65"/>
      <c r="AG256" s="65"/>
      <c r="AH256" s="65"/>
      <c r="AI256" s="65"/>
      <c r="AJ256" s="65"/>
      <c r="AK256" s="65"/>
      <c r="AL256" s="65"/>
      <c r="AM256" s="65"/>
      <c r="AN256" s="65"/>
      <c r="AO256" s="65"/>
      <c r="AP256" s="65"/>
      <c r="AQ256" s="65"/>
      <c r="AR256" s="65"/>
      <c r="AS256" s="66"/>
      <c r="AT256" s="66"/>
      <c r="AU256" s="66"/>
      <c r="AV256" s="66"/>
      <c r="AW256" s="41"/>
      <c r="AX256" s="41"/>
      <c r="AY256" s="41"/>
      <c r="AZ256" s="41"/>
      <c r="BA256" s="41"/>
      <c r="BB256" s="41"/>
      <c r="BC256" s="41"/>
      <c r="BD256" s="41"/>
      <c r="BE256" s="41"/>
      <c r="BF256" s="41"/>
      <c r="BG256" s="41"/>
      <c r="BH256" s="41"/>
      <c r="BI256" s="41"/>
      <c r="BJ256" s="41"/>
      <c r="BK256" s="41"/>
      <c r="BL256" s="41"/>
      <c r="BM256" s="41"/>
      <c r="BN256" s="41"/>
      <c r="BO256" s="41"/>
      <c r="BP256" s="41"/>
      <c r="BQ256" s="41"/>
      <c r="BR256" s="41"/>
      <c r="BS256" s="41"/>
      <c r="BT256" s="41"/>
      <c r="BU256" s="41"/>
      <c r="BV256" s="41"/>
      <c r="BW256" s="41"/>
      <c r="BX256" s="41"/>
      <c r="BY256" s="41"/>
      <c r="BZ256" s="41"/>
      <c r="CA256" s="41"/>
      <c r="CB256" s="41"/>
      <c r="CC256" s="41"/>
      <c r="CD256" s="41"/>
      <c r="CE256" s="41"/>
      <c r="CF256" s="41"/>
      <c r="CG256" s="41"/>
      <c r="CH256" s="41"/>
      <c r="CI256" s="41"/>
      <c r="CJ256" s="41"/>
      <c r="CK256" s="41"/>
      <c r="CL256" s="41"/>
      <c r="CM256" s="41"/>
      <c r="CN256" s="41"/>
      <c r="CO256" s="41"/>
      <c r="CP256" s="41"/>
      <c r="CQ256" s="41"/>
      <c r="CR256" s="41"/>
      <c r="CS256" s="41"/>
      <c r="CT256" s="41"/>
      <c r="CU256" s="41"/>
      <c r="CV256" s="41"/>
      <c r="CW256" s="41"/>
      <c r="CX256" s="41"/>
      <c r="CY256" s="41"/>
      <c r="CZ256" s="41"/>
      <c r="DA256" s="51"/>
      <c r="DB256" s="51"/>
      <c r="DC256" s="51"/>
      <c r="DD256" s="51"/>
      <c r="DE256" s="51"/>
      <c r="DF256" s="51"/>
      <c r="DG256" s="51"/>
      <c r="DH256" s="51"/>
      <c r="DI256" s="51"/>
      <c r="DJ256" s="51"/>
      <c r="DK256" s="51"/>
      <c r="DL256" s="51"/>
      <c r="DM256" s="51"/>
      <c r="DN256" s="51"/>
      <c r="DO256" s="51"/>
      <c r="DP256" s="51"/>
      <c r="DQ256" s="51"/>
      <c r="DR256" s="51"/>
      <c r="DS256" s="51"/>
      <c r="DT256" s="51"/>
      <c r="DU256" s="51"/>
      <c r="DV256" s="51"/>
      <c r="DW256" s="51"/>
      <c r="DX256" s="51"/>
      <c r="DY256" s="51"/>
      <c r="DZ256" s="51"/>
      <c r="EA256" s="51"/>
      <c r="EB256" s="51"/>
      <c r="EC256" s="51"/>
      <c r="ED256" s="51"/>
      <c r="EE256" s="51"/>
      <c r="EF256" s="51"/>
      <c r="EG256" s="51"/>
      <c r="EH256" s="51"/>
      <c r="EI256" s="51"/>
      <c r="EJ256" s="40"/>
      <c r="EK256" s="40"/>
      <c r="EL256" s="40"/>
      <c r="EM256" s="40"/>
      <c r="EN256" s="40"/>
      <c r="EO256" s="40"/>
      <c r="EP256" s="40"/>
      <c r="EQ256" s="40"/>
      <c r="ER256" s="40"/>
      <c r="ES256" s="40"/>
      <c r="ET256" s="40"/>
      <c r="EU256" s="40"/>
      <c r="EV256" s="40"/>
      <c r="EW256" s="40"/>
      <c r="EX256" s="40"/>
      <c r="EY256" s="40"/>
      <c r="EZ256" s="40"/>
      <c r="FA256" s="40"/>
      <c r="FB256" s="40"/>
      <c r="FC256" s="40"/>
      <c r="FD256" s="40"/>
      <c r="FE256" s="40"/>
      <c r="FF256" s="40"/>
      <c r="FG256" s="40"/>
      <c r="FH256" s="40"/>
      <c r="FI256" s="40"/>
      <c r="FJ256" s="40"/>
      <c r="FK256" s="40"/>
      <c r="FL256" s="40"/>
      <c r="FM256" s="40"/>
      <c r="FN256" s="40"/>
      <c r="FO256" s="40"/>
      <c r="FP256" s="40"/>
      <c r="FQ256" s="40"/>
      <c r="FR256" s="40"/>
      <c r="FS256" s="40"/>
    </row>
    <row r="257" spans="1:175" s="13" customFormat="1" ht="9.75" hidden="1" customHeight="1">
      <c r="A257" s="139"/>
      <c r="B257" s="497"/>
      <c r="C257" s="140"/>
      <c r="D257" s="141"/>
      <c r="E257" s="141"/>
      <c r="F257" s="141"/>
      <c r="G257" s="141"/>
      <c r="H257" s="141"/>
      <c r="I257" s="142"/>
      <c r="J257" s="141"/>
      <c r="K257" s="141"/>
      <c r="L257" s="143"/>
      <c r="M257" s="143"/>
      <c r="N257" s="144"/>
      <c r="O257" s="144"/>
      <c r="P257" s="14"/>
      <c r="Q257" s="243"/>
      <c r="R257" s="65"/>
      <c r="S257" s="243"/>
      <c r="T257" s="65"/>
      <c r="U257" s="65"/>
      <c r="V257" s="65"/>
      <c r="W257" s="63"/>
      <c r="X257" s="64"/>
      <c r="Y257" s="64"/>
      <c r="Z257" s="64"/>
      <c r="AA257" s="64"/>
      <c r="AB257" s="64"/>
      <c r="AC257" s="64"/>
      <c r="AD257" s="64"/>
      <c r="AE257" s="64"/>
      <c r="AF257" s="65"/>
      <c r="AG257" s="65"/>
      <c r="AH257" s="65"/>
      <c r="AI257" s="65"/>
      <c r="AJ257" s="65"/>
      <c r="AK257" s="65"/>
      <c r="AL257" s="65"/>
      <c r="AM257" s="65"/>
      <c r="AN257" s="65"/>
      <c r="AO257" s="65"/>
      <c r="AP257" s="65"/>
      <c r="AQ257" s="65"/>
      <c r="AR257" s="65"/>
      <c r="AS257" s="66"/>
      <c r="AT257" s="66"/>
      <c r="AU257" s="66"/>
      <c r="AV257" s="66"/>
      <c r="AW257" s="41"/>
      <c r="AX257" s="41"/>
      <c r="AY257" s="41"/>
      <c r="AZ257" s="41"/>
      <c r="BA257" s="41"/>
      <c r="BB257" s="41"/>
      <c r="BC257" s="41"/>
      <c r="BD257" s="41"/>
      <c r="BE257" s="41"/>
      <c r="BF257" s="41"/>
      <c r="BG257" s="41"/>
      <c r="BH257" s="41"/>
      <c r="BI257" s="41"/>
      <c r="BJ257" s="41"/>
      <c r="BK257" s="41"/>
      <c r="BL257" s="41"/>
      <c r="BM257" s="41"/>
      <c r="BN257" s="41"/>
      <c r="BO257" s="41"/>
      <c r="BP257" s="41"/>
      <c r="BQ257" s="41"/>
      <c r="BR257" s="41"/>
      <c r="BS257" s="41"/>
      <c r="BT257" s="41"/>
      <c r="BU257" s="41"/>
      <c r="BV257" s="41"/>
      <c r="BW257" s="41"/>
      <c r="BX257" s="41"/>
      <c r="BY257" s="41"/>
      <c r="BZ257" s="41"/>
      <c r="CA257" s="41"/>
      <c r="CB257" s="41"/>
      <c r="CC257" s="41"/>
      <c r="CD257" s="41"/>
      <c r="CE257" s="41"/>
      <c r="CF257" s="41"/>
      <c r="CG257" s="41"/>
      <c r="CH257" s="41"/>
      <c r="CI257" s="41"/>
      <c r="CJ257" s="41"/>
      <c r="CK257" s="41"/>
      <c r="CL257" s="41"/>
      <c r="CM257" s="41"/>
      <c r="CN257" s="41"/>
      <c r="CO257" s="41"/>
      <c r="CP257" s="41"/>
      <c r="CQ257" s="41"/>
      <c r="CR257" s="41"/>
      <c r="CS257" s="41"/>
      <c r="CT257" s="41"/>
      <c r="CU257" s="41"/>
      <c r="CV257" s="41"/>
      <c r="CW257" s="41"/>
      <c r="CX257" s="41"/>
      <c r="CY257" s="41"/>
      <c r="CZ257" s="41"/>
      <c r="DA257" s="51"/>
      <c r="DB257" s="51"/>
      <c r="DC257" s="51"/>
      <c r="DD257" s="51"/>
      <c r="DE257" s="51"/>
      <c r="DF257" s="51"/>
      <c r="DG257" s="51"/>
      <c r="DH257" s="51"/>
      <c r="DI257" s="51"/>
      <c r="DJ257" s="51"/>
      <c r="DK257" s="51"/>
      <c r="DL257" s="51"/>
      <c r="DM257" s="51"/>
      <c r="DN257" s="51"/>
      <c r="DO257" s="51"/>
      <c r="DP257" s="51"/>
      <c r="DQ257" s="51"/>
      <c r="DR257" s="51"/>
      <c r="DS257" s="51"/>
      <c r="DT257" s="51"/>
      <c r="DU257" s="51"/>
      <c r="DV257" s="51"/>
      <c r="DW257" s="51"/>
      <c r="DX257" s="51"/>
      <c r="DY257" s="51"/>
      <c r="DZ257" s="51"/>
      <c r="EA257" s="51"/>
      <c r="EB257" s="51"/>
      <c r="EC257" s="51"/>
      <c r="ED257" s="51"/>
      <c r="EE257" s="51"/>
      <c r="EF257" s="51"/>
      <c r="EG257" s="51"/>
      <c r="EH257" s="51"/>
      <c r="EI257" s="51"/>
      <c r="EJ257" s="40"/>
      <c r="EK257" s="40"/>
      <c r="EL257" s="40"/>
      <c r="EM257" s="40"/>
      <c r="EN257" s="40"/>
      <c r="EO257" s="40"/>
      <c r="EP257" s="40"/>
      <c r="EQ257" s="40"/>
      <c r="ER257" s="40"/>
      <c r="ES257" s="40"/>
      <c r="ET257" s="40"/>
      <c r="EU257" s="40"/>
      <c r="EV257" s="40"/>
      <c r="EW257" s="40"/>
      <c r="EX257" s="40"/>
      <c r="EY257" s="40"/>
      <c r="EZ257" s="40"/>
      <c r="FA257" s="40"/>
      <c r="FB257" s="40"/>
      <c r="FC257" s="40"/>
      <c r="FD257" s="40"/>
      <c r="FE257" s="40"/>
      <c r="FF257" s="40"/>
      <c r="FG257" s="40"/>
      <c r="FH257" s="40"/>
      <c r="FI257" s="40"/>
      <c r="FJ257" s="40"/>
      <c r="FK257" s="40"/>
      <c r="FL257" s="40"/>
      <c r="FM257" s="40"/>
      <c r="FN257" s="40"/>
      <c r="FO257" s="40"/>
      <c r="FP257" s="40"/>
      <c r="FQ257" s="40"/>
      <c r="FR257" s="40"/>
      <c r="FS257" s="40"/>
    </row>
    <row r="258" spans="1:175" s="13" customFormat="1" ht="9.75" hidden="1" customHeight="1">
      <c r="A258" s="139"/>
      <c r="B258" s="497"/>
      <c r="C258" s="140"/>
      <c r="D258" s="141"/>
      <c r="E258" s="141"/>
      <c r="F258" s="141"/>
      <c r="G258" s="141"/>
      <c r="H258" s="141"/>
      <c r="I258" s="142"/>
      <c r="J258" s="141"/>
      <c r="K258" s="141"/>
      <c r="L258" s="143"/>
      <c r="M258" s="143"/>
      <c r="N258" s="144"/>
      <c r="O258" s="144"/>
      <c r="P258" s="14"/>
      <c r="Q258" s="243"/>
      <c r="R258" s="65"/>
      <c r="S258" s="243"/>
      <c r="T258" s="65"/>
      <c r="U258" s="65"/>
      <c r="V258" s="65"/>
      <c r="W258" s="63"/>
      <c r="X258" s="64"/>
      <c r="Y258" s="64"/>
      <c r="Z258" s="64"/>
      <c r="AA258" s="64"/>
      <c r="AB258" s="64"/>
      <c r="AC258" s="64"/>
      <c r="AD258" s="64"/>
      <c r="AE258" s="64"/>
      <c r="AF258" s="65"/>
      <c r="AG258" s="65"/>
      <c r="AH258" s="65"/>
      <c r="AI258" s="65"/>
      <c r="AJ258" s="65"/>
      <c r="AK258" s="65"/>
      <c r="AL258" s="65"/>
      <c r="AM258" s="65"/>
      <c r="AN258" s="65"/>
      <c r="AO258" s="65"/>
      <c r="AP258" s="65"/>
      <c r="AQ258" s="65"/>
      <c r="AR258" s="65"/>
      <c r="AS258" s="66"/>
      <c r="AT258" s="66"/>
      <c r="AU258" s="66"/>
      <c r="AV258" s="66"/>
      <c r="AW258" s="41"/>
      <c r="AX258" s="41"/>
      <c r="AY258" s="41"/>
      <c r="AZ258" s="41"/>
      <c r="BA258" s="41"/>
      <c r="BB258" s="41"/>
      <c r="BC258" s="41"/>
      <c r="BD258" s="41"/>
      <c r="BE258" s="41"/>
      <c r="BF258" s="41"/>
      <c r="BG258" s="41"/>
      <c r="BH258" s="41"/>
      <c r="BI258" s="41"/>
      <c r="BJ258" s="41"/>
      <c r="BK258" s="41"/>
      <c r="BL258" s="41"/>
      <c r="BM258" s="41"/>
      <c r="BN258" s="41"/>
      <c r="BO258" s="41"/>
      <c r="BP258" s="41"/>
      <c r="BQ258" s="41"/>
      <c r="BR258" s="41"/>
      <c r="BS258" s="41"/>
      <c r="BT258" s="41"/>
      <c r="BU258" s="41"/>
      <c r="BV258" s="41"/>
      <c r="BW258" s="41"/>
      <c r="BX258" s="41"/>
      <c r="BY258" s="41"/>
      <c r="BZ258" s="41"/>
      <c r="CA258" s="41"/>
      <c r="CB258" s="41"/>
      <c r="CC258" s="41"/>
      <c r="CD258" s="41"/>
      <c r="CE258" s="41"/>
      <c r="CF258" s="41"/>
      <c r="CG258" s="41"/>
      <c r="CH258" s="41"/>
      <c r="CI258" s="41"/>
      <c r="CJ258" s="41"/>
      <c r="CK258" s="41"/>
      <c r="CL258" s="41"/>
      <c r="CM258" s="41"/>
      <c r="CN258" s="41"/>
      <c r="CO258" s="41"/>
      <c r="CP258" s="41"/>
      <c r="CQ258" s="41"/>
      <c r="CR258" s="41"/>
      <c r="CS258" s="41"/>
      <c r="CT258" s="41"/>
      <c r="CU258" s="41"/>
      <c r="CV258" s="41"/>
      <c r="CW258" s="41"/>
      <c r="CX258" s="41"/>
      <c r="CY258" s="41"/>
      <c r="CZ258" s="41"/>
      <c r="DA258" s="51"/>
      <c r="DB258" s="51"/>
      <c r="DC258" s="51"/>
      <c r="DD258" s="51"/>
      <c r="DE258" s="51"/>
      <c r="DF258" s="51"/>
      <c r="DG258" s="51"/>
      <c r="DH258" s="51"/>
      <c r="DI258" s="51"/>
      <c r="DJ258" s="51"/>
      <c r="DK258" s="51"/>
      <c r="DL258" s="51"/>
      <c r="DM258" s="51"/>
      <c r="DN258" s="51"/>
      <c r="DO258" s="51"/>
      <c r="DP258" s="51"/>
      <c r="DQ258" s="51"/>
      <c r="DR258" s="51"/>
      <c r="DS258" s="51"/>
      <c r="DT258" s="51"/>
      <c r="DU258" s="51"/>
      <c r="DV258" s="51"/>
      <c r="DW258" s="51"/>
      <c r="DX258" s="51"/>
      <c r="DY258" s="51"/>
      <c r="DZ258" s="51"/>
      <c r="EA258" s="51"/>
      <c r="EB258" s="51"/>
      <c r="EC258" s="51"/>
      <c r="ED258" s="51"/>
      <c r="EE258" s="51"/>
      <c r="EF258" s="51"/>
      <c r="EG258" s="51"/>
      <c r="EH258" s="51"/>
      <c r="EI258" s="51"/>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row>
    <row r="259" spans="1:175" s="13" customFormat="1" ht="9.75" hidden="1" customHeight="1">
      <c r="A259" s="139"/>
      <c r="B259" s="497"/>
      <c r="C259" s="140"/>
      <c r="D259" s="141"/>
      <c r="E259" s="141"/>
      <c r="F259" s="141"/>
      <c r="G259" s="141"/>
      <c r="H259" s="141"/>
      <c r="I259" s="142"/>
      <c r="J259" s="141"/>
      <c r="K259" s="141"/>
      <c r="L259" s="143"/>
      <c r="M259" s="143"/>
      <c r="N259" s="144"/>
      <c r="O259" s="144"/>
      <c r="P259" s="14"/>
      <c r="Q259" s="243"/>
      <c r="R259" s="65"/>
      <c r="S259" s="243"/>
      <c r="T259" s="65"/>
      <c r="U259" s="65"/>
      <c r="V259" s="65"/>
      <c r="W259" s="63"/>
      <c r="X259" s="64"/>
      <c r="Y259" s="64"/>
      <c r="Z259" s="64"/>
      <c r="AA259" s="64"/>
      <c r="AB259" s="64"/>
      <c r="AC259" s="64"/>
      <c r="AD259" s="64"/>
      <c r="AE259" s="64"/>
      <c r="AF259" s="65"/>
      <c r="AG259" s="65"/>
      <c r="AH259" s="65"/>
      <c r="AI259" s="65"/>
      <c r="AJ259" s="65"/>
      <c r="AK259" s="65"/>
      <c r="AL259" s="65"/>
      <c r="AM259" s="65"/>
      <c r="AN259" s="65"/>
      <c r="AO259" s="65"/>
      <c r="AP259" s="65"/>
      <c r="AQ259" s="65"/>
      <c r="AR259" s="65"/>
      <c r="AS259" s="66"/>
      <c r="AT259" s="66"/>
      <c r="AU259" s="66"/>
      <c r="AV259" s="66"/>
      <c r="AW259" s="41"/>
      <c r="AX259" s="41"/>
      <c r="AY259" s="41"/>
      <c r="AZ259" s="41"/>
      <c r="BA259" s="41"/>
      <c r="BB259" s="41"/>
      <c r="BC259" s="41"/>
      <c r="BD259" s="41"/>
      <c r="BE259" s="41"/>
      <c r="BF259" s="41"/>
      <c r="BG259" s="41"/>
      <c r="BH259" s="41"/>
      <c r="BI259" s="41"/>
      <c r="BJ259" s="41"/>
      <c r="BK259" s="41"/>
      <c r="BL259" s="41"/>
      <c r="BM259" s="41"/>
      <c r="BN259" s="41"/>
      <c r="BO259" s="41"/>
      <c r="BP259" s="41"/>
      <c r="BQ259" s="41"/>
      <c r="BR259" s="41"/>
      <c r="BS259" s="41"/>
      <c r="BT259" s="41"/>
      <c r="BU259" s="41"/>
      <c r="BV259" s="41"/>
      <c r="BW259" s="41"/>
      <c r="BX259" s="41"/>
      <c r="BY259" s="41"/>
      <c r="BZ259" s="41"/>
      <c r="CA259" s="41"/>
      <c r="CB259" s="41"/>
      <c r="CC259" s="41"/>
      <c r="CD259" s="41"/>
      <c r="CE259" s="41"/>
      <c r="CF259" s="41"/>
      <c r="CG259" s="41"/>
      <c r="CH259" s="41"/>
      <c r="CI259" s="41"/>
      <c r="CJ259" s="41"/>
      <c r="CK259" s="41"/>
      <c r="CL259" s="41"/>
      <c r="CM259" s="41"/>
      <c r="CN259" s="41"/>
      <c r="CO259" s="41"/>
      <c r="CP259" s="41"/>
      <c r="CQ259" s="41"/>
      <c r="CR259" s="41"/>
      <c r="CS259" s="41"/>
      <c r="CT259" s="41"/>
      <c r="CU259" s="41"/>
      <c r="CV259" s="41"/>
      <c r="CW259" s="41"/>
      <c r="CX259" s="41"/>
      <c r="CY259" s="41"/>
      <c r="CZ259" s="41"/>
      <c r="DA259" s="51"/>
      <c r="DB259" s="51"/>
      <c r="DC259" s="51"/>
      <c r="DD259" s="51"/>
      <c r="DE259" s="51"/>
      <c r="DF259" s="51"/>
      <c r="DG259" s="51"/>
      <c r="DH259" s="51"/>
      <c r="DI259" s="51"/>
      <c r="DJ259" s="51"/>
      <c r="DK259" s="51"/>
      <c r="DL259" s="51"/>
      <c r="DM259" s="51"/>
      <c r="DN259" s="51"/>
      <c r="DO259" s="51"/>
      <c r="DP259" s="51"/>
      <c r="DQ259" s="51"/>
      <c r="DR259" s="51"/>
      <c r="DS259" s="51"/>
      <c r="DT259" s="51"/>
      <c r="DU259" s="51"/>
      <c r="DV259" s="51"/>
      <c r="DW259" s="51"/>
      <c r="DX259" s="51"/>
      <c r="DY259" s="51"/>
      <c r="DZ259" s="51"/>
      <c r="EA259" s="51"/>
      <c r="EB259" s="51"/>
      <c r="EC259" s="51"/>
      <c r="ED259" s="51"/>
      <c r="EE259" s="51"/>
      <c r="EF259" s="51"/>
      <c r="EG259" s="51"/>
      <c r="EH259" s="51"/>
      <c r="EI259" s="51"/>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row>
    <row r="260" spans="1:175" s="13" customFormat="1" ht="26.25" hidden="1" customHeight="1">
      <c r="A260" s="62"/>
      <c r="B260" s="14"/>
      <c r="P260" s="14"/>
      <c r="Q260" s="243"/>
      <c r="R260" s="65"/>
      <c r="S260" s="243"/>
      <c r="T260" s="65"/>
      <c r="U260" s="65"/>
      <c r="V260" s="65"/>
      <c r="W260" s="63"/>
      <c r="X260" s="64"/>
      <c r="Y260" s="64"/>
      <c r="Z260" s="64"/>
      <c r="AA260" s="64"/>
      <c r="AB260" s="64"/>
      <c r="AC260" s="64"/>
      <c r="AD260" s="64"/>
      <c r="AE260" s="64"/>
      <c r="AF260" s="65"/>
      <c r="AG260" s="65"/>
      <c r="AH260" s="65"/>
      <c r="AI260" s="65"/>
      <c r="AJ260" s="65"/>
      <c r="AK260" s="65"/>
      <c r="AL260" s="65"/>
      <c r="AM260" s="65"/>
      <c r="AN260" s="65"/>
      <c r="AO260" s="65"/>
      <c r="AP260" s="65"/>
      <c r="AQ260" s="65"/>
      <c r="AR260" s="65"/>
      <c r="AS260" s="66"/>
      <c r="AT260" s="66"/>
      <c r="AU260" s="66"/>
      <c r="AV260" s="66"/>
      <c r="AW260" s="41"/>
      <c r="AX260" s="41"/>
      <c r="AY260" s="41"/>
      <c r="AZ260" s="41"/>
      <c r="BA260" s="41"/>
      <c r="BB260" s="41"/>
      <c r="BC260" s="41"/>
      <c r="BD260" s="41"/>
      <c r="BE260" s="41"/>
      <c r="BF260" s="41"/>
      <c r="BG260" s="41"/>
      <c r="BH260" s="41"/>
      <c r="BI260" s="41"/>
      <c r="BJ260" s="41"/>
      <c r="BK260" s="41"/>
      <c r="BL260" s="41"/>
      <c r="BM260" s="41"/>
      <c r="BN260" s="41"/>
      <c r="BO260" s="41"/>
      <c r="BP260" s="41"/>
      <c r="BQ260" s="41"/>
      <c r="BR260" s="41"/>
      <c r="BS260" s="41"/>
      <c r="BT260" s="41"/>
      <c r="BU260" s="41"/>
      <c r="BV260" s="41"/>
      <c r="BW260" s="41"/>
      <c r="BX260" s="41"/>
      <c r="BY260" s="41"/>
      <c r="BZ260" s="41"/>
      <c r="CA260" s="41"/>
      <c r="CB260" s="41"/>
      <c r="CC260" s="41"/>
      <c r="CD260" s="41"/>
      <c r="CE260" s="41"/>
      <c r="CF260" s="41"/>
      <c r="CG260" s="41"/>
      <c r="CH260" s="41"/>
      <c r="CI260" s="41"/>
      <c r="CJ260" s="41"/>
      <c r="CK260" s="41"/>
      <c r="CL260" s="41"/>
      <c r="CM260" s="41"/>
      <c r="CN260" s="41"/>
      <c r="CO260" s="41"/>
      <c r="CP260" s="41"/>
      <c r="CQ260" s="41"/>
      <c r="CR260" s="41"/>
      <c r="CS260" s="41"/>
      <c r="CT260" s="41"/>
      <c r="CU260" s="41"/>
      <c r="CV260" s="41"/>
      <c r="CW260" s="41"/>
      <c r="CX260" s="41"/>
      <c r="CY260" s="41"/>
      <c r="CZ260" s="41"/>
      <c r="DA260" s="51"/>
      <c r="DB260" s="51"/>
      <c r="DC260" s="51"/>
      <c r="DD260" s="51"/>
      <c r="DE260" s="51"/>
      <c r="DF260" s="51"/>
      <c r="DG260" s="51"/>
      <c r="DH260" s="51"/>
      <c r="DI260" s="51"/>
      <c r="DJ260" s="51"/>
      <c r="DK260" s="51"/>
      <c r="DL260" s="51"/>
      <c r="DM260" s="51"/>
      <c r="DN260" s="51"/>
      <c r="DO260" s="51"/>
      <c r="DP260" s="51"/>
      <c r="DQ260" s="51"/>
      <c r="DR260" s="51"/>
      <c r="DS260" s="51"/>
      <c r="DT260" s="51"/>
      <c r="DU260" s="51"/>
      <c r="DV260" s="51"/>
      <c r="DW260" s="51"/>
      <c r="DX260" s="51"/>
      <c r="DY260" s="51"/>
      <c r="DZ260" s="51"/>
      <c r="EA260" s="51"/>
      <c r="EB260" s="51"/>
      <c r="EC260" s="51"/>
      <c r="ED260" s="51"/>
      <c r="EE260" s="51"/>
      <c r="EF260" s="51"/>
      <c r="EG260" s="51"/>
      <c r="EH260" s="51"/>
      <c r="EI260" s="51"/>
      <c r="EJ260" s="40"/>
      <c r="EK260" s="40"/>
      <c r="EL260" s="40"/>
      <c r="EM260" s="40"/>
      <c r="EN260" s="40"/>
      <c r="EO260" s="40"/>
      <c r="EP260" s="40"/>
      <c r="EQ260" s="40"/>
      <c r="ER260" s="40"/>
      <c r="ES260" s="40"/>
      <c r="ET260" s="40"/>
      <c r="EU260" s="40"/>
      <c r="EV260" s="40"/>
      <c r="EW260" s="40"/>
      <c r="EX260" s="40"/>
      <c r="EY260" s="40"/>
      <c r="EZ260" s="40"/>
      <c r="FA260" s="40"/>
      <c r="FB260" s="40"/>
      <c r="FC260" s="40"/>
      <c r="FD260" s="40"/>
      <c r="FE260" s="40"/>
      <c r="FF260" s="40"/>
      <c r="FG260" s="40"/>
      <c r="FH260" s="40"/>
      <c r="FI260" s="40"/>
      <c r="FJ260" s="40"/>
      <c r="FK260" s="40"/>
      <c r="FL260" s="40"/>
      <c r="FM260" s="40"/>
      <c r="FN260" s="40"/>
      <c r="FO260" s="40"/>
      <c r="FP260" s="40"/>
      <c r="FQ260" s="40"/>
      <c r="FR260" s="40"/>
      <c r="FS260" s="40"/>
    </row>
    <row r="261" spans="1:175" s="13" customFormat="1" ht="16.100000000000001" hidden="1" customHeight="1">
      <c r="A261" s="62"/>
      <c r="B261" s="14"/>
      <c r="P261" s="14"/>
      <c r="Q261" s="243"/>
      <c r="R261" s="65"/>
      <c r="S261" s="243"/>
      <c r="T261" s="65"/>
      <c r="U261" s="65"/>
      <c r="V261" s="65"/>
      <c r="W261" s="63"/>
      <c r="X261" s="64"/>
      <c r="Y261" s="64"/>
      <c r="Z261" s="64"/>
      <c r="AA261" s="64"/>
      <c r="AB261" s="64"/>
      <c r="AC261" s="64"/>
      <c r="AD261" s="64"/>
      <c r="AE261" s="64"/>
      <c r="AF261" s="65"/>
      <c r="AG261" s="65"/>
      <c r="AH261" s="65"/>
      <c r="AI261" s="65"/>
      <c r="AJ261" s="65"/>
      <c r="AK261" s="65"/>
      <c r="AL261" s="65"/>
      <c r="AM261" s="65"/>
      <c r="AN261" s="65"/>
      <c r="AO261" s="65"/>
      <c r="AP261" s="65"/>
      <c r="AQ261" s="65"/>
      <c r="AR261" s="65"/>
      <c r="AS261" s="66"/>
      <c r="AT261" s="66"/>
      <c r="AU261" s="66"/>
      <c r="AV261" s="66"/>
      <c r="AW261" s="41"/>
      <c r="AX261" s="41"/>
      <c r="AY261" s="41"/>
      <c r="AZ261" s="41"/>
      <c r="BA261" s="41"/>
      <c r="BB261" s="41"/>
      <c r="BC261" s="41"/>
      <c r="BD261" s="41"/>
      <c r="BE261" s="41"/>
      <c r="BF261" s="41"/>
      <c r="BG261" s="41"/>
      <c r="BH261" s="41"/>
      <c r="BI261" s="41"/>
      <c r="BJ261" s="41"/>
      <c r="BK261" s="41"/>
      <c r="BL261" s="41"/>
      <c r="BM261" s="41"/>
      <c r="BN261" s="41"/>
      <c r="BO261" s="41"/>
      <c r="BP261" s="41"/>
      <c r="BQ261" s="41"/>
      <c r="BR261" s="41"/>
      <c r="BS261" s="41"/>
      <c r="BT261" s="41"/>
      <c r="BU261" s="41"/>
      <c r="BV261" s="41"/>
      <c r="BW261" s="41"/>
      <c r="BX261" s="41"/>
      <c r="BY261" s="41"/>
      <c r="BZ261" s="41"/>
      <c r="CA261" s="41"/>
      <c r="CB261" s="41"/>
      <c r="CC261" s="41"/>
      <c r="CD261" s="41"/>
      <c r="CE261" s="41"/>
      <c r="CF261" s="41"/>
      <c r="CG261" s="41"/>
      <c r="CH261" s="41"/>
      <c r="CI261" s="41"/>
      <c r="CJ261" s="41"/>
      <c r="CK261" s="41"/>
      <c r="CL261" s="41"/>
      <c r="CM261" s="41"/>
      <c r="CN261" s="41"/>
      <c r="CO261" s="41"/>
      <c r="CP261" s="41"/>
      <c r="CQ261" s="41"/>
      <c r="CR261" s="41"/>
      <c r="CS261" s="41"/>
      <c r="CT261" s="41"/>
      <c r="CU261" s="41"/>
      <c r="CV261" s="41"/>
      <c r="CW261" s="41"/>
      <c r="CX261" s="41"/>
      <c r="CY261" s="41"/>
      <c r="CZ261" s="41"/>
      <c r="DA261" s="51"/>
      <c r="DB261" s="51"/>
      <c r="DC261" s="51"/>
      <c r="DD261" s="51"/>
      <c r="DE261" s="51"/>
      <c r="DF261" s="51"/>
      <c r="DG261" s="51"/>
      <c r="DH261" s="51"/>
      <c r="DI261" s="51"/>
      <c r="DJ261" s="51"/>
      <c r="DK261" s="51"/>
      <c r="DL261" s="51"/>
      <c r="DM261" s="51"/>
      <c r="DN261" s="51"/>
      <c r="DO261" s="51"/>
      <c r="DP261" s="51"/>
      <c r="DQ261" s="51"/>
      <c r="DR261" s="51"/>
      <c r="DS261" s="51"/>
      <c r="DT261" s="51"/>
      <c r="DU261" s="51"/>
      <c r="DV261" s="51"/>
      <c r="DW261" s="51"/>
      <c r="DX261" s="51"/>
      <c r="DY261" s="51"/>
      <c r="DZ261" s="51"/>
      <c r="EA261" s="51"/>
      <c r="EB261" s="51"/>
      <c r="EC261" s="51"/>
      <c r="ED261" s="51"/>
      <c r="EE261" s="51"/>
      <c r="EF261" s="51"/>
      <c r="EG261" s="51"/>
      <c r="EH261" s="51"/>
      <c r="EI261" s="51"/>
      <c r="EJ261" s="40"/>
      <c r="EK261" s="40"/>
      <c r="EL261" s="40"/>
      <c r="EM261" s="40"/>
      <c r="EN261" s="40"/>
      <c r="EO261" s="40"/>
      <c r="EP261" s="40"/>
      <c r="EQ261" s="40"/>
      <c r="ER261" s="40"/>
      <c r="ES261" s="40"/>
      <c r="ET261" s="40"/>
      <c r="EU261" s="40"/>
      <c r="EV261" s="40"/>
      <c r="EW261" s="40"/>
      <c r="EX261" s="40"/>
      <c r="EY261" s="40"/>
      <c r="EZ261" s="40"/>
      <c r="FA261" s="40"/>
      <c r="FB261" s="40"/>
      <c r="FC261" s="40"/>
      <c r="FD261" s="40"/>
      <c r="FE261" s="40"/>
      <c r="FF261" s="40"/>
      <c r="FG261" s="40"/>
      <c r="FH261" s="40"/>
      <c r="FI261" s="40"/>
      <c r="FJ261" s="40"/>
      <c r="FK261" s="40"/>
      <c r="FL261" s="40"/>
      <c r="FM261" s="40"/>
      <c r="FN261" s="40"/>
      <c r="FO261" s="40"/>
      <c r="FP261" s="40"/>
      <c r="FQ261" s="40"/>
      <c r="FR261" s="40"/>
      <c r="FS261" s="40"/>
    </row>
    <row r="262" spans="1:175" s="13" customFormat="1" ht="16.100000000000001" hidden="1" customHeight="1">
      <c r="A262" s="62"/>
      <c r="B262" s="14"/>
      <c r="P262" s="14"/>
      <c r="Q262" s="243"/>
      <c r="R262" s="65"/>
      <c r="S262" s="243"/>
      <c r="T262" s="65"/>
      <c r="U262" s="65"/>
      <c r="V262" s="65"/>
      <c r="W262" s="63"/>
      <c r="X262" s="64"/>
      <c r="Y262" s="64"/>
      <c r="Z262" s="64"/>
      <c r="AA262" s="64"/>
      <c r="AB262" s="64"/>
      <c r="AC262" s="64"/>
      <c r="AD262" s="64"/>
      <c r="AE262" s="64"/>
      <c r="AF262" s="65"/>
      <c r="AG262" s="65"/>
      <c r="AH262" s="65"/>
      <c r="AI262" s="65"/>
      <c r="AJ262" s="65"/>
      <c r="AK262" s="65"/>
      <c r="AL262" s="65"/>
      <c r="AM262" s="65"/>
      <c r="AN262" s="65"/>
      <c r="AO262" s="65"/>
      <c r="AP262" s="65"/>
      <c r="AQ262" s="65"/>
      <c r="AR262" s="65"/>
      <c r="AS262" s="66"/>
      <c r="AT262" s="66"/>
      <c r="AU262" s="66"/>
      <c r="AV262" s="66"/>
      <c r="AW262" s="41"/>
      <c r="AX262" s="41"/>
      <c r="AY262" s="41"/>
      <c r="AZ262" s="41"/>
      <c r="BA262" s="41"/>
      <c r="BB262" s="41"/>
      <c r="BC262" s="41"/>
      <c r="BD262" s="41"/>
      <c r="BE262" s="41"/>
      <c r="BF262" s="41"/>
      <c r="BG262" s="41"/>
      <c r="BH262" s="41"/>
      <c r="BI262" s="41"/>
      <c r="BJ262" s="41"/>
      <c r="BK262" s="41"/>
      <c r="BL262" s="41"/>
      <c r="BM262" s="41"/>
      <c r="BN262" s="41"/>
      <c r="BO262" s="41"/>
      <c r="BP262" s="41"/>
      <c r="BQ262" s="41"/>
      <c r="BR262" s="41"/>
      <c r="BS262" s="41"/>
      <c r="BT262" s="41"/>
      <c r="BU262" s="41"/>
      <c r="BV262" s="41"/>
      <c r="BW262" s="41"/>
      <c r="BX262" s="41"/>
      <c r="BY262" s="41"/>
      <c r="BZ262" s="41"/>
      <c r="CA262" s="41"/>
      <c r="CB262" s="41"/>
      <c r="CC262" s="41"/>
      <c r="CD262" s="41"/>
      <c r="CE262" s="41"/>
      <c r="CF262" s="41"/>
      <c r="CG262" s="41"/>
      <c r="CH262" s="41"/>
      <c r="CI262" s="41"/>
      <c r="CJ262" s="41"/>
      <c r="CK262" s="41"/>
      <c r="CL262" s="41"/>
      <c r="CM262" s="41"/>
      <c r="CN262" s="41"/>
      <c r="CO262" s="41"/>
      <c r="CP262" s="41"/>
      <c r="CQ262" s="41"/>
      <c r="CR262" s="41"/>
      <c r="CS262" s="41"/>
      <c r="CT262" s="41"/>
      <c r="CU262" s="41"/>
      <c r="CV262" s="41"/>
      <c r="CW262" s="41"/>
      <c r="CX262" s="41"/>
      <c r="CY262" s="41"/>
      <c r="CZ262" s="41"/>
      <c r="DA262" s="51"/>
      <c r="DB262" s="51"/>
      <c r="DC262" s="51"/>
      <c r="DD262" s="51"/>
      <c r="DE262" s="51"/>
      <c r="DF262" s="51"/>
      <c r="DG262" s="51"/>
      <c r="DH262" s="51"/>
      <c r="DI262" s="51"/>
      <c r="DJ262" s="51"/>
      <c r="DK262" s="51"/>
      <c r="DL262" s="51"/>
      <c r="DM262" s="51"/>
      <c r="DN262" s="51"/>
      <c r="DO262" s="51"/>
      <c r="DP262" s="51"/>
      <c r="DQ262" s="51"/>
      <c r="DR262" s="51"/>
      <c r="DS262" s="51"/>
      <c r="DT262" s="51"/>
      <c r="DU262" s="51"/>
      <c r="DV262" s="51"/>
      <c r="DW262" s="51"/>
      <c r="DX262" s="51"/>
      <c r="DY262" s="51"/>
      <c r="DZ262" s="51"/>
      <c r="EA262" s="51"/>
      <c r="EB262" s="51"/>
      <c r="EC262" s="51"/>
      <c r="ED262" s="51"/>
      <c r="EE262" s="51"/>
      <c r="EF262" s="51"/>
      <c r="EG262" s="51"/>
      <c r="EH262" s="51"/>
      <c r="EI262" s="51"/>
      <c r="EJ262" s="40"/>
      <c r="EK262" s="40"/>
      <c r="EL262" s="40"/>
      <c r="EM262" s="40"/>
      <c r="EN262" s="40"/>
      <c r="EO262" s="40"/>
      <c r="EP262" s="40"/>
      <c r="EQ262" s="40"/>
      <c r="ER262" s="40"/>
      <c r="ES262" s="40"/>
      <c r="ET262" s="40"/>
      <c r="EU262" s="40"/>
      <c r="EV262" s="40"/>
      <c r="EW262" s="40"/>
      <c r="EX262" s="40"/>
      <c r="EY262" s="40"/>
      <c r="EZ262" s="40"/>
      <c r="FA262" s="40"/>
      <c r="FB262" s="40"/>
      <c r="FC262" s="40"/>
      <c r="FD262" s="40"/>
      <c r="FE262" s="40"/>
      <c r="FF262" s="40"/>
      <c r="FG262" s="40"/>
      <c r="FH262" s="40"/>
      <c r="FI262" s="40"/>
      <c r="FJ262" s="40"/>
      <c r="FK262" s="40"/>
      <c r="FL262" s="40"/>
      <c r="FM262" s="40"/>
      <c r="FN262" s="40"/>
      <c r="FO262" s="40"/>
      <c r="FP262" s="40"/>
      <c r="FQ262" s="40"/>
      <c r="FR262" s="40"/>
      <c r="FS262" s="40"/>
    </row>
    <row r="263" spans="1:175" s="13" customFormat="1" ht="16.100000000000001" hidden="1" customHeight="1">
      <c r="A263" s="62"/>
      <c r="B263" s="14"/>
      <c r="C263" s="10"/>
      <c r="D263" s="10"/>
      <c r="E263" s="10"/>
      <c r="F263" s="10"/>
      <c r="I263" s="10"/>
      <c r="J263" s="10"/>
      <c r="K263" s="10"/>
      <c r="L263" s="10"/>
      <c r="M263" s="10"/>
      <c r="P263" s="14"/>
      <c r="Q263" s="243"/>
      <c r="R263" s="65"/>
      <c r="S263" s="243"/>
      <c r="T263" s="65"/>
      <c r="U263" s="65"/>
      <c r="V263" s="65"/>
      <c r="W263" s="63"/>
      <c r="X263" s="64"/>
      <c r="Y263" s="64"/>
      <c r="Z263" s="64"/>
      <c r="AA263" s="64"/>
      <c r="AB263" s="64"/>
      <c r="AC263" s="64"/>
      <c r="AD263" s="64"/>
      <c r="AE263" s="64"/>
      <c r="AF263" s="65"/>
      <c r="AG263" s="65"/>
      <c r="AH263" s="65"/>
      <c r="AI263" s="65"/>
      <c r="AJ263" s="65"/>
      <c r="AK263" s="65"/>
      <c r="AL263" s="65"/>
      <c r="AM263" s="65"/>
      <c r="AN263" s="65"/>
      <c r="AO263" s="65"/>
      <c r="AP263" s="65"/>
      <c r="AQ263" s="65"/>
      <c r="AR263" s="65"/>
      <c r="AS263" s="66"/>
      <c r="AT263" s="66"/>
      <c r="AU263" s="66"/>
      <c r="AV263" s="66"/>
      <c r="AW263" s="41"/>
      <c r="AX263" s="41"/>
      <c r="AY263" s="41"/>
      <c r="AZ263" s="41"/>
      <c r="BA263" s="41"/>
      <c r="BB263" s="41"/>
      <c r="BC263" s="41"/>
      <c r="BD263" s="41"/>
      <c r="BE263" s="41"/>
      <c r="BF263" s="41"/>
      <c r="BG263" s="41"/>
      <c r="BH263" s="41"/>
      <c r="BI263" s="41"/>
      <c r="BJ263" s="41"/>
      <c r="BK263" s="41"/>
      <c r="BL263" s="41"/>
      <c r="BM263" s="41"/>
      <c r="BN263" s="41"/>
      <c r="BO263" s="41"/>
      <c r="BP263" s="41"/>
      <c r="BQ263" s="41"/>
      <c r="BR263" s="41"/>
      <c r="BS263" s="41"/>
      <c r="BT263" s="41"/>
      <c r="BU263" s="41"/>
      <c r="BV263" s="41"/>
      <c r="BW263" s="41"/>
      <c r="BX263" s="41"/>
      <c r="BY263" s="41"/>
      <c r="BZ263" s="41"/>
      <c r="CA263" s="41"/>
      <c r="CB263" s="41"/>
      <c r="CC263" s="41"/>
      <c r="CD263" s="41"/>
      <c r="CE263" s="41"/>
      <c r="CF263" s="41"/>
      <c r="CG263" s="41"/>
      <c r="CH263" s="41"/>
      <c r="CI263" s="41"/>
      <c r="CJ263" s="41"/>
      <c r="CK263" s="41"/>
      <c r="CL263" s="41"/>
      <c r="CM263" s="41"/>
      <c r="CN263" s="41"/>
      <c r="CO263" s="41"/>
      <c r="CP263" s="41"/>
      <c r="CQ263" s="41"/>
      <c r="CR263" s="41"/>
      <c r="CS263" s="41"/>
      <c r="CT263" s="41"/>
      <c r="CU263" s="41"/>
      <c r="CV263" s="41"/>
      <c r="CW263" s="41"/>
      <c r="CX263" s="41"/>
      <c r="CY263" s="41"/>
      <c r="CZ263" s="41"/>
      <c r="DA263" s="51"/>
      <c r="DB263" s="51"/>
      <c r="DC263" s="51"/>
      <c r="DD263" s="51"/>
      <c r="DE263" s="51"/>
      <c r="DF263" s="51"/>
      <c r="DG263" s="51"/>
      <c r="DH263" s="51"/>
      <c r="DI263" s="51"/>
      <c r="DJ263" s="51"/>
      <c r="DK263" s="51"/>
      <c r="DL263" s="51"/>
      <c r="DM263" s="51"/>
      <c r="DN263" s="51"/>
      <c r="DO263" s="51"/>
      <c r="DP263" s="51"/>
      <c r="DQ263" s="51"/>
      <c r="DR263" s="51"/>
      <c r="DS263" s="51"/>
      <c r="DT263" s="51"/>
      <c r="DU263" s="51"/>
      <c r="DV263" s="51"/>
      <c r="DW263" s="51"/>
      <c r="DX263" s="51"/>
      <c r="DY263" s="51"/>
      <c r="DZ263" s="51"/>
      <c r="EA263" s="51"/>
      <c r="EB263" s="51"/>
      <c r="EC263" s="51"/>
      <c r="ED263" s="51"/>
      <c r="EE263" s="51"/>
      <c r="EF263" s="51"/>
      <c r="EG263" s="51"/>
      <c r="EH263" s="51"/>
      <c r="EI263" s="51"/>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row>
    <row r="264" spans="1:175" s="13" customFormat="1" ht="16.100000000000001" hidden="1" customHeight="1">
      <c r="A264" s="62"/>
      <c r="B264" s="14"/>
      <c r="C264" s="10"/>
      <c r="D264" s="10"/>
      <c r="E264" s="10"/>
      <c r="H264" s="10"/>
      <c r="I264" s="10"/>
      <c r="J264" s="10"/>
      <c r="K264" s="10"/>
      <c r="L264" s="10"/>
      <c r="O264" s="63"/>
      <c r="P264" s="243"/>
      <c r="Q264" s="243"/>
      <c r="R264" s="65"/>
      <c r="S264" s="243"/>
      <c r="T264" s="65"/>
      <c r="U264" s="65"/>
      <c r="V264" s="63"/>
      <c r="W264" s="64"/>
      <c r="X264" s="64"/>
      <c r="Y264" s="64"/>
      <c r="Z264" s="64"/>
      <c r="AA264" s="64"/>
      <c r="AB264" s="64"/>
      <c r="AC264" s="64"/>
      <c r="AD264" s="64"/>
      <c r="AE264" s="65"/>
      <c r="AF264" s="65"/>
      <c r="AG264" s="65"/>
      <c r="AH264" s="65"/>
      <c r="AI264" s="65"/>
      <c r="AJ264" s="65"/>
      <c r="AK264" s="65"/>
      <c r="AL264" s="65"/>
      <c r="AM264" s="65"/>
      <c r="AN264" s="65"/>
      <c r="AO264" s="65"/>
      <c r="AP264" s="65"/>
      <c r="AQ264" s="65"/>
      <c r="AR264" s="66"/>
      <c r="AS264" s="66"/>
      <c r="AT264" s="66"/>
      <c r="AU264" s="66"/>
      <c r="AV264" s="41"/>
      <c r="AW264" s="41"/>
      <c r="AX264" s="41"/>
      <c r="AY264" s="41"/>
      <c r="AZ264" s="41"/>
      <c r="BA264" s="41"/>
      <c r="BB264" s="41"/>
      <c r="BC264" s="41"/>
      <c r="BD264" s="41"/>
      <c r="BE264" s="41"/>
      <c r="BF264" s="41"/>
      <c r="BG264" s="41"/>
      <c r="BH264" s="41"/>
      <c r="BI264" s="41"/>
      <c r="BJ264" s="41"/>
      <c r="BK264" s="41"/>
      <c r="BL264" s="41"/>
      <c r="BM264" s="41"/>
      <c r="BN264" s="41"/>
      <c r="BO264" s="41"/>
      <c r="BP264" s="41"/>
      <c r="BQ264" s="41"/>
      <c r="BR264" s="41"/>
      <c r="BS264" s="41"/>
      <c r="BT264" s="41"/>
      <c r="BU264" s="41"/>
      <c r="BV264" s="41"/>
      <c r="BW264" s="41"/>
      <c r="BX264" s="41"/>
      <c r="BY264" s="41"/>
      <c r="BZ264" s="41"/>
      <c r="CA264" s="41"/>
      <c r="CB264" s="41"/>
      <c r="CC264" s="41"/>
      <c r="CD264" s="41"/>
      <c r="CE264" s="41"/>
      <c r="CF264" s="41"/>
      <c r="CG264" s="41"/>
      <c r="CH264" s="41"/>
      <c r="CI264" s="41"/>
      <c r="CJ264" s="41"/>
      <c r="CK264" s="41"/>
      <c r="CL264" s="41"/>
      <c r="CM264" s="41"/>
      <c r="CN264" s="41"/>
      <c r="CO264" s="41"/>
      <c r="CP264" s="41"/>
      <c r="CQ264" s="41"/>
      <c r="CR264" s="41"/>
      <c r="CS264" s="41"/>
      <c r="CT264" s="41"/>
      <c r="CU264" s="41"/>
      <c r="CV264" s="41"/>
      <c r="CW264" s="41"/>
      <c r="CX264" s="41"/>
      <c r="CY264" s="41"/>
      <c r="CZ264" s="51"/>
      <c r="DA264" s="51"/>
      <c r="DB264" s="51"/>
      <c r="DC264" s="51"/>
      <c r="DD264" s="51"/>
      <c r="DE264" s="51"/>
      <c r="DF264" s="51"/>
      <c r="DG264" s="51"/>
      <c r="DH264" s="51"/>
      <c r="DI264" s="51"/>
      <c r="DJ264" s="51"/>
      <c r="DK264" s="51"/>
      <c r="DL264" s="51"/>
      <c r="DM264" s="51"/>
      <c r="DN264" s="51"/>
      <c r="DO264" s="51"/>
      <c r="DP264" s="51"/>
      <c r="DQ264" s="51"/>
      <c r="DR264" s="51"/>
      <c r="DS264" s="51"/>
      <c r="DT264" s="51"/>
      <c r="DU264" s="51"/>
      <c r="DV264" s="51"/>
      <c r="DW264" s="51"/>
      <c r="DX264" s="51"/>
      <c r="DY264" s="51"/>
      <c r="DZ264" s="51"/>
      <c r="EA264" s="51"/>
      <c r="EB264" s="51"/>
      <c r="EC264" s="51"/>
      <c r="ED264" s="51"/>
      <c r="EE264" s="51"/>
      <c r="EF264" s="51"/>
      <c r="EG264" s="51"/>
      <c r="EH264" s="51"/>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row>
    <row r="265" spans="1:175" s="13" customFormat="1" ht="16.100000000000001" hidden="1" customHeight="1">
      <c r="B265" s="14"/>
      <c r="C265" s="7"/>
      <c r="D265" s="10"/>
      <c r="E265" s="10"/>
      <c r="F265" s="10"/>
      <c r="G265" s="10"/>
      <c r="J265" s="10"/>
      <c r="K265" s="10"/>
      <c r="L265" s="10"/>
      <c r="M265" s="10"/>
      <c r="N265" s="10"/>
      <c r="O265" s="7"/>
      <c r="P265" s="14"/>
      <c r="Q265" s="448"/>
      <c r="R265" s="63"/>
      <c r="S265" s="243"/>
      <c r="T265" s="65"/>
      <c r="U265" s="65"/>
      <c r="V265" s="65"/>
      <c r="W265" s="65"/>
      <c r="X265" s="63"/>
      <c r="Y265" s="64"/>
      <c r="Z265" s="64"/>
      <c r="AA265" s="64"/>
      <c r="AB265" s="64"/>
      <c r="AC265" s="64"/>
      <c r="AD265" s="64"/>
      <c r="AE265" s="65"/>
      <c r="AF265" s="65"/>
      <c r="AG265" s="65"/>
      <c r="AH265" s="65"/>
      <c r="AI265" s="65"/>
      <c r="AJ265" s="65"/>
      <c r="AK265" s="65"/>
      <c r="AL265" s="65"/>
      <c r="AM265" s="65"/>
      <c r="AN265" s="65"/>
      <c r="AO265" s="65"/>
      <c r="AP265" s="65"/>
      <c r="AQ265" s="65"/>
      <c r="AR265" s="66"/>
      <c r="AS265" s="66"/>
      <c r="AT265" s="66"/>
      <c r="AU265" s="66"/>
      <c r="AV265" s="41"/>
      <c r="AW265" s="41"/>
      <c r="AX265" s="41"/>
      <c r="AY265" s="41"/>
      <c r="AZ265" s="41"/>
      <c r="BA265" s="41"/>
      <c r="BB265" s="41"/>
      <c r="BC265" s="41"/>
      <c r="BD265" s="41"/>
      <c r="BE265" s="41"/>
      <c r="BF265" s="41"/>
      <c r="BG265" s="41"/>
      <c r="BH265" s="41"/>
      <c r="BI265" s="41"/>
      <c r="BJ265" s="41"/>
      <c r="BK265" s="41"/>
      <c r="BL265" s="41"/>
      <c r="BM265" s="41"/>
      <c r="BN265" s="41"/>
      <c r="BO265" s="41"/>
      <c r="BP265" s="41"/>
      <c r="BQ265" s="41"/>
      <c r="BR265" s="41"/>
      <c r="BS265" s="41"/>
      <c r="BT265" s="41"/>
      <c r="BU265" s="41"/>
      <c r="BV265" s="41"/>
      <c r="BW265" s="41"/>
      <c r="BX265" s="41"/>
      <c r="BY265" s="41"/>
      <c r="BZ265" s="41"/>
      <c r="CA265" s="41"/>
      <c r="CB265" s="41"/>
      <c r="CC265" s="41"/>
      <c r="CD265" s="41"/>
      <c r="CE265" s="41"/>
      <c r="CF265" s="41"/>
      <c r="CG265" s="41"/>
      <c r="CH265" s="41"/>
      <c r="CI265" s="41"/>
      <c r="CJ265" s="41"/>
      <c r="CK265" s="41"/>
      <c r="CL265" s="41"/>
      <c r="CM265" s="41"/>
      <c r="CN265" s="41"/>
      <c r="CO265" s="41"/>
      <c r="CP265" s="41"/>
      <c r="CQ265" s="41"/>
      <c r="CR265" s="41"/>
      <c r="CS265" s="41"/>
      <c r="CT265" s="41"/>
      <c r="CU265" s="41"/>
      <c r="CV265" s="41"/>
      <c r="CW265" s="41"/>
      <c r="CX265" s="41"/>
      <c r="CY265" s="41"/>
      <c r="CZ265" s="51"/>
      <c r="DA265" s="51"/>
      <c r="DB265" s="51"/>
      <c r="DC265" s="51"/>
      <c r="DD265" s="51"/>
      <c r="DE265" s="51"/>
      <c r="DF265" s="51"/>
      <c r="DG265" s="51"/>
      <c r="DH265" s="51"/>
      <c r="DI265" s="51"/>
      <c r="DJ265" s="51"/>
      <c r="DK265" s="51"/>
      <c r="DL265" s="51"/>
      <c r="DM265" s="51"/>
      <c r="DN265" s="51"/>
      <c r="DO265" s="51"/>
      <c r="DP265" s="51"/>
      <c r="DQ265" s="51"/>
      <c r="DR265" s="51"/>
      <c r="DS265" s="51"/>
      <c r="DT265" s="51"/>
      <c r="DU265" s="51"/>
      <c r="DV265" s="51"/>
      <c r="DW265" s="51"/>
      <c r="DX265" s="51"/>
      <c r="DY265" s="51"/>
      <c r="DZ265" s="51"/>
      <c r="EA265" s="51"/>
      <c r="EB265" s="51"/>
      <c r="EC265" s="51"/>
      <c r="ED265" s="51"/>
      <c r="EE265" s="51"/>
      <c r="EF265" s="51"/>
      <c r="EG265" s="51"/>
      <c r="EH265" s="51"/>
      <c r="EI265" s="40"/>
      <c r="EJ265" s="40"/>
      <c r="EK265" s="40"/>
      <c r="EL265" s="40"/>
      <c r="EM265" s="40"/>
      <c r="EN265" s="40"/>
      <c r="EO265" s="40"/>
      <c r="EP265" s="40"/>
      <c r="EQ265" s="40"/>
      <c r="ER265" s="40"/>
      <c r="ES265" s="40"/>
      <c r="ET265" s="40"/>
      <c r="EU265" s="40"/>
      <c r="EV265" s="40"/>
      <c r="EW265" s="40"/>
      <c r="EX265" s="40"/>
      <c r="EY265" s="40"/>
      <c r="EZ265" s="40"/>
      <c r="FA265" s="40"/>
      <c r="FB265" s="40"/>
      <c r="FC265" s="40"/>
      <c r="FD265" s="40"/>
      <c r="FE265" s="40"/>
      <c r="FF265" s="40"/>
      <c r="FG265" s="40"/>
      <c r="FH265" s="40"/>
      <c r="FI265" s="40"/>
      <c r="FJ265" s="40"/>
      <c r="FK265" s="40"/>
      <c r="FL265" s="40"/>
      <c r="FM265" s="40"/>
      <c r="FN265" s="40"/>
      <c r="FO265" s="40"/>
      <c r="FP265" s="40"/>
      <c r="FQ265" s="40"/>
      <c r="FR265" s="40"/>
    </row>
    <row r="266" spans="1:175" s="13" customFormat="1" ht="16.100000000000001" hidden="1" customHeight="1">
      <c r="A266" s="75"/>
      <c r="B266" s="68"/>
      <c r="C266" s="26" t="str">
        <f>Begriffe!F343</f>
        <v>Energie- und Leistungsbedarf</v>
      </c>
      <c r="D266" s="70"/>
      <c r="E266" s="70"/>
      <c r="F266" s="70"/>
      <c r="G266" s="70"/>
      <c r="H266" s="71"/>
      <c r="I266" s="71"/>
      <c r="J266" s="72"/>
      <c r="K266" s="72"/>
      <c r="L266" s="73"/>
      <c r="M266" s="137"/>
      <c r="N266" s="150"/>
      <c r="P266" s="14"/>
      <c r="Q266" s="14"/>
      <c r="R266" s="63"/>
      <c r="S266" s="448"/>
      <c r="T266" s="65"/>
      <c r="U266" s="65"/>
      <c r="V266" s="65"/>
      <c r="W266" s="65"/>
      <c r="X266" s="65"/>
      <c r="Y266" s="63"/>
      <c r="Z266" s="64"/>
      <c r="AA266" s="64"/>
      <c r="AB266" s="64"/>
      <c r="AC266" s="64"/>
      <c r="AD266" s="64"/>
      <c r="AE266" s="64"/>
      <c r="AF266" s="65"/>
      <c r="AG266" s="65"/>
      <c r="AH266" s="65"/>
      <c r="AI266" s="65"/>
      <c r="AJ266" s="65"/>
      <c r="AK266" s="65"/>
      <c r="AL266" s="65"/>
      <c r="AM266" s="65"/>
      <c r="AN266" s="65"/>
      <c r="AO266" s="65"/>
      <c r="AP266" s="65"/>
      <c r="AQ266" s="65"/>
      <c r="AR266" s="65"/>
      <c r="AS266" s="66"/>
      <c r="AT266" s="66"/>
      <c r="AU266" s="66"/>
      <c r="AV266" s="66"/>
      <c r="AW266" s="41"/>
      <c r="AX266" s="41"/>
      <c r="AY266" s="41"/>
      <c r="AZ266" s="41"/>
      <c r="BA266" s="41"/>
      <c r="BB266" s="41"/>
      <c r="BC266" s="41"/>
      <c r="BD266" s="41"/>
      <c r="BE266" s="41"/>
      <c r="BF266" s="41"/>
      <c r="BG266" s="41"/>
      <c r="BH266" s="41"/>
      <c r="BI266" s="41"/>
      <c r="BJ266" s="41"/>
      <c r="BK266" s="41"/>
      <c r="BL266" s="41"/>
      <c r="BM266" s="41"/>
      <c r="BN266" s="41"/>
      <c r="BO266" s="41"/>
      <c r="BP266" s="41"/>
      <c r="BQ266" s="41"/>
      <c r="BR266" s="41"/>
      <c r="BS266" s="41"/>
      <c r="BT266" s="41"/>
      <c r="BU266" s="41"/>
      <c r="BV266" s="41"/>
      <c r="BW266" s="41"/>
      <c r="BX266" s="41"/>
      <c r="BY266" s="41"/>
      <c r="BZ266" s="41"/>
      <c r="CA266" s="41"/>
      <c r="CB266" s="41"/>
      <c r="CC266" s="41"/>
      <c r="CD266" s="41"/>
      <c r="CE266" s="41"/>
      <c r="CF266" s="41"/>
      <c r="CG266" s="41"/>
      <c r="CH266" s="41"/>
      <c r="CI266" s="41"/>
      <c r="CJ266" s="41"/>
      <c r="CK266" s="41"/>
      <c r="CL266" s="41"/>
      <c r="CM266" s="41"/>
      <c r="CN266" s="41"/>
      <c r="CO266" s="41"/>
      <c r="CP266" s="41"/>
      <c r="CQ266" s="41"/>
      <c r="CR266" s="41"/>
      <c r="CS266" s="41"/>
      <c r="CT266" s="41"/>
      <c r="CU266" s="41"/>
      <c r="CV266" s="41"/>
      <c r="CW266" s="41"/>
      <c r="CX266" s="41"/>
      <c r="CY266" s="41"/>
      <c r="CZ266" s="41"/>
      <c r="DA266" s="51"/>
      <c r="DB266" s="51"/>
      <c r="DC266" s="51"/>
      <c r="DD266" s="51"/>
      <c r="DE266" s="51"/>
      <c r="DF266" s="51"/>
      <c r="DG266" s="51"/>
      <c r="DH266" s="51"/>
      <c r="DI266" s="51"/>
      <c r="DJ266" s="51"/>
      <c r="DK266" s="51"/>
      <c r="DL266" s="51"/>
      <c r="DM266" s="51"/>
      <c r="DN266" s="51"/>
      <c r="DO266" s="51"/>
      <c r="DP266" s="51"/>
      <c r="DQ266" s="51"/>
      <c r="DR266" s="51"/>
      <c r="DS266" s="51"/>
      <c r="DT266" s="51"/>
      <c r="DU266" s="51"/>
      <c r="DV266" s="51"/>
      <c r="DW266" s="51"/>
      <c r="DX266" s="51"/>
      <c r="DY266" s="51"/>
      <c r="DZ266" s="51"/>
      <c r="EA266" s="51"/>
      <c r="EB266" s="51"/>
      <c r="EC266" s="51"/>
      <c r="ED266" s="51"/>
      <c r="EE266" s="51"/>
      <c r="EF266" s="51"/>
      <c r="EG266" s="51"/>
      <c r="EH266" s="51"/>
      <c r="EI266" s="51"/>
      <c r="EJ266" s="40"/>
      <c r="EK266" s="40"/>
      <c r="EL266" s="40"/>
      <c r="EM266" s="40"/>
      <c r="EN266" s="40"/>
      <c r="EO266" s="40"/>
      <c r="EP266" s="40"/>
      <c r="EQ266" s="40"/>
      <c r="ER266" s="40"/>
      <c r="ES266" s="40"/>
      <c r="ET266" s="40"/>
      <c r="EU266" s="40"/>
      <c r="EV266" s="40"/>
      <c r="EW266" s="40"/>
      <c r="EX266" s="40"/>
      <c r="EY266" s="40"/>
      <c r="EZ266" s="40"/>
      <c r="FA266" s="40"/>
      <c r="FB266" s="40"/>
      <c r="FC266" s="40"/>
      <c r="FD266" s="40"/>
      <c r="FE266" s="40"/>
      <c r="FF266" s="40"/>
      <c r="FG266" s="40"/>
      <c r="FH266" s="40"/>
      <c r="FI266" s="40"/>
      <c r="FJ266" s="40"/>
      <c r="FK266" s="40"/>
      <c r="FL266" s="40"/>
      <c r="FM266" s="40"/>
      <c r="FN266" s="40"/>
      <c r="FO266" s="40"/>
      <c r="FP266" s="40"/>
      <c r="FQ266" s="40"/>
      <c r="FR266" s="40"/>
      <c r="FS266" s="40"/>
    </row>
    <row r="267" spans="1:175" s="13" customFormat="1" ht="12.45" hidden="1">
      <c r="A267" s="4"/>
      <c r="B267" s="267"/>
      <c r="C267" s="60" t="str">
        <f>Begriffe!F377</f>
        <v>Leistungsbedarf, W/m2</v>
      </c>
      <c r="D267" s="61"/>
      <c r="E267" s="267" t="str">
        <f>Begriffe!F405</f>
        <v>Geräte</v>
      </c>
      <c r="F267" s="13" t="str">
        <f>Begriffe!F406</f>
        <v>Prozessanlagen</v>
      </c>
      <c r="G267" s="61" t="str">
        <f>Begriffe!F206</f>
        <v>Beleuchtung</v>
      </c>
      <c r="H267" s="61" t="str">
        <f>Begriffe!F220</f>
        <v>Raumkühlung</v>
      </c>
      <c r="I267" s="267" t="str">
        <f>Begriffe!F222</f>
        <v>Raumheizung</v>
      </c>
      <c r="J267" s="267" t="str">
        <f>Begriffe!F224</f>
        <v>Warmwasser</v>
      </c>
      <c r="K267" s="267" t="str">
        <f>Begriffe!F224</f>
        <v>Warmwasser</v>
      </c>
      <c r="N267" s="13" t="str">
        <f>Begriffe!F219</f>
        <v>Lüftung</v>
      </c>
      <c r="P267" s="14"/>
      <c r="Q267" s="14"/>
      <c r="R267" s="63"/>
      <c r="S267" s="448"/>
      <c r="T267" s="65"/>
      <c r="U267" s="65"/>
      <c r="V267" s="65"/>
      <c r="W267" s="65"/>
      <c r="X267" s="65"/>
      <c r="Y267" s="63"/>
      <c r="Z267" s="64"/>
      <c r="AA267" s="64"/>
      <c r="AB267" s="64"/>
      <c r="AC267" s="64"/>
      <c r="AD267" s="64"/>
      <c r="AE267" s="64"/>
      <c r="AF267" s="65"/>
      <c r="AG267" s="65"/>
      <c r="AH267" s="65"/>
      <c r="AI267" s="65"/>
      <c r="AJ267" s="65"/>
      <c r="AK267" s="65"/>
      <c r="AL267" s="65"/>
      <c r="AM267" s="65"/>
      <c r="AN267" s="65"/>
      <c r="AO267" s="65"/>
      <c r="AP267" s="65"/>
      <c r="AQ267" s="65"/>
      <c r="AR267" s="65"/>
      <c r="AS267" s="66"/>
      <c r="AT267" s="66"/>
      <c r="AU267" s="66"/>
      <c r="AV267" s="66"/>
      <c r="AW267" s="41"/>
      <c r="AX267" s="41"/>
      <c r="AY267" s="41"/>
      <c r="AZ267" s="41"/>
      <c r="BA267" s="41"/>
      <c r="BB267" s="41"/>
      <c r="BC267" s="41"/>
      <c r="BD267" s="41"/>
      <c r="BE267" s="41"/>
      <c r="BF267" s="41"/>
      <c r="BG267" s="41"/>
      <c r="BH267" s="41"/>
      <c r="BI267" s="41"/>
      <c r="BJ267" s="41"/>
      <c r="BK267" s="41"/>
      <c r="BL267" s="41"/>
      <c r="BM267" s="41"/>
      <c r="BN267" s="41"/>
      <c r="BO267" s="41"/>
      <c r="BP267" s="41"/>
      <c r="BQ267" s="41"/>
      <c r="BR267" s="41"/>
      <c r="BS267" s="41"/>
      <c r="BT267" s="41"/>
      <c r="BU267" s="41"/>
      <c r="BV267" s="41"/>
      <c r="BW267" s="41"/>
      <c r="BX267" s="41"/>
      <c r="BY267" s="41"/>
      <c r="BZ267" s="41"/>
      <c r="CA267" s="41"/>
      <c r="CB267" s="41"/>
      <c r="CC267" s="41"/>
      <c r="CD267" s="41"/>
      <c r="CE267" s="41"/>
      <c r="CF267" s="41"/>
      <c r="CG267" s="41"/>
      <c r="CH267" s="41"/>
      <c r="CI267" s="41"/>
      <c r="CJ267" s="41"/>
      <c r="CK267" s="41"/>
      <c r="CL267" s="41"/>
      <c r="CM267" s="41"/>
      <c r="CN267" s="41"/>
      <c r="CO267" s="41"/>
      <c r="CP267" s="41"/>
      <c r="CQ267" s="41"/>
      <c r="CR267" s="41"/>
      <c r="CS267" s="41"/>
      <c r="CT267" s="41"/>
      <c r="CU267" s="41"/>
      <c r="CV267" s="41"/>
      <c r="CW267" s="41"/>
      <c r="CX267" s="41"/>
      <c r="CY267" s="41"/>
      <c r="CZ267" s="41"/>
      <c r="DA267" s="51"/>
      <c r="DB267" s="51"/>
      <c r="DC267" s="51"/>
      <c r="DD267" s="51"/>
      <c r="DE267" s="51"/>
      <c r="DF267" s="51"/>
      <c r="DG267" s="51"/>
      <c r="DH267" s="51"/>
      <c r="DI267" s="51"/>
      <c r="DJ267" s="51"/>
      <c r="DK267" s="51"/>
      <c r="DL267" s="51"/>
      <c r="DM267" s="51"/>
      <c r="DN267" s="51"/>
      <c r="DO267" s="51"/>
      <c r="DP267" s="51"/>
      <c r="DQ267" s="51"/>
      <c r="DR267" s="51"/>
      <c r="DS267" s="51"/>
      <c r="DT267" s="51"/>
      <c r="DU267" s="51"/>
      <c r="DV267" s="51"/>
      <c r="DW267" s="51"/>
      <c r="DX267" s="51"/>
      <c r="DY267" s="51"/>
      <c r="DZ267" s="51"/>
      <c r="EA267" s="51"/>
      <c r="EB267" s="51"/>
      <c r="EC267" s="51"/>
      <c r="ED267" s="51"/>
      <c r="EE267" s="51"/>
      <c r="EF267" s="51"/>
      <c r="EG267" s="51"/>
      <c r="EH267" s="51"/>
      <c r="EI267" s="51"/>
      <c r="EJ267" s="40"/>
      <c r="EK267" s="40"/>
      <c r="EL267" s="40"/>
      <c r="EM267" s="40"/>
      <c r="EN267" s="40"/>
      <c r="EO267" s="40"/>
      <c r="EP267" s="40"/>
      <c r="EQ267" s="40"/>
      <c r="ER267" s="40"/>
      <c r="ES267" s="40"/>
      <c r="ET267" s="40"/>
      <c r="EU267" s="40"/>
      <c r="EV267" s="40"/>
      <c r="EW267" s="40"/>
      <c r="EX267" s="40"/>
      <c r="EY267" s="40"/>
      <c r="EZ267" s="40"/>
      <c r="FA267" s="40"/>
      <c r="FB267" s="40"/>
      <c r="FC267" s="40"/>
      <c r="FD267" s="40"/>
      <c r="FE267" s="40"/>
      <c r="FF267" s="40"/>
      <c r="FG267" s="40"/>
      <c r="FH267" s="40"/>
      <c r="FI267" s="40"/>
      <c r="FJ267" s="40"/>
      <c r="FK267" s="40"/>
      <c r="FL267" s="40"/>
      <c r="FM267" s="40"/>
      <c r="FN267" s="40"/>
      <c r="FO267" s="40"/>
      <c r="FP267" s="40"/>
      <c r="FQ267" s="40"/>
      <c r="FR267" s="40"/>
      <c r="FS267" s="40"/>
    </row>
    <row r="268" spans="1:175" s="13" customFormat="1" ht="16.100000000000001" hidden="1" customHeight="1">
      <c r="A268" s="4"/>
      <c r="B268" s="265"/>
      <c r="C268" s="265" t="str">
        <f>Begriffe!F237</f>
        <v>Bestand</v>
      </c>
      <c r="D268" s="69" t="s">
        <v>52</v>
      </c>
      <c r="E268" s="69">
        <f>O77</f>
        <v>12</v>
      </c>
      <c r="F268" s="69">
        <f>O78</f>
        <v>0</v>
      </c>
      <c r="G268" s="69">
        <f>O121</f>
        <v>3.8303571428571437</v>
      </c>
      <c r="H268" s="69">
        <f>O158</f>
        <v>32.898191596638654</v>
      </c>
      <c r="I268" s="69">
        <f>O182</f>
        <v>53.893647058823539</v>
      </c>
      <c r="J268" s="69"/>
      <c r="K268" s="69"/>
      <c r="P268" s="14"/>
      <c r="Q268" s="14"/>
      <c r="R268" s="63"/>
      <c r="S268" s="448"/>
      <c r="T268" s="65"/>
      <c r="U268" s="65"/>
      <c r="V268" s="65"/>
      <c r="W268" s="65"/>
      <c r="X268" s="65"/>
      <c r="Y268" s="63"/>
      <c r="Z268" s="64"/>
      <c r="AA268" s="64"/>
      <c r="AB268" s="64"/>
      <c r="AC268" s="64"/>
      <c r="AD268" s="64"/>
      <c r="AE268" s="64"/>
      <c r="AF268" s="65"/>
      <c r="AG268" s="65"/>
      <c r="AH268" s="65"/>
      <c r="AI268" s="65"/>
      <c r="AJ268" s="65"/>
      <c r="AK268" s="65"/>
      <c r="AL268" s="65"/>
      <c r="AM268" s="65"/>
      <c r="AN268" s="65"/>
      <c r="AO268" s="65"/>
      <c r="AP268" s="65"/>
      <c r="AQ268" s="65"/>
      <c r="AR268" s="65"/>
      <c r="AS268" s="66"/>
      <c r="AT268" s="66"/>
      <c r="AU268" s="66"/>
      <c r="AV268" s="66"/>
      <c r="AW268" s="41"/>
      <c r="AX268" s="41"/>
      <c r="AY268" s="41"/>
      <c r="AZ268" s="41"/>
      <c r="BA268" s="41"/>
      <c r="BB268" s="41"/>
      <c r="BC268" s="41"/>
      <c r="BD268" s="41"/>
      <c r="BE268" s="41"/>
      <c r="BF268" s="41"/>
      <c r="BG268" s="41"/>
      <c r="BH268" s="41"/>
      <c r="BI268" s="41"/>
      <c r="BJ268" s="41"/>
      <c r="BK268" s="41"/>
      <c r="BL268" s="41"/>
      <c r="BM268" s="41"/>
      <c r="BN268" s="41"/>
      <c r="BO268" s="41"/>
      <c r="BP268" s="41"/>
      <c r="BQ268" s="41"/>
      <c r="BR268" s="41"/>
      <c r="BS268" s="41"/>
      <c r="BT268" s="41"/>
      <c r="BU268" s="41"/>
      <c r="BV268" s="41"/>
      <c r="BW268" s="41"/>
      <c r="BX268" s="41"/>
      <c r="BY268" s="41"/>
      <c r="BZ268" s="41"/>
      <c r="CA268" s="41"/>
      <c r="CB268" s="41"/>
      <c r="CC268" s="41"/>
      <c r="CD268" s="41"/>
      <c r="CE268" s="41"/>
      <c r="CF268" s="41"/>
      <c r="CG268" s="41"/>
      <c r="CH268" s="41"/>
      <c r="CI268" s="41"/>
      <c r="CJ268" s="41"/>
      <c r="CK268" s="41"/>
      <c r="CL268" s="41"/>
      <c r="CM268" s="41"/>
      <c r="CN268" s="41"/>
      <c r="CO268" s="41"/>
      <c r="CP268" s="41"/>
      <c r="CQ268" s="41"/>
      <c r="CR268" s="41"/>
      <c r="CS268" s="41"/>
      <c r="CT268" s="41"/>
      <c r="CU268" s="41"/>
      <c r="CV268" s="41"/>
      <c r="CW268" s="41"/>
      <c r="CX268" s="41"/>
      <c r="CY268" s="41"/>
      <c r="CZ268" s="41"/>
      <c r="DA268" s="51"/>
      <c r="DB268" s="51"/>
      <c r="DC268" s="51"/>
      <c r="DD268" s="51"/>
      <c r="DE268" s="51"/>
      <c r="DF268" s="51"/>
      <c r="DG268" s="51"/>
      <c r="DH268" s="51"/>
      <c r="DI268" s="51"/>
      <c r="DJ268" s="51"/>
      <c r="DK268" s="51"/>
      <c r="DL268" s="51"/>
      <c r="DM268" s="51"/>
      <c r="DN268" s="51"/>
      <c r="DO268" s="51"/>
      <c r="DP268" s="51"/>
      <c r="DQ268" s="51"/>
      <c r="DR268" s="51"/>
      <c r="DS268" s="51"/>
      <c r="DT268" s="51"/>
      <c r="DU268" s="51"/>
      <c r="DV268" s="51"/>
      <c r="DW268" s="51"/>
      <c r="DX268" s="51"/>
      <c r="DY268" s="51"/>
      <c r="DZ268" s="51"/>
      <c r="EA268" s="51"/>
      <c r="EB268" s="51"/>
      <c r="EC268" s="51"/>
      <c r="ED268" s="51"/>
      <c r="EE268" s="51"/>
      <c r="EF268" s="51"/>
      <c r="EG268" s="51"/>
      <c r="EH268" s="51"/>
      <c r="EI268" s="51"/>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row>
    <row r="269" spans="1:175" s="13" customFormat="1" ht="16.100000000000001" hidden="1" customHeight="1">
      <c r="A269" s="4"/>
      <c r="B269" s="265"/>
      <c r="C269" s="265" t="str">
        <f>Begriffe!F236</f>
        <v>Zielwert</v>
      </c>
      <c r="D269" s="69" t="s">
        <v>52</v>
      </c>
      <c r="E269" s="69">
        <f>N77</f>
        <v>5</v>
      </c>
      <c r="F269" s="1094">
        <f>N78</f>
        <v>0</v>
      </c>
      <c r="G269" s="69">
        <f>N121</f>
        <v>1.9097222222222221</v>
      </c>
      <c r="H269" s="69">
        <f>N158</f>
        <v>14.240663435563025</v>
      </c>
      <c r="I269" s="69">
        <f>N182</f>
        <v>11.59279411764706</v>
      </c>
      <c r="J269" s="69"/>
      <c r="K269" s="69"/>
      <c r="N269" s="207">
        <f>N143</f>
        <v>0.28171428571428575</v>
      </c>
      <c r="P269" s="14"/>
      <c r="Q269" s="14"/>
      <c r="R269" s="63"/>
      <c r="S269" s="448"/>
      <c r="T269" s="65"/>
      <c r="U269" s="65"/>
      <c r="V269" s="65"/>
      <c r="W269" s="65"/>
      <c r="X269" s="65"/>
      <c r="Y269" s="63"/>
      <c r="Z269" s="64"/>
      <c r="AA269" s="64"/>
      <c r="AB269" s="64"/>
      <c r="AC269" s="64"/>
      <c r="AD269" s="64"/>
      <c r="AE269" s="64"/>
      <c r="AF269" s="65"/>
      <c r="AG269" s="65"/>
      <c r="AH269" s="65"/>
      <c r="AI269" s="65"/>
      <c r="AJ269" s="65"/>
      <c r="AK269" s="65"/>
      <c r="AL269" s="65"/>
      <c r="AM269" s="65"/>
      <c r="AN269" s="65"/>
      <c r="AO269" s="65"/>
      <c r="AP269" s="65"/>
      <c r="AQ269" s="65"/>
      <c r="AR269" s="65"/>
      <c r="AS269" s="66"/>
      <c r="AT269" s="66"/>
      <c r="AU269" s="66"/>
      <c r="AV269" s="66"/>
      <c r="AW269" s="41"/>
      <c r="AX269" s="41"/>
      <c r="AY269" s="41"/>
      <c r="AZ269" s="41"/>
      <c r="BA269" s="41"/>
      <c r="BB269" s="41"/>
      <c r="BC269" s="41"/>
      <c r="BD269" s="41"/>
      <c r="BE269" s="41"/>
      <c r="BF269" s="41"/>
      <c r="BG269" s="41"/>
      <c r="BH269" s="41"/>
      <c r="BI269" s="41"/>
      <c r="BJ269" s="41"/>
      <c r="BK269" s="41"/>
      <c r="BL269" s="41"/>
      <c r="BM269" s="41"/>
      <c r="BN269" s="41"/>
      <c r="BO269" s="41"/>
      <c r="BP269" s="41"/>
      <c r="BQ269" s="41"/>
      <c r="BR269" s="41"/>
      <c r="BS269" s="41"/>
      <c r="BT269" s="41"/>
      <c r="BU269" s="41"/>
      <c r="BV269" s="41"/>
      <c r="BW269" s="41"/>
      <c r="BX269" s="41"/>
      <c r="BY269" s="41"/>
      <c r="BZ269" s="41"/>
      <c r="CA269" s="41"/>
      <c r="CB269" s="41"/>
      <c r="CC269" s="41"/>
      <c r="CD269" s="41"/>
      <c r="CE269" s="41"/>
      <c r="CF269" s="41"/>
      <c r="CG269" s="41"/>
      <c r="CH269" s="41"/>
      <c r="CI269" s="41"/>
      <c r="CJ269" s="41"/>
      <c r="CK269" s="41"/>
      <c r="CL269" s="41"/>
      <c r="CM269" s="41"/>
      <c r="CN269" s="41"/>
      <c r="CO269" s="41"/>
      <c r="CP269" s="41"/>
      <c r="CQ269" s="41"/>
      <c r="CR269" s="41"/>
      <c r="CS269" s="41"/>
      <c r="CT269" s="41"/>
      <c r="CU269" s="41"/>
      <c r="CV269" s="41"/>
      <c r="CW269" s="41"/>
      <c r="CX269" s="41"/>
      <c r="CY269" s="41"/>
      <c r="CZ269" s="41"/>
      <c r="DA269" s="51"/>
      <c r="DB269" s="51"/>
      <c r="DC269" s="51"/>
      <c r="DD269" s="51"/>
      <c r="DE269" s="51"/>
      <c r="DF269" s="51"/>
      <c r="DG269" s="51"/>
      <c r="DH269" s="51"/>
      <c r="DI269" s="51"/>
      <c r="DJ269" s="51"/>
      <c r="DK269" s="51"/>
      <c r="DL269" s="51"/>
      <c r="DM269" s="51"/>
      <c r="DN269" s="51"/>
      <c r="DO269" s="51"/>
      <c r="DP269" s="51"/>
      <c r="DQ269" s="51"/>
      <c r="DR269" s="51"/>
      <c r="DS269" s="51"/>
      <c r="DT269" s="51"/>
      <c r="DU269" s="51"/>
      <c r="DV269" s="51"/>
      <c r="DW269" s="51"/>
      <c r="DX269" s="51"/>
      <c r="DY269" s="51"/>
      <c r="DZ269" s="51"/>
      <c r="EA269" s="51"/>
      <c r="EB269" s="51"/>
      <c r="EC269" s="51"/>
      <c r="ED269" s="51"/>
      <c r="EE269" s="51"/>
      <c r="EF269" s="51"/>
      <c r="EG269" s="51"/>
      <c r="EH269" s="51"/>
      <c r="EI269" s="51"/>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row>
    <row r="270" spans="1:175" s="13" customFormat="1" ht="16.100000000000001" hidden="1" customHeight="1">
      <c r="A270" s="4"/>
      <c r="B270" s="265"/>
      <c r="C270" s="265" t="str">
        <f>Begriffe!F235</f>
        <v>Standard</v>
      </c>
      <c r="D270" s="69" t="s">
        <v>52</v>
      </c>
      <c r="E270" s="69">
        <f>M77</f>
        <v>10</v>
      </c>
      <c r="F270" s="1094">
        <f>M78</f>
        <v>0</v>
      </c>
      <c r="G270" s="69">
        <f>M121</f>
        <v>2.9791666666666674</v>
      </c>
      <c r="H270" s="69">
        <f>M158</f>
        <v>20.553281394957988</v>
      </c>
      <c r="I270" s="69">
        <f>M182</f>
        <v>15.500120588235296</v>
      </c>
      <c r="J270" s="69"/>
      <c r="K270" s="69"/>
      <c r="N270" s="207">
        <f>M143</f>
        <v>0.46400000000000008</v>
      </c>
      <c r="P270" s="14"/>
      <c r="Q270" s="14"/>
      <c r="R270" s="63"/>
      <c r="S270" s="448"/>
      <c r="T270" s="65"/>
      <c r="U270" s="65"/>
      <c r="V270" s="65"/>
      <c r="W270" s="65"/>
      <c r="X270" s="65"/>
      <c r="Y270" s="63"/>
      <c r="Z270" s="64"/>
      <c r="AA270" s="64"/>
      <c r="AB270" s="64"/>
      <c r="AC270" s="64"/>
      <c r="AD270" s="64"/>
      <c r="AE270" s="64"/>
      <c r="AF270" s="65"/>
      <c r="AG270" s="65"/>
      <c r="AH270" s="65"/>
      <c r="AI270" s="65"/>
      <c r="AJ270" s="65"/>
      <c r="AK270" s="65"/>
      <c r="AL270" s="65"/>
      <c r="AM270" s="65"/>
      <c r="AN270" s="65"/>
      <c r="AO270" s="65"/>
      <c r="AP270" s="65"/>
      <c r="AQ270" s="65"/>
      <c r="AR270" s="65"/>
      <c r="AS270" s="66"/>
      <c r="AT270" s="66"/>
      <c r="AU270" s="66"/>
      <c r="AV270" s="66"/>
      <c r="AW270" s="41"/>
      <c r="AX270" s="41"/>
      <c r="AY270" s="41"/>
      <c r="AZ270" s="41"/>
      <c r="BA270" s="41"/>
      <c r="BB270" s="41"/>
      <c r="BC270" s="41"/>
      <c r="BD270" s="41"/>
      <c r="BE270" s="41"/>
      <c r="BF270" s="41"/>
      <c r="BG270" s="41"/>
      <c r="BH270" s="41"/>
      <c r="BI270" s="41"/>
      <c r="BJ270" s="41"/>
      <c r="BK270" s="41"/>
      <c r="BL270" s="41"/>
      <c r="BM270" s="41"/>
      <c r="BN270" s="41"/>
      <c r="BO270" s="41"/>
      <c r="BP270" s="41"/>
      <c r="BQ270" s="41"/>
      <c r="BR270" s="41"/>
      <c r="BS270" s="41"/>
      <c r="BT270" s="41"/>
      <c r="BU270" s="41"/>
      <c r="BV270" s="41"/>
      <c r="BW270" s="41"/>
      <c r="BX270" s="41"/>
      <c r="BY270" s="41"/>
      <c r="BZ270" s="41"/>
      <c r="CA270" s="41"/>
      <c r="CB270" s="41"/>
      <c r="CC270" s="41"/>
      <c r="CD270" s="41"/>
      <c r="CE270" s="41"/>
      <c r="CF270" s="41"/>
      <c r="CG270" s="41"/>
      <c r="CH270" s="41"/>
      <c r="CI270" s="41"/>
      <c r="CJ270" s="41"/>
      <c r="CK270" s="41"/>
      <c r="CL270" s="41"/>
      <c r="CM270" s="41"/>
      <c r="CN270" s="41"/>
      <c r="CO270" s="41"/>
      <c r="CP270" s="41"/>
      <c r="CQ270" s="41"/>
      <c r="CR270" s="41"/>
      <c r="CS270" s="41"/>
      <c r="CT270" s="41"/>
      <c r="CU270" s="41"/>
      <c r="CV270" s="41"/>
      <c r="CW270" s="41"/>
      <c r="CX270" s="41"/>
      <c r="CY270" s="41"/>
      <c r="CZ270" s="41"/>
      <c r="DA270" s="51"/>
      <c r="DB270" s="51"/>
      <c r="DC270" s="51"/>
      <c r="DD270" s="51"/>
      <c r="DE270" s="51"/>
      <c r="DF270" s="51"/>
      <c r="DG270" s="51"/>
      <c r="DH270" s="51"/>
      <c r="DI270" s="51"/>
      <c r="DJ270" s="51"/>
      <c r="DK270" s="51"/>
      <c r="DL270" s="51"/>
      <c r="DM270" s="51"/>
      <c r="DN270" s="51"/>
      <c r="DO270" s="51"/>
      <c r="DP270" s="51"/>
      <c r="DQ270" s="51"/>
      <c r="DR270" s="51"/>
      <c r="DS270" s="51"/>
      <c r="DT270" s="51"/>
      <c r="DU270" s="51"/>
      <c r="DV270" s="51"/>
      <c r="DW270" s="51"/>
      <c r="DX270" s="51"/>
      <c r="DY270" s="51"/>
      <c r="DZ270" s="51"/>
      <c r="EA270" s="51"/>
      <c r="EB270" s="51"/>
      <c r="EC270" s="51"/>
      <c r="ED270" s="51"/>
      <c r="EE270" s="51"/>
      <c r="EF270" s="51"/>
      <c r="EG270" s="51"/>
      <c r="EH270" s="51"/>
      <c r="EI270" s="51"/>
      <c r="EJ270" s="40"/>
      <c r="EK270" s="40"/>
      <c r="EL270" s="40"/>
      <c r="EM270" s="40"/>
      <c r="EN270" s="40"/>
      <c r="EO270" s="40"/>
      <c r="EP270" s="40"/>
      <c r="EQ270" s="40"/>
      <c r="ER270" s="40"/>
      <c r="ES270" s="40"/>
      <c r="ET270" s="40"/>
      <c r="EU270" s="40"/>
      <c r="EV270" s="40"/>
      <c r="EW270" s="40"/>
      <c r="EX270" s="40"/>
      <c r="EY270" s="40"/>
      <c r="EZ270" s="40"/>
      <c r="FA270" s="40"/>
      <c r="FB270" s="40"/>
      <c r="FC270" s="40"/>
      <c r="FD270" s="40"/>
      <c r="FE270" s="40"/>
      <c r="FF270" s="40"/>
      <c r="FG270" s="40"/>
      <c r="FH270" s="40"/>
      <c r="FI270" s="40"/>
      <c r="FJ270" s="40"/>
      <c r="FK270" s="40"/>
      <c r="FL270" s="40"/>
      <c r="FM270" s="40"/>
      <c r="FN270" s="40"/>
      <c r="FO270" s="40"/>
      <c r="FP270" s="40"/>
      <c r="FQ270" s="40"/>
      <c r="FR270" s="40"/>
      <c r="FS270" s="40"/>
    </row>
    <row r="271" spans="1:175" s="13" customFormat="1" ht="16.100000000000001" hidden="1" customHeight="1">
      <c r="A271" s="4"/>
      <c r="B271" s="267"/>
      <c r="C271" s="60"/>
      <c r="D271" s="4"/>
      <c r="E271" s="60"/>
      <c r="G271" s="69"/>
      <c r="H271" s="69"/>
      <c r="I271" s="69"/>
      <c r="J271" s="69"/>
      <c r="K271" s="69"/>
      <c r="L271" s="69"/>
      <c r="P271" s="14"/>
      <c r="Q271" s="14"/>
      <c r="R271" s="63"/>
      <c r="S271" s="448"/>
      <c r="T271" s="65"/>
      <c r="U271" s="65"/>
      <c r="V271" s="65"/>
      <c r="W271" s="65"/>
      <c r="X271" s="65"/>
      <c r="Y271" s="63"/>
      <c r="Z271" s="64"/>
      <c r="AA271" s="64"/>
      <c r="AB271" s="64"/>
      <c r="AC271" s="64"/>
      <c r="AD271" s="64"/>
      <c r="AE271" s="64"/>
      <c r="AF271" s="65"/>
      <c r="AG271" s="65"/>
      <c r="AH271" s="65"/>
      <c r="AI271" s="65"/>
      <c r="AJ271" s="65"/>
      <c r="AK271" s="65"/>
      <c r="AL271" s="65"/>
      <c r="AM271" s="65"/>
      <c r="AN271" s="65"/>
      <c r="AO271" s="65"/>
      <c r="AP271" s="65"/>
      <c r="AQ271" s="65"/>
      <c r="AR271" s="65"/>
      <c r="AS271" s="66"/>
      <c r="AT271" s="66"/>
      <c r="AU271" s="66"/>
      <c r="AV271" s="66"/>
      <c r="AW271" s="41"/>
      <c r="AX271" s="41"/>
      <c r="AY271" s="41"/>
      <c r="AZ271" s="41"/>
      <c r="BA271" s="41"/>
      <c r="BB271" s="41"/>
      <c r="BC271" s="41"/>
      <c r="BD271" s="41"/>
      <c r="BE271" s="41"/>
      <c r="BF271" s="41"/>
      <c r="BG271" s="41"/>
      <c r="BH271" s="41"/>
      <c r="BI271" s="41"/>
      <c r="BJ271" s="41"/>
      <c r="BK271" s="41"/>
      <c r="BL271" s="41"/>
      <c r="BM271" s="41"/>
      <c r="BN271" s="41"/>
      <c r="BO271" s="41"/>
      <c r="BP271" s="41"/>
      <c r="BQ271" s="41"/>
      <c r="BR271" s="41"/>
      <c r="BS271" s="41"/>
      <c r="BT271" s="41"/>
      <c r="BU271" s="41"/>
      <c r="BV271" s="41"/>
      <c r="BW271" s="41"/>
      <c r="BX271" s="41"/>
      <c r="BY271" s="41"/>
      <c r="BZ271" s="41"/>
      <c r="CA271" s="41"/>
      <c r="CB271" s="41"/>
      <c r="CC271" s="41"/>
      <c r="CD271" s="41"/>
      <c r="CE271" s="41"/>
      <c r="CF271" s="41"/>
      <c r="CG271" s="41"/>
      <c r="CH271" s="41"/>
      <c r="CI271" s="41"/>
      <c r="CJ271" s="41"/>
      <c r="CK271" s="41"/>
      <c r="CL271" s="41"/>
      <c r="CM271" s="41"/>
      <c r="CN271" s="41"/>
      <c r="CO271" s="41"/>
      <c r="CP271" s="41"/>
      <c r="CQ271" s="41"/>
      <c r="CR271" s="41"/>
      <c r="CS271" s="41"/>
      <c r="CT271" s="41"/>
      <c r="CU271" s="41"/>
      <c r="CV271" s="41"/>
      <c r="CW271" s="41"/>
      <c r="CX271" s="41"/>
      <c r="CY271" s="41"/>
      <c r="CZ271" s="41"/>
      <c r="DA271" s="51"/>
      <c r="DB271" s="51"/>
      <c r="DC271" s="51"/>
      <c r="DD271" s="51"/>
      <c r="DE271" s="51"/>
      <c r="DF271" s="51"/>
      <c r="DG271" s="51"/>
      <c r="DH271" s="51"/>
      <c r="DI271" s="51"/>
      <c r="DJ271" s="51"/>
      <c r="DK271" s="51"/>
      <c r="DL271" s="51"/>
      <c r="DM271" s="51"/>
      <c r="DN271" s="51"/>
      <c r="DO271" s="51"/>
      <c r="DP271" s="51"/>
      <c r="DQ271" s="51"/>
      <c r="DR271" s="51"/>
      <c r="DS271" s="51"/>
      <c r="DT271" s="51"/>
      <c r="DU271" s="51"/>
      <c r="DV271" s="51"/>
      <c r="DW271" s="51"/>
      <c r="DX271" s="51"/>
      <c r="DY271" s="51"/>
      <c r="DZ271" s="51"/>
      <c r="EA271" s="51"/>
      <c r="EB271" s="51"/>
      <c r="EC271" s="51"/>
      <c r="ED271" s="51"/>
      <c r="EE271" s="51"/>
      <c r="EF271" s="51"/>
      <c r="EG271" s="51"/>
      <c r="EH271" s="51"/>
      <c r="EI271" s="51"/>
      <c r="EJ271" s="40"/>
      <c r="EK271" s="40"/>
      <c r="EL271" s="40"/>
      <c r="EM271" s="40"/>
      <c r="EN271" s="40"/>
      <c r="EO271" s="40"/>
      <c r="EP271" s="40"/>
      <c r="EQ271" s="40"/>
      <c r="ER271" s="40"/>
      <c r="ES271" s="40"/>
      <c r="ET271" s="40"/>
      <c r="EU271" s="40"/>
      <c r="EV271" s="40"/>
      <c r="EW271" s="40"/>
      <c r="EX271" s="40"/>
      <c r="EY271" s="40"/>
      <c r="EZ271" s="40"/>
      <c r="FA271" s="40"/>
      <c r="FB271" s="40"/>
      <c r="FC271" s="40"/>
      <c r="FD271" s="40"/>
      <c r="FE271" s="40"/>
      <c r="FF271" s="40"/>
      <c r="FG271" s="40"/>
      <c r="FH271" s="40"/>
      <c r="FI271" s="40"/>
      <c r="FJ271" s="40"/>
      <c r="FK271" s="40"/>
      <c r="FL271" s="40"/>
      <c r="FM271" s="40"/>
      <c r="FN271" s="40"/>
      <c r="FO271" s="40"/>
      <c r="FP271" s="40"/>
      <c r="FQ271" s="40"/>
      <c r="FR271" s="40"/>
      <c r="FS271" s="40"/>
    </row>
    <row r="272" spans="1:175" s="13" customFormat="1" ht="16.100000000000001" hidden="1" customHeight="1">
      <c r="A272" s="4"/>
      <c r="B272" s="267"/>
      <c r="C272" s="60" t="str">
        <f>Begriffe!F378</f>
        <v>Energiebedarf, kWh/m2</v>
      </c>
      <c r="D272" s="4"/>
      <c r="E272" s="60"/>
      <c r="G272" s="69"/>
      <c r="H272" s="69"/>
      <c r="I272" s="69"/>
      <c r="J272" s="69"/>
      <c r="K272" s="69"/>
      <c r="L272" s="69"/>
      <c r="P272" s="14"/>
      <c r="Q272" s="14"/>
      <c r="R272" s="63"/>
      <c r="S272" s="448"/>
      <c r="T272" s="65"/>
      <c r="U272" s="65"/>
      <c r="V272" s="65"/>
      <c r="W272" s="65"/>
      <c r="X272" s="65"/>
      <c r="Y272" s="63"/>
      <c r="Z272" s="64"/>
      <c r="AA272" s="64"/>
      <c r="AB272" s="64"/>
      <c r="AC272" s="64"/>
      <c r="AD272" s="64"/>
      <c r="AE272" s="64"/>
      <c r="AF272" s="65"/>
      <c r="AG272" s="65"/>
      <c r="AH272" s="65"/>
      <c r="AI272" s="65"/>
      <c r="AJ272" s="65"/>
      <c r="AK272" s="65"/>
      <c r="AL272" s="65"/>
      <c r="AM272" s="65"/>
      <c r="AN272" s="65"/>
      <c r="AO272" s="65"/>
      <c r="AP272" s="65"/>
      <c r="AQ272" s="65"/>
      <c r="AR272" s="65"/>
      <c r="AS272" s="66"/>
      <c r="AT272" s="66"/>
      <c r="AU272" s="66"/>
      <c r="AV272" s="66"/>
      <c r="AW272" s="41"/>
      <c r="AX272" s="41"/>
      <c r="AY272" s="41"/>
      <c r="AZ272" s="41"/>
      <c r="BA272" s="41"/>
      <c r="BB272" s="41"/>
      <c r="BC272" s="41"/>
      <c r="BD272" s="41"/>
      <c r="BE272" s="41"/>
      <c r="BF272" s="41"/>
      <c r="BG272" s="41"/>
      <c r="BH272" s="41"/>
      <c r="BI272" s="41"/>
      <c r="BJ272" s="41"/>
      <c r="BK272" s="41"/>
      <c r="BL272" s="41"/>
      <c r="BM272" s="41"/>
      <c r="BN272" s="41"/>
      <c r="BO272" s="41"/>
      <c r="BP272" s="41"/>
      <c r="BQ272" s="41"/>
      <c r="BR272" s="41"/>
      <c r="BS272" s="41"/>
      <c r="BT272" s="41"/>
      <c r="BU272" s="41"/>
      <c r="BV272" s="41"/>
      <c r="BW272" s="41"/>
      <c r="BX272" s="41"/>
      <c r="BY272" s="41"/>
      <c r="BZ272" s="41"/>
      <c r="CA272" s="41"/>
      <c r="CB272" s="41"/>
      <c r="CC272" s="41"/>
      <c r="CD272" s="41"/>
      <c r="CE272" s="41"/>
      <c r="CF272" s="41"/>
      <c r="CG272" s="41"/>
      <c r="CH272" s="41"/>
      <c r="CI272" s="41"/>
      <c r="CJ272" s="41"/>
      <c r="CK272" s="41"/>
      <c r="CL272" s="41"/>
      <c r="CM272" s="41"/>
      <c r="CN272" s="41"/>
      <c r="CO272" s="41"/>
      <c r="CP272" s="41"/>
      <c r="CQ272" s="41"/>
      <c r="CR272" s="41"/>
      <c r="CS272" s="41"/>
      <c r="CT272" s="41"/>
      <c r="CU272" s="41"/>
      <c r="CV272" s="41"/>
      <c r="CW272" s="41"/>
      <c r="CX272" s="41"/>
      <c r="CY272" s="41"/>
      <c r="CZ272" s="41"/>
      <c r="DA272" s="51"/>
      <c r="DB272" s="51"/>
      <c r="DC272" s="51"/>
      <c r="DD272" s="51"/>
      <c r="DE272" s="51"/>
      <c r="DF272" s="51"/>
      <c r="DG272" s="51"/>
      <c r="DH272" s="51"/>
      <c r="DI272" s="51"/>
      <c r="DJ272" s="51"/>
      <c r="DK272" s="51"/>
      <c r="DL272" s="51"/>
      <c r="DM272" s="51"/>
      <c r="DN272" s="51"/>
      <c r="DO272" s="51"/>
      <c r="DP272" s="51"/>
      <c r="DQ272" s="51"/>
      <c r="DR272" s="51"/>
      <c r="DS272" s="51"/>
      <c r="DT272" s="51"/>
      <c r="DU272" s="51"/>
      <c r="DV272" s="51"/>
      <c r="DW272" s="51"/>
      <c r="DX272" s="51"/>
      <c r="DY272" s="51"/>
      <c r="DZ272" s="51"/>
      <c r="EA272" s="51"/>
      <c r="EB272" s="51"/>
      <c r="EC272" s="51"/>
      <c r="ED272" s="51"/>
      <c r="EE272" s="51"/>
      <c r="EF272" s="51"/>
      <c r="EG272" s="51"/>
      <c r="EH272" s="51"/>
      <c r="EI272" s="51"/>
      <c r="EJ272" s="40"/>
      <c r="EK272" s="40"/>
      <c r="EL272" s="40"/>
      <c r="EM272" s="40"/>
      <c r="EN272" s="40"/>
      <c r="EO272" s="40"/>
      <c r="EP272" s="40"/>
      <c r="EQ272" s="40"/>
      <c r="ER272" s="40"/>
      <c r="ES272" s="40"/>
      <c r="ET272" s="40"/>
      <c r="EU272" s="40"/>
      <c r="EV272" s="40"/>
      <c r="EW272" s="40"/>
      <c r="EX272" s="40"/>
      <c r="EY272" s="40"/>
      <c r="EZ272" s="40"/>
      <c r="FA272" s="40"/>
      <c r="FB272" s="40"/>
      <c r="FC272" s="40"/>
      <c r="FD272" s="40"/>
      <c r="FE272" s="40"/>
      <c r="FF272" s="40"/>
      <c r="FG272" s="40"/>
      <c r="FH272" s="40"/>
      <c r="FI272" s="40"/>
      <c r="FJ272" s="40"/>
      <c r="FK272" s="40"/>
      <c r="FL272" s="40"/>
      <c r="FM272" s="40"/>
      <c r="FN272" s="40"/>
      <c r="FO272" s="40"/>
      <c r="FP272" s="40"/>
      <c r="FQ272" s="40"/>
      <c r="FR272" s="40"/>
      <c r="FS272" s="40"/>
    </row>
    <row r="273" spans="1:175" s="13" customFormat="1" ht="16.100000000000001" hidden="1" customHeight="1">
      <c r="A273" s="4"/>
      <c r="B273" s="74"/>
      <c r="C273" s="265" t="str">
        <f>Begriffe!F237</f>
        <v>Bestand</v>
      </c>
      <c r="D273" s="1266" t="s">
        <v>1520</v>
      </c>
      <c r="E273" s="69">
        <f>O84</f>
        <v>25.92</v>
      </c>
      <c r="F273" s="1094">
        <f>O85</f>
        <v>0</v>
      </c>
      <c r="G273" s="69">
        <f>O125</f>
        <v>3.2404821428571435</v>
      </c>
      <c r="H273" s="69">
        <f>O161</f>
        <v>0</v>
      </c>
      <c r="I273" s="61">
        <f>O188</f>
        <v>103.48468160361931</v>
      </c>
      <c r="J273" s="69">
        <f>M196</f>
        <v>16.936000000000003</v>
      </c>
      <c r="K273" s="69">
        <f>O196</f>
        <v>16.936000000000003</v>
      </c>
      <c r="P273" s="14"/>
      <c r="Q273" s="14"/>
      <c r="R273" s="63"/>
      <c r="S273" s="448"/>
      <c r="T273" s="65"/>
      <c r="U273" s="65"/>
      <c r="V273" s="65"/>
      <c r="W273" s="65"/>
      <c r="X273" s="65"/>
      <c r="Y273" s="63"/>
      <c r="Z273" s="64"/>
      <c r="AA273" s="64"/>
      <c r="AB273" s="64"/>
      <c r="AC273" s="64"/>
      <c r="AD273" s="64"/>
      <c r="AE273" s="64"/>
      <c r="AF273" s="65"/>
      <c r="AG273" s="65"/>
      <c r="AH273" s="65"/>
      <c r="AI273" s="65"/>
      <c r="AJ273" s="65"/>
      <c r="AK273" s="65"/>
      <c r="AL273" s="65"/>
      <c r="AM273" s="65"/>
      <c r="AN273" s="65"/>
      <c r="AO273" s="65"/>
      <c r="AP273" s="65"/>
      <c r="AQ273" s="65"/>
      <c r="AR273" s="65"/>
      <c r="AS273" s="66"/>
      <c r="AT273" s="66"/>
      <c r="AU273" s="66"/>
      <c r="AV273" s="66"/>
      <c r="AW273" s="41"/>
      <c r="AX273" s="41"/>
      <c r="AY273" s="41"/>
      <c r="AZ273" s="41"/>
      <c r="BA273" s="41"/>
      <c r="BB273" s="41"/>
      <c r="BC273" s="41"/>
      <c r="BD273" s="41"/>
      <c r="BE273" s="41"/>
      <c r="BF273" s="41"/>
      <c r="BG273" s="41"/>
      <c r="BH273" s="41"/>
      <c r="BI273" s="41"/>
      <c r="BJ273" s="41"/>
      <c r="BK273" s="41"/>
      <c r="BL273" s="41"/>
      <c r="BM273" s="41"/>
      <c r="BN273" s="41"/>
      <c r="BO273" s="41"/>
      <c r="BP273" s="41"/>
      <c r="BQ273" s="41"/>
      <c r="BR273" s="41"/>
      <c r="BS273" s="41"/>
      <c r="BT273" s="41"/>
      <c r="BU273" s="41"/>
      <c r="BV273" s="41"/>
      <c r="BW273" s="41"/>
      <c r="BX273" s="41"/>
      <c r="BY273" s="41"/>
      <c r="BZ273" s="41"/>
      <c r="CA273" s="41"/>
      <c r="CB273" s="41"/>
      <c r="CC273" s="41"/>
      <c r="CD273" s="41"/>
      <c r="CE273" s="41"/>
      <c r="CF273" s="41"/>
      <c r="CG273" s="41"/>
      <c r="CH273" s="41"/>
      <c r="CI273" s="41"/>
      <c r="CJ273" s="41"/>
      <c r="CK273" s="41"/>
      <c r="CL273" s="41"/>
      <c r="CM273" s="41"/>
      <c r="CN273" s="41"/>
      <c r="CO273" s="41"/>
      <c r="CP273" s="41"/>
      <c r="CQ273" s="41"/>
      <c r="CR273" s="41"/>
      <c r="CS273" s="41"/>
      <c r="CT273" s="41"/>
      <c r="CU273" s="41"/>
      <c r="CV273" s="41"/>
      <c r="CW273" s="41"/>
      <c r="CX273" s="41"/>
      <c r="CY273" s="41"/>
      <c r="CZ273" s="41"/>
      <c r="DA273" s="51"/>
      <c r="DB273" s="51"/>
      <c r="DC273" s="51"/>
      <c r="DD273" s="51"/>
      <c r="DE273" s="51"/>
      <c r="DF273" s="51"/>
      <c r="DG273" s="51"/>
      <c r="DH273" s="51"/>
      <c r="DI273" s="51"/>
      <c r="DJ273" s="51"/>
      <c r="DK273" s="51"/>
      <c r="DL273" s="51"/>
      <c r="DM273" s="51"/>
      <c r="DN273" s="51"/>
      <c r="DO273" s="51"/>
      <c r="DP273" s="51"/>
      <c r="DQ273" s="51"/>
      <c r="DR273" s="51"/>
      <c r="DS273" s="51"/>
      <c r="DT273" s="51"/>
      <c r="DU273" s="51"/>
      <c r="DV273" s="51"/>
      <c r="DW273" s="51"/>
      <c r="DX273" s="51"/>
      <c r="DY273" s="51"/>
      <c r="DZ273" s="51"/>
      <c r="EA273" s="51"/>
      <c r="EB273" s="51"/>
      <c r="EC273" s="51"/>
      <c r="ED273" s="51"/>
      <c r="EE273" s="51"/>
      <c r="EF273" s="51"/>
      <c r="EG273" s="51"/>
      <c r="EH273" s="51"/>
      <c r="EI273" s="51"/>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row>
    <row r="274" spans="1:175" s="13" customFormat="1" ht="16.100000000000001" hidden="1" customHeight="1">
      <c r="A274" s="75"/>
      <c r="B274" s="76"/>
      <c r="C274" s="265" t="str">
        <f>Begriffe!F236</f>
        <v>Zielwert</v>
      </c>
      <c r="D274" s="1266" t="s">
        <v>1520</v>
      </c>
      <c r="E274" s="69">
        <f>N84</f>
        <v>10.8</v>
      </c>
      <c r="F274" s="1094">
        <f>N85</f>
        <v>0</v>
      </c>
      <c r="G274" s="69">
        <f>N125</f>
        <v>1.1038194444444445</v>
      </c>
      <c r="H274" s="69">
        <f>$N161</f>
        <v>0</v>
      </c>
      <c r="I274" s="69">
        <f>$N188</f>
        <v>10.295092187550507</v>
      </c>
      <c r="J274" s="69">
        <f>N196</f>
        <v>16.936000000000003</v>
      </c>
      <c r="K274" s="69">
        <f>$N196</f>
        <v>16.936000000000003</v>
      </c>
      <c r="N274" s="10">
        <f>N145</f>
        <v>1.8142400000000003</v>
      </c>
      <c r="P274" s="14"/>
      <c r="Q274" s="14"/>
      <c r="R274" s="63"/>
      <c r="S274" s="448"/>
      <c r="T274" s="65"/>
      <c r="U274" s="65"/>
      <c r="V274" s="65"/>
      <c r="W274" s="65"/>
      <c r="X274" s="65"/>
      <c r="Y274" s="63"/>
      <c r="Z274" s="64"/>
      <c r="AA274" s="64"/>
      <c r="AB274" s="64"/>
      <c r="AC274" s="64"/>
      <c r="AD274" s="64"/>
      <c r="AE274" s="64"/>
      <c r="AF274" s="65"/>
      <c r="AG274" s="65"/>
      <c r="AH274" s="65"/>
      <c r="AI274" s="65"/>
      <c r="AJ274" s="65"/>
      <c r="AK274" s="65"/>
      <c r="AL274" s="65"/>
      <c r="AM274" s="65"/>
      <c r="AN274" s="65"/>
      <c r="AO274" s="65"/>
      <c r="AP274" s="65"/>
      <c r="AQ274" s="65"/>
      <c r="AR274" s="65"/>
      <c r="AS274" s="66"/>
      <c r="AT274" s="66"/>
      <c r="AU274" s="66"/>
      <c r="AV274" s="66"/>
      <c r="AW274" s="41"/>
      <c r="AX274" s="41"/>
      <c r="AY274" s="41"/>
      <c r="AZ274" s="41"/>
      <c r="BA274" s="41"/>
      <c r="BB274" s="41"/>
      <c r="BC274" s="41"/>
      <c r="BD274" s="41"/>
      <c r="BE274" s="41"/>
      <c r="BF274" s="41"/>
      <c r="BG274" s="41"/>
      <c r="BH274" s="41"/>
      <c r="BI274" s="41"/>
      <c r="BJ274" s="41"/>
      <c r="BK274" s="41"/>
      <c r="BL274" s="41"/>
      <c r="BM274" s="41"/>
      <c r="BN274" s="41"/>
      <c r="BO274" s="41"/>
      <c r="BP274" s="41"/>
      <c r="BQ274" s="41"/>
      <c r="BR274" s="41"/>
      <c r="BS274" s="41"/>
      <c r="BT274" s="41"/>
      <c r="BU274" s="41"/>
      <c r="BV274" s="41"/>
      <c r="BW274" s="41"/>
      <c r="BX274" s="41"/>
      <c r="BY274" s="41"/>
      <c r="BZ274" s="41"/>
      <c r="CA274" s="41"/>
      <c r="CB274" s="41"/>
      <c r="CC274" s="41"/>
      <c r="CD274" s="41"/>
      <c r="CE274" s="41"/>
      <c r="CF274" s="41"/>
      <c r="CG274" s="41"/>
      <c r="CH274" s="41"/>
      <c r="CI274" s="41"/>
      <c r="CJ274" s="41"/>
      <c r="CK274" s="41"/>
      <c r="CL274" s="41"/>
      <c r="CM274" s="41"/>
      <c r="CN274" s="41"/>
      <c r="CO274" s="41"/>
      <c r="CP274" s="41"/>
      <c r="CQ274" s="41"/>
      <c r="CR274" s="41"/>
      <c r="CS274" s="41"/>
      <c r="CT274" s="41"/>
      <c r="CU274" s="41"/>
      <c r="CV274" s="41"/>
      <c r="CW274" s="41"/>
      <c r="CX274" s="41"/>
      <c r="CY274" s="41"/>
      <c r="CZ274" s="41"/>
      <c r="DA274" s="51"/>
      <c r="DB274" s="51"/>
      <c r="DC274" s="51"/>
      <c r="DD274" s="51"/>
      <c r="DE274" s="51"/>
      <c r="DF274" s="51"/>
      <c r="DG274" s="51"/>
      <c r="DH274" s="51"/>
      <c r="DI274" s="51"/>
      <c r="DJ274" s="51"/>
      <c r="DK274" s="51"/>
      <c r="DL274" s="51"/>
      <c r="DM274" s="51"/>
      <c r="DN274" s="51"/>
      <c r="DO274" s="51"/>
      <c r="DP274" s="51"/>
      <c r="DQ274" s="51"/>
      <c r="DR274" s="51"/>
      <c r="DS274" s="51"/>
      <c r="DT274" s="51"/>
      <c r="DU274" s="51"/>
      <c r="DV274" s="51"/>
      <c r="DW274" s="51"/>
      <c r="DX274" s="51"/>
      <c r="DY274" s="51"/>
      <c r="DZ274" s="51"/>
      <c r="EA274" s="51"/>
      <c r="EB274" s="51"/>
      <c r="EC274" s="51"/>
      <c r="ED274" s="51"/>
      <c r="EE274" s="51"/>
      <c r="EF274" s="51"/>
      <c r="EG274" s="51"/>
      <c r="EH274" s="51"/>
      <c r="EI274" s="51"/>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row>
    <row r="275" spans="1:175" s="13" customFormat="1" ht="16.100000000000001" hidden="1" customHeight="1">
      <c r="A275" s="75"/>
      <c r="B275" s="76"/>
      <c r="C275" s="265" t="str">
        <f>Begriffe!F235</f>
        <v>Standard</v>
      </c>
      <c r="D275" s="1266" t="s">
        <v>1520</v>
      </c>
      <c r="E275" s="69">
        <f>M84</f>
        <v>21.6</v>
      </c>
      <c r="F275" s="1094">
        <f>M85</f>
        <v>0</v>
      </c>
      <c r="G275" s="69">
        <f>M125</f>
        <v>2.5203750000000005</v>
      </c>
      <c r="H275" s="69">
        <f>$M161</f>
        <v>0</v>
      </c>
      <c r="I275" s="69">
        <f>$M188</f>
        <v>14.853826963696013</v>
      </c>
      <c r="J275" s="69">
        <f>O196</f>
        <v>16.936000000000003</v>
      </c>
      <c r="K275" s="69">
        <f>$M196</f>
        <v>16.936000000000003</v>
      </c>
      <c r="N275" s="10">
        <f>$M145</f>
        <v>4.0646400000000007</v>
      </c>
      <c r="P275" s="14"/>
      <c r="Q275" s="14"/>
      <c r="R275" s="63"/>
      <c r="S275" s="448"/>
      <c r="T275" s="65"/>
      <c r="U275" s="63"/>
      <c r="V275" s="64"/>
      <c r="W275" s="64"/>
      <c r="X275" s="64"/>
      <c r="Y275" s="64"/>
      <c r="Z275" s="64"/>
      <c r="AA275" s="64"/>
      <c r="AB275" s="65"/>
      <c r="AC275" s="65"/>
      <c r="AD275" s="65"/>
      <c r="AE275" s="65"/>
      <c r="AF275" s="65"/>
      <c r="AG275" s="65"/>
      <c r="AH275" s="65"/>
      <c r="AI275" s="65"/>
      <c r="AJ275" s="65"/>
      <c r="AK275" s="65"/>
      <c r="AL275" s="65"/>
      <c r="AM275" s="65"/>
      <c r="AN275" s="65"/>
      <c r="AO275" s="66"/>
      <c r="AP275" s="66"/>
      <c r="AQ275" s="66"/>
      <c r="AR275" s="66"/>
      <c r="AS275" s="41"/>
      <c r="AT275" s="41"/>
      <c r="AU275" s="41"/>
      <c r="AV275" s="41"/>
      <c r="AW275" s="41"/>
      <c r="AX275" s="41"/>
      <c r="AY275" s="41"/>
      <c r="AZ275" s="41"/>
      <c r="BA275" s="41"/>
      <c r="BB275" s="41"/>
      <c r="BC275" s="41"/>
      <c r="BD275" s="41"/>
      <c r="BE275" s="41"/>
      <c r="BF275" s="41"/>
      <c r="BG275" s="41"/>
      <c r="BH275" s="41"/>
      <c r="BI275" s="41"/>
      <c r="BJ275" s="41"/>
      <c r="BK275" s="41"/>
      <c r="BL275" s="41"/>
      <c r="BM275" s="41"/>
      <c r="BN275" s="41"/>
      <c r="BO275" s="41"/>
      <c r="BP275" s="41"/>
      <c r="BQ275" s="41"/>
      <c r="BR275" s="41"/>
      <c r="BS275" s="41"/>
      <c r="BT275" s="41"/>
      <c r="BU275" s="41"/>
      <c r="BV275" s="41"/>
      <c r="BW275" s="41"/>
      <c r="BX275" s="41"/>
      <c r="BY275" s="41"/>
      <c r="BZ275" s="41"/>
      <c r="CA275" s="41"/>
      <c r="CB275" s="41"/>
      <c r="CC275" s="41"/>
      <c r="CD275" s="41"/>
      <c r="CE275" s="41"/>
      <c r="CF275" s="41"/>
      <c r="CG275" s="41"/>
      <c r="CH275" s="41"/>
      <c r="CI275" s="41"/>
      <c r="CJ275" s="41"/>
      <c r="CK275" s="41"/>
      <c r="CL275" s="41"/>
      <c r="CM275" s="41"/>
      <c r="CN275" s="41"/>
      <c r="CO275" s="41"/>
      <c r="CP275" s="41"/>
      <c r="CQ275" s="41"/>
      <c r="CR275" s="41"/>
      <c r="CS275" s="41"/>
      <c r="CT275" s="41"/>
      <c r="CU275" s="41"/>
      <c r="CV275" s="41"/>
      <c r="CW275" s="51"/>
      <c r="CX275" s="51"/>
      <c r="CY275" s="51"/>
      <c r="CZ275" s="51"/>
      <c r="DA275" s="51"/>
      <c r="DB275" s="51"/>
      <c r="DC275" s="51"/>
      <c r="DD275" s="51"/>
      <c r="DE275" s="51"/>
      <c r="DF275" s="51"/>
      <c r="DG275" s="51"/>
      <c r="DH275" s="51"/>
      <c r="DI275" s="51"/>
      <c r="DJ275" s="51"/>
      <c r="DK275" s="51"/>
      <c r="DL275" s="51"/>
      <c r="DM275" s="51"/>
      <c r="DN275" s="51"/>
      <c r="DO275" s="51"/>
      <c r="DP275" s="51"/>
      <c r="DQ275" s="51"/>
      <c r="DR275" s="51"/>
      <c r="DS275" s="51"/>
      <c r="DT275" s="51"/>
      <c r="DU275" s="51"/>
      <c r="DV275" s="51"/>
      <c r="DW275" s="51"/>
      <c r="DX275" s="51"/>
      <c r="DY275" s="51"/>
      <c r="DZ275" s="51"/>
      <c r="EA275" s="51"/>
      <c r="EB275" s="51"/>
      <c r="EC275" s="51"/>
      <c r="ED275" s="51"/>
      <c r="EE275" s="51"/>
      <c r="EF275" s="40"/>
      <c r="EG275" s="40"/>
      <c r="EH275" s="40"/>
      <c r="EI275" s="40"/>
      <c r="EJ275" s="40"/>
      <c r="EK275" s="40"/>
      <c r="EL275" s="40"/>
      <c r="EM275" s="40"/>
      <c r="EN275" s="40"/>
      <c r="EO275" s="40"/>
      <c r="EP275" s="40"/>
      <c r="EQ275" s="40"/>
      <c r="ER275" s="40"/>
      <c r="ES275" s="40"/>
      <c r="ET275" s="40"/>
      <c r="EU275" s="40"/>
      <c r="EV275" s="40"/>
      <c r="EW275" s="40"/>
      <c r="EX275" s="40"/>
      <c r="EY275" s="40"/>
      <c r="EZ275" s="40"/>
      <c r="FA275" s="40"/>
      <c r="FB275" s="40"/>
      <c r="FC275" s="40"/>
      <c r="FD275" s="40"/>
      <c r="FE275" s="40"/>
      <c r="FF275" s="40"/>
      <c r="FG275" s="40"/>
      <c r="FH275" s="40"/>
      <c r="FI275" s="40"/>
      <c r="FJ275" s="40"/>
      <c r="FK275" s="40"/>
      <c r="FL275" s="40"/>
      <c r="FM275" s="40"/>
      <c r="FN275" s="40"/>
      <c r="FO275" s="40"/>
    </row>
    <row r="276" spans="1:175" s="13" customFormat="1" ht="15.75" hidden="1" customHeight="1">
      <c r="A276" s="4"/>
      <c r="B276" s="77"/>
      <c r="C276" s="78"/>
      <c r="D276" s="78"/>
      <c r="E276" s="78"/>
      <c r="F276" s="78"/>
      <c r="G276" s="78"/>
      <c r="H276" s="79"/>
      <c r="I276" s="79"/>
      <c r="J276" s="78"/>
      <c r="K276" s="78"/>
      <c r="L276" s="78"/>
      <c r="M276" s="78"/>
      <c r="P276" s="14"/>
      <c r="Q276" s="243"/>
      <c r="R276" s="65"/>
      <c r="S276" s="243"/>
      <c r="T276" s="65"/>
      <c r="U276" s="64"/>
      <c r="V276" s="64"/>
      <c r="W276" s="64"/>
      <c r="X276" s="64"/>
      <c r="Y276" s="64"/>
      <c r="Z276" s="64"/>
      <c r="AA276" s="64"/>
      <c r="AB276" s="65"/>
      <c r="AC276" s="65"/>
      <c r="AD276" s="65"/>
      <c r="AE276" s="65"/>
      <c r="AF276" s="65"/>
      <c r="AG276" s="65"/>
      <c r="AH276" s="65"/>
      <c r="AI276" s="65"/>
      <c r="AJ276" s="65"/>
      <c r="AK276" s="65"/>
      <c r="AL276" s="65"/>
      <c r="AM276" s="65"/>
      <c r="AN276" s="65"/>
      <c r="AO276" s="66"/>
      <c r="AP276" s="66"/>
      <c r="AQ276" s="66"/>
      <c r="AR276" s="66"/>
      <c r="AS276" s="41"/>
      <c r="AT276" s="41"/>
      <c r="AU276" s="41"/>
      <c r="AV276" s="41"/>
      <c r="AW276" s="41"/>
      <c r="AX276" s="41"/>
      <c r="AY276" s="41"/>
      <c r="AZ276" s="41"/>
      <c r="BA276" s="41"/>
      <c r="BB276" s="41"/>
      <c r="BC276" s="41"/>
      <c r="BD276" s="41"/>
      <c r="BE276" s="41"/>
      <c r="BF276" s="41"/>
      <c r="BG276" s="41"/>
      <c r="BH276" s="41"/>
      <c r="BI276" s="41"/>
      <c r="BJ276" s="41"/>
      <c r="BK276" s="41"/>
      <c r="BL276" s="41"/>
      <c r="BM276" s="41"/>
      <c r="BN276" s="41"/>
      <c r="BO276" s="41"/>
      <c r="BP276" s="41"/>
      <c r="BQ276" s="41"/>
      <c r="BR276" s="41"/>
      <c r="BS276" s="41"/>
      <c r="BT276" s="41"/>
      <c r="BU276" s="41"/>
      <c r="BV276" s="41"/>
      <c r="BW276" s="41"/>
      <c r="BX276" s="41"/>
      <c r="BY276" s="41"/>
      <c r="BZ276" s="41"/>
      <c r="CA276" s="41"/>
      <c r="CB276" s="41"/>
      <c r="CC276" s="41"/>
      <c r="CD276" s="41"/>
      <c r="CE276" s="41"/>
      <c r="CF276" s="41"/>
      <c r="CG276" s="41"/>
      <c r="CH276" s="41"/>
      <c r="CI276" s="41"/>
      <c r="CJ276" s="41"/>
      <c r="CK276" s="41"/>
      <c r="CL276" s="41"/>
      <c r="CM276" s="41"/>
      <c r="CN276" s="41"/>
      <c r="CO276" s="41"/>
      <c r="CP276" s="41"/>
      <c r="CQ276" s="41"/>
      <c r="CR276" s="41"/>
      <c r="CS276" s="41"/>
      <c r="CT276" s="41"/>
      <c r="CU276" s="41"/>
      <c r="CV276" s="41"/>
      <c r="CW276" s="51"/>
      <c r="CX276" s="51"/>
      <c r="CY276" s="51"/>
      <c r="CZ276" s="51"/>
      <c r="DA276" s="51"/>
      <c r="DB276" s="51"/>
      <c r="DC276" s="51"/>
      <c r="DD276" s="51"/>
      <c r="DE276" s="51"/>
      <c r="DF276" s="51"/>
      <c r="DG276" s="51"/>
      <c r="DH276" s="51"/>
      <c r="DI276" s="51"/>
      <c r="DJ276" s="51"/>
      <c r="DK276" s="51"/>
      <c r="DL276" s="51"/>
      <c r="DM276" s="51"/>
      <c r="DN276" s="51"/>
      <c r="DO276" s="51"/>
      <c r="DP276" s="51"/>
      <c r="DQ276" s="51"/>
      <c r="DR276" s="51"/>
      <c r="DS276" s="51"/>
      <c r="DT276" s="51"/>
      <c r="DU276" s="51"/>
      <c r="DV276" s="51"/>
      <c r="DW276" s="51"/>
      <c r="DX276" s="51"/>
      <c r="DY276" s="51"/>
      <c r="DZ276" s="51"/>
      <c r="EA276" s="51"/>
      <c r="EB276" s="51"/>
      <c r="EC276" s="51"/>
      <c r="ED276" s="51"/>
      <c r="EE276" s="51"/>
      <c r="EF276" s="40"/>
      <c r="EG276" s="40"/>
      <c r="EH276" s="40"/>
      <c r="EI276" s="40"/>
      <c r="EJ276" s="40"/>
      <c r="EK276" s="40"/>
      <c r="EL276" s="40"/>
      <c r="EM276" s="40"/>
      <c r="EN276" s="40"/>
      <c r="EO276" s="40"/>
      <c r="EP276" s="40"/>
      <c r="EQ276" s="40"/>
      <c r="ER276" s="40"/>
      <c r="ES276" s="40"/>
      <c r="ET276" s="40"/>
      <c r="EU276" s="40"/>
      <c r="EV276" s="40"/>
      <c r="EW276" s="40"/>
      <c r="EX276" s="40"/>
      <c r="EY276" s="40"/>
      <c r="EZ276" s="40"/>
      <c r="FA276" s="40"/>
      <c r="FB276" s="40"/>
      <c r="FC276" s="40"/>
      <c r="FD276" s="40"/>
      <c r="FE276" s="40"/>
      <c r="FF276" s="40"/>
      <c r="FG276" s="40"/>
      <c r="FH276" s="40"/>
      <c r="FI276" s="40"/>
      <c r="FJ276" s="40"/>
      <c r="FK276" s="40"/>
      <c r="FL276" s="40"/>
      <c r="FM276" s="40"/>
      <c r="FN276" s="40"/>
      <c r="FO276" s="40"/>
    </row>
    <row r="277" spans="1:175" hidden="1">
      <c r="R277" s="1"/>
    </row>
    <row r="278" spans="1:175" hidden="1">
      <c r="R278" s="1"/>
    </row>
    <row r="279" spans="1:175" ht="15.45" hidden="1">
      <c r="C279" s="68"/>
      <c r="D279" s="76"/>
      <c r="E279" s="76"/>
      <c r="F279" s="76"/>
      <c r="G279" s="76"/>
      <c r="H279" s="867"/>
      <c r="I279" s="867"/>
      <c r="J279" s="868"/>
      <c r="K279" s="868"/>
      <c r="L279" s="869"/>
      <c r="M279" s="870"/>
      <c r="N279" s="871"/>
      <c r="R279" s="1"/>
    </row>
    <row r="280" spans="1:175" ht="12.45" hidden="1">
      <c r="C280" s="699" t="str">
        <f>Begriffe!F371</f>
        <v>Elektrischer und thermischer Energiebedarf</v>
      </c>
      <c r="D280" s="671"/>
      <c r="E280" s="671"/>
      <c r="F280" s="671"/>
      <c r="G280" s="671"/>
      <c r="H280" s="671"/>
      <c r="I280" s="671" t="str">
        <f>Begriffe!F372</f>
        <v xml:space="preserve">Elektrischer und thermischer Leistungsbedarf </v>
      </c>
      <c r="J280" s="14"/>
      <c r="K280" s="14"/>
      <c r="L280" s="13"/>
      <c r="M280" s="14"/>
      <c r="N280" s="1661"/>
      <c r="O280" s="1661"/>
      <c r="R280" s="1"/>
    </row>
    <row r="281" spans="1:175" ht="12.45" hidden="1">
      <c r="C281" s="13"/>
      <c r="D281" s="13"/>
      <c r="E281" s="13"/>
      <c r="F281" s="13"/>
      <c r="G281" s="13"/>
      <c r="H281" s="13"/>
      <c r="I281" s="13"/>
      <c r="J281" s="13"/>
      <c r="K281" s="13"/>
      <c r="L281" s="13"/>
      <c r="M281" s="13"/>
      <c r="N281" s="13"/>
      <c r="O281" s="13"/>
      <c r="R281" s="1"/>
    </row>
    <row r="282" spans="1:175" ht="12.45" hidden="1">
      <c r="C282" s="13"/>
      <c r="D282" s="13"/>
      <c r="E282" s="13"/>
      <c r="F282" s="13"/>
      <c r="G282" s="13"/>
      <c r="H282" s="13"/>
      <c r="I282" s="13"/>
      <c r="J282" s="13"/>
      <c r="K282" s="13"/>
      <c r="L282" s="13"/>
      <c r="M282" s="13"/>
      <c r="N282" s="13"/>
      <c r="O282" s="13"/>
      <c r="R282" s="1"/>
    </row>
    <row r="283" spans="1:175" ht="12.45" hidden="1">
      <c r="C283" s="1980" t="str">
        <f>C272</f>
        <v>Energiebedarf, kWh/m2</v>
      </c>
      <c r="D283" s="706" t="str">
        <f>Begriffe!F373</f>
        <v xml:space="preserve">Elektrischer Energiebedarf                              </v>
      </c>
      <c r="E283" s="706"/>
      <c r="F283" s="707" t="str">
        <f>Begriffe!F374</f>
        <v xml:space="preserve">Thermischer Energiebedarf                              </v>
      </c>
      <c r="G283" s="504"/>
      <c r="H283" s="503"/>
      <c r="I283" s="1980" t="str">
        <f>C267</f>
        <v>Leistungsbedarf, W/m2</v>
      </c>
      <c r="J283" s="706" t="str">
        <f>Begriffe!F375</f>
        <v xml:space="preserve">Elektrischer Leistungsbedarf                              </v>
      </c>
      <c r="K283" s="503"/>
      <c r="L283" s="503"/>
      <c r="M283" s="503"/>
      <c r="N283" s="1979" t="str">
        <f>Begriffe!F376</f>
        <v xml:space="preserve">Thermischer Leistungsbedarf                              </v>
      </c>
      <c r="O283" s="1979"/>
      <c r="R283" s="1"/>
    </row>
    <row r="284" spans="1:175" ht="12.45" hidden="1">
      <c r="C284" s="1980"/>
      <c r="D284" s="13"/>
      <c r="E284" s="13"/>
      <c r="F284" s="13"/>
      <c r="G284" s="13"/>
      <c r="H284" s="13"/>
      <c r="I284" s="1980"/>
      <c r="J284" s="13"/>
      <c r="K284" s="13"/>
      <c r="L284" s="13"/>
      <c r="M284" s="13"/>
      <c r="N284" s="13"/>
      <c r="O284" s="13"/>
      <c r="R284" s="1"/>
    </row>
    <row r="285" spans="1:175" hidden="1">
      <c r="C285" s="1980"/>
      <c r="D285" s="97"/>
      <c r="E285" s="97"/>
      <c r="F285" s="97"/>
      <c r="G285" s="97"/>
      <c r="H285" s="13"/>
      <c r="I285" s="1980"/>
      <c r="J285" s="13"/>
      <c r="K285" s="13"/>
      <c r="L285" s="13"/>
      <c r="M285" s="13"/>
      <c r="N285" s="13"/>
      <c r="O285" s="13"/>
      <c r="R285" s="1"/>
    </row>
    <row r="286" spans="1:175" ht="12.45" hidden="1">
      <c r="C286" s="1980"/>
      <c r="D286" s="13"/>
      <c r="E286" s="13"/>
      <c r="F286" s="13"/>
      <c r="G286" s="13"/>
      <c r="H286" s="13"/>
      <c r="I286" s="1980"/>
      <c r="J286" s="13"/>
      <c r="K286" s="13"/>
      <c r="L286" s="13"/>
      <c r="M286" s="13"/>
      <c r="N286" s="13"/>
      <c r="O286" s="13"/>
      <c r="R286" s="1"/>
    </row>
    <row r="287" spans="1:175" ht="12.45" hidden="1">
      <c r="C287" s="1980"/>
      <c r="D287" s="13"/>
      <c r="E287" s="13"/>
      <c r="F287" s="13"/>
      <c r="G287" s="13"/>
      <c r="H287" s="13"/>
      <c r="I287" s="1980"/>
      <c r="J287" s="13"/>
      <c r="K287" s="13"/>
      <c r="L287" s="13"/>
      <c r="M287" s="13"/>
      <c r="N287" s="13"/>
      <c r="O287" s="13"/>
      <c r="R287" s="1"/>
    </row>
    <row r="288" spans="1:175" ht="12.45" hidden="1">
      <c r="C288" s="1980"/>
      <c r="D288" s="13"/>
      <c r="E288" s="13"/>
      <c r="F288" s="13"/>
      <c r="G288" s="13"/>
      <c r="H288" s="13"/>
      <c r="I288" s="1980"/>
      <c r="J288" s="13"/>
      <c r="K288" s="13"/>
      <c r="L288" s="13"/>
      <c r="M288" s="13"/>
      <c r="N288" s="13"/>
      <c r="O288" s="13"/>
      <c r="R288" s="1"/>
    </row>
    <row r="289" spans="3:18" ht="12.45" hidden="1">
      <c r="C289" s="1980"/>
      <c r="D289" s="13"/>
      <c r="E289" s="13"/>
      <c r="F289" s="13"/>
      <c r="G289" s="13"/>
      <c r="H289" s="13"/>
      <c r="I289" s="1980"/>
      <c r="J289" s="13"/>
      <c r="K289" s="13"/>
      <c r="L289" s="13"/>
      <c r="M289" s="13"/>
      <c r="N289" s="13"/>
      <c r="O289" s="13"/>
      <c r="R289" s="1"/>
    </row>
    <row r="290" spans="3:18" ht="12.45" hidden="1">
      <c r="C290" s="1980"/>
      <c r="D290" s="13"/>
      <c r="E290" s="13"/>
      <c r="F290" s="13"/>
      <c r="G290" s="13"/>
      <c r="H290" s="13"/>
      <c r="I290" s="1980"/>
      <c r="J290" s="13"/>
      <c r="K290" s="13"/>
      <c r="L290" s="13"/>
      <c r="M290" s="13"/>
      <c r="N290" s="13"/>
      <c r="O290" s="13"/>
      <c r="R290" s="1"/>
    </row>
    <row r="291" spans="3:18" ht="12.45" hidden="1">
      <c r="C291" s="1980"/>
      <c r="D291" s="13"/>
      <c r="E291" s="13"/>
      <c r="F291" s="13"/>
      <c r="G291" s="13"/>
      <c r="H291" s="13"/>
      <c r="I291" s="1980"/>
      <c r="J291" s="13"/>
      <c r="K291" s="13"/>
      <c r="L291" s="13"/>
      <c r="M291" s="13"/>
      <c r="N291" s="13"/>
      <c r="O291" s="13"/>
      <c r="R291" s="1"/>
    </row>
    <row r="292" spans="3:18" ht="12.45" hidden="1">
      <c r="C292" s="1980"/>
      <c r="D292" s="13"/>
      <c r="E292" s="13"/>
      <c r="F292" s="13"/>
      <c r="G292" s="13"/>
      <c r="H292" s="13"/>
      <c r="I292" s="1980"/>
      <c r="J292" s="13"/>
      <c r="K292" s="13"/>
      <c r="L292" s="13"/>
      <c r="M292" s="13"/>
      <c r="N292" s="13"/>
      <c r="O292" s="13"/>
      <c r="R292" s="1"/>
    </row>
    <row r="293" spans="3:18" ht="12.45" hidden="1">
      <c r="C293" s="13"/>
      <c r="D293" s="13"/>
      <c r="E293" s="13"/>
      <c r="F293" s="13"/>
      <c r="G293" s="13"/>
      <c r="H293" s="13"/>
      <c r="I293" s="13"/>
      <c r="J293" s="13"/>
      <c r="K293" s="13"/>
      <c r="L293" s="13"/>
      <c r="M293" s="13"/>
      <c r="N293" s="13"/>
      <c r="O293" s="13"/>
      <c r="R293" s="1"/>
    </row>
    <row r="294" spans="3:18" ht="12.45" hidden="1">
      <c r="C294" s="13"/>
      <c r="D294" s="13"/>
      <c r="E294" s="13"/>
      <c r="F294" s="13"/>
      <c r="G294" s="13"/>
      <c r="H294" s="13"/>
      <c r="I294" s="13"/>
      <c r="J294" s="13"/>
      <c r="K294" s="13"/>
      <c r="L294" s="13"/>
      <c r="M294" s="13"/>
      <c r="N294" s="13"/>
      <c r="O294" s="13"/>
      <c r="R294" s="1"/>
    </row>
    <row r="295" spans="3:18" hidden="1">
      <c r="R295" s="1"/>
    </row>
    <row r="296" spans="3:18" hidden="1">
      <c r="R296" s="1"/>
    </row>
    <row r="297" spans="3:18" hidden="1">
      <c r="R297" s="1"/>
    </row>
    <row r="298" spans="3:18" hidden="1">
      <c r="R298" s="1"/>
    </row>
    <row r="299" spans="3:18" hidden="1">
      <c r="R299" s="1"/>
    </row>
    <row r="300" spans="3:18" hidden="1">
      <c r="R300" s="1"/>
    </row>
    <row r="301" spans="3:18" hidden="1">
      <c r="R301" s="1"/>
    </row>
    <row r="302" spans="3:18" hidden="1">
      <c r="R302" s="1"/>
    </row>
    <row r="303" spans="3:18" hidden="1">
      <c r="R303" s="1"/>
    </row>
    <row r="304" spans="3:18" hidden="1">
      <c r="R304" s="1"/>
    </row>
    <row r="305" spans="18:18" hidden="1">
      <c r="R305" s="1"/>
    </row>
    <row r="306" spans="18:18" hidden="1">
      <c r="R306" s="1"/>
    </row>
    <row r="307" spans="18:18" hidden="1">
      <c r="R307" s="1"/>
    </row>
    <row r="308" spans="18:18" hidden="1">
      <c r="R308" s="1"/>
    </row>
    <row r="309" spans="18:18" hidden="1">
      <c r="R309" s="1"/>
    </row>
    <row r="310" spans="18:18" hidden="1">
      <c r="R310" s="1"/>
    </row>
    <row r="311" spans="18:18" hidden="1">
      <c r="R311" s="1"/>
    </row>
    <row r="312" spans="18:18" hidden="1">
      <c r="R312" s="1"/>
    </row>
    <row r="313" spans="18:18" hidden="1">
      <c r="R313" s="1"/>
    </row>
    <row r="314" spans="18:18" hidden="1">
      <c r="R314" s="1"/>
    </row>
    <row r="315" spans="18:18" hidden="1">
      <c r="R315" s="1"/>
    </row>
    <row r="316" spans="18:18" hidden="1">
      <c r="R316" s="1"/>
    </row>
    <row r="317" spans="18:18" hidden="1">
      <c r="R317" s="1"/>
    </row>
    <row r="318" spans="18:18" hidden="1">
      <c r="R318" s="1"/>
    </row>
    <row r="319" spans="18:18" hidden="1">
      <c r="R319" s="1"/>
    </row>
    <row r="320" spans="18:18" hidden="1">
      <c r="R320" s="1"/>
    </row>
    <row r="321" spans="18:18" hidden="1">
      <c r="R321" s="1"/>
    </row>
    <row r="322" spans="18:18" hidden="1">
      <c r="R322" s="1"/>
    </row>
    <row r="323" spans="18:18" hidden="1">
      <c r="R323" s="1"/>
    </row>
    <row r="324" spans="18:18" hidden="1">
      <c r="R324" s="1"/>
    </row>
    <row r="325" spans="18:18" hidden="1">
      <c r="R325" s="1"/>
    </row>
    <row r="326" spans="18:18" hidden="1">
      <c r="R326" s="1"/>
    </row>
    <row r="327" spans="18:18" hidden="1">
      <c r="R327" s="1"/>
    </row>
    <row r="328" spans="18:18" hidden="1">
      <c r="R328" s="1"/>
    </row>
    <row r="329" spans="18:18" hidden="1">
      <c r="R329" s="1"/>
    </row>
    <row r="400" spans="1:40">
      <c r="A400" s="1685"/>
      <c r="C400" s="1685" t="str">
        <f>C198</f>
        <v>Wärmebilanz pro Monat (exkl. Prozessanlagen)</v>
      </c>
      <c r="D400" s="1685"/>
      <c r="E400" s="1685"/>
      <c r="F400" s="1685"/>
      <c r="G400" s="1685"/>
      <c r="H400" s="1685" t="s">
        <v>25</v>
      </c>
      <c r="I400" s="1794"/>
      <c r="J400" s="1794" t="s">
        <v>1257</v>
      </c>
      <c r="M400" s="1795"/>
      <c r="N400" s="1796"/>
      <c r="O400" s="1796"/>
      <c r="AN400" s="1685"/>
    </row>
    <row r="401" spans="1:40">
      <c r="A401" s="1685"/>
      <c r="C401" s="1685"/>
      <c r="D401" s="1685"/>
      <c r="E401" s="1685"/>
      <c r="F401" s="1685"/>
      <c r="G401" s="1685"/>
      <c r="H401" s="1685"/>
      <c r="I401" s="1794"/>
      <c r="J401" s="1794"/>
      <c r="M401" s="1795"/>
      <c r="N401" s="1796"/>
      <c r="O401" s="1796"/>
      <c r="AN401" s="1685"/>
    </row>
    <row r="402" spans="1:40">
      <c r="A402" s="1685"/>
      <c r="C402" s="1340" t="str">
        <f>Profile!I567</f>
        <v>Personen</v>
      </c>
      <c r="D402" s="1340" t="str">
        <f>Profile!J567</f>
        <v>Ausnutzungsgrad WG</v>
      </c>
      <c r="E402" s="1340" t="str">
        <f>Profile!K567</f>
        <v>Geräte+Bel.</v>
      </c>
      <c r="F402" s="1340" t="str">
        <f>Profile!L567</f>
        <v>Solar Qh</v>
      </c>
      <c r="G402" s="1340" t="str">
        <f>Profile!M567</f>
        <v>Solar Qc</v>
      </c>
      <c r="H402" s="1340" t="str">
        <f>Profile!N567</f>
        <v>Solarstrahlung</v>
      </c>
      <c r="I402" s="1340" t="str">
        <f>Profile!O567</f>
        <v>Lüftung Qh</v>
      </c>
      <c r="J402" s="1340" t="str">
        <f>Profile!P567</f>
        <v>Lüftung Qc</v>
      </c>
      <c r="K402" s="6" t="s">
        <v>19</v>
      </c>
      <c r="L402" s="39" t="s">
        <v>1588</v>
      </c>
      <c r="M402" s="1340" t="str">
        <f>Profile!S567</f>
        <v>Transm. Qc</v>
      </c>
      <c r="N402" s="1340" t="str">
        <f>Profile!T567</f>
        <v>Transmission</v>
      </c>
      <c r="O402" s="1340" t="str">
        <f>Profile!U567</f>
        <v>Klimakälte</v>
      </c>
      <c r="AN402" s="1685" t="s">
        <v>464</v>
      </c>
    </row>
    <row r="403" spans="1:40">
      <c r="A403" s="1685"/>
      <c r="C403" s="1340" t="s">
        <v>134</v>
      </c>
      <c r="D403" s="1340" t="s">
        <v>16</v>
      </c>
      <c r="E403" s="1340" t="s">
        <v>134</v>
      </c>
      <c r="F403" s="1340" t="s">
        <v>134</v>
      </c>
      <c r="G403" s="1340" t="s">
        <v>134</v>
      </c>
      <c r="H403" s="1340" t="s">
        <v>134</v>
      </c>
      <c r="I403" s="1347" t="s">
        <v>134</v>
      </c>
      <c r="J403" s="1347" t="s">
        <v>134</v>
      </c>
      <c r="K403" s="6" t="s">
        <v>134</v>
      </c>
      <c r="L403" s="39" t="s">
        <v>134</v>
      </c>
      <c r="M403" s="1347" t="s">
        <v>134</v>
      </c>
      <c r="N403" s="1340" t="s">
        <v>134</v>
      </c>
      <c r="O403" s="1340" t="s">
        <v>134</v>
      </c>
      <c r="AN403" s="1685" t="s">
        <v>134</v>
      </c>
    </row>
    <row r="404" spans="1:40">
      <c r="A404" s="1685" t="str">
        <f>Profile!B569</f>
        <v>Jan</v>
      </c>
      <c r="C404" s="1347">
        <f>Profile!I569</f>
        <v>0.83327610292860699</v>
      </c>
      <c r="D404" s="1347">
        <f>Profile!J569</f>
        <v>0.99999532321501394</v>
      </c>
      <c r="E404" s="1347">
        <f>Profile!K569</f>
        <v>2.0485702137533224</v>
      </c>
      <c r="F404" s="1347">
        <f>Profile!L569</f>
        <v>1.7646976292029659</v>
      </c>
      <c r="G404" s="1347">
        <f>Profile!M569</f>
        <v>0.49411764705882366</v>
      </c>
      <c r="H404" s="1347">
        <f>Profile!N569</f>
        <v>1.7646976292029659</v>
      </c>
      <c r="I404" s="1347">
        <f>Profile!O569</f>
        <v>1.692236077714286</v>
      </c>
      <c r="J404" s="1347">
        <f>Profile!P569</f>
        <v>2.0530978662857149</v>
      </c>
      <c r="K404" s="6">
        <v>-1.692236077714286</v>
      </c>
      <c r="L404" s="39">
        <v>7.808234047058825</v>
      </c>
      <c r="M404" s="1347">
        <f>Profile!S569</f>
        <v>8.461630164705884</v>
      </c>
      <c r="N404" s="1347">
        <f>Profile!T569</f>
        <v>-7.808234047058825</v>
      </c>
      <c r="O404" s="1347">
        <f>Profile!U569</f>
        <v>0</v>
      </c>
      <c r="AN404" s="1794">
        <v>4.7101495312837462</v>
      </c>
    </row>
    <row r="405" spans="1:40">
      <c r="A405" s="1685" t="str">
        <f>Profile!B570</f>
        <v>Feb</v>
      </c>
      <c r="C405" s="1347">
        <f>Profile!I570</f>
        <v>0.83273257931565425</v>
      </c>
      <c r="D405" s="1347">
        <f>Profile!J570</f>
        <v>0.99934305313418559</v>
      </c>
      <c r="E405" s="1347">
        <f>Profile!K570</f>
        <v>2.0472339864451672</v>
      </c>
      <c r="F405" s="1347">
        <f>Profile!L570</f>
        <v>2.71145284269496</v>
      </c>
      <c r="G405" s="1347">
        <f>Profile!M570</f>
        <v>0.75970588235294145</v>
      </c>
      <c r="H405" s="1347">
        <f>Profile!N570</f>
        <v>2.71145284269496</v>
      </c>
      <c r="I405" s="1347">
        <f>Profile!O570</f>
        <v>1.4435562239999999</v>
      </c>
      <c r="J405" s="1347">
        <f>Profile!P570</f>
        <v>1.7639519039999998</v>
      </c>
      <c r="K405" s="6">
        <v>-1.4435562239999999</v>
      </c>
      <c r="L405" s="39">
        <v>6.3379007999999999</v>
      </c>
      <c r="M405" s="1347">
        <f>Profile!S570</f>
        <v>7.2699450352941195</v>
      </c>
      <c r="N405" s="1347">
        <f>Profile!T570</f>
        <v>-6.3379007999999999</v>
      </c>
      <c r="O405" s="1347">
        <f>Profile!U570</f>
        <v>0</v>
      </c>
      <c r="AN405" s="1794">
        <v>2.3403934237403887</v>
      </c>
    </row>
    <row r="406" spans="1:40">
      <c r="A406" s="1685" t="str">
        <f>Profile!B571</f>
        <v>Mrz</v>
      </c>
      <c r="C406" s="1347">
        <f>Profile!I571</f>
        <v>0.76784518627004339</v>
      </c>
      <c r="D406" s="1347">
        <f>Profile!J571</f>
        <v>0.92147319780871162</v>
      </c>
      <c r="E406" s="1347">
        <f>Profile!K571</f>
        <v>1.8877113742231628</v>
      </c>
      <c r="F406" s="1347">
        <f>Profile!L571</f>
        <v>4.0246697021939317</v>
      </c>
      <c r="G406" s="1347">
        <f>Profile!M571</f>
        <v>1.2229411764705884</v>
      </c>
      <c r="H406" s="1347">
        <f>Profile!N571</f>
        <v>4.0246697021939317</v>
      </c>
      <c r="I406" s="1347">
        <f>Profile!O571</f>
        <v>1.2926803371428572</v>
      </c>
      <c r="J406" s="1347">
        <f>Profile!P571</f>
        <v>1.6274556257142858</v>
      </c>
      <c r="K406" s="6">
        <v>-1.2926803371428572</v>
      </c>
      <c r="L406" s="39">
        <v>5.6754836470588232</v>
      </c>
      <c r="M406" s="1347">
        <f>Profile!S571</f>
        <v>6.7073897647058827</v>
      </c>
      <c r="N406" s="1347">
        <f>Profile!T571</f>
        <v>-5.6754836470588232</v>
      </c>
      <c r="O406" s="1347">
        <f>Profile!U571</f>
        <v>0</v>
      </c>
      <c r="AN406" s="1794">
        <v>0.23981075864772863</v>
      </c>
    </row>
    <row r="407" spans="1:40">
      <c r="A407" s="1685" t="str">
        <f>Profile!B572</f>
        <v>Apr</v>
      </c>
      <c r="C407" s="1347">
        <f>Profile!I572</f>
        <v>0.58682412645542303</v>
      </c>
      <c r="D407" s="1347">
        <f>Profile!J572</f>
        <v>0.70423402272396185</v>
      </c>
      <c r="E407" s="1347">
        <f>Profile!K572</f>
        <v>1.4426795895662328</v>
      </c>
      <c r="F407" s="1347">
        <f>Profile!L572</f>
        <v>3.5884866010860703</v>
      </c>
      <c r="G407" s="1347">
        <f>Profile!M572</f>
        <v>1.4267647058823532</v>
      </c>
      <c r="H407" s="1347">
        <f>Profile!N572</f>
        <v>3.5884866010860703</v>
      </c>
      <c r="I407" s="1347">
        <f>Profile!O572</f>
        <v>1.0311115885714286</v>
      </c>
      <c r="J407" s="1347">
        <f>Profile!P572</f>
        <v>1.3407326742857146</v>
      </c>
      <c r="K407" s="6">
        <v>-1.1859221314285717</v>
      </c>
      <c r="L407" s="39">
        <v>4.5270720000000004</v>
      </c>
      <c r="M407" s="1347">
        <f>Profile!S572</f>
        <v>5.5256908235294135</v>
      </c>
      <c r="N407" s="1347">
        <f>Profile!T572</f>
        <v>-4.5270720000000004</v>
      </c>
      <c r="O407" s="1347">
        <f>Profile!U572</f>
        <v>0</v>
      </c>
      <c r="AN407" s="1794">
        <v>4.4362539481291995E-3</v>
      </c>
    </row>
    <row r="408" spans="1:40">
      <c r="A408" s="1685" t="str">
        <f>Profile!B573</f>
        <v>Mai</v>
      </c>
      <c r="C408" s="1347">
        <f>Profile!I573</f>
        <v>0.32849959530394307</v>
      </c>
      <c r="D408" s="1347">
        <f>Profile!J573</f>
        <v>0.39422474474839553</v>
      </c>
      <c r="E408" s="1347">
        <f>Profile!K573</f>
        <v>0.80760084659158371</v>
      </c>
      <c r="F408" s="1347">
        <f>Profile!L573</f>
        <v>2.4957904796203567</v>
      </c>
      <c r="G408" s="1347">
        <f>Profile!M573</f>
        <v>1.7726470588235297</v>
      </c>
      <c r="H408" s="1347">
        <f>Profile!N573</f>
        <v>2.4957904796203567</v>
      </c>
      <c r="I408" s="1347">
        <f>Profile!O573</f>
        <v>0.67376066057142869</v>
      </c>
      <c r="J408" s="1347">
        <f>Profile!P573</f>
        <v>0.9681274491428572</v>
      </c>
      <c r="K408" s="6">
        <v>-0.9681274491428572</v>
      </c>
      <c r="L408" s="39">
        <v>2.9581308705882354</v>
      </c>
      <c r="M408" s="1347">
        <f>Profile!S573</f>
        <v>3.9900369882352944</v>
      </c>
      <c r="N408" s="1347">
        <f>Profile!T573</f>
        <v>-2.9581308705882354</v>
      </c>
      <c r="O408" s="1347">
        <f>Profile!U573</f>
        <v>0</v>
      </c>
      <c r="AN408" s="1794">
        <v>4.7895674636243428E-7</v>
      </c>
    </row>
    <row r="409" spans="1:40">
      <c r="A409" s="1685" t="str">
        <f>Profile!B574</f>
        <v>Jun</v>
      </c>
      <c r="C409" s="1347">
        <f>Profile!I574</f>
        <v>0.83328000000000013</v>
      </c>
      <c r="D409" s="1347">
        <f>Profile!J574</f>
        <v>0.25023454699551434</v>
      </c>
      <c r="E409" s="1347">
        <f>Profile!K574</f>
        <v>2.0485797945205482</v>
      </c>
      <c r="F409" s="1347">
        <f>Profile!L574</f>
        <v>1.6725235530803129</v>
      </c>
      <c r="G409" s="1347">
        <f>Profile!M574</f>
        <v>1.8714705882352944</v>
      </c>
      <c r="H409" s="1347">
        <f>Profile!N574</f>
        <v>1.8714705882352944</v>
      </c>
      <c r="I409" s="1347">
        <f>Profile!O574</f>
        <v>0.43973876571428588</v>
      </c>
      <c r="J409" s="1347">
        <f>Profile!P574</f>
        <v>0.71074985142857161</v>
      </c>
      <c r="K409" s="6">
        <v>-0.71074985142857161</v>
      </c>
      <c r="L409" s="39">
        <v>1.9306630588235298</v>
      </c>
      <c r="M409" s="1347">
        <f>Profile!S574</f>
        <v>2.9292818823529418</v>
      </c>
      <c r="N409" s="1347">
        <f>Profile!T574</f>
        <v>-2.9292818823529418</v>
      </c>
      <c r="O409" s="1347">
        <f>Profile!U574</f>
        <v>-1.020335429796247</v>
      </c>
      <c r="AN409" s="1794">
        <v>2.4536520963162428E-10</v>
      </c>
    </row>
    <row r="410" spans="1:40">
      <c r="A410" s="1685" t="str">
        <f>Profile!B575</f>
        <v>Jul</v>
      </c>
      <c r="C410" s="1347">
        <f>Profile!I575</f>
        <v>0.83328000000000013</v>
      </c>
      <c r="D410" s="1347">
        <f>Profile!J575</f>
        <v>0.15060053165553786</v>
      </c>
      <c r="E410" s="1347">
        <f>Profile!K575</f>
        <v>2.0485797945205482</v>
      </c>
      <c r="F410" s="1347">
        <f>Profile!L575</f>
        <v>1.086317070250608</v>
      </c>
      <c r="G410" s="1347">
        <f>Profile!M575</f>
        <v>2.0197058823529419</v>
      </c>
      <c r="H410" s="1347">
        <f>Profile!N575</f>
        <v>2.0197058823529419</v>
      </c>
      <c r="I410" s="1347">
        <f>Profile!O575</f>
        <v>0.28203934628571442</v>
      </c>
      <c r="J410" s="1347">
        <f>Profile!P575</f>
        <v>0.55083113485714308</v>
      </c>
      <c r="K410" s="6">
        <v>-0.55083113485714308</v>
      </c>
      <c r="L410" s="39">
        <v>1.2382873411764714</v>
      </c>
      <c r="M410" s="1347">
        <f>Profile!S575</f>
        <v>2.2701934588235302</v>
      </c>
      <c r="N410" s="1347">
        <f>Profile!T575</f>
        <v>-2.2701934588235302</v>
      </c>
      <c r="O410" s="1347">
        <f>Profile!U575</f>
        <v>-2.0805410831928164</v>
      </c>
      <c r="AN410" s="1794">
        <v>4.0708177569589075E-14</v>
      </c>
    </row>
    <row r="411" spans="1:40">
      <c r="A411" s="1685" t="str">
        <f>Profile!B576</f>
        <v>Aug</v>
      </c>
      <c r="C411" s="1347">
        <f>Profile!I576</f>
        <v>0.83328000000000013</v>
      </c>
      <c r="D411" s="1347">
        <f>Profile!J576</f>
        <v>0.16192270111016185</v>
      </c>
      <c r="E411" s="1347">
        <f>Profile!K576</f>
        <v>2.0485797945205482</v>
      </c>
      <c r="F411" s="1347">
        <f>Profile!L576</f>
        <v>1.0536881653124504</v>
      </c>
      <c r="G411" s="1347">
        <f>Profile!M576</f>
        <v>1.8220588235294117</v>
      </c>
      <c r="H411" s="1347">
        <f>Profile!N576</f>
        <v>1.8220588235294117</v>
      </c>
      <c r="I411" s="1347">
        <f>Profile!O576</f>
        <v>0.28203934628571442</v>
      </c>
      <c r="J411" s="1347">
        <f>Profile!P576</f>
        <v>0.55083113485714308</v>
      </c>
      <c r="K411" s="6">
        <v>-0.55083113485714308</v>
      </c>
      <c r="L411" s="39">
        <v>1.2382873411764714</v>
      </c>
      <c r="M411" s="1347">
        <f>Profile!S576</f>
        <v>2.2701934588235302</v>
      </c>
      <c r="N411" s="1347">
        <f>Profile!T576</f>
        <v>-2.2701934588235302</v>
      </c>
      <c r="O411" s="1347">
        <f>Profile!U576</f>
        <v>-1.8828940243692862</v>
      </c>
      <c r="AN411" s="1794">
        <v>1.4802973661668753E-13</v>
      </c>
    </row>
    <row r="412" spans="1:40">
      <c r="A412" s="1685" t="str">
        <f>Profile!B577</f>
        <v>Sep</v>
      </c>
      <c r="C412" s="1347">
        <f>Profile!I577</f>
        <v>0.35858436539334893</v>
      </c>
      <c r="D412" s="1347">
        <f>Profile!J577</f>
        <v>0.43032877951390752</v>
      </c>
      <c r="E412" s="1347">
        <f>Profile!K577</f>
        <v>0.88156284271287899</v>
      </c>
      <c r="F412" s="1347">
        <f>Profile!L577</f>
        <v>2.0693751603095256</v>
      </c>
      <c r="G412" s="1347">
        <f>Profile!M577</f>
        <v>1.3464705882352943</v>
      </c>
      <c r="H412" s="1347">
        <f>Profile!N577</f>
        <v>2.0693751603095256</v>
      </c>
      <c r="I412" s="1347">
        <f>Profile!O577</f>
        <v>0.60653622857142853</v>
      </c>
      <c r="J412" s="1347">
        <f>Profile!P577</f>
        <v>0.88843731428571449</v>
      </c>
      <c r="K412" s="6">
        <v>-0.88843731428571449</v>
      </c>
      <c r="L412" s="39">
        <v>2.6629835294117656</v>
      </c>
      <c r="M412" s="1347">
        <f>Profile!S577</f>
        <v>3.6616023529411774</v>
      </c>
      <c r="N412" s="1347">
        <f>Profile!T577</f>
        <v>-2.6629835294117656</v>
      </c>
      <c r="O412" s="1347">
        <f>Profile!U577</f>
        <v>0</v>
      </c>
      <c r="AN412" s="1794">
        <v>1.6145722102499526E-6</v>
      </c>
    </row>
    <row r="413" spans="1:40">
      <c r="A413" s="1685" t="str">
        <f>Profile!B578</f>
        <v>Okt</v>
      </c>
      <c r="C413" s="1347">
        <f>Profile!I578</f>
        <v>0.69993583740223786</v>
      </c>
      <c r="D413" s="1347">
        <f>Profile!J578</f>
        <v>0.83997676339554261</v>
      </c>
      <c r="E413" s="1347">
        <f>Profile!K578</f>
        <v>1.7207594253588758</v>
      </c>
      <c r="F413" s="1347">
        <f>Profile!L578</f>
        <v>2.6311036853419201</v>
      </c>
      <c r="G413" s="1347">
        <f>Profile!M578</f>
        <v>0.877058823529412</v>
      </c>
      <c r="H413" s="1347">
        <f>Profile!N578</f>
        <v>2.6311036853419201</v>
      </c>
      <c r="I413" s="1347">
        <f>Profile!O578</f>
        <v>0.94796558057142866</v>
      </c>
      <c r="J413" s="1347">
        <f>Profile!P578</f>
        <v>1.2602348691428573</v>
      </c>
      <c r="K413" s="6">
        <v>-1.104100224857143</v>
      </c>
      <c r="L413" s="39">
        <v>4.1620213411764704</v>
      </c>
      <c r="M413" s="1347">
        <f>Profile!S578</f>
        <v>5.1939274588235298</v>
      </c>
      <c r="N413" s="1347">
        <f>Profile!T578</f>
        <v>-4.1620213411764704</v>
      </c>
      <c r="O413" s="1347">
        <f>Profile!U578</f>
        <v>0</v>
      </c>
      <c r="AN413" s="1794">
        <v>4.3951750446488011E-2</v>
      </c>
    </row>
    <row r="414" spans="1:40">
      <c r="A414" s="1685" t="str">
        <f>Profile!B579</f>
        <v>Nov</v>
      </c>
      <c r="C414" s="1347">
        <f>Profile!I579</f>
        <v>0.83317084045909895</v>
      </c>
      <c r="D414" s="1347">
        <f>Profile!J579</f>
        <v>0.99986900016692926</v>
      </c>
      <c r="E414" s="1347">
        <f>Profile!K579</f>
        <v>2.0483114309094339</v>
      </c>
      <c r="F414" s="1347">
        <f>Profile!L579</f>
        <v>1.6541950370408753</v>
      </c>
      <c r="G414" s="1347">
        <f>Profile!M579</f>
        <v>0.46323529411764702</v>
      </c>
      <c r="H414" s="1347">
        <f>Profile!N579</f>
        <v>1.6541950370408753</v>
      </c>
      <c r="I414" s="1347">
        <f>Profile!O579</f>
        <v>1.3495431085714289</v>
      </c>
      <c r="J414" s="1347">
        <f>Profile!P579</f>
        <v>1.6799541942857146</v>
      </c>
      <c r="K414" s="6">
        <v>-1.3495431085714289</v>
      </c>
      <c r="L414" s="39">
        <v>5.9251383529411772</v>
      </c>
      <c r="M414" s="1347">
        <f>Profile!S579</f>
        <v>6.9237571764705894</v>
      </c>
      <c r="N414" s="1347">
        <f>Profile!T579</f>
        <v>-5.9251383529411772</v>
      </c>
      <c r="O414" s="1347">
        <f>Profile!U579</f>
        <v>0</v>
      </c>
      <c r="AN414" s="1794">
        <v>2.6931623802798152</v>
      </c>
    </row>
    <row r="415" spans="1:40">
      <c r="A415" s="1685" t="str">
        <f>Profile!B580</f>
        <v>Dez</v>
      </c>
      <c r="C415" s="1347">
        <f>Profile!I580</f>
        <v>0.83327594230484858</v>
      </c>
      <c r="D415" s="1347">
        <f>Profile!J580</f>
        <v>0.99999513045416721</v>
      </c>
      <c r="E415" s="1347">
        <f>Profile!K580</f>
        <v>2.0485698188673465</v>
      </c>
      <c r="F415" s="1347">
        <f>Profile!L580</f>
        <v>1.3014642506646148</v>
      </c>
      <c r="G415" s="1347">
        <f>Profile!M580</f>
        <v>0.36441176470588243</v>
      </c>
      <c r="H415" s="1347">
        <f>Profile!N580</f>
        <v>1.3014642506646148</v>
      </c>
      <c r="I415" s="1347">
        <f>Profile!O580</f>
        <v>1.5825541097142857</v>
      </c>
      <c r="J415" s="1347">
        <f>Profile!P580</f>
        <v>1.9362548982857144</v>
      </c>
      <c r="K415" s="6">
        <v>-1.5825541097142857</v>
      </c>
      <c r="L415" s="39">
        <v>6.9481678588235294</v>
      </c>
      <c r="M415" s="1347">
        <f>Profile!S580</f>
        <v>7.9800739764705888</v>
      </c>
      <c r="N415" s="1347">
        <f>Profile!T580</f>
        <v>-6.9481678588235294</v>
      </c>
      <c r="O415" s="1347">
        <f>Profile!U580</f>
        <v>0</v>
      </c>
      <c r="AN415" s="1794">
        <v>4.2036362775397142</v>
      </c>
    </row>
  </sheetData>
  <sheetProtection algorithmName="SHA-512" hashValue="r70SNQu1sabIoOpM4Q/GKNtSHq+KMjgLEIemEBQAVW7VBMYbV9nOceRSnhpAT22KdS0X3pSNpC3peI4svM6+kQ==" saltValue="UVXS8evcta5mfnbcr3wdoA==" spinCount="100000" sheet="1" objects="1" scenarios="1"/>
  <autoFilter ref="A4:Q196" xr:uid="{00000000-0001-0000-0900-000000000000}">
    <filterColumn colId="16">
      <filters>
        <filter val="1"/>
      </filters>
    </filterColumn>
  </autoFilter>
  <mergeCells count="19">
    <mergeCell ref="A5:A43"/>
    <mergeCell ref="X143:X145"/>
    <mergeCell ref="C70:C74"/>
    <mergeCell ref="C60:E60"/>
    <mergeCell ref="A70:A85"/>
    <mergeCell ref="C46:C50"/>
    <mergeCell ref="I46:I50"/>
    <mergeCell ref="A45:A68"/>
    <mergeCell ref="A87:A125"/>
    <mergeCell ref="A130:A145"/>
    <mergeCell ref="A163:A171"/>
    <mergeCell ref="A147:A161"/>
    <mergeCell ref="A173:A188"/>
    <mergeCell ref="A190:A196"/>
    <mergeCell ref="N283:O283"/>
    <mergeCell ref="C283:C292"/>
    <mergeCell ref="I283:I292"/>
    <mergeCell ref="A229:A240"/>
    <mergeCell ref="A198:A227"/>
  </mergeCells>
  <phoneticPr fontId="0" type="noConversion"/>
  <printOptions horizontalCentered="1"/>
  <pageMargins left="0.39370078740157483" right="0.39370078740157483" top="0.59055118110236227" bottom="0.39370078740157483" header="0" footer="0.39370078740157483"/>
  <pageSetup paperSize="9" scale="51" firstPageNumber="89" fitToHeight="2" orientation="portrait" useFirstPageNumber="1" horizontalDpi="4294967293" verticalDpi="2400" r:id="rId1"/>
  <headerFooter alignWithMargins="0">
    <oddHeader>&amp;CSIA 2024 Raum-Datenblätter</oddHeader>
    <oddFooter>&amp;CSIA 2024, Copyright © 2021 by SIA Zurich&amp;R&amp;12 &amp;P</oddFooter>
    <evenFooter>&amp;L &amp;P</evenFooter>
  </headerFooter>
  <rowBreaks count="1" manualBreakCount="1">
    <brk id="126"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91304" r:id="rId4" name="Drop Down 168">
              <controlPr defaultSize="0" print="0" autoLine="0" autoPict="0">
                <anchor moveWithCells="1">
                  <from>
                    <xdr:col>1</xdr:col>
                    <xdr:colOff>0</xdr:colOff>
                    <xdr:row>0</xdr:row>
                    <xdr:rowOff>54429</xdr:rowOff>
                  </from>
                  <to>
                    <xdr:col>3</xdr:col>
                    <xdr:colOff>1817914</xdr:colOff>
                    <xdr:row>0</xdr:row>
                    <xdr:rowOff>266700</xdr:rowOff>
                  </to>
                </anchor>
              </controlPr>
            </control>
          </mc:Choice>
        </mc:AlternateContent>
        <mc:AlternateContent xmlns:mc="http://schemas.openxmlformats.org/markup-compatibility/2006">
          <mc:Choice Requires="x14">
            <control shapeId="91437" r:id="rId5" name="Spinner 301">
              <controlPr defaultSize="0" autoPict="0">
                <anchor moveWithCells="1" sizeWithCells="1">
                  <from>
                    <xdr:col>3</xdr:col>
                    <xdr:colOff>1540329</xdr:colOff>
                    <xdr:row>0</xdr:row>
                    <xdr:rowOff>59871</xdr:rowOff>
                  </from>
                  <to>
                    <xdr:col>3</xdr:col>
                    <xdr:colOff>1845129</xdr:colOff>
                    <xdr:row>0</xdr:row>
                    <xdr:rowOff>266700</xdr:rowOff>
                  </to>
                </anchor>
              </controlPr>
            </control>
          </mc:Choice>
        </mc:AlternateContent>
        <mc:AlternateContent xmlns:mc="http://schemas.openxmlformats.org/markup-compatibility/2006">
          <mc:Choice Requires="x14">
            <control shapeId="91440" r:id="rId6" name="Button 304">
              <controlPr locked="0" defaultSize="0" print="0" autoFill="0" autoPict="0" macro="[0]!DatenblattDruck" altText="Print data sheets">
                <anchor moveWithCells="1" sizeWithCells="1">
                  <from>
                    <xdr:col>12</xdr:col>
                    <xdr:colOff>59871</xdr:colOff>
                    <xdr:row>0</xdr:row>
                    <xdr:rowOff>16329</xdr:rowOff>
                  </from>
                  <to>
                    <xdr:col>13</xdr:col>
                    <xdr:colOff>359229</xdr:colOff>
                    <xdr:row>1</xdr:row>
                    <xdr:rowOff>16329</xdr:rowOff>
                  </to>
                </anchor>
              </controlPr>
            </control>
          </mc:Choice>
        </mc:AlternateContent>
        <mc:AlternateContent xmlns:mc="http://schemas.openxmlformats.org/markup-compatibility/2006">
          <mc:Choice Requires="x14">
            <control shapeId="91441" r:id="rId7" name="Button 305">
              <controlPr locked="0" defaultSize="0" print="0" autoFill="0" autoPict="0" macro="[0]!DatenblattSpeichern" altText="Save as PDF">
                <anchor moveWithCells="1" sizeWithCells="1">
                  <from>
                    <xdr:col>13</xdr:col>
                    <xdr:colOff>435429</xdr:colOff>
                    <xdr:row>0</xdr:row>
                    <xdr:rowOff>16329</xdr:rowOff>
                  </from>
                  <to>
                    <xdr:col>14</xdr:col>
                    <xdr:colOff>876300</xdr:colOff>
                    <xdr:row>1</xdr:row>
                    <xdr:rowOff>16329</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900-000000000000}">
          <x14:formula1>
            <xm:f>Begriffe!$F$245:$F$247</xm:f>
          </x14:formula1>
          <xm:sqref>L40</xm:sqref>
        </x14:dataValidation>
        <x14:dataValidation type="list" allowBlank="1" showInputMessage="1" showErrorMessage="1" xr:uid="{00000000-0002-0000-0900-000001000000}">
          <x14:formula1>
            <xm:f>Begriffe!$F$248:$F$250</xm:f>
          </x14:formula1>
          <xm:sqref>L136:L137</xm:sqref>
        </x14:dataValidation>
        <x14:dataValidation type="list" allowBlank="1" showInputMessage="1" showErrorMessage="1" xr:uid="{00000000-0002-0000-0900-000002000000}">
          <x14:formula1>
            <xm:f>Begriffe!$F$260:$F$263</xm:f>
          </x14:formula1>
          <xm:sqref>L190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3D480-BD2E-4D48-85A7-D816B7292753}">
  <sheetPr codeName="tblDatenblatt2" filterMode="1">
    <tabColor theme="6"/>
  </sheetPr>
  <dimension ref="A1:FS299"/>
  <sheetViews>
    <sheetView showGridLines="0" showRowColHeaders="0" zoomScaleNormal="100" zoomScaleSheetLayoutView="100" workbookViewId="0">
      <pane xSplit="2" ySplit="8" topLeftCell="C9" activePane="bottomRight" state="frozen"/>
      <selection pane="topRight" activeCell="C1" sqref="C1"/>
      <selection pane="bottomLeft" activeCell="A9" sqref="A9"/>
      <selection pane="bottomRight" activeCell="C2" sqref="C2"/>
    </sheetView>
  </sheetViews>
  <sheetFormatPr baseColWidth="10" defaultColWidth="11.4609375" defaultRowHeight="14.15"/>
  <cols>
    <col min="1" max="1" width="3.4609375" customWidth="1"/>
    <col min="2" max="2" width="5.53515625" style="379" hidden="1" customWidth="1"/>
    <col min="3" max="3" width="8.4609375" style="3" customWidth="1"/>
    <col min="4" max="4" width="29.765625" style="3" customWidth="1"/>
    <col min="5" max="5" width="18" style="3" customWidth="1"/>
    <col min="6" max="6" width="13.4609375" style="3" customWidth="1"/>
    <col min="7" max="7" width="13" style="3" customWidth="1"/>
    <col min="8" max="8" width="19.53515625" style="3" customWidth="1"/>
    <col min="9" max="9" width="11.53515625" style="6" customWidth="1"/>
    <col min="10" max="10" width="9.4609375" style="6" customWidth="1"/>
    <col min="11" max="11" width="8.69140625" style="6" customWidth="1"/>
    <col min="12" max="12" width="15.23046875" style="39" customWidth="1"/>
    <col min="13" max="13" width="17.4609375" style="39" customWidth="1"/>
    <col min="14" max="14" width="14" style="38" hidden="1" customWidth="1"/>
    <col min="15" max="15" width="12.53515625" style="38" hidden="1" customWidth="1"/>
    <col min="16" max="16" width="5.69140625" style="379" hidden="1" customWidth="1"/>
    <col min="17" max="17" width="7.23046875" style="379" hidden="1" customWidth="1"/>
    <col min="18" max="18" width="6.23046875" style="1" hidden="1" customWidth="1"/>
    <col min="19" max="19" width="5.23046875" style="379" hidden="1" customWidth="1"/>
    <col min="20" max="20" width="2.53515625" style="1" hidden="1" customWidth="1"/>
    <col min="21" max="21" width="9.23046875" style="1" hidden="1" customWidth="1"/>
    <col min="22" max="22" width="7.4609375" style="25" hidden="1" customWidth="1"/>
    <col min="23" max="23" width="8.69140625" style="25" hidden="1" customWidth="1"/>
    <col min="24" max="31" width="7.4609375" style="27" customWidth="1"/>
    <col min="32" max="35" width="7.4609375" style="36" customWidth="1"/>
    <col min="36" max="36" width="6.53515625" style="36" customWidth="1"/>
    <col min="37" max="44" width="7.4609375" style="36" customWidth="1"/>
    <col min="45" max="46" width="7.4609375" style="84" customWidth="1"/>
    <col min="47" max="47" width="7.4609375" style="90" customWidth="1"/>
    <col min="48" max="48" width="6.23046875" style="90" customWidth="1"/>
    <col min="49" max="81" width="6.23046875" style="57" customWidth="1"/>
    <col min="82" max="104" width="4.53515625" style="57" customWidth="1"/>
    <col min="105" max="106" width="4.53515625" style="58" customWidth="1"/>
    <col min="107" max="139" width="11.4609375" style="58"/>
    <col min="140" max="175" width="11.4609375" style="59"/>
  </cols>
  <sheetData>
    <row r="1" spans="1:175" s="15" customFormat="1" ht="24" customHeight="1">
      <c r="A1" s="129"/>
      <c r="B1" s="493"/>
      <c r="C1" s="130">
        <v>1</v>
      </c>
      <c r="D1" s="131"/>
      <c r="E1" s="131"/>
      <c r="F1" s="878"/>
      <c r="G1" s="1785">
        <v>1</v>
      </c>
      <c r="H1" s="132"/>
      <c r="I1" s="132"/>
      <c r="J1" s="133"/>
      <c r="K1" s="133"/>
      <c r="L1" s="134"/>
      <c r="M1" s="134"/>
      <c r="N1" s="135"/>
      <c r="O1" s="670"/>
      <c r="P1" s="14" t="s">
        <v>531</v>
      </c>
      <c r="Q1" s="14" t="s">
        <v>532</v>
      </c>
      <c r="R1" s="14" t="s">
        <v>533</v>
      </c>
      <c r="S1" s="14"/>
      <c r="T1" s="7"/>
      <c r="U1" s="7"/>
      <c r="V1" s="63"/>
      <c r="W1" s="63"/>
      <c r="X1" s="64"/>
      <c r="Y1" s="64"/>
      <c r="Z1" s="64"/>
      <c r="AA1" s="64"/>
      <c r="AB1" s="64"/>
      <c r="AC1" s="64"/>
      <c r="AD1" s="64"/>
      <c r="AE1" s="64"/>
      <c r="AF1" s="65"/>
      <c r="AG1" s="65"/>
      <c r="AH1" s="65"/>
      <c r="AI1" s="65"/>
      <c r="AJ1" s="65"/>
      <c r="AK1" s="65"/>
      <c r="AL1" s="65"/>
      <c r="AM1" s="65"/>
      <c r="AN1" s="65"/>
      <c r="AO1" s="65"/>
      <c r="AP1" s="65"/>
      <c r="AQ1" s="65"/>
      <c r="AR1" s="65"/>
      <c r="AS1" s="66"/>
      <c r="AT1" s="66"/>
      <c r="AU1" s="81"/>
      <c r="AV1" s="81"/>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3"/>
      <c r="DB1" s="43"/>
      <c r="DC1" s="43"/>
      <c r="DD1" s="43"/>
      <c r="DE1" s="43"/>
      <c r="DF1" s="43"/>
      <c r="DG1" s="43"/>
      <c r="DH1" s="43"/>
      <c r="DI1" s="43"/>
      <c r="DJ1" s="43"/>
      <c r="DK1" s="43"/>
      <c r="DL1" s="43"/>
      <c r="DM1" s="43"/>
      <c r="DN1" s="43"/>
      <c r="DO1" s="43"/>
      <c r="DP1" s="43"/>
      <c r="DQ1" s="43"/>
      <c r="DR1" s="43"/>
      <c r="DS1" s="43"/>
      <c r="DT1" s="43"/>
      <c r="DU1" s="43"/>
      <c r="DV1" s="43"/>
      <c r="DW1" s="43"/>
      <c r="DX1" s="43"/>
      <c r="DY1" s="43"/>
      <c r="DZ1" s="43"/>
      <c r="EA1" s="43"/>
      <c r="EB1" s="43"/>
      <c r="EC1" s="43"/>
      <c r="ED1" s="43"/>
      <c r="EE1" s="43"/>
      <c r="EF1" s="43"/>
      <c r="EG1" s="43"/>
      <c r="EH1" s="43"/>
      <c r="EI1" s="43"/>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row>
    <row r="2" spans="1:175" s="15" customFormat="1" ht="17.600000000000001">
      <c r="A2" s="104"/>
      <c r="B2" s="494"/>
      <c r="C2" s="104" t="str">
        <f>INDEX(Eingabedaten!C9:C53,nutzid)</f>
        <v>Wohnen MFH</v>
      </c>
      <c r="D2" s="104"/>
      <c r="E2" s="104"/>
      <c r="F2" s="104"/>
      <c r="G2" s="104"/>
      <c r="H2" s="112"/>
      <c r="I2" s="112"/>
      <c r="J2" s="106"/>
      <c r="K2" s="106"/>
      <c r="L2" s="107"/>
      <c r="M2" s="109">
        <f>INDEX(Eingabedaten!A9:A53,nutzid)</f>
        <v>1.01</v>
      </c>
      <c r="N2" s="108"/>
      <c r="O2" s="109">
        <f>INDEX(Eingabedaten!A9:A53,nutzid)</f>
        <v>1.01</v>
      </c>
      <c r="P2" s="14">
        <v>0</v>
      </c>
      <c r="Q2" s="392">
        <v>1</v>
      </c>
      <c r="R2" s="14">
        <v>0</v>
      </c>
      <c r="S2" s="14"/>
      <c r="T2" s="7"/>
      <c r="U2" s="7"/>
      <c r="V2" s="63"/>
      <c r="W2" s="63"/>
      <c r="X2" s="64"/>
      <c r="Y2" s="64"/>
      <c r="Z2" s="64"/>
      <c r="AA2" s="64"/>
      <c r="AB2" s="64"/>
      <c r="AC2" s="64"/>
      <c r="AD2" s="64"/>
      <c r="AE2" s="64"/>
      <c r="AF2" s="65"/>
      <c r="AG2" s="65"/>
      <c r="AH2" s="65"/>
      <c r="AI2" s="65"/>
      <c r="AJ2" s="65"/>
      <c r="AK2" s="65"/>
      <c r="AL2" s="65"/>
      <c r="AM2" s="65"/>
      <c r="AN2" s="65"/>
      <c r="AO2" s="65"/>
      <c r="AP2" s="65"/>
      <c r="AQ2" s="65"/>
      <c r="AR2" s="65"/>
      <c r="AS2" s="66"/>
      <c r="AT2" s="66"/>
      <c r="AU2" s="81"/>
      <c r="AV2" s="81"/>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3"/>
      <c r="DB2" s="43"/>
      <c r="DC2" s="43"/>
      <c r="DD2" s="43"/>
      <c r="DE2" s="43"/>
      <c r="DF2" s="43"/>
      <c r="DG2" s="43"/>
      <c r="DH2" s="43"/>
      <c r="DI2" s="43"/>
      <c r="DJ2" s="43"/>
      <c r="DK2" s="43"/>
      <c r="DL2" s="43"/>
      <c r="DM2" s="43"/>
      <c r="DN2" s="43"/>
      <c r="DO2" s="43"/>
      <c r="DP2" s="43"/>
      <c r="DQ2" s="43"/>
      <c r="DR2" s="43"/>
      <c r="DS2" s="43"/>
      <c r="DT2" s="43"/>
      <c r="DU2" s="43"/>
      <c r="DV2" s="43"/>
      <c r="DW2" s="43"/>
      <c r="DX2" s="43"/>
      <c r="DY2" s="43"/>
      <c r="DZ2" s="43"/>
      <c r="EA2" s="43"/>
      <c r="EB2" s="43"/>
      <c r="EC2" s="43"/>
      <c r="ED2" s="43"/>
      <c r="EE2" s="43"/>
      <c r="EF2" s="43"/>
      <c r="EG2" s="43"/>
      <c r="EH2" s="43"/>
      <c r="EI2" s="43"/>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row>
    <row r="3" spans="1:175" s="15" customFormat="1" ht="1.5" customHeight="1">
      <c r="A3" s="104"/>
      <c r="B3" s="494"/>
      <c r="C3" s="110"/>
      <c r="D3" s="110"/>
      <c r="E3" s="110"/>
      <c r="F3" s="104"/>
      <c r="G3" s="104"/>
      <c r="H3" s="104"/>
      <c r="I3" s="112"/>
      <c r="J3" s="106"/>
      <c r="K3" s="106"/>
      <c r="L3" s="107"/>
      <c r="M3" s="107"/>
      <c r="N3" s="108"/>
      <c r="O3" s="109"/>
      <c r="P3" s="14">
        <v>0</v>
      </c>
      <c r="Q3" s="392">
        <v>1</v>
      </c>
      <c r="R3" s="14">
        <v>0</v>
      </c>
      <c r="S3" s="14"/>
      <c r="T3" s="7"/>
      <c r="U3" s="7"/>
      <c r="V3" s="63"/>
      <c r="W3" s="63"/>
      <c r="X3" s="64"/>
      <c r="Y3" s="64"/>
      <c r="Z3" s="64"/>
      <c r="AA3" s="64"/>
      <c r="AB3" s="64"/>
      <c r="AC3" s="64"/>
      <c r="AD3" s="64"/>
      <c r="AE3" s="64"/>
      <c r="AF3" s="65"/>
      <c r="AG3" s="65"/>
      <c r="AH3" s="65"/>
      <c r="AI3" s="65"/>
      <c r="AJ3" s="65"/>
      <c r="AK3" s="65"/>
      <c r="AL3" s="65"/>
      <c r="AM3" s="65"/>
      <c r="AN3" s="65"/>
      <c r="AO3" s="65"/>
      <c r="AP3" s="65"/>
      <c r="AQ3" s="65"/>
      <c r="AR3" s="65"/>
      <c r="AS3" s="66"/>
      <c r="AT3" s="66"/>
      <c r="AU3" s="81"/>
      <c r="AV3" s="81"/>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row>
    <row r="4" spans="1:175" s="9" customFormat="1" ht="15.75" customHeight="1">
      <c r="A4" s="117"/>
      <c r="B4" s="496"/>
      <c r="C4" s="118"/>
      <c r="D4" s="118"/>
      <c r="E4" s="118"/>
      <c r="F4" s="118"/>
      <c r="G4" s="118"/>
      <c r="H4" s="118"/>
      <c r="I4" s="200" t="str">
        <f>Begriffe!F338</f>
        <v>Symbol</v>
      </c>
      <c r="J4" s="534" t="str">
        <f>Begriffe!F339</f>
        <v>Einheit</v>
      </c>
      <c r="K4" s="119"/>
      <c r="L4" s="266" t="str">
        <f>Begriffe!F340</f>
        <v>Projektwert</v>
      </c>
      <c r="M4" s="534" t="str">
        <f>Begriffe!F340</f>
        <v>Projektwert</v>
      </c>
      <c r="N4" s="535" t="str">
        <f>Begriffe!F236</f>
        <v>Zielwert</v>
      </c>
      <c r="O4" s="535" t="str">
        <f>Begriffe!F237</f>
        <v>Bestand</v>
      </c>
      <c r="P4" s="14">
        <v>0</v>
      </c>
      <c r="Q4" s="392">
        <v>1</v>
      </c>
      <c r="R4" s="14">
        <v>0</v>
      </c>
      <c r="S4" s="14"/>
      <c r="T4" s="7"/>
      <c r="U4" s="7"/>
      <c r="V4" s="63"/>
      <c r="W4" s="63"/>
      <c r="X4" s="64"/>
      <c r="Y4" s="64"/>
      <c r="Z4" s="64"/>
      <c r="AA4" s="64"/>
      <c r="AB4" s="64"/>
      <c r="AC4" s="64"/>
      <c r="AD4" s="64"/>
      <c r="AE4" s="64"/>
      <c r="AF4" s="65"/>
      <c r="AG4" s="65"/>
      <c r="AH4" s="65"/>
      <c r="AI4" s="65"/>
      <c r="AJ4" s="65"/>
      <c r="AK4" s="65"/>
      <c r="AL4" s="65"/>
      <c r="AM4" s="65"/>
      <c r="AN4" s="65"/>
      <c r="AO4" s="65"/>
      <c r="AP4" s="65"/>
      <c r="AQ4" s="65"/>
      <c r="AR4" s="65"/>
      <c r="AS4" s="66"/>
      <c r="AT4" s="66"/>
      <c r="AU4" s="81"/>
      <c r="AV4" s="81"/>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3"/>
      <c r="DB4" s="43"/>
      <c r="DC4" s="43"/>
      <c r="DD4" s="43"/>
      <c r="DE4" s="43"/>
      <c r="DF4" s="43"/>
      <c r="DG4" s="43"/>
      <c r="DH4" s="43"/>
      <c r="DI4" s="43"/>
      <c r="DJ4" s="43"/>
      <c r="DK4" s="43"/>
      <c r="DL4" s="43"/>
      <c r="DM4" s="43"/>
      <c r="DN4" s="43"/>
      <c r="DO4" s="43"/>
      <c r="DP4" s="43"/>
      <c r="DQ4" s="43"/>
      <c r="DR4" s="43"/>
      <c r="DS4" s="43"/>
      <c r="DT4" s="43"/>
      <c r="DU4" s="43"/>
      <c r="DV4" s="43"/>
      <c r="DW4" s="43"/>
      <c r="DX4" s="43"/>
      <c r="DY4" s="43"/>
      <c r="DZ4" s="43"/>
      <c r="EA4" s="43"/>
      <c r="EB4" s="43"/>
      <c r="EC4" s="43"/>
      <c r="ED4" s="43"/>
      <c r="EE4" s="43"/>
      <c r="EF4" s="43"/>
      <c r="EG4" s="43"/>
      <c r="EH4" s="43"/>
      <c r="EI4" s="43"/>
      <c r="EJ4" s="46"/>
      <c r="EK4" s="46"/>
      <c r="EL4" s="46"/>
      <c r="EM4" s="46"/>
      <c r="EN4" s="46"/>
      <c r="EO4" s="46"/>
      <c r="EP4" s="46"/>
      <c r="EQ4" s="46"/>
      <c r="ER4" s="46"/>
      <c r="ES4" s="46"/>
      <c r="ET4" s="46"/>
      <c r="EU4" s="46"/>
      <c r="EV4" s="46"/>
      <c r="EW4" s="46"/>
      <c r="EX4" s="46"/>
      <c r="EY4" s="46"/>
      <c r="EZ4" s="46"/>
      <c r="FA4" s="46"/>
      <c r="FB4" s="46"/>
      <c r="FC4" s="46"/>
      <c r="FD4" s="46"/>
      <c r="FE4" s="46"/>
      <c r="FF4" s="46"/>
      <c r="FG4" s="46"/>
      <c r="FH4" s="46"/>
      <c r="FI4" s="46"/>
      <c r="FJ4" s="46"/>
      <c r="FK4" s="46"/>
      <c r="FL4" s="46"/>
      <c r="FM4" s="46"/>
      <c r="FN4" s="46"/>
      <c r="FO4" s="46"/>
      <c r="FP4" s="46"/>
      <c r="FQ4" s="46"/>
      <c r="FR4" s="46"/>
      <c r="FS4" s="46"/>
    </row>
    <row r="5" spans="1:175" s="11" customFormat="1" ht="18" hidden="1" customHeight="1">
      <c r="A5" s="1978" t="str">
        <f>Begriffe!F187</f>
        <v>Raum</v>
      </c>
      <c r="B5" s="35"/>
      <c r="C5" s="17" t="s">
        <v>164</v>
      </c>
      <c r="D5" s="23"/>
      <c r="E5" s="165"/>
      <c r="F5" s="165"/>
      <c r="G5" s="157" t="s">
        <v>4</v>
      </c>
      <c r="H5" s="157"/>
      <c r="I5" s="18" t="s">
        <v>53</v>
      </c>
      <c r="J5" s="24" t="s">
        <v>3</v>
      </c>
      <c r="K5" s="24"/>
      <c r="L5" s="19"/>
      <c r="M5" s="20">
        <f>INDEX(Winter_Auslegung!H5:H44,'Eigene Nutzung'!G1)</f>
        <v>-10.199999999999999</v>
      </c>
      <c r="N5" s="19"/>
      <c r="O5" s="19"/>
      <c r="P5" s="392">
        <v>0</v>
      </c>
      <c r="Q5" s="392">
        <v>0</v>
      </c>
      <c r="R5" s="392">
        <v>0</v>
      </c>
      <c r="S5" s="243"/>
      <c r="T5" s="89"/>
      <c r="U5" s="89"/>
      <c r="V5" s="64"/>
      <c r="W5" s="158"/>
      <c r="X5" s="158"/>
      <c r="Y5" s="64"/>
      <c r="Z5" s="158"/>
      <c r="AA5" s="158"/>
      <c r="AB5" s="64"/>
      <c r="AC5" s="158"/>
      <c r="AD5" s="158"/>
      <c r="AE5" s="64"/>
      <c r="AF5" s="64"/>
      <c r="AG5" s="65"/>
      <c r="AH5" s="65"/>
      <c r="AI5" s="65"/>
      <c r="AJ5" s="65"/>
      <c r="AK5" s="65"/>
      <c r="AL5" s="65"/>
      <c r="AM5" s="65"/>
      <c r="AN5" s="66"/>
      <c r="AO5" s="66"/>
      <c r="AP5" s="81"/>
      <c r="AQ5" s="81"/>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3"/>
      <c r="CW5" s="43"/>
      <c r="CX5" s="43"/>
      <c r="CY5" s="43"/>
      <c r="CZ5" s="43"/>
      <c r="DA5" s="43"/>
      <c r="DB5" s="43"/>
      <c r="DC5" s="43"/>
      <c r="DD5" s="43"/>
      <c r="DE5" s="43"/>
      <c r="DF5" s="43"/>
      <c r="DG5" s="43"/>
      <c r="DH5" s="43"/>
      <c r="DI5" s="43"/>
      <c r="DJ5" s="43"/>
      <c r="DK5" s="43"/>
      <c r="DL5" s="43"/>
      <c r="DM5" s="43"/>
      <c r="DN5" s="43"/>
      <c r="DO5" s="43"/>
      <c r="DP5" s="43"/>
      <c r="DQ5" s="43"/>
      <c r="DR5" s="43"/>
      <c r="DS5" s="43"/>
      <c r="DT5" s="43"/>
      <c r="DU5" s="43"/>
      <c r="DV5" s="43"/>
      <c r="DW5" s="43"/>
      <c r="DX5" s="43"/>
      <c r="DY5" s="43"/>
      <c r="DZ5" s="43"/>
      <c r="EA5" s="43"/>
      <c r="EB5" s="43"/>
      <c r="EC5" s="43"/>
      <c r="ED5" s="43"/>
      <c r="EE5" s="47"/>
      <c r="EF5" s="47"/>
      <c r="EG5" s="47"/>
      <c r="EH5" s="47"/>
      <c r="EI5" s="47"/>
      <c r="EJ5" s="47"/>
      <c r="EK5" s="47"/>
      <c r="EL5" s="47"/>
      <c r="EM5" s="47"/>
      <c r="EN5" s="47"/>
      <c r="EO5" s="47"/>
      <c r="EP5" s="47"/>
      <c r="EQ5" s="47"/>
      <c r="ER5" s="47"/>
      <c r="ES5" s="47"/>
      <c r="ET5" s="47"/>
      <c r="EU5" s="47"/>
      <c r="EV5" s="47"/>
      <c r="EW5" s="47"/>
      <c r="EX5" s="47"/>
      <c r="EY5" s="47"/>
      <c r="EZ5" s="47"/>
      <c r="FA5" s="47"/>
      <c r="FB5" s="47"/>
      <c r="FC5" s="47"/>
      <c r="FD5" s="47"/>
      <c r="FE5" s="47"/>
      <c r="FF5" s="47"/>
      <c r="FG5" s="47"/>
      <c r="FH5" s="47"/>
      <c r="FI5" s="47"/>
      <c r="FJ5" s="47"/>
      <c r="FK5" s="47"/>
      <c r="FL5" s="47"/>
      <c r="FM5" s="47"/>
      <c r="FN5" s="47"/>
    </row>
    <row r="6" spans="1:175" s="11" customFormat="1" ht="18" hidden="1" customHeight="1">
      <c r="A6" s="1976"/>
      <c r="B6" s="35"/>
      <c r="C6" s="17" t="s">
        <v>1292</v>
      </c>
      <c r="D6" s="23"/>
      <c r="E6" s="165"/>
      <c r="F6" s="165"/>
      <c r="G6" s="157"/>
      <c r="H6" s="157"/>
      <c r="I6" s="18"/>
      <c r="J6" s="24" t="s">
        <v>3</v>
      </c>
      <c r="K6" s="24"/>
      <c r="L6" s="19"/>
      <c r="M6" s="19" t="e">
        <f>INDEX(#REF!,'Eigene Nutzung'!G$1)</f>
        <v>#REF!</v>
      </c>
      <c r="N6" s="19"/>
      <c r="O6" s="19"/>
      <c r="P6" s="392"/>
      <c r="Q6" s="392"/>
      <c r="R6" s="392"/>
      <c r="S6" s="243"/>
      <c r="T6" s="89"/>
      <c r="U6" s="89"/>
      <c r="V6" s="64"/>
      <c r="W6" s="158"/>
      <c r="X6" s="158"/>
      <c r="Y6" s="64"/>
      <c r="Z6" s="158"/>
      <c r="AA6" s="158"/>
      <c r="AB6" s="64"/>
      <c r="AC6" s="158"/>
      <c r="AD6" s="158"/>
      <c r="AE6" s="64"/>
      <c r="AF6" s="64"/>
      <c r="AG6" s="65"/>
      <c r="AH6" s="65"/>
      <c r="AI6" s="65"/>
      <c r="AJ6" s="65"/>
      <c r="AK6" s="65"/>
      <c r="AL6" s="65"/>
      <c r="AM6" s="65"/>
      <c r="AN6" s="66"/>
      <c r="AO6" s="66"/>
      <c r="AP6" s="81"/>
      <c r="AQ6" s="81"/>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3"/>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7"/>
      <c r="EF6" s="47"/>
      <c r="EG6" s="47"/>
      <c r="EH6" s="47"/>
      <c r="EI6" s="47"/>
      <c r="EJ6" s="47"/>
      <c r="EK6" s="47"/>
      <c r="EL6" s="47"/>
      <c r="EM6" s="47"/>
      <c r="EN6" s="47"/>
      <c r="EO6" s="47"/>
      <c r="EP6" s="47"/>
      <c r="EQ6" s="47"/>
      <c r="ER6" s="47"/>
      <c r="ES6" s="47"/>
      <c r="ET6" s="47"/>
      <c r="EU6" s="47"/>
      <c r="EV6" s="47"/>
      <c r="EW6" s="47"/>
      <c r="EX6" s="47"/>
      <c r="EY6" s="47"/>
      <c r="EZ6" s="47"/>
      <c r="FA6" s="47"/>
      <c r="FB6" s="47"/>
      <c r="FC6" s="47"/>
      <c r="FD6" s="47"/>
      <c r="FE6" s="47"/>
      <c r="FF6" s="47"/>
      <c r="FG6" s="47"/>
      <c r="FH6" s="47"/>
      <c r="FI6" s="47"/>
      <c r="FJ6" s="47"/>
      <c r="FK6" s="47"/>
      <c r="FL6" s="47"/>
      <c r="FM6" s="47"/>
      <c r="FN6" s="47"/>
    </row>
    <row r="7" spans="1:175" s="11" customFormat="1" ht="18" hidden="1" customHeight="1">
      <c r="A7" s="1976"/>
      <c r="B7" s="35"/>
      <c r="C7" s="17" t="s">
        <v>1293</v>
      </c>
      <c r="D7" s="23"/>
      <c r="E7" s="165"/>
      <c r="F7" s="165"/>
      <c r="G7" s="157"/>
      <c r="H7" s="157"/>
      <c r="I7" s="18"/>
      <c r="J7" s="24" t="s">
        <v>3</v>
      </c>
      <c r="K7" s="24"/>
      <c r="L7" s="19"/>
      <c r="M7" s="19" t="e">
        <f>INDEX(#REF!,'Eigene Nutzung'!G$1)</f>
        <v>#REF!</v>
      </c>
      <c r="N7" s="19"/>
      <c r="O7" s="19"/>
      <c r="P7" s="392"/>
      <c r="Q7" s="392"/>
      <c r="R7" s="392"/>
      <c r="S7" s="243"/>
      <c r="T7" s="89"/>
      <c r="U7" s="89"/>
      <c r="V7" s="64"/>
      <c r="W7" s="158"/>
      <c r="X7" s="158"/>
      <c r="Y7" s="64"/>
      <c r="Z7" s="158"/>
      <c r="AA7" s="158"/>
      <c r="AB7" s="64"/>
      <c r="AC7" s="158"/>
      <c r="AD7" s="158"/>
      <c r="AE7" s="64"/>
      <c r="AF7" s="64"/>
      <c r="AG7" s="65"/>
      <c r="AH7" s="65"/>
      <c r="AI7" s="65"/>
      <c r="AJ7" s="65"/>
      <c r="AK7" s="65"/>
      <c r="AL7" s="65"/>
      <c r="AM7" s="65"/>
      <c r="AN7" s="66"/>
      <c r="AO7" s="66"/>
      <c r="AP7" s="81"/>
      <c r="AQ7" s="81"/>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3"/>
      <c r="CW7" s="43"/>
      <c r="CX7" s="43"/>
      <c r="CY7" s="43"/>
      <c r="CZ7" s="43"/>
      <c r="DA7" s="43"/>
      <c r="DB7" s="43"/>
      <c r="DC7" s="43"/>
      <c r="DD7" s="43"/>
      <c r="DE7" s="43"/>
      <c r="DF7" s="43"/>
      <c r="DG7" s="43"/>
      <c r="DH7" s="43"/>
      <c r="DI7" s="43"/>
      <c r="DJ7" s="43"/>
      <c r="DK7" s="43"/>
      <c r="DL7" s="43"/>
      <c r="DM7" s="43"/>
      <c r="DN7" s="43"/>
      <c r="DO7" s="43"/>
      <c r="DP7" s="43"/>
      <c r="DQ7" s="43"/>
      <c r="DR7" s="43"/>
      <c r="DS7" s="43"/>
      <c r="DT7" s="43"/>
      <c r="DU7" s="43"/>
      <c r="DV7" s="43"/>
      <c r="DW7" s="43"/>
      <c r="DX7" s="43"/>
      <c r="DY7" s="43"/>
      <c r="DZ7" s="43"/>
      <c r="EA7" s="43"/>
      <c r="EB7" s="43"/>
      <c r="EC7" s="43"/>
      <c r="ED7" s="43"/>
      <c r="EE7" s="47"/>
      <c r="EF7" s="47"/>
      <c r="EG7" s="47"/>
      <c r="EH7" s="47"/>
      <c r="EI7" s="47"/>
      <c r="EJ7" s="47"/>
      <c r="EK7" s="47"/>
      <c r="EL7" s="47"/>
      <c r="EM7" s="47"/>
      <c r="EN7" s="47"/>
      <c r="EO7" s="47"/>
      <c r="EP7" s="47"/>
      <c r="EQ7" s="47"/>
      <c r="ER7" s="47"/>
      <c r="ES7" s="47"/>
      <c r="ET7" s="47"/>
      <c r="EU7" s="47"/>
      <c r="EV7" s="47"/>
      <c r="EW7" s="47"/>
      <c r="EX7" s="47"/>
      <c r="EY7" s="47"/>
      <c r="EZ7" s="47"/>
      <c r="FA7" s="47"/>
      <c r="FB7" s="47"/>
      <c r="FC7" s="47"/>
      <c r="FD7" s="47"/>
      <c r="FE7" s="47"/>
      <c r="FF7" s="47"/>
      <c r="FG7" s="47"/>
      <c r="FH7" s="47"/>
      <c r="FI7" s="47"/>
      <c r="FJ7" s="47"/>
      <c r="FK7" s="47"/>
      <c r="FL7" s="47"/>
      <c r="FM7" s="47"/>
      <c r="FN7" s="47"/>
    </row>
    <row r="8" spans="1:175" s="11" customFormat="1" ht="18" hidden="1" customHeight="1">
      <c r="A8" s="1976"/>
      <c r="B8" s="35"/>
      <c r="C8" s="17" t="s">
        <v>421</v>
      </c>
      <c r="D8" s="23"/>
      <c r="E8" s="165"/>
      <c r="F8" s="165"/>
      <c r="G8" s="157"/>
      <c r="H8" s="157"/>
      <c r="I8" s="18"/>
      <c r="J8" s="24"/>
      <c r="K8" s="24"/>
      <c r="L8" s="19"/>
      <c r="M8" s="20">
        <f>INDEX(Eingabedaten!$D$9:$IC$53,nutzid,MATCH($C8,Eingabedaten!$D$6:$IC$6,0))</f>
        <v>1</v>
      </c>
      <c r="N8" s="19"/>
      <c r="O8" s="19"/>
      <c r="P8" s="392">
        <v>0</v>
      </c>
      <c r="Q8" s="392">
        <v>0</v>
      </c>
      <c r="R8" s="392">
        <v>0</v>
      </c>
      <c r="S8" s="243"/>
      <c r="T8" s="89"/>
      <c r="U8" s="89"/>
      <c r="V8" s="64"/>
      <c r="W8" s="158"/>
      <c r="X8" s="158"/>
      <c r="Y8" s="64"/>
      <c r="Z8" s="158"/>
      <c r="AA8" s="158"/>
      <c r="AB8" s="64"/>
      <c r="AC8" s="158"/>
      <c r="AD8" s="158"/>
      <c r="AE8" s="64"/>
      <c r="AF8" s="64"/>
      <c r="AG8" s="65"/>
      <c r="AH8" s="65"/>
      <c r="AI8" s="65"/>
      <c r="AJ8" s="65"/>
      <c r="AK8" s="65"/>
      <c r="AL8" s="65"/>
      <c r="AM8" s="65"/>
      <c r="AN8" s="66"/>
      <c r="AO8" s="66"/>
      <c r="AP8" s="81"/>
      <c r="AQ8" s="81"/>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c r="CV8" s="43"/>
      <c r="CW8" s="43"/>
      <c r="CX8" s="43"/>
      <c r="CY8" s="43"/>
      <c r="CZ8" s="43"/>
      <c r="DA8" s="43"/>
      <c r="DB8" s="43"/>
      <c r="DC8" s="43"/>
      <c r="DD8" s="43"/>
      <c r="DE8" s="43"/>
      <c r="DF8" s="43"/>
      <c r="DG8" s="43"/>
      <c r="DH8" s="43"/>
      <c r="DI8" s="43"/>
      <c r="DJ8" s="43"/>
      <c r="DK8" s="43"/>
      <c r="DL8" s="43"/>
      <c r="DM8" s="43"/>
      <c r="DN8" s="43"/>
      <c r="DO8" s="43"/>
      <c r="DP8" s="43"/>
      <c r="DQ8" s="43"/>
      <c r="DR8" s="43"/>
      <c r="DS8" s="43"/>
      <c r="DT8" s="43"/>
      <c r="DU8" s="43"/>
      <c r="DV8" s="43"/>
      <c r="DW8" s="43"/>
      <c r="DX8" s="43"/>
      <c r="DY8" s="43"/>
      <c r="DZ8" s="43"/>
      <c r="EA8" s="43"/>
      <c r="EB8" s="43"/>
      <c r="EC8" s="43"/>
      <c r="ED8" s="43"/>
      <c r="EE8" s="47"/>
      <c r="EF8" s="47"/>
      <c r="EG8" s="47"/>
      <c r="EH8" s="47"/>
      <c r="EI8" s="47"/>
      <c r="EJ8" s="47"/>
      <c r="EK8" s="47"/>
      <c r="EL8" s="47"/>
      <c r="EM8" s="47"/>
      <c r="EN8" s="47"/>
      <c r="EO8" s="47"/>
      <c r="EP8" s="47"/>
      <c r="EQ8" s="47"/>
      <c r="ER8" s="47"/>
      <c r="ES8" s="47"/>
      <c r="ET8" s="47"/>
      <c r="EU8" s="47"/>
      <c r="EV8" s="47"/>
      <c r="EW8" s="47"/>
      <c r="EX8" s="47"/>
      <c r="EY8" s="47"/>
      <c r="EZ8" s="47"/>
      <c r="FA8" s="47"/>
      <c r="FB8" s="47"/>
      <c r="FC8" s="47"/>
      <c r="FD8" s="47"/>
      <c r="FE8" s="47"/>
      <c r="FF8" s="47"/>
      <c r="FG8" s="47"/>
      <c r="FH8" s="47"/>
      <c r="FI8" s="47"/>
      <c r="FJ8" s="47"/>
      <c r="FK8" s="47"/>
      <c r="FL8" s="47"/>
      <c r="FM8" s="47"/>
      <c r="FN8" s="47"/>
    </row>
    <row r="9" spans="1:175" s="11" customFormat="1" ht="18" customHeight="1">
      <c r="A9" s="1976"/>
      <c r="B9" s="204"/>
      <c r="C9" s="671" t="str">
        <f>Begriffe!F188</f>
        <v>Raumabmessungen</v>
      </c>
      <c r="D9" s="14"/>
      <c r="E9" s="87"/>
      <c r="F9" s="14"/>
      <c r="G9" s="14"/>
      <c r="H9" s="14"/>
      <c r="I9" s="377"/>
      <c r="J9" s="377"/>
      <c r="K9" s="377"/>
      <c r="L9" s="93"/>
      <c r="M9" s="1741"/>
      <c r="N9" s="1370"/>
      <c r="O9" s="174"/>
      <c r="P9" s="392">
        <v>0</v>
      </c>
      <c r="Q9" s="392">
        <v>1</v>
      </c>
      <c r="R9" s="392">
        <v>0</v>
      </c>
      <c r="S9" s="243"/>
      <c r="T9" s="89"/>
      <c r="U9" s="89"/>
      <c r="V9" s="64"/>
      <c r="W9" s="158"/>
      <c r="X9" s="158"/>
      <c r="Y9" s="64"/>
      <c r="Z9" s="158"/>
      <c r="AA9" s="158"/>
      <c r="AB9" s="64"/>
      <c r="AC9" s="158"/>
      <c r="AD9" s="158"/>
      <c r="AE9" s="64"/>
      <c r="AF9" s="64"/>
      <c r="AG9" s="65"/>
      <c r="AH9" s="65"/>
      <c r="AI9" s="65"/>
      <c r="AJ9" s="65"/>
      <c r="AK9" s="65"/>
      <c r="AL9" s="65"/>
      <c r="AM9" s="65"/>
      <c r="AN9" s="66"/>
      <c r="AO9" s="66"/>
      <c r="AP9" s="81"/>
      <c r="AQ9" s="81"/>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c r="CV9" s="43"/>
      <c r="CW9" s="43"/>
      <c r="CX9" s="43"/>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c r="EA9" s="43"/>
      <c r="EB9" s="43"/>
      <c r="EC9" s="43"/>
      <c r="ED9" s="43"/>
      <c r="EE9" s="47"/>
      <c r="EF9" s="47"/>
      <c r="EG9" s="47"/>
      <c r="EH9" s="47"/>
      <c r="EI9" s="47"/>
      <c r="EJ9" s="47"/>
      <c r="EK9" s="47"/>
      <c r="EL9" s="47"/>
      <c r="EM9" s="47"/>
      <c r="EN9" s="47"/>
      <c r="EO9" s="47"/>
      <c r="EP9" s="47"/>
      <c r="EQ9" s="47"/>
      <c r="ER9" s="47"/>
      <c r="ES9" s="47"/>
      <c r="ET9" s="47"/>
      <c r="EU9" s="47"/>
      <c r="EV9" s="47"/>
      <c r="EW9" s="47"/>
      <c r="EX9" s="47"/>
      <c r="EY9" s="47"/>
      <c r="EZ9" s="47"/>
      <c r="FA9" s="47"/>
      <c r="FB9" s="47"/>
      <c r="FC9" s="47"/>
      <c r="FD9" s="47"/>
      <c r="FE9" s="47"/>
      <c r="FF9" s="47"/>
      <c r="FG9" s="47"/>
      <c r="FH9" s="47"/>
      <c r="FI9" s="47"/>
      <c r="FJ9" s="47"/>
      <c r="FK9" s="47"/>
      <c r="FL9" s="47"/>
      <c r="FM9" s="47"/>
      <c r="FN9" s="47"/>
    </row>
    <row r="10" spans="1:175" s="11" customFormat="1" ht="18" customHeight="1">
      <c r="A10" s="1976"/>
      <c r="B10" s="204"/>
      <c r="C10" s="14" t="str">
        <f>Begriffe!F189</f>
        <v>Raumlänge</v>
      </c>
      <c r="D10" s="14"/>
      <c r="E10" s="14"/>
      <c r="F10" s="171"/>
      <c r="G10" s="172"/>
      <c r="H10" s="173"/>
      <c r="I10" s="672" t="s">
        <v>938</v>
      </c>
      <c r="J10" s="377" t="s">
        <v>29</v>
      </c>
      <c r="K10" s="377"/>
      <c r="L10" s="1552"/>
      <c r="M10" s="1742">
        <f>IF(L10&lt;&gt;"",L10,INDEX(Eingabedaten!$D$9:$DN$53,nutzid,MATCH($C10,Eingabedaten!$D$6:$DN$6,0)))</f>
        <v>4</v>
      </c>
      <c r="N10" s="1730"/>
      <c r="O10" s="181"/>
      <c r="P10" s="392">
        <v>0</v>
      </c>
      <c r="Q10" s="392">
        <v>1</v>
      </c>
      <c r="R10" s="392">
        <v>0</v>
      </c>
      <c r="S10" s="243"/>
      <c r="T10" s="89"/>
      <c r="U10" s="89"/>
      <c r="V10" s="64"/>
      <c r="W10" s="158"/>
      <c r="X10" s="158"/>
      <c r="Y10" s="64"/>
      <c r="Z10" s="158"/>
      <c r="AA10" s="158"/>
      <c r="AB10" s="64"/>
      <c r="AC10" s="158"/>
      <c r="AD10" s="158"/>
      <c r="AE10" s="64"/>
      <c r="AF10" s="64"/>
      <c r="AG10" s="65"/>
      <c r="AH10" s="65"/>
      <c r="AI10" s="65"/>
      <c r="AJ10" s="65"/>
      <c r="AK10" s="65"/>
      <c r="AL10" s="65"/>
      <c r="AM10" s="65"/>
      <c r="AN10" s="66"/>
      <c r="AO10" s="66"/>
      <c r="AP10" s="81"/>
      <c r="AQ10" s="81"/>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3"/>
      <c r="EB10" s="43"/>
      <c r="EC10" s="43"/>
      <c r="ED10" s="43"/>
      <c r="EE10" s="47"/>
      <c r="EF10" s="47"/>
      <c r="EG10" s="47"/>
      <c r="EH10" s="47"/>
      <c r="EI10" s="47"/>
      <c r="EJ10" s="47"/>
      <c r="EK10" s="47"/>
      <c r="EL10" s="47"/>
      <c r="EM10" s="47"/>
      <c r="EN10" s="47"/>
      <c r="EO10" s="47"/>
      <c r="EP10" s="47"/>
      <c r="EQ10" s="47"/>
      <c r="ER10" s="47"/>
      <c r="ES10" s="47"/>
      <c r="ET10" s="47"/>
      <c r="EU10" s="47"/>
      <c r="EV10" s="47"/>
      <c r="EW10" s="47"/>
      <c r="EX10" s="47"/>
      <c r="EY10" s="47"/>
      <c r="EZ10" s="47"/>
      <c r="FA10" s="47"/>
      <c r="FB10" s="47"/>
      <c r="FC10" s="47"/>
      <c r="FD10" s="47"/>
      <c r="FE10" s="47"/>
      <c r="FF10" s="47"/>
      <c r="FG10" s="47"/>
      <c r="FH10" s="47"/>
      <c r="FI10" s="47"/>
      <c r="FJ10" s="47"/>
      <c r="FK10" s="47"/>
      <c r="FL10" s="47"/>
      <c r="FM10" s="47"/>
      <c r="FN10" s="47"/>
    </row>
    <row r="11" spans="1:175" s="11" customFormat="1" ht="18" customHeight="1">
      <c r="A11" s="1976"/>
      <c r="B11" s="204"/>
      <c r="C11" s="14" t="str">
        <f>Begriffe!F190</f>
        <v>Raumtiefe</v>
      </c>
      <c r="D11" s="14"/>
      <c r="E11" s="14"/>
      <c r="I11" s="672" t="s">
        <v>1395</v>
      </c>
      <c r="J11" s="377" t="s">
        <v>29</v>
      </c>
      <c r="K11" s="377"/>
      <c r="L11" s="1552"/>
      <c r="M11" s="1742">
        <f>IF(L11&lt;&gt;"",L11,INDEX(Eingabedaten!$D$9:$DN$53,nutzid,MATCH($C11,Eingabedaten!$D$6:$DN$6,0)))</f>
        <v>5</v>
      </c>
      <c r="N11" s="1730"/>
      <c r="O11" s="181"/>
      <c r="P11" s="392">
        <v>0</v>
      </c>
      <c r="Q11" s="392">
        <v>1</v>
      </c>
      <c r="R11" s="392">
        <v>0</v>
      </c>
      <c r="S11" s="243"/>
      <c r="T11" s="89"/>
      <c r="U11" s="89"/>
      <c r="V11" s="64"/>
      <c r="W11" s="158"/>
      <c r="X11" s="158"/>
      <c r="Y11" s="64"/>
      <c r="Z11" s="158"/>
      <c r="AA11" s="158"/>
      <c r="AB11" s="64"/>
      <c r="AC11" s="158"/>
      <c r="AD11" s="158"/>
      <c r="AE11" s="64"/>
      <c r="AF11" s="64"/>
      <c r="AG11" s="65"/>
      <c r="AH11" s="65"/>
      <c r="AI11" s="65"/>
      <c r="AJ11" s="65"/>
      <c r="AK11" s="65"/>
      <c r="AL11" s="65"/>
      <c r="AM11" s="65"/>
      <c r="AN11" s="66"/>
      <c r="AO11" s="66"/>
      <c r="AP11" s="81"/>
      <c r="AQ11" s="81"/>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c r="EB11" s="43"/>
      <c r="EC11" s="43"/>
      <c r="ED11" s="43"/>
      <c r="EE11" s="47"/>
      <c r="EF11" s="47"/>
      <c r="EG11" s="47"/>
      <c r="EH11" s="47"/>
      <c r="EI11" s="47"/>
      <c r="EJ11" s="47"/>
      <c r="EK11" s="47"/>
      <c r="EL11" s="47"/>
      <c r="EM11" s="47"/>
      <c r="EN11" s="47"/>
      <c r="EO11" s="47"/>
      <c r="EP11" s="47"/>
      <c r="EQ11" s="47"/>
      <c r="ER11" s="47"/>
      <c r="ES11" s="47"/>
      <c r="ET11" s="47"/>
      <c r="EU11" s="47"/>
      <c r="EV11" s="47"/>
      <c r="EW11" s="47"/>
      <c r="EX11" s="47"/>
      <c r="EY11" s="47"/>
      <c r="EZ11" s="47"/>
      <c r="FA11" s="47"/>
      <c r="FB11" s="47"/>
      <c r="FC11" s="47"/>
      <c r="FD11" s="47"/>
      <c r="FE11" s="47"/>
      <c r="FF11" s="47"/>
      <c r="FG11" s="47"/>
      <c r="FH11" s="47"/>
      <c r="FI11" s="47"/>
      <c r="FJ11" s="47"/>
      <c r="FK11" s="47"/>
      <c r="FL11" s="47"/>
      <c r="FM11" s="47"/>
      <c r="FN11" s="47"/>
    </row>
    <row r="12" spans="1:175" s="11" customFormat="1" ht="18" customHeight="1">
      <c r="A12" s="1976"/>
      <c r="B12" s="204"/>
      <c r="C12" s="14" t="str">
        <f>Begriffe!F191</f>
        <v>Raumhöhe</v>
      </c>
      <c r="D12" s="14"/>
      <c r="E12" s="14"/>
      <c r="H12" s="173"/>
      <c r="I12" s="672" t="s">
        <v>939</v>
      </c>
      <c r="J12" s="377" t="s">
        <v>29</v>
      </c>
      <c r="K12" s="377"/>
      <c r="L12" s="1552"/>
      <c r="M12" s="1742">
        <f>IF(L12&lt;&gt;"",L12,INDEX(Eingabedaten!$D$9:$DN$53,nutzid,MATCH($C12,Eingabedaten!$D$6:$DN$6,0)))</f>
        <v>2.5</v>
      </c>
      <c r="N12" s="1730"/>
      <c r="O12" s="181"/>
      <c r="P12" s="392">
        <v>0</v>
      </c>
      <c r="Q12" s="392">
        <v>1</v>
      </c>
      <c r="R12" s="392">
        <v>0</v>
      </c>
      <c r="S12" s="243"/>
      <c r="T12" s="89"/>
      <c r="U12" s="89"/>
      <c r="V12" s="64"/>
      <c r="W12" s="158"/>
      <c r="X12" s="158"/>
      <c r="Y12" s="64"/>
      <c r="Z12" s="158"/>
      <c r="AA12" s="158"/>
      <c r="AB12" s="64"/>
      <c r="AC12" s="158"/>
      <c r="AD12" s="158"/>
      <c r="AE12" s="64"/>
      <c r="AF12" s="64"/>
      <c r="AG12" s="65"/>
      <c r="AH12" s="65"/>
      <c r="AI12" s="65"/>
      <c r="AJ12" s="65"/>
      <c r="AK12" s="65"/>
      <c r="AL12" s="65"/>
      <c r="AM12" s="65"/>
      <c r="AN12" s="66"/>
      <c r="AO12" s="66"/>
      <c r="AP12" s="81"/>
      <c r="AQ12" s="81"/>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c r="EA12" s="43"/>
      <c r="EB12" s="43"/>
      <c r="EC12" s="43"/>
      <c r="ED12" s="43"/>
      <c r="EE12" s="47"/>
      <c r="EF12" s="47"/>
      <c r="EG12" s="47"/>
      <c r="EH12" s="47"/>
      <c r="EI12" s="47"/>
      <c r="EJ12" s="47"/>
      <c r="EK12" s="47"/>
      <c r="EL12" s="47"/>
      <c r="EM12" s="47"/>
      <c r="EN12" s="47"/>
      <c r="EO12" s="47"/>
      <c r="EP12" s="47"/>
      <c r="EQ12" s="47"/>
      <c r="ER12" s="47"/>
      <c r="ES12" s="47"/>
      <c r="ET12" s="47"/>
      <c r="EU12" s="47"/>
      <c r="EV12" s="47"/>
      <c r="EW12" s="47"/>
      <c r="EX12" s="47"/>
      <c r="EY12" s="47"/>
      <c r="EZ12" s="47"/>
      <c r="FA12" s="47"/>
      <c r="FB12" s="47"/>
      <c r="FC12" s="47"/>
      <c r="FD12" s="47"/>
      <c r="FE12" s="47"/>
      <c r="FF12" s="47"/>
      <c r="FG12" s="47"/>
      <c r="FH12" s="47"/>
      <c r="FI12" s="47"/>
      <c r="FJ12" s="47"/>
      <c r="FK12" s="47"/>
      <c r="FL12" s="47"/>
      <c r="FM12" s="47"/>
      <c r="FN12" s="47"/>
    </row>
    <row r="13" spans="1:175" s="11" customFormat="1" ht="18" customHeight="1">
      <c r="A13" s="1976"/>
      <c r="B13" s="204"/>
      <c r="C13" s="14" t="str">
        <f>Begriffe!F192</f>
        <v>Nettogeschossfläche</v>
      </c>
      <c r="D13" s="14"/>
      <c r="H13" s="173"/>
      <c r="I13" s="1105" t="s">
        <v>1535</v>
      </c>
      <c r="J13" s="377" t="s">
        <v>439</v>
      </c>
      <c r="K13" s="377"/>
      <c r="L13" s="511"/>
      <c r="M13" s="1743">
        <f>M10*M11</f>
        <v>20</v>
      </c>
      <c r="N13" s="1730"/>
      <c r="O13" s="181"/>
      <c r="P13" s="392">
        <v>1</v>
      </c>
      <c r="Q13" s="392">
        <v>1</v>
      </c>
      <c r="R13" s="392">
        <v>0</v>
      </c>
      <c r="S13" s="243"/>
      <c r="T13" s="89"/>
      <c r="U13" s="89"/>
      <c r="V13" s="64"/>
      <c r="W13" s="158"/>
      <c r="X13" s="158"/>
      <c r="Y13" s="64"/>
      <c r="Z13" s="158"/>
      <c r="AA13" s="158"/>
      <c r="AB13" s="64"/>
      <c r="AC13" s="158"/>
      <c r="AD13" s="158"/>
      <c r="AE13" s="64"/>
      <c r="AF13" s="64"/>
      <c r="AG13" s="65"/>
      <c r="AH13" s="65"/>
      <c r="AI13" s="65"/>
      <c r="AJ13" s="65"/>
      <c r="AK13" s="65"/>
      <c r="AL13" s="65"/>
      <c r="AM13" s="65"/>
      <c r="AN13" s="66"/>
      <c r="AO13" s="66"/>
      <c r="AP13" s="81"/>
      <c r="AQ13" s="81"/>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7"/>
      <c r="EF13" s="47"/>
      <c r="EG13" s="47"/>
      <c r="EH13" s="47"/>
      <c r="EI13" s="47"/>
      <c r="EJ13" s="47"/>
      <c r="EK13" s="47"/>
      <c r="EL13" s="47"/>
      <c r="EM13" s="47"/>
      <c r="EN13" s="47"/>
      <c r="EO13" s="47"/>
      <c r="EP13" s="47"/>
      <c r="EQ13" s="47"/>
      <c r="ER13" s="47"/>
      <c r="ES13" s="47"/>
      <c r="ET13" s="47"/>
      <c r="EU13" s="47"/>
      <c r="EV13" s="47"/>
      <c r="EW13" s="47"/>
      <c r="EX13" s="47"/>
      <c r="EY13" s="47"/>
      <c r="EZ13" s="47"/>
      <c r="FA13" s="47"/>
      <c r="FB13" s="47"/>
      <c r="FC13" s="47"/>
      <c r="FD13" s="47"/>
      <c r="FE13" s="47"/>
      <c r="FF13" s="47"/>
      <c r="FG13" s="47"/>
      <c r="FH13" s="47"/>
      <c r="FI13" s="47"/>
      <c r="FJ13" s="47"/>
      <c r="FK13" s="47"/>
      <c r="FL13" s="47"/>
      <c r="FM13" s="47"/>
      <c r="FN13" s="47"/>
    </row>
    <row r="14" spans="1:175" s="11" customFormat="1" ht="18" customHeight="1">
      <c r="A14" s="1976"/>
      <c r="B14" s="204"/>
      <c r="C14" s="14" t="str">
        <f>Begriffe!F109</f>
        <v>Thermische Gebäudehüllfläche</v>
      </c>
      <c r="D14" s="673"/>
      <c r="I14" s="672" t="s">
        <v>940</v>
      </c>
      <c r="J14" s="377" t="s">
        <v>439</v>
      </c>
      <c r="K14" s="377"/>
      <c r="L14" s="1553"/>
      <c r="M14" s="1744">
        <f>IF(L14&lt;&gt;"",L14,INDEX(Eingabedaten!$D$9:$DN$53,nutzid,MATCH($C14,Eingabedaten!$D$6:$DN$6,0)))</f>
        <v>26.47058823529412</v>
      </c>
      <c r="N14" s="1731"/>
      <c r="O14" s="269"/>
      <c r="P14" s="392">
        <v>0</v>
      </c>
      <c r="Q14" s="392">
        <v>1</v>
      </c>
      <c r="R14" s="392">
        <v>0</v>
      </c>
      <c r="S14" s="243"/>
      <c r="T14" s="89"/>
      <c r="U14" s="89"/>
      <c r="V14" s="64"/>
      <c r="W14" s="158"/>
      <c r="X14" s="158"/>
      <c r="Y14" s="64"/>
      <c r="Z14" s="158"/>
      <c r="AA14" s="158"/>
      <c r="AB14" s="64"/>
      <c r="AC14" s="158"/>
      <c r="AD14" s="158"/>
      <c r="AE14" s="64"/>
      <c r="AF14" s="64"/>
      <c r="AG14" s="65"/>
      <c r="AH14" s="65"/>
      <c r="AI14" s="65"/>
      <c r="AJ14" s="65"/>
      <c r="AK14" s="65"/>
      <c r="AL14" s="65"/>
      <c r="AM14" s="65"/>
      <c r="AN14" s="66"/>
      <c r="AO14" s="66"/>
      <c r="AP14" s="81"/>
      <c r="AQ14" s="81"/>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7"/>
      <c r="EF14" s="47"/>
      <c r="EG14" s="47"/>
      <c r="EH14" s="47"/>
      <c r="EI14" s="47"/>
      <c r="EJ14" s="47"/>
      <c r="EK14" s="47"/>
      <c r="EL14" s="47"/>
      <c r="EM14" s="47"/>
      <c r="EN14" s="47"/>
      <c r="EO14" s="47"/>
      <c r="EP14" s="47"/>
      <c r="EQ14" s="47"/>
      <c r="ER14" s="47"/>
      <c r="ES14" s="47"/>
      <c r="ET14" s="47"/>
      <c r="EU14" s="47"/>
      <c r="EV14" s="47"/>
      <c r="EW14" s="47"/>
      <c r="EX14" s="47"/>
      <c r="EY14" s="47"/>
      <c r="EZ14" s="47"/>
      <c r="FA14" s="47"/>
      <c r="FB14" s="47"/>
      <c r="FC14" s="47"/>
      <c r="FD14" s="47"/>
      <c r="FE14" s="47"/>
      <c r="FF14" s="47"/>
      <c r="FG14" s="47"/>
      <c r="FH14" s="47"/>
      <c r="FI14" s="47"/>
      <c r="FJ14" s="47"/>
      <c r="FK14" s="47"/>
      <c r="FL14" s="47"/>
      <c r="FM14" s="47"/>
      <c r="FN14" s="47"/>
    </row>
    <row r="15" spans="1:175" s="11" customFormat="1" ht="18" hidden="1" customHeight="1">
      <c r="A15" s="1976"/>
      <c r="B15" s="91"/>
      <c r="C15" s="17" t="s">
        <v>57</v>
      </c>
      <c r="D15" s="23"/>
      <c r="E15" s="23"/>
      <c r="F15" s="23"/>
      <c r="G15" s="23"/>
      <c r="H15" s="23"/>
      <c r="I15" s="18"/>
      <c r="J15" s="24"/>
      <c r="K15" s="24"/>
      <c r="L15" s="19"/>
      <c r="M15" s="469">
        <v>0.85</v>
      </c>
      <c r="N15" s="469">
        <v>0.85</v>
      </c>
      <c r="O15" s="469">
        <v>0.85</v>
      </c>
      <c r="P15" s="392">
        <v>0</v>
      </c>
      <c r="Q15" s="392">
        <v>0</v>
      </c>
      <c r="R15" s="392">
        <v>0</v>
      </c>
      <c r="S15" s="243"/>
      <c r="T15" s="89"/>
      <c r="U15" s="89"/>
      <c r="V15" s="64"/>
      <c r="W15" s="158"/>
      <c r="X15" s="158"/>
      <c r="Y15" s="64"/>
      <c r="Z15" s="158"/>
      <c r="AA15" s="158"/>
      <c r="AB15" s="64"/>
      <c r="AC15" s="158"/>
      <c r="AD15" s="158"/>
      <c r="AE15" s="64"/>
      <c r="AF15" s="64"/>
      <c r="AG15" s="65"/>
      <c r="AH15" s="65"/>
      <c r="AI15" s="65"/>
      <c r="AJ15" s="65"/>
      <c r="AK15" s="65"/>
      <c r="AL15" s="65"/>
      <c r="AM15" s="65"/>
      <c r="AN15" s="66"/>
      <c r="AO15" s="66"/>
      <c r="AP15" s="81"/>
      <c r="AQ15" s="81"/>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3"/>
      <c r="CW15" s="43"/>
      <c r="CX15" s="43"/>
      <c r="CY15" s="43"/>
      <c r="CZ15" s="43"/>
      <c r="DA15" s="43"/>
      <c r="DB15" s="43"/>
      <c r="DC15" s="43"/>
      <c r="DD15" s="43"/>
      <c r="DE15" s="43"/>
      <c r="DF15" s="43"/>
      <c r="DG15" s="43"/>
      <c r="DH15" s="43"/>
      <c r="DI15" s="43"/>
      <c r="DJ15" s="43"/>
      <c r="DK15" s="43"/>
      <c r="DL15" s="43"/>
      <c r="DM15" s="43"/>
      <c r="DN15" s="43"/>
      <c r="DO15" s="43"/>
      <c r="DP15" s="43"/>
      <c r="DQ15" s="43"/>
      <c r="DR15" s="43"/>
      <c r="DS15" s="43"/>
      <c r="DT15" s="43"/>
      <c r="DU15" s="43"/>
      <c r="DV15" s="43"/>
      <c r="DW15" s="43"/>
      <c r="DX15" s="43"/>
      <c r="DY15" s="43"/>
      <c r="DZ15" s="43"/>
      <c r="EA15" s="43"/>
      <c r="EB15" s="43"/>
      <c r="EC15" s="43"/>
      <c r="ED15" s="43"/>
      <c r="EE15" s="47"/>
      <c r="EF15" s="47"/>
      <c r="EG15" s="47"/>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row>
    <row r="16" spans="1:175" s="11" customFormat="1" ht="15.75" customHeight="1">
      <c r="A16" s="1976"/>
      <c r="B16" s="204"/>
      <c r="C16" s="14"/>
      <c r="D16" s="87"/>
      <c r="E16" s="87"/>
      <c r="F16" s="14"/>
      <c r="G16" s="87"/>
      <c r="H16" s="87"/>
      <c r="I16" s="98"/>
      <c r="J16" s="377"/>
      <c r="K16" s="377"/>
      <c r="L16" s="103"/>
      <c r="M16" s="1745"/>
      <c r="N16" s="1365"/>
      <c r="O16" s="462"/>
      <c r="P16" s="392">
        <v>0</v>
      </c>
      <c r="Q16" s="392">
        <v>1</v>
      </c>
      <c r="R16" s="392">
        <v>0</v>
      </c>
      <c r="S16" s="243"/>
      <c r="T16" s="89"/>
      <c r="U16" s="89"/>
      <c r="V16" s="64"/>
      <c r="W16" s="158"/>
      <c r="X16" s="158"/>
      <c r="Y16" s="64"/>
      <c r="Z16" s="158"/>
      <c r="AA16" s="158"/>
      <c r="AB16" s="64"/>
      <c r="AC16" s="158"/>
      <c r="AD16" s="158"/>
      <c r="AE16" s="64"/>
      <c r="AF16" s="64"/>
      <c r="AG16" s="65"/>
      <c r="AH16" s="65"/>
      <c r="AI16" s="65"/>
      <c r="AJ16" s="65"/>
      <c r="AK16" s="65"/>
      <c r="AL16" s="65"/>
      <c r="AM16" s="65"/>
      <c r="AN16" s="66"/>
      <c r="AO16" s="66"/>
      <c r="AP16" s="81"/>
      <c r="AQ16" s="81"/>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3"/>
      <c r="CW16" s="43"/>
      <c r="CX16" s="43"/>
      <c r="CY16" s="43"/>
      <c r="CZ16" s="43"/>
      <c r="DA16" s="43"/>
      <c r="DB16" s="43"/>
      <c r="DC16" s="43"/>
      <c r="DD16" s="43"/>
      <c r="DE16" s="43"/>
      <c r="DF16" s="43"/>
      <c r="DG16" s="43"/>
      <c r="DH16" s="43"/>
      <c r="DI16" s="43"/>
      <c r="DJ16" s="43"/>
      <c r="DK16" s="43"/>
      <c r="DL16" s="43"/>
      <c r="DM16" s="43"/>
      <c r="DN16" s="43"/>
      <c r="DO16" s="43"/>
      <c r="DP16" s="43"/>
      <c r="DQ16" s="43"/>
      <c r="DR16" s="43"/>
      <c r="DS16" s="43"/>
      <c r="DT16" s="43"/>
      <c r="DU16" s="43"/>
      <c r="DV16" s="43"/>
      <c r="DW16" s="43"/>
      <c r="DX16" s="43"/>
      <c r="DY16" s="43"/>
      <c r="DZ16" s="43"/>
      <c r="EA16" s="43"/>
      <c r="EB16" s="43"/>
      <c r="EC16" s="43"/>
      <c r="ED16" s="43"/>
      <c r="EE16" s="47"/>
      <c r="EF16" s="47"/>
      <c r="EG16" s="47"/>
      <c r="EH16" s="47"/>
      <c r="EI16" s="47"/>
      <c r="EJ16" s="47"/>
      <c r="EK16" s="47"/>
      <c r="EL16" s="47"/>
      <c r="EM16" s="47"/>
      <c r="EN16" s="47"/>
      <c r="EO16" s="47"/>
      <c r="EP16" s="47"/>
      <c r="EQ16" s="47"/>
      <c r="ER16" s="47"/>
      <c r="ES16" s="47"/>
      <c r="ET16" s="47"/>
      <c r="EU16" s="47"/>
      <c r="EV16" s="47"/>
      <c r="EW16" s="47"/>
      <c r="EX16" s="47"/>
      <c r="EY16" s="47"/>
      <c r="EZ16" s="47"/>
      <c r="FA16" s="47"/>
      <c r="FB16" s="47"/>
      <c r="FC16" s="47"/>
      <c r="FD16" s="47"/>
      <c r="FE16" s="47"/>
      <c r="FF16" s="47"/>
      <c r="FG16" s="47"/>
      <c r="FH16" s="47"/>
      <c r="FI16" s="47"/>
      <c r="FJ16" s="47"/>
      <c r="FK16" s="47"/>
      <c r="FL16" s="47"/>
      <c r="FM16" s="47"/>
      <c r="FN16" s="47"/>
    </row>
    <row r="17" spans="1:170" s="11" customFormat="1" ht="18" customHeight="1">
      <c r="A17" s="1976"/>
      <c r="B17" s="204"/>
      <c r="C17" s="671" t="str">
        <f>Begriffe!F194</f>
        <v>Bauphysikalische Eigenschaften</v>
      </c>
      <c r="D17" s="87"/>
      <c r="E17" s="87"/>
      <c r="F17" s="14"/>
      <c r="G17" s="87"/>
      <c r="H17" s="87"/>
      <c r="I17" s="98"/>
      <c r="J17" s="377"/>
      <c r="K17" s="377"/>
      <c r="L17" s="103"/>
      <c r="M17" s="1745"/>
      <c r="N17" s="1365"/>
      <c r="O17" s="462"/>
      <c r="P17" s="392">
        <v>0</v>
      </c>
      <c r="Q17" s="392">
        <v>1</v>
      </c>
      <c r="R17" s="392">
        <v>0</v>
      </c>
      <c r="S17" s="243"/>
      <c r="T17" s="89"/>
      <c r="U17" s="89"/>
      <c r="V17" s="64"/>
      <c r="W17" s="158"/>
      <c r="X17" s="158"/>
      <c r="Y17" s="64"/>
      <c r="Z17" s="158"/>
      <c r="AA17" s="158"/>
      <c r="AB17" s="64"/>
      <c r="AC17" s="158"/>
      <c r="AD17" s="158"/>
      <c r="AE17" s="64"/>
      <c r="AF17" s="64"/>
      <c r="AG17" s="65"/>
      <c r="AH17" s="65"/>
      <c r="AI17" s="65"/>
      <c r="AJ17" s="65"/>
      <c r="AK17" s="65"/>
      <c r="AL17" s="65"/>
      <c r="AM17" s="65"/>
      <c r="AN17" s="66"/>
      <c r="AO17" s="66"/>
      <c r="AP17" s="81"/>
      <c r="AQ17" s="81"/>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7"/>
      <c r="EF17" s="47"/>
      <c r="EG17" s="47"/>
      <c r="EH17" s="47"/>
      <c r="EI17" s="47"/>
      <c r="EJ17" s="47"/>
      <c r="EK17" s="47"/>
      <c r="EL17" s="47"/>
      <c r="EM17" s="47"/>
      <c r="EN17" s="47"/>
      <c r="EO17" s="47"/>
      <c r="EP17" s="47"/>
      <c r="EQ17" s="47"/>
      <c r="ER17" s="47"/>
      <c r="ES17" s="47"/>
      <c r="ET17" s="47"/>
      <c r="EU17" s="47"/>
      <c r="EV17" s="47"/>
      <c r="EW17" s="47"/>
      <c r="EX17" s="47"/>
      <c r="EY17" s="47"/>
      <c r="EZ17" s="47"/>
      <c r="FA17" s="47"/>
      <c r="FB17" s="47"/>
      <c r="FC17" s="47"/>
      <c r="FD17" s="47"/>
      <c r="FE17" s="47"/>
      <c r="FF17" s="47"/>
      <c r="FG17" s="47"/>
      <c r="FH17" s="47"/>
      <c r="FI17" s="47"/>
      <c r="FJ17" s="47"/>
      <c r="FK17" s="47"/>
      <c r="FL17" s="47"/>
      <c r="FM17" s="47"/>
      <c r="FN17" s="47"/>
    </row>
    <row r="18" spans="1:170" s="11" customFormat="1" ht="18" customHeight="1">
      <c r="A18" s="1976"/>
      <c r="B18" s="204"/>
      <c r="C18" s="14" t="str">
        <f>Begriffe!F196</f>
        <v>U-Wert opake Bauteile</v>
      </c>
      <c r="D18" s="87"/>
      <c r="E18" s="87"/>
      <c r="F18" s="14"/>
      <c r="G18" s="87"/>
      <c r="H18" s="87"/>
      <c r="I18" s="672" t="s">
        <v>941</v>
      </c>
      <c r="J18" s="377" t="s">
        <v>438</v>
      </c>
      <c r="K18" s="377"/>
      <c r="L18" s="1552"/>
      <c r="M18" s="1746">
        <f>IF(L18&lt;&gt;"",L18,INDEX(Eingabedaten!$D$9:$DN$53,nutzid,MATCH($C18,Eingabedaten!$D$6:$DN$6,0)))</f>
        <v>0.17</v>
      </c>
      <c r="N18" s="1366">
        <f>INDEX(Eingabedaten!$D$9:$DN$53,nutzid,MATCH($C18,Eingabedaten!$D$6:$DN$6,0)+1)</f>
        <v>0.1</v>
      </c>
      <c r="O18" s="444">
        <f>INDEX(Eingabedaten!$D$9:$DN$53,nutzid,MATCH($C18,Eingabedaten!$D$6:$DN$6,0)+2)</f>
        <v>0.8</v>
      </c>
      <c r="P18" s="392">
        <v>0</v>
      </c>
      <c r="Q18" s="392">
        <v>1</v>
      </c>
      <c r="R18" s="392">
        <v>0</v>
      </c>
      <c r="S18" s="243"/>
      <c r="T18" s="89"/>
      <c r="U18" s="89"/>
      <c r="V18" s="64"/>
      <c r="W18" s="158"/>
      <c r="X18" s="158"/>
      <c r="Y18" s="64"/>
      <c r="Z18" s="158"/>
      <c r="AA18" s="158"/>
      <c r="AB18" s="64"/>
      <c r="AC18" s="158"/>
      <c r="AD18" s="158"/>
      <c r="AE18" s="64"/>
      <c r="AF18" s="64"/>
      <c r="AG18" s="65"/>
      <c r="AH18" s="65"/>
      <c r="AI18" s="65"/>
      <c r="AJ18" s="65"/>
      <c r="AK18" s="65"/>
      <c r="AL18" s="65"/>
      <c r="AM18" s="65"/>
      <c r="AN18" s="66"/>
      <c r="AO18" s="66"/>
      <c r="AP18" s="81"/>
      <c r="AQ18" s="81"/>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row>
    <row r="19" spans="1:170" s="11" customFormat="1" ht="18" customHeight="1">
      <c r="A19" s="1976"/>
      <c r="B19" s="204"/>
      <c r="C19" s="14" t="str">
        <f>Begriffe!F195</f>
        <v>U-Wert Fenster</v>
      </c>
      <c r="D19" s="14"/>
      <c r="E19" s="14"/>
      <c r="F19" s="14"/>
      <c r="G19" s="14"/>
      <c r="H19" s="14"/>
      <c r="I19" s="672" t="s">
        <v>942</v>
      </c>
      <c r="J19" s="377" t="s">
        <v>438</v>
      </c>
      <c r="K19" s="377"/>
      <c r="L19" s="1552"/>
      <c r="M19" s="1746">
        <f>IF(L19&lt;&gt;"",L19,INDEX(Eingabedaten!$D$9:$DN$53,nutzid,MATCH($C19,Eingabedaten!$D$6:$DN$6,0)))</f>
        <v>1</v>
      </c>
      <c r="N19" s="1366">
        <f>INDEX(Eingabedaten!$D$9:$DN$53,nutzid,MATCH($C19,Eingabedaten!$D$6:$DN$6,0)+1)</f>
        <v>0.8</v>
      </c>
      <c r="O19" s="444">
        <f>INDEX(Eingabedaten!$D$9:$DN$53,nutzid,MATCH($C19,Eingabedaten!$D$6:$DN$6,0)+2)</f>
        <v>1.5</v>
      </c>
      <c r="P19" s="392">
        <v>0</v>
      </c>
      <c r="Q19" s="392">
        <v>1</v>
      </c>
      <c r="R19" s="392">
        <v>0</v>
      </c>
      <c r="S19" s="243"/>
      <c r="T19" s="89"/>
      <c r="U19" s="89"/>
      <c r="V19" s="64"/>
      <c r="W19" s="158"/>
      <c r="X19" s="158"/>
      <c r="Y19" s="64"/>
      <c r="Z19" s="158"/>
      <c r="AA19" s="158"/>
      <c r="AB19" s="64"/>
      <c r="AC19" s="158"/>
      <c r="AD19" s="158"/>
      <c r="AE19" s="64"/>
      <c r="AF19" s="64"/>
      <c r="AG19" s="65"/>
      <c r="AH19" s="65"/>
      <c r="AI19" s="65"/>
      <c r="AJ19" s="65"/>
      <c r="AK19" s="65"/>
      <c r="AL19" s="65"/>
      <c r="AM19" s="65"/>
      <c r="AN19" s="66"/>
      <c r="AO19" s="66"/>
      <c r="AP19" s="81"/>
      <c r="AQ19" s="81"/>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row>
    <row r="20" spans="1:170" s="11" customFormat="1" ht="18" customHeight="1">
      <c r="A20" s="1976"/>
      <c r="B20" s="204"/>
      <c r="C20" s="14" t="str">
        <f>Begriffe!F25</f>
        <v>Abminderungsfaktor für Fensterrahmen</v>
      </c>
      <c r="D20" s="14"/>
      <c r="E20" s="14"/>
      <c r="F20" s="14"/>
      <c r="G20" s="14"/>
      <c r="H20" s="14"/>
      <c r="I20" s="672" t="s">
        <v>943</v>
      </c>
      <c r="J20" s="377" t="s">
        <v>16</v>
      </c>
      <c r="K20" s="377"/>
      <c r="L20" s="1554"/>
      <c r="M20" s="1746">
        <f>IF(L20&lt;&gt;"",L20,INDEX(Eingabedaten!$D$9:$DN$53,nutzid,MATCH($C20,Eingabedaten!$D$6:$DN$6,0)))</f>
        <v>0.75</v>
      </c>
      <c r="N20" s="1366">
        <f>M20</f>
        <v>0.75</v>
      </c>
      <c r="O20" s="444">
        <f>M20</f>
        <v>0.75</v>
      </c>
      <c r="P20" s="392">
        <v>0</v>
      </c>
      <c r="Q20" s="392">
        <v>1</v>
      </c>
      <c r="R20" s="392">
        <v>0</v>
      </c>
      <c r="S20" s="243"/>
      <c r="T20" s="89"/>
      <c r="U20" s="89"/>
      <c r="V20" s="64"/>
      <c r="W20" s="158"/>
      <c r="X20" s="158"/>
      <c r="Y20" s="64"/>
      <c r="Z20" s="158"/>
      <c r="AA20" s="158"/>
      <c r="AB20" s="64"/>
      <c r="AC20" s="158"/>
      <c r="AD20" s="158"/>
      <c r="AE20" s="64"/>
      <c r="AF20" s="64"/>
      <c r="AG20" s="65"/>
      <c r="AH20" s="65"/>
      <c r="AI20" s="65"/>
      <c r="AJ20" s="65"/>
      <c r="AK20" s="65"/>
      <c r="AL20" s="65"/>
      <c r="AM20" s="65"/>
      <c r="AN20" s="66"/>
      <c r="AO20" s="66"/>
      <c r="AP20" s="81"/>
      <c r="AQ20" s="81"/>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row>
    <row r="21" spans="1:170" s="11" customFormat="1" ht="18" hidden="1" customHeight="1">
      <c r="A21" s="1976"/>
      <c r="B21" s="91"/>
      <c r="C21" s="17" t="s">
        <v>165</v>
      </c>
      <c r="D21" s="23"/>
      <c r="E21" s="23"/>
      <c r="F21" s="23"/>
      <c r="G21" s="23"/>
      <c r="H21" s="23"/>
      <c r="I21" s="18"/>
      <c r="J21" s="24" t="s">
        <v>5</v>
      </c>
      <c r="K21" s="24"/>
      <c r="L21" s="19"/>
      <c r="M21" s="485">
        <v>0.1</v>
      </c>
      <c r="N21" s="485">
        <v>0.1</v>
      </c>
      <c r="O21" s="485">
        <v>0.1</v>
      </c>
      <c r="P21" s="392">
        <v>0</v>
      </c>
      <c r="Q21" s="392">
        <v>0</v>
      </c>
      <c r="R21" s="392">
        <v>0</v>
      </c>
      <c r="S21" s="243"/>
      <c r="T21" s="89"/>
      <c r="U21" s="89"/>
      <c r="V21" s="64"/>
      <c r="W21" s="158"/>
      <c r="X21" s="158"/>
      <c r="Y21" s="64"/>
      <c r="Z21" s="158"/>
      <c r="AA21" s="158"/>
      <c r="AB21" s="64"/>
      <c r="AC21" s="158"/>
      <c r="AD21" s="158"/>
      <c r="AE21" s="64"/>
      <c r="AF21" s="64"/>
      <c r="AG21" s="65"/>
      <c r="AH21" s="65"/>
      <c r="AI21" s="65"/>
      <c r="AJ21" s="65"/>
      <c r="AK21" s="65"/>
      <c r="AL21" s="65"/>
      <c r="AM21" s="65"/>
      <c r="AN21" s="66"/>
      <c r="AO21" s="66"/>
      <c r="AP21" s="81"/>
      <c r="AQ21" s="81"/>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row>
    <row r="22" spans="1:170" s="11" customFormat="1" ht="18" customHeight="1">
      <c r="A22" s="1976"/>
      <c r="B22" s="204"/>
      <c r="C22" s="14" t="str">
        <f>Begriffe!F46</f>
        <v>Glasanteil</v>
      </c>
      <c r="D22" s="87"/>
      <c r="E22" s="87"/>
      <c r="F22" s="14" t="str">
        <f>Begriffe!F345</f>
        <v>Nach Westen orientiert</v>
      </c>
      <c r="H22" s="87"/>
      <c r="I22" s="672" t="s">
        <v>944</v>
      </c>
      <c r="J22" s="377" t="s">
        <v>5</v>
      </c>
      <c r="K22" s="377"/>
      <c r="L22" s="1553"/>
      <c r="M22" s="1744">
        <f>IF(L22&lt;&gt;"",L22,INDEX(Eingabedaten!$D$9:$DN$53,nutzid,MATCH($C22,Eingabedaten!$D$6:$DN$6,0)))</f>
        <v>30</v>
      </c>
      <c r="N22" s="1367"/>
      <c r="O22" s="679"/>
      <c r="P22" s="392">
        <v>0</v>
      </c>
      <c r="Q22" s="392">
        <v>1</v>
      </c>
      <c r="R22" s="392">
        <v>0</v>
      </c>
      <c r="S22" s="243"/>
      <c r="T22" s="89"/>
      <c r="U22" s="89"/>
      <c r="V22" s="64"/>
      <c r="W22" s="158"/>
      <c r="X22" s="158"/>
      <c r="Y22" s="64"/>
      <c r="Z22" s="158"/>
      <c r="AA22" s="158"/>
      <c r="AB22" s="64"/>
      <c r="AC22" s="158"/>
      <c r="AD22" s="158"/>
      <c r="AE22" s="64"/>
      <c r="AF22" s="64"/>
      <c r="AG22" s="65"/>
      <c r="AH22" s="65"/>
      <c r="AI22" s="65"/>
      <c r="AJ22" s="65"/>
      <c r="AK22" s="65"/>
      <c r="AL22" s="65"/>
      <c r="AM22" s="65"/>
      <c r="AN22" s="66"/>
      <c r="AO22" s="66"/>
      <c r="AP22" s="81"/>
      <c r="AQ22" s="81"/>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row>
    <row r="23" spans="1:170" s="11" customFormat="1" ht="18" hidden="1" customHeight="1">
      <c r="A23" s="1976"/>
      <c r="B23" s="21"/>
      <c r="C23" s="395" t="s">
        <v>520</v>
      </c>
      <c r="D23" s="473"/>
      <c r="E23" s="473"/>
      <c r="F23" s="473"/>
      <c r="G23" s="395"/>
      <c r="H23" s="473"/>
      <c r="I23" s="396" t="s">
        <v>1862</v>
      </c>
      <c r="J23" s="397" t="s">
        <v>209</v>
      </c>
      <c r="K23" s="397"/>
      <c r="L23" s="474"/>
      <c r="M23" s="476">
        <f>M10*M12/M15*M22%</f>
        <v>3.5294117647058827</v>
      </c>
      <c r="N23" s="401"/>
      <c r="O23" s="475"/>
      <c r="P23" s="392">
        <v>0</v>
      </c>
      <c r="Q23" s="392">
        <v>0</v>
      </c>
      <c r="R23" s="392">
        <v>0</v>
      </c>
      <c r="S23" s="243"/>
      <c r="T23" s="89"/>
      <c r="U23" s="89"/>
      <c r="V23" s="64"/>
      <c r="W23" s="158"/>
      <c r="X23" s="158"/>
      <c r="Y23" s="64"/>
      <c r="Z23" s="158"/>
      <c r="AA23" s="158"/>
      <c r="AB23" s="64"/>
      <c r="AC23" s="158"/>
      <c r="AD23" s="158"/>
      <c r="AE23" s="64"/>
      <c r="AF23" s="64"/>
      <c r="AG23" s="65"/>
      <c r="AH23" s="65"/>
      <c r="AI23" s="65"/>
      <c r="AJ23" s="65"/>
      <c r="AK23" s="65"/>
      <c r="AL23" s="65"/>
      <c r="AM23" s="65"/>
      <c r="AN23" s="66"/>
      <c r="AO23" s="66"/>
      <c r="AP23" s="81"/>
      <c r="AQ23" s="81"/>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row>
    <row r="24" spans="1:170" s="11" customFormat="1" ht="18" hidden="1" customHeight="1">
      <c r="A24" s="1976"/>
      <c r="B24" s="21"/>
      <c r="C24" s="395" t="s">
        <v>521</v>
      </c>
      <c r="D24" s="473"/>
      <c r="E24" s="473"/>
      <c r="F24" s="473"/>
      <c r="G24" s="395"/>
      <c r="H24" s="473"/>
      <c r="I24" s="396" t="s">
        <v>1863</v>
      </c>
      <c r="J24" s="397" t="s">
        <v>209</v>
      </c>
      <c r="K24" s="397"/>
      <c r="L24" s="474"/>
      <c r="M24" s="476">
        <f>M23/M20</f>
        <v>4.7058823529411766</v>
      </c>
      <c r="N24" s="401"/>
      <c r="O24" s="475"/>
      <c r="P24" s="392">
        <v>0</v>
      </c>
      <c r="Q24" s="392">
        <v>0</v>
      </c>
      <c r="R24" s="392">
        <v>0</v>
      </c>
      <c r="S24" s="243"/>
      <c r="T24" s="89"/>
      <c r="U24" s="89"/>
      <c r="V24" s="64"/>
      <c r="W24" s="158"/>
      <c r="X24" s="158"/>
      <c r="Y24" s="64"/>
      <c r="Z24" s="158"/>
      <c r="AA24" s="158"/>
      <c r="AB24" s="64"/>
      <c r="AC24" s="158"/>
      <c r="AD24" s="158"/>
      <c r="AE24" s="64"/>
      <c r="AF24" s="64"/>
      <c r="AG24" s="65"/>
      <c r="AH24" s="65"/>
      <c r="AI24" s="65"/>
      <c r="AJ24" s="65"/>
      <c r="AK24" s="65"/>
      <c r="AL24" s="65"/>
      <c r="AM24" s="65"/>
      <c r="AN24" s="66"/>
      <c r="AO24" s="66"/>
      <c r="AP24" s="81"/>
      <c r="AQ24" s="81"/>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row>
    <row r="25" spans="1:170" s="11" customFormat="1" ht="18" hidden="1" customHeight="1">
      <c r="A25" s="1976"/>
      <c r="B25" s="477"/>
      <c r="C25" s="395" t="s">
        <v>522</v>
      </c>
      <c r="D25" s="473"/>
      <c r="E25" s="473"/>
      <c r="F25" s="473"/>
      <c r="G25" s="395"/>
      <c r="H25" s="473"/>
      <c r="I25" s="396" t="s">
        <v>523</v>
      </c>
      <c r="J25" s="397" t="s">
        <v>209</v>
      </c>
      <c r="K25" s="397"/>
      <c r="L25" s="474"/>
      <c r="M25" s="476">
        <f>M14-M24</f>
        <v>21.764705882352942</v>
      </c>
      <c r="N25" s="401"/>
      <c r="O25" s="475"/>
      <c r="P25" s="392">
        <v>0</v>
      </c>
      <c r="Q25" s="392">
        <v>0</v>
      </c>
      <c r="R25" s="392">
        <v>0</v>
      </c>
      <c r="S25" s="243"/>
      <c r="T25" s="89"/>
      <c r="U25" s="89"/>
      <c r="V25" s="64"/>
      <c r="W25" s="158"/>
      <c r="X25" s="158"/>
      <c r="Y25" s="64"/>
      <c r="Z25" s="158"/>
      <c r="AA25" s="158"/>
      <c r="AB25" s="64"/>
      <c r="AC25" s="158"/>
      <c r="AD25" s="158"/>
      <c r="AE25" s="64"/>
      <c r="AF25" s="64"/>
      <c r="AG25" s="65"/>
      <c r="AH25" s="65"/>
      <c r="AI25" s="65"/>
      <c r="AJ25" s="65"/>
      <c r="AK25" s="65"/>
      <c r="AL25" s="65"/>
      <c r="AM25" s="65"/>
      <c r="AN25" s="66"/>
      <c r="AO25" s="66"/>
      <c r="AP25" s="81"/>
      <c r="AQ25" s="81"/>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row>
    <row r="26" spans="1:170" s="11" customFormat="1" ht="18" customHeight="1">
      <c r="A26" s="1976"/>
      <c r="B26" s="204"/>
      <c r="C26" s="14" t="str">
        <f>Begriffe!F197</f>
        <v>Gesamtenergiedurchlassgrad Verglasung</v>
      </c>
      <c r="D26" s="674"/>
      <c r="E26" s="182"/>
      <c r="F26" s="14"/>
      <c r="G26" s="500"/>
      <c r="H26" s="14"/>
      <c r="I26" s="98" t="s">
        <v>27</v>
      </c>
      <c r="J26" s="377" t="s">
        <v>208</v>
      </c>
      <c r="K26" s="377"/>
      <c r="L26" s="1554"/>
      <c r="M26" s="1746">
        <f>IF(L26&lt;&gt;"",L26,INDEX(Eingabedaten!$D$9:$DN$53,nutzid,MATCH($C26,Eingabedaten!$D$6:$DN$6,0)))</f>
        <v>0.5</v>
      </c>
      <c r="N26" s="1366">
        <f>INDEX(Eingabedaten!$D$9:$DN$53,nutzid,MATCH($C26,Eingabedaten!$D$6:$DN$6,0)+1)</f>
        <v>0.5</v>
      </c>
      <c r="O26" s="444">
        <f>INDEX(Eingabedaten!$D$9:$DN$53,nutzid,MATCH($C26,Eingabedaten!$D$6:$DN$6,0)+2)</f>
        <v>0.65</v>
      </c>
      <c r="P26" s="392">
        <v>0</v>
      </c>
      <c r="Q26" s="392">
        <v>1</v>
      </c>
      <c r="R26" s="392">
        <v>0</v>
      </c>
      <c r="S26" s="243"/>
      <c r="T26" s="89"/>
      <c r="U26" s="89"/>
      <c r="V26" s="64"/>
      <c r="W26" s="158"/>
      <c r="X26" s="158"/>
      <c r="Y26" s="64"/>
      <c r="Z26" s="158"/>
      <c r="AA26" s="158"/>
      <c r="AB26" s="64"/>
      <c r="AC26" s="158"/>
      <c r="AD26" s="158"/>
      <c r="AE26" s="64"/>
      <c r="AF26" s="64"/>
      <c r="AG26" s="65"/>
      <c r="AH26" s="65"/>
      <c r="AI26" s="65"/>
      <c r="AJ26" s="65"/>
      <c r="AK26" s="65"/>
      <c r="AL26" s="65"/>
      <c r="AM26" s="65"/>
      <c r="AN26" s="66"/>
      <c r="AO26" s="66"/>
      <c r="AP26" s="81"/>
      <c r="AQ26" s="81"/>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row>
    <row r="27" spans="1:170" s="11" customFormat="1" ht="18" customHeight="1">
      <c r="A27" s="1976"/>
      <c r="B27" s="204"/>
      <c r="C27" s="14" t="str">
        <f>Begriffe!F198</f>
        <v>Gesamtenergiedurchlassgrad Verglasung und Sonnenschutz</v>
      </c>
      <c r="D27" s="674"/>
      <c r="E27" s="182"/>
      <c r="F27" s="14"/>
      <c r="G27" s="500"/>
      <c r="H27" s="14"/>
      <c r="I27" s="672" t="s">
        <v>945</v>
      </c>
      <c r="J27" s="377" t="s">
        <v>208</v>
      </c>
      <c r="K27" s="377"/>
      <c r="L27" s="1554"/>
      <c r="M27" s="1746">
        <f>IF(L27&lt;&gt;"",L27,INDEX(Eingabedaten!$D$9:$DN$53,nutzid,MATCH($C27,Eingabedaten!$D$6:$DN$6,0)))</f>
        <v>0.14000000000000001</v>
      </c>
      <c r="N27" s="1366">
        <f>INDEX(Eingabedaten!$D$9:$DN$53,nutzid,MATCH($C27,Eingabedaten!$D$6:$DN$6,0)+1)</f>
        <v>0.1</v>
      </c>
      <c r="O27" s="444">
        <f>INDEX(Eingabedaten!$D$9:$DN$53,nutzid,MATCH($C27,Eingabedaten!$D$6:$DN$6,0)+2)</f>
        <v>0.2</v>
      </c>
      <c r="P27" s="392">
        <v>0</v>
      </c>
      <c r="Q27" s="392">
        <v>1</v>
      </c>
      <c r="R27" s="392">
        <v>0</v>
      </c>
      <c r="S27" s="243"/>
      <c r="T27" s="89"/>
      <c r="U27" s="89"/>
      <c r="V27" s="64"/>
      <c r="W27" s="158"/>
      <c r="X27" s="158"/>
      <c r="Y27" s="64"/>
      <c r="Z27" s="158"/>
      <c r="AA27" s="158"/>
      <c r="AB27" s="64"/>
      <c r="AC27" s="158"/>
      <c r="AD27" s="158"/>
      <c r="AE27" s="64"/>
      <c r="AF27" s="64"/>
      <c r="AG27" s="65"/>
      <c r="AH27" s="65"/>
      <c r="AI27" s="65"/>
      <c r="AJ27" s="65"/>
      <c r="AK27" s="65"/>
      <c r="AL27" s="65"/>
      <c r="AM27" s="65"/>
      <c r="AN27" s="66"/>
      <c r="AO27" s="66"/>
      <c r="AP27" s="81"/>
      <c r="AQ27" s="81"/>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row>
    <row r="28" spans="1:170" s="11" customFormat="1" ht="18" customHeight="1">
      <c r="A28" s="1976"/>
      <c r="B28" s="204"/>
      <c r="C28" s="14" t="str">
        <f>Begriffe!F123</f>
        <v>Wärmespeicherfähigkeit des Raumes</v>
      </c>
      <c r="D28" s="14"/>
      <c r="E28" s="182"/>
      <c r="F28" s="14"/>
      <c r="G28" s="1987"/>
      <c r="H28" s="1988"/>
      <c r="I28" s="672" t="s">
        <v>946</v>
      </c>
      <c r="J28" s="377" t="s">
        <v>176</v>
      </c>
      <c r="K28" s="377"/>
      <c r="L28" s="1553"/>
      <c r="M28" s="1744">
        <f>IF(L28&lt;&gt;"",L28,INDEX(Eingabedaten!$D$9:$DN$53,nutzid,MATCH($C28,Eingabedaten!$D$6:$DN$6,0)))</f>
        <v>120</v>
      </c>
      <c r="N28" s="1368">
        <f>M28</f>
        <v>120</v>
      </c>
      <c r="O28" s="445">
        <f>M28</f>
        <v>120</v>
      </c>
      <c r="P28" s="392">
        <v>0</v>
      </c>
      <c r="Q28" s="392">
        <v>1</v>
      </c>
      <c r="R28" s="392">
        <v>0</v>
      </c>
      <c r="S28" s="243"/>
      <c r="T28" s="89"/>
      <c r="U28" s="89"/>
      <c r="V28" s="64"/>
      <c r="W28" s="158"/>
      <c r="X28" s="158"/>
      <c r="Y28" s="64"/>
      <c r="Z28" s="158"/>
      <c r="AA28" s="158"/>
      <c r="AB28" s="64"/>
      <c r="AC28" s="158"/>
      <c r="AD28" s="158"/>
      <c r="AE28" s="64"/>
      <c r="AF28" s="64"/>
      <c r="AG28" s="65"/>
      <c r="AH28" s="65"/>
      <c r="AI28" s="65"/>
      <c r="AJ28" s="65"/>
      <c r="AK28" s="65"/>
      <c r="AL28" s="65"/>
      <c r="AM28" s="65"/>
      <c r="AN28" s="66"/>
      <c r="AO28" s="66"/>
      <c r="AP28" s="81"/>
      <c r="AQ28" s="81"/>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row>
    <row r="29" spans="1:170" s="11" customFormat="1" ht="15.75" customHeight="1">
      <c r="A29" s="1976"/>
      <c r="B29" s="204"/>
      <c r="C29" s="500"/>
      <c r="D29" s="674"/>
      <c r="E29" s="182"/>
      <c r="F29" s="14"/>
      <c r="G29" s="500"/>
      <c r="H29" s="14"/>
      <c r="I29" s="98"/>
      <c r="J29" s="377"/>
      <c r="K29" s="377"/>
      <c r="L29" s="103"/>
      <c r="M29" s="1745"/>
      <c r="N29" s="1369"/>
      <c r="O29" s="169"/>
      <c r="P29" s="392">
        <v>0</v>
      </c>
      <c r="Q29" s="392">
        <v>1</v>
      </c>
      <c r="R29" s="392">
        <v>0</v>
      </c>
      <c r="S29" s="243"/>
      <c r="T29" s="89"/>
      <c r="U29" s="89"/>
      <c r="V29" s="64"/>
      <c r="W29" s="158"/>
      <c r="X29" s="158"/>
      <c r="Y29" s="64"/>
      <c r="Z29" s="158"/>
      <c r="AA29" s="158"/>
      <c r="AB29" s="64"/>
      <c r="AC29" s="158"/>
      <c r="AD29" s="158"/>
      <c r="AE29" s="64"/>
      <c r="AF29" s="64"/>
      <c r="AG29" s="65"/>
      <c r="AH29" s="65"/>
      <c r="AI29" s="65"/>
      <c r="AJ29" s="65"/>
      <c r="AK29" s="65"/>
      <c r="AL29" s="65"/>
      <c r="AM29" s="65"/>
      <c r="AN29" s="66"/>
      <c r="AO29" s="66"/>
      <c r="AP29" s="81"/>
      <c r="AQ29" s="81"/>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row>
    <row r="30" spans="1:170" s="11" customFormat="1" ht="18" customHeight="1">
      <c r="A30" s="1976"/>
      <c r="B30" s="204"/>
      <c r="C30" s="671" t="str">
        <f>Begriffe!F199</f>
        <v>Raumklima</v>
      </c>
      <c r="D30" s="14"/>
      <c r="E30" s="87"/>
      <c r="F30" s="14"/>
      <c r="G30" s="14"/>
      <c r="H30" s="14"/>
      <c r="I30" s="377"/>
      <c r="J30" s="377"/>
      <c r="K30" s="377"/>
      <c r="L30" s="93"/>
      <c r="M30" s="1741"/>
      <c r="N30" s="1370"/>
      <c r="O30" s="174"/>
      <c r="P30" s="14">
        <v>0</v>
      </c>
      <c r="Q30" s="392">
        <v>1</v>
      </c>
      <c r="R30" s="14">
        <v>0</v>
      </c>
      <c r="S30" s="243"/>
      <c r="T30" s="89"/>
      <c r="U30" s="89"/>
      <c r="V30" s="64"/>
      <c r="W30" s="158"/>
      <c r="X30" s="158"/>
      <c r="Y30" s="64"/>
      <c r="Z30" s="158"/>
      <c r="AA30" s="158"/>
      <c r="AB30" s="65"/>
      <c r="AC30" s="89"/>
      <c r="AD30" s="89"/>
      <c r="AE30" s="65"/>
      <c r="AF30" s="65"/>
      <c r="AG30" s="65"/>
      <c r="AH30" s="65"/>
      <c r="AI30" s="65"/>
      <c r="AJ30" s="65"/>
      <c r="AK30" s="65"/>
      <c r="AL30" s="65"/>
      <c r="AM30" s="65"/>
      <c r="AN30" s="66"/>
      <c r="AO30" s="66"/>
      <c r="AP30" s="81"/>
      <c r="AQ30" s="81"/>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c r="CE30" s="42"/>
      <c r="CF30" s="42"/>
      <c r="CG30" s="42"/>
      <c r="CH30" s="42"/>
      <c r="CI30" s="42"/>
      <c r="CJ30" s="42"/>
      <c r="CK30" s="42"/>
      <c r="CL30" s="42"/>
      <c r="CM30" s="42"/>
      <c r="CN30" s="42"/>
      <c r="CO30" s="42"/>
      <c r="CP30" s="42"/>
      <c r="CQ30" s="42"/>
      <c r="CR30" s="42"/>
      <c r="CS30" s="42"/>
      <c r="CT30" s="42"/>
      <c r="CU30" s="42"/>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c r="EA30" s="43"/>
      <c r="EB30" s="43"/>
      <c r="EC30" s="43"/>
      <c r="ED30" s="43"/>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row>
    <row r="31" spans="1:170" s="11" customFormat="1" ht="18" customHeight="1">
      <c r="A31" s="1976"/>
      <c r="B31" s="204"/>
      <c r="C31" s="14" t="str">
        <f>Begriffe!F93</f>
        <v>Raumtemperatur-Auslegungswert</v>
      </c>
      <c r="D31" s="87"/>
      <c r="E31" s="87"/>
      <c r="F31" s="14" t="str">
        <f>Begriffe!$F$346</f>
        <v>Auslegung Kühlung</v>
      </c>
      <c r="G31" s="14"/>
      <c r="H31" s="14"/>
      <c r="I31" s="675" t="s">
        <v>1747</v>
      </c>
      <c r="J31" s="377" t="s">
        <v>3</v>
      </c>
      <c r="K31" s="377"/>
      <c r="L31" s="1553"/>
      <c r="M31" s="1744">
        <f>IF(L31&lt;&gt;"",L31,INDEX(Eingabedaten!$D$9:$DN$53,nutzid,MATCH($C31,Eingabedaten!$D$6:$DN$6,0)))</f>
        <v>26</v>
      </c>
      <c r="N31" s="1371"/>
      <c r="O31" s="148"/>
      <c r="P31" s="14">
        <v>0</v>
      </c>
      <c r="Q31" s="392">
        <v>1</v>
      </c>
      <c r="R31" s="14">
        <v>0</v>
      </c>
      <c r="S31" s="243"/>
      <c r="T31" s="89"/>
      <c r="U31" s="89"/>
      <c r="V31" s="64"/>
      <c r="W31" s="158"/>
      <c r="X31" s="158"/>
      <c r="Y31" s="64"/>
      <c r="Z31" s="158"/>
      <c r="AA31" s="158"/>
      <c r="AB31" s="64"/>
      <c r="AC31" s="158"/>
      <c r="AD31" s="158"/>
      <c r="AE31" s="64"/>
      <c r="AF31" s="64"/>
      <c r="AG31" s="65"/>
      <c r="AH31" s="65"/>
      <c r="AI31" s="65"/>
      <c r="AJ31" s="65"/>
      <c r="AK31" s="65"/>
      <c r="AL31" s="65"/>
      <c r="AM31" s="65"/>
      <c r="AN31" s="66"/>
      <c r="AO31" s="66"/>
      <c r="AP31" s="81"/>
      <c r="AQ31" s="81"/>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c r="EA31" s="43"/>
      <c r="EB31" s="43"/>
      <c r="EC31" s="43"/>
      <c r="ED31" s="43"/>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row>
    <row r="32" spans="1:170" s="11" customFormat="1" ht="18" customHeight="1">
      <c r="A32" s="1976"/>
      <c r="B32" s="204"/>
      <c r="C32" s="14"/>
      <c r="D32" s="87"/>
      <c r="E32" s="87"/>
      <c r="F32" s="14" t="str">
        <f>Begriffe!$F$347</f>
        <v>Auslegung Heizung</v>
      </c>
      <c r="G32" s="14"/>
      <c r="H32" s="14"/>
      <c r="I32" s="675" t="s">
        <v>1748</v>
      </c>
      <c r="J32" s="377" t="s">
        <v>3</v>
      </c>
      <c r="K32" s="377"/>
      <c r="L32" s="1553"/>
      <c r="M32" s="1747">
        <f>IF(L32&lt;&gt;"",L32,INDEX(Eingabedaten!$D$9:$DN$53,nutzid,MATCH($C31,Eingabedaten!$D$6:$DN$6,0)+1))</f>
        <v>21</v>
      </c>
      <c r="N32" s="1371"/>
      <c r="O32" s="148"/>
      <c r="P32" s="14">
        <v>0</v>
      </c>
      <c r="Q32" s="392">
        <v>1</v>
      </c>
      <c r="R32" s="14">
        <v>0</v>
      </c>
      <c r="S32" s="243"/>
      <c r="T32" s="89"/>
      <c r="U32" s="89"/>
      <c r="V32" s="64"/>
      <c r="W32" s="486"/>
      <c r="X32" s="158"/>
      <c r="Y32" s="64"/>
      <c r="Z32" s="158"/>
      <c r="AA32" s="158"/>
      <c r="AB32" s="64"/>
      <c r="AC32" s="158"/>
      <c r="AD32" s="158"/>
      <c r="AE32" s="64"/>
      <c r="AF32" s="64"/>
      <c r="AG32" s="65"/>
      <c r="AH32" s="65"/>
      <c r="AI32" s="65"/>
      <c r="AJ32" s="65"/>
      <c r="AK32" s="65"/>
      <c r="AL32" s="65"/>
      <c r="AM32" s="65"/>
      <c r="AN32" s="66"/>
      <c r="AO32" s="66"/>
      <c r="AP32" s="81"/>
      <c r="AQ32" s="81"/>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c r="CE32" s="42"/>
      <c r="CF32" s="42"/>
      <c r="CG32" s="42"/>
      <c r="CH32" s="42"/>
      <c r="CI32" s="42"/>
      <c r="CJ32" s="42"/>
      <c r="CK32" s="42"/>
      <c r="CL32" s="42"/>
      <c r="CM32" s="42"/>
      <c r="CN32" s="42"/>
      <c r="CO32" s="42"/>
      <c r="CP32" s="42"/>
      <c r="CQ32" s="42"/>
      <c r="CR32" s="42"/>
      <c r="CS32" s="42"/>
      <c r="CT32" s="42"/>
      <c r="CU32" s="42"/>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row>
    <row r="33" spans="1:170" s="11" customFormat="1" ht="18" customHeight="1">
      <c r="A33" s="1976"/>
      <c r="B33" s="204"/>
      <c r="C33" s="14" t="str">
        <f>Begriffe!F79</f>
        <v>Mittlere Raumtemperatur</v>
      </c>
      <c r="D33" s="87"/>
      <c r="E33" s="87"/>
      <c r="F33" s="14" t="str">
        <f>Begriffe!$F$350</f>
        <v>Jährlicher Klimakältebedarf</v>
      </c>
      <c r="G33" s="14"/>
      <c r="H33" s="14"/>
      <c r="I33" s="675" t="s">
        <v>1864</v>
      </c>
      <c r="J33" s="377" t="s">
        <v>3</v>
      </c>
      <c r="K33" s="377"/>
      <c r="L33" s="1553"/>
      <c r="M33" s="1744">
        <f>IF(L33&lt;&gt;"",L33,INDEX(Eingabedaten!$D$9:$DN$53,nutzid,MATCH($C33,Eingabedaten!$D$6:$DN$6,0)))</f>
        <v>25</v>
      </c>
      <c r="N33" s="1371"/>
      <c r="O33" s="148"/>
      <c r="P33" s="14"/>
      <c r="Q33" s="392">
        <v>1</v>
      </c>
      <c r="R33" s="14"/>
      <c r="S33" s="243"/>
      <c r="T33" s="89"/>
      <c r="U33" s="89"/>
      <c r="V33" s="64"/>
      <c r="W33" s="486"/>
      <c r="X33" s="158"/>
      <c r="Y33" s="64"/>
      <c r="Z33" s="158"/>
      <c r="AA33" s="158"/>
      <c r="AB33" s="64"/>
      <c r="AC33" s="158"/>
      <c r="AD33" s="158"/>
      <c r="AE33" s="64"/>
      <c r="AF33" s="64"/>
      <c r="AG33" s="65"/>
      <c r="AH33" s="65"/>
      <c r="AI33" s="65"/>
      <c r="AJ33" s="65"/>
      <c r="AK33" s="65"/>
      <c r="AL33" s="65"/>
      <c r="AM33" s="65"/>
      <c r="AN33" s="66"/>
      <c r="AO33" s="66"/>
      <c r="AP33" s="81"/>
      <c r="AQ33" s="81"/>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c r="CE33" s="42"/>
      <c r="CF33" s="42"/>
      <c r="CG33" s="42"/>
      <c r="CH33" s="42"/>
      <c r="CI33" s="42"/>
      <c r="CJ33" s="42"/>
      <c r="CK33" s="42"/>
      <c r="CL33" s="42"/>
      <c r="CM33" s="42"/>
      <c r="CN33" s="42"/>
      <c r="CO33" s="42"/>
      <c r="CP33" s="42"/>
      <c r="CQ33" s="42"/>
      <c r="CR33" s="42"/>
      <c r="CS33" s="42"/>
      <c r="CT33" s="42"/>
      <c r="CU33" s="42"/>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c r="EA33" s="43"/>
      <c r="EB33" s="43"/>
      <c r="EC33" s="43"/>
      <c r="ED33" s="43"/>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row>
    <row r="34" spans="1:170" s="11" customFormat="1" ht="18" customHeight="1">
      <c r="A34" s="1976"/>
      <c r="B34" s="204"/>
      <c r="C34" s="14"/>
      <c r="D34" s="87"/>
      <c r="E34" s="87"/>
      <c r="F34" s="14" t="str">
        <f>Begriffe!$F$351</f>
        <v>Jährlicher Heizwärmebedarf</v>
      </c>
      <c r="G34" s="14"/>
      <c r="H34" s="14"/>
      <c r="I34" s="675" t="s">
        <v>1865</v>
      </c>
      <c r="J34" s="377" t="s">
        <v>3</v>
      </c>
      <c r="K34" s="377"/>
      <c r="L34" s="1553"/>
      <c r="M34" s="1747">
        <f>IF(L34&lt;&gt;"",L34,INDEX(Eingabedaten!$D$9:$DN$53,nutzid,MATCH($C33,Eingabedaten!$D$6:$DN$6,0)+1))</f>
        <v>22</v>
      </c>
      <c r="N34" s="1371"/>
      <c r="O34" s="148"/>
      <c r="P34" s="14"/>
      <c r="Q34" s="392">
        <v>1</v>
      </c>
      <c r="R34" s="14"/>
      <c r="S34" s="243"/>
      <c r="T34" s="89"/>
      <c r="U34" s="89"/>
      <c r="V34" s="64"/>
      <c r="W34" s="486"/>
      <c r="X34" s="158"/>
      <c r="Y34" s="64"/>
      <c r="Z34" s="158"/>
      <c r="AA34" s="158"/>
      <c r="AB34" s="64"/>
      <c r="AC34" s="158"/>
      <c r="AD34" s="158"/>
      <c r="AE34" s="64"/>
      <c r="AF34" s="64"/>
      <c r="AG34" s="65"/>
      <c r="AH34" s="65"/>
      <c r="AI34" s="65"/>
      <c r="AJ34" s="65"/>
      <c r="AK34" s="65"/>
      <c r="AL34" s="65"/>
      <c r="AM34" s="65"/>
      <c r="AN34" s="66"/>
      <c r="AO34" s="66"/>
      <c r="AP34" s="81"/>
      <c r="AQ34" s="81"/>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c r="CE34" s="42"/>
      <c r="CF34" s="42"/>
      <c r="CG34" s="42"/>
      <c r="CH34" s="42"/>
      <c r="CI34" s="42"/>
      <c r="CJ34" s="42"/>
      <c r="CK34" s="42"/>
      <c r="CL34" s="42"/>
      <c r="CM34" s="42"/>
      <c r="CN34" s="42"/>
      <c r="CO34" s="42"/>
      <c r="CP34" s="42"/>
      <c r="CQ34" s="42"/>
      <c r="CR34" s="42"/>
      <c r="CS34" s="42"/>
      <c r="CT34" s="42"/>
      <c r="CU34" s="42"/>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row>
    <row r="35" spans="1:170" s="8" customFormat="1" ht="18" customHeight="1">
      <c r="A35" s="1976"/>
      <c r="B35" s="204"/>
      <c r="C35" s="14" t="str">
        <f>Begriffe!F97</f>
        <v xml:space="preserve">Relative Raumluftfeuchte </v>
      </c>
      <c r="D35" s="14"/>
      <c r="E35" s="182"/>
      <c r="F35" s="14" t="str">
        <f>Begriffe!$F$348</f>
        <v>Auslegung Entfeuchtung</v>
      </c>
      <c r="G35" s="14"/>
      <c r="H35" s="14"/>
      <c r="I35" s="676" t="s">
        <v>1754</v>
      </c>
      <c r="J35" s="377" t="s">
        <v>5</v>
      </c>
      <c r="K35" s="377"/>
      <c r="L35" s="1553"/>
      <c r="M35" s="1744">
        <f>IF(L35&lt;&gt;"",L35,INDEX(Eingabedaten!$D$9:$DN$53,nutzid,MATCH($C35,Eingabedaten!$D$6:$DN$6,0)))</f>
        <v>60</v>
      </c>
      <c r="N35" s="1371"/>
      <c r="O35" s="148"/>
      <c r="P35" s="14">
        <v>0</v>
      </c>
      <c r="Q35" s="392">
        <v>1</v>
      </c>
      <c r="R35" s="14">
        <v>0</v>
      </c>
      <c r="S35" s="243"/>
      <c r="T35" s="89"/>
      <c r="U35" s="89"/>
      <c r="V35" s="64"/>
      <c r="W35" s="486"/>
      <c r="X35" s="158"/>
      <c r="Y35" s="64"/>
      <c r="Z35" s="158"/>
      <c r="AA35" s="158"/>
      <c r="AB35" s="64"/>
      <c r="AC35" s="158"/>
      <c r="AD35" s="158"/>
      <c r="AE35" s="64"/>
      <c r="AF35" s="64"/>
      <c r="AG35" s="65"/>
      <c r="AH35" s="65"/>
      <c r="AI35" s="65"/>
      <c r="AJ35" s="65"/>
      <c r="AK35" s="65"/>
      <c r="AL35" s="65"/>
      <c r="AM35" s="65"/>
      <c r="AN35" s="66"/>
      <c r="AO35" s="66"/>
      <c r="AP35" s="82"/>
      <c r="AQ35" s="82"/>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9"/>
      <c r="CW35" s="49"/>
      <c r="CX35" s="49"/>
      <c r="CY35" s="49"/>
      <c r="CZ35" s="49"/>
      <c r="DA35" s="49"/>
      <c r="DB35" s="49"/>
      <c r="DC35" s="49"/>
      <c r="DD35" s="49"/>
      <c r="DE35" s="49"/>
      <c r="DF35" s="49"/>
      <c r="DG35" s="49"/>
      <c r="DH35" s="49"/>
      <c r="DI35" s="49"/>
      <c r="DJ35" s="49"/>
      <c r="DK35" s="49"/>
      <c r="DL35" s="49"/>
      <c r="DM35" s="49"/>
      <c r="DN35" s="49"/>
      <c r="DO35" s="49"/>
      <c r="DP35" s="49"/>
      <c r="DQ35" s="49"/>
      <c r="DR35" s="49"/>
      <c r="DS35" s="49"/>
      <c r="DT35" s="49"/>
      <c r="DU35" s="49"/>
      <c r="DV35" s="49"/>
      <c r="DW35" s="49"/>
      <c r="DX35" s="49"/>
      <c r="DY35" s="49"/>
      <c r="DZ35" s="49"/>
      <c r="EA35" s="49"/>
      <c r="EB35" s="49"/>
      <c r="EC35" s="49"/>
      <c r="ED35" s="49"/>
      <c r="EE35" s="50"/>
      <c r="EF35" s="50"/>
      <c r="EG35" s="50"/>
      <c r="EH35" s="50"/>
      <c r="EI35" s="50"/>
      <c r="EJ35" s="50"/>
      <c r="EK35" s="50"/>
      <c r="EL35" s="50"/>
      <c r="EM35" s="50"/>
      <c r="EN35" s="50"/>
      <c r="EO35" s="50"/>
      <c r="EP35" s="50"/>
      <c r="EQ35" s="50"/>
      <c r="ER35" s="50"/>
      <c r="ES35" s="50"/>
      <c r="ET35" s="50"/>
      <c r="EU35" s="50"/>
      <c r="EV35" s="50"/>
      <c r="EW35" s="50"/>
      <c r="EX35" s="50"/>
      <c r="EY35" s="50"/>
      <c r="EZ35" s="50"/>
      <c r="FA35" s="50"/>
      <c r="FB35" s="50"/>
      <c r="FC35" s="50"/>
      <c r="FD35" s="50"/>
      <c r="FE35" s="50"/>
      <c r="FF35" s="50"/>
      <c r="FG35" s="50"/>
      <c r="FH35" s="50"/>
      <c r="FI35" s="50"/>
      <c r="FJ35" s="50"/>
      <c r="FK35" s="50"/>
      <c r="FL35" s="50"/>
      <c r="FM35" s="50"/>
      <c r="FN35" s="50"/>
    </row>
    <row r="36" spans="1:170" s="8" customFormat="1" ht="18" customHeight="1">
      <c r="A36" s="1976"/>
      <c r="B36" s="204"/>
      <c r="C36" s="14"/>
      <c r="D36" s="14"/>
      <c r="E36" s="182"/>
      <c r="F36" s="14" t="str">
        <f>Begriffe!$F$349</f>
        <v>Auslegung Befeuchtung</v>
      </c>
      <c r="G36" s="14"/>
      <c r="H36" s="14"/>
      <c r="I36" s="676" t="s">
        <v>1755</v>
      </c>
      <c r="J36" s="377" t="s">
        <v>5</v>
      </c>
      <c r="K36" s="377"/>
      <c r="L36" s="1553"/>
      <c r="M36" s="1747">
        <f>IF(L36&lt;&gt;"",L36,INDEX(Eingabedaten!$D$9:$DN$53,nutzid,MATCH($C35,Eingabedaten!$D$6:$DN$6,0)+1))</f>
        <v>30</v>
      </c>
      <c r="N36" s="1371"/>
      <c r="O36" s="148"/>
      <c r="P36" s="14">
        <v>0</v>
      </c>
      <c r="Q36" s="392">
        <v>1</v>
      </c>
      <c r="R36" s="14">
        <v>0</v>
      </c>
      <c r="S36" s="243"/>
      <c r="T36" s="89"/>
      <c r="U36" s="89"/>
      <c r="V36" s="64"/>
      <c r="W36" s="158"/>
      <c r="X36" s="158"/>
      <c r="Y36" s="64"/>
      <c r="Z36" s="158"/>
      <c r="AA36" s="158"/>
      <c r="AB36" s="64"/>
      <c r="AC36" s="158"/>
      <c r="AD36" s="158"/>
      <c r="AE36" s="64"/>
      <c r="AF36" s="64"/>
      <c r="AG36" s="65"/>
      <c r="AH36" s="65"/>
      <c r="AI36" s="65"/>
      <c r="AJ36" s="65"/>
      <c r="AK36" s="65"/>
      <c r="AL36" s="65"/>
      <c r="AM36" s="65"/>
      <c r="AN36" s="66"/>
      <c r="AO36" s="66"/>
      <c r="AP36" s="82"/>
      <c r="AQ36" s="82"/>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9"/>
      <c r="CW36" s="49"/>
      <c r="CX36" s="49"/>
      <c r="CY36" s="49"/>
      <c r="CZ36" s="49"/>
      <c r="DA36" s="49"/>
      <c r="DB36" s="49"/>
      <c r="DC36" s="49"/>
      <c r="DD36" s="49"/>
      <c r="DE36" s="49"/>
      <c r="DF36" s="49"/>
      <c r="DG36" s="49"/>
      <c r="DH36" s="49"/>
      <c r="DI36" s="49"/>
      <c r="DJ36" s="49"/>
      <c r="DK36" s="49"/>
      <c r="DL36" s="49"/>
      <c r="DM36" s="49"/>
      <c r="DN36" s="49"/>
      <c r="DO36" s="49"/>
      <c r="DP36" s="49"/>
      <c r="DQ36" s="49"/>
      <c r="DR36" s="49"/>
      <c r="DS36" s="49"/>
      <c r="DT36" s="49"/>
      <c r="DU36" s="49"/>
      <c r="DV36" s="49"/>
      <c r="DW36" s="49"/>
      <c r="DX36" s="49"/>
      <c r="DY36" s="49"/>
      <c r="DZ36" s="49"/>
      <c r="EA36" s="49"/>
      <c r="EB36" s="49"/>
      <c r="EC36" s="49"/>
      <c r="ED36" s="49"/>
      <c r="EE36" s="50"/>
      <c r="EF36" s="50"/>
      <c r="EG36" s="50"/>
      <c r="EH36" s="50"/>
      <c r="EI36" s="50"/>
      <c r="EJ36" s="50"/>
      <c r="EK36" s="50"/>
      <c r="EL36" s="50"/>
      <c r="EM36" s="50"/>
      <c r="EN36" s="50"/>
      <c r="EO36" s="50"/>
      <c r="EP36" s="50"/>
      <c r="EQ36" s="50"/>
      <c r="ER36" s="50"/>
      <c r="ES36" s="50"/>
      <c r="ET36" s="50"/>
      <c r="EU36" s="50"/>
      <c r="EV36" s="50"/>
      <c r="EW36" s="50"/>
      <c r="EX36" s="50"/>
      <c r="EY36" s="50"/>
      <c r="EZ36" s="50"/>
      <c r="FA36" s="50"/>
      <c r="FB36" s="50"/>
      <c r="FC36" s="50"/>
      <c r="FD36" s="50"/>
      <c r="FE36" s="50"/>
      <c r="FF36" s="50"/>
      <c r="FG36" s="50"/>
      <c r="FH36" s="50"/>
      <c r="FI36" s="50"/>
      <c r="FJ36" s="50"/>
      <c r="FK36" s="50"/>
      <c r="FL36" s="50"/>
      <c r="FM36" s="50"/>
      <c r="FN36" s="50"/>
    </row>
    <row r="37" spans="1:170" s="8" customFormat="1" ht="18" customHeight="1">
      <c r="A37" s="1976"/>
      <c r="B37" s="204"/>
      <c r="C37" s="14" t="str">
        <f>Begriffe!F77</f>
        <v>Mittlere Luftgeschwindigkeit</v>
      </c>
      <c r="D37" s="14"/>
      <c r="E37" s="182"/>
      <c r="F37" s="14" t="str">
        <f>Begriffe!$F$346</f>
        <v>Auslegung Kühlung</v>
      </c>
      <c r="G37" s="14"/>
      <c r="H37" s="14"/>
      <c r="I37" s="98" t="s">
        <v>1756</v>
      </c>
      <c r="J37" s="377" t="s">
        <v>6</v>
      </c>
      <c r="K37" s="7"/>
      <c r="L37" s="444"/>
      <c r="M37" s="1745">
        <f>IF(L37&lt;&gt;"",L37,IF(M31=0,0,ROUND((0.001*M31*M31-0.036*M31+0.439)*2,2)/2))</f>
        <v>0.18</v>
      </c>
      <c r="N37" s="1369"/>
      <c r="O37" s="169"/>
      <c r="P37" s="14">
        <v>1</v>
      </c>
      <c r="Q37" s="392">
        <v>1</v>
      </c>
      <c r="R37" s="14">
        <v>0</v>
      </c>
      <c r="S37" s="243"/>
      <c r="T37" s="89"/>
      <c r="U37" s="89"/>
      <c r="V37" s="64"/>
      <c r="W37" s="158"/>
      <c r="X37" s="158"/>
      <c r="Y37" s="64"/>
      <c r="Z37" s="158"/>
      <c r="AA37" s="158"/>
      <c r="AB37" s="64"/>
      <c r="AC37" s="158"/>
      <c r="AD37" s="158"/>
      <c r="AE37" s="64"/>
      <c r="AF37" s="64"/>
      <c r="AG37" s="65"/>
      <c r="AH37" s="65"/>
      <c r="AI37" s="65"/>
      <c r="AJ37" s="65"/>
      <c r="AK37" s="65"/>
      <c r="AL37" s="65"/>
      <c r="AM37" s="65"/>
      <c r="AN37" s="66"/>
      <c r="AO37" s="66"/>
      <c r="AP37" s="82"/>
      <c r="AQ37" s="82"/>
      <c r="AR37" s="48"/>
      <c r="AS37" s="48"/>
      <c r="AT37" s="48"/>
      <c r="AU37" s="48"/>
      <c r="AV37" s="48"/>
      <c r="AW37" s="48"/>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c r="BX37" s="48"/>
      <c r="BY37" s="48"/>
      <c r="BZ37" s="48"/>
      <c r="CA37" s="48"/>
      <c r="CB37" s="48"/>
      <c r="CC37" s="48"/>
      <c r="CD37" s="48"/>
      <c r="CE37" s="48"/>
      <c r="CF37" s="48"/>
      <c r="CG37" s="48"/>
      <c r="CH37" s="48"/>
      <c r="CI37" s="48"/>
      <c r="CJ37" s="48"/>
      <c r="CK37" s="48"/>
      <c r="CL37" s="48"/>
      <c r="CM37" s="48"/>
      <c r="CN37" s="48"/>
      <c r="CO37" s="48"/>
      <c r="CP37" s="48"/>
      <c r="CQ37" s="48"/>
      <c r="CR37" s="48"/>
      <c r="CS37" s="48"/>
      <c r="CT37" s="48"/>
      <c r="CU37" s="48"/>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c r="DT37" s="49"/>
      <c r="DU37" s="49"/>
      <c r="DV37" s="49"/>
      <c r="DW37" s="49"/>
      <c r="DX37" s="49"/>
      <c r="DY37" s="49"/>
      <c r="DZ37" s="49"/>
      <c r="EA37" s="49"/>
      <c r="EB37" s="49"/>
      <c r="EC37" s="49"/>
      <c r="ED37" s="49"/>
      <c r="EE37" s="50"/>
      <c r="EF37" s="50"/>
      <c r="EG37" s="50"/>
      <c r="EH37" s="50"/>
      <c r="EI37" s="50"/>
      <c r="EJ37" s="50"/>
      <c r="EK37" s="50"/>
      <c r="EL37" s="50"/>
      <c r="EM37" s="50"/>
      <c r="EN37" s="50"/>
      <c r="EO37" s="50"/>
      <c r="EP37" s="50"/>
      <c r="EQ37" s="50"/>
      <c r="ER37" s="50"/>
      <c r="ES37" s="50"/>
      <c r="ET37" s="50"/>
      <c r="EU37" s="50"/>
      <c r="EV37" s="50"/>
      <c r="EW37" s="50"/>
      <c r="EX37" s="50"/>
      <c r="EY37" s="50"/>
      <c r="EZ37" s="50"/>
      <c r="FA37" s="50"/>
      <c r="FB37" s="50"/>
      <c r="FC37" s="50"/>
      <c r="FD37" s="50"/>
      <c r="FE37" s="50"/>
      <c r="FF37" s="50"/>
      <c r="FG37" s="50"/>
      <c r="FH37" s="50"/>
      <c r="FI37" s="50"/>
      <c r="FJ37" s="50"/>
      <c r="FK37" s="50"/>
      <c r="FL37" s="50"/>
      <c r="FM37" s="50"/>
      <c r="FN37" s="50"/>
    </row>
    <row r="38" spans="1:170" s="8" customFormat="1" ht="18" customHeight="1">
      <c r="A38" s="1976"/>
      <c r="B38" s="204"/>
      <c r="C38" s="14"/>
      <c r="D38" s="14"/>
      <c r="E38" s="182"/>
      <c r="F38" s="14" t="str">
        <f>Begriffe!$F$347</f>
        <v>Auslegung Heizung</v>
      </c>
      <c r="G38" s="14"/>
      <c r="H38" s="14"/>
      <c r="I38" s="98" t="s">
        <v>1757</v>
      </c>
      <c r="J38" s="377" t="s">
        <v>6</v>
      </c>
      <c r="K38" s="7"/>
      <c r="L38" s="444"/>
      <c r="M38" s="1745">
        <f>IF(L38&lt;&gt;"",L38,IF(M32=0,0,ROUND((0.001*M32*M32-0.036*M32+0.439)*2,2)/2))</f>
        <v>0.125</v>
      </c>
      <c r="N38" s="1369"/>
      <c r="O38" s="169"/>
      <c r="P38" s="14">
        <v>1</v>
      </c>
      <c r="Q38" s="392">
        <v>1</v>
      </c>
      <c r="R38" s="14">
        <v>0</v>
      </c>
      <c r="S38" s="243"/>
      <c r="T38" s="89"/>
      <c r="U38" s="89"/>
      <c r="V38" s="64"/>
      <c r="W38" s="158"/>
      <c r="X38" s="158"/>
      <c r="Y38" s="64"/>
      <c r="Z38" s="158"/>
      <c r="AA38" s="158"/>
      <c r="AB38" s="64"/>
      <c r="AC38" s="158"/>
      <c r="AD38" s="158"/>
      <c r="AE38" s="64"/>
      <c r="AF38" s="64"/>
      <c r="AG38" s="65"/>
      <c r="AH38" s="65"/>
      <c r="AI38" s="65"/>
      <c r="AJ38" s="65"/>
      <c r="AK38" s="65"/>
      <c r="AL38" s="65"/>
      <c r="AM38" s="65"/>
      <c r="AN38" s="66"/>
      <c r="AO38" s="66"/>
      <c r="AP38" s="82"/>
      <c r="AQ38" s="82"/>
      <c r="AR38" s="48"/>
      <c r="AS38" s="48"/>
      <c r="AT38" s="48"/>
      <c r="AU38" s="48"/>
      <c r="AV38" s="48"/>
      <c r="AW38" s="48"/>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c r="BX38" s="48"/>
      <c r="BY38" s="48"/>
      <c r="BZ38" s="48"/>
      <c r="CA38" s="48"/>
      <c r="CB38" s="48"/>
      <c r="CC38" s="48"/>
      <c r="CD38" s="48"/>
      <c r="CE38" s="48"/>
      <c r="CF38" s="48"/>
      <c r="CG38" s="48"/>
      <c r="CH38" s="48"/>
      <c r="CI38" s="48"/>
      <c r="CJ38" s="48"/>
      <c r="CK38" s="48"/>
      <c r="CL38" s="48"/>
      <c r="CM38" s="48"/>
      <c r="CN38" s="48"/>
      <c r="CO38" s="48"/>
      <c r="CP38" s="48"/>
      <c r="CQ38" s="48"/>
      <c r="CR38" s="48"/>
      <c r="CS38" s="48"/>
      <c r="CT38" s="48"/>
      <c r="CU38" s="48"/>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c r="DT38" s="49"/>
      <c r="DU38" s="49"/>
      <c r="DV38" s="49"/>
      <c r="DW38" s="49"/>
      <c r="DX38" s="49"/>
      <c r="DY38" s="49"/>
      <c r="DZ38" s="49"/>
      <c r="EA38" s="49"/>
      <c r="EB38" s="49"/>
      <c r="EC38" s="49"/>
      <c r="ED38" s="49"/>
      <c r="EE38" s="50"/>
      <c r="EF38" s="50"/>
      <c r="EG38" s="50"/>
      <c r="EH38" s="50"/>
      <c r="EI38" s="50"/>
      <c r="EJ38" s="50"/>
      <c r="EK38" s="50"/>
      <c r="EL38" s="50"/>
      <c r="EM38" s="50"/>
      <c r="EN38" s="50"/>
      <c r="EO38" s="50"/>
      <c r="EP38" s="50"/>
      <c r="EQ38" s="50"/>
      <c r="ER38" s="50"/>
      <c r="ES38" s="50"/>
      <c r="ET38" s="50"/>
      <c r="EU38" s="50"/>
      <c r="EV38" s="50"/>
      <c r="EW38" s="50"/>
      <c r="EX38" s="50"/>
      <c r="EY38" s="50"/>
      <c r="EZ38" s="50"/>
      <c r="FA38" s="50"/>
      <c r="FB38" s="50"/>
      <c r="FC38" s="50"/>
      <c r="FD38" s="50"/>
      <c r="FE38" s="50"/>
      <c r="FF38" s="50"/>
      <c r="FG38" s="50"/>
      <c r="FH38" s="50"/>
      <c r="FI38" s="50"/>
      <c r="FJ38" s="50"/>
      <c r="FK38" s="50"/>
      <c r="FL38" s="50"/>
      <c r="FM38" s="50"/>
      <c r="FN38" s="50"/>
    </row>
    <row r="39" spans="1:170" s="7" customFormat="1" ht="18" customHeight="1">
      <c r="A39" s="1976"/>
      <c r="B39" s="204"/>
      <c r="C39" s="671" t="str">
        <f>Begriffe!F201</f>
        <v>Schallschutz</v>
      </c>
      <c r="D39" s="14"/>
      <c r="E39" s="14"/>
      <c r="F39" s="14"/>
      <c r="G39" s="14"/>
      <c r="H39" s="14"/>
      <c r="I39" s="98"/>
      <c r="J39" s="377"/>
      <c r="L39" s="377"/>
      <c r="M39" s="1741"/>
      <c r="N39" s="1372"/>
      <c r="O39" s="175"/>
      <c r="P39" s="14">
        <v>0</v>
      </c>
      <c r="Q39" s="392">
        <v>1</v>
      </c>
      <c r="R39" s="14">
        <v>0</v>
      </c>
      <c r="S39" s="243"/>
      <c r="T39" s="89"/>
      <c r="U39" s="89"/>
      <c r="V39" s="64"/>
      <c r="W39" s="158"/>
      <c r="X39" s="158"/>
      <c r="Y39" s="64"/>
      <c r="Z39" s="158"/>
      <c r="AA39" s="158"/>
      <c r="AB39" s="65"/>
      <c r="AC39" s="89"/>
      <c r="AD39" s="89"/>
      <c r="AE39" s="65"/>
      <c r="AF39" s="65"/>
      <c r="AG39" s="65"/>
      <c r="AH39" s="65"/>
      <c r="AI39" s="65"/>
      <c r="AJ39" s="65"/>
      <c r="AK39" s="65"/>
      <c r="AL39" s="65"/>
      <c r="AM39" s="65"/>
      <c r="AN39" s="65"/>
      <c r="AO39" s="65"/>
      <c r="AP39" s="65"/>
      <c r="AQ39" s="6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c r="CV39" s="52"/>
      <c r="CW39" s="52"/>
      <c r="CX39" s="52"/>
      <c r="CY39" s="52"/>
      <c r="CZ39" s="52"/>
      <c r="DA39" s="52"/>
      <c r="DB39" s="52"/>
      <c r="DC39" s="52"/>
      <c r="DD39" s="52"/>
      <c r="DE39" s="52"/>
      <c r="DF39" s="52"/>
      <c r="DG39" s="52"/>
      <c r="DH39" s="52"/>
      <c r="DI39" s="52"/>
      <c r="DJ39" s="52"/>
      <c r="DK39" s="52"/>
      <c r="DL39" s="52"/>
      <c r="DM39" s="52"/>
      <c r="DN39" s="52"/>
      <c r="DO39" s="52"/>
      <c r="DP39" s="52"/>
      <c r="DQ39" s="52"/>
      <c r="DR39" s="52"/>
      <c r="DS39" s="52"/>
      <c r="DT39" s="52"/>
      <c r="DU39" s="52"/>
      <c r="DV39" s="52"/>
      <c r="DW39" s="52"/>
      <c r="DX39" s="52"/>
      <c r="DY39" s="52"/>
      <c r="DZ39" s="52"/>
      <c r="EA39" s="52"/>
      <c r="EB39" s="52"/>
      <c r="EC39" s="52"/>
      <c r="ED39" s="52"/>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row>
    <row r="40" spans="1:170" s="8" customFormat="1" ht="25.85" customHeight="1">
      <c r="A40" s="1976"/>
      <c r="B40" s="204"/>
      <c r="C40" s="14" t="str">
        <f>Begriffe!F71</f>
        <v>Lärmempfindlichkeit</v>
      </c>
      <c r="D40" s="14"/>
      <c r="E40" s="14"/>
      <c r="F40" s="14" t="str">
        <f>Begriffe!$F$352</f>
        <v>Aussen-/Innenlärm, Trittschall</v>
      </c>
      <c r="G40" s="14"/>
      <c r="H40" s="704"/>
      <c r="I40" s="126" t="s">
        <v>208</v>
      </c>
      <c r="J40" s="677" t="s">
        <v>208</v>
      </c>
      <c r="K40" s="377"/>
      <c r="L40" s="1781"/>
      <c r="M40" s="1744" t="str">
        <f>IF(L40&lt;&gt;"",L40,INDEX(Eingabedaten!$D$9:$DN$53,nutzid,MATCH($C40,Eingabedaten!$D$6:$DN$6,0)))</f>
        <v>mittel</v>
      </c>
      <c r="N40" s="1373"/>
      <c r="O40" s="177"/>
      <c r="P40" s="14">
        <v>0</v>
      </c>
      <c r="Q40" s="392">
        <v>1</v>
      </c>
      <c r="R40" s="14">
        <v>0</v>
      </c>
      <c r="S40" s="243"/>
      <c r="T40" s="89"/>
      <c r="U40" s="89"/>
      <c r="V40" s="64"/>
      <c r="W40" s="158"/>
      <c r="X40" s="158"/>
      <c r="Y40" s="64"/>
      <c r="Z40" s="158"/>
      <c r="AA40" s="158"/>
      <c r="AB40" s="65"/>
      <c r="AC40" s="89"/>
      <c r="AD40" s="89"/>
      <c r="AE40" s="65"/>
      <c r="AF40" s="65"/>
      <c r="AG40" s="65"/>
      <c r="AH40" s="65"/>
      <c r="AI40" s="65"/>
      <c r="AJ40" s="65"/>
      <c r="AK40" s="65"/>
      <c r="AL40" s="65"/>
      <c r="AM40" s="65"/>
      <c r="AN40" s="66"/>
      <c r="AO40" s="66"/>
      <c r="AP40" s="82"/>
      <c r="AQ40" s="82"/>
      <c r="AR40" s="48"/>
      <c r="AS40" s="48"/>
      <c r="AT40" s="48"/>
      <c r="AU40" s="48"/>
      <c r="AV40" s="48"/>
      <c r="AW40" s="48"/>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c r="BX40" s="48"/>
      <c r="BY40" s="48"/>
      <c r="BZ40" s="48"/>
      <c r="CA40" s="48"/>
      <c r="CB40" s="48"/>
      <c r="CC40" s="48"/>
      <c r="CD40" s="48"/>
      <c r="CE40" s="48"/>
      <c r="CF40" s="48"/>
      <c r="CG40" s="48"/>
      <c r="CH40" s="48"/>
      <c r="CI40" s="48"/>
      <c r="CJ40" s="48"/>
      <c r="CK40" s="48"/>
      <c r="CL40" s="48"/>
      <c r="CM40" s="48"/>
      <c r="CN40" s="48"/>
      <c r="CO40" s="48"/>
      <c r="CP40" s="48"/>
      <c r="CQ40" s="48"/>
      <c r="CR40" s="48"/>
      <c r="CS40" s="48"/>
      <c r="CT40" s="48"/>
      <c r="CU40" s="48"/>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c r="DT40" s="49"/>
      <c r="DU40" s="49"/>
      <c r="DV40" s="49"/>
      <c r="DW40" s="49"/>
      <c r="DX40" s="49"/>
      <c r="DY40" s="49"/>
      <c r="DZ40" s="49"/>
      <c r="EA40" s="49"/>
      <c r="EB40" s="49"/>
      <c r="EC40" s="49"/>
      <c r="ED40" s="49"/>
      <c r="EE40" s="50"/>
      <c r="EF40" s="50"/>
      <c r="EG40" s="50"/>
      <c r="EH40" s="50"/>
      <c r="EI40" s="50"/>
      <c r="EJ40" s="50"/>
      <c r="EK40" s="50"/>
      <c r="EL40" s="50"/>
      <c r="EM40" s="50"/>
      <c r="EN40" s="50"/>
      <c r="EO40" s="50"/>
      <c r="EP40" s="50"/>
      <c r="EQ40" s="50"/>
      <c r="ER40" s="50"/>
      <c r="ES40" s="50"/>
      <c r="ET40" s="50"/>
      <c r="EU40" s="50"/>
      <c r="EV40" s="50"/>
      <c r="EW40" s="50"/>
      <c r="EX40" s="50"/>
      <c r="EY40" s="50"/>
      <c r="EZ40" s="50"/>
      <c r="FA40" s="50"/>
      <c r="FB40" s="50"/>
      <c r="FC40" s="50"/>
      <c r="FD40" s="50"/>
      <c r="FE40" s="50"/>
      <c r="FF40" s="50"/>
      <c r="FG40" s="50"/>
      <c r="FH40" s="50"/>
      <c r="FI40" s="50"/>
      <c r="FJ40" s="50"/>
      <c r="FK40" s="50"/>
      <c r="FL40" s="50"/>
      <c r="FM40" s="50"/>
      <c r="FN40" s="50"/>
    </row>
    <row r="41" spans="1:170" s="8" customFormat="1" ht="25.85" customHeight="1">
      <c r="A41" s="1976"/>
      <c r="B41" s="204"/>
      <c r="C41" s="14" t="str">
        <f>Begriffe!F27</f>
        <v>Anforderungswert an Dauergeräusche gebäudetech. Anlagen</v>
      </c>
      <c r="D41" s="14"/>
      <c r="E41" s="14"/>
      <c r="F41" s="243" t="str">
        <f>Begriffe!F353</f>
        <v>Auslegung Dauergeräusche</v>
      </c>
      <c r="H41" s="14"/>
      <c r="I41" s="672" t="s">
        <v>1515</v>
      </c>
      <c r="J41" s="678" t="s">
        <v>1489</v>
      </c>
      <c r="K41" s="377"/>
      <c r="L41" s="1553"/>
      <c r="M41" s="1744">
        <f>IF(L41&lt;&gt;"",L41,INDEX(Eingabedaten!$D$9:$DN$53,nutzid,MATCH($C41,Eingabedaten!$D$6:$DN$6,0)))</f>
        <v>28</v>
      </c>
      <c r="N41" s="1732"/>
      <c r="O41" s="468"/>
      <c r="P41" s="14">
        <v>0</v>
      </c>
      <c r="Q41" s="392">
        <v>1</v>
      </c>
      <c r="R41" s="14">
        <v>0</v>
      </c>
      <c r="S41" s="379"/>
      <c r="T41"/>
      <c r="U41"/>
      <c r="V41"/>
      <c r="W41"/>
      <c r="X41"/>
      <c r="Y41"/>
      <c r="Z41"/>
      <c r="AA41" s="158"/>
      <c r="AB41" s="65"/>
      <c r="AC41" s="89"/>
      <c r="AD41" s="89"/>
      <c r="AE41" s="65"/>
      <c r="AF41" s="65"/>
      <c r="AG41" s="65"/>
      <c r="AH41" s="65"/>
      <c r="AI41" s="65"/>
      <c r="AJ41" s="65"/>
      <c r="AK41" s="65"/>
      <c r="AL41" s="65"/>
      <c r="AM41" s="65"/>
      <c r="AN41" s="66"/>
      <c r="AO41" s="66"/>
      <c r="AP41" s="82"/>
      <c r="AQ41" s="82"/>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48"/>
      <c r="BY41" s="48"/>
      <c r="BZ41" s="48"/>
      <c r="CA41" s="48"/>
      <c r="CB41" s="48"/>
      <c r="CC41" s="48"/>
      <c r="CD41" s="48"/>
      <c r="CE41" s="48"/>
      <c r="CF41" s="48"/>
      <c r="CG41" s="48"/>
      <c r="CH41" s="48"/>
      <c r="CI41" s="48"/>
      <c r="CJ41" s="48"/>
      <c r="CK41" s="48"/>
      <c r="CL41" s="48"/>
      <c r="CM41" s="48"/>
      <c r="CN41" s="48"/>
      <c r="CO41" s="48"/>
      <c r="CP41" s="48"/>
      <c r="CQ41" s="48"/>
      <c r="CR41" s="48"/>
      <c r="CS41" s="48"/>
      <c r="CT41" s="48"/>
      <c r="CU41" s="48"/>
      <c r="CV41" s="49"/>
      <c r="CW41" s="49"/>
      <c r="CX41" s="49"/>
      <c r="CY41" s="49"/>
      <c r="CZ41" s="49"/>
      <c r="DA41" s="49"/>
      <c r="DB41" s="49"/>
      <c r="DC41" s="49"/>
      <c r="DD41" s="49"/>
      <c r="DE41" s="49"/>
      <c r="DF41" s="49"/>
      <c r="DG41" s="49"/>
      <c r="DH41" s="49"/>
      <c r="DI41" s="49"/>
      <c r="DJ41" s="49"/>
      <c r="DK41" s="49"/>
      <c r="DL41" s="49"/>
      <c r="DM41" s="49"/>
      <c r="DN41" s="49"/>
      <c r="DO41" s="49"/>
      <c r="DP41" s="49"/>
      <c r="DQ41" s="49"/>
      <c r="DR41" s="49"/>
      <c r="DS41" s="49"/>
      <c r="DT41" s="49"/>
      <c r="DU41" s="49"/>
      <c r="DV41" s="49"/>
      <c r="DW41" s="49"/>
      <c r="DX41" s="49"/>
      <c r="DY41" s="49"/>
      <c r="DZ41" s="49"/>
      <c r="EA41" s="49"/>
      <c r="EB41" s="49"/>
      <c r="EC41" s="49"/>
      <c r="ED41" s="49"/>
      <c r="EE41" s="50"/>
      <c r="EF41" s="50"/>
      <c r="EG41" s="50"/>
      <c r="EH41" s="50"/>
      <c r="EI41" s="50"/>
      <c r="EJ41" s="50"/>
      <c r="EK41" s="50"/>
      <c r="EL41" s="50"/>
      <c r="EM41" s="50"/>
      <c r="EN41" s="50"/>
      <c r="EO41" s="50"/>
      <c r="EP41" s="50"/>
      <c r="EQ41" s="50"/>
      <c r="ER41" s="50"/>
      <c r="ES41" s="50"/>
      <c r="ET41" s="50"/>
      <c r="EU41" s="50"/>
      <c r="EV41" s="50"/>
      <c r="EW41" s="50"/>
      <c r="EX41" s="50"/>
      <c r="EY41" s="50"/>
      <c r="EZ41" s="50"/>
      <c r="FA41" s="50"/>
      <c r="FB41" s="50"/>
      <c r="FC41" s="50"/>
      <c r="FD41" s="50"/>
      <c r="FE41" s="50"/>
      <c r="FF41" s="50"/>
      <c r="FG41" s="50"/>
      <c r="FH41" s="50"/>
      <c r="FI41" s="50"/>
      <c r="FJ41" s="50"/>
      <c r="FK41" s="50"/>
      <c r="FL41" s="50"/>
      <c r="FM41" s="50"/>
      <c r="FN41" s="50"/>
    </row>
    <row r="42" spans="1:170" s="8" customFormat="1" ht="18" hidden="1" customHeight="1">
      <c r="A42" s="1976"/>
      <c r="B42" s="204"/>
      <c r="C42" s="14" t="str">
        <f>Begriffe!F80</f>
        <v>Nachhallzeit</v>
      </c>
      <c r="D42" s="14"/>
      <c r="E42" s="14"/>
      <c r="F42" s="243" t="str">
        <f>Begriffe!F354</f>
        <v>Mit Möblierung</v>
      </c>
      <c r="H42" s="14"/>
      <c r="I42" s="98" t="s">
        <v>8</v>
      </c>
      <c r="J42" s="377" t="s">
        <v>9</v>
      </c>
      <c r="K42" s="377"/>
      <c r="L42" s="510"/>
      <c r="M42" s="378">
        <f>IF(L42&lt;&gt;"",L42,INDEX(Eingabedaten!$D$9:$DN$53,nutzid,MATCH($C42,Eingabedaten!$D$6:$DN$6,0)))</f>
        <v>0.6</v>
      </c>
      <c r="N42" s="394"/>
      <c r="O42" s="394"/>
      <c r="P42" s="14">
        <v>0</v>
      </c>
      <c r="Q42" s="392"/>
      <c r="R42" s="14">
        <v>0</v>
      </c>
      <c r="S42" s="379"/>
      <c r="T42"/>
      <c r="U42"/>
      <c r="V42"/>
      <c r="W42"/>
      <c r="X42"/>
      <c r="Y42"/>
      <c r="Z42"/>
      <c r="AA42" s="158"/>
      <c r="AB42" s="64"/>
      <c r="AC42" s="158"/>
      <c r="AD42" s="158"/>
      <c r="AE42" s="64"/>
      <c r="AF42" s="64"/>
      <c r="AG42" s="64"/>
      <c r="AH42" s="64"/>
      <c r="AI42" s="64"/>
      <c r="AJ42" s="64"/>
      <c r="AK42" s="64"/>
      <c r="AL42" s="65"/>
      <c r="AM42" s="65"/>
      <c r="AN42" s="66"/>
      <c r="AO42" s="66"/>
      <c r="AP42" s="82"/>
      <c r="AQ42" s="82"/>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48"/>
      <c r="BY42" s="48"/>
      <c r="BZ42" s="48"/>
      <c r="CA42" s="48"/>
      <c r="CB42" s="48"/>
      <c r="CC42" s="48"/>
      <c r="CD42" s="48"/>
      <c r="CE42" s="48"/>
      <c r="CF42" s="48"/>
      <c r="CG42" s="48"/>
      <c r="CH42" s="48"/>
      <c r="CI42" s="48"/>
      <c r="CJ42" s="48"/>
      <c r="CK42" s="48"/>
      <c r="CL42" s="48"/>
      <c r="CM42" s="48"/>
      <c r="CN42" s="48"/>
      <c r="CO42" s="48"/>
      <c r="CP42" s="48"/>
      <c r="CQ42" s="48"/>
      <c r="CR42" s="48"/>
      <c r="CS42" s="48"/>
      <c r="CT42" s="48"/>
      <c r="CU42" s="48"/>
      <c r="CV42" s="49"/>
      <c r="CW42" s="49"/>
      <c r="CX42" s="49"/>
      <c r="CY42" s="49"/>
      <c r="CZ42" s="49"/>
      <c r="DA42" s="49"/>
      <c r="DB42" s="49"/>
      <c r="DC42" s="49"/>
      <c r="DD42" s="49"/>
      <c r="DE42" s="49"/>
      <c r="DF42" s="49"/>
      <c r="DG42" s="49"/>
      <c r="DH42" s="49"/>
      <c r="DI42" s="49"/>
      <c r="DJ42" s="49"/>
      <c r="DK42" s="49"/>
      <c r="DL42" s="49"/>
      <c r="DM42" s="49"/>
      <c r="DN42" s="49"/>
      <c r="DO42" s="49"/>
      <c r="DP42" s="49"/>
      <c r="DQ42" s="49"/>
      <c r="DR42" s="49"/>
      <c r="DS42" s="49"/>
      <c r="DT42" s="49"/>
      <c r="DU42" s="49"/>
      <c r="DV42" s="49"/>
      <c r="DW42" s="49"/>
      <c r="DX42" s="49"/>
      <c r="DY42" s="49"/>
      <c r="DZ42" s="49"/>
      <c r="EA42" s="49"/>
      <c r="EB42" s="49"/>
      <c r="EC42" s="49"/>
      <c r="ED42" s="49"/>
      <c r="EE42" s="50"/>
      <c r="EF42" s="50"/>
      <c r="EG42" s="50"/>
      <c r="EH42" s="50"/>
      <c r="EI42" s="50"/>
      <c r="EJ42" s="50"/>
      <c r="EK42" s="50"/>
      <c r="EL42" s="50"/>
      <c r="EM42" s="50"/>
      <c r="EN42" s="50"/>
      <c r="EO42" s="50"/>
      <c r="EP42" s="50"/>
      <c r="EQ42" s="50"/>
      <c r="ER42" s="50"/>
      <c r="ES42" s="50"/>
      <c r="ET42" s="50"/>
      <c r="EU42" s="50"/>
      <c r="EV42" s="50"/>
      <c r="EW42" s="50"/>
      <c r="EX42" s="50"/>
      <c r="EY42" s="50"/>
      <c r="EZ42" s="50"/>
      <c r="FA42" s="50"/>
      <c r="FB42" s="50"/>
      <c r="FC42" s="50"/>
      <c r="FD42" s="50"/>
      <c r="FE42" s="50"/>
      <c r="FF42" s="50"/>
      <c r="FG42" s="50"/>
      <c r="FH42" s="50"/>
      <c r="FI42" s="50"/>
      <c r="FJ42" s="50"/>
      <c r="FK42" s="50"/>
      <c r="FL42" s="50"/>
      <c r="FM42" s="50"/>
      <c r="FN42" s="50"/>
    </row>
    <row r="43" spans="1:170" s="13" customFormat="1" ht="18" hidden="1" customHeight="1">
      <c r="A43" s="1977"/>
      <c r="B43" s="204"/>
      <c r="C43" s="95"/>
      <c r="I43" s="96"/>
      <c r="J43" s="103"/>
      <c r="K43" s="103"/>
      <c r="L43" s="103"/>
      <c r="M43" s="100"/>
      <c r="N43" s="178"/>
      <c r="O43" s="179"/>
      <c r="P43" s="14">
        <v>0</v>
      </c>
      <c r="Q43" s="392"/>
      <c r="R43" s="14">
        <v>0</v>
      </c>
      <c r="S43" s="379"/>
      <c r="T43"/>
      <c r="U43"/>
      <c r="V43"/>
      <c r="W43"/>
      <c r="X43"/>
      <c r="Y43"/>
      <c r="Z43"/>
      <c r="AA43" s="158"/>
      <c r="AB43" s="64"/>
      <c r="AC43" s="158"/>
      <c r="AD43" s="158"/>
      <c r="AE43" s="64"/>
      <c r="AF43" s="64"/>
      <c r="AG43" s="65"/>
      <c r="AH43" s="65"/>
      <c r="AI43" s="65"/>
      <c r="AJ43" s="65"/>
      <c r="AK43" s="65"/>
      <c r="AL43" s="65"/>
      <c r="AM43" s="65"/>
      <c r="AN43" s="65"/>
      <c r="AO43" s="65"/>
      <c r="AP43" s="65"/>
      <c r="AQ43" s="6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5"/>
      <c r="CA43" s="45"/>
      <c r="CB43" s="45"/>
      <c r="CC43" s="45"/>
      <c r="CD43" s="45"/>
      <c r="CE43" s="45"/>
      <c r="CF43" s="45"/>
      <c r="CG43" s="45"/>
      <c r="CH43" s="45"/>
      <c r="CI43" s="45"/>
      <c r="CJ43" s="45"/>
      <c r="CK43" s="45"/>
      <c r="CL43" s="45"/>
      <c r="CM43" s="45"/>
      <c r="CN43" s="45"/>
      <c r="CO43" s="45"/>
      <c r="CP43" s="45"/>
      <c r="CQ43" s="45"/>
      <c r="CR43" s="45"/>
      <c r="CS43" s="45"/>
      <c r="CT43" s="45"/>
      <c r="CU43" s="45"/>
      <c r="CV43" s="52"/>
      <c r="CW43" s="52"/>
      <c r="CX43" s="52"/>
      <c r="CY43" s="52"/>
      <c r="CZ43" s="52"/>
      <c r="DA43" s="52"/>
      <c r="DB43" s="52"/>
      <c r="DC43" s="52"/>
      <c r="DD43" s="52"/>
      <c r="DE43" s="52"/>
      <c r="DF43" s="52"/>
      <c r="DG43" s="52"/>
      <c r="DH43" s="52"/>
      <c r="DI43" s="52"/>
      <c r="DJ43" s="52"/>
      <c r="DK43" s="52"/>
      <c r="DL43" s="52"/>
      <c r="DM43" s="52"/>
      <c r="DN43" s="52"/>
      <c r="DO43" s="52"/>
      <c r="DP43" s="52"/>
      <c r="DQ43" s="52"/>
      <c r="DR43" s="52"/>
      <c r="DS43" s="52"/>
      <c r="DT43" s="52"/>
      <c r="DU43" s="52"/>
      <c r="DV43" s="52"/>
      <c r="DW43" s="52"/>
      <c r="DX43" s="52"/>
      <c r="DY43" s="52"/>
      <c r="DZ43" s="52"/>
      <c r="EA43" s="52"/>
      <c r="EB43" s="52"/>
      <c r="EC43" s="52"/>
      <c r="ED43" s="52"/>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row>
    <row r="44" spans="1:170" s="5" customFormat="1" ht="2.25" customHeight="1">
      <c r="A44" s="113"/>
      <c r="B44" s="495"/>
      <c r="C44" s="114"/>
      <c r="D44" s="114"/>
      <c r="E44" s="114"/>
      <c r="F44" s="114"/>
      <c r="G44" s="114"/>
      <c r="H44" s="114"/>
      <c r="I44" s="115"/>
      <c r="J44" s="114"/>
      <c r="K44" s="114"/>
      <c r="L44" s="115"/>
      <c r="M44" s="1748"/>
      <c r="N44" s="1733"/>
      <c r="O44" s="136"/>
      <c r="P44" s="14">
        <v>0</v>
      </c>
      <c r="Q44" s="392">
        <v>1</v>
      </c>
      <c r="R44" s="14">
        <v>0</v>
      </c>
      <c r="S44" s="167"/>
      <c r="T44" s="160"/>
      <c r="U44" s="160"/>
      <c r="V44" s="167"/>
      <c r="W44" s="160"/>
      <c r="X44" s="160"/>
      <c r="Y44" s="167"/>
      <c r="Z44" s="160"/>
      <c r="AA44" s="160"/>
      <c r="AB44" s="167"/>
      <c r="AC44" s="160"/>
      <c r="AD44" s="160"/>
      <c r="AN44" s="84"/>
      <c r="AO44" s="84"/>
      <c r="AP44" s="85"/>
      <c r="AQ44" s="85"/>
      <c r="AR44" s="54"/>
      <c r="AS44" s="54"/>
      <c r="AT44" s="54"/>
      <c r="AU44" s="54"/>
      <c r="AV44" s="54"/>
      <c r="AW44" s="54"/>
      <c r="AX44" s="54"/>
      <c r="AY44" s="54"/>
      <c r="AZ44" s="54"/>
      <c r="BA44" s="54"/>
      <c r="BB44" s="54"/>
      <c r="BC44" s="54"/>
      <c r="BD44" s="54"/>
      <c r="BE44" s="54"/>
      <c r="BF44" s="54"/>
      <c r="BG44" s="54"/>
      <c r="BH44" s="54"/>
      <c r="BI44" s="54"/>
      <c r="BJ44" s="54"/>
      <c r="BK44" s="54"/>
      <c r="BL44" s="54"/>
      <c r="BM44" s="54"/>
      <c r="BN44" s="54"/>
      <c r="BO44" s="54"/>
      <c r="BP44" s="54"/>
      <c r="BQ44" s="54"/>
      <c r="BR44" s="54"/>
      <c r="BS44" s="54"/>
      <c r="BT44" s="54"/>
      <c r="BU44" s="54"/>
      <c r="BV44" s="54"/>
      <c r="BW44" s="54"/>
      <c r="BX44" s="54"/>
      <c r="BY44" s="54"/>
      <c r="BZ44" s="54"/>
      <c r="CA44" s="54"/>
      <c r="CB44" s="54"/>
      <c r="CC44" s="54"/>
      <c r="CD44" s="54"/>
      <c r="CE44" s="54"/>
      <c r="CF44" s="54"/>
      <c r="CG44" s="54"/>
      <c r="CH44" s="54"/>
      <c r="CI44" s="54"/>
      <c r="CJ44" s="54"/>
      <c r="CK44" s="54"/>
      <c r="CL44" s="54"/>
      <c r="CM44" s="54"/>
      <c r="CN44" s="54"/>
      <c r="CO44" s="54"/>
      <c r="CP44" s="54"/>
      <c r="CQ44" s="54"/>
      <c r="CR44" s="54"/>
      <c r="CS44" s="54"/>
      <c r="CT44" s="54"/>
      <c r="CU44" s="54"/>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5"/>
      <c r="EB44" s="55"/>
      <c r="EC44" s="55"/>
      <c r="ED44" s="55"/>
      <c r="EE44" s="53"/>
      <c r="EF44" s="53"/>
      <c r="EG44" s="53"/>
      <c r="EH44" s="53"/>
      <c r="EI44" s="53"/>
      <c r="EJ44" s="53"/>
      <c r="EK44" s="53"/>
      <c r="EL44" s="53"/>
      <c r="EM44" s="53"/>
      <c r="EN44" s="53"/>
      <c r="EO44" s="53"/>
      <c r="EP44" s="53"/>
      <c r="EQ44" s="53"/>
      <c r="ER44" s="53"/>
      <c r="ES44" s="53"/>
      <c r="ET44" s="53"/>
      <c r="EU44" s="53"/>
      <c r="EV44" s="53"/>
      <c r="EW44" s="53"/>
      <c r="EX44" s="53"/>
      <c r="EY44" s="53"/>
      <c r="EZ44" s="53"/>
      <c r="FA44" s="53"/>
      <c r="FB44" s="53"/>
      <c r="FC44" s="53"/>
      <c r="FD44" s="53"/>
      <c r="FE44" s="53"/>
      <c r="FF44" s="53"/>
      <c r="FG44" s="53"/>
      <c r="FH44" s="53"/>
      <c r="FI44" s="53"/>
      <c r="FJ44" s="53"/>
      <c r="FK44" s="53"/>
      <c r="FL44" s="53"/>
      <c r="FM44" s="53"/>
      <c r="FN44" s="53"/>
    </row>
    <row r="45" spans="1:170" s="2" customFormat="1" ht="18" hidden="1" customHeight="1">
      <c r="A45" s="1976" t="str">
        <f>Begriffe!F204</f>
        <v>Personen</v>
      </c>
      <c r="B45" s="204"/>
      <c r="K45" s="488"/>
      <c r="L45" s="446"/>
      <c r="N45" s="446"/>
      <c r="P45" s="14">
        <v>0</v>
      </c>
      <c r="Q45" s="392">
        <v>0</v>
      </c>
      <c r="R45" s="14">
        <v>0</v>
      </c>
      <c r="S45" s="618"/>
      <c r="U45" s="161"/>
      <c r="V45" s="168"/>
      <c r="W45" s="161"/>
      <c r="X45" s="161"/>
      <c r="Y45" s="168"/>
      <c r="Z45" s="161"/>
      <c r="AA45" s="161"/>
      <c r="AB45" s="168"/>
      <c r="AC45" s="161"/>
      <c r="AD45" s="161"/>
      <c r="AM45" s="36"/>
      <c r="AN45" s="84"/>
      <c r="AO45" s="84"/>
      <c r="AP45" s="85"/>
      <c r="AQ45" s="85"/>
      <c r="AR45" s="54"/>
      <c r="AS45" s="54"/>
      <c r="AT45" s="54"/>
      <c r="AU45" s="54"/>
      <c r="AV45" s="54"/>
      <c r="AW45" s="54"/>
      <c r="AX45" s="54"/>
      <c r="AY45" s="54"/>
      <c r="AZ45" s="54"/>
      <c r="BA45" s="54"/>
      <c r="BB45" s="54"/>
      <c r="BC45" s="54"/>
      <c r="BD45" s="54"/>
      <c r="BE45" s="54"/>
      <c r="BF45" s="54"/>
      <c r="BG45" s="54"/>
      <c r="BH45" s="54"/>
      <c r="BI45" s="54"/>
      <c r="BJ45" s="54"/>
      <c r="BK45" s="54"/>
      <c r="BL45" s="54"/>
      <c r="BM45" s="54"/>
      <c r="BN45" s="54"/>
      <c r="BO45" s="54"/>
      <c r="BP45" s="54"/>
      <c r="BQ45" s="54"/>
      <c r="BR45" s="54"/>
      <c r="BS45" s="54"/>
      <c r="BT45" s="54"/>
      <c r="BU45" s="54"/>
      <c r="BV45" s="54"/>
      <c r="BW45" s="54"/>
      <c r="BX45" s="54"/>
      <c r="BY45" s="54"/>
      <c r="BZ45" s="54"/>
      <c r="CA45" s="54"/>
      <c r="CB45" s="54"/>
      <c r="CC45" s="54"/>
      <c r="CD45" s="54"/>
      <c r="CE45" s="54"/>
      <c r="CF45" s="54"/>
      <c r="CG45" s="54"/>
      <c r="CH45" s="54"/>
      <c r="CI45" s="54"/>
      <c r="CJ45" s="54"/>
      <c r="CK45" s="54"/>
      <c r="CL45" s="54"/>
      <c r="CM45" s="54"/>
      <c r="CN45" s="54"/>
      <c r="CO45" s="54"/>
      <c r="CP45" s="54"/>
      <c r="CQ45" s="54"/>
      <c r="CR45" s="54"/>
      <c r="CS45" s="54"/>
      <c r="CT45" s="54"/>
      <c r="CU45" s="54"/>
      <c r="CV45" s="55"/>
      <c r="CW45" s="55"/>
      <c r="CX45" s="55"/>
      <c r="CY45" s="55"/>
      <c r="CZ45" s="55"/>
      <c r="DA45" s="55"/>
      <c r="DB45" s="55"/>
      <c r="DC45" s="55"/>
      <c r="DD45" s="55"/>
      <c r="DE45" s="55"/>
      <c r="DF45" s="55"/>
      <c r="DG45" s="55"/>
      <c r="DH45" s="55"/>
      <c r="DI45" s="55"/>
      <c r="DJ45" s="55"/>
      <c r="DK45" s="55"/>
      <c r="DL45" s="55"/>
      <c r="DM45" s="55"/>
      <c r="DN45" s="55"/>
      <c r="DO45" s="55"/>
      <c r="DP45" s="55"/>
      <c r="DQ45" s="55"/>
      <c r="DR45" s="55"/>
      <c r="DS45" s="55"/>
      <c r="DT45" s="55"/>
      <c r="DU45" s="55"/>
      <c r="DV45" s="55"/>
      <c r="DW45" s="55"/>
      <c r="DX45" s="55"/>
      <c r="DY45" s="55"/>
      <c r="DZ45" s="55"/>
      <c r="EA45" s="55"/>
      <c r="EB45" s="55"/>
      <c r="EC45" s="55"/>
      <c r="ED45" s="55"/>
      <c r="EE45" s="56"/>
      <c r="EF45" s="56"/>
      <c r="EG45" s="56"/>
      <c r="EH45" s="56"/>
      <c r="EI45" s="56"/>
      <c r="EJ45" s="56"/>
      <c r="EK45" s="56"/>
      <c r="EL45" s="56"/>
      <c r="EM45" s="56"/>
      <c r="EN45" s="56"/>
      <c r="EO45" s="56"/>
      <c r="EP45" s="56"/>
      <c r="EQ45" s="56"/>
      <c r="ER45" s="56"/>
      <c r="ES45" s="56"/>
      <c r="ET45" s="56"/>
      <c r="EU45" s="56"/>
      <c r="EV45" s="56"/>
      <c r="EW45" s="56"/>
      <c r="EX45" s="56"/>
      <c r="EY45" s="56"/>
      <c r="EZ45" s="56"/>
      <c r="FA45" s="56"/>
      <c r="FB45" s="56"/>
      <c r="FC45" s="56"/>
      <c r="FD45" s="56"/>
      <c r="FE45" s="56"/>
      <c r="FF45" s="56"/>
      <c r="FG45" s="56"/>
      <c r="FH45" s="56"/>
      <c r="FI45" s="56"/>
      <c r="FJ45" s="56"/>
      <c r="FK45" s="56"/>
      <c r="FL45" s="56"/>
      <c r="FM45" s="56"/>
      <c r="FN45" s="56"/>
    </row>
    <row r="46" spans="1:170" s="2" customFormat="1" ht="18" customHeight="1">
      <c r="A46" s="1976"/>
      <c r="B46" s="204"/>
      <c r="C46" s="1983" t="str">
        <f>Begriffe!F88</f>
        <v>Personenprofil</v>
      </c>
      <c r="D46" s="1"/>
      <c r="E46" s="183"/>
      <c r="F46" s="183"/>
      <c r="G46" s="1"/>
      <c r="H46" s="184"/>
      <c r="I46" s="1985" t="str">
        <f>Begriffe!F54</f>
        <v>Jahresprofil</v>
      </c>
      <c r="J46" s="185"/>
      <c r="K46" s="185"/>
      <c r="L46" s="185"/>
      <c r="M46" s="1749"/>
      <c r="N46" s="1374"/>
      <c r="O46" s="127"/>
      <c r="P46" s="14">
        <v>0</v>
      </c>
      <c r="Q46" s="392">
        <v>1</v>
      </c>
      <c r="R46" s="14">
        <v>0</v>
      </c>
      <c r="S46" s="243"/>
      <c r="T46" s="161"/>
      <c r="U46" s="161"/>
      <c r="V46" s="168"/>
      <c r="W46" s="161"/>
      <c r="X46" s="161"/>
      <c r="Y46" s="168"/>
      <c r="Z46" s="161"/>
      <c r="AA46" s="161"/>
      <c r="AB46" s="168"/>
      <c r="AC46" s="161"/>
      <c r="AD46" s="161"/>
      <c r="AM46" s="7"/>
      <c r="AN46" s="86"/>
      <c r="AO46" s="86"/>
      <c r="AR46" s="56"/>
      <c r="AS46" s="56"/>
      <c r="AT46" s="56"/>
      <c r="AU46" s="56"/>
      <c r="AV46" s="56"/>
      <c r="AW46" s="56"/>
      <c r="AX46" s="56"/>
      <c r="AY46" s="56"/>
      <c r="AZ46" s="56"/>
      <c r="BA46" s="56"/>
      <c r="BB46" s="56"/>
      <c r="BC46" s="56"/>
      <c r="BD46" s="56"/>
      <c r="BE46" s="56"/>
      <c r="BF46" s="56"/>
      <c r="BG46" s="56"/>
      <c r="BH46" s="56"/>
      <c r="BI46" s="56"/>
      <c r="BJ46" s="56"/>
      <c r="BK46" s="56"/>
      <c r="BL46" s="56"/>
      <c r="BM46" s="56"/>
      <c r="BN46" s="56"/>
      <c r="BO46" s="56"/>
      <c r="BP46" s="56"/>
      <c r="BQ46" s="56"/>
      <c r="BR46" s="56"/>
      <c r="BS46" s="56"/>
      <c r="BT46" s="56"/>
      <c r="BU46" s="56"/>
      <c r="BV46" s="56"/>
      <c r="BW46" s="56"/>
      <c r="BX46" s="56"/>
      <c r="BY46" s="56"/>
      <c r="BZ46" s="56"/>
      <c r="CA46" s="56"/>
      <c r="CB46" s="56"/>
      <c r="CC46" s="56"/>
      <c r="CD46" s="56"/>
      <c r="CE46" s="56"/>
      <c r="CF46" s="56"/>
      <c r="CG46" s="56"/>
      <c r="CH46" s="56"/>
      <c r="CI46" s="56"/>
      <c r="CJ46" s="56"/>
      <c r="CK46" s="56"/>
      <c r="CL46" s="56"/>
      <c r="CM46" s="56"/>
      <c r="CN46" s="56"/>
      <c r="CO46" s="56"/>
      <c r="CP46" s="56"/>
      <c r="CQ46" s="56"/>
      <c r="CR46" s="56"/>
      <c r="CS46" s="56"/>
      <c r="CT46" s="56"/>
      <c r="CU46" s="56"/>
      <c r="CV46" s="56"/>
      <c r="CW46" s="56"/>
      <c r="CX46" s="56"/>
      <c r="CY46" s="56"/>
      <c r="CZ46" s="56"/>
      <c r="DA46" s="56"/>
      <c r="DB46" s="56"/>
      <c r="DC46" s="56"/>
      <c r="DD46" s="56"/>
      <c r="DE46" s="55"/>
      <c r="DF46" s="55"/>
      <c r="DG46" s="55"/>
      <c r="DH46" s="55"/>
      <c r="DI46" s="55"/>
      <c r="DJ46" s="55"/>
      <c r="DK46" s="55"/>
      <c r="DL46" s="55"/>
      <c r="DM46" s="55"/>
      <c r="DN46" s="55"/>
      <c r="DO46" s="55"/>
      <c r="DP46" s="55"/>
      <c r="DQ46" s="55"/>
      <c r="DR46" s="55"/>
      <c r="DS46" s="55"/>
      <c r="DT46" s="55"/>
      <c r="DU46" s="55"/>
      <c r="DV46" s="55"/>
      <c r="DW46" s="55"/>
      <c r="DX46" s="55"/>
      <c r="DY46" s="55"/>
      <c r="DZ46" s="55"/>
      <c r="EA46" s="55"/>
      <c r="EB46" s="55"/>
      <c r="EC46" s="55"/>
      <c r="ED46" s="55"/>
      <c r="EE46" s="56"/>
      <c r="EF46" s="56"/>
      <c r="EG46" s="56"/>
      <c r="EH46" s="56"/>
      <c r="EI46" s="56"/>
      <c r="EJ46" s="56"/>
      <c r="EK46" s="56"/>
      <c r="EL46" s="56"/>
      <c r="EM46" s="56"/>
      <c r="EN46" s="56"/>
      <c r="EO46" s="56"/>
      <c r="EP46" s="56"/>
      <c r="EQ46" s="56"/>
      <c r="ER46" s="56"/>
      <c r="ES46" s="56"/>
      <c r="ET46" s="56"/>
      <c r="EU46" s="56"/>
      <c r="EV46" s="56"/>
      <c r="EW46" s="56"/>
      <c r="EX46" s="56"/>
      <c r="EY46" s="56"/>
      <c r="EZ46" s="56"/>
      <c r="FA46" s="56"/>
      <c r="FB46" s="56"/>
      <c r="FC46" s="56"/>
      <c r="FD46" s="56"/>
      <c r="FE46" s="56"/>
      <c r="FF46" s="56"/>
      <c r="FG46" s="56"/>
      <c r="FH46" s="56"/>
      <c r="FI46" s="56"/>
      <c r="FJ46" s="56"/>
      <c r="FK46" s="56"/>
      <c r="FL46" s="56"/>
      <c r="FM46" s="56"/>
      <c r="FN46" s="56"/>
    </row>
    <row r="47" spans="1:170" s="2" customFormat="1" ht="18" customHeight="1">
      <c r="A47" s="1976"/>
      <c r="B47" s="204"/>
      <c r="C47" s="1983"/>
      <c r="D47" s="1"/>
      <c r="E47" s="183"/>
      <c r="F47" s="183"/>
      <c r="G47" s="1"/>
      <c r="H47" s="184"/>
      <c r="I47" s="1985"/>
      <c r="J47" s="185"/>
      <c r="K47" s="185"/>
      <c r="L47" s="185"/>
      <c r="M47" s="1749"/>
      <c r="N47" s="1374"/>
      <c r="O47" s="127"/>
      <c r="P47" s="14">
        <v>0</v>
      </c>
      <c r="Q47" s="205">
        <v>1</v>
      </c>
      <c r="R47" s="14">
        <v>0</v>
      </c>
      <c r="S47" s="618"/>
      <c r="T47" s="161"/>
      <c r="U47" s="161"/>
      <c r="V47" s="168"/>
      <c r="W47" s="161"/>
      <c r="X47" s="161"/>
      <c r="Y47" s="168"/>
      <c r="Z47" s="161"/>
      <c r="AA47" s="161"/>
      <c r="AB47" s="168"/>
      <c r="AC47" s="161"/>
      <c r="AD47" s="161"/>
      <c r="AM47" s="36"/>
      <c r="AN47" s="86"/>
      <c r="AO47" s="8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CZ47" s="56"/>
      <c r="DA47" s="56"/>
      <c r="DB47" s="56"/>
      <c r="DC47" s="56"/>
      <c r="DD47" s="56"/>
      <c r="DE47" s="55"/>
      <c r="DF47" s="55"/>
      <c r="DG47" s="55"/>
      <c r="DH47" s="55"/>
      <c r="DI47" s="55"/>
      <c r="DJ47" s="55"/>
      <c r="DK47" s="55"/>
      <c r="DL47" s="55"/>
      <c r="DM47" s="55"/>
      <c r="DN47" s="55"/>
      <c r="DO47" s="55"/>
      <c r="DP47" s="55"/>
      <c r="DQ47" s="55"/>
      <c r="DR47" s="55"/>
      <c r="DS47" s="55"/>
      <c r="DT47" s="55"/>
      <c r="DU47" s="55"/>
      <c r="DV47" s="55"/>
      <c r="DW47" s="55"/>
      <c r="DX47" s="55"/>
      <c r="DY47" s="55"/>
      <c r="DZ47" s="55"/>
      <c r="EA47" s="55"/>
      <c r="EB47" s="55"/>
      <c r="EC47" s="55"/>
      <c r="ED47" s="55"/>
      <c r="EE47" s="56"/>
      <c r="EF47" s="56"/>
      <c r="EG47" s="56"/>
      <c r="EH47" s="56"/>
      <c r="EI47" s="56"/>
      <c r="EJ47" s="56"/>
      <c r="EK47" s="56"/>
      <c r="EL47" s="56"/>
      <c r="EM47" s="56"/>
      <c r="EN47" s="56"/>
      <c r="EO47" s="56"/>
      <c r="EP47" s="56"/>
      <c r="EQ47" s="56"/>
      <c r="ER47" s="56"/>
      <c r="ES47" s="56"/>
      <c r="ET47" s="56"/>
      <c r="EU47" s="56"/>
      <c r="EV47" s="56"/>
      <c r="EW47" s="56"/>
      <c r="EX47" s="56"/>
      <c r="EY47" s="56"/>
      <c r="EZ47" s="56"/>
      <c r="FA47" s="56"/>
      <c r="FB47" s="56"/>
      <c r="FC47" s="56"/>
      <c r="FD47" s="56"/>
      <c r="FE47" s="56"/>
      <c r="FF47" s="56"/>
      <c r="FG47" s="56"/>
      <c r="FH47" s="56"/>
      <c r="FI47" s="56"/>
      <c r="FJ47" s="56"/>
      <c r="FK47" s="56"/>
      <c r="FL47" s="56"/>
      <c r="FM47" s="56"/>
      <c r="FN47" s="56"/>
    </row>
    <row r="48" spans="1:170" s="2" customFormat="1" ht="18" customHeight="1">
      <c r="A48" s="1976"/>
      <c r="B48" s="204"/>
      <c r="C48" s="1983"/>
      <c r="D48" s="1"/>
      <c r="E48" s="183"/>
      <c r="F48" s="183"/>
      <c r="G48" s="1"/>
      <c r="H48" s="184"/>
      <c r="I48" s="1985"/>
      <c r="J48" s="185"/>
      <c r="K48" s="185"/>
      <c r="L48" s="185"/>
      <c r="M48" s="1749"/>
      <c r="N48" s="1374"/>
      <c r="O48" s="127"/>
      <c r="P48" s="14">
        <v>0</v>
      </c>
      <c r="Q48" s="392">
        <v>1</v>
      </c>
      <c r="R48" s="14">
        <v>0</v>
      </c>
      <c r="S48" s="168"/>
      <c r="T48" s="161"/>
      <c r="U48" s="161"/>
      <c r="V48" s="168"/>
      <c r="W48" s="161"/>
      <c r="X48" s="161"/>
      <c r="Y48" s="168"/>
      <c r="Z48" s="161"/>
      <c r="AA48" s="161"/>
      <c r="AB48" s="168"/>
      <c r="AC48" s="161"/>
      <c r="AD48" s="161"/>
      <c r="AM48" s="1"/>
      <c r="AN48" s="86"/>
      <c r="AO48" s="86"/>
      <c r="AR48" s="56"/>
      <c r="AS48" s="56"/>
      <c r="AT48" s="56"/>
      <c r="AU48" s="56"/>
      <c r="AV48" s="56"/>
      <c r="AW48" s="56"/>
      <c r="AX48" s="56"/>
      <c r="AY48" s="56"/>
      <c r="AZ48" s="56"/>
      <c r="BA48" s="56"/>
      <c r="BB48" s="56"/>
      <c r="BC48" s="56"/>
      <c r="BD48" s="56"/>
      <c r="BE48" s="56"/>
      <c r="BF48" s="56"/>
      <c r="BG48" s="56"/>
      <c r="BH48" s="56"/>
      <c r="BI48" s="56"/>
      <c r="BJ48" s="56"/>
      <c r="BK48" s="56"/>
      <c r="BL48" s="56"/>
      <c r="BM48" s="56"/>
      <c r="BN48" s="56"/>
      <c r="BO48" s="56"/>
      <c r="BP48" s="56"/>
      <c r="BQ48" s="56"/>
      <c r="BR48" s="56"/>
      <c r="BS48" s="56"/>
      <c r="BT48" s="56"/>
      <c r="BU48" s="56"/>
      <c r="BV48" s="56"/>
      <c r="BW48" s="56"/>
      <c r="BX48" s="56"/>
      <c r="BY48" s="56"/>
      <c r="BZ48" s="56"/>
      <c r="CA48" s="56"/>
      <c r="CB48" s="56"/>
      <c r="CC48" s="56"/>
      <c r="CD48" s="56"/>
      <c r="CE48" s="56"/>
      <c r="CF48" s="56"/>
      <c r="CG48" s="56"/>
      <c r="CH48" s="56"/>
      <c r="CI48" s="56"/>
      <c r="CJ48" s="56"/>
      <c r="CK48" s="56"/>
      <c r="CL48" s="56"/>
      <c r="CM48" s="56"/>
      <c r="CN48" s="56"/>
      <c r="CO48" s="56"/>
      <c r="CP48" s="56"/>
      <c r="CQ48" s="56"/>
      <c r="CR48" s="56"/>
      <c r="CS48" s="56"/>
      <c r="CT48" s="56"/>
      <c r="CU48" s="56"/>
      <c r="CV48" s="56"/>
      <c r="CW48" s="56"/>
      <c r="CX48" s="56"/>
      <c r="CY48" s="56"/>
      <c r="CZ48" s="56"/>
      <c r="DA48" s="56"/>
      <c r="DB48" s="56"/>
      <c r="DC48" s="56"/>
      <c r="DD48" s="56"/>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6"/>
      <c r="EF48" s="56"/>
      <c r="EG48" s="56"/>
      <c r="EH48" s="56"/>
      <c r="EI48" s="56"/>
      <c r="EJ48" s="56"/>
      <c r="EK48" s="56"/>
      <c r="EL48" s="56"/>
      <c r="EM48" s="56"/>
      <c r="EN48" s="56"/>
      <c r="EO48" s="56"/>
      <c r="EP48" s="56"/>
      <c r="EQ48" s="56"/>
      <c r="ER48" s="56"/>
      <c r="ES48" s="56"/>
      <c r="ET48" s="56"/>
      <c r="EU48" s="56"/>
      <c r="EV48" s="56"/>
      <c r="EW48" s="56"/>
      <c r="EX48" s="56"/>
      <c r="EY48" s="56"/>
      <c r="EZ48" s="56"/>
      <c r="FA48" s="56"/>
      <c r="FB48" s="56"/>
      <c r="FC48" s="56"/>
      <c r="FD48" s="56"/>
      <c r="FE48" s="56"/>
      <c r="FF48" s="56"/>
      <c r="FG48" s="56"/>
      <c r="FH48" s="56"/>
      <c r="FI48" s="56"/>
      <c r="FJ48" s="56"/>
      <c r="FK48" s="56"/>
      <c r="FL48" s="56"/>
      <c r="FM48" s="56"/>
      <c r="FN48" s="56"/>
    </row>
    <row r="49" spans="1:170" s="2" customFormat="1" ht="18" customHeight="1">
      <c r="A49" s="1976"/>
      <c r="B49" s="204"/>
      <c r="C49" s="1983"/>
      <c r="D49" s="1"/>
      <c r="E49" s="183"/>
      <c r="F49" s="183"/>
      <c r="G49" s="1"/>
      <c r="H49" s="184"/>
      <c r="I49" s="1985"/>
      <c r="J49" s="185"/>
      <c r="K49" s="185"/>
      <c r="L49" s="185"/>
      <c r="M49" s="1749"/>
      <c r="N49" s="1374"/>
      <c r="O49" s="127"/>
      <c r="P49" s="14">
        <v>0</v>
      </c>
      <c r="Q49" s="392">
        <v>1</v>
      </c>
      <c r="R49" s="14">
        <v>0</v>
      </c>
      <c r="S49" s="168"/>
      <c r="T49" s="161"/>
      <c r="U49" s="161"/>
      <c r="V49" s="168"/>
      <c r="W49" s="161"/>
      <c r="X49" s="161"/>
      <c r="Y49" s="168"/>
      <c r="Z49" s="161"/>
      <c r="AA49" s="161"/>
      <c r="AB49" s="168"/>
      <c r="AC49" s="161"/>
      <c r="AD49" s="161"/>
      <c r="AM49" s="1"/>
      <c r="AN49" s="86"/>
      <c r="AO49" s="86"/>
      <c r="AR49" s="56"/>
      <c r="AS49" s="56"/>
      <c r="AT49" s="56"/>
      <c r="AU49" s="56"/>
      <c r="AV49" s="56"/>
      <c r="AW49" s="56"/>
      <c r="AX49" s="56"/>
      <c r="AY49" s="56"/>
      <c r="AZ49" s="56"/>
      <c r="BA49" s="56"/>
      <c r="BB49" s="56"/>
      <c r="BC49" s="56"/>
      <c r="BD49" s="56"/>
      <c r="BE49" s="56"/>
      <c r="BF49" s="56"/>
      <c r="BG49" s="56"/>
      <c r="BH49" s="56"/>
      <c r="BI49" s="56"/>
      <c r="BJ49" s="56"/>
      <c r="BK49" s="56"/>
      <c r="BL49" s="56"/>
      <c r="BM49" s="56"/>
      <c r="BN49" s="56"/>
      <c r="BO49" s="56"/>
      <c r="BP49" s="56"/>
      <c r="BQ49" s="56"/>
      <c r="BR49" s="56"/>
      <c r="BS49" s="56"/>
      <c r="BT49" s="56"/>
      <c r="BU49" s="56"/>
      <c r="BV49" s="56"/>
      <c r="BW49" s="56"/>
      <c r="BX49" s="56"/>
      <c r="BY49" s="56"/>
      <c r="BZ49" s="56"/>
      <c r="CA49" s="56"/>
      <c r="CB49" s="56"/>
      <c r="CC49" s="56"/>
      <c r="CD49" s="56"/>
      <c r="CE49" s="56"/>
      <c r="CF49" s="56"/>
      <c r="CG49" s="56"/>
      <c r="CH49" s="56"/>
      <c r="CI49" s="56"/>
      <c r="CJ49" s="56"/>
      <c r="CK49" s="56"/>
      <c r="CL49" s="56"/>
      <c r="CM49" s="56"/>
      <c r="CN49" s="56"/>
      <c r="CO49" s="56"/>
      <c r="CP49" s="56"/>
      <c r="CQ49" s="56"/>
      <c r="CR49" s="56"/>
      <c r="CS49" s="56"/>
      <c r="CT49" s="56"/>
      <c r="CU49" s="56"/>
      <c r="CV49" s="56"/>
      <c r="CW49" s="56"/>
      <c r="CX49" s="56"/>
      <c r="CY49" s="56"/>
      <c r="CZ49" s="56"/>
      <c r="DA49" s="56"/>
      <c r="DB49" s="56"/>
      <c r="DC49" s="56"/>
      <c r="DD49" s="56"/>
      <c r="DE49" s="55"/>
      <c r="DF49" s="55"/>
      <c r="DG49" s="55"/>
      <c r="DH49" s="55"/>
      <c r="DI49" s="55"/>
      <c r="DJ49" s="55"/>
      <c r="DK49" s="55"/>
      <c r="DL49" s="55"/>
      <c r="DM49" s="55"/>
      <c r="DN49" s="55"/>
      <c r="DO49" s="55"/>
      <c r="DP49" s="55"/>
      <c r="DQ49" s="55"/>
      <c r="DR49" s="55"/>
      <c r="DS49" s="55"/>
      <c r="DT49" s="55"/>
      <c r="DU49" s="55"/>
      <c r="DV49" s="55"/>
      <c r="DW49" s="55"/>
      <c r="DX49" s="55"/>
      <c r="DY49" s="55"/>
      <c r="DZ49" s="55"/>
      <c r="EA49" s="55"/>
      <c r="EB49" s="55"/>
      <c r="EC49" s="55"/>
      <c r="ED49" s="55"/>
      <c r="EE49" s="56"/>
      <c r="EF49" s="56"/>
      <c r="EG49" s="56"/>
      <c r="EH49" s="56"/>
      <c r="EI49" s="56"/>
      <c r="EJ49" s="56"/>
      <c r="EK49" s="56"/>
      <c r="EL49" s="56"/>
      <c r="EM49" s="56"/>
      <c r="EN49" s="56"/>
      <c r="EO49" s="56"/>
      <c r="EP49" s="56"/>
      <c r="EQ49" s="56"/>
      <c r="ER49" s="56"/>
      <c r="ES49" s="56"/>
      <c r="ET49" s="56"/>
      <c r="EU49" s="56"/>
      <c r="EV49" s="56"/>
      <c r="EW49" s="56"/>
      <c r="EX49" s="56"/>
      <c r="EY49" s="56"/>
      <c r="EZ49" s="56"/>
      <c r="FA49" s="56"/>
      <c r="FB49" s="56"/>
      <c r="FC49" s="56"/>
      <c r="FD49" s="56"/>
      <c r="FE49" s="56"/>
      <c r="FF49" s="56"/>
      <c r="FG49" s="56"/>
      <c r="FH49" s="56"/>
      <c r="FI49" s="56"/>
      <c r="FJ49" s="56"/>
      <c r="FK49" s="56"/>
      <c r="FL49" s="56"/>
      <c r="FM49" s="56"/>
      <c r="FN49" s="56"/>
    </row>
    <row r="50" spans="1:170" s="2" customFormat="1" ht="18" customHeight="1">
      <c r="A50" s="1976"/>
      <c r="B50" s="204"/>
      <c r="C50" s="1983"/>
      <c r="D50" s="1"/>
      <c r="E50" s="183"/>
      <c r="F50" s="183"/>
      <c r="G50" s="1"/>
      <c r="H50" s="184"/>
      <c r="I50" s="1985"/>
      <c r="J50" s="185"/>
      <c r="K50" s="185"/>
      <c r="L50" s="185"/>
      <c r="M50" s="1749"/>
      <c r="N50" s="1374"/>
      <c r="O50" s="127"/>
      <c r="P50" s="14">
        <v>0</v>
      </c>
      <c r="Q50" s="392">
        <v>1</v>
      </c>
      <c r="R50" s="14">
        <v>0</v>
      </c>
      <c r="S50" s="243"/>
      <c r="T50" s="161"/>
      <c r="U50" s="161"/>
      <c r="V50" s="168"/>
      <c r="W50" s="161"/>
      <c r="X50" s="161"/>
      <c r="Y50" s="168"/>
      <c r="Z50" s="161"/>
      <c r="AA50" s="161"/>
      <c r="AB50" s="168"/>
      <c r="AC50" s="161"/>
      <c r="AD50" s="161"/>
      <c r="AM50" s="1"/>
      <c r="AN50" s="86"/>
      <c r="AO50" s="86"/>
      <c r="AR50" s="56"/>
      <c r="AS50" s="56"/>
      <c r="AT50" s="56"/>
      <c r="AU50" s="56"/>
      <c r="AV50" s="56"/>
      <c r="AW50" s="56"/>
      <c r="AX50" s="56"/>
      <c r="AY50" s="56"/>
      <c r="AZ50" s="56"/>
      <c r="BA50" s="56"/>
      <c r="BB50" s="56"/>
      <c r="BC50" s="56"/>
      <c r="BD50" s="56"/>
      <c r="BE50" s="56"/>
      <c r="BF50" s="56"/>
      <c r="BG50" s="56"/>
      <c r="BH50" s="56"/>
      <c r="BI50" s="56"/>
      <c r="BJ50" s="56"/>
      <c r="BK50" s="56"/>
      <c r="BL50" s="56"/>
      <c r="BM50" s="56"/>
      <c r="BN50" s="56"/>
      <c r="BO50" s="56"/>
      <c r="BP50" s="56"/>
      <c r="BQ50" s="56"/>
      <c r="BR50" s="56"/>
      <c r="BS50" s="56"/>
      <c r="BT50" s="56"/>
      <c r="BU50" s="56"/>
      <c r="BV50" s="56"/>
      <c r="BW50" s="56"/>
      <c r="BX50" s="56"/>
      <c r="BY50" s="56"/>
      <c r="BZ50" s="56"/>
      <c r="CA50" s="56"/>
      <c r="CB50" s="56"/>
      <c r="CC50" s="56"/>
      <c r="CD50" s="56"/>
      <c r="CE50" s="56"/>
      <c r="CF50" s="56"/>
      <c r="CG50" s="56"/>
      <c r="CH50" s="56"/>
      <c r="CI50" s="56"/>
      <c r="CJ50" s="56"/>
      <c r="CK50" s="56"/>
      <c r="CL50" s="56"/>
      <c r="CM50" s="56"/>
      <c r="CN50" s="56"/>
      <c r="CO50" s="56"/>
      <c r="CP50" s="56"/>
      <c r="CQ50" s="56"/>
      <c r="CR50" s="56"/>
      <c r="CS50" s="56"/>
      <c r="CT50" s="56"/>
      <c r="CU50" s="56"/>
      <c r="CV50" s="56"/>
      <c r="CW50" s="56"/>
      <c r="CX50" s="56"/>
      <c r="CY50" s="56"/>
      <c r="CZ50" s="56"/>
      <c r="DA50" s="56"/>
      <c r="DB50" s="56"/>
      <c r="DC50" s="56"/>
      <c r="DD50" s="56"/>
      <c r="DE50" s="55"/>
      <c r="DF50" s="55"/>
      <c r="DG50" s="55"/>
      <c r="DH50" s="55"/>
      <c r="DI50" s="55"/>
      <c r="DJ50" s="55"/>
      <c r="DK50" s="55"/>
      <c r="DL50" s="55"/>
      <c r="DM50" s="55"/>
      <c r="DN50" s="55"/>
      <c r="DO50" s="55"/>
      <c r="DP50" s="55"/>
      <c r="DQ50" s="55"/>
      <c r="DR50" s="55"/>
      <c r="DS50" s="55"/>
      <c r="DT50" s="55"/>
      <c r="DU50" s="55"/>
      <c r="DV50" s="55"/>
      <c r="DW50" s="55"/>
      <c r="DX50" s="55"/>
      <c r="DY50" s="55"/>
      <c r="DZ50" s="55"/>
      <c r="EA50" s="55"/>
      <c r="EB50" s="55"/>
      <c r="EC50" s="55"/>
      <c r="ED50" s="55"/>
      <c r="EE50" s="56"/>
      <c r="EF50" s="56"/>
      <c r="EG50" s="56"/>
      <c r="EH50" s="56"/>
      <c r="EI50" s="56"/>
      <c r="EJ50" s="56"/>
      <c r="EK50" s="56"/>
      <c r="EL50" s="56"/>
      <c r="EM50" s="56"/>
      <c r="EN50" s="56"/>
      <c r="EO50" s="56"/>
      <c r="EP50" s="56"/>
      <c r="EQ50" s="56"/>
      <c r="ER50" s="56"/>
      <c r="ES50" s="56"/>
      <c r="ET50" s="56"/>
      <c r="EU50" s="56"/>
      <c r="EV50" s="56"/>
      <c r="EW50" s="56"/>
      <c r="EX50" s="56"/>
      <c r="EY50" s="56"/>
      <c r="EZ50" s="56"/>
      <c r="FA50" s="56"/>
      <c r="FB50" s="56"/>
      <c r="FC50" s="56"/>
      <c r="FD50" s="56"/>
      <c r="FE50" s="56"/>
      <c r="FF50" s="56"/>
      <c r="FG50" s="56"/>
      <c r="FH50" s="56"/>
      <c r="FI50" s="56"/>
      <c r="FJ50" s="56"/>
      <c r="FK50" s="56"/>
      <c r="FL50" s="56"/>
      <c r="FM50" s="56"/>
      <c r="FN50" s="56"/>
    </row>
    <row r="51" spans="1:170" s="2" customFormat="1" ht="18" customHeight="1">
      <c r="A51" s="1976"/>
      <c r="B51" s="204"/>
      <c r="C51" s="101"/>
      <c r="D51" s="1"/>
      <c r="E51" s="183"/>
      <c r="F51" s="183"/>
      <c r="G51" s="1"/>
      <c r="H51" s="184"/>
      <c r="I51" s="188"/>
      <c r="J51" s="189"/>
      <c r="K51" s="189"/>
      <c r="L51" s="189"/>
      <c r="M51" s="1750"/>
      <c r="N51" s="1375"/>
      <c r="O51" s="128"/>
      <c r="P51" s="14">
        <v>0</v>
      </c>
      <c r="Q51" s="392">
        <v>1</v>
      </c>
      <c r="R51" s="14">
        <v>0</v>
      </c>
      <c r="S51" s="243"/>
      <c r="T51" s="162"/>
      <c r="U51" s="147"/>
      <c r="V51" s="27"/>
      <c r="W51" s="138"/>
      <c r="X51" s="163"/>
      <c r="Y51" s="27"/>
      <c r="Z51" s="138"/>
      <c r="AA51" s="138"/>
      <c r="AB51" s="36"/>
      <c r="AC51" s="147"/>
      <c r="AD51" s="147"/>
      <c r="AE51" s="36"/>
      <c r="AF51" s="36"/>
      <c r="AG51" s="36"/>
      <c r="AH51" s="36"/>
      <c r="AI51" s="36"/>
      <c r="AJ51" s="36"/>
      <c r="AK51" s="36"/>
      <c r="AL51" s="36"/>
      <c r="AM51" s="1"/>
      <c r="AN51" s="86"/>
      <c r="AO51" s="86"/>
      <c r="AR51" s="56"/>
      <c r="AS51" s="56"/>
      <c r="AT51" s="56"/>
      <c r="AU51" s="56"/>
      <c r="AV51" s="56"/>
      <c r="AW51" s="56"/>
      <c r="AX51" s="56"/>
      <c r="AY51" s="56"/>
      <c r="AZ51" s="56"/>
      <c r="BA51" s="56"/>
      <c r="BB51" s="56"/>
      <c r="BC51" s="56"/>
      <c r="BD51" s="56"/>
      <c r="BE51" s="56"/>
      <c r="BF51" s="56"/>
      <c r="BG51" s="56"/>
      <c r="BH51" s="56"/>
      <c r="BI51" s="56"/>
      <c r="BJ51" s="56"/>
      <c r="BK51" s="56"/>
      <c r="BL51" s="56"/>
      <c r="BM51" s="56"/>
      <c r="BN51" s="56"/>
      <c r="BO51" s="56"/>
      <c r="BP51" s="56"/>
      <c r="BQ51" s="56"/>
      <c r="BR51" s="56"/>
      <c r="BS51" s="56"/>
      <c r="BT51" s="56"/>
      <c r="BU51" s="56"/>
      <c r="BV51" s="56"/>
      <c r="BW51" s="56"/>
      <c r="BX51" s="56"/>
      <c r="BY51" s="56"/>
      <c r="BZ51" s="56"/>
      <c r="CA51" s="56"/>
      <c r="CB51" s="56"/>
      <c r="CC51" s="56"/>
      <c r="CD51" s="56"/>
      <c r="CE51" s="56"/>
      <c r="CF51" s="56"/>
      <c r="CG51" s="56"/>
      <c r="CH51" s="56"/>
      <c r="CI51" s="56"/>
      <c r="CJ51" s="56"/>
      <c r="CK51" s="56"/>
      <c r="CL51" s="56"/>
      <c r="CM51" s="56"/>
      <c r="CN51" s="56"/>
      <c r="CO51" s="56"/>
      <c r="CP51" s="56"/>
      <c r="CQ51" s="56"/>
      <c r="CR51" s="56"/>
      <c r="CS51" s="56"/>
      <c r="CT51" s="56"/>
      <c r="CU51" s="56"/>
      <c r="CV51" s="56"/>
      <c r="CW51" s="56"/>
      <c r="CX51" s="56"/>
      <c r="CY51" s="56"/>
      <c r="CZ51" s="56"/>
      <c r="DA51" s="56"/>
      <c r="DB51" s="56"/>
      <c r="DC51" s="56"/>
      <c r="DD51" s="56"/>
      <c r="DE51" s="55"/>
      <c r="DF51" s="55"/>
      <c r="DG51" s="55"/>
      <c r="DH51" s="55"/>
      <c r="DI51" s="55"/>
      <c r="DJ51" s="55"/>
      <c r="DK51" s="55"/>
      <c r="DL51" s="55"/>
      <c r="DM51" s="55"/>
      <c r="DN51" s="55"/>
      <c r="DO51" s="55"/>
      <c r="DP51" s="55"/>
      <c r="DQ51" s="55"/>
      <c r="DR51" s="55"/>
      <c r="DS51" s="55"/>
      <c r="DT51" s="55"/>
      <c r="DU51" s="55"/>
      <c r="DV51" s="55"/>
      <c r="DW51" s="55"/>
      <c r="DX51" s="55"/>
      <c r="DY51" s="55"/>
      <c r="DZ51" s="55"/>
      <c r="EA51" s="55"/>
      <c r="EB51" s="55"/>
      <c r="EC51" s="55"/>
      <c r="ED51" s="55"/>
      <c r="EE51" s="56"/>
      <c r="EF51" s="56"/>
      <c r="EG51" s="56"/>
      <c r="EH51" s="56"/>
      <c r="EI51" s="56"/>
      <c r="EJ51" s="56"/>
      <c r="EK51" s="56"/>
      <c r="EL51" s="56"/>
      <c r="EM51" s="56"/>
      <c r="EN51" s="56"/>
      <c r="EO51" s="56"/>
      <c r="EP51" s="56"/>
      <c r="EQ51" s="56"/>
      <c r="ER51" s="56"/>
      <c r="ES51" s="56"/>
      <c r="ET51" s="56"/>
      <c r="EU51" s="56"/>
      <c r="EV51" s="56"/>
      <c r="EW51" s="56"/>
      <c r="EX51" s="56"/>
      <c r="EY51" s="56"/>
      <c r="EZ51" s="56"/>
      <c r="FA51" s="56"/>
      <c r="FB51" s="56"/>
      <c r="FC51" s="56"/>
      <c r="FD51" s="56"/>
      <c r="FE51" s="56"/>
      <c r="FF51" s="56"/>
      <c r="FG51" s="56"/>
      <c r="FH51" s="56"/>
      <c r="FI51" s="56"/>
      <c r="FJ51" s="56"/>
      <c r="FK51" s="56"/>
      <c r="FL51" s="56"/>
      <c r="FM51" s="56"/>
      <c r="FN51" s="56"/>
    </row>
    <row r="52" spans="1:170" s="2" customFormat="1" ht="18" customHeight="1">
      <c r="A52" s="1976"/>
      <c r="B52" s="204"/>
      <c r="C52" s="14" t="str">
        <f>Begriffe!F83</f>
        <v>Nutzungsstunden pro Tag</v>
      </c>
      <c r="D52" s="498"/>
      <c r="E52" s="487"/>
      <c r="F52" s="487"/>
      <c r="G52" s="487"/>
      <c r="H52" s="500"/>
      <c r="I52" s="672" t="s">
        <v>947</v>
      </c>
      <c r="J52" s="678" t="s">
        <v>15</v>
      </c>
      <c r="K52" s="377"/>
      <c r="L52" s="377"/>
      <c r="M52" s="1751">
        <f>IF(L52&lt;&gt;"",L52,Profile!$C$62)</f>
        <v>17</v>
      </c>
      <c r="N52" s="1734"/>
      <c r="O52" s="441"/>
      <c r="P52" s="14">
        <v>1</v>
      </c>
      <c r="Q52" s="392">
        <v>1</v>
      </c>
      <c r="R52" s="14">
        <v>0</v>
      </c>
      <c r="S52" s="243" t="s">
        <v>261</v>
      </c>
      <c r="T52" s="162"/>
      <c r="U52" s="147"/>
      <c r="V52" s="27"/>
      <c r="W52" s="138"/>
      <c r="X52" s="163"/>
      <c r="Y52" s="27"/>
      <c r="Z52" s="138"/>
      <c r="AA52" s="138"/>
      <c r="AB52" s="36"/>
      <c r="AC52" s="147"/>
      <c r="AD52" s="147"/>
      <c r="AE52" s="36"/>
      <c r="AF52" s="36"/>
      <c r="AG52" s="36"/>
      <c r="AH52" s="36"/>
      <c r="AI52" s="36"/>
      <c r="AJ52" s="36"/>
      <c r="AK52" s="36"/>
      <c r="AL52" s="36"/>
      <c r="AM52" s="1"/>
      <c r="AN52" s="86"/>
      <c r="AO52" s="86"/>
      <c r="AR52" s="56"/>
      <c r="AS52" s="56"/>
      <c r="AT52" s="56"/>
      <c r="AU52" s="56"/>
      <c r="AV52" s="56"/>
      <c r="AW52" s="56"/>
      <c r="AX52" s="56"/>
      <c r="AY52" s="56"/>
      <c r="AZ52" s="56"/>
      <c r="BA52" s="56"/>
      <c r="BB52" s="56"/>
      <c r="BC52" s="56"/>
      <c r="BD52" s="56"/>
      <c r="BE52" s="56"/>
      <c r="BF52" s="56"/>
      <c r="BG52" s="56"/>
      <c r="BH52" s="56"/>
      <c r="BI52" s="56"/>
      <c r="BJ52" s="56"/>
      <c r="BK52" s="56"/>
      <c r="BL52" s="56"/>
      <c r="BM52" s="56"/>
      <c r="BN52" s="56"/>
      <c r="BO52" s="56"/>
      <c r="BP52" s="56"/>
      <c r="BQ52" s="56"/>
      <c r="BR52" s="56"/>
      <c r="BS52" s="56"/>
      <c r="BT52" s="56"/>
      <c r="BU52" s="56"/>
      <c r="BV52" s="56"/>
      <c r="BW52" s="56"/>
      <c r="BX52" s="56"/>
      <c r="BY52" s="56"/>
      <c r="BZ52" s="56"/>
      <c r="CA52" s="56"/>
      <c r="CB52" s="56"/>
      <c r="CC52" s="56"/>
      <c r="CD52" s="56"/>
      <c r="CE52" s="56"/>
      <c r="CF52" s="56"/>
      <c r="CG52" s="56"/>
      <c r="CH52" s="56"/>
      <c r="CI52" s="56"/>
      <c r="CJ52" s="56"/>
      <c r="CK52" s="56"/>
      <c r="CL52" s="56"/>
      <c r="CM52" s="56"/>
      <c r="CN52" s="56"/>
      <c r="CO52" s="56"/>
      <c r="CP52" s="56"/>
      <c r="CQ52" s="56"/>
      <c r="CR52" s="56"/>
      <c r="CS52" s="56"/>
      <c r="CT52" s="56"/>
      <c r="CU52" s="56"/>
      <c r="CV52" s="56"/>
      <c r="CW52" s="56"/>
      <c r="CX52" s="56"/>
      <c r="CY52" s="56"/>
      <c r="CZ52" s="56"/>
      <c r="DA52" s="56"/>
      <c r="DB52" s="56"/>
      <c r="DC52" s="56"/>
      <c r="DD52" s="56"/>
      <c r="DE52" s="55"/>
      <c r="DF52" s="55"/>
      <c r="DG52" s="55"/>
      <c r="DH52" s="55"/>
      <c r="DI52" s="55"/>
      <c r="DJ52" s="55"/>
      <c r="DK52" s="55"/>
      <c r="DL52" s="55"/>
      <c r="DM52" s="55"/>
      <c r="DN52" s="55"/>
      <c r="DO52" s="55"/>
      <c r="DP52" s="55"/>
      <c r="DQ52" s="55"/>
      <c r="DR52" s="55"/>
      <c r="DS52" s="55"/>
      <c r="DT52" s="55"/>
      <c r="DU52" s="55"/>
      <c r="DV52" s="55"/>
      <c r="DW52" s="55"/>
      <c r="DX52" s="55"/>
      <c r="DY52" s="55"/>
      <c r="DZ52" s="55"/>
      <c r="EA52" s="55"/>
      <c r="EB52" s="55"/>
      <c r="EC52" s="55"/>
      <c r="ED52" s="55"/>
      <c r="EE52" s="56"/>
      <c r="EF52" s="56"/>
      <c r="EG52" s="56"/>
      <c r="EH52" s="56"/>
      <c r="EI52" s="56"/>
      <c r="EJ52" s="56"/>
      <c r="EK52" s="56"/>
      <c r="EL52" s="56"/>
      <c r="EM52" s="56"/>
      <c r="EN52" s="56"/>
      <c r="EO52" s="56"/>
      <c r="EP52" s="56"/>
      <c r="EQ52" s="56"/>
      <c r="ER52" s="56"/>
      <c r="ES52" s="56"/>
      <c r="ET52" s="56"/>
      <c r="EU52" s="56"/>
      <c r="EV52" s="56"/>
      <c r="EW52" s="56"/>
      <c r="EX52" s="56"/>
      <c r="EY52" s="56"/>
      <c r="EZ52" s="56"/>
      <c r="FA52" s="56"/>
      <c r="FB52" s="56"/>
      <c r="FC52" s="56"/>
      <c r="FD52" s="56"/>
      <c r="FE52" s="56"/>
      <c r="FF52" s="56"/>
      <c r="FG52" s="56"/>
      <c r="FH52" s="56"/>
      <c r="FI52" s="56"/>
      <c r="FJ52" s="56"/>
      <c r="FK52" s="56"/>
      <c r="FL52" s="56"/>
      <c r="FM52" s="56"/>
      <c r="FN52" s="56"/>
    </row>
    <row r="53" spans="1:170" s="2" customFormat="1" ht="18" customHeight="1">
      <c r="A53" s="1976"/>
      <c r="B53" s="204"/>
      <c r="C53" s="14" t="str">
        <f>Begriffe!F113</f>
        <v>Volllaststunden pro Tag</v>
      </c>
      <c r="D53" s="498"/>
      <c r="E53" s="487"/>
      <c r="F53" s="487"/>
      <c r="G53" s="487"/>
      <c r="H53" s="14"/>
      <c r="I53" s="98" t="s">
        <v>948</v>
      </c>
      <c r="J53" s="377" t="s">
        <v>15</v>
      </c>
      <c r="K53" s="377"/>
      <c r="L53" s="377"/>
      <c r="M53" s="1751">
        <f>IF(L53&lt;&gt;"",L53,Profile!$B$62)</f>
        <v>14.000000000000002</v>
      </c>
      <c r="N53" s="524"/>
      <c r="O53" s="466"/>
      <c r="P53" s="14">
        <v>1</v>
      </c>
      <c r="Q53" s="392">
        <v>1</v>
      </c>
      <c r="R53" s="14">
        <v>1</v>
      </c>
      <c r="S53" s="243" t="s">
        <v>261</v>
      </c>
      <c r="T53" s="162"/>
      <c r="U53" s="147"/>
      <c r="V53" s="27"/>
      <c r="W53" s="138"/>
      <c r="X53" s="163"/>
      <c r="Y53" s="27"/>
      <c r="Z53" s="138"/>
      <c r="AA53" s="138"/>
      <c r="AB53" s="36"/>
      <c r="AC53" s="147"/>
      <c r="AD53" s="147"/>
      <c r="AE53" s="36"/>
      <c r="AF53" s="36"/>
      <c r="AG53" s="36"/>
      <c r="AH53" s="36"/>
      <c r="AI53" s="36"/>
      <c r="AJ53" s="36"/>
      <c r="AK53" s="36"/>
      <c r="AL53" s="36"/>
      <c r="AM53" s="1"/>
      <c r="AN53" s="86"/>
      <c r="AO53" s="86"/>
      <c r="AR53" s="56"/>
      <c r="AS53" s="56"/>
      <c r="AT53" s="56"/>
      <c r="AU53" s="56"/>
      <c r="AV53" s="56"/>
      <c r="AW53" s="56"/>
      <c r="AX53" s="56"/>
      <c r="AY53" s="56"/>
      <c r="AZ53" s="56"/>
      <c r="BA53" s="56"/>
      <c r="BB53" s="56"/>
      <c r="BC53" s="56"/>
      <c r="BD53" s="56"/>
      <c r="BE53" s="56"/>
      <c r="BF53" s="56"/>
      <c r="BG53" s="56"/>
      <c r="BH53" s="56"/>
      <c r="BI53" s="56"/>
      <c r="BJ53" s="56"/>
      <c r="BK53" s="56"/>
      <c r="BL53" s="56"/>
      <c r="BM53" s="56"/>
      <c r="BN53" s="56"/>
      <c r="BO53" s="56"/>
      <c r="BP53" s="56"/>
      <c r="BQ53" s="56"/>
      <c r="BR53" s="56"/>
      <c r="BS53" s="56"/>
      <c r="BT53" s="56"/>
      <c r="BU53" s="56"/>
      <c r="BV53" s="56"/>
      <c r="BW53" s="56"/>
      <c r="BX53" s="56"/>
      <c r="BY53" s="56"/>
      <c r="BZ53" s="56"/>
      <c r="CA53" s="56"/>
      <c r="CB53" s="56"/>
      <c r="CC53" s="56"/>
      <c r="CD53" s="56"/>
      <c r="CE53" s="56"/>
      <c r="CF53" s="56"/>
      <c r="CG53" s="56"/>
      <c r="CH53" s="56"/>
      <c r="CI53" s="56"/>
      <c r="CJ53" s="56"/>
      <c r="CK53" s="56"/>
      <c r="CL53" s="56"/>
      <c r="CM53" s="56"/>
      <c r="CN53" s="56"/>
      <c r="CO53" s="56"/>
      <c r="CP53" s="56"/>
      <c r="CQ53" s="56"/>
      <c r="CR53" s="56"/>
      <c r="CS53" s="56"/>
      <c r="CT53" s="56"/>
      <c r="CU53" s="56"/>
      <c r="CV53" s="56"/>
      <c r="CW53" s="56"/>
      <c r="CX53" s="56"/>
      <c r="CY53" s="56"/>
      <c r="CZ53" s="56"/>
      <c r="DA53" s="56"/>
      <c r="DB53" s="56"/>
      <c r="DC53" s="56"/>
      <c r="DD53" s="56"/>
      <c r="DE53" s="55"/>
      <c r="DF53" s="55"/>
      <c r="DG53" s="55"/>
      <c r="DH53" s="55"/>
      <c r="DI53" s="55"/>
      <c r="DJ53" s="55"/>
      <c r="DK53" s="55"/>
      <c r="DL53" s="55"/>
      <c r="DM53" s="55"/>
      <c r="DN53" s="55"/>
      <c r="DO53" s="55"/>
      <c r="DP53" s="55"/>
      <c r="DQ53" s="55"/>
      <c r="DR53" s="55"/>
      <c r="DS53" s="55"/>
      <c r="DT53" s="55"/>
      <c r="DU53" s="55"/>
      <c r="DV53" s="55"/>
      <c r="DW53" s="55"/>
      <c r="DX53" s="55"/>
      <c r="DY53" s="55"/>
      <c r="DZ53" s="55"/>
      <c r="EA53" s="55"/>
      <c r="EB53" s="55"/>
      <c r="EC53" s="55"/>
      <c r="ED53" s="55"/>
      <c r="EE53" s="56"/>
      <c r="EF53" s="56"/>
      <c r="EG53" s="56"/>
      <c r="EH53" s="56"/>
      <c r="EI53" s="56"/>
      <c r="EJ53" s="56"/>
      <c r="EK53" s="56"/>
      <c r="EL53" s="56"/>
      <c r="EM53" s="56"/>
      <c r="EN53" s="56"/>
      <c r="EO53" s="56"/>
      <c r="EP53" s="56"/>
      <c r="EQ53" s="56"/>
      <c r="ER53" s="56"/>
      <c r="ES53" s="56"/>
      <c r="ET53" s="56"/>
      <c r="EU53" s="56"/>
      <c r="EV53" s="56"/>
      <c r="EW53" s="56"/>
      <c r="EX53" s="56"/>
      <c r="EY53" s="56"/>
      <c r="EZ53" s="56"/>
      <c r="FA53" s="56"/>
      <c r="FB53" s="56"/>
      <c r="FC53" s="56"/>
      <c r="FD53" s="56"/>
      <c r="FE53" s="56"/>
      <c r="FF53" s="56"/>
      <c r="FG53" s="56"/>
      <c r="FH53" s="56"/>
      <c r="FI53" s="56"/>
      <c r="FJ53" s="56"/>
      <c r="FK53" s="56"/>
      <c r="FL53" s="56"/>
      <c r="FM53" s="56"/>
      <c r="FN53" s="56"/>
    </row>
    <row r="54" spans="1:170" s="2" customFormat="1" ht="18" customHeight="1">
      <c r="A54" s="1976"/>
      <c r="B54" s="204"/>
      <c r="C54" s="14" t="str">
        <f>Begriffe!F99</f>
        <v>Ruhetage pro Woche</v>
      </c>
      <c r="D54" s="498"/>
      <c r="E54" s="487"/>
      <c r="F54" s="487"/>
      <c r="G54" s="487"/>
      <c r="H54" s="14"/>
      <c r="I54" s="98" t="s">
        <v>949</v>
      </c>
      <c r="J54" s="377" t="s">
        <v>35</v>
      </c>
      <c r="K54" s="377"/>
      <c r="L54" s="1553"/>
      <c r="M54" s="1752">
        <f>IF(L54&lt;&gt;"",L54,INDEX(Eingabedaten!$D$9:$GP$53,nutzid,MATCH(C54,Eingabedaten!$D$6:$GP$6,0)))</f>
        <v>0</v>
      </c>
      <c r="N54" s="525"/>
      <c r="O54" s="394"/>
      <c r="P54" s="14">
        <v>0</v>
      </c>
      <c r="Q54" s="392">
        <v>1</v>
      </c>
      <c r="R54" s="14">
        <v>0</v>
      </c>
      <c r="S54" s="243"/>
      <c r="T54" s="162"/>
      <c r="U54" s="147"/>
      <c r="V54" s="27"/>
      <c r="W54" s="138"/>
      <c r="X54" s="163"/>
      <c r="Y54" s="27"/>
      <c r="Z54" s="138"/>
      <c r="AA54" s="138"/>
      <c r="AB54" s="36"/>
      <c r="AC54" s="147"/>
      <c r="AD54" s="147"/>
      <c r="AE54" s="36"/>
      <c r="AF54" s="36"/>
      <c r="AG54" s="36"/>
      <c r="AH54" s="36"/>
      <c r="AI54" s="36"/>
      <c r="AJ54" s="36"/>
      <c r="AK54" s="36"/>
      <c r="AL54" s="36"/>
      <c r="AM54" s="1"/>
      <c r="AN54" s="86"/>
      <c r="AO54" s="8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6"/>
      <c r="CE54" s="56"/>
      <c r="CF54" s="56"/>
      <c r="CG54" s="56"/>
      <c r="CH54" s="56"/>
      <c r="CI54" s="56"/>
      <c r="CJ54" s="56"/>
      <c r="CK54" s="56"/>
      <c r="CL54" s="56"/>
      <c r="CM54" s="56"/>
      <c r="CN54" s="56"/>
      <c r="CO54" s="56"/>
      <c r="CP54" s="56"/>
      <c r="CQ54" s="56"/>
      <c r="CR54" s="56"/>
      <c r="CS54" s="56"/>
      <c r="CT54" s="56"/>
      <c r="CU54" s="56"/>
      <c r="CV54" s="56"/>
      <c r="CW54" s="56"/>
      <c r="CX54" s="56"/>
      <c r="CY54" s="56"/>
      <c r="CZ54" s="56"/>
      <c r="DA54" s="56"/>
      <c r="DB54" s="56"/>
      <c r="DC54" s="56"/>
      <c r="DD54" s="56"/>
      <c r="DE54" s="55"/>
      <c r="DF54" s="55"/>
      <c r="DG54" s="55"/>
      <c r="DH54" s="55"/>
      <c r="DI54" s="55"/>
      <c r="DJ54" s="55"/>
      <c r="DK54" s="55"/>
      <c r="DL54" s="55"/>
      <c r="DM54" s="55"/>
      <c r="DN54" s="55"/>
      <c r="DO54" s="55"/>
      <c r="DP54" s="55"/>
      <c r="DQ54" s="55"/>
      <c r="DR54" s="55"/>
      <c r="DS54" s="55"/>
      <c r="DT54" s="55"/>
      <c r="DU54" s="55"/>
      <c r="DV54" s="55"/>
      <c r="DW54" s="55"/>
      <c r="DX54" s="55"/>
      <c r="DY54" s="55"/>
      <c r="DZ54" s="55"/>
      <c r="EA54" s="55"/>
      <c r="EB54" s="55"/>
      <c r="EC54" s="55"/>
      <c r="ED54" s="55"/>
      <c r="EE54" s="56"/>
      <c r="EF54" s="56"/>
      <c r="EG54" s="56"/>
      <c r="EH54" s="56"/>
      <c r="EI54" s="56"/>
      <c r="EJ54" s="56"/>
      <c r="EK54" s="56"/>
      <c r="EL54" s="56"/>
      <c r="EM54" s="56"/>
      <c r="EN54" s="56"/>
      <c r="EO54" s="56"/>
      <c r="EP54" s="56"/>
      <c r="EQ54" s="56"/>
      <c r="ER54" s="56"/>
      <c r="ES54" s="56"/>
      <c r="ET54" s="56"/>
      <c r="EU54" s="56"/>
      <c r="EV54" s="56"/>
      <c r="EW54" s="56"/>
      <c r="EX54" s="56"/>
      <c r="EY54" s="56"/>
      <c r="EZ54" s="56"/>
      <c r="FA54" s="56"/>
      <c r="FB54" s="56"/>
      <c r="FC54" s="56"/>
      <c r="FD54" s="56"/>
      <c r="FE54" s="56"/>
      <c r="FF54" s="56"/>
      <c r="FG54" s="56"/>
      <c r="FH54" s="56"/>
      <c r="FI54" s="56"/>
      <c r="FJ54" s="56"/>
      <c r="FK54" s="56"/>
      <c r="FL54" s="56"/>
      <c r="FM54" s="56"/>
      <c r="FN54" s="56"/>
    </row>
    <row r="55" spans="1:170" s="2" customFormat="1" ht="18" customHeight="1">
      <c r="A55" s="1976"/>
      <c r="B55" s="204"/>
      <c r="C55" s="14" t="str">
        <f>Begriffe!F85</f>
        <v>Nutzungstage pro Jahr</v>
      </c>
      <c r="D55" s="498"/>
      <c r="E55" s="487"/>
      <c r="F55" s="487"/>
      <c r="G55" s="487"/>
      <c r="H55" s="14"/>
      <c r="I55" s="98" t="s">
        <v>950</v>
      </c>
      <c r="J55" s="377" t="s">
        <v>35</v>
      </c>
      <c r="K55" s="377"/>
      <c r="L55" s="514"/>
      <c r="M55" s="1752">
        <f>365-52*M54</f>
        <v>365</v>
      </c>
      <c r="N55" s="526"/>
      <c r="O55" s="394"/>
      <c r="P55" s="14">
        <v>1</v>
      </c>
      <c r="Q55" s="392">
        <v>1</v>
      </c>
      <c r="R55" s="14">
        <v>0</v>
      </c>
      <c r="S55" s="243"/>
      <c r="T55" s="162"/>
      <c r="U55" s="147"/>
      <c r="V55" s="27"/>
      <c r="W55" s="138"/>
      <c r="X55" s="163"/>
      <c r="Y55" s="27"/>
      <c r="Z55" s="138"/>
      <c r="AA55" s="138"/>
      <c r="AB55" s="36"/>
      <c r="AC55" s="147"/>
      <c r="AD55" s="147"/>
      <c r="AE55" s="36"/>
      <c r="AF55" s="36"/>
      <c r="AG55" s="36"/>
      <c r="AH55" s="36"/>
      <c r="AI55" s="36"/>
      <c r="AJ55" s="36"/>
      <c r="AK55" s="36"/>
      <c r="AL55" s="36"/>
      <c r="AM55" s="1"/>
      <c r="AN55" s="86"/>
      <c r="AO55" s="86"/>
      <c r="AR55" s="56"/>
      <c r="AS55" s="56"/>
      <c r="AT55" s="56"/>
      <c r="AU55" s="56"/>
      <c r="AV55" s="56"/>
      <c r="AW55" s="56"/>
      <c r="AX55" s="56"/>
      <c r="AY55" s="56"/>
      <c r="AZ55" s="56"/>
      <c r="BA55" s="56"/>
      <c r="BB55" s="56"/>
      <c r="BC55" s="56"/>
      <c r="BD55" s="56"/>
      <c r="BE55" s="56"/>
      <c r="BF55" s="56"/>
      <c r="BG55" s="56"/>
      <c r="BH55" s="56"/>
      <c r="BI55" s="56"/>
      <c r="BJ55" s="56"/>
      <c r="BK55" s="56"/>
      <c r="BL55" s="56"/>
      <c r="BM55" s="56"/>
      <c r="BN55" s="56"/>
      <c r="BO55" s="56"/>
      <c r="BP55" s="56"/>
      <c r="BQ55" s="56"/>
      <c r="BR55" s="56"/>
      <c r="BS55" s="56"/>
      <c r="BT55" s="56"/>
      <c r="BU55" s="56"/>
      <c r="BV55" s="56"/>
      <c r="BW55" s="56"/>
      <c r="BX55" s="56"/>
      <c r="BY55" s="56"/>
      <c r="BZ55" s="56"/>
      <c r="CA55" s="56"/>
      <c r="CB55" s="56"/>
      <c r="CC55" s="56"/>
      <c r="CD55" s="56"/>
      <c r="CE55" s="56"/>
      <c r="CF55" s="56"/>
      <c r="CG55" s="56"/>
      <c r="CH55" s="56"/>
      <c r="CI55" s="56"/>
      <c r="CJ55" s="56"/>
      <c r="CK55" s="56"/>
      <c r="CL55" s="56"/>
      <c r="CM55" s="56"/>
      <c r="CN55" s="56"/>
      <c r="CO55" s="56"/>
      <c r="CP55" s="56"/>
      <c r="CQ55" s="56"/>
      <c r="CR55" s="56"/>
      <c r="CS55" s="56"/>
      <c r="CT55" s="56"/>
      <c r="CU55" s="56"/>
      <c r="CV55" s="56"/>
      <c r="CW55" s="56"/>
      <c r="CX55" s="56"/>
      <c r="CY55" s="56"/>
      <c r="CZ55" s="56"/>
      <c r="DA55" s="56"/>
      <c r="DB55" s="56"/>
      <c r="DC55" s="56"/>
      <c r="DD55" s="56"/>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c r="EC55" s="55"/>
      <c r="ED55" s="55"/>
      <c r="EE55" s="56"/>
      <c r="EF55" s="56"/>
      <c r="EG55" s="56"/>
      <c r="EH55" s="56"/>
      <c r="EI55" s="56"/>
      <c r="EJ55" s="56"/>
      <c r="EK55" s="56"/>
      <c r="EL55" s="56"/>
      <c r="EM55" s="56"/>
      <c r="EN55" s="56"/>
      <c r="EO55" s="56"/>
      <c r="EP55" s="56"/>
      <c r="EQ55" s="56"/>
      <c r="ER55" s="56"/>
      <c r="ES55" s="56"/>
      <c r="ET55" s="56"/>
      <c r="EU55" s="56"/>
      <c r="EV55" s="56"/>
      <c r="EW55" s="56"/>
      <c r="EX55" s="56"/>
      <c r="EY55" s="56"/>
      <c r="EZ55" s="56"/>
      <c r="FA55" s="56"/>
      <c r="FB55" s="56"/>
      <c r="FC55" s="56"/>
      <c r="FD55" s="56"/>
      <c r="FE55" s="56"/>
      <c r="FF55" s="56"/>
      <c r="FG55" s="56"/>
      <c r="FH55" s="56"/>
      <c r="FI55" s="56"/>
      <c r="FJ55" s="56"/>
      <c r="FK55" s="56"/>
      <c r="FL55" s="56"/>
      <c r="FM55" s="56"/>
      <c r="FN55" s="56"/>
    </row>
    <row r="56" spans="1:170" s="2" customFormat="1" ht="18" customHeight="1">
      <c r="A56" s="1976"/>
      <c r="B56" s="204"/>
      <c r="C56" s="14" t="str">
        <f>Begriffe!F52</f>
        <v>Jahresgleichzeitigkeit</v>
      </c>
      <c r="D56" s="498"/>
      <c r="E56" s="487"/>
      <c r="F56" s="487"/>
      <c r="G56" s="487"/>
      <c r="H56" s="680"/>
      <c r="I56" s="98" t="s">
        <v>951</v>
      </c>
      <c r="J56" s="377" t="s">
        <v>16</v>
      </c>
      <c r="K56" s="377"/>
      <c r="L56" s="1554"/>
      <c r="M56" s="1753">
        <f>IF(L56&lt;&gt;"",L56,INDEX(Eingabedaten!$GA$9:$GH$53,nutzid,MATCH(C56,Eingabedaten!$GA$6:$GH$6,0)))</f>
        <v>0.80000000000000016</v>
      </c>
      <c r="N56" s="1367"/>
      <c r="O56" s="394"/>
      <c r="P56" s="14">
        <v>1</v>
      </c>
      <c r="Q56" s="392">
        <v>1</v>
      </c>
      <c r="R56" s="14">
        <v>0</v>
      </c>
      <c r="S56" s="243"/>
      <c r="T56" s="162"/>
      <c r="U56" s="147"/>
      <c r="V56" s="27"/>
      <c r="W56" s="138"/>
      <c r="X56" s="163"/>
      <c r="Y56" s="27"/>
      <c r="Z56" s="138"/>
      <c r="AA56" s="138"/>
      <c r="AB56" s="36"/>
      <c r="AC56" s="147"/>
      <c r="AD56" s="147"/>
      <c r="AE56" s="36"/>
      <c r="AF56" s="36"/>
      <c r="AG56" s="36"/>
      <c r="AH56" s="36"/>
      <c r="AI56" s="36"/>
      <c r="AJ56" s="36"/>
      <c r="AK56" s="36"/>
      <c r="AL56" s="36"/>
      <c r="AM56" s="1"/>
      <c r="AN56" s="86"/>
      <c r="AO56" s="86"/>
      <c r="AR56" s="56"/>
      <c r="AS56" s="56"/>
      <c r="AT56" s="56"/>
      <c r="AU56" s="56"/>
      <c r="AV56" s="56"/>
      <c r="AW56" s="56"/>
      <c r="AX56" s="56"/>
      <c r="AY56" s="56"/>
      <c r="AZ56" s="56"/>
      <c r="BA56" s="56"/>
      <c r="BB56" s="56"/>
      <c r="BC56" s="56"/>
      <c r="BD56" s="56"/>
      <c r="BE56" s="56"/>
      <c r="BF56" s="56"/>
      <c r="BG56" s="56"/>
      <c r="BH56" s="56"/>
      <c r="BI56" s="56"/>
      <c r="BJ56" s="56"/>
      <c r="BK56" s="56"/>
      <c r="BL56" s="56"/>
      <c r="BM56" s="56"/>
      <c r="BN56" s="56"/>
      <c r="BO56" s="56"/>
      <c r="BP56" s="56"/>
      <c r="BQ56" s="56"/>
      <c r="BR56" s="56"/>
      <c r="BS56" s="56"/>
      <c r="BT56" s="56"/>
      <c r="BU56" s="56"/>
      <c r="BV56" s="56"/>
      <c r="BW56" s="56"/>
      <c r="BX56" s="56"/>
      <c r="BY56" s="56"/>
      <c r="BZ56" s="56"/>
      <c r="CA56" s="56"/>
      <c r="CB56" s="56"/>
      <c r="CC56" s="56"/>
      <c r="CD56" s="56"/>
      <c r="CE56" s="56"/>
      <c r="CF56" s="56"/>
      <c r="CG56" s="56"/>
      <c r="CH56" s="56"/>
      <c r="CI56" s="56"/>
      <c r="CJ56" s="56"/>
      <c r="CK56" s="56"/>
      <c r="CL56" s="56"/>
      <c r="CM56" s="56"/>
      <c r="CN56" s="56"/>
      <c r="CO56" s="56"/>
      <c r="CP56" s="56"/>
      <c r="CQ56" s="56"/>
      <c r="CR56" s="56"/>
      <c r="CS56" s="56"/>
      <c r="CT56" s="56"/>
      <c r="CU56" s="56"/>
      <c r="CV56" s="56"/>
      <c r="CW56" s="56"/>
      <c r="CX56" s="56"/>
      <c r="CY56" s="56"/>
      <c r="CZ56" s="56"/>
      <c r="DA56" s="56"/>
      <c r="DB56" s="56"/>
      <c r="DC56" s="56"/>
      <c r="DD56" s="56"/>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c r="EC56" s="55"/>
      <c r="ED56" s="55"/>
      <c r="EE56" s="56"/>
      <c r="EF56" s="56"/>
      <c r="EG56" s="56"/>
      <c r="EH56" s="56"/>
      <c r="EI56" s="56"/>
      <c r="EJ56" s="56"/>
      <c r="EK56" s="56"/>
      <c r="EL56" s="56"/>
      <c r="EM56" s="56"/>
      <c r="EN56" s="56"/>
      <c r="EO56" s="56"/>
      <c r="EP56" s="56"/>
      <c r="EQ56" s="56"/>
      <c r="ER56" s="56"/>
      <c r="ES56" s="56"/>
      <c r="ET56" s="56"/>
      <c r="EU56" s="56"/>
      <c r="EV56" s="56"/>
      <c r="EW56" s="56"/>
      <c r="EX56" s="56"/>
      <c r="EY56" s="56"/>
      <c r="EZ56" s="56"/>
      <c r="FA56" s="56"/>
      <c r="FB56" s="56"/>
      <c r="FC56" s="56"/>
      <c r="FD56" s="56"/>
      <c r="FE56" s="56"/>
      <c r="FF56" s="56"/>
      <c r="FG56" s="56"/>
      <c r="FH56" s="56"/>
      <c r="FI56" s="56"/>
      <c r="FJ56" s="56"/>
      <c r="FK56" s="56"/>
      <c r="FL56" s="56"/>
      <c r="FM56" s="56"/>
      <c r="FN56" s="56"/>
    </row>
    <row r="57" spans="1:170" s="2" customFormat="1" ht="18" customHeight="1">
      <c r="A57" s="1976"/>
      <c r="B57" s="204"/>
      <c r="C57" s="14" t="str">
        <f>Begriffe!F112</f>
        <v>Volllaststunden pro Jahr</v>
      </c>
      <c r="D57" s="498"/>
      <c r="E57" s="487"/>
      <c r="F57" s="487"/>
      <c r="G57" s="487"/>
      <c r="H57" s="14"/>
      <c r="I57" s="98" t="s">
        <v>952</v>
      </c>
      <c r="J57" s="377" t="s">
        <v>15</v>
      </c>
      <c r="K57" s="377"/>
      <c r="L57" s="514"/>
      <c r="M57" s="1754">
        <f>ROUND(M53*M55*M56,-1)</f>
        <v>4090</v>
      </c>
      <c r="N57" s="1367"/>
      <c r="O57" s="394"/>
      <c r="P57" s="14">
        <v>1</v>
      </c>
      <c r="Q57" s="392">
        <v>1</v>
      </c>
      <c r="R57" s="14">
        <v>0</v>
      </c>
      <c r="S57" s="243"/>
      <c r="T57" s="162"/>
      <c r="V57" s="27"/>
      <c r="W57" s="138"/>
      <c r="X57" s="163"/>
      <c r="Y57" s="27"/>
      <c r="Z57" s="138"/>
      <c r="AA57" s="138"/>
      <c r="AB57" s="36"/>
      <c r="AC57" s="147"/>
      <c r="AD57" s="147"/>
      <c r="AE57" s="36"/>
      <c r="AF57" s="36"/>
      <c r="AG57" s="36"/>
      <c r="AH57" s="36"/>
      <c r="AI57" s="36"/>
      <c r="AJ57" s="36"/>
      <c r="AK57" s="36"/>
      <c r="AL57" s="36"/>
      <c r="AM57" s="1"/>
      <c r="AN57" s="86"/>
      <c r="AO57" s="86"/>
      <c r="AR57" s="56"/>
      <c r="AS57" s="56"/>
      <c r="AT57" s="56"/>
      <c r="AU57" s="56"/>
      <c r="AV57" s="56"/>
      <c r="AW57" s="56"/>
      <c r="AX57" s="56"/>
      <c r="AY57" s="56"/>
      <c r="AZ57" s="56"/>
      <c r="BA57" s="56"/>
      <c r="BB57" s="56"/>
      <c r="BC57" s="56"/>
      <c r="BD57" s="56"/>
      <c r="BE57" s="56"/>
      <c r="BF57" s="56"/>
      <c r="BG57" s="56"/>
      <c r="BH57" s="56"/>
      <c r="BI57" s="56"/>
      <c r="BJ57" s="56"/>
      <c r="BK57" s="56"/>
      <c r="BL57" s="56"/>
      <c r="BM57" s="56"/>
      <c r="BN57" s="56"/>
      <c r="BO57" s="56"/>
      <c r="BP57" s="56"/>
      <c r="BQ57" s="56"/>
      <c r="BR57" s="56"/>
      <c r="BS57" s="56"/>
      <c r="BT57" s="56"/>
      <c r="BU57" s="56"/>
      <c r="BV57" s="56"/>
      <c r="BW57" s="56"/>
      <c r="BX57" s="56"/>
      <c r="BY57" s="56"/>
      <c r="BZ57" s="56"/>
      <c r="CA57" s="56"/>
      <c r="CB57" s="56"/>
      <c r="CC57" s="56"/>
      <c r="CD57" s="56"/>
      <c r="CE57" s="56"/>
      <c r="CF57" s="56"/>
      <c r="CG57" s="56"/>
      <c r="CH57" s="56"/>
      <c r="CI57" s="56"/>
      <c r="CJ57" s="56"/>
      <c r="CK57" s="56"/>
      <c r="CL57" s="56"/>
      <c r="CM57" s="56"/>
      <c r="CN57" s="56"/>
      <c r="CO57" s="56"/>
      <c r="CP57" s="56"/>
      <c r="CQ57" s="56"/>
      <c r="CR57" s="56"/>
      <c r="CS57" s="56"/>
      <c r="CT57" s="56"/>
      <c r="CU57" s="56"/>
      <c r="CV57" s="56"/>
      <c r="CW57" s="56"/>
      <c r="CX57" s="56"/>
      <c r="CY57" s="56"/>
      <c r="CZ57" s="56"/>
      <c r="DA57" s="56"/>
      <c r="DB57" s="56"/>
      <c r="DC57" s="56"/>
      <c r="DD57" s="56"/>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c r="EC57" s="55"/>
      <c r="ED57" s="55"/>
      <c r="EE57" s="56"/>
      <c r="EF57" s="56"/>
      <c r="EG57" s="56"/>
      <c r="EH57" s="56"/>
      <c r="EI57" s="56"/>
      <c r="EJ57" s="56"/>
      <c r="EK57" s="56"/>
      <c r="EL57" s="56"/>
      <c r="EM57" s="56"/>
      <c r="EN57" s="56"/>
      <c r="EO57" s="56"/>
      <c r="EP57" s="56"/>
      <c r="EQ57" s="56"/>
      <c r="ER57" s="56"/>
      <c r="ES57" s="56"/>
      <c r="ET57" s="56"/>
      <c r="EU57" s="56"/>
      <c r="EV57" s="56"/>
      <c r="EW57" s="56"/>
      <c r="EX57" s="56"/>
      <c r="EY57" s="56"/>
      <c r="EZ57" s="56"/>
      <c r="FA57" s="56"/>
      <c r="FB57" s="56"/>
      <c r="FC57" s="56"/>
      <c r="FD57" s="56"/>
      <c r="FE57" s="56"/>
      <c r="FF57" s="56"/>
      <c r="FG57" s="56"/>
      <c r="FH57" s="56"/>
      <c r="FI57" s="56"/>
      <c r="FJ57" s="56"/>
      <c r="FK57" s="56"/>
      <c r="FL57" s="56"/>
      <c r="FM57" s="56"/>
      <c r="FN57" s="56"/>
    </row>
    <row r="58" spans="1:170" s="11" customFormat="1" ht="18" customHeight="1">
      <c r="A58" s="1976"/>
      <c r="B58" s="204"/>
      <c r="C58" s="14" t="str">
        <f>Begriffe!F87</f>
        <v>Personenfläche</v>
      </c>
      <c r="D58" s="87"/>
      <c r="E58" s="500"/>
      <c r="F58" s="500" t="str">
        <f>Begriffe!F355</f>
        <v>Nettogeschossfläche pro Person</v>
      </c>
      <c r="G58" s="500"/>
      <c r="H58" s="500"/>
      <c r="I58" s="672" t="s">
        <v>953</v>
      </c>
      <c r="J58" s="678" t="s">
        <v>439</v>
      </c>
      <c r="K58" s="377"/>
      <c r="L58" s="1553"/>
      <c r="M58" s="1755">
        <f>IF(L58&lt;&gt;"",L58,INDEX(Eingabedaten!$D$9:$GV$53,nutzid,MATCH($C58,Eingabedaten!$D$6:$GV$6,0)))</f>
        <v>35</v>
      </c>
      <c r="N58" s="1735"/>
      <c r="O58" s="441"/>
      <c r="P58" s="14">
        <v>1</v>
      </c>
      <c r="Q58" s="392">
        <v>1</v>
      </c>
      <c r="R58" s="14">
        <v>0</v>
      </c>
      <c r="S58" s="243"/>
      <c r="T58" s="159"/>
      <c r="U58" s="159"/>
      <c r="V58" s="166"/>
      <c r="W58" s="159"/>
      <c r="X58" s="159"/>
      <c r="Y58" s="166"/>
      <c r="Z58" s="159"/>
      <c r="AA58" s="159"/>
      <c r="AB58" s="36"/>
      <c r="AC58" s="147"/>
      <c r="AD58" s="147"/>
      <c r="AE58" s="67"/>
      <c r="AF58" s="67"/>
      <c r="AG58" s="67"/>
      <c r="AH58" s="67"/>
      <c r="AI58" s="67"/>
      <c r="AJ58" s="67"/>
      <c r="AK58" s="67"/>
      <c r="AL58" s="67"/>
      <c r="AM58" s="7"/>
      <c r="AN58" s="87"/>
      <c r="AO58" s="8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c r="CT58" s="47"/>
      <c r="CU58" s="47"/>
      <c r="CV58" s="47"/>
      <c r="CW58" s="47"/>
      <c r="CX58" s="47"/>
      <c r="CY58" s="47"/>
      <c r="CZ58" s="47"/>
      <c r="DA58" s="47"/>
      <c r="DB58" s="47"/>
      <c r="DC58" s="47"/>
      <c r="DD58" s="47"/>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7"/>
      <c r="EF58" s="47"/>
      <c r="EG58" s="47"/>
      <c r="EH58" s="47"/>
      <c r="EI58" s="47"/>
      <c r="EJ58" s="47"/>
      <c r="EK58" s="47"/>
      <c r="EL58" s="47"/>
      <c r="EM58" s="47"/>
      <c r="EN58" s="47"/>
      <c r="EO58" s="47"/>
      <c r="EP58" s="47"/>
      <c r="EQ58" s="47"/>
      <c r="ER58" s="47"/>
      <c r="ES58" s="47"/>
      <c r="ET58" s="47"/>
      <c r="EU58" s="47"/>
      <c r="EV58" s="47"/>
      <c r="EW58" s="47"/>
      <c r="EX58" s="47"/>
      <c r="EY58" s="47"/>
      <c r="EZ58" s="47"/>
      <c r="FA58" s="47"/>
      <c r="FB58" s="47"/>
      <c r="FC58" s="47"/>
      <c r="FD58" s="47"/>
      <c r="FE58" s="47"/>
      <c r="FF58" s="47"/>
      <c r="FG58" s="47"/>
      <c r="FH58" s="47"/>
      <c r="FI58" s="47"/>
      <c r="FJ58" s="47"/>
      <c r="FK58" s="47"/>
      <c r="FL58" s="47"/>
      <c r="FM58" s="47"/>
      <c r="FN58" s="47"/>
    </row>
    <row r="59" spans="1:170" s="11" customFormat="1" ht="18" customHeight="1">
      <c r="A59" s="1976"/>
      <c r="B59" s="204"/>
      <c r="C59" s="14" t="str">
        <f>Begriffe!F26</f>
        <v>Aktivitätsgrad</v>
      </c>
      <c r="D59" s="87"/>
      <c r="E59" s="87"/>
      <c r="F59" s="14"/>
      <c r="G59" s="87"/>
      <c r="H59" s="14"/>
      <c r="I59" s="98" t="s">
        <v>11</v>
      </c>
      <c r="J59" s="377" t="s">
        <v>12</v>
      </c>
      <c r="K59" s="377"/>
      <c r="L59" s="377"/>
      <c r="M59" s="1751">
        <f>IF(L59&lt;&gt;"",L59,INDEX(Eingabedaten!$D$9:$GV$53,nutzid,MATCH($C59,Eingabedaten!$D$6:$GV$6,0)))</f>
        <v>1.2</v>
      </c>
      <c r="N59" s="1367"/>
      <c r="O59" s="466"/>
      <c r="P59" s="14">
        <v>0</v>
      </c>
      <c r="Q59" s="392">
        <v>1</v>
      </c>
      <c r="R59" s="14">
        <v>0</v>
      </c>
      <c r="S59" s="243"/>
      <c r="T59" s="89"/>
      <c r="U59" s="89"/>
      <c r="V59" s="64"/>
      <c r="W59" s="158"/>
      <c r="X59" s="158"/>
      <c r="Y59" s="64"/>
      <c r="Z59" s="158"/>
      <c r="AA59" s="158"/>
      <c r="AB59" s="65"/>
      <c r="AC59" s="89"/>
      <c r="AD59" s="89"/>
      <c r="AE59" s="65"/>
      <c r="AF59" s="65"/>
      <c r="AG59" s="65"/>
      <c r="AH59" s="65"/>
      <c r="AI59" s="65"/>
      <c r="AJ59" s="65"/>
      <c r="AK59" s="65"/>
      <c r="AL59" s="65"/>
      <c r="AM59" s="65"/>
      <c r="AN59" s="66"/>
      <c r="AO59" s="66"/>
      <c r="AP59" s="81"/>
      <c r="AQ59" s="81"/>
      <c r="AR59" s="42"/>
      <c r="AS59" s="42"/>
      <c r="AT59" s="42"/>
      <c r="AU59" s="42"/>
      <c r="AV59" s="42"/>
      <c r="AW59" s="42"/>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c r="CD59" s="42"/>
      <c r="CE59" s="42"/>
      <c r="CF59" s="42"/>
      <c r="CG59" s="42"/>
      <c r="CH59" s="42"/>
      <c r="CI59" s="42"/>
      <c r="CJ59" s="42"/>
      <c r="CK59" s="42"/>
      <c r="CL59" s="42"/>
      <c r="CM59" s="42"/>
      <c r="CN59" s="42"/>
      <c r="CO59" s="42"/>
      <c r="CP59" s="42"/>
      <c r="CQ59" s="42"/>
      <c r="CR59" s="42"/>
      <c r="CS59" s="42"/>
      <c r="CT59" s="42"/>
      <c r="CU59" s="42"/>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7"/>
      <c r="EF59" s="47"/>
      <c r="EG59" s="47"/>
      <c r="EH59" s="47"/>
      <c r="EI59" s="47"/>
      <c r="EJ59" s="47"/>
      <c r="EK59" s="47"/>
      <c r="EL59" s="47"/>
      <c r="EM59" s="47"/>
      <c r="EN59" s="47"/>
      <c r="EO59" s="47"/>
      <c r="EP59" s="47"/>
      <c r="EQ59" s="47"/>
      <c r="ER59" s="47"/>
      <c r="ES59" s="47"/>
      <c r="ET59" s="47"/>
      <c r="EU59" s="47"/>
      <c r="EV59" s="47"/>
      <c r="EW59" s="47"/>
      <c r="EX59" s="47"/>
      <c r="EY59" s="47"/>
      <c r="EZ59" s="47"/>
      <c r="FA59" s="47"/>
      <c r="FB59" s="47"/>
      <c r="FC59" s="47"/>
      <c r="FD59" s="47"/>
      <c r="FE59" s="47"/>
      <c r="FF59" s="47"/>
      <c r="FG59" s="47"/>
      <c r="FH59" s="47"/>
      <c r="FI59" s="47"/>
      <c r="FJ59" s="47"/>
      <c r="FK59" s="47"/>
      <c r="FL59" s="47"/>
      <c r="FM59" s="47"/>
      <c r="FN59" s="47"/>
    </row>
    <row r="60" spans="1:170" s="11" customFormat="1" ht="18" customHeight="1">
      <c r="A60" s="1976"/>
      <c r="B60" s="204"/>
      <c r="C60" s="1984" t="str">
        <f>Begriffe!F118</f>
        <v>Wärmedämmwert der Bekleidung</v>
      </c>
      <c r="D60" s="1984"/>
      <c r="E60" s="1984"/>
      <c r="F60" s="14" t="str">
        <f>Begriffe!$F$346</f>
        <v>Auslegung Kühlung</v>
      </c>
      <c r="G60" s="14"/>
      <c r="H60" s="14"/>
      <c r="I60" s="152" t="s">
        <v>1561</v>
      </c>
      <c r="J60" s="377" t="s">
        <v>13</v>
      </c>
      <c r="K60" s="377"/>
      <c r="L60" s="377"/>
      <c r="M60" s="1751">
        <f>IF(L60&lt;&gt;"",L60,INDEX(Eingabedaten!$D$9:$GV$53,nutzid,MATCH($C60,Eingabedaten!$D$6:$GV$6,0)))</f>
        <v>0.5</v>
      </c>
      <c r="N60" s="1367"/>
      <c r="O60" s="394"/>
      <c r="P60" s="14">
        <v>0</v>
      </c>
      <c r="Q60" s="392">
        <v>1</v>
      </c>
      <c r="R60" s="14">
        <v>0</v>
      </c>
      <c r="S60" s="243"/>
      <c r="T60" s="89"/>
      <c r="U60" s="89"/>
      <c r="V60" s="64"/>
      <c r="W60" s="158"/>
      <c r="X60" s="158"/>
      <c r="Y60" s="64"/>
      <c r="Z60" s="158"/>
      <c r="AA60" s="158"/>
      <c r="AB60" s="65"/>
      <c r="AC60" s="89"/>
      <c r="AD60" s="147"/>
      <c r="AE60" s="65"/>
      <c r="AF60" s="65"/>
      <c r="AG60" s="65"/>
      <c r="AH60" s="65"/>
      <c r="AI60" s="65"/>
      <c r="AJ60" s="65"/>
      <c r="AK60" s="65"/>
      <c r="AL60" s="65"/>
      <c r="AM60" s="65"/>
      <c r="AN60" s="66"/>
      <c r="AO60" s="66"/>
      <c r="AP60" s="81"/>
      <c r="AQ60" s="81"/>
      <c r="AR60" s="42"/>
      <c r="AS60" s="42"/>
      <c r="AT60" s="42"/>
      <c r="AU60" s="42"/>
      <c r="AV60" s="42"/>
      <c r="AW60" s="42"/>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c r="CD60" s="42"/>
      <c r="CE60" s="42"/>
      <c r="CF60" s="42"/>
      <c r="CG60" s="42"/>
      <c r="CH60" s="42"/>
      <c r="CI60" s="42"/>
      <c r="CJ60" s="42"/>
      <c r="CK60" s="42"/>
      <c r="CL60" s="42"/>
      <c r="CM60" s="42"/>
      <c r="CN60" s="42"/>
      <c r="CO60" s="42"/>
      <c r="CP60" s="42"/>
      <c r="CQ60" s="42"/>
      <c r="CR60" s="42"/>
      <c r="CS60" s="42"/>
      <c r="CT60" s="42"/>
      <c r="CU60" s="42"/>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7"/>
      <c r="EF60" s="47"/>
      <c r="EG60" s="47"/>
      <c r="EH60" s="47"/>
      <c r="EI60" s="47"/>
      <c r="EJ60" s="47"/>
      <c r="EK60" s="47"/>
      <c r="EL60" s="47"/>
      <c r="EM60" s="47"/>
      <c r="EN60" s="47"/>
      <c r="EO60" s="47"/>
      <c r="EP60" s="47"/>
      <c r="EQ60" s="47"/>
      <c r="ER60" s="47"/>
      <c r="ES60" s="47"/>
      <c r="ET60" s="47"/>
      <c r="EU60" s="47"/>
      <c r="EV60" s="47"/>
      <c r="EW60" s="47"/>
      <c r="EX60" s="47"/>
      <c r="EY60" s="47"/>
      <c r="EZ60" s="47"/>
      <c r="FA60" s="47"/>
      <c r="FB60" s="47"/>
      <c r="FC60" s="47"/>
      <c r="FD60" s="47"/>
      <c r="FE60" s="47"/>
      <c r="FF60" s="47"/>
      <c r="FG60" s="47"/>
      <c r="FH60" s="47"/>
      <c r="FI60" s="47"/>
      <c r="FJ60" s="47"/>
      <c r="FK60" s="47"/>
      <c r="FL60" s="47"/>
      <c r="FM60" s="47"/>
      <c r="FN60" s="47"/>
    </row>
    <row r="61" spans="1:170" s="11" customFormat="1" ht="18" customHeight="1">
      <c r="A61" s="1976"/>
      <c r="B61" s="204"/>
      <c r="C61" s="14"/>
      <c r="D61" s="87"/>
      <c r="E61" s="87"/>
      <c r="F61" s="14" t="str">
        <f>Begriffe!$F$347</f>
        <v>Auslegung Heizung</v>
      </c>
      <c r="G61" s="14"/>
      <c r="H61" s="14"/>
      <c r="I61" s="152" t="s">
        <v>1562</v>
      </c>
      <c r="J61" s="377" t="s">
        <v>13</v>
      </c>
      <c r="K61" s="377"/>
      <c r="L61" s="377"/>
      <c r="M61" s="1751">
        <f>IF(L61&lt;&gt;"",L61,INDEX(Eingabedaten!$D$9:$GV$53,nutzid,MATCH($C60,Eingabedaten!$D$6:$GV$6,0)+1))</f>
        <v>1</v>
      </c>
      <c r="N61" s="1367"/>
      <c r="O61" s="394"/>
      <c r="P61" s="14">
        <v>0</v>
      </c>
      <c r="Q61" s="392">
        <v>1</v>
      </c>
      <c r="R61" s="14">
        <v>0</v>
      </c>
      <c r="S61" s="243"/>
      <c r="T61" s="89"/>
      <c r="U61" s="89"/>
      <c r="V61" s="64"/>
      <c r="W61" s="158"/>
      <c r="X61" s="158"/>
      <c r="Y61" s="64"/>
      <c r="Z61" s="158"/>
      <c r="AA61" s="158"/>
      <c r="AB61" s="65"/>
      <c r="AC61" s="89"/>
      <c r="AD61" s="89"/>
      <c r="AE61" s="65"/>
      <c r="AF61" s="65"/>
      <c r="AG61" s="65"/>
      <c r="AH61" s="65"/>
      <c r="AI61" s="65"/>
      <c r="AJ61" s="65"/>
      <c r="AK61" s="65"/>
      <c r="AL61" s="65"/>
      <c r="AM61" s="65"/>
      <c r="AN61" s="66"/>
      <c r="AO61" s="66"/>
      <c r="AP61" s="81"/>
      <c r="AQ61" s="81"/>
      <c r="AR61" s="42"/>
      <c r="AS61" s="42"/>
      <c r="AT61" s="42"/>
      <c r="AU61" s="42"/>
      <c r="AV61" s="42"/>
      <c r="AW61" s="42"/>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c r="CD61" s="42"/>
      <c r="CE61" s="42"/>
      <c r="CF61" s="42"/>
      <c r="CG61" s="42"/>
      <c r="CH61" s="42"/>
      <c r="CI61" s="42"/>
      <c r="CJ61" s="42"/>
      <c r="CK61" s="42"/>
      <c r="CL61" s="42"/>
      <c r="CM61" s="42"/>
      <c r="CN61" s="42"/>
      <c r="CO61" s="42"/>
      <c r="CP61" s="42"/>
      <c r="CQ61" s="42"/>
      <c r="CR61" s="42"/>
      <c r="CS61" s="42"/>
      <c r="CT61" s="42"/>
      <c r="CU61" s="42"/>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7"/>
      <c r="EF61" s="47"/>
      <c r="EG61" s="47"/>
      <c r="EH61" s="47"/>
      <c r="EI61" s="47"/>
      <c r="EJ61" s="47"/>
      <c r="EK61" s="47"/>
      <c r="EL61" s="47"/>
      <c r="EM61" s="47"/>
      <c r="EN61" s="47"/>
      <c r="EO61" s="47"/>
      <c r="EP61" s="47"/>
      <c r="EQ61" s="47"/>
      <c r="ER61" s="47"/>
      <c r="ES61" s="47"/>
      <c r="ET61" s="47"/>
      <c r="EU61" s="47"/>
      <c r="EV61" s="47"/>
      <c r="EW61" s="47"/>
      <c r="EX61" s="47"/>
      <c r="EY61" s="47"/>
      <c r="EZ61" s="47"/>
      <c r="FA61" s="47"/>
      <c r="FB61" s="47"/>
      <c r="FC61" s="47"/>
      <c r="FD61" s="47"/>
      <c r="FE61" s="47"/>
      <c r="FF61" s="47"/>
      <c r="FG61" s="47"/>
      <c r="FH61" s="47"/>
      <c r="FI61" s="47"/>
      <c r="FJ61" s="47"/>
      <c r="FK61" s="47"/>
      <c r="FL61" s="47"/>
      <c r="FM61" s="47"/>
      <c r="FN61" s="47"/>
    </row>
    <row r="62" spans="1:170" s="11" customFormat="1" ht="18" customHeight="1">
      <c r="A62" s="1976"/>
      <c r="B62" s="204"/>
      <c r="C62" s="14" t="str">
        <f>Begriffe!F101</f>
        <v>Sensible Wärmeeintragsleistung Personen</v>
      </c>
      <c r="D62" s="87"/>
      <c r="E62" s="87"/>
      <c r="F62" s="14" t="str">
        <f>Begriffe!$F$346</f>
        <v>Auslegung Kühlung</v>
      </c>
      <c r="G62" s="681"/>
      <c r="H62" s="680" cm="1">
        <f t="array" ref="H62">INDEX(Eingabedaten!$D$9:$GV$53,nutzid,MATCH(Eingabedaten!AT6,Eingabedaten!$D$6:$GV$6,0))</f>
        <v>84</v>
      </c>
      <c r="I62" s="155" t="s">
        <v>1743</v>
      </c>
      <c r="J62" s="377" t="s">
        <v>149</v>
      </c>
      <c r="K62" s="377"/>
      <c r="L62" s="515"/>
      <c r="M62" s="1751">
        <f>IF(OR($H62=0,M$58=0),0,($H62/M$58))</f>
        <v>2.4</v>
      </c>
      <c r="N62" s="1367"/>
      <c r="O62" s="394"/>
      <c r="P62" s="14">
        <v>1</v>
      </c>
      <c r="Q62" s="392">
        <v>1</v>
      </c>
      <c r="R62" s="14">
        <v>1</v>
      </c>
      <c r="S62" s="243"/>
      <c r="T62" s="89"/>
      <c r="U62" s="89"/>
      <c r="V62" s="64"/>
      <c r="W62" s="158"/>
      <c r="X62" s="158"/>
      <c r="Y62" s="64"/>
      <c r="Z62" s="158"/>
      <c r="AA62" s="158"/>
      <c r="AB62" s="65"/>
      <c r="AC62" s="89"/>
      <c r="AD62" s="89"/>
      <c r="AE62" s="65"/>
      <c r="AF62" s="65"/>
      <c r="AG62" s="65"/>
      <c r="AH62" s="65"/>
      <c r="AI62" s="65"/>
      <c r="AJ62" s="65"/>
      <c r="AK62" s="65"/>
      <c r="AL62" s="65"/>
      <c r="AM62" s="65"/>
      <c r="AN62" s="66"/>
      <c r="AO62" s="66"/>
      <c r="AP62" s="81"/>
      <c r="AQ62" s="81"/>
      <c r="AR62" s="42"/>
      <c r="AS62" s="42"/>
      <c r="AT62" s="42"/>
      <c r="AU62" s="42"/>
      <c r="AV62" s="42"/>
      <c r="AW62" s="42"/>
      <c r="AX62" s="42"/>
      <c r="AY62" s="42"/>
      <c r="AZ62" s="42"/>
      <c r="BA62" s="42"/>
      <c r="BB62" s="42"/>
      <c r="BC62" s="42"/>
      <c r="BD62" s="42"/>
      <c r="BE62" s="42"/>
      <c r="BF62" s="42"/>
      <c r="BG62" s="42"/>
      <c r="BH62" s="42"/>
      <c r="BI62" s="42"/>
      <c r="BJ62" s="42"/>
      <c r="BK62" s="42"/>
      <c r="BL62" s="42"/>
      <c r="BM62" s="42"/>
      <c r="BN62" s="42"/>
      <c r="BO62" s="42"/>
      <c r="BP62" s="42"/>
      <c r="BQ62" s="42"/>
      <c r="BR62" s="42"/>
      <c r="BS62" s="42"/>
      <c r="BT62" s="42"/>
      <c r="BU62" s="42"/>
      <c r="BV62" s="42"/>
      <c r="BW62" s="42"/>
      <c r="BX62" s="42"/>
      <c r="BY62" s="42"/>
      <c r="BZ62" s="42"/>
      <c r="CA62" s="42"/>
      <c r="CB62" s="42"/>
      <c r="CC62" s="42"/>
      <c r="CD62" s="42"/>
      <c r="CE62" s="42"/>
      <c r="CF62" s="42"/>
      <c r="CG62" s="42"/>
      <c r="CH62" s="42"/>
      <c r="CI62" s="42"/>
      <c r="CJ62" s="42"/>
      <c r="CK62" s="42"/>
      <c r="CL62" s="42"/>
      <c r="CM62" s="42"/>
      <c r="CN62" s="42"/>
      <c r="CO62" s="42"/>
      <c r="CP62" s="42"/>
      <c r="CQ62" s="42"/>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7"/>
      <c r="EB62" s="47"/>
      <c r="EC62" s="47"/>
      <c r="ED62" s="47"/>
      <c r="EE62" s="47"/>
      <c r="EF62" s="47"/>
      <c r="EG62" s="47"/>
      <c r="EH62" s="47"/>
      <c r="EI62" s="47"/>
      <c r="EJ62" s="47"/>
      <c r="EK62" s="47"/>
      <c r="EL62" s="47"/>
      <c r="EM62" s="47"/>
      <c r="EN62" s="47"/>
      <c r="EO62" s="47"/>
      <c r="EP62" s="47"/>
      <c r="EQ62" s="47"/>
      <c r="ER62" s="47"/>
      <c r="ES62" s="47"/>
      <c r="ET62" s="47"/>
      <c r="EU62" s="47"/>
      <c r="EV62" s="47"/>
      <c r="EW62" s="47"/>
      <c r="EX62" s="47"/>
      <c r="EY62" s="47"/>
      <c r="EZ62" s="47"/>
      <c r="FA62" s="47"/>
      <c r="FB62" s="47"/>
      <c r="FC62" s="47"/>
      <c r="FD62" s="47"/>
      <c r="FE62" s="47"/>
      <c r="FF62" s="47"/>
      <c r="FG62" s="47"/>
      <c r="FH62" s="47"/>
      <c r="FI62" s="47"/>
      <c r="FJ62" s="47"/>
      <c r="FK62" s="47"/>
      <c r="FL62" s="47"/>
      <c r="FM62" s="47"/>
      <c r="FN62" s="47"/>
    </row>
    <row r="63" spans="1:170" s="11" customFormat="1" ht="18" customHeight="1">
      <c r="A63" s="1976"/>
      <c r="B63" s="204"/>
      <c r="C63" s="14"/>
      <c r="D63" s="87"/>
      <c r="E63" s="87"/>
      <c r="F63" s="14" t="str">
        <f>Begriffe!$F$347</f>
        <v>Auslegung Heizung</v>
      </c>
      <c r="G63" s="681"/>
      <c r="H63" s="680" cm="1">
        <f t="array" ref="H63">INDEX(Eingabedaten!$D$9:$GV$53,nutzid,MATCH(Eingabedaten!AT6,Eingabedaten!$D$6:$GV$6,0)+1)</f>
        <v>94</v>
      </c>
      <c r="I63" s="1652" t="s">
        <v>1744</v>
      </c>
      <c r="J63" s="377" t="s">
        <v>149</v>
      </c>
      <c r="K63" s="377"/>
      <c r="L63" s="515"/>
      <c r="M63" s="1751">
        <f>IF(OR($H63=0,M$58=0),0,($H63/M$58))</f>
        <v>2.6857142857142855</v>
      </c>
      <c r="N63" s="1367"/>
      <c r="O63" s="394"/>
      <c r="P63" s="14"/>
      <c r="Q63" s="392">
        <v>1</v>
      </c>
      <c r="R63" s="14"/>
      <c r="S63" s="243"/>
      <c r="T63" s="89"/>
      <c r="U63" s="89"/>
      <c r="V63" s="64"/>
      <c r="W63" s="158"/>
      <c r="X63" s="158"/>
      <c r="Y63" s="64"/>
      <c r="Z63" s="158"/>
      <c r="AA63" s="158"/>
      <c r="AB63" s="65"/>
      <c r="AC63" s="89"/>
      <c r="AD63" s="89"/>
      <c r="AE63" s="65"/>
      <c r="AF63" s="65"/>
      <c r="AG63" s="65"/>
      <c r="AH63" s="65"/>
      <c r="AI63" s="65"/>
      <c r="AJ63" s="65"/>
      <c r="AK63" s="65"/>
      <c r="AL63" s="65"/>
      <c r="AM63" s="65"/>
      <c r="AN63" s="66"/>
      <c r="AO63" s="66"/>
      <c r="AP63" s="81"/>
      <c r="AQ63" s="81"/>
      <c r="AR63" s="42"/>
      <c r="AS63" s="42"/>
      <c r="AT63" s="42"/>
      <c r="AU63" s="42"/>
      <c r="AV63" s="42"/>
      <c r="AW63" s="42"/>
      <c r="AX63" s="42"/>
      <c r="AY63" s="42"/>
      <c r="AZ63" s="42"/>
      <c r="BA63" s="42"/>
      <c r="BB63" s="42"/>
      <c r="BC63" s="42"/>
      <c r="BD63" s="42"/>
      <c r="BE63" s="42"/>
      <c r="BF63" s="42"/>
      <c r="BG63" s="42"/>
      <c r="BH63" s="42"/>
      <c r="BI63" s="42"/>
      <c r="BJ63" s="42"/>
      <c r="BK63" s="42"/>
      <c r="BL63" s="42"/>
      <c r="BM63" s="42"/>
      <c r="BN63" s="42"/>
      <c r="BO63" s="42"/>
      <c r="BP63" s="42"/>
      <c r="BQ63" s="42"/>
      <c r="BR63" s="42"/>
      <c r="BS63" s="42"/>
      <c r="BT63" s="42"/>
      <c r="BU63" s="42"/>
      <c r="BV63" s="42"/>
      <c r="BW63" s="42"/>
      <c r="BX63" s="42"/>
      <c r="BY63" s="42"/>
      <c r="BZ63" s="42"/>
      <c r="CA63" s="42"/>
      <c r="CB63" s="42"/>
      <c r="CC63" s="42"/>
      <c r="CD63" s="42"/>
      <c r="CE63" s="42"/>
      <c r="CF63" s="42"/>
      <c r="CG63" s="42"/>
      <c r="CH63" s="42"/>
      <c r="CI63" s="42"/>
      <c r="CJ63" s="42"/>
      <c r="CK63" s="42"/>
      <c r="CL63" s="42"/>
      <c r="CM63" s="42"/>
      <c r="CN63" s="42"/>
      <c r="CO63" s="42"/>
      <c r="CP63" s="42"/>
      <c r="CQ63" s="42"/>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7"/>
      <c r="EB63" s="47"/>
      <c r="EC63" s="47"/>
      <c r="ED63" s="47"/>
      <c r="EE63" s="47"/>
      <c r="EF63" s="47"/>
      <c r="EG63" s="47"/>
      <c r="EH63" s="47"/>
      <c r="EI63" s="47"/>
      <c r="EJ63" s="47"/>
      <c r="EK63" s="47"/>
      <c r="EL63" s="47"/>
      <c r="EM63" s="47"/>
      <c r="EN63" s="47"/>
      <c r="EO63" s="47"/>
      <c r="EP63" s="47"/>
      <c r="EQ63" s="47"/>
      <c r="ER63" s="47"/>
      <c r="ES63" s="47"/>
      <c r="ET63" s="47"/>
      <c r="EU63" s="47"/>
      <c r="EV63" s="47"/>
      <c r="EW63" s="47"/>
      <c r="EX63" s="47"/>
      <c r="EY63" s="47"/>
      <c r="EZ63" s="47"/>
      <c r="FA63" s="47"/>
      <c r="FB63" s="47"/>
      <c r="FC63" s="47"/>
      <c r="FD63" s="47"/>
      <c r="FE63" s="47"/>
      <c r="FF63" s="47"/>
      <c r="FG63" s="47"/>
      <c r="FH63" s="47"/>
      <c r="FI63" s="47"/>
      <c r="FJ63" s="47"/>
      <c r="FK63" s="47"/>
      <c r="FL63" s="47"/>
      <c r="FM63" s="47"/>
      <c r="FN63" s="47"/>
    </row>
    <row r="64" spans="1:170" s="11" customFormat="1" ht="18" hidden="1" customHeight="1">
      <c r="A64" s="1976"/>
      <c r="B64" s="21"/>
      <c r="C64" s="395" t="s">
        <v>536</v>
      </c>
      <c r="D64" s="395"/>
      <c r="E64" s="395"/>
      <c r="F64" s="395"/>
      <c r="G64" s="395"/>
      <c r="H64" s="395"/>
      <c r="I64" s="482" t="s">
        <v>1118</v>
      </c>
      <c r="J64" s="397" t="s">
        <v>541</v>
      </c>
      <c r="K64" s="397"/>
      <c r="L64" s="483"/>
      <c r="M64" s="484">
        <f>$M62*$M$53</f>
        <v>33.6</v>
      </c>
      <c r="N64" s="484">
        <f>$M62*$M$53</f>
        <v>33.6</v>
      </c>
      <c r="O64" s="484">
        <f>$M62*$M$53</f>
        <v>33.6</v>
      </c>
      <c r="P64" s="14">
        <v>0</v>
      </c>
      <c r="Q64" s="392">
        <v>0</v>
      </c>
      <c r="R64" s="14">
        <v>1</v>
      </c>
      <c r="S64" s="243"/>
      <c r="T64" s="89"/>
      <c r="U64" s="89"/>
      <c r="V64" s="64"/>
      <c r="W64" s="158"/>
      <c r="X64" s="158"/>
      <c r="Y64" s="64"/>
      <c r="Z64" s="158"/>
      <c r="AA64" s="158"/>
      <c r="AB64" s="65"/>
      <c r="AC64" s="89"/>
      <c r="AD64" s="89"/>
      <c r="AE64" s="65"/>
      <c r="AF64" s="65"/>
      <c r="AG64" s="65"/>
      <c r="AH64" s="65"/>
      <c r="AI64" s="65"/>
      <c r="AJ64" s="65"/>
      <c r="AK64" s="65"/>
      <c r="AL64" s="65"/>
      <c r="AM64" s="65"/>
      <c r="AN64" s="66"/>
      <c r="AO64" s="66"/>
      <c r="AP64" s="81"/>
      <c r="AQ64" s="81"/>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2"/>
      <c r="BU64" s="42"/>
      <c r="BV64" s="42"/>
      <c r="BW64" s="42"/>
      <c r="BX64" s="42"/>
      <c r="BY64" s="42"/>
      <c r="BZ64" s="42"/>
      <c r="CA64" s="42"/>
      <c r="CB64" s="42"/>
      <c r="CC64" s="42"/>
      <c r="CD64" s="42"/>
      <c r="CE64" s="42"/>
      <c r="CF64" s="42"/>
      <c r="CG64" s="42"/>
      <c r="CH64" s="42"/>
      <c r="CI64" s="42"/>
      <c r="CJ64" s="42"/>
      <c r="CK64" s="42"/>
      <c r="CL64" s="42"/>
      <c r="CM64" s="42"/>
      <c r="CN64" s="42"/>
      <c r="CO64" s="42"/>
      <c r="CP64" s="42"/>
      <c r="CQ64" s="42"/>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7"/>
      <c r="EB64" s="47"/>
      <c r="EC64" s="47"/>
      <c r="ED64" s="47"/>
      <c r="EE64" s="47"/>
      <c r="EF64" s="47"/>
      <c r="EG64" s="47"/>
      <c r="EH64" s="47"/>
      <c r="EI64" s="47"/>
      <c r="EJ64" s="47"/>
      <c r="EK64" s="47"/>
      <c r="EL64" s="47"/>
      <c r="EM64" s="47"/>
      <c r="EN64" s="47"/>
      <c r="EO64" s="47"/>
      <c r="EP64" s="47"/>
      <c r="EQ64" s="47"/>
      <c r="ER64" s="47"/>
      <c r="ES64" s="47"/>
      <c r="ET64" s="47"/>
      <c r="EU64" s="47"/>
      <c r="EV64" s="47"/>
      <c r="EW64" s="47"/>
      <c r="EX64" s="47"/>
      <c r="EY64" s="47"/>
      <c r="EZ64" s="47"/>
      <c r="FA64" s="47"/>
      <c r="FB64" s="47"/>
      <c r="FC64" s="47"/>
      <c r="FD64" s="47"/>
      <c r="FE64" s="47"/>
      <c r="FF64" s="47"/>
      <c r="FG64" s="47"/>
      <c r="FH64" s="47"/>
      <c r="FI64" s="47"/>
      <c r="FJ64" s="47"/>
      <c r="FK64" s="47"/>
      <c r="FL64" s="47"/>
      <c r="FM64" s="47"/>
      <c r="FN64" s="47"/>
    </row>
    <row r="65" spans="1:170" s="11" customFormat="1" ht="18" hidden="1" customHeight="1">
      <c r="A65" s="1976"/>
      <c r="B65" s="21"/>
      <c r="C65" s="395" t="s">
        <v>1117</v>
      </c>
      <c r="D65" s="395"/>
      <c r="E65" s="395"/>
      <c r="F65" s="395"/>
      <c r="G65" s="395"/>
      <c r="H65" s="395"/>
      <c r="I65" s="482" t="s">
        <v>1119</v>
      </c>
      <c r="J65" s="397" t="s">
        <v>62</v>
      </c>
      <c r="K65" s="397"/>
      <c r="L65" s="483"/>
      <c r="M65" s="484">
        <f>M57*M62/1000</f>
        <v>9.8160000000000007</v>
      </c>
      <c r="N65" s="484"/>
      <c r="O65" s="484"/>
      <c r="P65" s="14">
        <v>1</v>
      </c>
      <c r="Q65" s="392"/>
      <c r="R65" s="14"/>
      <c r="S65" s="243"/>
      <c r="T65" s="89"/>
      <c r="U65" s="89"/>
      <c r="V65" s="64"/>
      <c r="W65" s="158"/>
      <c r="X65" s="158"/>
      <c r="Y65" s="64"/>
      <c r="Z65" s="158"/>
      <c r="AA65" s="158"/>
      <c r="AB65" s="65"/>
      <c r="AC65" s="89"/>
      <c r="AD65" s="89"/>
      <c r="AE65" s="65"/>
      <c r="AF65" s="65"/>
      <c r="AG65" s="65"/>
      <c r="AH65" s="65"/>
      <c r="AI65" s="65"/>
      <c r="AJ65" s="65"/>
      <c r="AK65" s="65"/>
      <c r="AL65" s="65"/>
      <c r="AM65" s="65"/>
      <c r="AN65" s="66"/>
      <c r="AO65" s="66"/>
      <c r="AP65" s="81"/>
      <c r="AQ65" s="81"/>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c r="BP65" s="42"/>
      <c r="BQ65" s="42"/>
      <c r="BR65" s="42"/>
      <c r="BS65" s="42"/>
      <c r="BT65" s="42"/>
      <c r="BU65" s="42"/>
      <c r="BV65" s="42"/>
      <c r="BW65" s="42"/>
      <c r="BX65" s="42"/>
      <c r="BY65" s="42"/>
      <c r="BZ65" s="42"/>
      <c r="CA65" s="42"/>
      <c r="CB65" s="42"/>
      <c r="CC65" s="42"/>
      <c r="CD65" s="42"/>
      <c r="CE65" s="42"/>
      <c r="CF65" s="42"/>
      <c r="CG65" s="42"/>
      <c r="CH65" s="42"/>
      <c r="CI65" s="42"/>
      <c r="CJ65" s="42"/>
      <c r="CK65" s="42"/>
      <c r="CL65" s="42"/>
      <c r="CM65" s="42"/>
      <c r="CN65" s="42"/>
      <c r="CO65" s="42"/>
      <c r="CP65" s="42"/>
      <c r="CQ65" s="42"/>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7"/>
      <c r="EB65" s="47"/>
      <c r="EC65" s="47"/>
      <c r="ED65" s="47"/>
      <c r="EE65" s="47"/>
      <c r="EF65" s="47"/>
      <c r="EG65" s="47"/>
      <c r="EH65" s="47"/>
      <c r="EI65" s="47"/>
      <c r="EJ65" s="47"/>
      <c r="EK65" s="47"/>
      <c r="EL65" s="47"/>
      <c r="EM65" s="47"/>
      <c r="EN65" s="47"/>
      <c r="EO65" s="47"/>
      <c r="EP65" s="47"/>
      <c r="EQ65" s="47"/>
      <c r="ER65" s="47"/>
      <c r="ES65" s="47"/>
      <c r="ET65" s="47"/>
      <c r="EU65" s="47"/>
      <c r="EV65" s="47"/>
      <c r="EW65" s="47"/>
      <c r="EX65" s="47"/>
      <c r="EY65" s="47"/>
      <c r="EZ65" s="47"/>
      <c r="FA65" s="47"/>
      <c r="FB65" s="47"/>
      <c r="FC65" s="47"/>
      <c r="FD65" s="47"/>
      <c r="FE65" s="47"/>
      <c r="FF65" s="47"/>
      <c r="FG65" s="47"/>
      <c r="FH65" s="47"/>
      <c r="FI65" s="47"/>
      <c r="FJ65" s="47"/>
      <c r="FK65" s="47"/>
      <c r="FL65" s="47"/>
      <c r="FM65" s="47"/>
      <c r="FN65" s="47"/>
    </row>
    <row r="66" spans="1:170" s="11" customFormat="1" ht="18" customHeight="1">
      <c r="A66" s="1976"/>
      <c r="B66" s="204"/>
      <c r="C66" s="14" t="str">
        <f>Begriffe!F43</f>
        <v>Feuchteproduktion Personen</v>
      </c>
      <c r="D66" s="87"/>
      <c r="E66" s="87"/>
      <c r="F66" s="14" t="str">
        <f>Begriffe!$F$348</f>
        <v>Auslegung Entfeuchtung</v>
      </c>
      <c r="G66" s="681"/>
      <c r="H66" s="1221" cm="1">
        <f t="array" ref="H66">INDEX(Eingabedaten!$D$9:$GV$53,nutzid,MATCH($C66,Eingabedaten!$D$6:$GV$6,0))</f>
        <v>51</v>
      </c>
      <c r="I66" s="98" t="s">
        <v>1745</v>
      </c>
      <c r="J66" s="683" t="s">
        <v>954</v>
      </c>
      <c r="K66" s="683"/>
      <c r="L66" s="1078"/>
      <c r="M66" s="1756">
        <f>IF(OR($H66="",M$58=0),0,($H66/M$58))</f>
        <v>1.4571428571428571</v>
      </c>
      <c r="N66" s="1367"/>
      <c r="O66" s="394"/>
      <c r="P66" s="14">
        <v>1</v>
      </c>
      <c r="Q66" s="392">
        <v>1</v>
      </c>
      <c r="R66" s="14">
        <v>0</v>
      </c>
      <c r="S66" s="243"/>
      <c r="T66" s="89"/>
      <c r="U66" s="89"/>
      <c r="V66" s="64"/>
      <c r="W66" s="158"/>
      <c r="X66" s="158"/>
      <c r="Y66" s="64"/>
      <c r="Z66" s="158"/>
      <c r="AA66" s="158"/>
      <c r="AB66" s="65"/>
      <c r="AC66" s="89"/>
      <c r="AD66" s="89"/>
      <c r="AE66" s="65"/>
      <c r="AF66" s="65"/>
      <c r="AG66" s="65"/>
      <c r="AH66" s="65"/>
      <c r="AI66" s="65"/>
      <c r="AJ66" s="65"/>
      <c r="AK66" s="65"/>
      <c r="AL66" s="65"/>
      <c r="AM66" s="65"/>
      <c r="AN66" s="66"/>
      <c r="AO66" s="66"/>
      <c r="AP66" s="81"/>
      <c r="AQ66" s="81"/>
      <c r="AR66" s="42"/>
      <c r="AS66" s="42"/>
      <c r="AT66" s="42"/>
      <c r="AU66" s="42"/>
      <c r="AV66" s="42"/>
      <c r="AW66" s="42"/>
      <c r="AX66" s="42"/>
      <c r="AY66" s="42"/>
      <c r="AZ66" s="42"/>
      <c r="BA66" s="42"/>
      <c r="BB66" s="42"/>
      <c r="BC66" s="42"/>
      <c r="BD66" s="42"/>
      <c r="BE66" s="42"/>
      <c r="BF66" s="42"/>
      <c r="BG66" s="42"/>
      <c r="BH66" s="42"/>
      <c r="BI66" s="42"/>
      <c r="BJ66" s="42"/>
      <c r="BK66" s="42"/>
      <c r="BL66" s="42"/>
      <c r="BM66" s="42"/>
      <c r="BN66" s="42"/>
      <c r="BO66" s="42"/>
      <c r="BP66" s="42"/>
      <c r="BQ66" s="42"/>
      <c r="BR66" s="42"/>
      <c r="BS66" s="42"/>
      <c r="BT66" s="42"/>
      <c r="BU66" s="42"/>
      <c r="BV66" s="42"/>
      <c r="BW66" s="42"/>
      <c r="BX66" s="42"/>
      <c r="BY66" s="42"/>
      <c r="BZ66" s="42"/>
      <c r="CA66" s="42"/>
      <c r="CB66" s="42"/>
      <c r="CC66" s="42"/>
      <c r="CD66" s="42"/>
      <c r="CE66" s="42"/>
      <c r="CF66" s="42"/>
      <c r="CG66" s="42"/>
      <c r="CH66" s="42"/>
      <c r="CI66" s="42"/>
      <c r="CJ66" s="42"/>
      <c r="CK66" s="42"/>
      <c r="CL66" s="42"/>
      <c r="CM66" s="42"/>
      <c r="CN66" s="42"/>
      <c r="CO66" s="42"/>
      <c r="CP66" s="42"/>
      <c r="CQ66" s="42"/>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7"/>
      <c r="EB66" s="47"/>
      <c r="EC66" s="47"/>
      <c r="ED66" s="47"/>
      <c r="EE66" s="47"/>
      <c r="EF66" s="47"/>
      <c r="EG66" s="47"/>
      <c r="EH66" s="47"/>
      <c r="EI66" s="47"/>
      <c r="EJ66" s="47"/>
      <c r="EK66" s="47"/>
      <c r="EL66" s="47"/>
      <c r="EM66" s="47"/>
      <c r="EN66" s="47"/>
      <c r="EO66" s="47"/>
      <c r="EP66" s="47"/>
      <c r="EQ66" s="47"/>
      <c r="ER66" s="47"/>
      <c r="ES66" s="47"/>
      <c r="ET66" s="47"/>
      <c r="EU66" s="47"/>
      <c r="EV66" s="47"/>
      <c r="EW66" s="47"/>
      <c r="EX66" s="47"/>
      <c r="EY66" s="47"/>
      <c r="EZ66" s="47"/>
      <c r="FA66" s="47"/>
      <c r="FB66" s="47"/>
      <c r="FC66" s="47"/>
      <c r="FD66" s="47"/>
      <c r="FE66" s="47"/>
      <c r="FF66" s="47"/>
      <c r="FG66" s="47"/>
      <c r="FH66" s="47"/>
      <c r="FI66" s="47"/>
      <c r="FJ66" s="47"/>
      <c r="FK66" s="47"/>
      <c r="FL66" s="47"/>
      <c r="FM66" s="47"/>
      <c r="FN66" s="47"/>
    </row>
    <row r="67" spans="1:170" s="11" customFormat="1" ht="18" customHeight="1">
      <c r="A67" s="1976"/>
      <c r="B67" s="204"/>
      <c r="C67" s="14"/>
      <c r="D67" s="87"/>
      <c r="E67" s="87"/>
      <c r="F67" s="14" t="str">
        <f>Begriffe!$F$349</f>
        <v>Auslegung Befeuchtung</v>
      </c>
      <c r="G67" s="681"/>
      <c r="H67" s="1221" cm="1">
        <f t="array" ref="H67">INDEX(Eingabedaten!$D$9:$GV$53,nutzid,MATCH($C66,Eingabedaten!$D$6:$GV$6,0)+1)</f>
        <v>66</v>
      </c>
      <c r="I67" s="98" t="s">
        <v>1746</v>
      </c>
      <c r="J67" s="683" t="s">
        <v>954</v>
      </c>
      <c r="K67" s="377"/>
      <c r="L67" s="1653"/>
      <c r="M67" s="1756">
        <f>IF(OR($H67="",M$58=0),0,($H67/M$58))</f>
        <v>1.8857142857142857</v>
      </c>
      <c r="N67" s="1367"/>
      <c r="O67" s="394"/>
      <c r="P67" s="14"/>
      <c r="Q67" s="392">
        <v>1</v>
      </c>
      <c r="R67" s="14"/>
      <c r="S67" s="243"/>
      <c r="T67" s="89"/>
      <c r="U67" s="89"/>
      <c r="V67" s="64"/>
      <c r="W67" s="158"/>
      <c r="X67" s="158"/>
      <c r="Y67" s="64"/>
      <c r="Z67" s="158"/>
      <c r="AA67" s="158"/>
      <c r="AB67" s="65"/>
      <c r="AC67" s="89"/>
      <c r="AD67" s="89"/>
      <c r="AE67" s="65"/>
      <c r="AF67" s="65"/>
      <c r="AG67" s="65"/>
      <c r="AH67" s="65"/>
      <c r="AI67" s="65"/>
      <c r="AJ67" s="65"/>
      <c r="AK67" s="65"/>
      <c r="AL67" s="65"/>
      <c r="AM67" s="65"/>
      <c r="AN67" s="66"/>
      <c r="AO67" s="66"/>
      <c r="AP67" s="81"/>
      <c r="AQ67" s="81"/>
      <c r="AR67" s="42"/>
      <c r="AS67" s="42"/>
      <c r="AT67" s="42"/>
      <c r="AU67" s="42"/>
      <c r="AV67" s="42"/>
      <c r="AW67" s="42"/>
      <c r="AX67" s="42"/>
      <c r="AY67" s="42"/>
      <c r="AZ67" s="42"/>
      <c r="BA67" s="42"/>
      <c r="BB67" s="42"/>
      <c r="BC67" s="42"/>
      <c r="BD67" s="42"/>
      <c r="BE67" s="42"/>
      <c r="BF67" s="42"/>
      <c r="BG67" s="42"/>
      <c r="BH67" s="42"/>
      <c r="BI67" s="42"/>
      <c r="BJ67" s="42"/>
      <c r="BK67" s="42"/>
      <c r="BL67" s="42"/>
      <c r="BM67" s="42"/>
      <c r="BN67" s="42"/>
      <c r="BO67" s="42"/>
      <c r="BP67" s="42"/>
      <c r="BQ67" s="42"/>
      <c r="BR67" s="42"/>
      <c r="BS67" s="42"/>
      <c r="BT67" s="42"/>
      <c r="BU67" s="42"/>
      <c r="BV67" s="42"/>
      <c r="BW67" s="42"/>
      <c r="BX67" s="42"/>
      <c r="BY67" s="42"/>
      <c r="BZ67" s="42"/>
      <c r="CA67" s="42"/>
      <c r="CB67" s="42"/>
      <c r="CC67" s="42"/>
      <c r="CD67" s="42"/>
      <c r="CE67" s="42"/>
      <c r="CF67" s="42"/>
      <c r="CG67" s="42"/>
      <c r="CH67" s="42"/>
      <c r="CI67" s="42"/>
      <c r="CJ67" s="42"/>
      <c r="CK67" s="42"/>
      <c r="CL67" s="42"/>
      <c r="CM67" s="42"/>
      <c r="CN67" s="42"/>
      <c r="CO67" s="42"/>
      <c r="CP67" s="42"/>
      <c r="CQ67" s="42"/>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7"/>
      <c r="EB67" s="47"/>
      <c r="EC67" s="47"/>
      <c r="ED67" s="47"/>
      <c r="EE67" s="47"/>
      <c r="EF67" s="47"/>
      <c r="EG67" s="47"/>
      <c r="EH67" s="47"/>
      <c r="EI67" s="47"/>
      <c r="EJ67" s="47"/>
      <c r="EK67" s="47"/>
      <c r="EL67" s="47"/>
      <c r="EM67" s="47"/>
      <c r="EN67" s="47"/>
      <c r="EO67" s="47"/>
      <c r="EP67" s="47"/>
      <c r="EQ67" s="47"/>
      <c r="ER67" s="47"/>
      <c r="ES67" s="47"/>
      <c r="ET67" s="47"/>
      <c r="EU67" s="47"/>
      <c r="EV67" s="47"/>
      <c r="EW67" s="47"/>
      <c r="EX67" s="47"/>
      <c r="EY67" s="47"/>
      <c r="EZ67" s="47"/>
      <c r="FA67" s="47"/>
      <c r="FB67" s="47"/>
      <c r="FC67" s="47"/>
      <c r="FD67" s="47"/>
      <c r="FE67" s="47"/>
      <c r="FF67" s="47"/>
      <c r="FG67" s="47"/>
      <c r="FH67" s="47"/>
      <c r="FI67" s="47"/>
      <c r="FJ67" s="47"/>
      <c r="FK67" s="47"/>
      <c r="FL67" s="47"/>
      <c r="FM67" s="47"/>
      <c r="FN67" s="47"/>
    </row>
    <row r="68" spans="1:170" s="11" customFormat="1" ht="18" customHeight="1">
      <c r="A68" s="1976"/>
      <c r="B68" s="204"/>
      <c r="C68" s="14" t="str">
        <f>Begriffe!F44</f>
        <v>Feuchtequellen (ohne Personen)</v>
      </c>
      <c r="D68" s="14"/>
      <c r="E68" s="14"/>
      <c r="F68" s="14" t="str">
        <f>Begriffe!F357</f>
        <v>Z.B. Pflanzen</v>
      </c>
      <c r="G68" s="14"/>
      <c r="H68" s="14"/>
      <c r="I68" s="98" t="s">
        <v>955</v>
      </c>
      <c r="J68" s="377" t="s">
        <v>954</v>
      </c>
      <c r="K68" s="377"/>
      <c r="L68" s="103"/>
      <c r="M68" s="1741">
        <f>IF(L68&lt;&gt;"",L68,INDEX(Eingabedaten!$D$9:$GV$53,nutzid,MATCH($C68,Eingabedaten!$D$6:$GV$6,0)))</f>
        <v>0.5</v>
      </c>
      <c r="N68" s="1367"/>
      <c r="O68" s="394"/>
      <c r="P68" s="14">
        <v>0</v>
      </c>
      <c r="Q68" s="392">
        <v>1</v>
      </c>
      <c r="R68" s="14">
        <v>0</v>
      </c>
      <c r="S68" s="243"/>
      <c r="T68" s="89"/>
      <c r="U68" s="89"/>
      <c r="V68" s="64"/>
      <c r="W68" s="158"/>
      <c r="X68" s="158"/>
      <c r="Y68" s="64"/>
      <c r="Z68" s="158"/>
      <c r="AA68" s="158"/>
      <c r="AB68" s="65"/>
      <c r="AC68" s="89"/>
      <c r="AD68" s="89"/>
      <c r="AE68" s="65"/>
      <c r="AF68" s="65"/>
      <c r="AG68" s="65"/>
      <c r="AH68" s="65"/>
      <c r="AI68" s="65"/>
      <c r="AJ68" s="65"/>
      <c r="AK68" s="65"/>
      <c r="AL68" s="65"/>
      <c r="AM68" s="65"/>
      <c r="AN68" s="66"/>
      <c r="AO68" s="66"/>
      <c r="AP68" s="81"/>
      <c r="AQ68" s="81"/>
      <c r="AR68" s="42"/>
      <c r="AS68" s="42"/>
      <c r="AT68" s="42"/>
      <c r="AU68" s="42"/>
      <c r="AV68" s="42"/>
      <c r="AW68" s="42"/>
      <c r="AX68" s="42"/>
      <c r="AY68" s="42"/>
      <c r="AZ68" s="42"/>
      <c r="BA68" s="42"/>
      <c r="BB68" s="42"/>
      <c r="BC68" s="42"/>
      <c r="BD68" s="42"/>
      <c r="BE68" s="42"/>
      <c r="BF68" s="42"/>
      <c r="BG68" s="42"/>
      <c r="BH68" s="42"/>
      <c r="BI68" s="42"/>
      <c r="BJ68" s="42"/>
      <c r="BK68" s="42"/>
      <c r="BL68" s="42"/>
      <c r="BM68" s="42"/>
      <c r="BN68" s="42"/>
      <c r="BO68" s="42"/>
      <c r="BP68" s="42"/>
      <c r="BQ68" s="42"/>
      <c r="BR68" s="42"/>
      <c r="BS68" s="42"/>
      <c r="BT68" s="42"/>
      <c r="BU68" s="42"/>
      <c r="BV68" s="42"/>
      <c r="BW68" s="42"/>
      <c r="BX68" s="42"/>
      <c r="BY68" s="42"/>
      <c r="BZ68" s="42"/>
      <c r="CA68" s="42"/>
      <c r="CB68" s="42"/>
      <c r="CC68" s="42"/>
      <c r="CD68" s="42"/>
      <c r="CE68" s="42"/>
      <c r="CF68" s="42"/>
      <c r="CG68" s="42"/>
      <c r="CH68" s="42"/>
      <c r="CI68" s="42"/>
      <c r="CJ68" s="42"/>
      <c r="CK68" s="42"/>
      <c r="CL68" s="42"/>
      <c r="CM68" s="42"/>
      <c r="CN68" s="42"/>
      <c r="CO68" s="42"/>
      <c r="CP68" s="42"/>
      <c r="CQ68" s="42"/>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7"/>
      <c r="EB68" s="47"/>
      <c r="EC68" s="47"/>
      <c r="ED68" s="47"/>
      <c r="EE68" s="47"/>
      <c r="EF68" s="47"/>
      <c r="EG68" s="47"/>
      <c r="EH68" s="47"/>
      <c r="EI68" s="47"/>
      <c r="EJ68" s="47"/>
      <c r="EK68" s="47"/>
      <c r="EL68" s="47"/>
      <c r="EM68" s="47"/>
      <c r="EN68" s="47"/>
      <c r="EO68" s="47"/>
      <c r="EP68" s="47"/>
      <c r="EQ68" s="47"/>
      <c r="ER68" s="47"/>
      <c r="ES68" s="47"/>
      <c r="ET68" s="47"/>
      <c r="EU68" s="47"/>
      <c r="EV68" s="47"/>
      <c r="EW68" s="47"/>
      <c r="EX68" s="47"/>
      <c r="EY68" s="47"/>
      <c r="EZ68" s="47"/>
      <c r="FA68" s="47"/>
      <c r="FB68" s="47"/>
      <c r="FC68" s="47"/>
      <c r="FD68" s="47"/>
      <c r="FE68" s="47"/>
      <c r="FF68" s="47"/>
      <c r="FG68" s="47"/>
      <c r="FH68" s="47"/>
      <c r="FI68" s="47"/>
      <c r="FJ68" s="47"/>
      <c r="FK68" s="47"/>
      <c r="FL68" s="47"/>
      <c r="FM68" s="47"/>
      <c r="FN68" s="47"/>
    </row>
    <row r="69" spans="1:170" s="5" customFormat="1" ht="2.25" customHeight="1">
      <c r="A69" s="113"/>
      <c r="B69" s="495"/>
      <c r="C69" s="114"/>
      <c r="D69" s="114"/>
      <c r="E69" s="114"/>
      <c r="F69" s="114"/>
      <c r="G69" s="114"/>
      <c r="H69" s="114"/>
      <c r="I69" s="115"/>
      <c r="J69" s="115"/>
      <c r="K69" s="115"/>
      <c r="L69" s="115"/>
      <c r="M69" s="1757"/>
      <c r="N69" s="1733"/>
      <c r="O69" s="136"/>
      <c r="P69" s="14">
        <v>0</v>
      </c>
      <c r="Q69" s="392">
        <v>1</v>
      </c>
      <c r="R69" s="14">
        <v>0</v>
      </c>
      <c r="S69" s="618"/>
      <c r="T69" s="160"/>
      <c r="U69" s="160"/>
      <c r="V69" s="167"/>
      <c r="W69" s="160"/>
      <c r="X69" s="160"/>
      <c r="Y69" s="167"/>
      <c r="Z69" s="160"/>
      <c r="AA69" s="160"/>
      <c r="AB69" s="167"/>
      <c r="AC69" s="160"/>
      <c r="AD69" s="160"/>
      <c r="AM69" s="36"/>
      <c r="AN69" s="84"/>
      <c r="AO69" s="84"/>
      <c r="AP69" s="85"/>
      <c r="AQ69" s="85"/>
      <c r="AR69" s="54"/>
      <c r="AS69" s="54"/>
      <c r="AT69" s="54"/>
      <c r="AU69" s="54"/>
      <c r="AV69" s="54"/>
      <c r="AW69" s="54"/>
      <c r="AX69" s="54"/>
      <c r="AY69" s="54"/>
      <c r="AZ69" s="54"/>
      <c r="BA69" s="54"/>
      <c r="BB69" s="54"/>
      <c r="BC69" s="54"/>
      <c r="BD69" s="54"/>
      <c r="BE69" s="54"/>
      <c r="BF69" s="54"/>
      <c r="BG69" s="54"/>
      <c r="BH69" s="54"/>
      <c r="BI69" s="54"/>
      <c r="BJ69" s="54"/>
      <c r="BK69" s="54"/>
      <c r="BL69" s="54"/>
      <c r="BM69" s="54"/>
      <c r="BN69" s="54"/>
      <c r="BO69" s="54"/>
      <c r="BP69" s="54"/>
      <c r="BQ69" s="54"/>
      <c r="BR69" s="54"/>
      <c r="BS69" s="54"/>
      <c r="BT69" s="54"/>
      <c r="BU69" s="54"/>
      <c r="BV69" s="54"/>
      <c r="BW69" s="54"/>
      <c r="BX69" s="54"/>
      <c r="BY69" s="54"/>
      <c r="BZ69" s="54"/>
      <c r="CA69" s="54"/>
      <c r="CB69" s="54"/>
      <c r="CC69" s="54"/>
      <c r="CD69" s="54"/>
      <c r="CE69" s="54"/>
      <c r="CF69" s="54"/>
      <c r="CG69" s="54"/>
      <c r="CH69" s="54"/>
      <c r="CI69" s="54"/>
      <c r="CJ69" s="54"/>
      <c r="CK69" s="54"/>
      <c r="CL69" s="54"/>
      <c r="CM69" s="54"/>
      <c r="CN69" s="54"/>
      <c r="CO69" s="54"/>
      <c r="CP69" s="54"/>
      <c r="CQ69" s="54"/>
      <c r="CR69" s="54"/>
      <c r="CS69" s="54"/>
      <c r="CT69" s="54"/>
      <c r="CU69" s="54"/>
      <c r="CV69" s="55"/>
      <c r="CW69" s="55"/>
      <c r="CX69" s="55"/>
      <c r="CY69" s="55"/>
      <c r="CZ69" s="55"/>
      <c r="DA69" s="55"/>
      <c r="DB69" s="55"/>
      <c r="DC69" s="55"/>
      <c r="DD69" s="55"/>
      <c r="DE69" s="55"/>
      <c r="DF69" s="55"/>
      <c r="DG69" s="55"/>
      <c r="DH69" s="55"/>
      <c r="DI69" s="55"/>
      <c r="DJ69" s="55"/>
      <c r="DK69" s="55"/>
      <c r="DL69" s="55"/>
      <c r="DM69" s="55"/>
      <c r="DN69" s="55"/>
      <c r="DO69" s="55"/>
      <c r="DP69" s="55"/>
      <c r="DQ69" s="55"/>
      <c r="DR69" s="55"/>
      <c r="DS69" s="55"/>
      <c r="DT69" s="55"/>
      <c r="DU69" s="55"/>
      <c r="DV69" s="55"/>
      <c r="DW69" s="55"/>
      <c r="DX69" s="55"/>
      <c r="DY69" s="55"/>
      <c r="DZ69" s="55"/>
      <c r="EA69" s="55"/>
      <c r="EB69" s="55"/>
      <c r="EC69" s="55"/>
      <c r="ED69" s="55"/>
      <c r="EE69" s="53"/>
      <c r="EF69" s="53"/>
      <c r="EG69" s="53"/>
      <c r="EH69" s="53"/>
      <c r="EI69" s="53"/>
      <c r="EJ69" s="53"/>
      <c r="EK69" s="53"/>
      <c r="EL69" s="53"/>
      <c r="EM69" s="53"/>
      <c r="EN69" s="53"/>
      <c r="EO69" s="53"/>
      <c r="EP69" s="53"/>
      <c r="EQ69" s="53"/>
      <c r="ER69" s="53"/>
      <c r="ES69" s="53"/>
      <c r="ET69" s="53"/>
      <c r="EU69" s="53"/>
      <c r="EV69" s="53"/>
      <c r="EW69" s="53"/>
      <c r="EX69" s="53"/>
      <c r="EY69" s="53"/>
      <c r="EZ69" s="53"/>
      <c r="FA69" s="53"/>
      <c r="FB69" s="53"/>
      <c r="FC69" s="53"/>
      <c r="FD69" s="53"/>
      <c r="FE69" s="53"/>
      <c r="FF69" s="53"/>
      <c r="FG69" s="53"/>
      <c r="FH69" s="53"/>
      <c r="FI69" s="53"/>
      <c r="FJ69" s="53"/>
      <c r="FK69" s="53"/>
      <c r="FL69" s="53"/>
      <c r="FM69" s="53"/>
      <c r="FN69" s="53"/>
    </row>
    <row r="70" spans="1:170" s="2" customFormat="1" ht="18" customHeight="1">
      <c r="A70" s="1978" t="str">
        <f>Begriffe!F205</f>
        <v>Geräte und Prozessanlagen</v>
      </c>
      <c r="B70" s="204"/>
      <c r="C70" s="1982" t="str">
        <f>Begriffe!F72</f>
        <v>Lastprofil</v>
      </c>
      <c r="D70" s="1"/>
      <c r="E70" s="183"/>
      <c r="F70" s="183"/>
      <c r="G70" s="1"/>
      <c r="H70" s="184"/>
      <c r="I70" s="192"/>
      <c r="J70" s="193"/>
      <c r="K70" s="193"/>
      <c r="L70" s="193"/>
      <c r="M70" s="1758"/>
      <c r="N70" s="1376"/>
      <c r="O70" s="151"/>
      <c r="P70" s="447">
        <v>0</v>
      </c>
      <c r="Q70" s="450">
        <v>1</v>
      </c>
      <c r="R70" s="447">
        <v>0</v>
      </c>
      <c r="S70" s="1195"/>
      <c r="T70" s="161"/>
      <c r="U70" s="161"/>
      <c r="V70" s="168"/>
      <c r="W70" s="161"/>
      <c r="X70" s="161"/>
      <c r="Y70" s="168"/>
      <c r="Z70" s="161"/>
      <c r="AA70" s="161"/>
      <c r="AB70" s="168"/>
      <c r="AC70" s="161"/>
      <c r="AD70" s="161"/>
      <c r="AM70" s="1"/>
      <c r="AN70" s="86"/>
      <c r="AO70" s="86"/>
      <c r="AR70" s="56"/>
      <c r="AS70" s="56"/>
      <c r="AT70" s="56"/>
      <c r="AU70" s="56"/>
      <c r="AV70" s="56"/>
      <c r="AW70" s="56"/>
      <c r="AX70" s="56"/>
      <c r="AY70" s="56"/>
      <c r="AZ70" s="56"/>
      <c r="BA70" s="56"/>
      <c r="BB70" s="56"/>
      <c r="BC70" s="56"/>
      <c r="BD70" s="56"/>
      <c r="BE70" s="56"/>
      <c r="BF70" s="56"/>
      <c r="BG70" s="56"/>
      <c r="BH70" s="56"/>
      <c r="BI70" s="56"/>
      <c r="BJ70" s="56"/>
      <c r="BK70" s="56"/>
      <c r="BL70" s="56"/>
      <c r="BM70" s="56"/>
      <c r="BN70" s="56"/>
      <c r="BO70" s="56"/>
      <c r="BP70" s="56"/>
      <c r="BQ70" s="56"/>
      <c r="BR70" s="56"/>
      <c r="BS70" s="56"/>
      <c r="BT70" s="56"/>
      <c r="BU70" s="56"/>
      <c r="BV70" s="56"/>
      <c r="BW70" s="56"/>
      <c r="BX70" s="56"/>
      <c r="BY70" s="56"/>
      <c r="BZ70" s="56"/>
      <c r="CA70" s="56"/>
      <c r="CB70" s="56"/>
      <c r="CC70" s="56"/>
      <c r="CD70" s="56"/>
      <c r="CE70" s="56"/>
      <c r="CF70" s="56"/>
      <c r="CG70" s="56"/>
      <c r="CH70" s="56"/>
      <c r="CI70" s="56"/>
      <c r="CJ70" s="56"/>
      <c r="CK70" s="56"/>
      <c r="CL70" s="56"/>
      <c r="CM70" s="56"/>
      <c r="CN70" s="56"/>
      <c r="CO70" s="56"/>
      <c r="CP70" s="56"/>
      <c r="CQ70" s="56"/>
      <c r="CR70" s="56"/>
      <c r="CS70" s="56"/>
      <c r="CT70" s="56"/>
      <c r="CU70" s="56"/>
      <c r="CV70" s="56"/>
      <c r="CW70" s="56"/>
      <c r="CX70" s="56"/>
      <c r="CY70" s="56"/>
      <c r="CZ70" s="56"/>
      <c r="DA70" s="56"/>
      <c r="DB70" s="56"/>
      <c r="DC70" s="56"/>
      <c r="DD70" s="56"/>
      <c r="DE70" s="55"/>
      <c r="DF70" s="55"/>
      <c r="DG70" s="55"/>
      <c r="DH70" s="55"/>
      <c r="DI70" s="55"/>
      <c r="DJ70" s="55"/>
      <c r="DK70" s="55"/>
      <c r="DL70" s="55"/>
      <c r="DM70" s="55"/>
      <c r="DN70" s="55"/>
      <c r="DO70" s="55"/>
      <c r="DP70" s="55"/>
      <c r="DQ70" s="55"/>
      <c r="DR70" s="55"/>
      <c r="DS70" s="55"/>
      <c r="DT70" s="55"/>
      <c r="DU70" s="55"/>
      <c r="DV70" s="55"/>
      <c r="DW70" s="55"/>
      <c r="DX70" s="55"/>
      <c r="DY70" s="55"/>
      <c r="DZ70" s="55"/>
      <c r="EA70" s="55"/>
      <c r="EB70" s="55"/>
      <c r="EC70" s="55"/>
      <c r="ED70" s="55"/>
      <c r="EE70" s="56"/>
      <c r="EF70" s="56"/>
      <c r="EG70" s="56"/>
      <c r="EH70" s="56"/>
      <c r="EI70" s="56"/>
      <c r="EJ70" s="56"/>
      <c r="EK70" s="56"/>
      <c r="EL70" s="56"/>
      <c r="EM70" s="56"/>
      <c r="EN70" s="56"/>
      <c r="EO70" s="56"/>
      <c r="EP70" s="56"/>
      <c r="EQ70" s="56"/>
      <c r="ER70" s="56"/>
      <c r="ES70" s="56"/>
      <c r="ET70" s="56"/>
      <c r="EU70" s="56"/>
      <c r="EV70" s="56"/>
      <c r="EW70" s="56"/>
      <c r="EX70" s="56"/>
      <c r="EY70" s="56"/>
      <c r="EZ70" s="56"/>
      <c r="FA70" s="56"/>
      <c r="FB70" s="56"/>
      <c r="FC70" s="56"/>
      <c r="FD70" s="56"/>
      <c r="FE70" s="56"/>
      <c r="FF70" s="56"/>
      <c r="FG70" s="56"/>
      <c r="FH70" s="56"/>
      <c r="FI70" s="56"/>
      <c r="FJ70" s="56"/>
      <c r="FK70" s="56"/>
      <c r="FL70" s="56"/>
      <c r="FM70" s="56"/>
      <c r="FN70" s="56"/>
    </row>
    <row r="71" spans="1:170" s="2" customFormat="1" ht="18" customHeight="1">
      <c r="A71" s="1976"/>
      <c r="B71" s="204"/>
      <c r="C71" s="1983"/>
      <c r="D71" s="1"/>
      <c r="E71" s="183"/>
      <c r="F71" s="183"/>
      <c r="G71" s="1"/>
      <c r="H71" s="184"/>
      <c r="I71" s="192"/>
      <c r="J71" s="193"/>
      <c r="K71" s="193"/>
      <c r="L71" s="193"/>
      <c r="M71" s="1758"/>
      <c r="N71" s="1376"/>
      <c r="O71" s="151"/>
      <c r="P71" s="447">
        <v>0</v>
      </c>
      <c r="Q71" s="450">
        <v>1</v>
      </c>
      <c r="R71" s="447">
        <v>0</v>
      </c>
      <c r="S71" s="1195"/>
      <c r="T71" s="161"/>
      <c r="U71" s="161"/>
      <c r="V71" s="168"/>
      <c r="W71" s="161"/>
      <c r="X71" s="161"/>
      <c r="Y71" s="168"/>
      <c r="Z71" s="161"/>
      <c r="AA71" s="161"/>
      <c r="AB71" s="168"/>
      <c r="AC71" s="161"/>
      <c r="AD71" s="161"/>
      <c r="AM71" s="1"/>
      <c r="AN71" s="86"/>
      <c r="AO71" s="86"/>
      <c r="AR71" s="56"/>
      <c r="AS71" s="56"/>
      <c r="AT71" s="56"/>
      <c r="AU71" s="56"/>
      <c r="AV71" s="56"/>
      <c r="AW71" s="56"/>
      <c r="AX71" s="56"/>
      <c r="AY71" s="56"/>
      <c r="AZ71" s="56"/>
      <c r="BA71" s="56"/>
      <c r="BB71" s="56"/>
      <c r="BC71" s="56"/>
      <c r="BD71" s="56"/>
      <c r="BE71" s="56"/>
      <c r="BF71" s="56"/>
      <c r="BG71" s="56"/>
      <c r="BH71" s="56"/>
      <c r="BI71" s="56"/>
      <c r="BJ71" s="56"/>
      <c r="BK71" s="56"/>
      <c r="BL71" s="56"/>
      <c r="BM71" s="56"/>
      <c r="BN71" s="56"/>
      <c r="BO71" s="56"/>
      <c r="BP71" s="56"/>
      <c r="BQ71" s="56"/>
      <c r="BR71" s="56"/>
      <c r="BS71" s="56"/>
      <c r="BT71" s="56"/>
      <c r="BU71" s="56"/>
      <c r="BV71" s="56"/>
      <c r="BW71" s="56"/>
      <c r="BX71" s="56"/>
      <c r="BY71" s="56"/>
      <c r="BZ71" s="56"/>
      <c r="CA71" s="56"/>
      <c r="CB71" s="56"/>
      <c r="CC71" s="56"/>
      <c r="CD71" s="56"/>
      <c r="CE71" s="56"/>
      <c r="CF71" s="56"/>
      <c r="CG71" s="56"/>
      <c r="CH71" s="56"/>
      <c r="CI71" s="56"/>
      <c r="CJ71" s="56"/>
      <c r="CK71" s="56"/>
      <c r="CL71" s="56"/>
      <c r="CM71" s="56"/>
      <c r="CN71" s="56"/>
      <c r="CO71" s="56"/>
      <c r="CP71" s="56"/>
      <c r="CQ71" s="56"/>
      <c r="CR71" s="56"/>
      <c r="CS71" s="56"/>
      <c r="CT71" s="56"/>
      <c r="CU71" s="56"/>
      <c r="CV71" s="56"/>
      <c r="CW71" s="56"/>
      <c r="CX71" s="56"/>
      <c r="CY71" s="56"/>
      <c r="CZ71" s="56"/>
      <c r="DA71" s="56"/>
      <c r="DB71" s="56"/>
      <c r="DC71" s="56"/>
      <c r="DD71" s="56"/>
      <c r="DE71" s="55"/>
      <c r="DF71" s="55"/>
      <c r="DG71" s="55"/>
      <c r="DH71" s="55"/>
      <c r="DI71" s="55"/>
      <c r="DJ71" s="55"/>
      <c r="DK71" s="55"/>
      <c r="DL71" s="55"/>
      <c r="DM71" s="55"/>
      <c r="DN71" s="55"/>
      <c r="DO71" s="55"/>
      <c r="DP71" s="55"/>
      <c r="DQ71" s="55"/>
      <c r="DR71" s="55"/>
      <c r="DS71" s="55"/>
      <c r="DT71" s="55"/>
      <c r="DU71" s="55"/>
      <c r="DV71" s="55"/>
      <c r="DW71" s="55"/>
      <c r="DX71" s="55"/>
      <c r="DY71" s="55"/>
      <c r="DZ71" s="55"/>
      <c r="EA71" s="55"/>
      <c r="EB71" s="55"/>
      <c r="EC71" s="55"/>
      <c r="ED71" s="55"/>
      <c r="EE71" s="56"/>
      <c r="EF71" s="56"/>
      <c r="EG71" s="56"/>
      <c r="EH71" s="56"/>
      <c r="EI71" s="56"/>
      <c r="EJ71" s="56"/>
      <c r="EK71" s="56"/>
      <c r="EL71" s="56"/>
      <c r="EM71" s="56"/>
      <c r="EN71" s="56"/>
      <c r="EO71" s="56"/>
      <c r="EP71" s="56"/>
      <c r="EQ71" s="56"/>
      <c r="ER71" s="56"/>
      <c r="ES71" s="56"/>
      <c r="ET71" s="56"/>
      <c r="EU71" s="56"/>
      <c r="EV71" s="56"/>
      <c r="EW71" s="56"/>
      <c r="EX71" s="56"/>
      <c r="EY71" s="56"/>
      <c r="EZ71" s="56"/>
      <c r="FA71" s="56"/>
      <c r="FB71" s="56"/>
      <c r="FC71" s="56"/>
      <c r="FD71" s="56"/>
      <c r="FE71" s="56"/>
      <c r="FF71" s="56"/>
      <c r="FG71" s="56"/>
      <c r="FH71" s="56"/>
      <c r="FI71" s="56"/>
      <c r="FJ71" s="56"/>
      <c r="FK71" s="56"/>
      <c r="FL71" s="56"/>
      <c r="FM71" s="56"/>
      <c r="FN71" s="56"/>
    </row>
    <row r="72" spans="1:170" s="2" customFormat="1" ht="18" customHeight="1">
      <c r="A72" s="1976"/>
      <c r="B72" s="204"/>
      <c r="C72" s="1983"/>
      <c r="D72" s="1"/>
      <c r="E72" s="183"/>
      <c r="F72" s="183"/>
      <c r="G72" s="1"/>
      <c r="H72" s="184"/>
      <c r="I72" s="192"/>
      <c r="J72" s="193"/>
      <c r="K72" s="193"/>
      <c r="L72" s="193"/>
      <c r="M72" s="1758"/>
      <c r="N72" s="1376"/>
      <c r="O72" s="151"/>
      <c r="P72" s="447">
        <v>0</v>
      </c>
      <c r="Q72" s="450">
        <v>1</v>
      </c>
      <c r="R72" s="447">
        <v>0</v>
      </c>
      <c r="S72" s="1195"/>
      <c r="T72" s="147"/>
      <c r="U72" s="147"/>
      <c r="V72" s="36"/>
      <c r="W72" s="147"/>
      <c r="X72" s="147"/>
      <c r="Y72" s="36"/>
      <c r="Z72" s="147"/>
      <c r="AA72" s="147"/>
      <c r="AB72" s="36"/>
      <c r="AC72" s="147"/>
      <c r="AD72" s="147"/>
      <c r="AE72" s="1"/>
      <c r="AF72" s="1"/>
      <c r="AG72" s="1"/>
      <c r="AH72" s="1"/>
      <c r="AI72" s="1"/>
      <c r="AJ72" s="1"/>
      <c r="AK72" s="1"/>
      <c r="AL72" s="1"/>
      <c r="AM72" s="1"/>
      <c r="AN72" s="86"/>
      <c r="AO72" s="86"/>
      <c r="AR72" s="56"/>
      <c r="AS72" s="56"/>
      <c r="AT72" s="56"/>
      <c r="AU72" s="56"/>
      <c r="AV72" s="56"/>
      <c r="AW72" s="56"/>
      <c r="AX72" s="56"/>
      <c r="AY72" s="56"/>
      <c r="AZ72" s="56"/>
      <c r="BA72" s="56"/>
      <c r="BB72" s="56"/>
      <c r="BC72" s="56"/>
      <c r="BD72" s="56"/>
      <c r="BE72" s="56"/>
      <c r="BF72" s="56"/>
      <c r="BG72" s="56"/>
      <c r="BH72" s="56"/>
      <c r="BI72" s="56"/>
      <c r="BJ72" s="56"/>
      <c r="BK72" s="56"/>
      <c r="BL72" s="56"/>
      <c r="BM72" s="56"/>
      <c r="BN72" s="56"/>
      <c r="BO72" s="56"/>
      <c r="BP72" s="56"/>
      <c r="BQ72" s="56"/>
      <c r="BR72" s="56"/>
      <c r="BS72" s="56"/>
      <c r="BT72" s="56"/>
      <c r="BU72" s="56"/>
      <c r="BV72" s="56"/>
      <c r="BW72" s="56"/>
      <c r="BX72" s="56"/>
      <c r="BY72" s="56"/>
      <c r="BZ72" s="56"/>
      <c r="CA72" s="56"/>
      <c r="CB72" s="56"/>
      <c r="CC72" s="56"/>
      <c r="CD72" s="56"/>
      <c r="CE72" s="56"/>
      <c r="CF72" s="56"/>
      <c r="CG72" s="56"/>
      <c r="CH72" s="56"/>
      <c r="CI72" s="56"/>
      <c r="CJ72" s="56"/>
      <c r="CK72" s="56"/>
      <c r="CL72" s="56"/>
      <c r="CM72" s="56"/>
      <c r="CN72" s="56"/>
      <c r="CO72" s="56"/>
      <c r="CP72" s="56"/>
      <c r="CQ72" s="56"/>
      <c r="CR72" s="56"/>
      <c r="CS72" s="56"/>
      <c r="CT72" s="56"/>
      <c r="CU72" s="56"/>
      <c r="CV72" s="56"/>
      <c r="CW72" s="56"/>
      <c r="CX72" s="56"/>
      <c r="CY72" s="56"/>
      <c r="CZ72" s="56"/>
      <c r="DA72" s="56"/>
      <c r="DB72" s="56"/>
      <c r="DC72" s="56"/>
      <c r="DD72" s="56"/>
      <c r="DE72" s="55"/>
      <c r="DF72" s="55"/>
      <c r="DG72" s="55"/>
      <c r="DH72" s="55"/>
      <c r="DI72" s="55"/>
      <c r="DJ72" s="55"/>
      <c r="DK72" s="55"/>
      <c r="DL72" s="55"/>
      <c r="DM72" s="55"/>
      <c r="DN72" s="55"/>
      <c r="DO72" s="55"/>
      <c r="DP72" s="55"/>
      <c r="DQ72" s="55"/>
      <c r="DR72" s="55"/>
      <c r="DS72" s="55"/>
      <c r="DT72" s="55"/>
      <c r="DU72" s="55"/>
      <c r="DV72" s="55"/>
      <c r="DW72" s="55"/>
      <c r="DX72" s="55"/>
      <c r="DY72" s="55"/>
      <c r="DZ72" s="55"/>
      <c r="EA72" s="55"/>
      <c r="EB72" s="55"/>
      <c r="EC72" s="55"/>
      <c r="ED72" s="55"/>
      <c r="EE72" s="56"/>
      <c r="EF72" s="56"/>
      <c r="EG72" s="56"/>
      <c r="EH72" s="56"/>
      <c r="EI72" s="56"/>
      <c r="EJ72" s="56"/>
      <c r="EK72" s="56"/>
      <c r="EL72" s="56"/>
      <c r="EM72" s="56"/>
      <c r="EN72" s="56"/>
      <c r="EO72" s="56"/>
      <c r="EP72" s="56"/>
      <c r="EQ72" s="56"/>
      <c r="ER72" s="56"/>
      <c r="ES72" s="56"/>
      <c r="ET72" s="56"/>
      <c r="EU72" s="56"/>
      <c r="EV72" s="56"/>
      <c r="EW72" s="56"/>
      <c r="EX72" s="56"/>
      <c r="EY72" s="56"/>
      <c r="EZ72" s="56"/>
      <c r="FA72" s="56"/>
      <c r="FB72" s="56"/>
      <c r="FC72" s="56"/>
      <c r="FD72" s="56"/>
      <c r="FE72" s="56"/>
      <c r="FF72" s="56"/>
      <c r="FG72" s="56"/>
      <c r="FH72" s="56"/>
      <c r="FI72" s="56"/>
      <c r="FJ72" s="56"/>
      <c r="FK72" s="56"/>
      <c r="FL72" s="56"/>
      <c r="FM72" s="56"/>
      <c r="FN72" s="56"/>
    </row>
    <row r="73" spans="1:170" s="2" customFormat="1" ht="18" customHeight="1">
      <c r="A73" s="1976"/>
      <c r="B73" s="204"/>
      <c r="C73" s="1983"/>
      <c r="D73" s="1"/>
      <c r="E73" s="183"/>
      <c r="F73" s="183"/>
      <c r="G73" s="1"/>
      <c r="H73" s="184"/>
      <c r="I73" s="192"/>
      <c r="J73" s="193"/>
      <c r="K73" s="193"/>
      <c r="L73" s="193"/>
      <c r="M73" s="1758"/>
      <c r="N73" s="1376"/>
      <c r="O73" s="151"/>
      <c r="P73" s="447">
        <v>0</v>
      </c>
      <c r="Q73" s="450">
        <v>1</v>
      </c>
      <c r="R73" s="447">
        <v>0</v>
      </c>
      <c r="S73" s="1195"/>
      <c r="T73" s="147"/>
      <c r="U73" s="147"/>
      <c r="V73" s="36"/>
      <c r="W73" s="147"/>
      <c r="X73" s="147"/>
      <c r="Y73" s="36"/>
      <c r="Z73" s="147"/>
      <c r="AA73" s="147"/>
      <c r="AB73" s="36"/>
      <c r="AC73" s="147"/>
      <c r="AD73" s="147"/>
      <c r="AE73" s="1"/>
      <c r="AF73" s="1"/>
      <c r="AG73" s="1"/>
      <c r="AH73" s="1"/>
      <c r="AI73" s="1"/>
      <c r="AJ73" s="1"/>
      <c r="AK73" s="1"/>
      <c r="AL73" s="1"/>
      <c r="AM73" s="1"/>
      <c r="AN73" s="86"/>
      <c r="AO73" s="86"/>
      <c r="AR73" s="56"/>
      <c r="AS73" s="56"/>
      <c r="AT73" s="56"/>
      <c r="AU73" s="56"/>
      <c r="AV73" s="56"/>
      <c r="AW73" s="56"/>
      <c r="AX73" s="56"/>
      <c r="AY73" s="56"/>
      <c r="AZ73" s="56"/>
      <c r="BA73" s="56"/>
      <c r="BB73" s="56"/>
      <c r="BC73" s="56"/>
      <c r="BD73" s="56"/>
      <c r="BE73" s="56"/>
      <c r="BF73" s="56"/>
      <c r="BG73" s="56"/>
      <c r="BH73" s="56"/>
      <c r="BI73" s="56"/>
      <c r="BJ73" s="56"/>
      <c r="BK73" s="56"/>
      <c r="BL73" s="56"/>
      <c r="BM73" s="56"/>
      <c r="BN73" s="56"/>
      <c r="BO73" s="56"/>
      <c r="BP73" s="56"/>
      <c r="BQ73" s="56"/>
      <c r="BR73" s="56"/>
      <c r="BS73" s="56"/>
      <c r="BT73" s="56"/>
      <c r="BU73" s="56"/>
      <c r="BV73" s="56"/>
      <c r="BW73" s="56"/>
      <c r="BX73" s="56"/>
      <c r="BY73" s="56"/>
      <c r="BZ73" s="56"/>
      <c r="CA73" s="56"/>
      <c r="CB73" s="56"/>
      <c r="CC73" s="56"/>
      <c r="CD73" s="56"/>
      <c r="CE73" s="56"/>
      <c r="CF73" s="56"/>
      <c r="CG73" s="56"/>
      <c r="CH73" s="56"/>
      <c r="CI73" s="56"/>
      <c r="CJ73" s="56"/>
      <c r="CK73" s="56"/>
      <c r="CL73" s="56"/>
      <c r="CM73" s="56"/>
      <c r="CN73" s="56"/>
      <c r="CO73" s="56"/>
      <c r="CP73" s="56"/>
      <c r="CQ73" s="56"/>
      <c r="CR73" s="56"/>
      <c r="CS73" s="56"/>
      <c r="CT73" s="56"/>
      <c r="CU73" s="56"/>
      <c r="CV73" s="56"/>
      <c r="CW73" s="56"/>
      <c r="CX73" s="56"/>
      <c r="CY73" s="56"/>
      <c r="CZ73" s="56"/>
      <c r="DA73" s="56"/>
      <c r="DB73" s="56"/>
      <c r="DC73" s="56"/>
      <c r="DD73" s="56"/>
      <c r="DE73" s="55"/>
      <c r="DF73" s="55"/>
      <c r="DG73" s="55"/>
      <c r="DH73" s="55"/>
      <c r="DI73" s="55"/>
      <c r="DJ73" s="55"/>
      <c r="DK73" s="55"/>
      <c r="DL73" s="55"/>
      <c r="DM73" s="55"/>
      <c r="DN73" s="55"/>
      <c r="DO73" s="55"/>
      <c r="DP73" s="55"/>
      <c r="DQ73" s="55"/>
      <c r="DR73" s="55"/>
      <c r="DS73" s="55"/>
      <c r="DT73" s="55"/>
      <c r="DU73" s="55"/>
      <c r="DV73" s="55"/>
      <c r="DW73" s="55"/>
      <c r="DX73" s="55"/>
      <c r="DY73" s="55"/>
      <c r="DZ73" s="55"/>
      <c r="EA73" s="55"/>
      <c r="EB73" s="55"/>
      <c r="EC73" s="55"/>
      <c r="ED73" s="55"/>
      <c r="EE73" s="56"/>
      <c r="EF73" s="56"/>
      <c r="EG73" s="56"/>
      <c r="EH73" s="56"/>
      <c r="EI73" s="56"/>
      <c r="EJ73" s="56"/>
      <c r="EK73" s="56"/>
      <c r="EL73" s="56"/>
      <c r="EM73" s="56"/>
      <c r="EN73" s="56"/>
      <c r="EO73" s="56"/>
      <c r="EP73" s="56"/>
      <c r="EQ73" s="56"/>
      <c r="ER73" s="56"/>
      <c r="ES73" s="56"/>
      <c r="ET73" s="56"/>
      <c r="EU73" s="56"/>
      <c r="EV73" s="56"/>
      <c r="EW73" s="56"/>
      <c r="EX73" s="56"/>
      <c r="EY73" s="56"/>
      <c r="EZ73" s="56"/>
      <c r="FA73" s="56"/>
      <c r="FB73" s="56"/>
      <c r="FC73" s="56"/>
      <c r="FD73" s="56"/>
      <c r="FE73" s="56"/>
      <c r="FF73" s="56"/>
      <c r="FG73" s="56"/>
      <c r="FH73" s="56"/>
      <c r="FI73" s="56"/>
      <c r="FJ73" s="56"/>
      <c r="FK73" s="56"/>
      <c r="FL73" s="56"/>
      <c r="FM73" s="56"/>
      <c r="FN73" s="56"/>
    </row>
    <row r="74" spans="1:170" s="2" customFormat="1" ht="18" customHeight="1">
      <c r="A74" s="1976"/>
      <c r="B74" s="204"/>
      <c r="C74" s="1983"/>
      <c r="D74" s="1"/>
      <c r="E74" s="183"/>
      <c r="F74" s="183"/>
      <c r="G74" s="1"/>
      <c r="H74" s="184"/>
      <c r="I74" s="192"/>
      <c r="J74" s="193"/>
      <c r="K74" s="193"/>
      <c r="L74" s="193"/>
      <c r="M74" s="1758"/>
      <c r="N74" s="1376"/>
      <c r="O74" s="151"/>
      <c r="P74" s="447">
        <v>0</v>
      </c>
      <c r="Q74" s="450">
        <v>1</v>
      </c>
      <c r="R74" s="447">
        <v>0</v>
      </c>
      <c r="S74" s="1195"/>
      <c r="T74" s="147"/>
      <c r="U74" s="147"/>
      <c r="V74" s="36"/>
      <c r="W74" s="147"/>
      <c r="X74" s="147"/>
      <c r="Y74" s="36"/>
      <c r="Z74" s="147"/>
      <c r="AA74" s="147"/>
      <c r="AB74" s="36"/>
      <c r="AC74" s="147"/>
      <c r="AD74" s="147"/>
      <c r="AE74" s="1"/>
      <c r="AF74" s="1"/>
      <c r="AG74" s="1"/>
      <c r="AH74" s="1"/>
      <c r="AI74" s="1"/>
      <c r="AJ74" s="1"/>
      <c r="AK74" s="1"/>
      <c r="AL74" s="1"/>
      <c r="AM74" s="1"/>
      <c r="AN74" s="86"/>
      <c r="AO74" s="86"/>
      <c r="AR74" s="56"/>
      <c r="AS74" s="56"/>
      <c r="AT74" s="56"/>
      <c r="AU74" s="56"/>
      <c r="AV74" s="56"/>
      <c r="AW74" s="56"/>
      <c r="AX74" s="56"/>
      <c r="AY74" s="56"/>
      <c r="AZ74" s="56"/>
      <c r="BA74" s="56"/>
      <c r="BB74" s="56"/>
      <c r="BC74" s="56"/>
      <c r="BD74" s="56"/>
      <c r="BE74" s="56"/>
      <c r="BF74" s="56"/>
      <c r="BG74" s="56"/>
      <c r="BH74" s="56"/>
      <c r="BI74" s="56"/>
      <c r="BJ74" s="56"/>
      <c r="BK74" s="56"/>
      <c r="BL74" s="56"/>
      <c r="BM74" s="56"/>
      <c r="BN74" s="56"/>
      <c r="BO74" s="56"/>
      <c r="BP74" s="56"/>
      <c r="BQ74" s="56"/>
      <c r="BR74" s="56"/>
      <c r="BS74" s="56"/>
      <c r="BT74" s="56"/>
      <c r="BU74" s="56"/>
      <c r="BV74" s="56"/>
      <c r="BW74" s="56"/>
      <c r="BX74" s="56"/>
      <c r="BY74" s="56"/>
      <c r="BZ74" s="56"/>
      <c r="CA74" s="56"/>
      <c r="CB74" s="56"/>
      <c r="CC74" s="56"/>
      <c r="CD74" s="56"/>
      <c r="CE74" s="56"/>
      <c r="CF74" s="56"/>
      <c r="CG74" s="56"/>
      <c r="CH74" s="56"/>
      <c r="CI74" s="56"/>
      <c r="CJ74" s="56"/>
      <c r="CK74" s="56"/>
      <c r="CL74" s="56"/>
      <c r="CM74" s="56"/>
      <c r="CN74" s="56"/>
      <c r="CO74" s="56"/>
      <c r="CP74" s="56"/>
      <c r="CQ74" s="56"/>
      <c r="CR74" s="56"/>
      <c r="CS74" s="56"/>
      <c r="CT74" s="56"/>
      <c r="CU74" s="56"/>
      <c r="CV74" s="56"/>
      <c r="CW74" s="56"/>
      <c r="CX74" s="56"/>
      <c r="CY74" s="56"/>
      <c r="CZ74" s="56"/>
      <c r="DA74" s="56"/>
      <c r="DB74" s="56"/>
      <c r="DC74" s="56"/>
      <c r="DD74" s="56"/>
      <c r="DE74" s="55"/>
      <c r="DF74" s="55"/>
      <c r="DG74" s="55"/>
      <c r="DH74" s="55"/>
      <c r="DI74" s="55"/>
      <c r="DJ74" s="55"/>
      <c r="DK74" s="55"/>
      <c r="DL74" s="55"/>
      <c r="DM74" s="55"/>
      <c r="DN74" s="55"/>
      <c r="DO74" s="55"/>
      <c r="DP74" s="55"/>
      <c r="DQ74" s="55"/>
      <c r="DR74" s="55"/>
      <c r="DS74" s="55"/>
      <c r="DT74" s="55"/>
      <c r="DU74" s="55"/>
      <c r="DV74" s="55"/>
      <c r="DW74" s="55"/>
      <c r="DX74" s="55"/>
      <c r="DY74" s="55"/>
      <c r="DZ74" s="55"/>
      <c r="EA74" s="55"/>
      <c r="EB74" s="55"/>
      <c r="EC74" s="55"/>
      <c r="ED74" s="55"/>
      <c r="EE74" s="56"/>
      <c r="EF74" s="56"/>
      <c r="EG74" s="56"/>
      <c r="EH74" s="56"/>
      <c r="EI74" s="56"/>
      <c r="EJ74" s="56"/>
      <c r="EK74" s="56"/>
      <c r="EL74" s="56"/>
      <c r="EM74" s="56"/>
      <c r="EN74" s="56"/>
      <c r="EO74" s="56"/>
      <c r="EP74" s="56"/>
      <c r="EQ74" s="56"/>
      <c r="ER74" s="56"/>
      <c r="ES74" s="56"/>
      <c r="ET74" s="56"/>
      <c r="EU74" s="56"/>
      <c r="EV74" s="56"/>
      <c r="EW74" s="56"/>
      <c r="EX74" s="56"/>
      <c r="EY74" s="56"/>
      <c r="EZ74" s="56"/>
      <c r="FA74" s="56"/>
      <c r="FB74" s="56"/>
      <c r="FC74" s="56"/>
      <c r="FD74" s="56"/>
      <c r="FE74" s="56"/>
      <c r="FF74" s="56"/>
      <c r="FG74" s="56"/>
      <c r="FH74" s="56"/>
      <c r="FI74" s="56"/>
      <c r="FJ74" s="56"/>
      <c r="FK74" s="56"/>
      <c r="FL74" s="56"/>
      <c r="FM74" s="56"/>
      <c r="FN74" s="56"/>
    </row>
    <row r="75" spans="1:170" s="2" customFormat="1" ht="15">
      <c r="A75" s="1976"/>
      <c r="B75" s="204"/>
      <c r="C75" s="86"/>
      <c r="D75" s="1"/>
      <c r="E75" s="183"/>
      <c r="F75" s="183"/>
      <c r="G75" s="1"/>
      <c r="H75" s="184"/>
      <c r="I75" s="192"/>
      <c r="J75" s="193"/>
      <c r="K75" s="193"/>
      <c r="L75" s="193"/>
      <c r="M75" s="1758"/>
      <c r="N75" s="1376"/>
      <c r="O75" s="151"/>
      <c r="P75" s="447">
        <v>0</v>
      </c>
      <c r="Q75" s="450">
        <v>1</v>
      </c>
      <c r="R75" s="447">
        <v>0</v>
      </c>
      <c r="S75" s="1195"/>
      <c r="T75" s="147"/>
      <c r="U75" s="147"/>
      <c r="V75" s="36"/>
      <c r="W75" s="147"/>
      <c r="X75" s="147"/>
      <c r="Y75" s="36"/>
      <c r="Z75" s="147"/>
      <c r="AA75" s="147"/>
      <c r="AB75" s="36"/>
      <c r="AC75" s="147"/>
      <c r="AD75" s="147"/>
      <c r="AE75" s="1"/>
      <c r="AF75" s="1"/>
      <c r="AG75" s="1"/>
      <c r="AH75" s="1"/>
      <c r="AI75" s="1"/>
      <c r="AJ75" s="1"/>
      <c r="AK75" s="1"/>
      <c r="AL75" s="1"/>
      <c r="AM75" s="1"/>
      <c r="AN75" s="86"/>
      <c r="AO75" s="86"/>
      <c r="AR75" s="56"/>
      <c r="AS75" s="56"/>
      <c r="AT75" s="56"/>
      <c r="AU75" s="56"/>
      <c r="AV75" s="56"/>
      <c r="AW75" s="56"/>
      <c r="AX75" s="56"/>
      <c r="AY75" s="56"/>
      <c r="AZ75" s="56"/>
      <c r="BA75" s="56"/>
      <c r="BB75" s="56"/>
      <c r="BC75" s="56"/>
      <c r="BD75" s="56"/>
      <c r="BE75" s="56"/>
      <c r="BF75" s="56"/>
      <c r="BG75" s="56"/>
      <c r="BH75" s="56"/>
      <c r="BI75" s="56"/>
      <c r="BJ75" s="56"/>
      <c r="BK75" s="56"/>
      <c r="BL75" s="56"/>
      <c r="BM75" s="56"/>
      <c r="BN75" s="56"/>
      <c r="BO75" s="56"/>
      <c r="BP75" s="56"/>
      <c r="BQ75" s="56"/>
      <c r="BR75" s="56"/>
      <c r="BS75" s="56"/>
      <c r="BT75" s="56"/>
      <c r="BU75" s="56"/>
      <c r="BV75" s="56"/>
      <c r="BW75" s="56"/>
      <c r="BX75" s="56"/>
      <c r="BY75" s="56"/>
      <c r="BZ75" s="56"/>
      <c r="CA75" s="56"/>
      <c r="CB75" s="56"/>
      <c r="CC75" s="56"/>
      <c r="CD75" s="56"/>
      <c r="CE75" s="56"/>
      <c r="CF75" s="56"/>
      <c r="CG75" s="56"/>
      <c r="CH75" s="56"/>
      <c r="CI75" s="56"/>
      <c r="CJ75" s="56"/>
      <c r="CK75" s="56"/>
      <c r="CL75" s="56"/>
      <c r="CM75" s="56"/>
      <c r="CN75" s="56"/>
      <c r="CO75" s="56"/>
      <c r="CP75" s="56"/>
      <c r="CQ75" s="56"/>
      <c r="CR75" s="56"/>
      <c r="CS75" s="56"/>
      <c r="CT75" s="56"/>
      <c r="CU75" s="56"/>
      <c r="CV75" s="56"/>
      <c r="CW75" s="56"/>
      <c r="CX75" s="56"/>
      <c r="CY75" s="56"/>
      <c r="CZ75" s="56"/>
      <c r="DA75" s="56"/>
      <c r="DB75" s="56"/>
      <c r="DC75" s="56"/>
      <c r="DD75" s="56"/>
      <c r="DE75" s="55"/>
      <c r="DF75" s="55"/>
      <c r="DG75" s="55"/>
      <c r="DH75" s="55"/>
      <c r="DI75" s="55"/>
      <c r="DJ75" s="55"/>
      <c r="DK75" s="55"/>
      <c r="DL75" s="55"/>
      <c r="DM75" s="55"/>
      <c r="DN75" s="55"/>
      <c r="DO75" s="55"/>
      <c r="DP75" s="55"/>
      <c r="DQ75" s="55"/>
      <c r="DR75" s="55"/>
      <c r="DS75" s="55"/>
      <c r="DT75" s="55"/>
      <c r="DU75" s="55"/>
      <c r="DV75" s="55"/>
      <c r="DW75" s="55"/>
      <c r="DX75" s="55"/>
      <c r="DY75" s="55"/>
      <c r="DZ75" s="55"/>
      <c r="EA75" s="55"/>
      <c r="EB75" s="55"/>
      <c r="EC75" s="55"/>
      <c r="ED75" s="55"/>
      <c r="EE75" s="56"/>
      <c r="EF75" s="56"/>
      <c r="EG75" s="56"/>
      <c r="EH75" s="56"/>
      <c r="EI75" s="56"/>
      <c r="EJ75" s="56"/>
      <c r="EK75" s="56"/>
      <c r="EL75" s="56"/>
      <c r="EM75" s="56"/>
      <c r="EN75" s="56"/>
      <c r="EO75" s="56"/>
      <c r="EP75" s="56"/>
      <c r="EQ75" s="56"/>
      <c r="ER75" s="56"/>
      <c r="ES75" s="56"/>
      <c r="ET75" s="56"/>
      <c r="EU75" s="56"/>
      <c r="EV75" s="56"/>
      <c r="EW75" s="56"/>
      <c r="EX75" s="56"/>
      <c r="EY75" s="56"/>
      <c r="EZ75" s="56"/>
      <c r="FA75" s="56"/>
      <c r="FB75" s="56"/>
      <c r="FC75" s="56"/>
      <c r="FD75" s="56"/>
      <c r="FE75" s="56"/>
      <c r="FF75" s="56"/>
      <c r="FG75" s="56"/>
      <c r="FH75" s="56"/>
      <c r="FI75" s="56"/>
      <c r="FJ75" s="56"/>
      <c r="FK75" s="56"/>
      <c r="FL75" s="56"/>
      <c r="FM75" s="56"/>
      <c r="FN75" s="56"/>
    </row>
    <row r="76" spans="1:170" s="2" customFormat="1" ht="18" customHeight="1">
      <c r="A76" s="1976"/>
      <c r="B76" s="204"/>
      <c r="C76" s="14" t="str">
        <f>Begriffe!F114</f>
        <v>Volllaststunden pro Tag</v>
      </c>
      <c r="D76" s="379"/>
      <c r="E76" s="685"/>
      <c r="F76" s="685"/>
      <c r="G76" s="379"/>
      <c r="H76" s="184"/>
      <c r="I76" s="502" t="s">
        <v>726</v>
      </c>
      <c r="J76" s="499" t="s">
        <v>15</v>
      </c>
      <c r="K76" s="499"/>
      <c r="L76" s="193"/>
      <c r="M76" s="1759">
        <f>IF(L76&lt;&gt;"",L76,Profile!$D$62)</f>
        <v>7.4000000000000021</v>
      </c>
      <c r="N76" s="1377"/>
      <c r="O76" s="151"/>
      <c r="P76" s="447">
        <v>0</v>
      </c>
      <c r="Q76" s="450">
        <v>1</v>
      </c>
      <c r="R76" s="447">
        <v>0</v>
      </c>
      <c r="S76" s="243" t="s">
        <v>261</v>
      </c>
      <c r="T76" s="147"/>
      <c r="U76" s="147"/>
      <c r="V76" s="36"/>
      <c r="W76" s="147"/>
      <c r="X76" s="147"/>
      <c r="Y76" s="36"/>
      <c r="Z76" s="147"/>
      <c r="AA76" s="147"/>
      <c r="AB76" s="36"/>
      <c r="AC76" s="147"/>
      <c r="AD76" s="147"/>
      <c r="AE76" s="1"/>
      <c r="AF76" s="1"/>
      <c r="AG76" s="1"/>
      <c r="AH76" s="1"/>
      <c r="AI76" s="1"/>
      <c r="AJ76" s="1"/>
      <c r="AK76" s="1"/>
      <c r="AL76" s="1"/>
      <c r="AM76" s="1"/>
      <c r="AN76" s="86"/>
      <c r="AO76" s="86"/>
      <c r="AR76" s="56"/>
      <c r="AS76" s="56"/>
      <c r="AT76" s="56"/>
      <c r="AU76" s="56"/>
      <c r="AV76" s="56"/>
      <c r="AW76" s="56"/>
      <c r="AX76" s="56"/>
      <c r="AY76" s="56"/>
      <c r="AZ76" s="56"/>
      <c r="BA76" s="56"/>
      <c r="BB76" s="56"/>
      <c r="BC76" s="56"/>
      <c r="BD76" s="56"/>
      <c r="BE76" s="56"/>
      <c r="BF76" s="56"/>
      <c r="BG76" s="56"/>
      <c r="BH76" s="56"/>
      <c r="BI76" s="56"/>
      <c r="BJ76" s="56"/>
      <c r="BK76" s="56"/>
      <c r="BL76" s="56"/>
      <c r="BM76" s="56"/>
      <c r="BN76" s="56"/>
      <c r="BO76" s="56"/>
      <c r="BP76" s="56"/>
      <c r="BQ76" s="56"/>
      <c r="BR76" s="56"/>
      <c r="BS76" s="56"/>
      <c r="BT76" s="56"/>
      <c r="BU76" s="56"/>
      <c r="BV76" s="56"/>
      <c r="BW76" s="56"/>
      <c r="BX76" s="56"/>
      <c r="BY76" s="56"/>
      <c r="BZ76" s="56"/>
      <c r="CA76" s="56"/>
      <c r="CB76" s="56"/>
      <c r="CC76" s="56"/>
      <c r="CD76" s="56"/>
      <c r="CE76" s="56"/>
      <c r="CF76" s="56"/>
      <c r="CG76" s="56"/>
      <c r="CH76" s="56"/>
      <c r="CI76" s="56"/>
      <c r="CJ76" s="56"/>
      <c r="CK76" s="56"/>
      <c r="CL76" s="56"/>
      <c r="CM76" s="56"/>
      <c r="CN76" s="56"/>
      <c r="CO76" s="56"/>
      <c r="CP76" s="56"/>
      <c r="CQ76" s="56"/>
      <c r="CR76" s="56"/>
      <c r="CS76" s="56"/>
      <c r="CT76" s="56"/>
      <c r="CU76" s="56"/>
      <c r="CV76" s="56"/>
      <c r="CW76" s="56"/>
      <c r="CX76" s="56"/>
      <c r="CY76" s="56"/>
      <c r="CZ76" s="56"/>
      <c r="DA76" s="56"/>
      <c r="DB76" s="56"/>
      <c r="DC76" s="56"/>
      <c r="DD76" s="56"/>
      <c r="DE76" s="55"/>
      <c r="DF76" s="55"/>
      <c r="DG76" s="55"/>
      <c r="DH76" s="55"/>
      <c r="DI76" s="55"/>
      <c r="DJ76" s="55"/>
      <c r="DK76" s="55"/>
      <c r="DL76" s="55"/>
      <c r="DM76" s="55"/>
      <c r="DN76" s="55"/>
      <c r="DO76" s="55"/>
      <c r="DP76" s="55"/>
      <c r="DQ76" s="55"/>
      <c r="DR76" s="55"/>
      <c r="DS76" s="55"/>
      <c r="DT76" s="55"/>
      <c r="DU76" s="55"/>
      <c r="DV76" s="55"/>
      <c r="DW76" s="55"/>
      <c r="DX76" s="55"/>
      <c r="DY76" s="55"/>
      <c r="DZ76" s="55"/>
      <c r="EA76" s="55"/>
      <c r="EB76" s="55"/>
      <c r="EC76" s="55"/>
      <c r="ED76" s="55"/>
      <c r="EE76" s="56"/>
      <c r="EF76" s="56"/>
      <c r="EG76" s="56"/>
      <c r="EH76" s="56"/>
      <c r="EI76" s="56"/>
      <c r="EJ76" s="56"/>
      <c r="EK76" s="56"/>
      <c r="EL76" s="56"/>
      <c r="EM76" s="56"/>
      <c r="EN76" s="56"/>
      <c r="EO76" s="56"/>
      <c r="EP76" s="56"/>
      <c r="EQ76" s="56"/>
      <c r="ER76" s="56"/>
      <c r="ES76" s="56"/>
      <c r="ET76" s="56"/>
      <c r="EU76" s="56"/>
      <c r="EV76" s="56"/>
      <c r="EW76" s="56"/>
      <c r="EX76" s="56"/>
      <c r="EY76" s="56"/>
      <c r="EZ76" s="56"/>
      <c r="FA76" s="56"/>
      <c r="FB76" s="56"/>
      <c r="FC76" s="56"/>
      <c r="FD76" s="56"/>
      <c r="FE76" s="56"/>
      <c r="FF76" s="56"/>
      <c r="FG76" s="56"/>
      <c r="FH76" s="56"/>
      <c r="FI76" s="56"/>
      <c r="FJ76" s="56"/>
      <c r="FK76" s="56"/>
      <c r="FL76" s="56"/>
      <c r="FM76" s="56"/>
      <c r="FN76" s="56"/>
    </row>
    <row r="77" spans="1:170" s="11" customFormat="1" ht="18" customHeight="1">
      <c r="A77" s="1976"/>
      <c r="B77" s="204"/>
      <c r="C77" s="14" t="str">
        <f>Begriffe!F39</f>
        <v>Elektrische Leistung der Geräte</v>
      </c>
      <c r="D77" s="14"/>
      <c r="E77" s="14"/>
      <c r="F77" s="14" t="str">
        <f>Begriffe!F358</f>
        <v>Maximaler Stundenwert</v>
      </c>
      <c r="H77" s="14"/>
      <c r="I77" s="98" t="s">
        <v>956</v>
      </c>
      <c r="J77" s="377" t="s">
        <v>149</v>
      </c>
      <c r="K77" s="377"/>
      <c r="L77" s="1552"/>
      <c r="M77" s="1760">
        <f>IF(L77&lt;&gt;"",L77,INDEX(Eingabedaten!$D$9:$DN$53,nutzid,MATCH($C77,Eingabedaten!$D$6:$DN$6,0)))</f>
        <v>10</v>
      </c>
      <c r="N77" s="1371">
        <f>INDEX(Eingabedaten!$D$9:$DN$53,nutzid,MATCH($C77,Eingabedaten!$D$6:$DN$6,0)+1)</f>
        <v>5</v>
      </c>
      <c r="O77" s="148">
        <f>INDEX(Eingabedaten!$D$9:$DN$53,nutzid,MATCH($C77,Eingabedaten!$D$6:$DN$6,0)+2)</f>
        <v>12</v>
      </c>
      <c r="P77" s="393">
        <v>1</v>
      </c>
      <c r="Q77" s="449">
        <v>1</v>
      </c>
      <c r="R77" s="393">
        <v>1</v>
      </c>
      <c r="S77" s="1195"/>
      <c r="T77" s="89"/>
      <c r="U77" s="89"/>
      <c r="V77" s="64"/>
      <c r="W77" s="158"/>
      <c r="X77" s="158"/>
      <c r="Y77" s="64"/>
      <c r="Z77" s="158"/>
      <c r="AA77" s="158"/>
      <c r="AB77" s="65"/>
      <c r="AC77" s="89"/>
      <c r="AD77" s="89"/>
      <c r="AE77" s="7"/>
      <c r="AF77" s="7"/>
      <c r="AG77" s="7"/>
      <c r="AH77" s="7"/>
      <c r="AI77" s="7"/>
      <c r="AJ77" s="7"/>
      <c r="AK77" s="7"/>
      <c r="AL77" s="7"/>
      <c r="AM77" s="7"/>
      <c r="AN77" s="87"/>
      <c r="AO77" s="8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c r="CT77" s="47"/>
      <c r="CU77" s="47"/>
      <c r="CV77" s="47"/>
      <c r="CW77" s="47"/>
      <c r="CX77" s="47"/>
      <c r="CY77" s="47"/>
      <c r="CZ77" s="47"/>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7"/>
      <c r="EB77" s="47"/>
      <c r="EC77" s="47"/>
      <c r="ED77" s="47"/>
      <c r="EE77" s="47"/>
      <c r="EF77" s="47"/>
      <c r="EG77" s="47"/>
      <c r="EH77" s="47"/>
      <c r="EI77" s="47"/>
      <c r="EJ77" s="47"/>
      <c r="EK77" s="47"/>
      <c r="EL77" s="47"/>
      <c r="EM77" s="47"/>
      <c r="EN77" s="47"/>
      <c r="EO77" s="47"/>
      <c r="EP77" s="47"/>
      <c r="EQ77" s="47"/>
      <c r="ER77" s="47"/>
      <c r="ES77" s="47"/>
      <c r="ET77" s="47"/>
      <c r="EU77" s="47"/>
      <c r="EV77" s="47"/>
      <c r="EW77" s="47"/>
      <c r="EX77" s="47"/>
      <c r="EY77" s="47"/>
      <c r="EZ77" s="47"/>
      <c r="FA77" s="47"/>
      <c r="FB77" s="47"/>
      <c r="FC77" s="47"/>
      <c r="FD77" s="47"/>
      <c r="FE77" s="47"/>
      <c r="FF77" s="47"/>
      <c r="FG77" s="47"/>
      <c r="FH77" s="47"/>
      <c r="FI77" s="47"/>
      <c r="FJ77" s="47"/>
      <c r="FK77" s="47"/>
      <c r="FL77" s="47"/>
      <c r="FM77" s="47"/>
      <c r="FN77" s="47"/>
    </row>
    <row r="78" spans="1:170" s="11" customFormat="1" ht="18" customHeight="1">
      <c r="A78" s="1976"/>
      <c r="B78" s="204"/>
      <c r="C78" s="14" t="str">
        <f>Begriffe!F41</f>
        <v>Elektrische Leistung der Prozessanlagen</v>
      </c>
      <c r="D78" s="14"/>
      <c r="E78" s="14"/>
      <c r="F78" s="14" t="str">
        <f>Begriffe!F358</f>
        <v>Maximaler Stundenwert</v>
      </c>
      <c r="H78" s="14"/>
      <c r="I78" s="98" t="s">
        <v>1425</v>
      </c>
      <c r="J78" s="377" t="s">
        <v>149</v>
      </c>
      <c r="K78" s="377"/>
      <c r="L78" s="1552"/>
      <c r="M78" s="1755">
        <f>IF(L78&lt;&gt;"",L78,INDEX(Eingabedaten!$D$9:$DN$53,nutzid,MATCH($C78,Eingabedaten!$D$6:$DN$6,0)))</f>
        <v>0</v>
      </c>
      <c r="N78" s="1378">
        <f>INDEX(Eingabedaten!$D$9:$DN$53,nutzid,MATCH($C78,Eingabedaten!$D$6:$DN$6,0)+1)</f>
        <v>0</v>
      </c>
      <c r="O78" s="149">
        <f>INDEX(Eingabedaten!$D$9:$DN$53,nutzid,MATCH($C78,Eingabedaten!$D$6:$DN$6,0)+2)</f>
        <v>0</v>
      </c>
      <c r="P78" s="393">
        <v>1</v>
      </c>
      <c r="Q78" s="449">
        <v>1</v>
      </c>
      <c r="R78" s="393"/>
      <c r="S78" s="1195"/>
      <c r="T78" s="89"/>
      <c r="U78" s="89"/>
      <c r="V78" s="64"/>
      <c r="W78" s="158"/>
      <c r="X78" s="158"/>
      <c r="Y78" s="64"/>
      <c r="Z78" s="158"/>
      <c r="AA78" s="158"/>
      <c r="AB78" s="65"/>
      <c r="AC78" s="89"/>
      <c r="AD78" s="89"/>
      <c r="AE78" s="7"/>
      <c r="AF78" s="7"/>
      <c r="AG78" s="7"/>
      <c r="AH78" s="7"/>
      <c r="AI78" s="7"/>
      <c r="AJ78" s="7"/>
      <c r="AK78" s="7"/>
      <c r="AL78" s="7"/>
      <c r="AM78" s="7"/>
      <c r="AN78" s="87"/>
      <c r="AO78" s="8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c r="CT78" s="47"/>
      <c r="CU78" s="47"/>
      <c r="CV78" s="47"/>
      <c r="CW78" s="47"/>
      <c r="CX78" s="47"/>
      <c r="CY78" s="47"/>
      <c r="CZ78" s="47"/>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row>
    <row r="79" spans="1:170" s="11" customFormat="1" ht="18" customHeight="1">
      <c r="A79" s="1976"/>
      <c r="B79" s="204"/>
      <c r="C79" s="14" t="str">
        <f>Begriffe!F73</f>
        <v>Leistung ausserhalb der Nutzungszeit</v>
      </c>
      <c r="D79" s="14"/>
      <c r="E79" s="14"/>
      <c r="F79" s="14"/>
      <c r="G79" s="14"/>
      <c r="H79" s="14"/>
      <c r="I79" s="502" t="s">
        <v>727</v>
      </c>
      <c r="J79" s="377" t="s">
        <v>5</v>
      </c>
      <c r="K79" s="377"/>
      <c r="L79" s="514"/>
      <c r="M79" s="1752">
        <f>INDEX(Eingabedaten!$D$9:$FK$53,nutzid,MATCH($C79,Eingabedaten!$D$6:$FK$6,0))</f>
        <v>20</v>
      </c>
      <c r="N79" s="1379"/>
      <c r="O79" s="443"/>
      <c r="P79" s="393">
        <v>0</v>
      </c>
      <c r="Q79" s="449">
        <v>1</v>
      </c>
      <c r="R79" s="393">
        <v>0</v>
      </c>
      <c r="S79" s="1195"/>
      <c r="T79" s="89"/>
      <c r="U79" s="89"/>
      <c r="V79" s="64"/>
      <c r="W79" s="158"/>
      <c r="X79" s="158"/>
      <c r="Y79" s="64"/>
      <c r="Z79" s="158"/>
      <c r="AA79" s="158"/>
      <c r="AB79" s="65"/>
      <c r="AC79" s="89"/>
      <c r="AD79" s="89"/>
      <c r="AE79" s="7"/>
      <c r="AF79" s="7"/>
      <c r="AG79" s="7"/>
      <c r="AH79" s="7"/>
      <c r="AI79" s="7"/>
      <c r="AJ79" s="7"/>
      <c r="AK79" s="7"/>
      <c r="AL79" s="7"/>
      <c r="AM79" s="7"/>
      <c r="AN79" s="87"/>
      <c r="AO79" s="8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c r="CT79" s="47"/>
      <c r="CU79" s="47"/>
      <c r="CV79" s="47"/>
      <c r="CW79" s="47"/>
      <c r="CX79" s="47"/>
      <c r="CY79" s="47"/>
      <c r="CZ79" s="47"/>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7"/>
      <c r="EB79" s="47"/>
      <c r="EC79" s="47"/>
      <c r="ED79" s="47"/>
      <c r="EE79" s="47"/>
      <c r="EF79" s="47"/>
      <c r="EG79" s="47"/>
      <c r="EH79" s="47"/>
      <c r="EI79" s="47"/>
      <c r="EJ79" s="47"/>
      <c r="EK79" s="47"/>
      <c r="EL79" s="47"/>
      <c r="EM79" s="47"/>
      <c r="EN79" s="47"/>
      <c r="EO79" s="47"/>
      <c r="EP79" s="47"/>
      <c r="EQ79" s="47"/>
      <c r="ER79" s="47"/>
      <c r="ES79" s="47"/>
      <c r="ET79" s="47"/>
      <c r="EU79" s="47"/>
      <c r="EV79" s="47"/>
      <c r="EW79" s="47"/>
      <c r="EX79" s="47"/>
      <c r="EY79" s="47"/>
      <c r="EZ79" s="47"/>
      <c r="FA79" s="47"/>
      <c r="FB79" s="47"/>
      <c r="FC79" s="47"/>
      <c r="FD79" s="47"/>
      <c r="FE79" s="47"/>
      <c r="FF79" s="47"/>
      <c r="FG79" s="47"/>
      <c r="FH79" s="47"/>
      <c r="FI79" s="47"/>
      <c r="FJ79" s="47"/>
      <c r="FK79" s="47"/>
      <c r="FL79" s="47"/>
      <c r="FM79" s="47"/>
      <c r="FN79" s="47"/>
    </row>
    <row r="80" spans="1:170" s="11" customFormat="1" ht="18" customHeight="1">
      <c r="A80" s="1976"/>
      <c r="B80" s="204"/>
      <c r="C80" s="14" t="str">
        <f>Begriffe!F121</f>
        <v>Wärmeeintragsleistung der Geräte</v>
      </c>
      <c r="D80" s="14"/>
      <c r="E80" s="14"/>
      <c r="F80" s="14"/>
      <c r="G80" s="14"/>
      <c r="H80" s="14"/>
      <c r="I80" s="155" t="s">
        <v>1428</v>
      </c>
      <c r="J80" s="377" t="s">
        <v>149</v>
      </c>
      <c r="K80" s="377"/>
      <c r="L80" s="1553"/>
      <c r="M80" s="1752">
        <f>IF(L80&lt;&gt;"",L80,INDEX(Eingabedaten!$D$9:$DN$53,nutzid,MATCH($C80,Eingabedaten!$D$6:$DN$6,0)))</f>
        <v>10</v>
      </c>
      <c r="N80" s="1380">
        <f>INDEX(Eingabedaten!$D$9:$DN$53,nutzid,MATCH($C80,Eingabedaten!$D$6:$DN$6,0)+1)</f>
        <v>5</v>
      </c>
      <c r="O80" s="443">
        <f>INDEX(Eingabedaten!$D$9:$DN$53,nutzid,MATCH($C80,Eingabedaten!$D$6:$DN$6,0)+2)</f>
        <v>12</v>
      </c>
      <c r="P80" s="393">
        <v>0</v>
      </c>
      <c r="Q80" s="449">
        <v>1</v>
      </c>
      <c r="R80" s="393">
        <v>0</v>
      </c>
      <c r="S80" s="1195"/>
      <c r="T80" s="89"/>
      <c r="U80" s="89"/>
      <c r="V80" s="64"/>
      <c r="W80" s="158"/>
      <c r="X80" s="158"/>
      <c r="Y80" s="64"/>
      <c r="Z80" s="158"/>
      <c r="AA80" s="158"/>
      <c r="AB80" s="65"/>
      <c r="AC80" s="89"/>
      <c r="AD80" s="89"/>
      <c r="AE80" s="7"/>
      <c r="AF80" s="7"/>
      <c r="AG80" s="7"/>
      <c r="AH80" s="7"/>
      <c r="AI80" s="7"/>
      <c r="AJ80" s="7"/>
      <c r="AK80" s="7"/>
      <c r="AL80" s="7"/>
      <c r="AM80" s="7"/>
      <c r="AN80" s="87"/>
      <c r="AO80" s="8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c r="CT80" s="47"/>
      <c r="CU80" s="47"/>
      <c r="CV80" s="47"/>
      <c r="CW80" s="47"/>
      <c r="CX80" s="47"/>
      <c r="CY80" s="47"/>
      <c r="CZ80" s="47"/>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7"/>
      <c r="EB80" s="47"/>
      <c r="EC80" s="47"/>
      <c r="ED80" s="47"/>
      <c r="EE80" s="47"/>
      <c r="EF80" s="47"/>
      <c r="EG80" s="47"/>
      <c r="EH80" s="47"/>
      <c r="EI80" s="47"/>
      <c r="EJ80" s="47"/>
      <c r="EK80" s="47"/>
      <c r="EL80" s="47"/>
      <c r="EM80" s="47"/>
      <c r="EN80" s="47"/>
      <c r="EO80" s="47"/>
      <c r="EP80" s="47"/>
      <c r="EQ80" s="47"/>
      <c r="ER80" s="47"/>
      <c r="ES80" s="47"/>
      <c r="ET80" s="47"/>
      <c r="EU80" s="47"/>
      <c r="EV80" s="47"/>
      <c r="EW80" s="47"/>
      <c r="EX80" s="47"/>
      <c r="EY80" s="47"/>
      <c r="EZ80" s="47"/>
      <c r="FA80" s="47"/>
      <c r="FB80" s="47"/>
      <c r="FC80" s="47"/>
      <c r="FD80" s="47"/>
      <c r="FE80" s="47"/>
      <c r="FF80" s="47"/>
      <c r="FG80" s="47"/>
      <c r="FH80" s="47"/>
      <c r="FI80" s="47"/>
      <c r="FJ80" s="47"/>
      <c r="FK80" s="47"/>
      <c r="FL80" s="47"/>
      <c r="FM80" s="47"/>
      <c r="FN80" s="47"/>
    </row>
    <row r="81" spans="1:170" s="11" customFormat="1" ht="15" hidden="1">
      <c r="A81" s="1976"/>
      <c r="B81" s="204"/>
      <c r="C81" s="13" t="s">
        <v>1414</v>
      </c>
      <c r="D81" s="13"/>
      <c r="E81" s="13"/>
      <c r="F81" s="13"/>
      <c r="G81" s="13"/>
      <c r="H81" s="13"/>
      <c r="I81" s="123" t="s">
        <v>534</v>
      </c>
      <c r="J81" s="103" t="s">
        <v>535</v>
      </c>
      <c r="K81" s="103"/>
      <c r="L81" s="195"/>
      <c r="M81" s="443">
        <f>M80*$M$76</f>
        <v>74.000000000000028</v>
      </c>
      <c r="N81" s="443">
        <f>N80*$M$76</f>
        <v>37.000000000000014</v>
      </c>
      <c r="O81" s="443">
        <f>O80*$M$76</f>
        <v>88.800000000000026</v>
      </c>
      <c r="P81" s="393">
        <v>0</v>
      </c>
      <c r="Q81" s="449">
        <v>0</v>
      </c>
      <c r="R81" s="393">
        <v>0</v>
      </c>
      <c r="S81" s="1195"/>
      <c r="T81" s="89"/>
      <c r="U81" s="89"/>
      <c r="V81" s="64"/>
      <c r="W81" s="158"/>
      <c r="X81" s="158"/>
      <c r="Y81" s="64"/>
      <c r="Z81" s="158"/>
      <c r="AA81" s="158"/>
      <c r="AB81" s="65"/>
      <c r="AC81" s="89"/>
      <c r="AD81" s="89"/>
      <c r="AE81" s="7"/>
      <c r="AF81" s="7"/>
      <c r="AG81" s="7"/>
      <c r="AH81" s="7"/>
      <c r="AI81" s="7"/>
      <c r="AJ81" s="7"/>
      <c r="AK81" s="7"/>
      <c r="AL81" s="7"/>
      <c r="AM81" s="7"/>
      <c r="AN81" s="87"/>
      <c r="AO81" s="8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c r="CT81" s="47"/>
      <c r="CU81" s="47"/>
      <c r="CV81" s="47"/>
      <c r="CW81" s="47"/>
      <c r="CX81" s="47"/>
      <c r="CY81" s="47"/>
      <c r="CZ81" s="47"/>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7"/>
      <c r="EB81" s="47"/>
      <c r="EC81" s="47"/>
      <c r="ED81" s="47"/>
      <c r="EE81" s="47"/>
      <c r="EF81" s="47"/>
      <c r="EG81" s="47"/>
      <c r="EH81" s="47"/>
      <c r="EI81" s="47"/>
      <c r="EJ81" s="47"/>
      <c r="EK81" s="47"/>
      <c r="EL81" s="47"/>
      <c r="EM81" s="47"/>
      <c r="EN81" s="47"/>
      <c r="EO81" s="47"/>
      <c r="EP81" s="47"/>
      <c r="EQ81" s="47"/>
      <c r="ER81" s="47"/>
      <c r="ES81" s="47"/>
      <c r="ET81" s="47"/>
      <c r="EU81" s="47"/>
      <c r="EV81" s="47"/>
      <c r="EW81" s="47"/>
      <c r="EX81" s="47"/>
      <c r="EY81" s="47"/>
      <c r="EZ81" s="47"/>
      <c r="FA81" s="47"/>
      <c r="FB81" s="47"/>
      <c r="FC81" s="47"/>
      <c r="FD81" s="47"/>
      <c r="FE81" s="47"/>
      <c r="FF81" s="47"/>
      <c r="FG81" s="47"/>
      <c r="FH81" s="47"/>
      <c r="FI81" s="47"/>
      <c r="FJ81" s="47"/>
      <c r="FK81" s="47"/>
      <c r="FL81" s="47"/>
      <c r="FM81" s="47"/>
      <c r="FN81" s="47"/>
    </row>
    <row r="82" spans="1:170" s="11" customFormat="1" ht="18" customHeight="1">
      <c r="A82" s="1976"/>
      <c r="B82" s="204"/>
      <c r="C82" s="14" t="str">
        <f>Begriffe!F56</f>
        <v>Jährliche Volllaststunden der Geräte und Prozessanlagen</v>
      </c>
      <c r="D82" s="14"/>
      <c r="E82" s="14"/>
      <c r="F82" s="14"/>
      <c r="G82" s="14"/>
      <c r="H82" s="14"/>
      <c r="I82" s="98" t="s">
        <v>1426</v>
      </c>
      <c r="J82" s="377" t="s">
        <v>15</v>
      </c>
      <c r="K82" s="1079"/>
      <c r="L82" s="1080"/>
      <c r="M82" s="1755">
        <f>ROUND(Profile!$L$611,-1)</f>
        <v>2160</v>
      </c>
      <c r="N82" s="1378">
        <f>M82</f>
        <v>2160</v>
      </c>
      <c r="O82" s="149">
        <f>M82</f>
        <v>2160</v>
      </c>
      <c r="P82" s="393">
        <v>1</v>
      </c>
      <c r="Q82" s="449">
        <v>1</v>
      </c>
      <c r="R82" s="393">
        <v>0</v>
      </c>
      <c r="S82" s="243" t="s">
        <v>261</v>
      </c>
      <c r="T82" s="89"/>
      <c r="U82" s="89"/>
      <c r="V82" s="64"/>
      <c r="W82" s="158"/>
      <c r="X82" s="158"/>
      <c r="Y82" s="64"/>
      <c r="Z82" s="158"/>
      <c r="AA82" s="158"/>
      <c r="AB82" s="65"/>
      <c r="AC82" s="89"/>
      <c r="AD82" s="89"/>
      <c r="AE82" s="7"/>
      <c r="AF82" s="7"/>
      <c r="AG82" s="7"/>
      <c r="AH82" s="7"/>
      <c r="AI82" s="7"/>
      <c r="AJ82" s="7"/>
      <c r="AK82" s="7"/>
      <c r="AL82" s="7"/>
      <c r="AM82" s="7"/>
      <c r="AN82" s="87"/>
      <c r="AO82" s="8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c r="CT82" s="47"/>
      <c r="CU82" s="47"/>
      <c r="CV82" s="47"/>
      <c r="CW82" s="47"/>
      <c r="CX82" s="47"/>
      <c r="CY82" s="47"/>
      <c r="CZ82" s="47"/>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7"/>
      <c r="EB82" s="47"/>
      <c r="EC82" s="47"/>
      <c r="ED82" s="47"/>
      <c r="EE82" s="47"/>
      <c r="EF82" s="47"/>
      <c r="EG82" s="47"/>
      <c r="EH82" s="47"/>
      <c r="EI82" s="47"/>
      <c r="EJ82" s="47"/>
      <c r="EK82" s="47"/>
      <c r="EL82" s="47"/>
      <c r="EM82" s="47"/>
      <c r="EN82" s="47"/>
      <c r="EO82" s="47"/>
      <c r="EP82" s="47"/>
      <c r="EQ82" s="47"/>
      <c r="ER82" s="47"/>
      <c r="ES82" s="47"/>
      <c r="ET82" s="47"/>
      <c r="EU82" s="47"/>
      <c r="EV82" s="47"/>
      <c r="EW82" s="47"/>
      <c r="EX82" s="47"/>
      <c r="EY82" s="47"/>
      <c r="EZ82" s="47"/>
      <c r="FA82" s="47"/>
      <c r="FB82" s="47"/>
      <c r="FC82" s="47"/>
      <c r="FD82" s="47"/>
      <c r="FE82" s="47"/>
      <c r="FF82" s="47"/>
      <c r="FG82" s="47"/>
      <c r="FH82" s="47"/>
      <c r="FI82" s="47"/>
      <c r="FJ82" s="47"/>
      <c r="FK82" s="47"/>
      <c r="FL82" s="47"/>
      <c r="FM82" s="47"/>
      <c r="FN82" s="47"/>
    </row>
    <row r="83" spans="1:170" s="11" customFormat="1" ht="18" hidden="1" customHeight="1">
      <c r="A83" s="1976"/>
      <c r="B83" s="204"/>
      <c r="C83" s="471" t="str">
        <f>Begriffe!F51</f>
        <v>Interne Wärmeeinträge der Geräte pro Jahr</v>
      </c>
      <c r="D83" s="395"/>
      <c r="E83" s="395"/>
      <c r="F83" s="395"/>
      <c r="G83" s="395"/>
      <c r="H83" s="395"/>
      <c r="I83" s="482" t="s">
        <v>1120</v>
      </c>
      <c r="J83" s="397" t="s">
        <v>62</v>
      </c>
      <c r="K83" s="1081"/>
      <c r="L83" s="1082"/>
      <c r="M83" s="1092">
        <f>M80*M82/1000</f>
        <v>21.6</v>
      </c>
      <c r="N83" s="1092">
        <f>N80*N82/1000</f>
        <v>10.8</v>
      </c>
      <c r="O83" s="1092">
        <f>O80*O82/1000</f>
        <v>25.92</v>
      </c>
      <c r="P83" s="393">
        <v>1</v>
      </c>
      <c r="Q83" s="449"/>
      <c r="R83" s="393"/>
      <c r="S83" s="1195"/>
      <c r="T83" s="89"/>
      <c r="U83" s="89"/>
      <c r="V83" s="64"/>
      <c r="W83" s="158"/>
      <c r="X83" s="158"/>
      <c r="Y83" s="64"/>
      <c r="Z83" s="158"/>
      <c r="AA83" s="158"/>
      <c r="AB83" s="65"/>
      <c r="AC83" s="89"/>
      <c r="AD83" s="89"/>
      <c r="AE83" s="7"/>
      <c r="AF83" s="7"/>
      <c r="AG83" s="7"/>
      <c r="AH83" s="7"/>
      <c r="AI83" s="7"/>
      <c r="AJ83" s="7"/>
      <c r="AK83" s="7"/>
      <c r="AL83" s="7"/>
      <c r="AM83" s="7"/>
      <c r="AN83" s="87"/>
      <c r="AO83" s="8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c r="CT83" s="47"/>
      <c r="CU83" s="47"/>
      <c r="CV83" s="47"/>
      <c r="CW83" s="47"/>
      <c r="CX83" s="47"/>
      <c r="CY83" s="47"/>
      <c r="CZ83" s="47"/>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7"/>
      <c r="EB83" s="47"/>
      <c r="EC83" s="47"/>
      <c r="ED83" s="47"/>
      <c r="EE83" s="47"/>
      <c r="EF83" s="47"/>
      <c r="EG83" s="47"/>
      <c r="EH83" s="47"/>
      <c r="EI83" s="47"/>
      <c r="EJ83" s="47"/>
      <c r="EK83" s="47"/>
      <c r="EL83" s="47"/>
      <c r="EM83" s="47"/>
      <c r="EN83" s="47"/>
      <c r="EO83" s="47"/>
      <c r="EP83" s="47"/>
      <c r="EQ83" s="47"/>
      <c r="ER83" s="47"/>
      <c r="ES83" s="47"/>
      <c r="ET83" s="47"/>
      <c r="EU83" s="47"/>
      <c r="EV83" s="47"/>
      <c r="EW83" s="47"/>
      <c r="EX83" s="47"/>
      <c r="EY83" s="47"/>
      <c r="EZ83" s="47"/>
      <c r="FA83" s="47"/>
      <c r="FB83" s="47"/>
      <c r="FC83" s="47"/>
      <c r="FD83" s="47"/>
      <c r="FE83" s="47"/>
      <c r="FF83" s="47"/>
      <c r="FG83" s="47"/>
      <c r="FH83" s="47"/>
      <c r="FI83" s="47"/>
      <c r="FJ83" s="47"/>
      <c r="FK83" s="47"/>
      <c r="FL83" s="47"/>
      <c r="FM83" s="47"/>
      <c r="FN83" s="47"/>
    </row>
    <row r="84" spans="1:170" s="11" customFormat="1" ht="18" customHeight="1">
      <c r="A84" s="1976"/>
      <c r="B84" s="204"/>
      <c r="C84" s="14" t="str">
        <f>Begriffe!F62</f>
        <v>Jährlicher Elektrizitätsbedarf der Geräte</v>
      </c>
      <c r="D84" s="182"/>
      <c r="E84" s="182"/>
      <c r="F84" s="182"/>
      <c r="G84" s="182"/>
      <c r="H84" s="688"/>
      <c r="I84" s="689" t="s">
        <v>957</v>
      </c>
      <c r="J84" s="683" t="s">
        <v>441</v>
      </c>
      <c r="K84" s="1083"/>
      <c r="L84" s="1084"/>
      <c r="M84" s="1761">
        <f>M77*M82/1000</f>
        <v>21.6</v>
      </c>
      <c r="N84" s="1736">
        <f>N77*N82/1000</f>
        <v>10.8</v>
      </c>
      <c r="O84" s="1394">
        <f>O77*O82/1000</f>
        <v>25.92</v>
      </c>
      <c r="P84" s="393">
        <v>1</v>
      </c>
      <c r="Q84" s="392">
        <v>1</v>
      </c>
      <c r="R84" s="393">
        <v>0</v>
      </c>
      <c r="S84" s="243"/>
      <c r="T84" s="89"/>
      <c r="U84" s="89"/>
      <c r="V84" s="64"/>
      <c r="W84" s="158"/>
      <c r="X84" s="158"/>
      <c r="Y84" s="64"/>
      <c r="Z84" s="158"/>
      <c r="AA84" s="158"/>
      <c r="AB84" s="65"/>
      <c r="AC84" s="89"/>
      <c r="AD84" s="89"/>
      <c r="AE84" s="7"/>
      <c r="AF84" s="7"/>
      <c r="AG84" s="7"/>
      <c r="AH84" s="7"/>
      <c r="AI84" s="7"/>
      <c r="AJ84" s="7"/>
      <c r="AK84" s="7"/>
      <c r="AL84" s="7"/>
      <c r="AM84" s="7"/>
      <c r="AN84" s="87"/>
      <c r="AO84" s="8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c r="CT84" s="47"/>
      <c r="CU84" s="47"/>
      <c r="CV84" s="47"/>
      <c r="CW84" s="47"/>
      <c r="CX84" s="47"/>
      <c r="CY84" s="47"/>
      <c r="CZ84" s="47"/>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7"/>
      <c r="EB84" s="47"/>
      <c r="EC84" s="47"/>
      <c r="ED84" s="47"/>
      <c r="EE84" s="47"/>
      <c r="EF84" s="47"/>
      <c r="EG84" s="47"/>
      <c r="EH84" s="47"/>
      <c r="EI84" s="47"/>
      <c r="EJ84" s="47"/>
      <c r="EK84" s="47"/>
      <c r="EL84" s="47"/>
      <c r="EM84" s="47"/>
      <c r="EN84" s="47"/>
      <c r="EO84" s="47"/>
      <c r="EP84" s="47"/>
      <c r="EQ84" s="47"/>
      <c r="ER84" s="47"/>
      <c r="ES84" s="47"/>
      <c r="ET84" s="47"/>
      <c r="EU84" s="47"/>
      <c r="EV84" s="47"/>
      <c r="EW84" s="47"/>
      <c r="EX84" s="47"/>
      <c r="EY84" s="47"/>
      <c r="EZ84" s="47"/>
      <c r="FA84" s="47"/>
      <c r="FB84" s="47"/>
      <c r="FC84" s="47"/>
      <c r="FD84" s="47"/>
      <c r="FE84" s="47"/>
      <c r="FF84" s="47"/>
      <c r="FG84" s="47"/>
      <c r="FH84" s="47"/>
      <c r="FI84" s="47"/>
      <c r="FJ84" s="47"/>
      <c r="FK84" s="47"/>
      <c r="FL84" s="47"/>
      <c r="FM84" s="47"/>
      <c r="FN84" s="47"/>
    </row>
    <row r="85" spans="1:170" s="11" customFormat="1" ht="18" customHeight="1">
      <c r="A85" s="1977"/>
      <c r="B85" s="204"/>
      <c r="C85" s="14" t="str">
        <f>Begriffe!F64</f>
        <v>Jährlicher Elektrizitätsbedarf der Prozessanlagen</v>
      </c>
      <c r="D85" s="182"/>
      <c r="E85" s="182"/>
      <c r="F85" s="182"/>
      <c r="G85" s="182"/>
      <c r="H85" s="182"/>
      <c r="I85" s="689" t="s">
        <v>1427</v>
      </c>
      <c r="J85" s="683" t="s">
        <v>441</v>
      </c>
      <c r="K85" s="1091"/>
      <c r="L85" s="1084"/>
      <c r="M85" s="1762">
        <f>M78*M82/1000</f>
        <v>0</v>
      </c>
      <c r="N85" s="1737">
        <f>N78*N82/1000</f>
        <v>0</v>
      </c>
      <c r="O85" s="690">
        <f>O78*O82/1000</f>
        <v>0</v>
      </c>
      <c r="P85" s="393">
        <v>1</v>
      </c>
      <c r="Q85" s="392">
        <v>1</v>
      </c>
      <c r="R85" s="393"/>
      <c r="S85" s="243"/>
      <c r="T85" s="89"/>
      <c r="U85" s="89"/>
      <c r="V85" s="64"/>
      <c r="W85" s="158"/>
      <c r="X85" s="158"/>
      <c r="Y85" s="64"/>
      <c r="Z85" s="158"/>
      <c r="AA85" s="158"/>
      <c r="AB85" s="65"/>
      <c r="AC85" s="89"/>
      <c r="AD85" s="89"/>
      <c r="AE85" s="7"/>
      <c r="AF85" s="7"/>
      <c r="AG85" s="7"/>
      <c r="AH85" s="7"/>
      <c r="AI85" s="7"/>
      <c r="AJ85" s="7"/>
      <c r="AK85" s="7"/>
      <c r="AL85" s="7"/>
      <c r="AM85" s="7"/>
      <c r="AN85" s="87"/>
      <c r="AO85" s="8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c r="FI85" s="47"/>
      <c r="FJ85" s="47"/>
      <c r="FK85" s="47"/>
      <c r="FL85" s="47"/>
      <c r="FM85" s="47"/>
      <c r="FN85" s="47"/>
    </row>
    <row r="86" spans="1:170" s="5" customFormat="1" ht="2.25" customHeight="1">
      <c r="A86" s="113"/>
      <c r="B86" s="495"/>
      <c r="C86" s="114"/>
      <c r="D86" s="114"/>
      <c r="E86" s="114"/>
      <c r="F86" s="114"/>
      <c r="G86" s="114"/>
      <c r="H86" s="114"/>
      <c r="I86" s="120"/>
      <c r="J86" s="121"/>
      <c r="K86" s="1085"/>
      <c r="L86" s="1086"/>
      <c r="M86" s="1763"/>
      <c r="N86" s="1733"/>
      <c r="O86" s="136"/>
      <c r="P86" s="393">
        <v>0</v>
      </c>
      <c r="Q86" s="449">
        <v>1</v>
      </c>
      <c r="R86" s="393">
        <v>0</v>
      </c>
      <c r="S86" s="618"/>
      <c r="T86" s="147"/>
      <c r="U86" s="147"/>
      <c r="V86" s="27"/>
      <c r="W86" s="138"/>
      <c r="X86" s="138"/>
      <c r="Y86" s="27"/>
      <c r="Z86" s="138"/>
      <c r="AA86" s="138"/>
      <c r="AB86" s="36"/>
      <c r="AC86" s="147"/>
      <c r="AD86" s="147"/>
      <c r="AE86" s="36"/>
      <c r="AF86" s="36"/>
      <c r="AG86" s="36"/>
      <c r="AH86" s="36"/>
      <c r="AI86" s="36"/>
      <c r="AJ86" s="36"/>
      <c r="AK86" s="36"/>
      <c r="AL86" s="36"/>
      <c r="AM86" s="36"/>
      <c r="AN86" s="84"/>
      <c r="AO86" s="84"/>
      <c r="AP86" s="85"/>
      <c r="AQ86" s="85"/>
      <c r="AR86" s="54"/>
      <c r="AS86" s="54"/>
      <c r="AT86" s="54"/>
      <c r="AU86" s="54"/>
      <c r="AV86" s="54"/>
      <c r="AW86" s="54"/>
      <c r="AX86" s="54"/>
      <c r="AY86" s="54"/>
      <c r="AZ86" s="54"/>
      <c r="BA86" s="54"/>
      <c r="BB86" s="54"/>
      <c r="BC86" s="54"/>
      <c r="BD86" s="54"/>
      <c r="BE86" s="54"/>
      <c r="BF86" s="54"/>
      <c r="BG86" s="54"/>
      <c r="BH86" s="54"/>
      <c r="BI86" s="54"/>
      <c r="BJ86" s="54"/>
      <c r="BK86" s="54"/>
      <c r="BL86" s="54"/>
      <c r="BM86" s="54"/>
      <c r="BN86" s="54"/>
      <c r="BO86" s="54"/>
      <c r="BP86" s="54"/>
      <c r="BQ86" s="54"/>
      <c r="BR86" s="54"/>
      <c r="BS86" s="54"/>
      <c r="BT86" s="54"/>
      <c r="BU86" s="54"/>
      <c r="BV86" s="54"/>
      <c r="BW86" s="54"/>
      <c r="BX86" s="54"/>
      <c r="BY86" s="54"/>
      <c r="BZ86" s="54"/>
      <c r="CA86" s="54"/>
      <c r="CB86" s="54"/>
      <c r="CC86" s="54"/>
      <c r="CD86" s="54"/>
      <c r="CE86" s="54"/>
      <c r="CF86" s="54"/>
      <c r="CG86" s="54"/>
      <c r="CH86" s="54"/>
      <c r="CI86" s="54"/>
      <c r="CJ86" s="54"/>
      <c r="CK86" s="54"/>
      <c r="CL86" s="54"/>
      <c r="CM86" s="54"/>
      <c r="CN86" s="54"/>
      <c r="CO86" s="54"/>
      <c r="CP86" s="54"/>
      <c r="CQ86" s="54"/>
      <c r="CR86" s="54"/>
      <c r="CS86" s="54"/>
      <c r="CT86" s="54"/>
      <c r="CU86" s="54"/>
      <c r="CV86" s="55"/>
      <c r="CW86" s="55"/>
      <c r="CX86" s="55"/>
      <c r="CY86" s="55"/>
      <c r="CZ86" s="55"/>
      <c r="DA86" s="55"/>
      <c r="DB86" s="55"/>
      <c r="DC86" s="55"/>
      <c r="DD86" s="55"/>
      <c r="DE86" s="55"/>
      <c r="DF86" s="55"/>
      <c r="DG86" s="55"/>
      <c r="DH86" s="55"/>
      <c r="DI86" s="55"/>
      <c r="DJ86" s="55"/>
      <c r="DK86" s="55"/>
      <c r="DL86" s="55"/>
      <c r="DM86" s="55"/>
      <c r="DN86" s="55"/>
      <c r="DO86" s="55"/>
      <c r="DP86" s="55"/>
      <c r="DQ86" s="55"/>
      <c r="DR86" s="55"/>
      <c r="DS86" s="55"/>
      <c r="DT86" s="55"/>
      <c r="DU86" s="55"/>
      <c r="DV86" s="55"/>
      <c r="DW86" s="55"/>
      <c r="DX86" s="55"/>
      <c r="DY86" s="55"/>
      <c r="DZ86" s="55"/>
      <c r="EA86" s="55"/>
      <c r="EB86" s="55"/>
      <c r="EC86" s="55"/>
      <c r="ED86" s="55"/>
      <c r="EE86" s="53"/>
      <c r="EF86" s="53"/>
      <c r="EG86" s="53"/>
      <c r="EH86" s="53"/>
      <c r="EI86" s="53"/>
      <c r="EJ86" s="53"/>
      <c r="EK86" s="53"/>
      <c r="EL86" s="53"/>
      <c r="EM86" s="53"/>
      <c r="EN86" s="53"/>
      <c r="EO86" s="53"/>
      <c r="EP86" s="53"/>
      <c r="EQ86" s="53"/>
      <c r="ER86" s="53"/>
      <c r="ES86" s="53"/>
      <c r="ET86" s="53"/>
      <c r="EU86" s="53"/>
      <c r="EV86" s="53"/>
      <c r="EW86" s="53"/>
      <c r="EX86" s="53"/>
      <c r="EY86" s="53"/>
      <c r="EZ86" s="53"/>
      <c r="FA86" s="53"/>
      <c r="FB86" s="53"/>
      <c r="FC86" s="53"/>
      <c r="FD86" s="53"/>
      <c r="FE86" s="53"/>
      <c r="FF86" s="53"/>
      <c r="FG86" s="53"/>
      <c r="FH86" s="53"/>
      <c r="FI86" s="53"/>
      <c r="FJ86" s="53"/>
      <c r="FK86" s="53"/>
      <c r="FL86" s="53"/>
      <c r="FM86" s="53"/>
      <c r="FN86" s="53"/>
    </row>
    <row r="87" spans="1:170" s="11" customFormat="1" ht="18" customHeight="1">
      <c r="A87" s="1978" t="str">
        <f>Begriffe!F206</f>
        <v>Beleuchtung</v>
      </c>
      <c r="B87" s="204"/>
      <c r="C87" s="14" t="str">
        <f>Begriffe!F34</f>
        <v>Beleuchtungsstärke</v>
      </c>
      <c r="D87" s="14"/>
      <c r="E87" s="14"/>
      <c r="F87" s="14" t="str">
        <f>Begriffe!F359</f>
        <v>Wartungswert</v>
      </c>
      <c r="G87" s="14"/>
      <c r="H87" s="14"/>
      <c r="I87" s="672" t="s">
        <v>958</v>
      </c>
      <c r="J87" s="678" t="s">
        <v>18</v>
      </c>
      <c r="K87" s="1087"/>
      <c r="L87" s="1780"/>
      <c r="M87" s="1764">
        <f>IF(L87&lt;&gt;"",L87,INDEX(Eingabedaten!$D$9:$DN$53,nutzid,MATCH($C87,Eingabedaten!$D$6:$DN$6,0)))</f>
        <v>150</v>
      </c>
      <c r="N87" s="1738"/>
      <c r="O87" s="465"/>
      <c r="P87" s="14">
        <v>0</v>
      </c>
      <c r="Q87" s="392">
        <v>1</v>
      </c>
      <c r="R87" s="14">
        <v>0</v>
      </c>
      <c r="S87" s="243"/>
      <c r="T87" s="89"/>
      <c r="U87" s="89"/>
      <c r="V87" s="64"/>
      <c r="W87" s="158"/>
      <c r="X87" s="164"/>
      <c r="Y87" s="64"/>
      <c r="Z87" s="158"/>
      <c r="AA87" s="158"/>
      <c r="AB87" s="65"/>
      <c r="AC87" s="89"/>
      <c r="AD87" s="89"/>
      <c r="AE87" s="7"/>
      <c r="AF87" s="7"/>
      <c r="AG87" s="7"/>
      <c r="AH87" s="7"/>
      <c r="AI87" s="7"/>
      <c r="AJ87" s="7"/>
      <c r="AK87" s="7"/>
      <c r="AL87" s="7"/>
      <c r="AM87" s="7"/>
      <c r="AN87" s="87"/>
      <c r="AO87" s="8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c r="CT87" s="47"/>
      <c r="CU87" s="47"/>
      <c r="CV87" s="47"/>
      <c r="CW87" s="47"/>
      <c r="CX87" s="47"/>
      <c r="CY87" s="47"/>
      <c r="CZ87" s="47"/>
      <c r="DA87" s="47"/>
      <c r="DB87" s="47"/>
      <c r="DC87" s="47"/>
      <c r="DD87" s="47"/>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7"/>
      <c r="EF87" s="47"/>
      <c r="EG87" s="47"/>
      <c r="EH87" s="47"/>
      <c r="EI87" s="47"/>
      <c r="EJ87" s="47"/>
      <c r="EK87" s="47"/>
      <c r="EL87" s="47"/>
      <c r="EM87" s="47"/>
      <c r="EN87" s="47"/>
      <c r="EO87" s="47"/>
      <c r="EP87" s="47"/>
      <c r="EQ87" s="47"/>
      <c r="ER87" s="47"/>
      <c r="ES87" s="47"/>
      <c r="ET87" s="47"/>
      <c r="EU87" s="47"/>
      <c r="EV87" s="47"/>
      <c r="EW87" s="47"/>
      <c r="EX87" s="47"/>
      <c r="EY87" s="47"/>
      <c r="EZ87" s="47"/>
      <c r="FA87" s="47"/>
      <c r="FB87" s="47"/>
      <c r="FC87" s="47"/>
      <c r="FD87" s="47"/>
      <c r="FE87" s="47"/>
      <c r="FF87" s="47"/>
      <c r="FG87" s="47"/>
      <c r="FH87" s="47"/>
      <c r="FI87" s="47"/>
      <c r="FJ87" s="47"/>
      <c r="FK87" s="47"/>
      <c r="FL87" s="47"/>
      <c r="FM87" s="47"/>
      <c r="FN87" s="47"/>
    </row>
    <row r="88" spans="1:170" s="11" customFormat="1" ht="18" customHeight="1">
      <c r="A88" s="1976"/>
      <c r="B88" s="204"/>
      <c r="C88" s="14" t="str">
        <f>Begriffe!F96</f>
        <v>Referenzbeleuchtungsstärke</v>
      </c>
      <c r="D88" s="14"/>
      <c r="E88" s="14"/>
      <c r="F88" s="14"/>
      <c r="G88" s="14"/>
      <c r="H88" s="14"/>
      <c r="I88" s="672" t="s">
        <v>1068</v>
      </c>
      <c r="J88" s="377" t="s">
        <v>18</v>
      </c>
      <c r="K88" s="1087"/>
      <c r="L88" s="1555"/>
      <c r="M88" s="1752">
        <f>IF(L88&lt;&gt;"",L88,INDEX(Eingabedaten!$D$9:$DN$53,nutzid,MATCH($C88,Eingabedaten!$D$6:$DN$6,0)))</f>
        <v>150</v>
      </c>
      <c r="N88" s="1381"/>
      <c r="O88" s="716"/>
      <c r="P88" s="14"/>
      <c r="Q88" s="392">
        <v>1</v>
      </c>
      <c r="R88" s="14"/>
      <c r="S88" s="243"/>
      <c r="T88" s="89"/>
      <c r="U88" s="89"/>
      <c r="V88" s="64"/>
      <c r="W88" s="158"/>
      <c r="X88" s="164"/>
      <c r="Y88" s="64"/>
      <c r="Z88" s="158"/>
      <c r="AA88" s="158"/>
      <c r="AB88" s="65"/>
      <c r="AC88" s="89"/>
      <c r="AD88" s="89"/>
      <c r="AE88" s="7"/>
      <c r="AF88" s="7"/>
      <c r="AG88" s="7"/>
      <c r="AH88" s="7"/>
      <c r="AI88" s="7"/>
      <c r="AJ88" s="7"/>
      <c r="AK88" s="7"/>
      <c r="AL88" s="7"/>
      <c r="AM88" s="7"/>
      <c r="AN88" s="87"/>
      <c r="AO88" s="8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c r="FI88" s="47"/>
      <c r="FJ88" s="47"/>
      <c r="FK88" s="47"/>
      <c r="FL88" s="47"/>
      <c r="FM88" s="47"/>
      <c r="FN88" s="47"/>
    </row>
    <row r="89" spans="1:170" s="11" customFormat="1" ht="18" customHeight="1">
      <c r="A89" s="1976"/>
      <c r="B89" s="204"/>
      <c r="C89" s="14" t="str">
        <f>Begriffe!F35</f>
        <v>Bewertungsebene</v>
      </c>
      <c r="D89" s="87"/>
      <c r="E89" s="87"/>
      <c r="F89" s="14" t="str">
        <f>Begriffe!F360</f>
        <v>Höhe = 0.75 m oder 0.05 m</v>
      </c>
      <c r="G89" s="87"/>
      <c r="H89" s="87"/>
      <c r="I89" s="98" t="s">
        <v>959</v>
      </c>
      <c r="J89" s="377" t="s">
        <v>29</v>
      </c>
      <c r="K89" s="1079"/>
      <c r="L89" s="1089"/>
      <c r="M89" s="1745">
        <f>INDEX(Eingabedaten!$D$9:$DN$53,nutzid,MATCH($C89,Eingabedaten!$D$6:$DN$6,0))</f>
        <v>0.75</v>
      </c>
      <c r="N89" s="1366"/>
      <c r="O89" s="444"/>
      <c r="P89" s="14">
        <v>0</v>
      </c>
      <c r="Q89" s="392">
        <v>1</v>
      </c>
      <c r="R89" s="14">
        <v>0</v>
      </c>
      <c r="S89" s="243"/>
      <c r="T89" s="89"/>
      <c r="U89" s="89"/>
      <c r="V89" s="64"/>
      <c r="W89" s="158"/>
      <c r="X89" s="164"/>
      <c r="Y89" s="64"/>
      <c r="Z89" s="158"/>
      <c r="AA89" s="158"/>
      <c r="AB89" s="65"/>
      <c r="AC89" s="89"/>
      <c r="AD89" s="89"/>
      <c r="AE89" s="7"/>
      <c r="AF89" s="7"/>
      <c r="AG89" s="7"/>
      <c r="AH89" s="7"/>
      <c r="AI89" s="7"/>
      <c r="AJ89" s="7"/>
      <c r="AK89" s="7"/>
      <c r="AL89" s="7"/>
      <c r="AM89" s="7"/>
      <c r="AN89" s="87"/>
      <c r="AO89" s="8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c r="CT89" s="47"/>
      <c r="CU89" s="47"/>
      <c r="CV89" s="47"/>
      <c r="CW89" s="47"/>
      <c r="CX89" s="47"/>
      <c r="CY89" s="47"/>
      <c r="CZ89" s="47"/>
      <c r="DA89" s="47"/>
      <c r="DB89" s="47"/>
      <c r="DC89" s="47"/>
      <c r="DD89" s="47"/>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7"/>
      <c r="EF89" s="47"/>
      <c r="EG89" s="47"/>
      <c r="EH89" s="47"/>
      <c r="EI89" s="47"/>
      <c r="EJ89" s="47"/>
      <c r="EK89" s="47"/>
      <c r="EL89" s="47"/>
      <c r="EM89" s="47"/>
      <c r="EN89" s="47"/>
      <c r="EO89" s="47"/>
      <c r="EP89" s="47"/>
      <c r="EQ89" s="47"/>
      <c r="ER89" s="47"/>
      <c r="ES89" s="47"/>
      <c r="ET89" s="47"/>
      <c r="EU89" s="47"/>
      <c r="EV89" s="47"/>
      <c r="EW89" s="47"/>
      <c r="EX89" s="47"/>
      <c r="EY89" s="47"/>
      <c r="EZ89" s="47"/>
      <c r="FA89" s="47"/>
      <c r="FB89" s="47"/>
      <c r="FC89" s="47"/>
      <c r="FD89" s="47"/>
      <c r="FE89" s="47"/>
      <c r="FF89" s="47"/>
      <c r="FG89" s="47"/>
      <c r="FH89" s="47"/>
      <c r="FI89" s="47"/>
      <c r="FJ89" s="47"/>
      <c r="FK89" s="47"/>
      <c r="FL89" s="47"/>
      <c r="FM89" s="47"/>
      <c r="FN89" s="47"/>
    </row>
    <row r="90" spans="1:170" s="8" customFormat="1" ht="18" customHeight="1">
      <c r="A90" s="1976"/>
      <c r="B90" s="204"/>
      <c r="C90" s="14" t="str">
        <f>Begriffe!F92</f>
        <v>Raumindex</v>
      </c>
      <c r="D90" s="87"/>
      <c r="E90" s="87"/>
      <c r="F90" s="87"/>
      <c r="G90" s="87"/>
      <c r="H90" s="87"/>
      <c r="I90" s="98" t="s">
        <v>159</v>
      </c>
      <c r="J90" s="377" t="s">
        <v>208</v>
      </c>
      <c r="K90" s="1079"/>
      <c r="L90" s="1089"/>
      <c r="M90" s="1745">
        <f>(M10*M11)/((M12-M89)*(M10+M11))</f>
        <v>1.2698412698412698</v>
      </c>
      <c r="N90" s="1382"/>
      <c r="O90" s="377"/>
      <c r="P90" s="14">
        <v>1</v>
      </c>
      <c r="Q90" s="392">
        <v>1</v>
      </c>
      <c r="R90" s="14">
        <v>0</v>
      </c>
      <c r="S90" s="243"/>
      <c r="T90" s="89"/>
      <c r="U90" s="89"/>
      <c r="V90" s="64"/>
      <c r="W90" s="158"/>
      <c r="X90" s="158"/>
      <c r="Y90" s="64"/>
      <c r="Z90" s="158"/>
      <c r="AA90" s="158"/>
      <c r="AB90" s="65"/>
      <c r="AC90" s="89"/>
      <c r="AD90" s="89"/>
      <c r="AE90" s="7"/>
      <c r="AF90" s="7"/>
      <c r="AG90" s="7"/>
      <c r="AH90" s="7"/>
      <c r="AI90" s="7"/>
      <c r="AJ90" s="7"/>
      <c r="AK90" s="7"/>
      <c r="AL90" s="7"/>
      <c r="AM90" s="7"/>
      <c r="AN90" s="7"/>
      <c r="AO90" s="7"/>
      <c r="AP90" s="83"/>
      <c r="AQ90" s="83"/>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0"/>
      <c r="CA90" s="50"/>
      <c r="CB90" s="50"/>
      <c r="CC90" s="50"/>
      <c r="CD90" s="50"/>
      <c r="CE90" s="50"/>
      <c r="CF90" s="50"/>
      <c r="CG90" s="50"/>
      <c r="CH90" s="50"/>
      <c r="CI90" s="50"/>
      <c r="CJ90" s="50"/>
      <c r="CK90" s="50"/>
      <c r="CL90" s="50"/>
      <c r="CM90" s="50"/>
      <c r="CN90" s="50"/>
      <c r="CO90" s="50"/>
      <c r="CP90" s="50"/>
      <c r="CQ90" s="50"/>
      <c r="CR90" s="50"/>
      <c r="CS90" s="50"/>
      <c r="CT90" s="50"/>
      <c r="CU90" s="50"/>
      <c r="CV90" s="50"/>
      <c r="CW90" s="50"/>
      <c r="CX90" s="50"/>
      <c r="CY90" s="50"/>
      <c r="CZ90" s="50"/>
      <c r="DA90" s="50"/>
      <c r="DB90" s="50"/>
      <c r="DC90" s="50"/>
      <c r="DD90" s="50"/>
      <c r="DE90" s="49"/>
      <c r="DF90" s="49"/>
      <c r="DG90" s="49"/>
      <c r="DH90" s="49"/>
      <c r="DI90" s="49"/>
      <c r="DJ90" s="49"/>
      <c r="DK90" s="49"/>
      <c r="DL90" s="49"/>
      <c r="DM90" s="49"/>
      <c r="DN90" s="49"/>
      <c r="DO90" s="49"/>
      <c r="DP90" s="49"/>
      <c r="DQ90" s="49"/>
      <c r="DR90" s="49"/>
      <c r="DS90" s="49"/>
      <c r="DT90" s="49"/>
      <c r="DU90" s="49"/>
      <c r="DV90" s="49"/>
      <c r="DW90" s="49"/>
      <c r="DX90" s="49"/>
      <c r="DY90" s="49"/>
      <c r="DZ90" s="49"/>
      <c r="EA90" s="49"/>
      <c r="EB90" s="49"/>
      <c r="EC90" s="49"/>
      <c r="ED90" s="49"/>
      <c r="EE90" s="50"/>
      <c r="EF90" s="50"/>
      <c r="EG90" s="50"/>
      <c r="EH90" s="50"/>
      <c r="EI90" s="50"/>
      <c r="EJ90" s="50"/>
      <c r="EK90" s="50"/>
      <c r="EL90" s="50"/>
      <c r="EM90" s="50"/>
      <c r="EN90" s="50"/>
      <c r="EO90" s="50"/>
      <c r="EP90" s="50"/>
      <c r="EQ90" s="50"/>
      <c r="ER90" s="50"/>
      <c r="ES90" s="50"/>
      <c r="ET90" s="50"/>
      <c r="EU90" s="50"/>
      <c r="EV90" s="50"/>
      <c r="EW90" s="50"/>
      <c r="EX90" s="50"/>
      <c r="EY90" s="50"/>
      <c r="EZ90" s="50"/>
      <c r="FA90" s="50"/>
      <c r="FB90" s="50"/>
      <c r="FC90" s="50"/>
      <c r="FD90" s="50"/>
      <c r="FE90" s="50"/>
      <c r="FF90" s="50"/>
      <c r="FG90" s="50"/>
      <c r="FH90" s="50"/>
      <c r="FI90" s="50"/>
      <c r="FJ90" s="50"/>
      <c r="FK90" s="50"/>
      <c r="FL90" s="50"/>
      <c r="FM90" s="50"/>
      <c r="FN90" s="50"/>
    </row>
    <row r="91" spans="1:170" s="8" customFormat="1" ht="18" hidden="1" customHeight="1">
      <c r="A91" s="1976"/>
      <c r="B91" s="91"/>
      <c r="C91" s="17" t="s">
        <v>1069</v>
      </c>
      <c r="D91" s="23"/>
      <c r="E91" s="23"/>
      <c r="F91" s="23"/>
      <c r="G91" s="23"/>
      <c r="H91" s="23"/>
      <c r="I91" s="18" t="s">
        <v>1070</v>
      </c>
      <c r="J91" s="24" t="s">
        <v>16</v>
      </c>
      <c r="K91" s="24"/>
      <c r="L91" s="16"/>
      <c r="M91" s="469">
        <v>0.8</v>
      </c>
      <c r="N91" s="469">
        <f>M91</f>
        <v>0.8</v>
      </c>
      <c r="O91" s="469">
        <f>M91</f>
        <v>0.8</v>
      </c>
      <c r="P91" s="14">
        <v>0</v>
      </c>
      <c r="Q91" s="392">
        <v>0</v>
      </c>
      <c r="R91" s="14">
        <v>0</v>
      </c>
      <c r="S91" s="243"/>
      <c r="T91" s="89"/>
      <c r="U91" s="89"/>
      <c r="V91" s="64"/>
      <c r="W91" s="158"/>
      <c r="X91" s="158"/>
      <c r="Y91" s="64"/>
      <c r="Z91" s="158"/>
      <c r="AA91" s="158"/>
      <c r="AB91" s="65"/>
      <c r="AC91" s="89"/>
      <c r="AD91" s="89"/>
      <c r="AE91" s="7"/>
      <c r="AF91" s="7"/>
      <c r="AG91" s="7"/>
      <c r="AH91" s="7"/>
      <c r="AI91" s="7"/>
      <c r="AJ91" s="7"/>
      <c r="AK91" s="7"/>
      <c r="AL91" s="7"/>
      <c r="AM91" s="7"/>
      <c r="AN91" s="7"/>
      <c r="AO91" s="7"/>
      <c r="AP91" s="83"/>
      <c r="AQ91" s="83"/>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49"/>
      <c r="DF91" s="49"/>
      <c r="DG91" s="49"/>
      <c r="DH91" s="49"/>
      <c r="DI91" s="49"/>
      <c r="DJ91" s="49"/>
      <c r="DK91" s="49"/>
      <c r="DL91" s="49"/>
      <c r="DM91" s="49"/>
      <c r="DN91" s="49"/>
      <c r="DO91" s="49"/>
      <c r="DP91" s="49"/>
      <c r="DQ91" s="49"/>
      <c r="DR91" s="49"/>
      <c r="DS91" s="49"/>
      <c r="DT91" s="49"/>
      <c r="DU91" s="49"/>
      <c r="DV91" s="49"/>
      <c r="DW91" s="49"/>
      <c r="DX91" s="49"/>
      <c r="DY91" s="49"/>
      <c r="DZ91" s="49"/>
      <c r="EA91" s="49"/>
      <c r="EB91" s="49"/>
      <c r="EC91" s="49"/>
      <c r="ED91" s="49"/>
      <c r="EE91" s="50"/>
      <c r="EF91" s="50"/>
      <c r="EG91" s="50"/>
      <c r="EH91" s="50"/>
      <c r="EI91" s="50"/>
      <c r="EJ91" s="50"/>
      <c r="EK91" s="50"/>
      <c r="EL91" s="50"/>
      <c r="EM91" s="50"/>
      <c r="EN91" s="50"/>
      <c r="EO91" s="50"/>
      <c r="EP91" s="50"/>
      <c r="EQ91" s="50"/>
      <c r="ER91" s="50"/>
      <c r="ES91" s="50"/>
      <c r="ET91" s="50"/>
      <c r="EU91" s="50"/>
      <c r="EV91" s="50"/>
      <c r="EW91" s="50"/>
      <c r="EX91" s="50"/>
      <c r="EY91" s="50"/>
      <c r="EZ91" s="50"/>
      <c r="FA91" s="50"/>
      <c r="FB91" s="50"/>
      <c r="FC91" s="50"/>
      <c r="FD91" s="50"/>
      <c r="FE91" s="50"/>
      <c r="FF91" s="50"/>
      <c r="FG91" s="50"/>
      <c r="FH91" s="50"/>
      <c r="FI91" s="50"/>
      <c r="FJ91" s="50"/>
      <c r="FK91" s="50"/>
      <c r="FL91" s="50"/>
      <c r="FM91" s="50"/>
      <c r="FN91" s="50"/>
    </row>
    <row r="92" spans="1:170" s="8" customFormat="1" ht="18" customHeight="1">
      <c r="A92" s="1976"/>
      <c r="B92" s="204"/>
      <c r="C92" s="14" t="str">
        <f>Begriffe!F74</f>
        <v>Leuchten-Lichtausbeute</v>
      </c>
      <c r="D92" s="14"/>
      <c r="E92" s="182"/>
      <c r="F92" s="14"/>
      <c r="G92" s="14"/>
      <c r="H92" s="14"/>
      <c r="I92" s="675" t="s">
        <v>960</v>
      </c>
      <c r="J92" s="377" t="s">
        <v>70</v>
      </c>
      <c r="K92" s="377"/>
      <c r="L92" s="1557"/>
      <c r="M92" s="443">
        <f>IF(L77&lt;&gt;"",L77,INDEX(Eingabedaten!$D$9:$DN$53,nutzid,MATCH($C92,Eingabedaten!$D$6:$DN$6,0)))</f>
        <v>90</v>
      </c>
      <c r="N92" s="443">
        <f>INDEX(Eingabedaten!$D$9:$DN$53,nutzid,MATCH($C92,Eingabedaten!$D$6:$DN$6,0)+1)</f>
        <v>130</v>
      </c>
      <c r="O92" s="443">
        <v>70</v>
      </c>
      <c r="P92" s="14">
        <v>1</v>
      </c>
      <c r="Q92" s="392">
        <v>1</v>
      </c>
      <c r="R92" s="14">
        <v>0</v>
      </c>
      <c r="S92" s="243"/>
      <c r="T92" s="89"/>
      <c r="U92" s="89"/>
      <c r="V92" s="64"/>
      <c r="W92" s="158"/>
      <c r="X92" s="158"/>
      <c r="Y92" s="64"/>
      <c r="Z92" s="158"/>
      <c r="AA92" s="158"/>
      <c r="AB92" s="65"/>
      <c r="AC92" s="89"/>
      <c r="AD92" s="89"/>
      <c r="AE92" s="7"/>
      <c r="AF92" s="7"/>
      <c r="AG92" s="7"/>
      <c r="AH92" s="7"/>
      <c r="AI92" s="7"/>
      <c r="AJ92" s="7"/>
      <c r="AK92" s="7"/>
      <c r="AL92" s="7"/>
      <c r="AM92" s="7"/>
      <c r="AN92" s="7"/>
      <c r="AO92" s="7"/>
      <c r="AP92" s="83"/>
      <c r="AQ92" s="83"/>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49"/>
      <c r="DF92" s="49"/>
      <c r="DG92" s="49"/>
      <c r="DH92" s="49"/>
      <c r="DI92" s="49"/>
      <c r="DJ92" s="49"/>
      <c r="DK92" s="49"/>
      <c r="DL92" s="49"/>
      <c r="DM92" s="49"/>
      <c r="DN92" s="49"/>
      <c r="DO92" s="49"/>
      <c r="DP92" s="49"/>
      <c r="DQ92" s="49"/>
      <c r="DR92" s="49"/>
      <c r="DS92" s="49"/>
      <c r="DT92" s="49"/>
      <c r="DU92" s="49"/>
      <c r="DV92" s="49"/>
      <c r="DW92" s="49"/>
      <c r="DX92" s="49"/>
      <c r="DY92" s="49"/>
      <c r="DZ92" s="49"/>
      <c r="EA92" s="49"/>
      <c r="EB92" s="49"/>
      <c r="EC92" s="49"/>
      <c r="ED92" s="49"/>
      <c r="EE92" s="50"/>
      <c r="EF92" s="50"/>
      <c r="EG92" s="50"/>
      <c r="EH92" s="50"/>
      <c r="EI92" s="50"/>
      <c r="EJ92" s="50"/>
      <c r="EK92" s="50"/>
      <c r="EL92" s="50"/>
      <c r="EM92" s="50"/>
      <c r="EN92" s="50"/>
      <c r="EO92" s="50"/>
      <c r="EP92" s="50"/>
      <c r="EQ92" s="50"/>
      <c r="ER92" s="50"/>
      <c r="ES92" s="50"/>
      <c r="ET92" s="50"/>
      <c r="EU92" s="50"/>
      <c r="EV92" s="50"/>
      <c r="EW92" s="50"/>
      <c r="EX92" s="50"/>
      <c r="EY92" s="50"/>
      <c r="EZ92" s="50"/>
      <c r="FA92" s="50"/>
      <c r="FB92" s="50"/>
      <c r="FC92" s="50"/>
      <c r="FD92" s="50"/>
      <c r="FE92" s="50"/>
      <c r="FF92" s="50"/>
      <c r="FG92" s="50"/>
      <c r="FH92" s="50"/>
      <c r="FI92" s="50"/>
      <c r="FJ92" s="50"/>
      <c r="FK92" s="50"/>
      <c r="FL92" s="50"/>
      <c r="FM92" s="50"/>
      <c r="FN92" s="50"/>
    </row>
    <row r="93" spans="1:170" s="8" customFormat="1" ht="18" customHeight="1">
      <c r="A93" s="1976"/>
      <c r="B93" s="204"/>
      <c r="C93" s="14" t="str">
        <f>Begriffe!F94</f>
        <v>Raumwirkungsgrad</v>
      </c>
      <c r="D93" s="14"/>
      <c r="E93" s="182"/>
      <c r="F93" s="14"/>
      <c r="G93" s="14"/>
      <c r="H93" s="14"/>
      <c r="I93" s="676" t="s">
        <v>961</v>
      </c>
      <c r="J93" s="377" t="s">
        <v>208</v>
      </c>
      <c r="K93" s="377"/>
      <c r="L93" s="93"/>
      <c r="M93" s="1745">
        <f>1.25*((1/1)-(1/($M90+1)))</f>
        <v>0.69930069930069916</v>
      </c>
      <c r="N93" s="1366">
        <f>1.35*((1/1)-(1/(M90+1)))</f>
        <v>0.75524475524475521</v>
      </c>
      <c r="O93" s="444">
        <f>M93</f>
        <v>0.69930069930069916</v>
      </c>
      <c r="P93" s="14">
        <v>1</v>
      </c>
      <c r="Q93" s="392">
        <v>1</v>
      </c>
      <c r="R93" s="14">
        <v>0</v>
      </c>
      <c r="S93" s="243"/>
      <c r="T93" s="89"/>
      <c r="U93" s="89"/>
      <c r="V93" s="64"/>
      <c r="W93" s="158"/>
      <c r="X93" s="158"/>
      <c r="Y93" s="64"/>
      <c r="Z93" s="158"/>
      <c r="AA93" s="158"/>
      <c r="AB93" s="65"/>
      <c r="AC93" s="89"/>
      <c r="AD93" s="89"/>
      <c r="AE93" s="7"/>
      <c r="AF93" s="7"/>
      <c r="AG93" s="7"/>
      <c r="AH93" s="7"/>
      <c r="AI93" s="7"/>
      <c r="AJ93" s="7"/>
      <c r="AK93" s="7"/>
      <c r="AL93" s="7"/>
      <c r="AM93" s="7"/>
      <c r="AN93" s="7"/>
      <c r="AO93" s="7"/>
      <c r="AP93" s="83"/>
      <c r="AQ93" s="83"/>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0"/>
      <c r="CA93" s="50"/>
      <c r="CB93" s="50"/>
      <c r="CC93" s="50"/>
      <c r="CD93" s="50"/>
      <c r="CE93" s="50"/>
      <c r="CF93" s="50"/>
      <c r="CG93" s="50"/>
      <c r="CH93" s="50"/>
      <c r="CI93" s="50"/>
      <c r="CJ93" s="50"/>
      <c r="CK93" s="50"/>
      <c r="CL93" s="50"/>
      <c r="CM93" s="50"/>
      <c r="CN93" s="50"/>
      <c r="CO93" s="50"/>
      <c r="CP93" s="50"/>
      <c r="CQ93" s="50"/>
      <c r="CR93" s="50"/>
      <c r="CS93" s="50"/>
      <c r="CT93" s="50"/>
      <c r="CU93" s="50"/>
      <c r="CV93" s="50"/>
      <c r="CW93" s="50"/>
      <c r="CX93" s="50"/>
      <c r="CY93" s="50"/>
      <c r="CZ93" s="50"/>
      <c r="DA93" s="50"/>
      <c r="DB93" s="50"/>
      <c r="DC93" s="50"/>
      <c r="DD93" s="50"/>
      <c r="DE93" s="49"/>
      <c r="DF93" s="49"/>
      <c r="DG93" s="49"/>
      <c r="DH93" s="49"/>
      <c r="DI93" s="49"/>
      <c r="DJ93" s="49"/>
      <c r="DK93" s="49"/>
      <c r="DL93" s="49"/>
      <c r="DM93" s="49"/>
      <c r="DN93" s="49"/>
      <c r="DO93" s="49"/>
      <c r="DP93" s="49"/>
      <c r="DQ93" s="49"/>
      <c r="DR93" s="49"/>
      <c r="DS93" s="49"/>
      <c r="DT93" s="49"/>
      <c r="DU93" s="49"/>
      <c r="DV93" s="49"/>
      <c r="DW93" s="49"/>
      <c r="DX93" s="49"/>
      <c r="DY93" s="49"/>
      <c r="DZ93" s="49"/>
      <c r="EA93" s="49"/>
      <c r="EB93" s="49"/>
      <c r="EC93" s="49"/>
      <c r="ED93" s="49"/>
      <c r="EE93" s="50"/>
      <c r="EF93" s="50"/>
      <c r="EG93" s="50"/>
      <c r="EH93" s="50"/>
      <c r="EI93" s="50"/>
      <c r="EJ93" s="50"/>
      <c r="EK93" s="50"/>
      <c r="EL93" s="50"/>
      <c r="EM93" s="50"/>
      <c r="EN93" s="50"/>
      <c r="EO93" s="50"/>
      <c r="EP93" s="50"/>
      <c r="EQ93" s="50"/>
      <c r="ER93" s="50"/>
      <c r="ES93" s="50"/>
      <c r="ET93" s="50"/>
      <c r="EU93" s="50"/>
      <c r="EV93" s="50"/>
      <c r="EW93" s="50"/>
      <c r="EX93" s="50"/>
      <c r="EY93" s="50"/>
      <c r="EZ93" s="50"/>
      <c r="FA93" s="50"/>
      <c r="FB93" s="50"/>
      <c r="FC93" s="50"/>
      <c r="FD93" s="50"/>
      <c r="FE93" s="50"/>
      <c r="FF93" s="50"/>
      <c r="FG93" s="50"/>
      <c r="FH93" s="50"/>
      <c r="FI93" s="50"/>
      <c r="FJ93" s="50"/>
      <c r="FK93" s="50"/>
      <c r="FL93" s="50"/>
      <c r="FM93" s="50"/>
      <c r="FN93" s="50"/>
    </row>
    <row r="94" spans="1:170" s="8" customFormat="1" ht="18" hidden="1" customHeight="1">
      <c r="A94" s="1976"/>
      <c r="B94" s="204"/>
      <c r="C94" s="721" t="s">
        <v>1071</v>
      </c>
      <c r="D94" s="471"/>
      <c r="E94" s="717"/>
      <c r="F94" s="471"/>
      <c r="G94" s="471"/>
      <c r="H94" s="471"/>
      <c r="I94" s="718"/>
      <c r="J94" s="719"/>
      <c r="K94" s="719"/>
      <c r="L94" s="720"/>
      <c r="M94" s="476"/>
      <c r="N94" s="476"/>
      <c r="O94" s="476"/>
      <c r="P94" s="14"/>
      <c r="Q94" s="392"/>
      <c r="R94" s="14"/>
      <c r="S94" s="243"/>
      <c r="T94" s="89"/>
      <c r="U94" s="89"/>
      <c r="V94" s="64"/>
      <c r="W94" s="158"/>
      <c r="X94" s="158"/>
      <c r="Y94" s="64"/>
      <c r="Z94" s="158"/>
      <c r="AA94" s="158"/>
      <c r="AB94" s="65"/>
      <c r="AC94" s="89"/>
      <c r="AD94" s="89"/>
      <c r="AE94" s="7"/>
      <c r="AF94" s="7"/>
      <c r="AG94" s="7"/>
      <c r="AH94" s="7"/>
      <c r="AI94" s="7"/>
      <c r="AJ94" s="7"/>
      <c r="AK94" s="7"/>
      <c r="AL94" s="7"/>
      <c r="AM94" s="7"/>
      <c r="AN94" s="7"/>
      <c r="AO94" s="7"/>
      <c r="AP94" s="83"/>
      <c r="AQ94" s="83"/>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0"/>
      <c r="CA94" s="50"/>
      <c r="CB94" s="50"/>
      <c r="CC94" s="50"/>
      <c r="CD94" s="50"/>
      <c r="CE94" s="50"/>
      <c r="CF94" s="50"/>
      <c r="CG94" s="50"/>
      <c r="CH94" s="50"/>
      <c r="CI94" s="50"/>
      <c r="CJ94" s="50"/>
      <c r="CK94" s="50"/>
      <c r="CL94" s="50"/>
      <c r="CM94" s="50"/>
      <c r="CN94" s="50"/>
      <c r="CO94" s="50"/>
      <c r="CP94" s="50"/>
      <c r="CQ94" s="50"/>
      <c r="CR94" s="50"/>
      <c r="CS94" s="50"/>
      <c r="CT94" s="50"/>
      <c r="CU94" s="50"/>
      <c r="CV94" s="50"/>
      <c r="CW94" s="50"/>
      <c r="CX94" s="50"/>
      <c r="CY94" s="50"/>
      <c r="CZ94" s="50"/>
      <c r="DA94" s="50"/>
      <c r="DB94" s="50"/>
      <c r="DC94" s="50"/>
      <c r="DD94" s="50"/>
      <c r="DE94" s="49"/>
      <c r="DF94" s="49"/>
      <c r="DG94" s="49"/>
      <c r="DH94" s="49"/>
      <c r="DI94" s="49"/>
      <c r="DJ94" s="49"/>
      <c r="DK94" s="49"/>
      <c r="DL94" s="49"/>
      <c r="DM94" s="49"/>
      <c r="DN94" s="49"/>
      <c r="DO94" s="49"/>
      <c r="DP94" s="49"/>
      <c r="DQ94" s="49"/>
      <c r="DR94" s="49"/>
      <c r="DS94" s="49"/>
      <c r="DT94" s="49"/>
      <c r="DU94" s="49"/>
      <c r="DV94" s="49"/>
      <c r="DW94" s="49"/>
      <c r="DX94" s="49"/>
      <c r="DY94" s="49"/>
      <c r="DZ94" s="49"/>
      <c r="EA94" s="49"/>
      <c r="EB94" s="49"/>
      <c r="EC94" s="49"/>
      <c r="ED94" s="49"/>
      <c r="EE94" s="50"/>
      <c r="EF94" s="50"/>
      <c r="EG94" s="50"/>
      <c r="EH94" s="50"/>
      <c r="EI94" s="50"/>
      <c r="EJ94" s="50"/>
      <c r="EK94" s="50"/>
      <c r="EL94" s="50"/>
      <c r="EM94" s="50"/>
      <c r="EN94" s="50"/>
      <c r="EO94" s="50"/>
      <c r="EP94" s="50"/>
      <c r="EQ94" s="50"/>
      <c r="ER94" s="50"/>
      <c r="ES94" s="50"/>
      <c r="ET94" s="50"/>
      <c r="EU94" s="50"/>
      <c r="EV94" s="50"/>
      <c r="EW94" s="50"/>
      <c r="EX94" s="50"/>
      <c r="EY94" s="50"/>
      <c r="EZ94" s="50"/>
      <c r="FA94" s="50"/>
      <c r="FB94" s="50"/>
      <c r="FC94" s="50"/>
      <c r="FD94" s="50"/>
      <c r="FE94" s="50"/>
      <c r="FF94" s="50"/>
      <c r="FG94" s="50"/>
      <c r="FH94" s="50"/>
      <c r="FI94" s="50"/>
      <c r="FJ94" s="50"/>
      <c r="FK94" s="50"/>
      <c r="FL94" s="50"/>
      <c r="FM94" s="50"/>
      <c r="FN94" s="50"/>
    </row>
    <row r="95" spans="1:170" s="8" customFormat="1" ht="18" customHeight="1">
      <c r="A95" s="1976"/>
      <c r="B95" s="204"/>
      <c r="C95" s="14" t="str">
        <f>Begriffe!F47</f>
        <v>Glasflächenzahl</v>
      </c>
      <c r="D95" s="14"/>
      <c r="E95" s="182"/>
      <c r="F95" s="14"/>
      <c r="G95" s="14"/>
      <c r="H95" s="14"/>
      <c r="I95" s="98" t="s">
        <v>207</v>
      </c>
      <c r="J95" s="377" t="s">
        <v>208</v>
      </c>
      <c r="K95" s="377"/>
      <c r="L95" s="103"/>
      <c r="M95" s="1745">
        <f>M22%/M15*$M10*$M12/(M13)</f>
        <v>0.17647058823529413</v>
      </c>
      <c r="N95" s="1366"/>
      <c r="O95" s="444"/>
      <c r="P95" s="14">
        <v>1</v>
      </c>
      <c r="Q95" s="392">
        <v>1</v>
      </c>
      <c r="R95" s="14">
        <v>0</v>
      </c>
      <c r="S95" s="243"/>
      <c r="T95" s="89"/>
      <c r="U95" s="89"/>
      <c r="V95" s="64"/>
      <c r="W95" s="158"/>
      <c r="X95" s="158"/>
      <c r="Y95" s="64"/>
      <c r="Z95" s="158"/>
      <c r="AA95" s="158"/>
      <c r="AB95" s="65"/>
      <c r="AC95" s="89"/>
      <c r="AD95" s="89"/>
      <c r="AE95" s="7"/>
      <c r="AF95" s="7"/>
      <c r="AG95" s="7"/>
      <c r="AH95" s="7"/>
      <c r="AI95" s="7"/>
      <c r="AJ95" s="7"/>
      <c r="AK95" s="7"/>
      <c r="AL95" s="7"/>
      <c r="AM95" s="7"/>
      <c r="AN95" s="7"/>
      <c r="AO95" s="7"/>
      <c r="AP95" s="83"/>
      <c r="AQ95" s="83"/>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0"/>
      <c r="CA95" s="50"/>
      <c r="CB95" s="50"/>
      <c r="CC95" s="50"/>
      <c r="CD95" s="50"/>
      <c r="CE95" s="50"/>
      <c r="CF95" s="50"/>
      <c r="CG95" s="50"/>
      <c r="CH95" s="50"/>
      <c r="CI95" s="50"/>
      <c r="CJ95" s="50"/>
      <c r="CK95" s="50"/>
      <c r="CL95" s="50"/>
      <c r="CM95" s="50"/>
      <c r="CN95" s="50"/>
      <c r="CO95" s="50"/>
      <c r="CP95" s="50"/>
      <c r="CQ95" s="50"/>
      <c r="CR95" s="50"/>
      <c r="CS95" s="50"/>
      <c r="CT95" s="50"/>
      <c r="CU95" s="50"/>
      <c r="CV95" s="50"/>
      <c r="CW95" s="50"/>
      <c r="CX95" s="50"/>
      <c r="CY95" s="50"/>
      <c r="CZ95" s="50"/>
      <c r="DA95" s="50"/>
      <c r="DB95" s="50"/>
      <c r="DC95" s="50"/>
      <c r="DD95" s="50"/>
      <c r="DE95" s="49"/>
      <c r="DF95" s="49"/>
      <c r="DG95" s="49"/>
      <c r="DH95" s="49"/>
      <c r="DI95" s="49"/>
      <c r="DJ95" s="49"/>
      <c r="DK95" s="49"/>
      <c r="DL95" s="49"/>
      <c r="DM95" s="49"/>
      <c r="DN95" s="49"/>
      <c r="DO95" s="49"/>
      <c r="DP95" s="49"/>
      <c r="DQ95" s="49"/>
      <c r="DR95" s="49"/>
      <c r="DS95" s="49"/>
      <c r="DT95" s="49"/>
      <c r="DU95" s="49"/>
      <c r="DV95" s="49"/>
      <c r="DW95" s="49"/>
      <c r="DX95" s="49"/>
      <c r="DY95" s="49"/>
      <c r="DZ95" s="49"/>
      <c r="EA95" s="49"/>
      <c r="EB95" s="49"/>
      <c r="EC95" s="49"/>
      <c r="ED95" s="49"/>
      <c r="EE95" s="50"/>
      <c r="EF95" s="50"/>
      <c r="EG95" s="50"/>
      <c r="EH95" s="50"/>
      <c r="EI95" s="50"/>
      <c r="EJ95" s="50"/>
      <c r="EK95" s="50"/>
      <c r="EL95" s="50"/>
      <c r="EM95" s="50"/>
      <c r="EN95" s="50"/>
      <c r="EO95" s="50"/>
      <c r="EP95" s="50"/>
      <c r="EQ95" s="50"/>
      <c r="ER95" s="50"/>
      <c r="ES95" s="50"/>
      <c r="ET95" s="50"/>
      <c r="EU95" s="50"/>
      <c r="EV95" s="50"/>
      <c r="EW95" s="50"/>
      <c r="EX95" s="50"/>
      <c r="EY95" s="50"/>
      <c r="EZ95" s="50"/>
      <c r="FA95" s="50"/>
      <c r="FB95" s="50"/>
      <c r="FC95" s="50"/>
      <c r="FD95" s="50"/>
      <c r="FE95" s="50"/>
      <c r="FF95" s="50"/>
      <c r="FG95" s="50"/>
      <c r="FH95" s="50"/>
      <c r="FI95" s="50"/>
      <c r="FJ95" s="50"/>
      <c r="FK95" s="50"/>
      <c r="FL95" s="50"/>
      <c r="FM95" s="50"/>
      <c r="FN95" s="50"/>
    </row>
    <row r="96" spans="1:170" s="8" customFormat="1" ht="18" hidden="1" customHeight="1">
      <c r="A96" s="1976"/>
      <c r="B96" s="21"/>
      <c r="C96" s="17" t="s">
        <v>1073</v>
      </c>
      <c r="D96" s="17"/>
      <c r="E96" s="196"/>
      <c r="F96" s="17" t="s">
        <v>30</v>
      </c>
      <c r="G96" s="17"/>
      <c r="H96" s="17"/>
      <c r="I96" s="24" t="s">
        <v>1074</v>
      </c>
      <c r="J96" s="24"/>
      <c r="K96" s="24"/>
      <c r="L96" s="16"/>
      <c r="M96" s="197">
        <f>MAX(0.175,0.35*(0.375+($M$88/800)))</f>
        <v>0.19687499999999999</v>
      </c>
      <c r="N96" s="197"/>
      <c r="O96" s="197"/>
      <c r="P96" s="14">
        <v>0</v>
      </c>
      <c r="Q96" s="392">
        <v>0</v>
      </c>
      <c r="R96" s="14">
        <v>0</v>
      </c>
      <c r="S96" s="243"/>
      <c r="T96" s="89"/>
      <c r="U96" s="89"/>
      <c r="V96" s="64"/>
      <c r="W96" s="158"/>
      <c r="X96" s="164"/>
      <c r="Y96" s="64"/>
      <c r="Z96" s="158"/>
      <c r="AA96" s="158"/>
      <c r="AB96" s="65"/>
      <c r="AC96" s="89"/>
      <c r="AD96" s="89"/>
      <c r="AE96" s="7"/>
      <c r="AF96" s="7"/>
      <c r="AG96" s="7"/>
      <c r="AH96" s="7"/>
      <c r="AI96" s="7"/>
      <c r="AJ96" s="7"/>
      <c r="AK96" s="7"/>
      <c r="AL96" s="7"/>
      <c r="AM96" s="7"/>
      <c r="AN96" s="7"/>
      <c r="AO96" s="7"/>
      <c r="AP96" s="83"/>
      <c r="AQ96" s="83"/>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0"/>
      <c r="CA96" s="50"/>
      <c r="CB96" s="50"/>
      <c r="CC96" s="50"/>
      <c r="CD96" s="50"/>
      <c r="CE96" s="50"/>
      <c r="CF96" s="50"/>
      <c r="CG96" s="50"/>
      <c r="CH96" s="50"/>
      <c r="CI96" s="50"/>
      <c r="CJ96" s="50"/>
      <c r="CK96" s="50"/>
      <c r="CL96" s="50"/>
      <c r="CM96" s="50"/>
      <c r="CN96" s="50"/>
      <c r="CO96" s="50"/>
      <c r="CP96" s="50"/>
      <c r="CQ96" s="50"/>
      <c r="CR96" s="50"/>
      <c r="CS96" s="50"/>
      <c r="CT96" s="50"/>
      <c r="CU96" s="50"/>
      <c r="CV96" s="50"/>
      <c r="CW96" s="50"/>
      <c r="CX96" s="50"/>
      <c r="CY96" s="50"/>
      <c r="CZ96" s="50"/>
      <c r="DA96" s="50"/>
      <c r="DB96" s="50"/>
      <c r="DC96" s="50"/>
      <c r="DD96" s="50"/>
      <c r="DE96" s="49"/>
      <c r="DF96" s="49"/>
      <c r="DG96" s="49"/>
      <c r="DH96" s="49"/>
      <c r="DI96" s="49"/>
      <c r="DJ96" s="49"/>
      <c r="DK96" s="49"/>
      <c r="DL96" s="49"/>
      <c r="DM96" s="49"/>
      <c r="DN96" s="49"/>
      <c r="DO96" s="49"/>
      <c r="DP96" s="49"/>
      <c r="DQ96" s="49"/>
      <c r="DR96" s="49"/>
      <c r="DS96" s="49"/>
      <c r="DT96" s="49"/>
      <c r="DU96" s="49"/>
      <c r="DV96" s="49"/>
      <c r="DW96" s="49"/>
      <c r="DX96" s="49"/>
      <c r="DY96" s="49"/>
      <c r="DZ96" s="49"/>
      <c r="EA96" s="49"/>
      <c r="EB96" s="49"/>
      <c r="EC96" s="49"/>
      <c r="ED96" s="49"/>
      <c r="EE96" s="50"/>
      <c r="EF96" s="50"/>
      <c r="EG96" s="50"/>
      <c r="EH96" s="50"/>
      <c r="EI96" s="50"/>
      <c r="EJ96" s="50"/>
      <c r="EK96" s="50"/>
      <c r="EL96" s="50"/>
      <c r="EM96" s="50"/>
      <c r="EN96" s="50"/>
      <c r="EO96" s="50"/>
      <c r="EP96" s="50"/>
      <c r="EQ96" s="50"/>
      <c r="ER96" s="50"/>
      <c r="ES96" s="50"/>
      <c r="ET96" s="50"/>
      <c r="EU96" s="50"/>
      <c r="EV96" s="50"/>
      <c r="EW96" s="50"/>
      <c r="EX96" s="50"/>
      <c r="EY96" s="50"/>
      <c r="EZ96" s="50"/>
      <c r="FA96" s="50"/>
      <c r="FB96" s="50"/>
      <c r="FC96" s="50"/>
      <c r="FD96" s="50"/>
      <c r="FE96" s="50"/>
      <c r="FF96" s="50"/>
      <c r="FG96" s="50"/>
      <c r="FH96" s="50"/>
      <c r="FI96" s="50"/>
      <c r="FJ96" s="50"/>
      <c r="FK96" s="50"/>
      <c r="FL96" s="50"/>
      <c r="FM96" s="50"/>
      <c r="FN96" s="50"/>
    </row>
    <row r="97" spans="1:170" s="8" customFormat="1" ht="18" hidden="1" customHeight="1">
      <c r="A97" s="1976"/>
      <c r="B97" s="21"/>
      <c r="C97" s="17" t="s">
        <v>1075</v>
      </c>
      <c r="D97" s="17"/>
      <c r="E97" s="196"/>
      <c r="F97" s="17"/>
      <c r="G97" s="17"/>
      <c r="H97" s="17"/>
      <c r="I97" s="18" t="s">
        <v>1076</v>
      </c>
      <c r="J97" s="24"/>
      <c r="K97" s="24"/>
      <c r="L97" s="198"/>
      <c r="M97" s="470">
        <v>2</v>
      </c>
      <c r="N97" s="470">
        <v>1</v>
      </c>
      <c r="O97" s="470">
        <v>2</v>
      </c>
      <c r="P97" s="14">
        <v>0</v>
      </c>
      <c r="Q97" s="392">
        <v>0</v>
      </c>
      <c r="R97" s="14">
        <v>0</v>
      </c>
      <c r="S97" s="243"/>
      <c r="T97" s="89"/>
      <c r="U97" s="89"/>
      <c r="V97" s="64"/>
      <c r="W97" s="158"/>
      <c r="X97" s="158"/>
      <c r="Y97" s="64"/>
      <c r="Z97" s="158"/>
      <c r="AA97" s="158"/>
      <c r="AB97" s="65"/>
      <c r="AC97" s="89"/>
      <c r="AD97" s="89"/>
      <c r="AE97" s="7"/>
      <c r="AF97" s="7"/>
      <c r="AG97" s="7"/>
      <c r="AH97" s="7"/>
      <c r="AI97" s="7"/>
      <c r="AJ97" s="7"/>
      <c r="AK97" s="7"/>
      <c r="AL97" s="7"/>
      <c r="AM97" s="7"/>
      <c r="AN97" s="7"/>
      <c r="AO97" s="7"/>
      <c r="AP97" s="83"/>
      <c r="AQ97" s="83"/>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0"/>
      <c r="CA97" s="50"/>
      <c r="CB97" s="50"/>
      <c r="CC97" s="50"/>
      <c r="CD97" s="50"/>
      <c r="CE97" s="50"/>
      <c r="CF97" s="50"/>
      <c r="CG97" s="50"/>
      <c r="CH97" s="50"/>
      <c r="CI97" s="50"/>
      <c r="CJ97" s="50"/>
      <c r="CK97" s="50"/>
      <c r="CL97" s="50"/>
      <c r="CM97" s="50"/>
      <c r="CN97" s="50"/>
      <c r="CO97" s="50"/>
      <c r="CP97" s="50"/>
      <c r="CQ97" s="50"/>
      <c r="CR97" s="50"/>
      <c r="CS97" s="50"/>
      <c r="CT97" s="50"/>
      <c r="CU97" s="50"/>
      <c r="CV97" s="50"/>
      <c r="CW97" s="50"/>
      <c r="CX97" s="50"/>
      <c r="CY97" s="50"/>
      <c r="CZ97" s="50"/>
      <c r="DA97" s="50"/>
      <c r="DB97" s="50"/>
      <c r="DC97" s="50"/>
      <c r="DD97" s="50"/>
      <c r="DE97" s="49"/>
      <c r="DF97" s="49"/>
      <c r="DG97" s="49"/>
      <c r="DH97" s="49"/>
      <c r="DI97" s="49"/>
      <c r="DJ97" s="49"/>
      <c r="DK97" s="49"/>
      <c r="DL97" s="49"/>
      <c r="DM97" s="49"/>
      <c r="DN97" s="49"/>
      <c r="DO97" s="49"/>
      <c r="DP97" s="49"/>
      <c r="DQ97" s="49"/>
      <c r="DR97" s="49"/>
      <c r="DS97" s="49"/>
      <c r="DT97" s="49"/>
      <c r="DU97" s="49"/>
      <c r="DV97" s="49"/>
      <c r="DW97" s="49"/>
      <c r="DX97" s="49"/>
      <c r="DY97" s="49"/>
      <c r="DZ97" s="49"/>
      <c r="EA97" s="49"/>
      <c r="EB97" s="49"/>
      <c r="EC97" s="49"/>
      <c r="ED97" s="49"/>
      <c r="EE97" s="50"/>
      <c r="EF97" s="50"/>
      <c r="EG97" s="50"/>
      <c r="EH97" s="50"/>
      <c r="EI97" s="50"/>
      <c r="EJ97" s="50"/>
      <c r="EK97" s="50"/>
      <c r="EL97" s="50"/>
      <c r="EM97" s="50"/>
      <c r="EN97" s="50"/>
      <c r="EO97" s="50"/>
      <c r="EP97" s="50"/>
      <c r="EQ97" s="50"/>
      <c r="ER97" s="50"/>
      <c r="ES97" s="50"/>
      <c r="ET97" s="50"/>
      <c r="EU97" s="50"/>
      <c r="EV97" s="50"/>
      <c r="EW97" s="50"/>
      <c r="EX97" s="50"/>
      <c r="EY97" s="50"/>
      <c r="EZ97" s="50"/>
      <c r="FA97" s="50"/>
      <c r="FB97" s="50"/>
      <c r="FC97" s="50"/>
      <c r="FD97" s="50"/>
      <c r="FE97" s="50"/>
      <c r="FF97" s="50"/>
      <c r="FG97" s="50"/>
      <c r="FH97" s="50"/>
      <c r="FI97" s="50"/>
      <c r="FJ97" s="50"/>
      <c r="FK97" s="50"/>
      <c r="FL97" s="50"/>
      <c r="FM97" s="50"/>
      <c r="FN97" s="50"/>
    </row>
    <row r="98" spans="1:170" s="8" customFormat="1" ht="18" hidden="1" customHeight="1">
      <c r="A98" s="1976"/>
      <c r="B98" s="21"/>
      <c r="C98" s="17" t="s">
        <v>31</v>
      </c>
      <c r="D98" s="17"/>
      <c r="E98" s="196"/>
      <c r="F98" s="17"/>
      <c r="G98" s="17"/>
      <c r="H98" s="17"/>
      <c r="I98" s="18" t="s">
        <v>68</v>
      </c>
      <c r="J98" s="24"/>
      <c r="K98" s="24"/>
      <c r="L98" s="198"/>
      <c r="M98" s="470">
        <v>1.1000000000000001</v>
      </c>
      <c r="N98" s="470">
        <v>1</v>
      </c>
      <c r="O98" s="470">
        <v>1.1000000000000001</v>
      </c>
      <c r="P98" s="14">
        <v>0</v>
      </c>
      <c r="Q98" s="392">
        <v>0</v>
      </c>
      <c r="R98" s="14">
        <v>0</v>
      </c>
      <c r="S98" s="243"/>
      <c r="T98" s="89"/>
      <c r="U98" s="89"/>
      <c r="V98" s="64"/>
      <c r="W98" s="158"/>
      <c r="X98" s="158"/>
      <c r="Y98" s="64"/>
      <c r="Z98" s="158"/>
      <c r="AA98" s="158"/>
      <c r="AB98" s="65"/>
      <c r="AC98" s="89"/>
      <c r="AD98" s="89"/>
      <c r="AE98" s="7"/>
      <c r="AF98" s="7"/>
      <c r="AG98" s="7"/>
      <c r="AH98" s="7"/>
      <c r="AI98" s="7"/>
      <c r="AJ98" s="7"/>
      <c r="AK98" s="7"/>
      <c r="AL98" s="7"/>
      <c r="AM98" s="7"/>
      <c r="AN98" s="7"/>
      <c r="AO98" s="7"/>
      <c r="AP98" s="83"/>
      <c r="AQ98" s="83"/>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0"/>
      <c r="CA98" s="50"/>
      <c r="CB98" s="50"/>
      <c r="CC98" s="50"/>
      <c r="CD98" s="50"/>
      <c r="CE98" s="50"/>
      <c r="CF98" s="50"/>
      <c r="CG98" s="50"/>
      <c r="CH98" s="50"/>
      <c r="CI98" s="50"/>
      <c r="CJ98" s="50"/>
      <c r="CK98" s="50"/>
      <c r="CL98" s="50"/>
      <c r="CM98" s="50"/>
      <c r="CN98" s="50"/>
      <c r="CO98" s="50"/>
      <c r="CP98" s="50"/>
      <c r="CQ98" s="50"/>
      <c r="CR98" s="50"/>
      <c r="CS98" s="50"/>
      <c r="CT98" s="50"/>
      <c r="CU98" s="50"/>
      <c r="CV98" s="50"/>
      <c r="CW98" s="50"/>
      <c r="CX98" s="50"/>
      <c r="CY98" s="50"/>
      <c r="CZ98" s="50"/>
      <c r="DA98" s="50"/>
      <c r="DB98" s="50"/>
      <c r="DC98" s="50"/>
      <c r="DD98" s="50"/>
      <c r="DE98" s="49"/>
      <c r="DF98" s="49"/>
      <c r="DG98" s="49"/>
      <c r="DH98" s="49"/>
      <c r="DI98" s="49"/>
      <c r="DJ98" s="49"/>
      <c r="DK98" s="49"/>
      <c r="DL98" s="49"/>
      <c r="DM98" s="49"/>
      <c r="DN98" s="49"/>
      <c r="DO98" s="49"/>
      <c r="DP98" s="49"/>
      <c r="DQ98" s="49"/>
      <c r="DR98" s="49"/>
      <c r="DS98" s="49"/>
      <c r="DT98" s="49"/>
      <c r="DU98" s="49"/>
      <c r="DV98" s="49"/>
      <c r="DW98" s="49"/>
      <c r="DX98" s="49"/>
      <c r="DY98" s="49"/>
      <c r="DZ98" s="49"/>
      <c r="EA98" s="49"/>
      <c r="EB98" s="49"/>
      <c r="EC98" s="49"/>
      <c r="ED98" s="49"/>
      <c r="EE98" s="50"/>
      <c r="EF98" s="50"/>
      <c r="EG98" s="50"/>
      <c r="EH98" s="50"/>
      <c r="EI98" s="50"/>
      <c r="EJ98" s="50"/>
      <c r="EK98" s="50"/>
      <c r="EL98" s="50"/>
      <c r="EM98" s="50"/>
      <c r="EN98" s="50"/>
      <c r="EO98" s="50"/>
      <c r="EP98" s="50"/>
      <c r="EQ98" s="50"/>
      <c r="ER98" s="50"/>
      <c r="ES98" s="50"/>
      <c r="ET98" s="50"/>
      <c r="EU98" s="50"/>
      <c r="EV98" s="50"/>
      <c r="EW98" s="50"/>
      <c r="EX98" s="50"/>
      <c r="EY98" s="50"/>
      <c r="EZ98" s="50"/>
      <c r="FA98" s="50"/>
      <c r="FB98" s="50"/>
      <c r="FC98" s="50"/>
      <c r="FD98" s="50"/>
      <c r="FE98" s="50"/>
      <c r="FF98" s="50"/>
      <c r="FG98" s="50"/>
      <c r="FH98" s="50"/>
      <c r="FI98" s="50"/>
      <c r="FJ98" s="50"/>
      <c r="FK98" s="50"/>
      <c r="FL98" s="50"/>
      <c r="FM98" s="50"/>
      <c r="FN98" s="50"/>
    </row>
    <row r="99" spans="1:170" s="8" customFormat="1" ht="18" hidden="1" customHeight="1">
      <c r="A99" s="1976"/>
      <c r="B99" s="21"/>
      <c r="C99" s="17" t="str">
        <f>Begriffe!F75</f>
        <v>Lichttransmissionsgrad</v>
      </c>
      <c r="D99" s="23"/>
      <c r="E99" s="23"/>
      <c r="F99" s="23"/>
      <c r="G99" s="23"/>
      <c r="H99" s="23"/>
      <c r="I99" s="18"/>
      <c r="J99" s="24" t="s">
        <v>16</v>
      </c>
      <c r="K99" s="24"/>
      <c r="L99" s="518"/>
      <c r="M99" s="394">
        <f>INDEX(Eingabedaten!$D$9:$DN$53,nutzid,MATCH($C99,Eingabedaten!$D$6:$DN$6,0))</f>
        <v>0.7</v>
      </c>
      <c r="N99" s="470"/>
      <c r="O99" s="470"/>
      <c r="P99" s="14">
        <v>0</v>
      </c>
      <c r="Q99" s="392">
        <v>0</v>
      </c>
      <c r="R99" s="14">
        <v>0</v>
      </c>
      <c r="S99" s="243"/>
      <c r="T99" s="89"/>
      <c r="U99" s="89"/>
      <c r="V99" s="64"/>
      <c r="W99" s="158"/>
      <c r="X99" s="158"/>
      <c r="Y99" s="64"/>
      <c r="Z99" s="158"/>
      <c r="AA99" s="158"/>
      <c r="AB99" s="65"/>
      <c r="AC99" s="89"/>
      <c r="AD99" s="89"/>
      <c r="AE99" s="7"/>
      <c r="AF99" s="7"/>
      <c r="AG99" s="7"/>
      <c r="AH99" s="7"/>
      <c r="AI99" s="7"/>
      <c r="AJ99" s="7"/>
      <c r="AK99" s="7"/>
      <c r="AL99" s="7"/>
      <c r="AM99" s="7"/>
      <c r="AN99" s="7"/>
      <c r="AO99" s="7"/>
      <c r="AP99" s="83"/>
      <c r="AQ99" s="83"/>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0"/>
      <c r="CA99" s="50"/>
      <c r="CB99" s="50"/>
      <c r="CC99" s="50"/>
      <c r="CD99" s="50"/>
      <c r="CE99" s="50"/>
      <c r="CF99" s="50"/>
      <c r="CG99" s="50"/>
      <c r="CH99" s="50"/>
      <c r="CI99" s="50"/>
      <c r="CJ99" s="50"/>
      <c r="CK99" s="50"/>
      <c r="CL99" s="50"/>
      <c r="CM99" s="50"/>
      <c r="CN99" s="50"/>
      <c r="CO99" s="50"/>
      <c r="CP99" s="50"/>
      <c r="CQ99" s="50"/>
      <c r="CR99" s="50"/>
      <c r="CS99" s="50"/>
      <c r="CT99" s="50"/>
      <c r="CU99" s="50"/>
      <c r="CV99" s="50"/>
      <c r="CW99" s="50"/>
      <c r="CX99" s="50"/>
      <c r="CY99" s="50"/>
      <c r="CZ99" s="50"/>
      <c r="DA99" s="50"/>
      <c r="DB99" s="50"/>
      <c r="DC99" s="50"/>
      <c r="DD99" s="50"/>
      <c r="DE99" s="49"/>
      <c r="DF99" s="49"/>
      <c r="DG99" s="49"/>
      <c r="DH99" s="49"/>
      <c r="DI99" s="49"/>
      <c r="DJ99" s="49"/>
      <c r="DK99" s="49"/>
      <c r="DL99" s="49"/>
      <c r="DM99" s="49"/>
      <c r="DN99" s="49"/>
      <c r="DO99" s="49"/>
      <c r="DP99" s="49"/>
      <c r="DQ99" s="49"/>
      <c r="DR99" s="49"/>
      <c r="DS99" s="49"/>
      <c r="DT99" s="49"/>
      <c r="DU99" s="49"/>
      <c r="DV99" s="49"/>
      <c r="DW99" s="49"/>
      <c r="DX99" s="49"/>
      <c r="DY99" s="49"/>
      <c r="DZ99" s="49"/>
      <c r="EA99" s="49"/>
      <c r="EB99" s="49"/>
      <c r="EC99" s="49"/>
      <c r="ED99" s="49"/>
      <c r="EE99" s="50"/>
      <c r="EF99" s="50"/>
      <c r="EG99" s="50"/>
      <c r="EH99" s="50"/>
      <c r="EI99" s="50"/>
      <c r="EJ99" s="50"/>
      <c r="EK99" s="50"/>
      <c r="EL99" s="50"/>
      <c r="EM99" s="50"/>
      <c r="EN99" s="50"/>
      <c r="EO99" s="50"/>
      <c r="EP99" s="50"/>
      <c r="EQ99" s="50"/>
      <c r="ER99" s="50"/>
      <c r="ES99" s="50"/>
      <c r="ET99" s="50"/>
      <c r="EU99" s="50"/>
      <c r="EV99" s="50"/>
      <c r="EW99" s="50"/>
      <c r="EX99" s="50"/>
      <c r="EY99" s="50"/>
      <c r="EZ99" s="50"/>
      <c r="FA99" s="50"/>
      <c r="FB99" s="50"/>
      <c r="FC99" s="50"/>
      <c r="FD99" s="50"/>
      <c r="FE99" s="50"/>
      <c r="FF99" s="50"/>
      <c r="FG99" s="50"/>
      <c r="FH99" s="50"/>
      <c r="FI99" s="50"/>
      <c r="FJ99" s="50"/>
      <c r="FK99" s="50"/>
      <c r="FL99" s="50"/>
      <c r="FM99" s="50"/>
      <c r="FN99" s="50"/>
    </row>
    <row r="100" spans="1:170" s="30" customFormat="1" ht="18" hidden="1" customHeight="1">
      <c r="A100" s="1976"/>
      <c r="B100" s="21"/>
      <c r="C100" s="17" t="s">
        <v>1077</v>
      </c>
      <c r="D100" s="17"/>
      <c r="E100" s="196"/>
      <c r="F100" s="17"/>
      <c r="G100" s="17"/>
      <c r="H100" s="17"/>
      <c r="I100" s="18" t="s">
        <v>1078</v>
      </c>
      <c r="J100" s="24"/>
      <c r="K100" s="24"/>
      <c r="L100" s="16"/>
      <c r="M100" s="470">
        <f>0.7/M99</f>
        <v>1</v>
      </c>
      <c r="N100" s="470"/>
      <c r="O100" s="470"/>
      <c r="P100" s="14">
        <v>0</v>
      </c>
      <c r="Q100" s="392">
        <v>0</v>
      </c>
      <c r="R100" s="14">
        <v>0</v>
      </c>
      <c r="S100" s="243"/>
      <c r="T100" s="89"/>
      <c r="U100" s="89"/>
      <c r="V100" s="64"/>
      <c r="W100" s="158"/>
      <c r="X100" s="158"/>
      <c r="Y100" s="64"/>
      <c r="Z100" s="158"/>
      <c r="AA100" s="158"/>
      <c r="AB100" s="65"/>
      <c r="AC100" s="89"/>
      <c r="AD100" s="89"/>
      <c r="AE100" s="7"/>
      <c r="AF100" s="7"/>
      <c r="AG100" s="7"/>
      <c r="AH100" s="7"/>
      <c r="AI100" s="7"/>
      <c r="AJ100" s="7"/>
      <c r="AK100" s="7"/>
      <c r="AL100" s="7"/>
      <c r="AM100" s="7"/>
      <c r="AN100" s="7"/>
      <c r="AO100" s="7"/>
      <c r="AP100" s="7"/>
      <c r="AQ100" s="7"/>
      <c r="AR100" s="40"/>
      <c r="AS100" s="40"/>
      <c r="AT100" s="40"/>
      <c r="AU100" s="40"/>
      <c r="AV100" s="40"/>
      <c r="AW100" s="40"/>
      <c r="AX100" s="40"/>
      <c r="AY100" s="40"/>
      <c r="AZ100" s="40"/>
      <c r="BA100" s="40"/>
      <c r="BB100" s="40"/>
      <c r="BC100" s="40"/>
      <c r="BD100" s="40"/>
      <c r="BE100" s="40"/>
      <c r="BF100" s="40"/>
      <c r="BG100" s="40"/>
      <c r="BH100" s="40"/>
      <c r="BI100" s="40"/>
      <c r="BJ100" s="40"/>
      <c r="BK100" s="40"/>
      <c r="BL100" s="40"/>
      <c r="BM100" s="40"/>
      <c r="BN100" s="40"/>
      <c r="BO100" s="40"/>
      <c r="BP100" s="40"/>
      <c r="BQ100" s="40"/>
      <c r="BR100" s="40"/>
      <c r="BS100" s="40"/>
      <c r="BT100" s="40"/>
      <c r="BU100" s="40"/>
      <c r="BV100" s="40"/>
      <c r="BW100" s="40"/>
      <c r="BX100" s="40"/>
      <c r="BY100" s="40"/>
      <c r="BZ100" s="40"/>
      <c r="CA100" s="40"/>
      <c r="CB100" s="40"/>
      <c r="CC100" s="40"/>
      <c r="CD100" s="40"/>
      <c r="CE100" s="40"/>
      <c r="CF100" s="40"/>
      <c r="CG100" s="40"/>
      <c r="CH100" s="40"/>
      <c r="CI100" s="40"/>
      <c r="CJ100" s="40"/>
      <c r="CK100" s="40"/>
      <c r="CL100" s="40"/>
      <c r="CM100" s="40"/>
      <c r="CN100" s="40"/>
      <c r="CO100" s="40"/>
      <c r="CP100" s="40"/>
      <c r="CQ100" s="40"/>
      <c r="CR100" s="40"/>
      <c r="CS100" s="40"/>
      <c r="CT100" s="40"/>
      <c r="CU100" s="40"/>
      <c r="CV100" s="40"/>
      <c r="CW100" s="40"/>
      <c r="CX100" s="40"/>
      <c r="CY100" s="40"/>
      <c r="CZ100" s="40"/>
      <c r="DA100" s="40"/>
      <c r="DB100" s="40"/>
      <c r="DC100" s="40"/>
      <c r="DD100" s="40"/>
      <c r="DE100" s="51"/>
      <c r="DF100" s="51"/>
      <c r="DG100" s="51"/>
      <c r="DH100" s="51"/>
      <c r="DI100" s="51"/>
      <c r="DJ100" s="51"/>
      <c r="DK100" s="51"/>
      <c r="DL100" s="51"/>
      <c r="DM100" s="51"/>
      <c r="DN100" s="51"/>
      <c r="DO100" s="51"/>
      <c r="DP100" s="51"/>
      <c r="DQ100" s="51"/>
      <c r="DR100" s="51"/>
      <c r="DS100" s="51"/>
      <c r="DT100" s="51"/>
      <c r="DU100" s="51"/>
      <c r="DV100" s="51"/>
      <c r="DW100" s="51"/>
      <c r="DX100" s="51"/>
      <c r="DY100" s="51"/>
      <c r="DZ100" s="51"/>
      <c r="EA100" s="51"/>
      <c r="EB100" s="51"/>
      <c r="EC100" s="51"/>
      <c r="ED100" s="51"/>
      <c r="EE100" s="40"/>
      <c r="EF100" s="40"/>
      <c r="EG100" s="40"/>
      <c r="EH100" s="40"/>
      <c r="EI100" s="40"/>
      <c r="EJ100" s="40"/>
      <c r="EK100" s="40"/>
      <c r="EL100" s="40"/>
      <c r="EM100" s="40"/>
      <c r="EN100" s="40"/>
      <c r="EO100" s="40"/>
      <c r="EP100" s="40"/>
      <c r="EQ100" s="40"/>
      <c r="ER100" s="40"/>
      <c r="ES100" s="40"/>
      <c r="ET100" s="40"/>
      <c r="EU100" s="40"/>
      <c r="EV100" s="40"/>
      <c r="EW100" s="40"/>
      <c r="EX100" s="40"/>
      <c r="EY100" s="40"/>
      <c r="EZ100" s="40"/>
      <c r="FA100" s="40"/>
      <c r="FB100" s="40"/>
      <c r="FC100" s="40"/>
      <c r="FD100" s="40"/>
      <c r="FE100" s="40"/>
      <c r="FF100" s="40"/>
      <c r="FG100" s="40"/>
      <c r="FH100" s="40"/>
      <c r="FI100" s="40"/>
      <c r="FJ100" s="40"/>
      <c r="FK100" s="40"/>
      <c r="FL100" s="40"/>
      <c r="FM100" s="40"/>
      <c r="FN100" s="40"/>
    </row>
    <row r="101" spans="1:170" s="30" customFormat="1" ht="18" hidden="1" customHeight="1">
      <c r="A101" s="1976"/>
      <c r="B101" s="21"/>
      <c r="C101" s="17" t="s">
        <v>1085</v>
      </c>
      <c r="D101" s="17"/>
      <c r="E101" s="196"/>
      <c r="F101" s="17"/>
      <c r="G101" s="17"/>
      <c r="H101" s="17"/>
      <c r="I101" s="18" t="s">
        <v>1086</v>
      </c>
      <c r="J101" s="24" t="s">
        <v>29</v>
      </c>
      <c r="K101" s="24"/>
      <c r="L101" s="518"/>
      <c r="M101" s="394">
        <v>0.2</v>
      </c>
      <c r="N101" s="470"/>
      <c r="O101" s="470"/>
      <c r="P101" s="14"/>
      <c r="Q101" s="392"/>
      <c r="R101" s="14"/>
      <c r="S101" s="243"/>
      <c r="T101" s="89"/>
      <c r="U101" s="89"/>
      <c r="V101" s="64"/>
      <c r="W101" s="158"/>
      <c r="X101" s="158"/>
      <c r="Y101" s="64"/>
      <c r="Z101" s="158"/>
      <c r="AA101" s="158"/>
      <c r="AB101" s="65"/>
      <c r="AC101" s="89"/>
      <c r="AD101" s="89"/>
      <c r="AE101" s="7"/>
      <c r="AF101" s="7"/>
      <c r="AG101" s="7"/>
      <c r="AH101" s="7"/>
      <c r="AI101" s="7"/>
      <c r="AJ101" s="7"/>
      <c r="AK101" s="7"/>
      <c r="AL101" s="7"/>
      <c r="AM101" s="7"/>
      <c r="AN101" s="7"/>
      <c r="AO101" s="7"/>
      <c r="AP101" s="7"/>
      <c r="AQ101" s="7"/>
      <c r="AR101" s="40"/>
      <c r="AS101" s="40"/>
      <c r="AT101" s="40"/>
      <c r="AU101" s="40"/>
      <c r="AV101" s="40"/>
      <c r="AW101" s="40"/>
      <c r="AX101" s="40"/>
      <c r="AY101" s="40"/>
      <c r="AZ101" s="40"/>
      <c r="BA101" s="40"/>
      <c r="BB101" s="40"/>
      <c r="BC101" s="40"/>
      <c r="BD101" s="40"/>
      <c r="BE101" s="40"/>
      <c r="BF101" s="40"/>
      <c r="BG101" s="40"/>
      <c r="BH101" s="40"/>
      <c r="BI101" s="40"/>
      <c r="BJ101" s="40"/>
      <c r="BK101" s="40"/>
      <c r="BL101" s="40"/>
      <c r="BM101" s="40"/>
      <c r="BN101" s="40"/>
      <c r="BO101" s="40"/>
      <c r="BP101" s="40"/>
      <c r="BQ101" s="40"/>
      <c r="BR101" s="40"/>
      <c r="BS101" s="40"/>
      <c r="BT101" s="40"/>
      <c r="BU101" s="40"/>
      <c r="BV101" s="40"/>
      <c r="BW101" s="40"/>
      <c r="BX101" s="40"/>
      <c r="BY101" s="40"/>
      <c r="BZ101" s="40"/>
      <c r="CA101" s="40"/>
      <c r="CB101" s="40"/>
      <c r="CC101" s="40"/>
      <c r="CD101" s="40"/>
      <c r="CE101" s="40"/>
      <c r="CF101" s="40"/>
      <c r="CG101" s="40"/>
      <c r="CH101" s="40"/>
      <c r="CI101" s="40"/>
      <c r="CJ101" s="40"/>
      <c r="CK101" s="40"/>
      <c r="CL101" s="40"/>
      <c r="CM101" s="40"/>
      <c r="CN101" s="40"/>
      <c r="CO101" s="40"/>
      <c r="CP101" s="40"/>
      <c r="CQ101" s="40"/>
      <c r="CR101" s="40"/>
      <c r="CS101" s="40"/>
      <c r="CT101" s="40"/>
      <c r="CU101" s="40"/>
      <c r="CV101" s="40"/>
      <c r="CW101" s="40"/>
      <c r="CX101" s="40"/>
      <c r="CY101" s="40"/>
      <c r="CZ101" s="40"/>
      <c r="DA101" s="40"/>
      <c r="DB101" s="40"/>
      <c r="DC101" s="40"/>
      <c r="DD101" s="40"/>
      <c r="DE101" s="51"/>
      <c r="DF101" s="51"/>
      <c r="DG101" s="51"/>
      <c r="DH101" s="51"/>
      <c r="DI101" s="51"/>
      <c r="DJ101" s="51"/>
      <c r="DK101" s="51"/>
      <c r="DL101" s="51"/>
      <c r="DM101" s="51"/>
      <c r="DN101" s="51"/>
      <c r="DO101" s="51"/>
      <c r="DP101" s="51"/>
      <c r="DQ101" s="51"/>
      <c r="DR101" s="51"/>
      <c r="DS101" s="51"/>
      <c r="DT101" s="51"/>
      <c r="DU101" s="51"/>
      <c r="DV101" s="51"/>
      <c r="DW101" s="51"/>
      <c r="DX101" s="51"/>
      <c r="DY101" s="51"/>
      <c r="DZ101" s="51"/>
      <c r="EA101" s="51"/>
      <c r="EB101" s="51"/>
      <c r="EC101" s="51"/>
      <c r="ED101" s="51"/>
      <c r="EE101" s="40"/>
      <c r="EF101" s="40"/>
      <c r="EG101" s="40"/>
      <c r="EH101" s="40"/>
      <c r="EI101" s="40"/>
      <c r="EJ101" s="40"/>
      <c r="EK101" s="40"/>
      <c r="EL101" s="40"/>
      <c r="EM101" s="40"/>
      <c r="EN101" s="40"/>
      <c r="EO101" s="40"/>
      <c r="EP101" s="40"/>
      <c r="EQ101" s="40"/>
      <c r="ER101" s="40"/>
      <c r="ES101" s="40"/>
      <c r="ET101" s="40"/>
      <c r="EU101" s="40"/>
      <c r="EV101" s="40"/>
      <c r="EW101" s="40"/>
      <c r="EX101" s="40"/>
      <c r="EY101" s="40"/>
      <c r="EZ101" s="40"/>
      <c r="FA101" s="40"/>
      <c r="FB101" s="40"/>
      <c r="FC101" s="40"/>
      <c r="FD101" s="40"/>
      <c r="FE101" s="40"/>
      <c r="FF101" s="40"/>
      <c r="FG101" s="40"/>
      <c r="FH101" s="40"/>
      <c r="FI101" s="40"/>
      <c r="FJ101" s="40"/>
      <c r="FK101" s="40"/>
      <c r="FL101" s="40"/>
      <c r="FM101" s="40"/>
      <c r="FN101" s="40"/>
    </row>
    <row r="102" spans="1:170" s="30" customFormat="1" ht="18" hidden="1" customHeight="1">
      <c r="A102" s="1976"/>
      <c r="B102" s="21"/>
      <c r="C102" s="17" t="s">
        <v>32</v>
      </c>
      <c r="D102" s="17"/>
      <c r="E102" s="196"/>
      <c r="F102" s="17"/>
      <c r="G102" s="17"/>
      <c r="H102" s="17"/>
      <c r="I102" s="18" t="s">
        <v>1079</v>
      </c>
      <c r="J102" s="24"/>
      <c r="K102" s="24"/>
      <c r="L102" s="16"/>
      <c r="M102" s="469">
        <f>0.8+0.2/(M12-M101-1.8)</f>
        <v>1.2000000000000002</v>
      </c>
      <c r="N102" s="469"/>
      <c r="O102" s="469"/>
      <c r="P102" s="14">
        <v>0</v>
      </c>
      <c r="Q102" s="392">
        <v>0</v>
      </c>
      <c r="R102" s="14">
        <v>0</v>
      </c>
      <c r="S102" s="243"/>
      <c r="T102" s="89"/>
      <c r="U102" s="89"/>
      <c r="V102" s="64"/>
      <c r="W102" s="158"/>
      <c r="X102" s="158"/>
      <c r="Y102" s="64"/>
      <c r="Z102" s="158"/>
      <c r="AA102" s="158"/>
      <c r="AB102" s="65"/>
      <c r="AC102" s="89"/>
      <c r="AD102" s="89"/>
      <c r="AE102" s="7"/>
      <c r="AF102" s="7"/>
      <c r="AG102" s="7"/>
      <c r="AH102" s="7"/>
      <c r="AI102" s="7"/>
      <c r="AJ102" s="7"/>
      <c r="AK102" s="7"/>
      <c r="AL102" s="7"/>
      <c r="AM102" s="7"/>
      <c r="AN102" s="7"/>
      <c r="AO102" s="7"/>
      <c r="AP102" s="7"/>
      <c r="AQ102" s="7"/>
      <c r="AR102" s="40"/>
      <c r="AS102" s="40"/>
      <c r="AT102" s="40"/>
      <c r="AU102" s="40"/>
      <c r="AV102" s="40"/>
      <c r="AW102" s="40"/>
      <c r="AX102" s="40"/>
      <c r="AY102" s="40"/>
      <c r="AZ102" s="40"/>
      <c r="BA102" s="40"/>
      <c r="BB102" s="40"/>
      <c r="BC102" s="40"/>
      <c r="BD102" s="40"/>
      <c r="BE102" s="40"/>
      <c r="BF102" s="40"/>
      <c r="BG102" s="40"/>
      <c r="BH102" s="40"/>
      <c r="BI102" s="40"/>
      <c r="BJ102" s="40"/>
      <c r="BK102" s="40"/>
      <c r="BL102" s="40"/>
      <c r="BM102" s="40"/>
      <c r="BN102" s="40"/>
      <c r="BO102" s="40"/>
      <c r="BP102" s="40"/>
      <c r="BQ102" s="40"/>
      <c r="BR102" s="40"/>
      <c r="BS102" s="40"/>
      <c r="BT102" s="40"/>
      <c r="BU102" s="40"/>
      <c r="BV102" s="40"/>
      <c r="BW102" s="40"/>
      <c r="BX102" s="40"/>
      <c r="BY102" s="40"/>
      <c r="BZ102" s="40"/>
      <c r="CA102" s="40"/>
      <c r="CB102" s="40"/>
      <c r="CC102" s="40"/>
      <c r="CD102" s="40"/>
      <c r="CE102" s="40"/>
      <c r="CF102" s="40"/>
      <c r="CG102" s="40"/>
      <c r="CH102" s="40"/>
      <c r="CI102" s="40"/>
      <c r="CJ102" s="40"/>
      <c r="CK102" s="40"/>
      <c r="CL102" s="40"/>
      <c r="CM102" s="40"/>
      <c r="CN102" s="40"/>
      <c r="CO102" s="40"/>
      <c r="CP102" s="40"/>
      <c r="CQ102" s="40"/>
      <c r="CR102" s="40"/>
      <c r="CS102" s="40"/>
      <c r="CT102" s="40"/>
      <c r="CU102" s="40"/>
      <c r="CV102" s="40"/>
      <c r="CW102" s="40"/>
      <c r="CX102" s="40"/>
      <c r="CY102" s="40"/>
      <c r="CZ102" s="40"/>
      <c r="DA102" s="40"/>
      <c r="DB102" s="40"/>
      <c r="DC102" s="40"/>
      <c r="DD102" s="40"/>
      <c r="DE102" s="51"/>
      <c r="DF102" s="51"/>
      <c r="DG102" s="51"/>
      <c r="DH102" s="51"/>
      <c r="DI102" s="51"/>
      <c r="DJ102" s="51"/>
      <c r="DK102" s="51"/>
      <c r="DL102" s="51"/>
      <c r="DM102" s="51"/>
      <c r="DN102" s="51"/>
      <c r="DO102" s="51"/>
      <c r="DP102" s="51"/>
      <c r="DQ102" s="51"/>
      <c r="DR102" s="51"/>
      <c r="DS102" s="51"/>
      <c r="DT102" s="51"/>
      <c r="DU102" s="51"/>
      <c r="DV102" s="51"/>
      <c r="DW102" s="51"/>
      <c r="DX102" s="51"/>
      <c r="DY102" s="51"/>
      <c r="DZ102" s="51"/>
      <c r="EA102" s="51"/>
      <c r="EB102" s="51"/>
      <c r="EC102" s="51"/>
      <c r="ED102" s="51"/>
      <c r="EE102" s="40"/>
      <c r="EF102" s="40"/>
      <c r="EG102" s="40"/>
      <c r="EH102" s="40"/>
      <c r="EI102" s="40"/>
      <c r="EJ102" s="40"/>
      <c r="EK102" s="40"/>
      <c r="EL102" s="40"/>
      <c r="EM102" s="40"/>
      <c r="EN102" s="40"/>
      <c r="EO102" s="40"/>
      <c r="EP102" s="40"/>
      <c r="EQ102" s="40"/>
      <c r="ER102" s="40"/>
      <c r="ES102" s="40"/>
      <c r="ET102" s="40"/>
      <c r="EU102" s="40"/>
      <c r="EV102" s="40"/>
      <c r="EW102" s="40"/>
      <c r="EX102" s="40"/>
      <c r="EY102" s="40"/>
      <c r="EZ102" s="40"/>
      <c r="FA102" s="40"/>
      <c r="FB102" s="40"/>
      <c r="FC102" s="40"/>
      <c r="FD102" s="40"/>
      <c r="FE102" s="40"/>
      <c r="FF102" s="40"/>
      <c r="FG102" s="40"/>
      <c r="FH102" s="40"/>
      <c r="FI102" s="40"/>
      <c r="FJ102" s="40"/>
      <c r="FK102" s="40"/>
      <c r="FL102" s="40"/>
      <c r="FM102" s="40"/>
      <c r="FN102" s="40"/>
    </row>
    <row r="103" spans="1:170" s="12" customFormat="1" ht="18" hidden="1" customHeight="1">
      <c r="A103" s="1976"/>
      <c r="B103" s="21"/>
      <c r="C103" s="17" t="s">
        <v>34</v>
      </c>
      <c r="D103" s="17"/>
      <c r="E103" s="196"/>
      <c r="F103" s="17"/>
      <c r="G103" s="17"/>
      <c r="H103" s="17"/>
      <c r="I103" s="18" t="s">
        <v>1084</v>
      </c>
      <c r="J103" s="24" t="s">
        <v>29</v>
      </c>
      <c r="K103" s="24"/>
      <c r="L103" s="518"/>
      <c r="M103" s="394">
        <v>0</v>
      </c>
      <c r="N103" s="470">
        <v>0</v>
      </c>
      <c r="O103" s="470">
        <v>0</v>
      </c>
      <c r="P103" s="14">
        <v>0</v>
      </c>
      <c r="Q103" s="392">
        <v>0</v>
      </c>
      <c r="R103" s="14">
        <v>0</v>
      </c>
      <c r="S103" s="243"/>
      <c r="T103" s="89"/>
      <c r="U103" s="89"/>
      <c r="V103" s="64"/>
      <c r="W103" s="158"/>
      <c r="X103" s="158"/>
      <c r="Y103" s="64"/>
      <c r="Z103" s="158"/>
      <c r="AA103" s="158"/>
      <c r="AB103" s="65"/>
      <c r="AC103" s="89"/>
      <c r="AD103" s="89"/>
      <c r="AE103" s="7"/>
      <c r="AF103" s="7"/>
      <c r="AG103" s="7"/>
      <c r="AH103" s="7"/>
      <c r="AI103" s="7"/>
      <c r="AJ103" s="7"/>
      <c r="AK103" s="7"/>
      <c r="AL103" s="7"/>
      <c r="AM103" s="7"/>
      <c r="AN103" s="7"/>
      <c r="AO103" s="7"/>
      <c r="AP103" s="7"/>
      <c r="AQ103" s="7"/>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51"/>
      <c r="DF103" s="51"/>
      <c r="DG103" s="51"/>
      <c r="DH103" s="51"/>
      <c r="DI103" s="51"/>
      <c r="DJ103" s="51"/>
      <c r="DK103" s="51"/>
      <c r="DL103" s="51"/>
      <c r="DM103" s="51"/>
      <c r="DN103" s="51"/>
      <c r="DO103" s="51"/>
      <c r="DP103" s="51"/>
      <c r="DQ103" s="51"/>
      <c r="DR103" s="51"/>
      <c r="DS103" s="51"/>
      <c r="DT103" s="51"/>
      <c r="DU103" s="51"/>
      <c r="DV103" s="51"/>
      <c r="DW103" s="51"/>
      <c r="DX103" s="51"/>
      <c r="DY103" s="51"/>
      <c r="DZ103" s="51"/>
      <c r="EA103" s="51"/>
      <c r="EB103" s="51"/>
      <c r="EC103" s="51"/>
      <c r="ED103" s="51"/>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row>
    <row r="104" spans="1:170" s="8" customFormat="1" ht="18" hidden="1" customHeight="1">
      <c r="A104" s="1976"/>
      <c r="B104" s="21"/>
      <c r="C104" s="17" t="s">
        <v>33</v>
      </c>
      <c r="D104" s="17"/>
      <c r="E104" s="196"/>
      <c r="F104" s="17"/>
      <c r="G104" s="17"/>
      <c r="H104" s="17"/>
      <c r="I104" s="18" t="s">
        <v>1081</v>
      </c>
      <c r="J104" s="24"/>
      <c r="K104" s="24"/>
      <c r="L104" s="16"/>
      <c r="M104" s="470">
        <f>MIN(2,1/(1-(0.25*M103)))</f>
        <v>1</v>
      </c>
      <c r="N104" s="470"/>
      <c r="O104" s="470"/>
      <c r="P104" s="14">
        <v>0</v>
      </c>
      <c r="Q104" s="392">
        <v>0</v>
      </c>
      <c r="R104" s="14">
        <v>0</v>
      </c>
      <c r="S104" s="243"/>
      <c r="T104" s="89"/>
      <c r="U104" s="89"/>
      <c r="V104" s="64"/>
      <c r="W104" s="158"/>
      <c r="X104" s="158"/>
      <c r="Y104" s="64"/>
      <c r="Z104" s="158"/>
      <c r="AA104" s="158"/>
      <c r="AB104" s="65"/>
      <c r="AC104" s="89"/>
      <c r="AD104" s="89"/>
      <c r="AE104" s="7"/>
      <c r="AF104" s="7"/>
      <c r="AG104" s="7"/>
      <c r="AH104" s="7"/>
      <c r="AI104" s="7"/>
      <c r="AJ104" s="7"/>
      <c r="AK104" s="7"/>
      <c r="AL104" s="7"/>
      <c r="AM104" s="7"/>
      <c r="AN104" s="7"/>
      <c r="AO104" s="7"/>
      <c r="AP104" s="83"/>
      <c r="AQ104" s="83"/>
      <c r="AR104" s="50"/>
      <c r="AS104" s="50"/>
      <c r="AT104" s="50"/>
      <c r="AU104" s="50"/>
      <c r="AV104" s="50"/>
      <c r="AW104" s="50"/>
      <c r="AX104" s="50"/>
      <c r="AY104" s="50"/>
      <c r="AZ104" s="50"/>
      <c r="BA104" s="50"/>
      <c r="BB104" s="50"/>
      <c r="BC104" s="50"/>
      <c r="BD104" s="50"/>
      <c r="BE104" s="50"/>
      <c r="BF104" s="50"/>
      <c r="BG104" s="50"/>
      <c r="BH104" s="50"/>
      <c r="BI104" s="50"/>
      <c r="BJ104" s="50"/>
      <c r="BK104" s="50"/>
      <c r="BL104" s="50"/>
      <c r="BM104" s="50"/>
      <c r="BN104" s="50"/>
      <c r="BO104" s="50"/>
      <c r="BP104" s="50"/>
      <c r="BQ104" s="50"/>
      <c r="BR104" s="50"/>
      <c r="BS104" s="50"/>
      <c r="BT104" s="50"/>
      <c r="BU104" s="50"/>
      <c r="BV104" s="50"/>
      <c r="BW104" s="50"/>
      <c r="BX104" s="50"/>
      <c r="BY104" s="50"/>
      <c r="BZ104" s="50"/>
      <c r="CA104" s="50"/>
      <c r="CB104" s="50"/>
      <c r="CC104" s="50"/>
      <c r="CD104" s="50"/>
      <c r="CE104" s="50"/>
      <c r="CF104" s="50"/>
      <c r="CG104" s="50"/>
      <c r="CH104" s="50"/>
      <c r="CI104" s="50"/>
      <c r="CJ104" s="50"/>
      <c r="CK104" s="50"/>
      <c r="CL104" s="50"/>
      <c r="CM104" s="50"/>
      <c r="CN104" s="50"/>
      <c r="CO104" s="50"/>
      <c r="CP104" s="50"/>
      <c r="CQ104" s="50"/>
      <c r="CR104" s="50"/>
      <c r="CS104" s="50"/>
      <c r="CT104" s="50"/>
      <c r="CU104" s="50"/>
      <c r="CV104" s="50"/>
      <c r="CW104" s="50"/>
      <c r="CX104" s="50"/>
      <c r="CY104" s="50"/>
      <c r="CZ104" s="50"/>
      <c r="DA104" s="50"/>
      <c r="DB104" s="50"/>
      <c r="DC104" s="50"/>
      <c r="DD104" s="50"/>
      <c r="DE104" s="49"/>
      <c r="DF104" s="49"/>
      <c r="DG104" s="49"/>
      <c r="DH104" s="49"/>
      <c r="DI104" s="49"/>
      <c r="DJ104" s="49"/>
      <c r="DK104" s="49"/>
      <c r="DL104" s="49"/>
      <c r="DM104" s="49"/>
      <c r="DN104" s="49"/>
      <c r="DO104" s="49"/>
      <c r="DP104" s="49"/>
      <c r="DQ104" s="49"/>
      <c r="DR104" s="49"/>
      <c r="DS104" s="49"/>
      <c r="DT104" s="49"/>
      <c r="DU104" s="49"/>
      <c r="DV104" s="49"/>
      <c r="DW104" s="49"/>
      <c r="DX104" s="49"/>
      <c r="DY104" s="49"/>
      <c r="DZ104" s="49"/>
      <c r="EA104" s="49"/>
      <c r="EB104" s="49"/>
      <c r="EC104" s="49"/>
      <c r="ED104" s="49"/>
      <c r="EE104" s="50"/>
      <c r="EF104" s="50"/>
      <c r="EG104" s="50"/>
      <c r="EH104" s="50"/>
      <c r="EI104" s="50"/>
      <c r="EJ104" s="50"/>
      <c r="EK104" s="50"/>
      <c r="EL104" s="50"/>
      <c r="EM104" s="50"/>
      <c r="EN104" s="50"/>
      <c r="EO104" s="50"/>
      <c r="EP104" s="50"/>
      <c r="EQ104" s="50"/>
      <c r="ER104" s="50"/>
      <c r="ES104" s="50"/>
      <c r="ET104" s="50"/>
      <c r="EU104" s="50"/>
      <c r="EV104" s="50"/>
      <c r="EW104" s="50"/>
      <c r="EX104" s="50"/>
      <c r="EY104" s="50"/>
      <c r="EZ104" s="50"/>
      <c r="FA104" s="50"/>
      <c r="FB104" s="50"/>
      <c r="FC104" s="50"/>
      <c r="FD104" s="50"/>
      <c r="FE104" s="50"/>
      <c r="FF104" s="50"/>
      <c r="FG104" s="50"/>
      <c r="FH104" s="50"/>
      <c r="FI104" s="50"/>
      <c r="FJ104" s="50"/>
      <c r="FK104" s="50"/>
      <c r="FL104" s="50"/>
      <c r="FM104" s="50"/>
      <c r="FN104" s="50"/>
    </row>
    <row r="105" spans="1:170" s="8" customFormat="1" ht="18" hidden="1" customHeight="1">
      <c r="A105" s="1976"/>
      <c r="B105" s="21"/>
      <c r="C105" s="17" t="s">
        <v>1087</v>
      </c>
      <c r="D105" s="17"/>
      <c r="E105" s="196"/>
      <c r="F105" s="17"/>
      <c r="G105" s="17"/>
      <c r="H105" s="17"/>
      <c r="I105" s="18" t="s">
        <v>1088</v>
      </c>
      <c r="J105" s="24"/>
      <c r="K105" s="24"/>
      <c r="L105" s="518"/>
      <c r="M105" s="470">
        <v>1.2</v>
      </c>
      <c r="N105" s="470">
        <v>1</v>
      </c>
      <c r="O105" s="470">
        <f>M105</f>
        <v>1.2</v>
      </c>
      <c r="P105" s="14">
        <v>0</v>
      </c>
      <c r="Q105" s="392">
        <v>0</v>
      </c>
      <c r="R105" s="14">
        <v>0</v>
      </c>
      <c r="S105" s="243"/>
      <c r="T105" s="89"/>
      <c r="U105" s="89"/>
      <c r="V105" s="64"/>
      <c r="W105" s="158"/>
      <c r="X105" s="158"/>
      <c r="Y105" s="64"/>
      <c r="Z105" s="158"/>
      <c r="AA105" s="158"/>
      <c r="AB105" s="65"/>
      <c r="AC105" s="89"/>
      <c r="AD105" s="89"/>
      <c r="AE105" s="7"/>
      <c r="AF105" s="7"/>
      <c r="AG105" s="7"/>
      <c r="AH105" s="7"/>
      <c r="AI105" s="7"/>
      <c r="AJ105" s="7"/>
      <c r="AK105" s="7"/>
      <c r="AL105" s="7"/>
      <c r="AM105" s="7"/>
      <c r="AN105" s="7"/>
      <c r="AO105" s="7"/>
      <c r="AP105" s="83"/>
      <c r="AQ105" s="83"/>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0"/>
      <c r="CA105" s="50"/>
      <c r="CB105" s="50"/>
      <c r="CC105" s="50"/>
      <c r="CD105" s="50"/>
      <c r="CE105" s="50"/>
      <c r="CF105" s="50"/>
      <c r="CG105" s="50"/>
      <c r="CH105" s="50"/>
      <c r="CI105" s="50"/>
      <c r="CJ105" s="50"/>
      <c r="CK105" s="50"/>
      <c r="CL105" s="50"/>
      <c r="CM105" s="50"/>
      <c r="CN105" s="50"/>
      <c r="CO105" s="50"/>
      <c r="CP105" s="50"/>
      <c r="CQ105" s="50"/>
      <c r="CR105" s="50"/>
      <c r="CS105" s="50"/>
      <c r="CT105" s="50"/>
      <c r="CU105" s="50"/>
      <c r="CV105" s="50"/>
      <c r="CW105" s="50"/>
      <c r="CX105" s="50"/>
      <c r="CY105" s="50"/>
      <c r="CZ105" s="50"/>
      <c r="DA105" s="50"/>
      <c r="DB105" s="50"/>
      <c r="DC105" s="50"/>
      <c r="DD105" s="50"/>
      <c r="DE105" s="49"/>
      <c r="DF105" s="49"/>
      <c r="DG105" s="49"/>
      <c r="DH105" s="49"/>
      <c r="DI105" s="49"/>
      <c r="DJ105" s="49"/>
      <c r="DK105" s="49"/>
      <c r="DL105" s="49"/>
      <c r="DM105" s="49"/>
      <c r="DN105" s="49"/>
      <c r="DO105" s="49"/>
      <c r="DP105" s="49"/>
      <c r="DQ105" s="49"/>
      <c r="DR105" s="49"/>
      <c r="DS105" s="49"/>
      <c r="DT105" s="49"/>
      <c r="DU105" s="49"/>
      <c r="DV105" s="49"/>
      <c r="DW105" s="49"/>
      <c r="DX105" s="49"/>
      <c r="DY105" s="49"/>
      <c r="DZ105" s="49"/>
      <c r="EA105" s="49"/>
      <c r="EB105" s="49"/>
      <c r="EC105" s="49"/>
      <c r="ED105" s="49"/>
      <c r="EE105" s="50"/>
      <c r="EF105" s="50"/>
      <c r="EG105" s="50"/>
      <c r="EH105" s="50"/>
      <c r="EI105" s="50"/>
      <c r="EJ105" s="50"/>
      <c r="EK105" s="50"/>
      <c r="EL105" s="50"/>
      <c r="EM105" s="50"/>
      <c r="EN105" s="50"/>
      <c r="EO105" s="50"/>
      <c r="EP105" s="50"/>
      <c r="EQ105" s="50"/>
      <c r="ER105" s="50"/>
      <c r="ES105" s="50"/>
      <c r="ET105" s="50"/>
      <c r="EU105" s="50"/>
      <c r="EV105" s="50"/>
      <c r="EW105" s="50"/>
      <c r="EX105" s="50"/>
      <c r="EY105" s="50"/>
      <c r="EZ105" s="50"/>
      <c r="FA105" s="50"/>
      <c r="FB105" s="50"/>
      <c r="FC105" s="50"/>
      <c r="FD105" s="50"/>
      <c r="FE105" s="50"/>
      <c r="FF105" s="50"/>
      <c r="FG105" s="50"/>
      <c r="FH105" s="50"/>
      <c r="FI105" s="50"/>
      <c r="FJ105" s="50"/>
      <c r="FK105" s="50"/>
      <c r="FL105" s="50"/>
      <c r="FM105" s="50"/>
      <c r="FN105" s="50"/>
    </row>
    <row r="106" spans="1:170" s="12" customFormat="1" ht="18" hidden="1" customHeight="1">
      <c r="A106" s="1976"/>
      <c r="B106" s="21"/>
      <c r="C106" s="17" t="s">
        <v>1090</v>
      </c>
      <c r="D106" s="17"/>
      <c r="E106" s="196"/>
      <c r="F106" s="17"/>
      <c r="G106" s="17"/>
      <c r="H106" s="17"/>
      <c r="I106" s="18" t="s">
        <v>1089</v>
      </c>
      <c r="J106" s="24"/>
      <c r="K106" s="24"/>
      <c r="L106" s="518"/>
      <c r="M106" s="470">
        <v>1.2</v>
      </c>
      <c r="N106" s="470">
        <v>1</v>
      </c>
      <c r="O106" s="470">
        <f>M106</f>
        <v>1.2</v>
      </c>
      <c r="P106" s="14">
        <v>0</v>
      </c>
      <c r="Q106" s="392">
        <v>0</v>
      </c>
      <c r="R106" s="14">
        <v>0</v>
      </c>
      <c r="S106" s="243"/>
      <c r="T106" s="89"/>
      <c r="U106" s="89"/>
      <c r="V106" s="64"/>
      <c r="W106" s="158"/>
      <c r="X106" s="158"/>
      <c r="Y106" s="64"/>
      <c r="Z106" s="158"/>
      <c r="AA106" s="158"/>
      <c r="AB106" s="65"/>
      <c r="AC106" s="89"/>
      <c r="AD106" s="89"/>
      <c r="AE106" s="7"/>
      <c r="AF106" s="7"/>
      <c r="AG106" s="7"/>
      <c r="AH106" s="7"/>
      <c r="AI106" s="7"/>
      <c r="AJ106" s="7"/>
      <c r="AK106" s="7"/>
      <c r="AL106" s="7"/>
      <c r="AM106" s="7"/>
      <c r="AN106" s="7"/>
      <c r="AO106" s="7"/>
      <c r="AP106" s="7"/>
      <c r="AQ106" s="7"/>
      <c r="AR106" s="40"/>
      <c r="AS106" s="40"/>
      <c r="AT106" s="40"/>
      <c r="AU106" s="40"/>
      <c r="AV106" s="40"/>
      <c r="AW106" s="40"/>
      <c r="AX106" s="40"/>
      <c r="AY106" s="40"/>
      <c r="AZ106" s="40"/>
      <c r="BA106" s="40"/>
      <c r="BB106" s="40"/>
      <c r="BC106" s="40"/>
      <c r="BD106" s="40"/>
      <c r="BE106" s="40"/>
      <c r="BF106" s="40"/>
      <c r="BG106" s="40"/>
      <c r="BH106" s="40"/>
      <c r="BI106" s="40"/>
      <c r="BJ106" s="40"/>
      <c r="BK106" s="40"/>
      <c r="BL106" s="40"/>
      <c r="BM106" s="40"/>
      <c r="BN106" s="40"/>
      <c r="BO106" s="40"/>
      <c r="BP106" s="40"/>
      <c r="BQ106" s="40"/>
      <c r="BR106" s="40"/>
      <c r="BS106" s="40"/>
      <c r="BT106" s="40"/>
      <c r="BU106" s="40"/>
      <c r="BV106" s="40"/>
      <c r="BW106" s="40"/>
      <c r="BX106" s="40"/>
      <c r="BY106" s="40"/>
      <c r="BZ106" s="40"/>
      <c r="CA106" s="40"/>
      <c r="CB106" s="40"/>
      <c r="CC106" s="40"/>
      <c r="CD106" s="40"/>
      <c r="CE106" s="40"/>
      <c r="CF106" s="40"/>
      <c r="CG106" s="40"/>
      <c r="CH106" s="40"/>
      <c r="CI106" s="40"/>
      <c r="CJ106" s="40"/>
      <c r="CK106" s="40"/>
      <c r="CL106" s="40"/>
      <c r="CM106" s="40"/>
      <c r="CN106" s="40"/>
      <c r="CO106" s="40"/>
      <c r="CP106" s="40"/>
      <c r="CQ106" s="40"/>
      <c r="CR106" s="40"/>
      <c r="CS106" s="40"/>
      <c r="CT106" s="40"/>
      <c r="CU106" s="40"/>
      <c r="CV106" s="40"/>
      <c r="CW106" s="40"/>
      <c r="CX106" s="40"/>
      <c r="CY106" s="40"/>
      <c r="CZ106" s="40"/>
      <c r="DA106" s="40"/>
      <c r="DB106" s="40"/>
      <c r="DC106" s="40"/>
      <c r="DD106" s="40"/>
      <c r="DE106" s="51"/>
      <c r="DF106" s="51"/>
      <c r="DG106" s="51"/>
      <c r="DH106" s="51"/>
      <c r="DI106" s="51"/>
      <c r="DJ106" s="51"/>
      <c r="DK106" s="51"/>
      <c r="DL106" s="51"/>
      <c r="DM106" s="51"/>
      <c r="DN106" s="51"/>
      <c r="DO106" s="51"/>
      <c r="DP106" s="51"/>
      <c r="DQ106" s="51"/>
      <c r="DR106" s="51"/>
      <c r="DS106" s="51"/>
      <c r="DT106" s="51"/>
      <c r="DU106" s="51"/>
      <c r="DV106" s="51"/>
      <c r="DW106" s="51"/>
      <c r="DX106" s="51"/>
      <c r="DY106" s="51"/>
      <c r="DZ106" s="51"/>
      <c r="EA106" s="51"/>
      <c r="EB106" s="51"/>
      <c r="EC106" s="51"/>
      <c r="ED106" s="51"/>
      <c r="EE106" s="40"/>
      <c r="EF106" s="40"/>
      <c r="EG106" s="40"/>
      <c r="EH106" s="40"/>
      <c r="EI106" s="40"/>
      <c r="EJ106" s="40"/>
      <c r="EK106" s="40"/>
      <c r="EL106" s="40"/>
      <c r="EM106" s="40"/>
      <c r="EN106" s="40"/>
      <c r="EO106" s="40"/>
      <c r="EP106" s="40"/>
      <c r="EQ106" s="40"/>
      <c r="ER106" s="40"/>
      <c r="ES106" s="40"/>
      <c r="ET106" s="40"/>
      <c r="EU106" s="40"/>
      <c r="EV106" s="40"/>
      <c r="EW106" s="40"/>
      <c r="EX106" s="40"/>
      <c r="EY106" s="40"/>
      <c r="EZ106" s="40"/>
      <c r="FA106" s="40"/>
      <c r="FB106" s="40"/>
      <c r="FC106" s="40"/>
      <c r="FD106" s="40"/>
      <c r="FE106" s="40"/>
      <c r="FF106" s="40"/>
      <c r="FG106" s="40"/>
      <c r="FH106" s="40"/>
      <c r="FI106" s="40"/>
      <c r="FJ106" s="40"/>
      <c r="FK106" s="40"/>
      <c r="FL106" s="40"/>
      <c r="FM106" s="40"/>
      <c r="FN106" s="40"/>
    </row>
    <row r="107" spans="1:170" s="12" customFormat="1" ht="18" hidden="1" customHeight="1">
      <c r="A107" s="1976"/>
      <c r="B107" s="21"/>
      <c r="C107" s="17" t="s">
        <v>1082</v>
      </c>
      <c r="D107" s="17"/>
      <c r="E107" s="196"/>
      <c r="F107" s="17"/>
      <c r="G107" s="17"/>
      <c r="H107" s="17"/>
      <c r="I107" s="18" t="s">
        <v>1083</v>
      </c>
      <c r="J107" s="24"/>
      <c r="K107" s="24"/>
      <c r="L107" s="518"/>
      <c r="M107" s="16">
        <v>1</v>
      </c>
      <c r="N107" s="16"/>
      <c r="O107" s="16"/>
      <c r="P107" s="14">
        <v>0</v>
      </c>
      <c r="Q107" s="392">
        <v>0</v>
      </c>
      <c r="R107" s="14">
        <v>0</v>
      </c>
      <c r="S107" s="243"/>
      <c r="T107" s="89"/>
      <c r="U107" s="89"/>
      <c r="V107" s="64"/>
      <c r="W107" s="158"/>
      <c r="X107" s="158"/>
      <c r="Y107" s="64"/>
      <c r="Z107" s="158"/>
      <c r="AA107" s="158"/>
      <c r="AB107" s="65"/>
      <c r="AC107" s="89"/>
      <c r="AD107" s="89"/>
      <c r="AE107" s="7"/>
      <c r="AF107" s="7"/>
      <c r="AG107" s="7"/>
      <c r="AH107" s="7"/>
      <c r="AI107" s="7"/>
      <c r="AJ107" s="7"/>
      <c r="AK107" s="7"/>
      <c r="AL107" s="7"/>
      <c r="AM107" s="7"/>
      <c r="AN107" s="7"/>
      <c r="AO107" s="7"/>
      <c r="AP107" s="7"/>
      <c r="AQ107" s="7"/>
      <c r="AR107" s="40"/>
      <c r="AS107" s="40"/>
      <c r="AT107" s="40"/>
      <c r="AU107" s="40"/>
      <c r="AV107" s="40"/>
      <c r="AW107" s="40"/>
      <c r="AX107" s="40"/>
      <c r="AY107" s="40"/>
      <c r="AZ107" s="40"/>
      <c r="BA107" s="40"/>
      <c r="BB107" s="40"/>
      <c r="BC107" s="40"/>
      <c r="BD107" s="40"/>
      <c r="BE107" s="40"/>
      <c r="BF107" s="40"/>
      <c r="BG107" s="40"/>
      <c r="BH107" s="40"/>
      <c r="BI107" s="40"/>
      <c r="BJ107" s="40"/>
      <c r="BK107" s="40"/>
      <c r="BL107" s="40"/>
      <c r="BM107" s="40"/>
      <c r="BN107" s="40"/>
      <c r="BO107" s="40"/>
      <c r="BP107" s="40"/>
      <c r="BQ107" s="40"/>
      <c r="BR107" s="40"/>
      <c r="BS107" s="40"/>
      <c r="BT107" s="40"/>
      <c r="BU107" s="40"/>
      <c r="BV107" s="40"/>
      <c r="BW107" s="40"/>
      <c r="BX107" s="40"/>
      <c r="BY107" s="40"/>
      <c r="BZ107" s="40"/>
      <c r="CA107" s="40"/>
      <c r="CB107" s="40"/>
      <c r="CC107" s="40"/>
      <c r="CD107" s="40"/>
      <c r="CE107" s="40"/>
      <c r="CF107" s="40"/>
      <c r="CG107" s="40"/>
      <c r="CH107" s="40"/>
      <c r="CI107" s="40"/>
      <c r="CJ107" s="40"/>
      <c r="CK107" s="40"/>
      <c r="CL107" s="40"/>
      <c r="CM107" s="40"/>
      <c r="CN107" s="40"/>
      <c r="CO107" s="40"/>
      <c r="CP107" s="40"/>
      <c r="CQ107" s="40"/>
      <c r="CR107" s="40"/>
      <c r="CS107" s="40"/>
      <c r="CT107" s="40"/>
      <c r="CU107" s="40"/>
      <c r="CV107" s="40"/>
      <c r="CW107" s="40"/>
      <c r="CX107" s="40"/>
      <c r="CY107" s="40"/>
      <c r="CZ107" s="40"/>
      <c r="DA107" s="40"/>
      <c r="DB107" s="40"/>
      <c r="DC107" s="40"/>
      <c r="DD107" s="40"/>
      <c r="DE107" s="51"/>
      <c r="DF107" s="51"/>
      <c r="DG107" s="51"/>
      <c r="DH107" s="51"/>
      <c r="DI107" s="51"/>
      <c r="DJ107" s="51"/>
      <c r="DK107" s="51"/>
      <c r="DL107" s="51"/>
      <c r="DM107" s="51"/>
      <c r="DN107" s="51"/>
      <c r="DO107" s="51"/>
      <c r="DP107" s="51"/>
      <c r="DQ107" s="51"/>
      <c r="DR107" s="51"/>
      <c r="DS107" s="51"/>
      <c r="DT107" s="51"/>
      <c r="DU107" s="51"/>
      <c r="DV107" s="51"/>
      <c r="DW107" s="51"/>
      <c r="DX107" s="51"/>
      <c r="DY107" s="51"/>
      <c r="DZ107" s="51"/>
      <c r="EA107" s="51"/>
      <c r="EB107" s="51"/>
      <c r="EC107" s="51"/>
      <c r="ED107" s="51"/>
      <c r="EE107" s="40"/>
      <c r="EF107" s="40"/>
      <c r="EG107" s="40"/>
      <c r="EH107" s="40"/>
      <c r="EI107" s="40"/>
      <c r="EJ107" s="40"/>
      <c r="EK107" s="40"/>
      <c r="EL107" s="40"/>
      <c r="EM107" s="40"/>
      <c r="EN107" s="40"/>
      <c r="EO107" s="40"/>
      <c r="EP107" s="40"/>
      <c r="EQ107" s="40"/>
      <c r="ER107" s="40"/>
      <c r="ES107" s="40"/>
      <c r="ET107" s="40"/>
      <c r="EU107" s="40"/>
      <c r="EV107" s="40"/>
      <c r="EW107" s="40"/>
      <c r="EX107" s="40"/>
      <c r="EY107" s="40"/>
      <c r="EZ107" s="40"/>
      <c r="FA107" s="40"/>
      <c r="FB107" s="40"/>
      <c r="FC107" s="40"/>
      <c r="FD107" s="40"/>
      <c r="FE107" s="40"/>
      <c r="FF107" s="40"/>
      <c r="FG107" s="40"/>
      <c r="FH107" s="40"/>
      <c r="FI107" s="40"/>
      <c r="FJ107" s="40"/>
      <c r="FK107" s="40"/>
      <c r="FL107" s="40"/>
      <c r="FM107" s="40"/>
      <c r="FN107" s="40"/>
    </row>
    <row r="108" spans="1:170" s="8" customFormat="1" ht="18" hidden="1" customHeight="1">
      <c r="A108" s="1976"/>
      <c r="B108" s="21"/>
      <c r="C108" s="14" t="str">
        <f>Begriffe!F78</f>
        <v>Minimale Volllaststundenzahl</v>
      </c>
      <c r="D108" s="13"/>
      <c r="E108" s="97"/>
      <c r="F108" s="13"/>
      <c r="G108" s="13"/>
      <c r="H108" s="13"/>
      <c r="I108" s="96" t="s">
        <v>550</v>
      </c>
      <c r="J108" s="103" t="s">
        <v>15</v>
      </c>
      <c r="K108" s="103"/>
      <c r="L108" s="99"/>
      <c r="M108" s="99">
        <f>MIN(11,2*M97*M98*M100*MAX(M102,M104)*M105*M106*M107)</f>
        <v>7.6032000000000011</v>
      </c>
      <c r="N108" s="99">
        <f>MIN(11,2*N97*N98*M100*MAX(M102,M104)*N105*N106*M107)</f>
        <v>2.4000000000000004</v>
      </c>
      <c r="O108" s="99">
        <f>MIN(11,2*O97*O98*M100*MAX(M102,M104)*O105*O106*M107)</f>
        <v>7.6032000000000011</v>
      </c>
      <c r="P108" s="14">
        <v>1</v>
      </c>
      <c r="Q108" s="392"/>
      <c r="R108" s="14">
        <v>0</v>
      </c>
      <c r="S108" s="243"/>
      <c r="T108" s="89"/>
      <c r="U108" s="89"/>
      <c r="V108" s="64"/>
      <c r="W108" s="158"/>
      <c r="X108" s="158"/>
      <c r="Y108" s="64"/>
      <c r="Z108" s="158"/>
      <c r="AA108" s="158"/>
      <c r="AB108" s="65"/>
      <c r="AC108" s="89"/>
      <c r="AD108" s="89"/>
      <c r="AE108" s="7"/>
      <c r="AF108" s="7"/>
      <c r="AG108" s="7"/>
      <c r="AH108" s="7"/>
      <c r="AI108" s="7"/>
      <c r="AJ108" s="7"/>
      <c r="AK108" s="7"/>
      <c r="AL108" s="7"/>
      <c r="AM108" s="7"/>
      <c r="AN108" s="7"/>
      <c r="AO108" s="7"/>
      <c r="AP108" s="83"/>
      <c r="AQ108" s="83"/>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0"/>
      <c r="CA108" s="50"/>
      <c r="CB108" s="50"/>
      <c r="CC108" s="50"/>
      <c r="CD108" s="50"/>
      <c r="CE108" s="50"/>
      <c r="CF108" s="50"/>
      <c r="CG108" s="50"/>
      <c r="CH108" s="50"/>
      <c r="CI108" s="50"/>
      <c r="CJ108" s="50"/>
      <c r="CK108" s="50"/>
      <c r="CL108" s="50"/>
      <c r="CM108" s="50"/>
      <c r="CN108" s="50"/>
      <c r="CO108" s="50"/>
      <c r="CP108" s="50"/>
      <c r="CQ108" s="50"/>
      <c r="CR108" s="50"/>
      <c r="CS108" s="50"/>
      <c r="CT108" s="50"/>
      <c r="CU108" s="50"/>
      <c r="CV108" s="50"/>
      <c r="CW108" s="50"/>
      <c r="CX108" s="50"/>
      <c r="CY108" s="50"/>
      <c r="CZ108" s="50"/>
      <c r="DA108" s="50"/>
      <c r="DB108" s="50"/>
      <c r="DC108" s="50"/>
      <c r="DD108" s="50"/>
      <c r="DE108" s="49"/>
      <c r="DF108" s="49"/>
      <c r="DG108" s="49"/>
      <c r="DH108" s="49"/>
      <c r="DI108" s="49"/>
      <c r="DJ108" s="49"/>
      <c r="DK108" s="49"/>
      <c r="DL108" s="49"/>
      <c r="DM108" s="49"/>
      <c r="DN108" s="49"/>
      <c r="DO108" s="49"/>
      <c r="DP108" s="49"/>
      <c r="DQ108" s="49"/>
      <c r="DR108" s="49"/>
      <c r="DS108" s="49"/>
      <c r="DT108" s="49"/>
      <c r="DU108" s="49"/>
      <c r="DV108" s="49"/>
      <c r="DW108" s="49"/>
      <c r="DX108" s="49"/>
      <c r="DY108" s="49"/>
      <c r="DZ108" s="49"/>
      <c r="EA108" s="49"/>
      <c r="EB108" s="49"/>
      <c r="EC108" s="49"/>
      <c r="ED108" s="49"/>
      <c r="EE108" s="50"/>
      <c r="EF108" s="50"/>
      <c r="EG108" s="50"/>
      <c r="EH108" s="50"/>
      <c r="EI108" s="50"/>
      <c r="EJ108" s="50"/>
      <c r="EK108" s="50"/>
      <c r="EL108" s="50"/>
      <c r="EM108" s="50"/>
      <c r="EN108" s="50"/>
      <c r="EO108" s="50"/>
      <c r="EP108" s="50"/>
      <c r="EQ108" s="50"/>
      <c r="ER108" s="50"/>
      <c r="ES108" s="50"/>
      <c r="ET108" s="50"/>
      <c r="EU108" s="50"/>
      <c r="EV108" s="50"/>
      <c r="EW108" s="50"/>
      <c r="EX108" s="50"/>
      <c r="EY108" s="50"/>
      <c r="EZ108" s="50"/>
      <c r="FA108" s="50"/>
      <c r="FB108" s="50"/>
      <c r="FC108" s="50"/>
      <c r="FD108" s="50"/>
      <c r="FE108" s="50"/>
      <c r="FF108" s="50"/>
      <c r="FG108" s="50"/>
      <c r="FH108" s="50"/>
      <c r="FI108" s="50"/>
      <c r="FJ108" s="50"/>
      <c r="FK108" s="50"/>
      <c r="FL108" s="50"/>
      <c r="FM108" s="50"/>
      <c r="FN108" s="50"/>
    </row>
    <row r="109" spans="1:170" s="8" customFormat="1" ht="16.5" hidden="1" customHeight="1">
      <c r="A109" s="1976"/>
      <c r="B109" s="91"/>
      <c r="C109" s="14" t="str">
        <f>Begriffe!F115</f>
        <v>Volllaststunden pro 11h Tag</v>
      </c>
      <c r="D109" s="13"/>
      <c r="E109" s="97"/>
      <c r="F109" s="13"/>
      <c r="G109" s="13"/>
      <c r="H109" s="13"/>
      <c r="I109" s="722" t="s">
        <v>538</v>
      </c>
      <c r="J109" s="103" t="s">
        <v>15</v>
      </c>
      <c r="K109" s="103"/>
      <c r="L109" s="99"/>
      <c r="M109" s="99">
        <f>IF(M95&gt;M96,M108,0.5*((11-M108)*COS(3.14*$M95/M96)+(11+M108)))</f>
        <v>7.693212488302148</v>
      </c>
      <c r="N109" s="99">
        <f>IF(M95&gt;M96,N108,0.5*((11-N108)*COS(3.14*$M95/M96)+(11+N108)))</f>
        <v>2.6278931345379366</v>
      </c>
      <c r="O109" s="99">
        <f>IF(M95&gt;M96,O108,0.5*((11-O108)*COS(3.14*$M95/M96)+(11+O108)))</f>
        <v>7.693212488302148</v>
      </c>
      <c r="P109" s="14">
        <v>1</v>
      </c>
      <c r="Q109" s="392"/>
      <c r="R109" s="14">
        <v>0</v>
      </c>
      <c r="S109" s="243"/>
      <c r="T109" s="89"/>
      <c r="U109" s="89"/>
      <c r="V109" s="64"/>
      <c r="W109" s="158"/>
      <c r="X109" s="158"/>
      <c r="Y109" s="64"/>
      <c r="Z109" s="158"/>
      <c r="AA109" s="158"/>
      <c r="AB109" s="65"/>
      <c r="AC109" s="89"/>
      <c r="AD109" s="89"/>
      <c r="AE109" s="7"/>
      <c r="AF109" s="7"/>
      <c r="AG109" s="7"/>
      <c r="AH109" s="7"/>
      <c r="AI109" s="7"/>
      <c r="AJ109" s="7"/>
      <c r="AK109" s="7"/>
      <c r="AL109" s="7"/>
      <c r="AM109" s="7"/>
      <c r="AN109" s="7"/>
      <c r="AO109" s="7"/>
      <c r="AP109" s="83"/>
      <c r="AQ109" s="83"/>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0"/>
      <c r="CA109" s="50"/>
      <c r="CB109" s="50"/>
      <c r="CC109" s="50"/>
      <c r="CD109" s="50"/>
      <c r="CE109" s="50"/>
      <c r="CF109" s="50"/>
      <c r="CG109" s="50"/>
      <c r="CH109" s="50"/>
      <c r="CI109" s="50"/>
      <c r="CJ109" s="50"/>
      <c r="CK109" s="50"/>
      <c r="CL109" s="50"/>
      <c r="CM109" s="50"/>
      <c r="CN109" s="50"/>
      <c r="CO109" s="50"/>
      <c r="CP109" s="50"/>
      <c r="CQ109" s="50"/>
      <c r="CR109" s="50"/>
      <c r="CS109" s="50"/>
      <c r="CT109" s="50"/>
      <c r="CU109" s="50"/>
      <c r="CV109" s="50"/>
      <c r="CW109" s="50"/>
      <c r="CX109" s="50"/>
      <c r="CY109" s="50"/>
      <c r="CZ109" s="50"/>
      <c r="DA109" s="50"/>
      <c r="DB109" s="50"/>
      <c r="DC109" s="50"/>
      <c r="DD109" s="50"/>
      <c r="DE109" s="49"/>
      <c r="DF109" s="49"/>
      <c r="DG109" s="49"/>
      <c r="DH109" s="49"/>
      <c r="DI109" s="49"/>
      <c r="DJ109" s="49"/>
      <c r="DK109" s="49"/>
      <c r="DL109" s="49"/>
      <c r="DM109" s="49"/>
      <c r="DN109" s="49"/>
      <c r="DO109" s="49"/>
      <c r="DP109" s="49"/>
      <c r="DQ109" s="49"/>
      <c r="DR109" s="49"/>
      <c r="DS109" s="49"/>
      <c r="DT109" s="49"/>
      <c r="DU109" s="49"/>
      <c r="DV109" s="49"/>
      <c r="DW109" s="49"/>
      <c r="DX109" s="49"/>
      <c r="DY109" s="49"/>
      <c r="DZ109" s="49"/>
      <c r="EA109" s="49"/>
      <c r="EB109" s="49"/>
      <c r="EC109" s="49"/>
      <c r="ED109" s="49"/>
      <c r="EE109" s="50"/>
      <c r="EF109" s="50"/>
      <c r="EG109" s="50"/>
      <c r="EH109" s="50"/>
      <c r="EI109" s="50"/>
      <c r="EJ109" s="50"/>
      <c r="EK109" s="50"/>
      <c r="EL109" s="50"/>
      <c r="EM109" s="50"/>
      <c r="EN109" s="50"/>
      <c r="EO109" s="50"/>
      <c r="EP109" s="50"/>
      <c r="EQ109" s="50"/>
      <c r="ER109" s="50"/>
      <c r="ES109" s="50"/>
      <c r="ET109" s="50"/>
      <c r="EU109" s="50"/>
      <c r="EV109" s="50"/>
      <c r="EW109" s="50"/>
      <c r="EX109" s="50"/>
      <c r="EY109" s="50"/>
      <c r="EZ109" s="50"/>
      <c r="FA109" s="50"/>
      <c r="FB109" s="50"/>
      <c r="FC109" s="50"/>
      <c r="FD109" s="50"/>
      <c r="FE109" s="50"/>
      <c r="FF109" s="50"/>
      <c r="FG109" s="50"/>
      <c r="FH109" s="50"/>
      <c r="FI109" s="50"/>
      <c r="FJ109" s="50"/>
      <c r="FK109" s="50"/>
      <c r="FL109" s="50"/>
      <c r="FM109" s="50"/>
      <c r="FN109" s="50"/>
    </row>
    <row r="110" spans="1:170" s="8" customFormat="1" ht="12.75" hidden="1" customHeight="1">
      <c r="A110" s="1976"/>
      <c r="B110" s="91"/>
      <c r="C110" s="17" t="s">
        <v>551</v>
      </c>
      <c r="D110" s="17"/>
      <c r="E110" s="196"/>
      <c r="F110" s="17"/>
      <c r="G110" s="17"/>
      <c r="H110" s="17"/>
      <c r="I110" s="18" t="s">
        <v>552</v>
      </c>
      <c r="J110" s="24" t="s">
        <v>15</v>
      </c>
      <c r="K110" s="24"/>
      <c r="L110" s="16"/>
      <c r="M110" s="199">
        <f>MIN(11,0*M97*M98*M100*M102*M105*M104*M107)</f>
        <v>0</v>
      </c>
      <c r="N110" s="199">
        <f>MIN(11,0*N97*N98*N100*N102*N105*N104*N107)</f>
        <v>0</v>
      </c>
      <c r="O110" s="199">
        <f>MIN(11,0*O97*O98*O100*O102*O105*O104*O107)</f>
        <v>0</v>
      </c>
      <c r="P110" s="14"/>
      <c r="Q110" s="392"/>
      <c r="R110" s="14"/>
      <c r="S110" s="243"/>
      <c r="T110" s="89"/>
      <c r="U110" s="89"/>
      <c r="V110" s="64"/>
      <c r="W110" s="158"/>
      <c r="X110" s="158"/>
      <c r="Y110" s="64"/>
      <c r="Z110" s="158"/>
      <c r="AA110" s="158"/>
      <c r="AB110" s="65"/>
      <c r="AC110" s="89"/>
      <c r="AD110" s="89"/>
      <c r="AE110" s="7"/>
      <c r="AF110" s="7"/>
      <c r="AG110" s="7"/>
      <c r="AH110" s="7"/>
      <c r="AI110" s="7"/>
      <c r="AJ110" s="7"/>
      <c r="AK110" s="7"/>
      <c r="AL110" s="7"/>
      <c r="AM110" s="7"/>
      <c r="AN110" s="7"/>
      <c r="AO110" s="7"/>
      <c r="AP110" s="83"/>
      <c r="AQ110" s="83"/>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0"/>
      <c r="CA110" s="50"/>
      <c r="CB110" s="50"/>
      <c r="CC110" s="50"/>
      <c r="CD110" s="50"/>
      <c r="CE110" s="50"/>
      <c r="CF110" s="50"/>
      <c r="CG110" s="50"/>
      <c r="CH110" s="50"/>
      <c r="CI110" s="50"/>
      <c r="CJ110" s="50"/>
      <c r="CK110" s="50"/>
      <c r="CL110" s="50"/>
      <c r="CM110" s="50"/>
      <c r="CN110" s="50"/>
      <c r="CO110" s="50"/>
      <c r="CP110" s="50"/>
      <c r="CQ110" s="50"/>
      <c r="CR110" s="50"/>
      <c r="CS110" s="50"/>
      <c r="CT110" s="50"/>
      <c r="CU110" s="50"/>
      <c r="CV110" s="50"/>
      <c r="CW110" s="50"/>
      <c r="CX110" s="50"/>
      <c r="CY110" s="50"/>
      <c r="CZ110" s="50"/>
      <c r="DA110" s="50"/>
      <c r="DB110" s="50"/>
      <c r="DC110" s="50"/>
      <c r="DD110" s="50"/>
      <c r="DE110" s="49"/>
      <c r="DF110" s="49"/>
      <c r="DG110" s="49"/>
      <c r="DH110" s="49"/>
      <c r="DI110" s="49"/>
      <c r="DJ110" s="49"/>
      <c r="DK110" s="49"/>
      <c r="DL110" s="49"/>
      <c r="DM110" s="49"/>
      <c r="DN110" s="49"/>
      <c r="DO110" s="49"/>
      <c r="DP110" s="49"/>
      <c r="DQ110" s="49"/>
      <c r="DR110" s="49"/>
      <c r="DS110" s="49"/>
      <c r="DT110" s="49"/>
      <c r="DU110" s="49"/>
      <c r="DV110" s="49"/>
      <c r="DW110" s="49"/>
      <c r="DX110" s="49"/>
      <c r="DY110" s="49"/>
      <c r="DZ110" s="49"/>
      <c r="EA110" s="49"/>
      <c r="EB110" s="49"/>
      <c r="EC110" s="49"/>
      <c r="ED110" s="49"/>
      <c r="EE110" s="50"/>
      <c r="EF110" s="50"/>
      <c r="EG110" s="50"/>
      <c r="EH110" s="50"/>
      <c r="EI110" s="50"/>
      <c r="EJ110" s="50"/>
      <c r="EK110" s="50"/>
      <c r="EL110" s="50"/>
      <c r="EM110" s="50"/>
      <c r="EN110" s="50"/>
      <c r="EO110" s="50"/>
      <c r="EP110" s="50"/>
      <c r="EQ110" s="50"/>
      <c r="ER110" s="50"/>
      <c r="ES110" s="50"/>
      <c r="ET110" s="50"/>
      <c r="EU110" s="50"/>
      <c r="EV110" s="50"/>
      <c r="EW110" s="50"/>
      <c r="EX110" s="50"/>
      <c r="EY110" s="50"/>
      <c r="EZ110" s="50"/>
      <c r="FA110" s="50"/>
      <c r="FB110" s="50"/>
      <c r="FC110" s="50"/>
      <c r="FD110" s="50"/>
      <c r="FE110" s="50"/>
      <c r="FF110" s="50"/>
      <c r="FG110" s="50"/>
      <c r="FH110" s="50"/>
      <c r="FI110" s="50"/>
      <c r="FJ110" s="50"/>
      <c r="FK110" s="50"/>
      <c r="FL110" s="50"/>
      <c r="FM110" s="50"/>
      <c r="FN110" s="50"/>
    </row>
    <row r="111" spans="1:170" s="8" customFormat="1" ht="12.75" hidden="1" customHeight="1">
      <c r="A111" s="1976"/>
      <c r="B111" s="91"/>
      <c r="C111" s="17" t="s">
        <v>553</v>
      </c>
      <c r="D111" s="17"/>
      <c r="E111" s="196"/>
      <c r="F111" s="17"/>
      <c r="G111" s="17"/>
      <c r="H111" s="17"/>
      <c r="I111" s="481" t="s">
        <v>554</v>
      </c>
      <c r="J111" s="24" t="s">
        <v>15</v>
      </c>
      <c r="K111" s="24"/>
      <c r="L111" s="16"/>
      <c r="M111" s="16">
        <f>0.5*((11-M110)*COS(3.14*M95/M96)+(11+M110))</f>
        <v>0.29149121859503424</v>
      </c>
      <c r="N111" s="16">
        <f>0.5*((11-M110)*COS(3.14*M95/M96)+(11+M110))</f>
        <v>0.29149121859503424</v>
      </c>
      <c r="O111" s="16">
        <f>0.5*((11-M110)*COS(3.14*M95/M96)+(11+M110))</f>
        <v>0.29149121859503424</v>
      </c>
      <c r="P111" s="14"/>
      <c r="Q111" s="392"/>
      <c r="R111" s="14"/>
      <c r="S111" s="243"/>
      <c r="T111" s="89"/>
      <c r="U111" s="89"/>
      <c r="V111" s="64"/>
      <c r="W111" s="158"/>
      <c r="X111" s="158"/>
      <c r="Y111" s="64"/>
      <c r="Z111" s="158"/>
      <c r="AA111" s="158"/>
      <c r="AB111" s="65"/>
      <c r="AC111" s="89"/>
      <c r="AD111" s="89"/>
      <c r="AE111" s="7"/>
      <c r="AF111" s="7"/>
      <c r="AG111" s="7"/>
      <c r="AH111" s="7"/>
      <c r="AI111" s="7"/>
      <c r="AJ111" s="7"/>
      <c r="AK111" s="7"/>
      <c r="AL111" s="7"/>
      <c r="AM111" s="7"/>
      <c r="AN111" s="7"/>
      <c r="AO111" s="7"/>
      <c r="AP111" s="83"/>
      <c r="AQ111" s="83"/>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0"/>
      <c r="CA111" s="50"/>
      <c r="CB111" s="50"/>
      <c r="CC111" s="50"/>
      <c r="CD111" s="50"/>
      <c r="CE111" s="50"/>
      <c r="CF111" s="50"/>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49"/>
      <c r="DF111" s="49"/>
      <c r="DG111" s="49"/>
      <c r="DH111" s="49"/>
      <c r="DI111" s="49"/>
      <c r="DJ111" s="49"/>
      <c r="DK111" s="49"/>
      <c r="DL111" s="49"/>
      <c r="DM111" s="49"/>
      <c r="DN111" s="49"/>
      <c r="DO111" s="49"/>
      <c r="DP111" s="49"/>
      <c r="DQ111" s="49"/>
      <c r="DR111" s="49"/>
      <c r="DS111" s="49"/>
      <c r="DT111" s="49"/>
      <c r="DU111" s="49"/>
      <c r="DV111" s="49"/>
      <c r="DW111" s="49"/>
      <c r="DX111" s="49"/>
      <c r="DY111" s="49"/>
      <c r="DZ111" s="49"/>
      <c r="EA111" s="49"/>
      <c r="EB111" s="49"/>
      <c r="EC111" s="49"/>
      <c r="ED111" s="49"/>
      <c r="EE111" s="50"/>
      <c r="EF111" s="50"/>
      <c r="EG111" s="50"/>
      <c r="EH111" s="50"/>
      <c r="EI111" s="50"/>
      <c r="EJ111" s="50"/>
      <c r="EK111" s="50"/>
      <c r="EL111" s="50"/>
      <c r="EM111" s="50"/>
      <c r="EN111" s="50"/>
      <c r="EO111" s="50"/>
      <c r="EP111" s="50"/>
      <c r="EQ111" s="50"/>
      <c r="ER111" s="50"/>
      <c r="ES111" s="50"/>
      <c r="ET111" s="50"/>
      <c r="EU111" s="50"/>
      <c r="EV111" s="50"/>
      <c r="EW111" s="50"/>
      <c r="EX111" s="50"/>
      <c r="EY111" s="50"/>
      <c r="EZ111" s="50"/>
      <c r="FA111" s="50"/>
      <c r="FB111" s="50"/>
      <c r="FC111" s="50"/>
      <c r="FD111" s="50"/>
      <c r="FE111" s="50"/>
      <c r="FF111" s="50"/>
      <c r="FG111" s="50"/>
      <c r="FH111" s="50"/>
      <c r="FI111" s="50"/>
      <c r="FJ111" s="50"/>
      <c r="FK111" s="50"/>
      <c r="FL111" s="50"/>
      <c r="FM111" s="50"/>
      <c r="FN111" s="50"/>
    </row>
    <row r="112" spans="1:170" s="8" customFormat="1" ht="12.75" hidden="1" customHeight="1">
      <c r="A112" s="1976"/>
      <c r="B112" s="91"/>
      <c r="C112" s="17"/>
      <c r="D112" s="17"/>
      <c r="E112" s="196"/>
      <c r="F112" s="17"/>
      <c r="G112" s="17"/>
      <c r="H112" s="17"/>
      <c r="I112" s="481"/>
      <c r="J112" s="24"/>
      <c r="K112" s="24"/>
      <c r="L112" s="16"/>
      <c r="M112" s="16"/>
      <c r="N112" s="16"/>
      <c r="O112" s="16"/>
      <c r="P112" s="14"/>
      <c r="Q112" s="392"/>
      <c r="R112" s="14"/>
      <c r="S112" s="243"/>
      <c r="T112" s="89"/>
      <c r="U112" s="89"/>
      <c r="V112" s="64"/>
      <c r="W112" s="158"/>
      <c r="X112" s="158"/>
      <c r="Y112" s="64"/>
      <c r="Z112" s="158"/>
      <c r="AA112" s="158"/>
      <c r="AB112" s="65"/>
      <c r="AC112" s="89"/>
      <c r="AD112" s="89"/>
      <c r="AE112" s="7"/>
      <c r="AF112" s="7"/>
      <c r="AG112" s="7"/>
      <c r="AH112" s="7"/>
      <c r="AI112" s="7"/>
      <c r="AJ112" s="7"/>
      <c r="AK112" s="7"/>
      <c r="AL112" s="7"/>
      <c r="AM112" s="7"/>
      <c r="AN112" s="7"/>
      <c r="AO112" s="7"/>
      <c r="AP112" s="83"/>
      <c r="AQ112" s="83"/>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0"/>
      <c r="CA112" s="50"/>
      <c r="CB112" s="50"/>
      <c r="CC112" s="50"/>
      <c r="CD112" s="50"/>
      <c r="CE112" s="50"/>
      <c r="CF112" s="50"/>
      <c r="CG112" s="50"/>
      <c r="CH112" s="50"/>
      <c r="CI112" s="50"/>
      <c r="CJ112" s="50"/>
      <c r="CK112" s="50"/>
      <c r="CL112" s="50"/>
      <c r="CM112" s="50"/>
      <c r="CN112" s="50"/>
      <c r="CO112" s="50"/>
      <c r="CP112" s="50"/>
      <c r="CQ112" s="50"/>
      <c r="CR112" s="50"/>
      <c r="CS112" s="50"/>
      <c r="CT112" s="50"/>
      <c r="CU112" s="50"/>
      <c r="CV112" s="50"/>
      <c r="CW112" s="50"/>
      <c r="CX112" s="50"/>
      <c r="CY112" s="50"/>
      <c r="CZ112" s="50"/>
      <c r="DA112" s="50"/>
      <c r="DB112" s="50"/>
      <c r="DC112" s="50"/>
      <c r="DD112" s="50"/>
      <c r="DE112" s="49"/>
      <c r="DF112" s="49"/>
      <c r="DG112" s="49"/>
      <c r="DH112" s="49"/>
      <c r="DI112" s="49"/>
      <c r="DJ112" s="49"/>
      <c r="DK112" s="49"/>
      <c r="DL112" s="49"/>
      <c r="DM112" s="49"/>
      <c r="DN112" s="49"/>
      <c r="DO112" s="49"/>
      <c r="DP112" s="49"/>
      <c r="DQ112" s="49"/>
      <c r="DR112" s="49"/>
      <c r="DS112" s="49"/>
      <c r="DT112" s="49"/>
      <c r="DU112" s="49"/>
      <c r="DV112" s="49"/>
      <c r="DW112" s="49"/>
      <c r="DX112" s="49"/>
      <c r="DY112" s="49"/>
      <c r="DZ112" s="49"/>
      <c r="EA112" s="49"/>
      <c r="EB112" s="49"/>
      <c r="EC112" s="49"/>
      <c r="ED112" s="49"/>
      <c r="EE112" s="50"/>
      <c r="EF112" s="50"/>
      <c r="EG112" s="50"/>
      <c r="EH112" s="50"/>
      <c r="EI112" s="50"/>
      <c r="EJ112" s="50"/>
      <c r="EK112" s="50"/>
      <c r="EL112" s="50"/>
      <c r="EM112" s="50"/>
      <c r="EN112" s="50"/>
      <c r="EO112" s="50"/>
      <c r="EP112" s="50"/>
      <c r="EQ112" s="50"/>
      <c r="ER112" s="50"/>
      <c r="ES112" s="50"/>
      <c r="ET112" s="50"/>
      <c r="EU112" s="50"/>
      <c r="EV112" s="50"/>
      <c r="EW112" s="50"/>
      <c r="EX112" s="50"/>
      <c r="EY112" s="50"/>
      <c r="EZ112" s="50"/>
      <c r="FA112" s="50"/>
      <c r="FB112" s="50"/>
      <c r="FC112" s="50"/>
      <c r="FD112" s="50"/>
      <c r="FE112" s="50"/>
      <c r="FF112" s="50"/>
      <c r="FG112" s="50"/>
      <c r="FH112" s="50"/>
      <c r="FI112" s="50"/>
      <c r="FJ112" s="50"/>
      <c r="FK112" s="50"/>
      <c r="FL112" s="50"/>
      <c r="FM112" s="50"/>
      <c r="FN112" s="50"/>
    </row>
    <row r="113" spans="1:170" s="8" customFormat="1" ht="12.75" hidden="1" customHeight="1">
      <c r="A113" s="1976"/>
      <c r="B113" s="91"/>
      <c r="C113" s="721" t="s">
        <v>1072</v>
      </c>
      <c r="D113" s="17"/>
      <c r="E113" s="196"/>
      <c r="F113" s="17"/>
      <c r="G113" s="17"/>
      <c r="H113" s="17"/>
      <c r="I113" s="481"/>
      <c r="J113" s="24"/>
      <c r="K113" s="24"/>
      <c r="L113" s="16"/>
      <c r="M113" s="16"/>
      <c r="N113" s="16"/>
      <c r="O113" s="16"/>
      <c r="P113" s="14"/>
      <c r="Q113" s="392"/>
      <c r="R113" s="14"/>
      <c r="S113" s="243"/>
      <c r="T113" s="89"/>
      <c r="U113" s="89"/>
      <c r="V113" s="64"/>
      <c r="W113" s="158"/>
      <c r="X113" s="158"/>
      <c r="Y113" s="64"/>
      <c r="Z113" s="158"/>
      <c r="AA113" s="158"/>
      <c r="AB113" s="65"/>
      <c r="AC113" s="89"/>
      <c r="AD113" s="89"/>
      <c r="AE113" s="7"/>
      <c r="AF113" s="7"/>
      <c r="AG113" s="7"/>
      <c r="AH113" s="7"/>
      <c r="AI113" s="7"/>
      <c r="AJ113" s="7"/>
      <c r="AK113" s="7"/>
      <c r="AL113" s="7"/>
      <c r="AM113" s="7"/>
      <c r="AN113" s="7"/>
      <c r="AO113" s="7"/>
      <c r="AP113" s="83"/>
      <c r="AQ113" s="83"/>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0"/>
      <c r="CA113" s="50"/>
      <c r="CB113" s="50"/>
      <c r="CC113" s="50"/>
      <c r="CD113" s="50"/>
      <c r="CE113" s="50"/>
      <c r="CF113" s="50"/>
      <c r="CG113" s="50"/>
      <c r="CH113" s="50"/>
      <c r="CI113" s="50"/>
      <c r="CJ113" s="50"/>
      <c r="CK113" s="50"/>
      <c r="CL113" s="50"/>
      <c r="CM113" s="50"/>
      <c r="CN113" s="50"/>
      <c r="CO113" s="50"/>
      <c r="CP113" s="50"/>
      <c r="CQ113" s="50"/>
      <c r="CR113" s="50"/>
      <c r="CS113" s="50"/>
      <c r="CT113" s="50"/>
      <c r="CU113" s="50"/>
      <c r="CV113" s="50"/>
      <c r="CW113" s="50"/>
      <c r="CX113" s="50"/>
      <c r="CY113" s="50"/>
      <c r="CZ113" s="50"/>
      <c r="DA113" s="50"/>
      <c r="DB113" s="50"/>
      <c r="DC113" s="50"/>
      <c r="DD113" s="50"/>
      <c r="DE113" s="49"/>
      <c r="DF113" s="49"/>
      <c r="DG113" s="49"/>
      <c r="DH113" s="49"/>
      <c r="DI113" s="49"/>
      <c r="DJ113" s="49"/>
      <c r="DK113" s="49"/>
      <c r="DL113" s="49"/>
      <c r="DM113" s="49"/>
      <c r="DN113" s="49"/>
      <c r="DO113" s="49"/>
      <c r="DP113" s="49"/>
      <c r="DQ113" s="49"/>
      <c r="DR113" s="49"/>
      <c r="DS113" s="49"/>
      <c r="DT113" s="49"/>
      <c r="DU113" s="49"/>
      <c r="DV113" s="49"/>
      <c r="DW113" s="49"/>
      <c r="DX113" s="49"/>
      <c r="DY113" s="49"/>
      <c r="DZ113" s="49"/>
      <c r="EA113" s="49"/>
      <c r="EB113" s="49"/>
      <c r="EC113" s="49"/>
      <c r="ED113" s="49"/>
      <c r="EE113" s="50"/>
      <c r="EF113" s="50"/>
      <c r="EG113" s="50"/>
      <c r="EH113" s="50"/>
      <c r="EI113" s="50"/>
      <c r="EJ113" s="50"/>
      <c r="EK113" s="50"/>
      <c r="EL113" s="50"/>
      <c r="EM113" s="50"/>
      <c r="EN113" s="50"/>
      <c r="EO113" s="50"/>
      <c r="EP113" s="50"/>
      <c r="EQ113" s="50"/>
      <c r="ER113" s="50"/>
      <c r="ES113" s="50"/>
      <c r="ET113" s="50"/>
      <c r="EU113" s="50"/>
      <c r="EV113" s="50"/>
      <c r="EW113" s="50"/>
      <c r="EX113" s="50"/>
      <c r="EY113" s="50"/>
      <c r="EZ113" s="50"/>
      <c r="FA113" s="50"/>
      <c r="FB113" s="50"/>
      <c r="FC113" s="50"/>
      <c r="FD113" s="50"/>
      <c r="FE113" s="50"/>
      <c r="FF113" s="50"/>
      <c r="FG113" s="50"/>
      <c r="FH113" s="50"/>
      <c r="FI113" s="50"/>
      <c r="FJ113" s="50"/>
      <c r="FK113" s="50"/>
      <c r="FL113" s="50"/>
      <c r="FM113" s="50"/>
      <c r="FN113" s="50"/>
    </row>
    <row r="114" spans="1:170" s="8" customFormat="1" ht="18.75" customHeight="1">
      <c r="A114" s="1976"/>
      <c r="B114" s="204"/>
      <c r="C114" s="14" t="str">
        <f>Begriffe!F83</f>
        <v>Nutzungsstunden pro Tag</v>
      </c>
      <c r="D114" s="14"/>
      <c r="E114" s="87"/>
      <c r="F114" s="14" t="s">
        <v>509</v>
      </c>
      <c r="G114" s="87"/>
      <c r="H114" s="87"/>
      <c r="I114" s="98" t="s">
        <v>962</v>
      </c>
      <c r="J114" s="377" t="s">
        <v>15</v>
      </c>
      <c r="K114" s="377"/>
      <c r="L114" s="1556"/>
      <c r="M114" s="1751">
        <f>IF(L114&lt;&gt;"",L114,INDEX(Eingabedaten!$D$9:$GL$53,nutzid,MATCH($C114,Eingabedaten!$D$6:$GL$6,0)))</f>
        <v>4</v>
      </c>
      <c r="N114" s="1367"/>
      <c r="O114" s="394"/>
      <c r="P114" s="14">
        <v>0</v>
      </c>
      <c r="Q114" s="392">
        <v>1</v>
      </c>
      <c r="R114" s="14">
        <v>0</v>
      </c>
      <c r="S114" s="243"/>
      <c r="T114" s="89"/>
      <c r="U114" s="89"/>
      <c r="V114" s="64"/>
      <c r="W114" s="158"/>
      <c r="X114" s="158"/>
      <c r="Y114" s="64"/>
      <c r="Z114" s="158"/>
      <c r="AA114" s="158"/>
      <c r="AB114" s="65"/>
      <c r="AC114" s="89"/>
      <c r="AD114" s="89"/>
      <c r="AE114" s="7"/>
      <c r="AF114" s="7"/>
      <c r="AG114" s="7"/>
      <c r="AH114" s="7"/>
      <c r="AI114" s="7"/>
      <c r="AJ114" s="7"/>
      <c r="AK114" s="7"/>
      <c r="AL114" s="7"/>
      <c r="AM114" s="7"/>
      <c r="AN114" s="7"/>
      <c r="AO114" s="7"/>
      <c r="AP114" s="83"/>
      <c r="AQ114" s="83"/>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0"/>
      <c r="CA114" s="50"/>
      <c r="CB114" s="50"/>
      <c r="CC114" s="50"/>
      <c r="CD114" s="50"/>
      <c r="CE114" s="50"/>
      <c r="CF114" s="50"/>
      <c r="CG114" s="50"/>
      <c r="CH114" s="50"/>
      <c r="CI114" s="50"/>
      <c r="CJ114" s="50"/>
      <c r="CK114" s="50"/>
      <c r="CL114" s="50"/>
      <c r="CM114" s="50"/>
      <c r="CN114" s="50"/>
      <c r="CO114" s="50"/>
      <c r="CP114" s="50"/>
      <c r="CQ114" s="50"/>
      <c r="CR114" s="50"/>
      <c r="CS114" s="50"/>
      <c r="CT114" s="50"/>
      <c r="CU114" s="50"/>
      <c r="CV114" s="50"/>
      <c r="CW114" s="50"/>
      <c r="CX114" s="50"/>
      <c r="CY114" s="50"/>
      <c r="CZ114" s="50"/>
      <c r="DA114" s="50"/>
      <c r="DB114" s="50"/>
      <c r="DC114" s="50"/>
      <c r="DD114" s="50"/>
      <c r="DE114" s="49"/>
      <c r="DF114" s="49"/>
      <c r="DG114" s="49"/>
      <c r="DH114" s="49"/>
      <c r="DI114" s="49"/>
      <c r="DJ114" s="49"/>
      <c r="DK114" s="49"/>
      <c r="DL114" s="49"/>
      <c r="DM114" s="49"/>
      <c r="DN114" s="49"/>
      <c r="DO114" s="49"/>
      <c r="DP114" s="49"/>
      <c r="DQ114" s="49"/>
      <c r="DR114" s="49"/>
      <c r="DS114" s="49"/>
      <c r="DT114" s="49"/>
      <c r="DU114" s="49"/>
      <c r="DV114" s="49"/>
      <c r="DW114" s="49"/>
      <c r="DX114" s="49"/>
      <c r="DY114" s="49"/>
      <c r="DZ114" s="49"/>
      <c r="EA114" s="49"/>
      <c r="EB114" s="49"/>
      <c r="EC114" s="49"/>
      <c r="ED114" s="49"/>
      <c r="EE114" s="50"/>
      <c r="EF114" s="50"/>
      <c r="EG114" s="50"/>
      <c r="EH114" s="50"/>
      <c r="EI114" s="50"/>
      <c r="EJ114" s="50"/>
      <c r="EK114" s="50"/>
      <c r="EL114" s="50"/>
      <c r="EM114" s="50"/>
      <c r="EN114" s="50"/>
      <c r="EO114" s="50"/>
      <c r="EP114" s="50"/>
      <c r="EQ114" s="50"/>
      <c r="ER114" s="50"/>
      <c r="ES114" s="50"/>
      <c r="ET114" s="50"/>
      <c r="EU114" s="50"/>
      <c r="EV114" s="50"/>
      <c r="EW114" s="50"/>
      <c r="EX114" s="50"/>
      <c r="EY114" s="50"/>
      <c r="EZ114" s="50"/>
      <c r="FA114" s="50"/>
      <c r="FB114" s="50"/>
      <c r="FC114" s="50"/>
      <c r="FD114" s="50"/>
      <c r="FE114" s="50"/>
      <c r="FF114" s="50"/>
      <c r="FG114" s="50"/>
      <c r="FH114" s="50"/>
      <c r="FI114" s="50"/>
      <c r="FJ114" s="50"/>
      <c r="FK114" s="50"/>
      <c r="FL114" s="50"/>
      <c r="FM114" s="50"/>
      <c r="FN114" s="50"/>
    </row>
    <row r="115" spans="1:170" s="8" customFormat="1" ht="18.75" customHeight="1">
      <c r="A115" s="1976"/>
      <c r="B115" s="204"/>
      <c r="C115" s="14" t="str">
        <f>Begriffe!F210</f>
        <v>Nutzungsstunden pro Nacht</v>
      </c>
      <c r="D115" s="14"/>
      <c r="E115" s="87"/>
      <c r="F115" s="14" t="s">
        <v>508</v>
      </c>
      <c r="G115" s="87"/>
      <c r="H115" s="87"/>
      <c r="I115" s="98" t="s">
        <v>963</v>
      </c>
      <c r="J115" s="377" t="s">
        <v>15</v>
      </c>
      <c r="K115" s="377"/>
      <c r="L115" s="1556"/>
      <c r="M115" s="1751">
        <f>IF(L115&lt;&gt;"",L115,INDEX(Eingabedaten!$D$9:$GL$53,nutzid,MATCH($C115,Eingabedaten!$D$6:$GL$6,0)))</f>
        <v>3</v>
      </c>
      <c r="N115" s="1367"/>
      <c r="O115" s="394"/>
      <c r="P115" s="14">
        <v>0</v>
      </c>
      <c r="Q115" s="392">
        <v>1</v>
      </c>
      <c r="R115" s="14">
        <v>1</v>
      </c>
      <c r="S115" s="243"/>
      <c r="T115" s="89"/>
      <c r="U115" s="89"/>
      <c r="V115" s="64"/>
      <c r="W115" s="158"/>
      <c r="X115" s="158"/>
      <c r="Y115" s="64"/>
      <c r="Z115" s="158"/>
      <c r="AA115" s="158"/>
      <c r="AB115" s="65"/>
      <c r="AC115" s="89"/>
      <c r="AD115" s="89"/>
      <c r="AE115" s="7"/>
      <c r="AF115" s="7"/>
      <c r="AG115" s="7"/>
      <c r="AH115" s="7"/>
      <c r="AI115" s="7"/>
      <c r="AJ115" s="7"/>
      <c r="AK115" s="7"/>
      <c r="AL115" s="7"/>
      <c r="AM115" s="7"/>
      <c r="AN115" s="7"/>
      <c r="AO115" s="7"/>
      <c r="AP115" s="83"/>
      <c r="AQ115" s="83"/>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0"/>
      <c r="CA115" s="50"/>
      <c r="CB115" s="50"/>
      <c r="CC115" s="50"/>
      <c r="CD115" s="50"/>
      <c r="CE115" s="50"/>
      <c r="CF115" s="50"/>
      <c r="CG115" s="50"/>
      <c r="CH115" s="50"/>
      <c r="CI115" s="50"/>
      <c r="CJ115" s="50"/>
      <c r="CK115" s="50"/>
      <c r="CL115" s="50"/>
      <c r="CM115" s="50"/>
      <c r="CN115" s="50"/>
      <c r="CO115" s="50"/>
      <c r="CP115" s="50"/>
      <c r="CQ115" s="50"/>
      <c r="CR115" s="50"/>
      <c r="CS115" s="50"/>
      <c r="CT115" s="50"/>
      <c r="CU115" s="50"/>
      <c r="CV115" s="50"/>
      <c r="CW115" s="50"/>
      <c r="CX115" s="50"/>
      <c r="CY115" s="50"/>
      <c r="CZ115" s="50"/>
      <c r="DA115" s="50"/>
      <c r="DB115" s="50"/>
      <c r="DC115" s="50"/>
      <c r="DD115" s="50"/>
      <c r="DE115" s="49"/>
      <c r="DF115" s="49"/>
      <c r="DG115" s="49"/>
      <c r="DH115" s="49"/>
      <c r="DI115" s="49"/>
      <c r="DJ115" s="49"/>
      <c r="DK115" s="49"/>
      <c r="DL115" s="49"/>
      <c r="DM115" s="49"/>
      <c r="DN115" s="49"/>
      <c r="DO115" s="49"/>
      <c r="DP115" s="49"/>
      <c r="DQ115" s="49"/>
      <c r="DR115" s="49"/>
      <c r="DS115" s="49"/>
      <c r="DT115" s="49"/>
      <c r="DU115" s="49"/>
      <c r="DV115" s="49"/>
      <c r="DW115" s="49"/>
      <c r="DX115" s="49"/>
      <c r="DY115" s="49"/>
      <c r="DZ115" s="49"/>
      <c r="EA115" s="49"/>
      <c r="EB115" s="49"/>
      <c r="EC115" s="49"/>
      <c r="ED115" s="49"/>
      <c r="EE115" s="50"/>
      <c r="EF115" s="50"/>
      <c r="EG115" s="50"/>
      <c r="EH115" s="50"/>
      <c r="EI115" s="50"/>
      <c r="EJ115" s="50"/>
      <c r="EK115" s="50"/>
      <c r="EL115" s="50"/>
      <c r="EM115" s="50"/>
      <c r="EN115" s="50"/>
      <c r="EO115" s="50"/>
      <c r="EP115" s="50"/>
      <c r="EQ115" s="50"/>
      <c r="ER115" s="50"/>
      <c r="ES115" s="50"/>
      <c r="ET115" s="50"/>
      <c r="EU115" s="50"/>
      <c r="EV115" s="50"/>
      <c r="EW115" s="50"/>
      <c r="EX115" s="50"/>
      <c r="EY115" s="50"/>
      <c r="EZ115" s="50"/>
      <c r="FA115" s="50"/>
      <c r="FB115" s="50"/>
      <c r="FC115" s="50"/>
      <c r="FD115" s="50"/>
      <c r="FE115" s="50"/>
      <c r="FF115" s="50"/>
      <c r="FG115" s="50"/>
      <c r="FH115" s="50"/>
      <c r="FI115" s="50"/>
      <c r="FJ115" s="50"/>
      <c r="FK115" s="50"/>
      <c r="FL115" s="50"/>
      <c r="FM115" s="50"/>
      <c r="FN115" s="50"/>
    </row>
    <row r="116" spans="1:170" s="8" customFormat="1" ht="13.5" hidden="1" customHeight="1">
      <c r="A116" s="1976"/>
      <c r="B116" s="91"/>
      <c r="C116" s="17" t="s">
        <v>66</v>
      </c>
      <c r="D116" s="17"/>
      <c r="E116" s="196"/>
      <c r="F116" s="17"/>
      <c r="G116" s="17"/>
      <c r="H116" s="17"/>
      <c r="I116" s="18" t="s">
        <v>69</v>
      </c>
      <c r="J116" s="24"/>
      <c r="K116" s="24"/>
      <c r="L116" s="16"/>
      <c r="M116" s="16" t="s">
        <v>67</v>
      </c>
      <c r="N116" s="16" t="s">
        <v>36</v>
      </c>
      <c r="O116" s="16" t="s">
        <v>67</v>
      </c>
      <c r="P116" s="14">
        <v>0</v>
      </c>
      <c r="Q116" s="392">
        <v>0</v>
      </c>
      <c r="R116" s="14">
        <v>0</v>
      </c>
      <c r="S116" s="243"/>
      <c r="T116" s="89"/>
      <c r="U116" s="89"/>
      <c r="V116" s="64"/>
      <c r="W116" s="158"/>
      <c r="X116" s="158"/>
      <c r="Y116" s="64"/>
      <c r="Z116" s="158"/>
      <c r="AA116" s="158"/>
      <c r="AB116" s="65"/>
      <c r="AC116" s="89"/>
      <c r="AD116" s="89"/>
      <c r="AE116" s="7"/>
      <c r="AF116" s="7"/>
      <c r="AG116" s="7"/>
      <c r="AH116" s="7"/>
      <c r="AI116" s="7"/>
      <c r="AJ116" s="7"/>
      <c r="AK116" s="7"/>
      <c r="AL116" s="7"/>
      <c r="AM116" s="7"/>
      <c r="AN116" s="7"/>
      <c r="AO116" s="7"/>
      <c r="AP116" s="83"/>
      <c r="AQ116" s="83"/>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0"/>
      <c r="CA116" s="50"/>
      <c r="CB116" s="50"/>
      <c r="CC116" s="50"/>
      <c r="CD116" s="50"/>
      <c r="CE116" s="50"/>
      <c r="CF116" s="50"/>
      <c r="CG116" s="50"/>
      <c r="CH116" s="50"/>
      <c r="CI116" s="50"/>
      <c r="CJ116" s="50"/>
      <c r="CK116" s="50"/>
      <c r="CL116" s="50"/>
      <c r="CM116" s="50"/>
      <c r="CN116" s="50"/>
      <c r="CO116" s="50"/>
      <c r="CP116" s="50"/>
      <c r="CQ116" s="50"/>
      <c r="CR116" s="50"/>
      <c r="CS116" s="50"/>
      <c r="CT116" s="50"/>
      <c r="CU116" s="50"/>
      <c r="CV116" s="50"/>
      <c r="CW116" s="50"/>
      <c r="CX116" s="50"/>
      <c r="CY116" s="50"/>
      <c r="CZ116" s="50"/>
      <c r="DA116" s="50"/>
      <c r="DB116" s="50"/>
      <c r="DC116" s="50"/>
      <c r="DD116" s="50"/>
      <c r="DE116" s="49"/>
      <c r="DF116" s="49"/>
      <c r="DG116" s="49"/>
      <c r="DH116" s="49"/>
      <c r="DI116" s="49"/>
      <c r="DJ116" s="49"/>
      <c r="DK116" s="49"/>
      <c r="DL116" s="49"/>
      <c r="DM116" s="49"/>
      <c r="DN116" s="49"/>
      <c r="DO116" s="49"/>
      <c r="DP116" s="49"/>
      <c r="DQ116" s="49"/>
      <c r="DR116" s="49"/>
      <c r="DS116" s="49"/>
      <c r="DT116" s="49"/>
      <c r="DU116" s="49"/>
      <c r="DV116" s="49"/>
      <c r="DW116" s="49"/>
      <c r="DX116" s="49"/>
      <c r="DY116" s="49"/>
      <c r="DZ116" s="49"/>
      <c r="EA116" s="49"/>
      <c r="EB116" s="49"/>
      <c r="EC116" s="49"/>
      <c r="ED116" s="49"/>
      <c r="EE116" s="50"/>
      <c r="EF116" s="50"/>
      <c r="EG116" s="50"/>
      <c r="EH116" s="50"/>
      <c r="EI116" s="50"/>
      <c r="EJ116" s="50"/>
      <c r="EK116" s="50"/>
      <c r="EL116" s="50"/>
      <c r="EM116" s="50"/>
      <c r="EN116" s="50"/>
      <c r="EO116" s="50"/>
      <c r="EP116" s="50"/>
      <c r="EQ116" s="50"/>
      <c r="ER116" s="50"/>
      <c r="ES116" s="50"/>
      <c r="ET116" s="50"/>
      <c r="EU116" s="50"/>
      <c r="EV116" s="50"/>
      <c r="EW116" s="50"/>
      <c r="EX116" s="50"/>
      <c r="EY116" s="50"/>
      <c r="EZ116" s="50"/>
      <c r="FA116" s="50"/>
      <c r="FB116" s="50"/>
      <c r="FC116" s="50"/>
      <c r="FD116" s="50"/>
      <c r="FE116" s="50"/>
      <c r="FF116" s="50"/>
      <c r="FG116" s="50"/>
      <c r="FH116" s="50"/>
      <c r="FI116" s="50"/>
      <c r="FJ116" s="50"/>
      <c r="FK116" s="50"/>
      <c r="FL116" s="50"/>
      <c r="FM116" s="50"/>
      <c r="FN116" s="50"/>
    </row>
    <row r="117" spans="1:170" s="8" customFormat="1" ht="18" customHeight="1">
      <c r="A117" s="1976"/>
      <c r="B117" s="204"/>
      <c r="C117" s="14" t="str">
        <f>Begriffe!F69</f>
        <v>Korrekturfaktor für Präsenzregelung</v>
      </c>
      <c r="D117" s="14"/>
      <c r="E117" s="14"/>
      <c r="F117" s="14"/>
      <c r="G117" s="14"/>
      <c r="H117" s="14"/>
      <c r="I117" s="98" t="s">
        <v>964</v>
      </c>
      <c r="J117" s="377" t="s">
        <v>208</v>
      </c>
      <c r="K117" s="377"/>
      <c r="L117" s="1556"/>
      <c r="M117" s="1751">
        <f>IF(L117&lt;&gt;"",L117,1)</f>
        <v>1</v>
      </c>
      <c r="N117" s="1367">
        <f>INDEX(Eingabedaten!$D$9:$DN$53,nutzid,MATCH($C117,Eingabedaten!$D$6:$DN$6,0))</f>
        <v>1</v>
      </c>
      <c r="O117" s="394">
        <f>M117</f>
        <v>1</v>
      </c>
      <c r="P117" s="14">
        <v>0</v>
      </c>
      <c r="Q117" s="392">
        <v>1</v>
      </c>
      <c r="R117" s="14">
        <v>0</v>
      </c>
      <c r="S117" s="243"/>
      <c r="T117" s="89"/>
      <c r="U117" s="89"/>
      <c r="V117" s="64"/>
      <c r="W117" s="158"/>
      <c r="X117" s="158"/>
      <c r="Y117" s="64"/>
      <c r="Z117" s="158"/>
      <c r="AA117" s="158"/>
      <c r="AB117" s="65"/>
      <c r="AC117" s="89"/>
      <c r="AD117" s="89"/>
      <c r="AE117" s="7"/>
      <c r="AF117" s="7"/>
      <c r="AG117" s="7"/>
      <c r="AH117" s="7"/>
      <c r="AI117" s="7"/>
      <c r="AJ117" s="7"/>
      <c r="AK117" s="7"/>
      <c r="AL117" s="7"/>
      <c r="AM117" s="7"/>
      <c r="AN117" s="7"/>
      <c r="AO117" s="7"/>
      <c r="AP117" s="83"/>
      <c r="AQ117" s="83"/>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50"/>
      <c r="DA117" s="50"/>
      <c r="DB117" s="50"/>
      <c r="DC117" s="50"/>
      <c r="DD117" s="50"/>
      <c r="DE117" s="49"/>
      <c r="DF117" s="49"/>
      <c r="DG117" s="49"/>
      <c r="DH117" s="49"/>
      <c r="DI117" s="49"/>
      <c r="DJ117" s="49"/>
      <c r="DK117" s="49"/>
      <c r="DL117" s="49"/>
      <c r="DM117" s="49"/>
      <c r="DN117" s="49"/>
      <c r="DO117" s="49"/>
      <c r="DP117" s="49"/>
      <c r="DQ117" s="49"/>
      <c r="DR117" s="49"/>
      <c r="DS117" s="49"/>
      <c r="DT117" s="49"/>
      <c r="DU117" s="49"/>
      <c r="DV117" s="49"/>
      <c r="DW117" s="49"/>
      <c r="DX117" s="49"/>
      <c r="DY117" s="49"/>
      <c r="DZ117" s="49"/>
      <c r="EA117" s="49"/>
      <c r="EB117" s="49"/>
      <c r="EC117" s="49"/>
      <c r="ED117" s="49"/>
      <c r="EE117" s="50"/>
      <c r="EF117" s="50"/>
      <c r="EG117" s="50"/>
      <c r="EH117" s="50"/>
      <c r="EI117" s="50"/>
      <c r="EJ117" s="50"/>
      <c r="EK117" s="50"/>
      <c r="EL117" s="50"/>
      <c r="EM117" s="50"/>
      <c r="EN117" s="50"/>
      <c r="EO117" s="50"/>
      <c r="EP117" s="50"/>
      <c r="EQ117" s="50"/>
      <c r="ER117" s="50"/>
      <c r="ES117" s="50"/>
      <c r="ET117" s="50"/>
      <c r="EU117" s="50"/>
      <c r="EV117" s="50"/>
      <c r="EW117" s="50"/>
      <c r="EX117" s="50"/>
      <c r="EY117" s="50"/>
      <c r="EZ117" s="50"/>
      <c r="FA117" s="50"/>
      <c r="FB117" s="50"/>
      <c r="FC117" s="50"/>
      <c r="FD117" s="50"/>
      <c r="FE117" s="50"/>
      <c r="FF117" s="50"/>
      <c r="FG117" s="50"/>
      <c r="FH117" s="50"/>
      <c r="FI117" s="50"/>
      <c r="FJ117" s="50"/>
      <c r="FK117" s="50"/>
      <c r="FL117" s="50"/>
      <c r="FM117" s="50"/>
      <c r="FN117" s="50"/>
    </row>
    <row r="118" spans="1:170" s="8" customFormat="1" ht="18" hidden="1" customHeight="1">
      <c r="A118" s="1976"/>
      <c r="B118" s="204"/>
      <c r="C118" s="14" t="str">
        <f>Begriffe!F70</f>
        <v>Korrekturfaktor Gleichzeitigkeit</v>
      </c>
      <c r="D118" s="14"/>
      <c r="E118" s="14"/>
      <c r="F118" s="14"/>
      <c r="G118" s="14"/>
      <c r="H118" s="14"/>
      <c r="I118" s="98" t="s">
        <v>1091</v>
      </c>
      <c r="J118" s="377" t="s">
        <v>208</v>
      </c>
      <c r="K118" s="377"/>
      <c r="L118" s="517"/>
      <c r="M118" s="394">
        <f>IF(L118&lt;&gt;"",L118,INDEX(Eingabedaten!$D$9:$GL$53,nutzid,MATCH($C118,Eingabedaten!$D$6:$GL$6,0)))</f>
        <v>0.5</v>
      </c>
      <c r="N118" s="394"/>
      <c r="O118" s="394"/>
      <c r="P118" s="14"/>
      <c r="Q118" s="392"/>
      <c r="R118" s="14"/>
      <c r="S118" s="243"/>
      <c r="T118" s="89"/>
      <c r="U118" s="89"/>
      <c r="V118" s="64"/>
      <c r="W118" s="158"/>
      <c r="X118" s="158"/>
      <c r="Y118" s="64"/>
      <c r="Z118" s="158"/>
      <c r="AA118" s="158"/>
      <c r="AB118" s="65"/>
      <c r="AC118" s="89"/>
      <c r="AD118" s="89"/>
      <c r="AE118" s="7"/>
      <c r="AF118" s="7"/>
      <c r="AG118" s="7"/>
      <c r="AH118" s="7"/>
      <c r="AI118" s="7"/>
      <c r="AJ118" s="7"/>
      <c r="AK118" s="7"/>
      <c r="AL118" s="7"/>
      <c r="AM118" s="7"/>
      <c r="AN118" s="7"/>
      <c r="AO118" s="7"/>
      <c r="AP118" s="83"/>
      <c r="AQ118" s="83"/>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0"/>
      <c r="CA118" s="50"/>
      <c r="CB118" s="50"/>
      <c r="CC118" s="50"/>
      <c r="CD118" s="50"/>
      <c r="CE118" s="50"/>
      <c r="CF118" s="50"/>
      <c r="CG118" s="50"/>
      <c r="CH118" s="50"/>
      <c r="CI118" s="50"/>
      <c r="CJ118" s="50"/>
      <c r="CK118" s="50"/>
      <c r="CL118" s="50"/>
      <c r="CM118" s="50"/>
      <c r="CN118" s="50"/>
      <c r="CO118" s="50"/>
      <c r="CP118" s="50"/>
      <c r="CQ118" s="50"/>
      <c r="CR118" s="50"/>
      <c r="CS118" s="50"/>
      <c r="CT118" s="50"/>
      <c r="CU118" s="50"/>
      <c r="CV118" s="50"/>
      <c r="CW118" s="50"/>
      <c r="CX118" s="50"/>
      <c r="CY118" s="50"/>
      <c r="CZ118" s="50"/>
      <c r="DA118" s="50"/>
      <c r="DB118" s="50"/>
      <c r="DC118" s="50"/>
      <c r="DD118" s="50"/>
      <c r="DE118" s="49"/>
      <c r="DF118" s="49"/>
      <c r="DG118" s="49"/>
      <c r="DH118" s="49"/>
      <c r="DI118" s="49"/>
      <c r="DJ118" s="49"/>
      <c r="DK118" s="49"/>
      <c r="DL118" s="49"/>
      <c r="DM118" s="49"/>
      <c r="DN118" s="49"/>
      <c r="DO118" s="49"/>
      <c r="DP118" s="49"/>
      <c r="DQ118" s="49"/>
      <c r="DR118" s="49"/>
      <c r="DS118" s="49"/>
      <c r="DT118" s="49"/>
      <c r="DU118" s="49"/>
      <c r="DV118" s="49"/>
      <c r="DW118" s="49"/>
      <c r="DX118" s="49"/>
      <c r="DY118" s="49"/>
      <c r="DZ118" s="49"/>
      <c r="EA118" s="49"/>
      <c r="EB118" s="49"/>
      <c r="EC118" s="49"/>
      <c r="ED118" s="49"/>
      <c r="EE118" s="50"/>
      <c r="EF118" s="50"/>
      <c r="EG118" s="50"/>
      <c r="EH118" s="50"/>
      <c r="EI118" s="50"/>
      <c r="EJ118" s="50"/>
      <c r="EK118" s="50"/>
      <c r="EL118" s="50"/>
      <c r="EM118" s="50"/>
      <c r="EN118" s="50"/>
      <c r="EO118" s="50"/>
      <c r="EP118" s="50"/>
      <c r="EQ118" s="50"/>
      <c r="ER118" s="50"/>
      <c r="ES118" s="50"/>
      <c r="ET118" s="50"/>
      <c r="EU118" s="50"/>
      <c r="EV118" s="50"/>
      <c r="EW118" s="50"/>
      <c r="EX118" s="50"/>
      <c r="EY118" s="50"/>
      <c r="EZ118" s="50"/>
      <c r="FA118" s="50"/>
      <c r="FB118" s="50"/>
      <c r="FC118" s="50"/>
      <c r="FD118" s="50"/>
      <c r="FE118" s="50"/>
      <c r="FF118" s="50"/>
      <c r="FG118" s="50"/>
      <c r="FH118" s="50"/>
      <c r="FI118" s="50"/>
      <c r="FJ118" s="50"/>
      <c r="FK118" s="50"/>
      <c r="FL118" s="50"/>
      <c r="FM118" s="50"/>
      <c r="FN118" s="50"/>
    </row>
    <row r="119" spans="1:170" s="8" customFormat="1" hidden="1">
      <c r="A119" s="1976"/>
      <c r="B119" s="21"/>
      <c r="C119" s="13" t="s">
        <v>1423</v>
      </c>
      <c r="D119" s="13"/>
      <c r="E119" s="97"/>
      <c r="F119" s="13"/>
      <c r="G119" s="13"/>
      <c r="H119" s="13"/>
      <c r="I119" s="96" t="s">
        <v>594</v>
      </c>
      <c r="J119" s="103" t="s">
        <v>15</v>
      </c>
      <c r="K119" s="103"/>
      <c r="L119" s="99"/>
      <c r="M119" s="99">
        <f>M117*(M109*$M114/11+$M115)*M118</f>
        <v>2.8987659069640266</v>
      </c>
      <c r="N119" s="99">
        <f>N117*(N109*$M114/11+$M115)*M118</f>
        <v>1.9777987517341704</v>
      </c>
      <c r="O119" s="99">
        <f>O117*(O109*$M114/11+$M115)*M118</f>
        <v>2.8987659069640266</v>
      </c>
      <c r="P119" s="14">
        <v>0</v>
      </c>
      <c r="Q119" s="392">
        <v>0</v>
      </c>
      <c r="R119" s="14">
        <v>1</v>
      </c>
      <c r="S119" s="243"/>
      <c r="T119" s="89"/>
      <c r="U119" s="89"/>
      <c r="V119" s="64"/>
      <c r="W119" s="158"/>
      <c r="X119" s="158"/>
      <c r="Y119" s="64"/>
      <c r="Z119" s="158"/>
      <c r="AA119" s="158"/>
      <c r="AB119" s="65"/>
      <c r="AC119" s="89"/>
      <c r="AD119" s="89"/>
      <c r="AE119" s="7"/>
      <c r="AF119" s="7"/>
      <c r="AG119" s="7"/>
      <c r="AH119" s="7"/>
      <c r="AI119" s="7"/>
      <c r="AJ119" s="7"/>
      <c r="AK119" s="7"/>
      <c r="AL119" s="7"/>
      <c r="AM119" s="7"/>
      <c r="AN119" s="7"/>
      <c r="AO119" s="7"/>
      <c r="AP119" s="83"/>
      <c r="AQ119" s="83"/>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0"/>
      <c r="CA119" s="50"/>
      <c r="CB119" s="50"/>
      <c r="CC119" s="50"/>
      <c r="CD119" s="50"/>
      <c r="CE119" s="50"/>
      <c r="CF119" s="50"/>
      <c r="CG119" s="50"/>
      <c r="CH119" s="50"/>
      <c r="CI119" s="50"/>
      <c r="CJ119" s="50"/>
      <c r="CK119" s="50"/>
      <c r="CL119" s="50"/>
      <c r="CM119" s="50"/>
      <c r="CN119" s="50"/>
      <c r="CO119" s="50"/>
      <c r="CP119" s="50"/>
      <c r="CQ119" s="50"/>
      <c r="CR119" s="50"/>
      <c r="CS119" s="50"/>
      <c r="CT119" s="50"/>
      <c r="CU119" s="50"/>
      <c r="CV119" s="50"/>
      <c r="CW119" s="50"/>
      <c r="CX119" s="50"/>
      <c r="CY119" s="50"/>
      <c r="CZ119" s="50"/>
      <c r="DA119" s="50"/>
      <c r="DB119" s="50"/>
      <c r="DC119" s="50"/>
      <c r="DD119" s="50"/>
      <c r="DE119" s="49"/>
      <c r="DF119" s="49"/>
      <c r="DG119" s="49"/>
      <c r="DH119" s="49"/>
      <c r="DI119" s="49"/>
      <c r="DJ119" s="49"/>
      <c r="DK119" s="49"/>
      <c r="DL119" s="49"/>
      <c r="DM119" s="49"/>
      <c r="DN119" s="49"/>
      <c r="DO119" s="49"/>
      <c r="DP119" s="49"/>
      <c r="DQ119" s="49"/>
      <c r="DR119" s="49"/>
      <c r="DS119" s="49"/>
      <c r="DT119" s="49"/>
      <c r="DU119" s="49"/>
      <c r="DV119" s="49"/>
      <c r="DW119" s="49"/>
      <c r="DX119" s="49"/>
      <c r="DY119" s="49"/>
      <c r="DZ119" s="49"/>
      <c r="EA119" s="49"/>
      <c r="EB119" s="49"/>
      <c r="EC119" s="49"/>
      <c r="ED119" s="49"/>
      <c r="EE119" s="50"/>
      <c r="EF119" s="50"/>
      <c r="EG119" s="50"/>
      <c r="EH119" s="50"/>
      <c r="EI119" s="50"/>
      <c r="EJ119" s="50"/>
      <c r="EK119" s="50"/>
      <c r="EL119" s="50"/>
      <c r="EM119" s="50"/>
      <c r="EN119" s="50"/>
      <c r="EO119" s="50"/>
      <c r="EP119" s="50"/>
      <c r="EQ119" s="50"/>
      <c r="ER119" s="50"/>
      <c r="ES119" s="50"/>
      <c r="ET119" s="50"/>
      <c r="EU119" s="50"/>
      <c r="EV119" s="50"/>
      <c r="EW119" s="50"/>
      <c r="EX119" s="50"/>
      <c r="EY119" s="50"/>
      <c r="EZ119" s="50"/>
      <c r="FA119" s="50"/>
      <c r="FB119" s="50"/>
      <c r="FC119" s="50"/>
      <c r="FD119" s="50"/>
      <c r="FE119" s="50"/>
      <c r="FF119" s="50"/>
      <c r="FG119" s="50"/>
      <c r="FH119" s="50"/>
      <c r="FI119" s="50"/>
      <c r="FJ119" s="50"/>
      <c r="FK119" s="50"/>
      <c r="FL119" s="50"/>
      <c r="FM119" s="50"/>
      <c r="FN119" s="50"/>
    </row>
    <row r="120" spans="1:170" s="8" customFormat="1" hidden="1">
      <c r="A120" s="1976"/>
      <c r="B120" s="21"/>
      <c r="C120" s="395" t="s">
        <v>1424</v>
      </c>
      <c r="D120" s="395"/>
      <c r="E120" s="409"/>
      <c r="F120" s="395"/>
      <c r="G120" s="395"/>
      <c r="H120" s="395"/>
      <c r="I120" s="396" t="s">
        <v>555</v>
      </c>
      <c r="J120" s="397" t="s">
        <v>15</v>
      </c>
      <c r="K120" s="397"/>
      <c r="L120" s="401"/>
      <c r="M120" s="401">
        <f>M117*(M111*($M114+2)/11+MAX($M115-2,0))*M118</f>
        <v>0.57949760507137293</v>
      </c>
      <c r="N120" s="401">
        <f>N117*(N111*($M114+2)/11+MAX($M115-2,0))*M118</f>
        <v>0.57949760507137293</v>
      </c>
      <c r="O120" s="401">
        <f>O117*(O111*($M114+2)/11+MAX($M115-2,0))*M118</f>
        <v>0.57949760507137293</v>
      </c>
      <c r="P120" s="14">
        <v>0</v>
      </c>
      <c r="Q120" s="392">
        <v>0</v>
      </c>
      <c r="R120" s="14">
        <v>0</v>
      </c>
      <c r="S120" s="243"/>
      <c r="T120" s="89"/>
      <c r="U120" s="89"/>
      <c r="V120" s="64"/>
      <c r="W120" s="158"/>
      <c r="X120" s="158"/>
      <c r="Y120" s="64"/>
      <c r="Z120" s="158"/>
      <c r="AA120" s="158"/>
      <c r="AB120" s="65"/>
      <c r="AC120" s="89"/>
      <c r="AD120" s="89"/>
      <c r="AE120" s="7"/>
      <c r="AF120" s="7"/>
      <c r="AG120" s="7"/>
      <c r="AH120" s="7"/>
      <c r="AI120" s="7"/>
      <c r="AJ120" s="7"/>
      <c r="AK120" s="7"/>
      <c r="AL120" s="7"/>
      <c r="AM120" s="7"/>
      <c r="AN120" s="7"/>
      <c r="AO120" s="7"/>
      <c r="AP120" s="83"/>
      <c r="AQ120" s="83"/>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0"/>
      <c r="CA120" s="50"/>
      <c r="CB120" s="50"/>
      <c r="CC120" s="50"/>
      <c r="CD120" s="50"/>
      <c r="CE120" s="50"/>
      <c r="CF120" s="50"/>
      <c r="CG120" s="50"/>
      <c r="CH120" s="50"/>
      <c r="CI120" s="50"/>
      <c r="CJ120" s="50"/>
      <c r="CK120" s="50"/>
      <c r="CL120" s="50"/>
      <c r="CM120" s="50"/>
      <c r="CN120" s="50"/>
      <c r="CO120" s="50"/>
      <c r="CP120" s="50"/>
      <c r="CQ120" s="50"/>
      <c r="CR120" s="50"/>
      <c r="CS120" s="50"/>
      <c r="CT120" s="50"/>
      <c r="CU120" s="50"/>
      <c r="CV120" s="50"/>
      <c r="CW120" s="50"/>
      <c r="CX120" s="50"/>
      <c r="CY120" s="50"/>
      <c r="CZ120" s="50"/>
      <c r="DA120" s="50"/>
      <c r="DB120" s="50"/>
      <c r="DC120" s="50"/>
      <c r="DD120" s="50"/>
      <c r="DE120" s="49"/>
      <c r="DF120" s="49"/>
      <c r="DG120" s="49"/>
      <c r="DH120" s="49"/>
      <c r="DI120" s="49"/>
      <c r="DJ120" s="49"/>
      <c r="DK120" s="49"/>
      <c r="DL120" s="49"/>
      <c r="DM120" s="49"/>
      <c r="DN120" s="49"/>
      <c r="DO120" s="49"/>
      <c r="DP120" s="49"/>
      <c r="DQ120" s="49"/>
      <c r="DR120" s="49"/>
      <c r="DS120" s="49"/>
      <c r="DT120" s="49"/>
      <c r="DU120" s="49"/>
      <c r="DV120" s="49"/>
      <c r="DW120" s="49"/>
      <c r="DX120" s="49"/>
      <c r="DY120" s="49"/>
      <c r="DZ120" s="49"/>
      <c r="EA120" s="49"/>
      <c r="EB120" s="49"/>
      <c r="EC120" s="49"/>
      <c r="ED120" s="49"/>
      <c r="EE120" s="50"/>
      <c r="EF120" s="50"/>
      <c r="EG120" s="50"/>
      <c r="EH120" s="50"/>
      <c r="EI120" s="50"/>
      <c r="EJ120" s="50"/>
      <c r="EK120" s="50"/>
      <c r="EL120" s="50"/>
      <c r="EM120" s="50"/>
      <c r="EN120" s="50"/>
      <c r="EO120" s="50"/>
      <c r="EP120" s="50"/>
      <c r="EQ120" s="50"/>
      <c r="ER120" s="50"/>
      <c r="ES120" s="50"/>
      <c r="ET120" s="50"/>
      <c r="EU120" s="50"/>
      <c r="EV120" s="50"/>
      <c r="EW120" s="50"/>
      <c r="EX120" s="50"/>
      <c r="EY120" s="50"/>
      <c r="EZ120" s="50"/>
      <c r="FA120" s="50"/>
      <c r="FB120" s="50"/>
      <c r="FC120" s="50"/>
      <c r="FD120" s="50"/>
      <c r="FE120" s="50"/>
      <c r="FF120" s="50"/>
      <c r="FG120" s="50"/>
      <c r="FH120" s="50"/>
      <c r="FI120" s="50"/>
      <c r="FJ120" s="50"/>
      <c r="FK120" s="50"/>
      <c r="FL120" s="50"/>
      <c r="FM120" s="50"/>
      <c r="FN120" s="50"/>
    </row>
    <row r="121" spans="1:170" s="8" customFormat="1" ht="18" customHeight="1">
      <c r="A121" s="1976"/>
      <c r="B121" s="204"/>
      <c r="C121" s="14" t="str">
        <f>Begriffe!F38</f>
        <v>Elektrische Leistung der Beleuchtung</v>
      </c>
      <c r="D121" s="14"/>
      <c r="E121" s="182"/>
      <c r="F121" s="14"/>
      <c r="G121" s="14"/>
      <c r="H121" s="14"/>
      <c r="I121" s="98" t="s">
        <v>448</v>
      </c>
      <c r="J121" s="377" t="s">
        <v>149</v>
      </c>
      <c r="K121" s="377"/>
      <c r="L121" s="1557"/>
      <c r="M121" s="1760">
        <f>IF(L121&lt;&gt;"",L121,$M88/(M91*M92*M93))</f>
        <v>2.9791666666666674</v>
      </c>
      <c r="N121" s="1371">
        <f>$M88/(N91*N92*N93)</f>
        <v>1.9097222222222221</v>
      </c>
      <c r="O121" s="148">
        <f>$M88/(O91*O92*O93)</f>
        <v>3.8303571428571437</v>
      </c>
      <c r="P121" s="14">
        <v>1</v>
      </c>
      <c r="Q121" s="392">
        <v>1</v>
      </c>
      <c r="R121" s="14">
        <v>0</v>
      </c>
      <c r="S121" s="243"/>
      <c r="T121" s="65"/>
      <c r="U121" s="89"/>
      <c r="V121" s="64"/>
      <c r="W121" s="158"/>
      <c r="X121" s="158"/>
      <c r="Y121" s="64"/>
      <c r="Z121" s="158"/>
      <c r="AA121" s="158"/>
      <c r="AB121" s="65"/>
      <c r="AC121" s="89"/>
      <c r="AD121" s="89"/>
      <c r="AE121" s="7"/>
      <c r="AF121" s="7"/>
      <c r="AG121" s="7"/>
      <c r="AH121" s="7"/>
      <c r="AI121" s="7"/>
      <c r="AJ121" s="7"/>
      <c r="AK121" s="7"/>
      <c r="AL121" s="7"/>
      <c r="AM121" s="7"/>
      <c r="AN121" s="7"/>
      <c r="AO121" s="7"/>
      <c r="AP121" s="83"/>
      <c r="AQ121" s="83"/>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0"/>
      <c r="CA121" s="50"/>
      <c r="CB121" s="50"/>
      <c r="CC121" s="50"/>
      <c r="CD121" s="50"/>
      <c r="CE121" s="50"/>
      <c r="CF121" s="50"/>
      <c r="CG121" s="50"/>
      <c r="CH121" s="50"/>
      <c r="CI121" s="50"/>
      <c r="CJ121" s="50"/>
      <c r="CK121" s="50"/>
      <c r="CL121" s="50"/>
      <c r="CM121" s="50"/>
      <c r="CN121" s="50"/>
      <c r="CO121" s="50"/>
      <c r="CP121" s="50"/>
      <c r="CQ121" s="50"/>
      <c r="CR121" s="50"/>
      <c r="CS121" s="50"/>
      <c r="CT121" s="50"/>
      <c r="CU121" s="50"/>
      <c r="CV121" s="50"/>
      <c r="CW121" s="50"/>
      <c r="CX121" s="50"/>
      <c r="CY121" s="50"/>
      <c r="CZ121" s="50"/>
      <c r="DA121" s="50"/>
      <c r="DB121" s="50"/>
      <c r="DC121" s="50"/>
      <c r="DD121" s="50"/>
      <c r="DE121" s="49"/>
      <c r="DF121" s="49"/>
      <c r="DG121" s="49"/>
      <c r="DH121" s="49"/>
      <c r="DI121" s="49"/>
      <c r="DJ121" s="49"/>
      <c r="DK121" s="49"/>
      <c r="DL121" s="49"/>
      <c r="DM121" s="49"/>
      <c r="DN121" s="49"/>
      <c r="DO121" s="49"/>
      <c r="DP121" s="49"/>
      <c r="DQ121" s="49"/>
      <c r="DR121" s="49"/>
      <c r="DS121" s="49"/>
      <c r="DT121" s="49"/>
      <c r="DU121" s="49"/>
      <c r="DV121" s="49"/>
      <c r="DW121" s="49"/>
      <c r="DX121" s="49"/>
      <c r="DY121" s="49"/>
      <c r="DZ121" s="49"/>
      <c r="EA121" s="49"/>
      <c r="EB121" s="49"/>
      <c r="EC121" s="49"/>
      <c r="ED121" s="49"/>
      <c r="EE121" s="50"/>
      <c r="EF121" s="50"/>
      <c r="EG121" s="50"/>
      <c r="EH121" s="50"/>
      <c r="EI121" s="50"/>
      <c r="EJ121" s="50"/>
      <c r="EK121" s="50"/>
      <c r="EL121" s="50"/>
      <c r="EM121" s="50"/>
      <c r="EN121" s="50"/>
      <c r="EO121" s="50"/>
      <c r="EP121" s="50"/>
      <c r="EQ121" s="50"/>
      <c r="ER121" s="50"/>
      <c r="ES121" s="50"/>
      <c r="ET121" s="50"/>
      <c r="EU121" s="50"/>
      <c r="EV121" s="50"/>
      <c r="EW121" s="50"/>
      <c r="EX121" s="50"/>
      <c r="EY121" s="50"/>
      <c r="EZ121" s="50"/>
      <c r="FA121" s="50"/>
      <c r="FB121" s="50"/>
      <c r="FC121" s="50"/>
      <c r="FD121" s="50"/>
      <c r="FE121" s="50"/>
      <c r="FF121" s="50"/>
      <c r="FG121" s="50"/>
      <c r="FH121" s="50"/>
      <c r="FI121" s="50"/>
      <c r="FJ121" s="50"/>
      <c r="FK121" s="50"/>
      <c r="FL121" s="50"/>
      <c r="FM121" s="50"/>
      <c r="FN121" s="50"/>
    </row>
    <row r="122" spans="1:170" s="8" customFormat="1" ht="18" customHeight="1">
      <c r="A122" s="1976"/>
      <c r="B122" s="204"/>
      <c r="C122" s="14" t="str">
        <f>Begriffe!F120</f>
        <v>Wärmeeintragsleistung der Beleuchtung</v>
      </c>
      <c r="D122" s="14"/>
      <c r="E122" s="14"/>
      <c r="F122" s="14"/>
      <c r="G122" s="14"/>
      <c r="H122" s="14"/>
      <c r="I122" s="155" t="s">
        <v>965</v>
      </c>
      <c r="J122" s="377" t="s">
        <v>149</v>
      </c>
      <c r="K122" s="377"/>
      <c r="L122" s="514"/>
      <c r="M122" s="1751">
        <f>M121</f>
        <v>2.9791666666666674</v>
      </c>
      <c r="N122" s="1367">
        <f>N121</f>
        <v>1.9097222222222221</v>
      </c>
      <c r="O122" s="394">
        <f>O121</f>
        <v>3.8303571428571437</v>
      </c>
      <c r="P122" s="14">
        <v>0</v>
      </c>
      <c r="Q122" s="392">
        <v>1</v>
      </c>
      <c r="R122" s="14">
        <v>0</v>
      </c>
      <c r="S122" s="243"/>
      <c r="T122" s="89"/>
      <c r="U122" s="89"/>
      <c r="V122" s="64"/>
      <c r="W122" s="158"/>
      <c r="X122" s="158"/>
      <c r="Y122" s="64"/>
      <c r="Z122" s="158"/>
      <c r="AA122" s="158"/>
      <c r="AB122" s="65"/>
      <c r="AC122" s="89"/>
      <c r="AD122" s="89"/>
      <c r="AE122" s="7"/>
      <c r="AF122" s="7"/>
      <c r="AG122" s="7"/>
      <c r="AH122" s="7"/>
      <c r="AI122" s="7"/>
      <c r="AJ122" s="7"/>
      <c r="AK122" s="7"/>
      <c r="AL122" s="7"/>
      <c r="AM122" s="7"/>
      <c r="AN122" s="7"/>
      <c r="AO122" s="7"/>
      <c r="AP122" s="83"/>
      <c r="AQ122" s="83"/>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0"/>
      <c r="CA122" s="50"/>
      <c r="CB122" s="50"/>
      <c r="CC122" s="50"/>
      <c r="CD122" s="50"/>
      <c r="CE122" s="50"/>
      <c r="CF122" s="50"/>
      <c r="CG122" s="50"/>
      <c r="CH122" s="50"/>
      <c r="CI122" s="50"/>
      <c r="CJ122" s="50"/>
      <c r="CK122" s="50"/>
      <c r="CL122" s="50"/>
      <c r="CM122" s="50"/>
      <c r="CN122" s="50"/>
      <c r="CO122" s="50"/>
      <c r="CP122" s="50"/>
      <c r="CQ122" s="50"/>
      <c r="CR122" s="50"/>
      <c r="CS122" s="50"/>
      <c r="CT122" s="50"/>
      <c r="CU122" s="50"/>
      <c r="CV122" s="50"/>
      <c r="CW122" s="50"/>
      <c r="CX122" s="50"/>
      <c r="CY122" s="50"/>
      <c r="CZ122" s="50"/>
      <c r="DA122" s="50"/>
      <c r="DB122" s="50"/>
      <c r="DC122" s="50"/>
      <c r="DD122" s="50"/>
      <c r="DE122" s="49"/>
      <c r="DF122" s="49"/>
      <c r="DG122" s="49"/>
      <c r="DH122" s="49"/>
      <c r="DI122" s="49"/>
      <c r="DJ122" s="49"/>
      <c r="DK122" s="49"/>
      <c r="DL122" s="49"/>
      <c r="DM122" s="49"/>
      <c r="DN122" s="49"/>
      <c r="DO122" s="49"/>
      <c r="DP122" s="49"/>
      <c r="DQ122" s="49"/>
      <c r="DR122" s="49"/>
      <c r="DS122" s="49"/>
      <c r="DT122" s="49"/>
      <c r="DU122" s="49"/>
      <c r="DV122" s="49"/>
      <c r="DW122" s="49"/>
      <c r="DX122" s="49"/>
      <c r="DY122" s="49"/>
      <c r="DZ122" s="49"/>
      <c r="EA122" s="49"/>
      <c r="EB122" s="49"/>
      <c r="EC122" s="49"/>
      <c r="ED122" s="49"/>
      <c r="EE122" s="50"/>
      <c r="EF122" s="50"/>
      <c r="EG122" s="50"/>
      <c r="EH122" s="50"/>
      <c r="EI122" s="50"/>
      <c r="EJ122" s="50"/>
      <c r="EK122" s="50"/>
      <c r="EL122" s="50"/>
      <c r="EM122" s="50"/>
      <c r="EN122" s="50"/>
      <c r="EO122" s="50"/>
      <c r="EP122" s="50"/>
      <c r="EQ122" s="50"/>
      <c r="ER122" s="50"/>
      <c r="ES122" s="50"/>
      <c r="ET122" s="50"/>
      <c r="EU122" s="50"/>
      <c r="EV122" s="50"/>
      <c r="EW122" s="50"/>
      <c r="EX122" s="50"/>
      <c r="EY122" s="50"/>
      <c r="EZ122" s="50"/>
      <c r="FA122" s="50"/>
      <c r="FB122" s="50"/>
      <c r="FC122" s="50"/>
      <c r="FD122" s="50"/>
      <c r="FE122" s="50"/>
      <c r="FF122" s="50"/>
      <c r="FG122" s="50"/>
      <c r="FH122" s="50"/>
      <c r="FI122" s="50"/>
      <c r="FJ122" s="50"/>
      <c r="FK122" s="50"/>
      <c r="FL122" s="50"/>
      <c r="FM122" s="50"/>
      <c r="FN122" s="50"/>
    </row>
    <row r="123" spans="1:170" s="8" customFormat="1" ht="18" hidden="1" customHeight="1">
      <c r="A123" s="1976"/>
      <c r="B123" s="21"/>
      <c r="C123" s="395" t="s">
        <v>1416</v>
      </c>
      <c r="D123" s="395"/>
      <c r="E123" s="409"/>
      <c r="F123" s="395"/>
      <c r="G123" s="395"/>
      <c r="H123" s="395"/>
      <c r="I123" s="482" t="s">
        <v>537</v>
      </c>
      <c r="J123" s="397" t="s">
        <v>541</v>
      </c>
      <c r="K123" s="397"/>
      <c r="L123" s="483"/>
      <c r="M123" s="484">
        <f>M121*M120</f>
        <v>1.726419948441799</v>
      </c>
      <c r="N123" s="484">
        <f>N121*N120</f>
        <v>1.1066794541293579</v>
      </c>
      <c r="O123" s="484">
        <f>O121*O120</f>
        <v>2.2196827908537413</v>
      </c>
      <c r="P123" s="14">
        <v>0</v>
      </c>
      <c r="Q123" s="392">
        <v>0</v>
      </c>
      <c r="R123" s="14">
        <v>0</v>
      </c>
      <c r="S123" s="243"/>
      <c r="T123" s="89"/>
      <c r="U123" s="89"/>
      <c r="V123" s="64"/>
      <c r="W123" s="158"/>
      <c r="X123" s="158"/>
      <c r="Y123" s="64"/>
      <c r="Z123" s="158"/>
      <c r="AA123" s="158"/>
      <c r="AB123" s="65"/>
      <c r="AC123" s="89"/>
      <c r="AD123" s="89"/>
      <c r="AE123" s="7"/>
      <c r="AF123" s="7"/>
      <c r="AG123" s="7"/>
      <c r="AH123" s="7"/>
      <c r="AI123" s="7"/>
      <c r="AJ123" s="7"/>
      <c r="AK123" s="7"/>
      <c r="AL123" s="7"/>
      <c r="AM123" s="7"/>
      <c r="AN123" s="7"/>
      <c r="AO123" s="7"/>
      <c r="AP123" s="83"/>
      <c r="AQ123" s="83"/>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0"/>
      <c r="CA123" s="50"/>
      <c r="CB123" s="50"/>
      <c r="CC123" s="50"/>
      <c r="CD123" s="50"/>
      <c r="CE123" s="50"/>
      <c r="CF123" s="50"/>
      <c r="CG123" s="50"/>
      <c r="CH123" s="50"/>
      <c r="CI123" s="50"/>
      <c r="CJ123" s="50"/>
      <c r="CK123" s="50"/>
      <c r="CL123" s="50"/>
      <c r="CM123" s="50"/>
      <c r="CN123" s="50"/>
      <c r="CO123" s="50"/>
      <c r="CP123" s="50"/>
      <c r="CQ123" s="50"/>
      <c r="CR123" s="50"/>
      <c r="CS123" s="50"/>
      <c r="CT123" s="50"/>
      <c r="CU123" s="50"/>
      <c r="CV123" s="50"/>
      <c r="CW123" s="50"/>
      <c r="CX123" s="50"/>
      <c r="CY123" s="50"/>
      <c r="CZ123" s="50"/>
      <c r="DA123" s="50"/>
      <c r="DB123" s="50"/>
      <c r="DC123" s="50"/>
      <c r="DD123" s="50"/>
      <c r="DE123" s="49"/>
      <c r="DF123" s="49"/>
      <c r="DG123" s="49"/>
      <c r="DH123" s="49"/>
      <c r="DI123" s="49"/>
      <c r="DJ123" s="49"/>
      <c r="DK123" s="49"/>
      <c r="DL123" s="49"/>
      <c r="DM123" s="49"/>
      <c r="DN123" s="49"/>
      <c r="DO123" s="49"/>
      <c r="DP123" s="49"/>
      <c r="DQ123" s="49"/>
      <c r="DR123" s="49"/>
      <c r="DS123" s="49"/>
      <c r="DT123" s="49"/>
      <c r="DU123" s="49"/>
      <c r="DV123" s="49"/>
      <c r="DW123" s="49"/>
      <c r="DX123" s="49"/>
      <c r="DY123" s="49"/>
      <c r="DZ123" s="49"/>
      <c r="EA123" s="49"/>
      <c r="EB123" s="49"/>
      <c r="EC123" s="49"/>
      <c r="ED123" s="49"/>
      <c r="EE123" s="50"/>
      <c r="EF123" s="50"/>
      <c r="EG123" s="50"/>
      <c r="EH123" s="50"/>
      <c r="EI123" s="50"/>
      <c r="EJ123" s="50"/>
      <c r="EK123" s="50"/>
      <c r="EL123" s="50"/>
      <c r="EM123" s="50"/>
      <c r="EN123" s="50"/>
      <c r="EO123" s="50"/>
      <c r="EP123" s="50"/>
      <c r="EQ123" s="50"/>
      <c r="ER123" s="50"/>
      <c r="ES123" s="50"/>
      <c r="ET123" s="50"/>
      <c r="EU123" s="50"/>
      <c r="EV123" s="50"/>
      <c r="EW123" s="50"/>
      <c r="EX123" s="50"/>
      <c r="EY123" s="50"/>
      <c r="EZ123" s="50"/>
      <c r="FA123" s="50"/>
      <c r="FB123" s="50"/>
      <c r="FC123" s="50"/>
      <c r="FD123" s="50"/>
      <c r="FE123" s="50"/>
      <c r="FF123" s="50"/>
      <c r="FG123" s="50"/>
      <c r="FH123" s="50"/>
      <c r="FI123" s="50"/>
      <c r="FJ123" s="50"/>
      <c r="FK123" s="50"/>
      <c r="FL123" s="50"/>
      <c r="FM123" s="50"/>
      <c r="FN123" s="50"/>
    </row>
    <row r="124" spans="1:170" s="8" customFormat="1" ht="18" customHeight="1">
      <c r="A124" s="1976"/>
      <c r="B124" s="204"/>
      <c r="C124" s="14" t="str">
        <f>Begriffe!F55</f>
        <v xml:space="preserve">Jährliche Volllaststunden der Beleuchtung </v>
      </c>
      <c r="D124" s="14"/>
      <c r="E124" s="14"/>
      <c r="F124" s="14"/>
      <c r="G124" s="14"/>
      <c r="H124" s="14"/>
      <c r="I124" s="98" t="s">
        <v>447</v>
      </c>
      <c r="J124" s="377" t="s">
        <v>15</v>
      </c>
      <c r="K124" s="377"/>
      <c r="L124" s="93"/>
      <c r="M124" s="1755">
        <f>ROUND((M119)*$M55*$M56,0)</f>
        <v>846</v>
      </c>
      <c r="N124" s="1378">
        <f>ROUND((N119)*$M55*$M56,0)</f>
        <v>578</v>
      </c>
      <c r="O124" s="149">
        <f>ROUND((O119)*$M55*$M56,0)</f>
        <v>846</v>
      </c>
      <c r="P124" s="14">
        <v>1</v>
      </c>
      <c r="Q124" s="392">
        <v>1</v>
      </c>
      <c r="R124" s="14">
        <v>0</v>
      </c>
      <c r="S124" s="243"/>
      <c r="T124" s="89"/>
      <c r="U124" s="89"/>
      <c r="V124" s="64"/>
      <c r="W124" s="158"/>
      <c r="X124" s="158"/>
      <c r="Y124" s="64"/>
      <c r="Z124" s="158"/>
      <c r="AA124" s="158"/>
      <c r="AB124" s="65"/>
      <c r="AC124" s="89"/>
      <c r="AD124" s="89"/>
      <c r="AE124" s="7"/>
      <c r="AF124" s="7"/>
      <c r="AG124" s="7"/>
      <c r="AH124" s="7"/>
      <c r="AI124" s="7"/>
      <c r="AJ124" s="7"/>
      <c r="AK124" s="7"/>
      <c r="AL124" s="7"/>
      <c r="AM124" s="7"/>
      <c r="AN124" s="7"/>
      <c r="AO124" s="7"/>
      <c r="AP124" s="83"/>
      <c r="AQ124" s="83"/>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0"/>
      <c r="CA124" s="50"/>
      <c r="CB124" s="50"/>
      <c r="CC124" s="50"/>
      <c r="CD124" s="50"/>
      <c r="CE124" s="50"/>
      <c r="CF124" s="50"/>
      <c r="CG124" s="50"/>
      <c r="CH124" s="50"/>
      <c r="CI124" s="50"/>
      <c r="CJ124" s="50"/>
      <c r="CK124" s="50"/>
      <c r="CL124" s="50"/>
      <c r="CM124" s="50"/>
      <c r="CN124" s="50"/>
      <c r="CO124" s="50"/>
      <c r="CP124" s="50"/>
      <c r="CQ124" s="50"/>
      <c r="CR124" s="50"/>
      <c r="CS124" s="50"/>
      <c r="CT124" s="50"/>
      <c r="CU124" s="50"/>
      <c r="CV124" s="50"/>
      <c r="CW124" s="50"/>
      <c r="CX124" s="50"/>
      <c r="CY124" s="50"/>
      <c r="CZ124" s="50"/>
      <c r="DA124" s="50"/>
      <c r="DB124" s="50"/>
      <c r="DC124" s="50"/>
      <c r="DD124" s="50"/>
      <c r="DE124" s="49"/>
      <c r="DF124" s="49"/>
      <c r="DG124" s="49"/>
      <c r="DH124" s="49"/>
      <c r="DI124" s="49"/>
      <c r="DJ124" s="49"/>
      <c r="DK124" s="49"/>
      <c r="DL124" s="49"/>
      <c r="DM124" s="49"/>
      <c r="DN124" s="49"/>
      <c r="DO124" s="49"/>
      <c r="DP124" s="49"/>
      <c r="DQ124" s="49"/>
      <c r="DR124" s="49"/>
      <c r="DS124" s="49"/>
      <c r="DT124" s="49"/>
      <c r="DU124" s="49"/>
      <c r="DV124" s="49"/>
      <c r="DW124" s="49"/>
      <c r="DX124" s="49"/>
      <c r="DY124" s="49"/>
      <c r="DZ124" s="49"/>
      <c r="EA124" s="49"/>
      <c r="EB124" s="49"/>
      <c r="EC124" s="49"/>
      <c r="ED124" s="49"/>
      <c r="EE124" s="50"/>
      <c r="EF124" s="50"/>
      <c r="EG124" s="50"/>
      <c r="EH124" s="50"/>
      <c r="EI124" s="50"/>
      <c r="EJ124" s="50"/>
      <c r="EK124" s="50"/>
      <c r="EL124" s="50"/>
      <c r="EM124" s="50"/>
      <c r="EN124" s="50"/>
      <c r="EO124" s="50"/>
      <c r="EP124" s="50"/>
      <c r="EQ124" s="50"/>
      <c r="ER124" s="50"/>
      <c r="ES124" s="50"/>
      <c r="ET124" s="50"/>
      <c r="EU124" s="50"/>
      <c r="EV124" s="50"/>
      <c r="EW124" s="50"/>
      <c r="EX124" s="50"/>
      <c r="EY124" s="50"/>
      <c r="EZ124" s="50"/>
      <c r="FA124" s="50"/>
      <c r="FB124" s="50"/>
      <c r="FC124" s="50"/>
      <c r="FD124" s="50"/>
      <c r="FE124" s="50"/>
      <c r="FF124" s="50"/>
      <c r="FG124" s="50"/>
      <c r="FH124" s="50"/>
      <c r="FI124" s="50"/>
      <c r="FJ124" s="50"/>
      <c r="FK124" s="50"/>
      <c r="FL124" s="50"/>
      <c r="FM124" s="50"/>
      <c r="FN124" s="50"/>
    </row>
    <row r="125" spans="1:170" s="8" customFormat="1" ht="18" customHeight="1">
      <c r="A125" s="1977"/>
      <c r="B125" s="204"/>
      <c r="C125" s="13" t="str">
        <f>Begriffe!F61</f>
        <v>Jährlicher Elektrizitätsbedarf Beleuchtung</v>
      </c>
      <c r="D125" s="13"/>
      <c r="E125" s="13"/>
      <c r="F125" s="13"/>
      <c r="G125" s="13"/>
      <c r="H125" s="13"/>
      <c r="I125" s="98" t="s">
        <v>530</v>
      </c>
      <c r="J125" s="103" t="s">
        <v>62</v>
      </c>
      <c r="K125" s="103"/>
      <c r="L125" s="99"/>
      <c r="M125" s="1765">
        <f>M121/1000*M124</f>
        <v>2.5203750000000005</v>
      </c>
      <c r="N125" s="1383">
        <f>N121/1000*N124</f>
        <v>1.1038194444444445</v>
      </c>
      <c r="O125" s="100">
        <f>O121/1000*O124</f>
        <v>3.2404821428571435</v>
      </c>
      <c r="P125" s="14">
        <v>1</v>
      </c>
      <c r="Q125" s="392">
        <v>1</v>
      </c>
      <c r="R125" s="14">
        <v>1</v>
      </c>
      <c r="S125" s="243"/>
      <c r="T125" s="89"/>
      <c r="U125" s="158"/>
      <c r="V125" s="64"/>
      <c r="W125" s="158"/>
      <c r="X125" s="158"/>
      <c r="Y125" s="64"/>
      <c r="Z125" s="158"/>
      <c r="AA125" s="158"/>
      <c r="AB125" s="65"/>
      <c r="AC125" s="89"/>
      <c r="AD125" s="89"/>
      <c r="AE125" s="7"/>
      <c r="AF125" s="7"/>
      <c r="AG125" s="7"/>
      <c r="AH125" s="7"/>
      <c r="AI125" s="7"/>
      <c r="AJ125" s="7"/>
      <c r="AK125" s="7"/>
      <c r="AL125" s="7"/>
      <c r="AM125" s="7"/>
      <c r="AN125" s="7"/>
      <c r="AO125" s="83"/>
      <c r="AP125" s="83"/>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0"/>
      <c r="CA125" s="50"/>
      <c r="CB125" s="50"/>
      <c r="CC125" s="50"/>
      <c r="CD125" s="50"/>
      <c r="CE125" s="50"/>
      <c r="CF125" s="50"/>
      <c r="CG125" s="50"/>
      <c r="CH125" s="50"/>
      <c r="CI125" s="50"/>
      <c r="CJ125" s="50"/>
      <c r="CK125" s="50"/>
      <c r="CL125" s="50"/>
      <c r="CM125" s="50"/>
      <c r="CN125" s="50"/>
      <c r="CO125" s="50"/>
      <c r="CP125" s="50"/>
      <c r="CQ125" s="50"/>
      <c r="CR125" s="50"/>
      <c r="CS125" s="50"/>
      <c r="CT125" s="50"/>
      <c r="CU125" s="50"/>
      <c r="CV125" s="50"/>
      <c r="CW125" s="50"/>
      <c r="CX125" s="50"/>
      <c r="CY125" s="50"/>
      <c r="CZ125" s="50"/>
      <c r="DA125" s="50"/>
      <c r="DB125" s="50"/>
      <c r="DC125" s="50"/>
      <c r="DD125" s="49"/>
      <c r="DE125" s="49"/>
      <c r="DF125" s="49"/>
      <c r="DG125" s="49"/>
      <c r="DH125" s="49"/>
      <c r="DI125" s="49"/>
      <c r="DJ125" s="49"/>
      <c r="DK125" s="49"/>
      <c r="DL125" s="49"/>
      <c r="DM125" s="49"/>
      <c r="DN125" s="49"/>
      <c r="DO125" s="49"/>
      <c r="DP125" s="49"/>
      <c r="DQ125" s="49"/>
      <c r="DR125" s="49"/>
      <c r="DS125" s="49"/>
      <c r="DT125" s="49"/>
      <c r="DU125" s="49"/>
      <c r="DV125" s="49"/>
      <c r="DW125" s="49"/>
      <c r="DX125" s="49"/>
      <c r="DY125" s="49"/>
      <c r="DZ125" s="49"/>
      <c r="EA125" s="49"/>
      <c r="EB125" s="49"/>
      <c r="EC125" s="49"/>
      <c r="ED125" s="50"/>
      <c r="EE125" s="50"/>
      <c r="EF125" s="50"/>
      <c r="EG125" s="50"/>
      <c r="EH125" s="50"/>
      <c r="EI125" s="50"/>
      <c r="EJ125" s="50"/>
      <c r="EK125" s="50"/>
      <c r="EL125" s="50"/>
      <c r="EM125" s="50"/>
      <c r="EN125" s="50"/>
      <c r="EO125" s="50"/>
      <c r="EP125" s="50"/>
      <c r="EQ125" s="50"/>
      <c r="ER125" s="50"/>
      <c r="ES125" s="50"/>
      <c r="ET125" s="50"/>
      <c r="EU125" s="50"/>
      <c r="EV125" s="50"/>
      <c r="EW125" s="50"/>
      <c r="EX125" s="50"/>
      <c r="EY125" s="50"/>
      <c r="EZ125" s="50"/>
      <c r="FA125" s="50"/>
      <c r="FB125" s="50"/>
      <c r="FC125" s="50"/>
      <c r="FD125" s="50"/>
      <c r="FE125" s="50"/>
      <c r="FF125" s="50"/>
      <c r="FG125" s="50"/>
      <c r="FH125" s="50"/>
      <c r="FI125" s="50"/>
      <c r="FJ125" s="50"/>
      <c r="FK125" s="50"/>
      <c r="FL125" s="50"/>
      <c r="FM125" s="50"/>
    </row>
    <row r="126" spans="1:170" s="5" customFormat="1" ht="2.25" customHeight="1">
      <c r="A126" s="113"/>
      <c r="B126" s="495"/>
      <c r="C126" s="114"/>
      <c r="D126" s="114"/>
      <c r="E126" s="114"/>
      <c r="F126" s="114"/>
      <c r="G126" s="114"/>
      <c r="H126" s="114"/>
      <c r="I126" s="114"/>
      <c r="J126" s="114"/>
      <c r="K126" s="121"/>
      <c r="L126" s="122"/>
      <c r="M126" s="1766"/>
      <c r="N126" s="1733"/>
      <c r="O126" s="136"/>
      <c r="P126" s="14">
        <v>0</v>
      </c>
      <c r="Q126" s="392">
        <v>1</v>
      </c>
      <c r="R126" s="14">
        <v>0</v>
      </c>
      <c r="S126" s="618"/>
      <c r="T126" s="147"/>
      <c r="U126" s="138"/>
      <c r="V126" s="27"/>
      <c r="W126" s="138"/>
      <c r="X126" s="138"/>
      <c r="Y126" s="27"/>
      <c r="Z126" s="138"/>
      <c r="AA126" s="138"/>
      <c r="AB126" s="36"/>
      <c r="AC126" s="147"/>
      <c r="AD126" s="147"/>
      <c r="AE126" s="36"/>
      <c r="AF126" s="36"/>
      <c r="AG126" s="36"/>
      <c r="AH126" s="36"/>
      <c r="AI126" s="36"/>
      <c r="AJ126" s="36"/>
      <c r="AK126" s="36"/>
      <c r="AL126" s="36"/>
      <c r="AM126" s="84"/>
      <c r="AN126" s="84"/>
      <c r="AO126" s="85"/>
      <c r="AP126" s="85"/>
      <c r="AQ126" s="54"/>
      <c r="AR126" s="54"/>
      <c r="AS126" s="54"/>
      <c r="AT126" s="54"/>
      <c r="AU126" s="54"/>
      <c r="AV126" s="54"/>
      <c r="AW126" s="54"/>
      <c r="AX126" s="54"/>
      <c r="AY126" s="54"/>
      <c r="AZ126" s="54"/>
      <c r="BA126" s="54"/>
      <c r="BB126" s="54"/>
      <c r="BC126" s="54"/>
      <c r="BD126" s="54"/>
      <c r="BE126" s="54"/>
      <c r="BF126" s="54"/>
      <c r="BG126" s="54"/>
      <c r="BH126" s="54"/>
      <c r="BI126" s="54"/>
      <c r="BJ126" s="54"/>
      <c r="BK126" s="54"/>
      <c r="BL126" s="54"/>
      <c r="BM126" s="54"/>
      <c r="BN126" s="54"/>
      <c r="BO126" s="54"/>
      <c r="BP126" s="54"/>
      <c r="BQ126" s="54"/>
      <c r="BR126" s="54"/>
      <c r="BS126" s="54"/>
      <c r="BT126" s="54"/>
      <c r="BU126" s="54"/>
      <c r="BV126" s="54"/>
      <c r="BW126" s="54"/>
      <c r="BX126" s="54"/>
      <c r="BY126" s="54"/>
      <c r="BZ126" s="54"/>
      <c r="CA126" s="54"/>
      <c r="CB126" s="54"/>
      <c r="CC126" s="54"/>
      <c r="CD126" s="54"/>
      <c r="CE126" s="54"/>
      <c r="CF126" s="54"/>
      <c r="CG126" s="54"/>
      <c r="CH126" s="54"/>
      <c r="CI126" s="54"/>
      <c r="CJ126" s="54"/>
      <c r="CK126" s="54"/>
      <c r="CL126" s="54"/>
      <c r="CM126" s="54"/>
      <c r="CN126" s="54"/>
      <c r="CO126" s="54"/>
      <c r="CP126" s="54"/>
      <c r="CQ126" s="54"/>
      <c r="CR126" s="54"/>
      <c r="CS126" s="54"/>
      <c r="CT126" s="54"/>
      <c r="CU126" s="55"/>
      <c r="CV126" s="55"/>
      <c r="CW126" s="55"/>
      <c r="CX126" s="55"/>
      <c r="CY126" s="55"/>
      <c r="CZ126" s="55"/>
      <c r="DA126" s="55"/>
      <c r="DB126" s="55"/>
      <c r="DC126" s="55"/>
      <c r="DD126" s="55"/>
      <c r="DE126" s="55"/>
      <c r="DF126" s="55"/>
      <c r="DG126" s="55"/>
      <c r="DH126" s="55"/>
      <c r="DI126" s="55"/>
      <c r="DJ126" s="55"/>
      <c r="DK126" s="55"/>
      <c r="DL126" s="55"/>
      <c r="DM126" s="55"/>
      <c r="DN126" s="55"/>
      <c r="DO126" s="55"/>
      <c r="DP126" s="55"/>
      <c r="DQ126" s="55"/>
      <c r="DR126" s="55"/>
      <c r="DS126" s="55"/>
      <c r="DT126" s="55"/>
      <c r="DU126" s="55"/>
      <c r="DV126" s="55"/>
      <c r="DW126" s="55"/>
      <c r="DX126" s="55"/>
      <c r="DY126" s="55"/>
      <c r="DZ126" s="55"/>
      <c r="EA126" s="55"/>
      <c r="EB126" s="55"/>
      <c r="EC126" s="55"/>
      <c r="ED126" s="53"/>
      <c r="EE126" s="53"/>
      <c r="EF126" s="53"/>
      <c r="EG126" s="53"/>
      <c r="EH126" s="53"/>
      <c r="EI126" s="53"/>
      <c r="EJ126" s="53"/>
      <c r="EK126" s="53"/>
      <c r="EL126" s="53"/>
      <c r="EM126" s="53"/>
      <c r="EN126" s="53"/>
      <c r="EO126" s="53"/>
      <c r="EP126" s="53"/>
      <c r="EQ126" s="53"/>
      <c r="ER126" s="53"/>
      <c r="ES126" s="53"/>
      <c r="ET126" s="53"/>
      <c r="EU126" s="53"/>
      <c r="EV126" s="53"/>
      <c r="EW126" s="53"/>
      <c r="EX126" s="53"/>
      <c r="EY126" s="53"/>
      <c r="EZ126" s="53"/>
      <c r="FA126" s="53"/>
      <c r="FB126" s="53"/>
      <c r="FC126" s="53"/>
      <c r="FD126" s="53"/>
      <c r="FE126" s="53"/>
      <c r="FF126" s="53"/>
      <c r="FG126" s="53"/>
      <c r="FH126" s="53"/>
      <c r="FI126" s="53"/>
      <c r="FJ126" s="53"/>
      <c r="FK126" s="53"/>
      <c r="FL126" s="53"/>
      <c r="FM126" s="53"/>
    </row>
    <row r="127" spans="1:170" s="5" customFormat="1" ht="18.75" customHeight="1">
      <c r="A127" s="104"/>
      <c r="B127" s="104"/>
      <c r="C127" s="104" t="str">
        <f>C2</f>
        <v>Wohnen MFH</v>
      </c>
      <c r="D127" s="104"/>
      <c r="E127" s="104"/>
      <c r="F127" s="104"/>
      <c r="G127" s="104"/>
      <c r="H127" s="104"/>
      <c r="I127" s="105"/>
      <c r="J127" s="106"/>
      <c r="K127" s="106"/>
      <c r="L127" s="107"/>
      <c r="M127" s="1767"/>
      <c r="N127" s="108"/>
      <c r="O127" s="109">
        <f>O2</f>
        <v>1.01</v>
      </c>
      <c r="P127" s="14">
        <v>0</v>
      </c>
      <c r="Q127" s="392">
        <v>1</v>
      </c>
      <c r="R127" s="14">
        <v>0</v>
      </c>
      <c r="S127" s="618"/>
      <c r="T127" s="147"/>
      <c r="U127" s="138"/>
      <c r="V127" s="27"/>
      <c r="W127" s="138"/>
      <c r="X127" s="138"/>
      <c r="Y127" s="27"/>
      <c r="Z127" s="138"/>
      <c r="AA127" s="138"/>
      <c r="AB127" s="36"/>
      <c r="AC127" s="147"/>
      <c r="AD127" s="147"/>
      <c r="AE127" s="36"/>
      <c r="AF127" s="36"/>
      <c r="AG127" s="36"/>
      <c r="AH127" s="36"/>
      <c r="AI127" s="36"/>
      <c r="AJ127" s="36"/>
      <c r="AK127" s="36"/>
      <c r="AL127" s="36"/>
      <c r="AM127" s="84"/>
      <c r="AN127" s="84"/>
      <c r="AO127" s="85"/>
      <c r="AP127" s="85"/>
      <c r="AQ127" s="54"/>
      <c r="AR127" s="54"/>
      <c r="AS127" s="54"/>
      <c r="AT127" s="54"/>
      <c r="AU127" s="54"/>
      <c r="AV127" s="54"/>
      <c r="AW127" s="54"/>
      <c r="AX127" s="54"/>
      <c r="AY127" s="54"/>
      <c r="AZ127" s="54"/>
      <c r="BA127" s="54"/>
      <c r="BB127" s="54"/>
      <c r="BC127" s="54"/>
      <c r="BD127" s="54"/>
      <c r="BE127" s="54"/>
      <c r="BF127" s="54"/>
      <c r="BG127" s="54"/>
      <c r="BH127" s="54"/>
      <c r="BI127" s="54"/>
      <c r="BJ127" s="54"/>
      <c r="BK127" s="54"/>
      <c r="BL127" s="54"/>
      <c r="BM127" s="54"/>
      <c r="BN127" s="54"/>
      <c r="BO127" s="54"/>
      <c r="BP127" s="54"/>
      <c r="BQ127" s="54"/>
      <c r="BR127" s="54"/>
      <c r="BS127" s="54"/>
      <c r="BT127" s="54"/>
      <c r="BU127" s="54"/>
      <c r="BV127" s="54"/>
      <c r="BW127" s="54"/>
      <c r="BX127" s="54"/>
      <c r="BY127" s="54"/>
      <c r="BZ127" s="54"/>
      <c r="CA127" s="54"/>
      <c r="CB127" s="54"/>
      <c r="CC127" s="54"/>
      <c r="CD127" s="54"/>
      <c r="CE127" s="54"/>
      <c r="CF127" s="54"/>
      <c r="CG127" s="54"/>
      <c r="CH127" s="54"/>
      <c r="CI127" s="54"/>
      <c r="CJ127" s="54"/>
      <c r="CK127" s="54"/>
      <c r="CL127" s="54"/>
      <c r="CM127" s="54"/>
      <c r="CN127" s="54"/>
      <c r="CO127" s="54"/>
      <c r="CP127" s="54"/>
      <c r="CQ127" s="54"/>
      <c r="CR127" s="54"/>
      <c r="CS127" s="54"/>
      <c r="CT127" s="54"/>
      <c r="CU127" s="55"/>
      <c r="CV127" s="55"/>
      <c r="CW127" s="55"/>
      <c r="CX127" s="55"/>
      <c r="CY127" s="55"/>
      <c r="CZ127" s="55"/>
      <c r="DA127" s="55"/>
      <c r="DB127" s="55"/>
      <c r="DC127" s="55"/>
      <c r="DD127" s="55"/>
      <c r="DE127" s="55"/>
      <c r="DF127" s="55"/>
      <c r="DG127" s="55"/>
      <c r="DH127" s="55"/>
      <c r="DI127" s="55"/>
      <c r="DJ127" s="55"/>
      <c r="DK127" s="55"/>
      <c r="DL127" s="55"/>
      <c r="DM127" s="55"/>
      <c r="DN127" s="55"/>
      <c r="DO127" s="55"/>
      <c r="DP127" s="55"/>
      <c r="DQ127" s="55"/>
      <c r="DR127" s="55"/>
      <c r="DS127" s="55"/>
      <c r="DT127" s="55"/>
      <c r="DU127" s="55"/>
      <c r="DV127" s="55"/>
      <c r="DW127" s="55"/>
      <c r="DX127" s="55"/>
      <c r="DY127" s="55"/>
      <c r="DZ127" s="55"/>
      <c r="EA127" s="55"/>
      <c r="EB127" s="55"/>
      <c r="EC127" s="55"/>
      <c r="ED127" s="53"/>
      <c r="EE127" s="53"/>
      <c r="EF127" s="53"/>
      <c r="EG127" s="53"/>
      <c r="EH127" s="53"/>
      <c r="EI127" s="53"/>
      <c r="EJ127" s="53"/>
      <c r="EK127" s="53"/>
      <c r="EL127" s="53"/>
      <c r="EM127" s="53"/>
      <c r="EN127" s="53"/>
      <c r="EO127" s="53"/>
      <c r="EP127" s="53"/>
      <c r="EQ127" s="53"/>
      <c r="ER127" s="53"/>
      <c r="ES127" s="53"/>
      <c r="ET127" s="53"/>
      <c r="EU127" s="53"/>
      <c r="EV127" s="53"/>
      <c r="EW127" s="53"/>
      <c r="EX127" s="53"/>
      <c r="EY127" s="53"/>
      <c r="EZ127" s="53"/>
      <c r="FA127" s="53"/>
      <c r="FB127" s="53"/>
      <c r="FC127" s="53"/>
      <c r="FD127" s="53"/>
      <c r="FE127" s="53"/>
      <c r="FF127" s="53"/>
      <c r="FG127" s="53"/>
      <c r="FH127" s="53"/>
      <c r="FI127" s="53"/>
      <c r="FJ127" s="53"/>
      <c r="FK127" s="53"/>
      <c r="FL127" s="53"/>
      <c r="FM127" s="53"/>
    </row>
    <row r="128" spans="1:170" s="5" customFormat="1" ht="1.5" customHeight="1">
      <c r="A128" s="104"/>
      <c r="B128" s="104"/>
      <c r="C128" s="110"/>
      <c r="D128" s="110"/>
      <c r="E128" s="110"/>
      <c r="F128" s="104"/>
      <c r="G128" s="104"/>
      <c r="H128" s="104"/>
      <c r="I128" s="105"/>
      <c r="J128" s="106"/>
      <c r="K128" s="106"/>
      <c r="L128" s="107"/>
      <c r="M128" s="1767"/>
      <c r="N128" s="108"/>
      <c r="O128" s="109"/>
      <c r="P128" s="14">
        <v>0</v>
      </c>
      <c r="Q128" s="392">
        <v>1</v>
      </c>
      <c r="R128" s="14">
        <v>0</v>
      </c>
      <c r="S128" s="618"/>
      <c r="T128" s="147"/>
      <c r="U128" s="138"/>
      <c r="V128" s="27"/>
      <c r="W128" s="138"/>
      <c r="X128" s="138"/>
      <c r="Y128" s="27"/>
      <c r="Z128" s="138"/>
      <c r="AA128" s="138"/>
      <c r="AB128" s="36"/>
      <c r="AC128" s="147"/>
      <c r="AD128" s="147"/>
      <c r="AE128" s="36"/>
      <c r="AF128" s="36"/>
      <c r="AG128" s="36"/>
      <c r="AH128" s="36"/>
      <c r="AI128" s="36"/>
      <c r="AJ128" s="36"/>
      <c r="AK128" s="36"/>
      <c r="AL128" s="36"/>
      <c r="AM128" s="84"/>
      <c r="AN128" s="84"/>
      <c r="AO128" s="85"/>
      <c r="AP128" s="85"/>
      <c r="AQ128" s="54"/>
      <c r="AR128" s="54"/>
      <c r="AS128" s="54"/>
      <c r="AT128" s="54"/>
      <c r="AU128" s="54"/>
      <c r="AV128" s="54"/>
      <c r="AW128" s="54"/>
      <c r="AX128" s="54"/>
      <c r="AY128" s="54"/>
      <c r="AZ128" s="54"/>
      <c r="BA128" s="54"/>
      <c r="BB128" s="54"/>
      <c r="BC128" s="54"/>
      <c r="BD128" s="54"/>
      <c r="BE128" s="54"/>
      <c r="BF128" s="54"/>
      <c r="BG128" s="54"/>
      <c r="BH128" s="54"/>
      <c r="BI128" s="54"/>
      <c r="BJ128" s="54"/>
      <c r="BK128" s="54"/>
      <c r="BL128" s="54"/>
      <c r="BM128" s="54"/>
      <c r="BN128" s="54"/>
      <c r="BO128" s="54"/>
      <c r="BP128" s="54"/>
      <c r="BQ128" s="54"/>
      <c r="BR128" s="54"/>
      <c r="BS128" s="54"/>
      <c r="BT128" s="54"/>
      <c r="BU128" s="54"/>
      <c r="BV128" s="54"/>
      <c r="BW128" s="54"/>
      <c r="BX128" s="54"/>
      <c r="BY128" s="54"/>
      <c r="BZ128" s="54"/>
      <c r="CA128" s="54"/>
      <c r="CB128" s="54"/>
      <c r="CC128" s="54"/>
      <c r="CD128" s="54"/>
      <c r="CE128" s="54"/>
      <c r="CF128" s="54"/>
      <c r="CG128" s="54"/>
      <c r="CH128" s="54"/>
      <c r="CI128" s="54"/>
      <c r="CJ128" s="54"/>
      <c r="CK128" s="54"/>
      <c r="CL128" s="54"/>
      <c r="CM128" s="54"/>
      <c r="CN128" s="54"/>
      <c r="CO128" s="54"/>
      <c r="CP128" s="54"/>
      <c r="CQ128" s="54"/>
      <c r="CR128" s="54"/>
      <c r="CS128" s="54"/>
      <c r="CT128" s="54"/>
      <c r="CU128" s="55"/>
      <c r="CV128" s="55"/>
      <c r="CW128" s="55"/>
      <c r="CX128" s="55"/>
      <c r="CY128" s="55"/>
      <c r="CZ128" s="55"/>
      <c r="DA128" s="55"/>
      <c r="DB128" s="55"/>
      <c r="DC128" s="55"/>
      <c r="DD128" s="55"/>
      <c r="DE128" s="55"/>
      <c r="DF128" s="55"/>
      <c r="DG128" s="55"/>
      <c r="DH128" s="55"/>
      <c r="DI128" s="55"/>
      <c r="DJ128" s="55"/>
      <c r="DK128" s="55"/>
      <c r="DL128" s="55"/>
      <c r="DM128" s="55"/>
      <c r="DN128" s="55"/>
      <c r="DO128" s="55"/>
      <c r="DP128" s="55"/>
      <c r="DQ128" s="55"/>
      <c r="DR128" s="55"/>
      <c r="DS128" s="55"/>
      <c r="DT128" s="55"/>
      <c r="DU128" s="55"/>
      <c r="DV128" s="55"/>
      <c r="DW128" s="55"/>
      <c r="DX128" s="55"/>
      <c r="DY128" s="55"/>
      <c r="DZ128" s="55"/>
      <c r="EA128" s="55"/>
      <c r="EB128" s="55"/>
      <c r="EC128" s="55"/>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3"/>
      <c r="FK128" s="53"/>
      <c r="FL128" s="53"/>
      <c r="FM128" s="53"/>
    </row>
    <row r="129" spans="1:170" s="5" customFormat="1" ht="18" customHeight="1">
      <c r="A129" s="117"/>
      <c r="B129" s="117"/>
      <c r="C129" s="118"/>
      <c r="D129" s="118"/>
      <c r="E129" s="118"/>
      <c r="F129" s="118"/>
      <c r="G129" s="118"/>
      <c r="H129" s="118"/>
      <c r="I129" s="200" t="str">
        <f>I4</f>
        <v>Symbol</v>
      </c>
      <c r="J129" s="119" t="str">
        <f>J4</f>
        <v>Einheit</v>
      </c>
      <c r="K129" s="119"/>
      <c r="L129" s="266" t="str">
        <f>L4</f>
        <v>Projektwert</v>
      </c>
      <c r="M129" s="1768" t="str">
        <f>M4</f>
        <v>Projektwert</v>
      </c>
      <c r="N129" s="1739" t="str">
        <f>N4</f>
        <v>Zielwert</v>
      </c>
      <c r="O129" s="266" t="str">
        <f>O4</f>
        <v>Bestand</v>
      </c>
      <c r="P129" s="14">
        <v>0</v>
      </c>
      <c r="Q129" s="392">
        <v>1</v>
      </c>
      <c r="R129" s="14">
        <v>0</v>
      </c>
      <c r="S129" s="618"/>
      <c r="T129" s="147"/>
      <c r="U129" s="138"/>
      <c r="V129" s="27"/>
      <c r="W129" s="138"/>
      <c r="X129" s="138"/>
      <c r="Y129" s="27"/>
      <c r="Z129" s="138"/>
      <c r="AA129" s="138"/>
      <c r="AB129" s="36"/>
      <c r="AC129" s="147"/>
      <c r="AD129" s="147"/>
      <c r="AE129" s="36"/>
      <c r="AF129" s="36"/>
      <c r="AG129" s="36"/>
      <c r="AH129" s="36"/>
      <c r="AI129" s="36"/>
      <c r="AJ129" s="36"/>
      <c r="AK129" s="36"/>
      <c r="AL129" s="36"/>
      <c r="AM129" s="84"/>
      <c r="AN129" s="84"/>
      <c r="AO129" s="85"/>
      <c r="AP129" s="85"/>
      <c r="AQ129" s="54"/>
      <c r="AR129" s="54"/>
      <c r="AS129" s="54"/>
      <c r="AT129" s="54"/>
      <c r="AU129" s="54"/>
      <c r="AV129" s="54"/>
      <c r="AW129" s="54"/>
      <c r="AX129" s="54"/>
      <c r="AY129" s="54"/>
      <c r="AZ129" s="54"/>
      <c r="BA129" s="54"/>
      <c r="BB129" s="54"/>
      <c r="BC129" s="54"/>
      <c r="BD129" s="54"/>
      <c r="BE129" s="54"/>
      <c r="BF129" s="54"/>
      <c r="BG129" s="54"/>
      <c r="BH129" s="54"/>
      <c r="BI129" s="54"/>
      <c r="BJ129" s="54"/>
      <c r="BK129" s="54"/>
      <c r="BL129" s="54"/>
      <c r="BM129" s="54"/>
      <c r="BN129" s="54"/>
      <c r="BO129" s="54"/>
      <c r="BP129" s="54"/>
      <c r="BQ129" s="54"/>
      <c r="BR129" s="54"/>
      <c r="BS129" s="54"/>
      <c r="BT129" s="54"/>
      <c r="BU129" s="54"/>
      <c r="BV129" s="54"/>
      <c r="BW129" s="54"/>
      <c r="BX129" s="54"/>
      <c r="BY129" s="54"/>
      <c r="BZ129" s="54"/>
      <c r="CA129" s="54"/>
      <c r="CB129" s="54"/>
      <c r="CC129" s="54"/>
      <c r="CD129" s="54"/>
      <c r="CE129" s="54"/>
      <c r="CF129" s="54"/>
      <c r="CG129" s="54"/>
      <c r="CH129" s="54"/>
      <c r="CI129" s="54"/>
      <c r="CJ129" s="54"/>
      <c r="CK129" s="54"/>
      <c r="CL129" s="54"/>
      <c r="CM129" s="54"/>
      <c r="CN129" s="54"/>
      <c r="CO129" s="54"/>
      <c r="CP129" s="54"/>
      <c r="CQ129" s="54"/>
      <c r="CR129" s="54"/>
      <c r="CS129" s="54"/>
      <c r="CT129" s="54"/>
      <c r="CU129" s="55"/>
      <c r="CV129" s="55"/>
      <c r="CW129" s="55"/>
      <c r="CX129" s="55"/>
      <c r="CY129" s="55"/>
      <c r="CZ129" s="55"/>
      <c r="DA129" s="55"/>
      <c r="DB129" s="55"/>
      <c r="DC129" s="55"/>
      <c r="DD129" s="55"/>
      <c r="DE129" s="55"/>
      <c r="DF129" s="55"/>
      <c r="DG129" s="55"/>
      <c r="DH129" s="55"/>
      <c r="DI129" s="55"/>
      <c r="DJ129" s="55"/>
      <c r="DK129" s="55"/>
      <c r="DL129" s="55"/>
      <c r="DM129" s="55"/>
      <c r="DN129" s="55"/>
      <c r="DO129" s="55"/>
      <c r="DP129" s="55"/>
      <c r="DQ129" s="55"/>
      <c r="DR129" s="55"/>
      <c r="DS129" s="55"/>
      <c r="DT129" s="55"/>
      <c r="DU129" s="55"/>
      <c r="DV129" s="55"/>
      <c r="DW129" s="55"/>
      <c r="DX129" s="55"/>
      <c r="DY129" s="55"/>
      <c r="DZ129" s="55"/>
      <c r="EA129" s="55"/>
      <c r="EB129" s="55"/>
      <c r="EC129" s="55"/>
      <c r="ED129" s="53"/>
      <c r="EE129" s="53"/>
      <c r="EF129" s="53"/>
      <c r="EG129" s="53"/>
      <c r="EH129" s="53"/>
      <c r="EI129" s="53"/>
      <c r="EJ129" s="53"/>
      <c r="EK129" s="53"/>
      <c r="EL129" s="53"/>
      <c r="EM129" s="53"/>
      <c r="EN129" s="53"/>
      <c r="EO129" s="53"/>
      <c r="EP129" s="53"/>
      <c r="EQ129" s="53"/>
      <c r="ER129" s="53"/>
      <c r="ES129" s="53"/>
      <c r="ET129" s="53"/>
      <c r="EU129" s="53"/>
      <c r="EV129" s="53"/>
      <c r="EW129" s="53"/>
      <c r="EX129" s="53"/>
      <c r="EY129" s="53"/>
      <c r="EZ129" s="53"/>
      <c r="FA129" s="53"/>
      <c r="FB129" s="53"/>
      <c r="FC129" s="53"/>
      <c r="FD129" s="53"/>
      <c r="FE129" s="53"/>
      <c r="FF129" s="53"/>
      <c r="FG129" s="53"/>
      <c r="FH129" s="53"/>
      <c r="FI129" s="53"/>
      <c r="FJ129" s="53"/>
      <c r="FK129" s="53"/>
      <c r="FL129" s="53"/>
      <c r="FM129" s="53"/>
    </row>
    <row r="130" spans="1:170" s="8" customFormat="1" ht="18" customHeight="1">
      <c r="A130" s="1978" t="str">
        <f>Begriffe!F219</f>
        <v>Lüftung</v>
      </c>
      <c r="B130" s="204"/>
      <c r="C130" s="14" t="str">
        <f>Begriffe!F31</f>
        <v>Aussenluft-Volumenstrom pro Person</v>
      </c>
      <c r="D130" s="14"/>
      <c r="E130" s="182"/>
      <c r="F130" s="14" t="str">
        <f>Begriffe!$F$361</f>
        <v>Mit unterstützender Fensterlüftung</v>
      </c>
      <c r="G130" s="14"/>
      <c r="H130" s="14"/>
      <c r="I130" s="98" t="s">
        <v>450</v>
      </c>
      <c r="J130" s="377" t="s">
        <v>546</v>
      </c>
      <c r="K130" s="243"/>
      <c r="L130" s="1558"/>
      <c r="M130" s="1752">
        <f>IF(L130&lt;&gt;"",L130,INDEX(Eingabedaten!$D$9:$DN$53,nutzid,MATCH($C130,Eingabedaten!$D$6:$DN$6,0)))</f>
        <v>29</v>
      </c>
      <c r="N130" s="1384"/>
      <c r="O130" s="102"/>
      <c r="P130" s="14">
        <v>0</v>
      </c>
      <c r="Q130" s="392">
        <v>1</v>
      </c>
      <c r="R130" s="14">
        <v>0</v>
      </c>
      <c r="S130" s="243"/>
      <c r="T130" s="89"/>
      <c r="U130" s="89"/>
      <c r="V130" s="64"/>
      <c r="W130" s="158" t="s">
        <v>56</v>
      </c>
      <c r="X130" s="158"/>
      <c r="Y130" s="64"/>
      <c r="Z130" s="158"/>
      <c r="AA130" s="158"/>
      <c r="AB130" s="65"/>
      <c r="AC130" s="89"/>
      <c r="AD130" s="89"/>
      <c r="AE130" s="7"/>
      <c r="AF130" s="7"/>
      <c r="AG130" s="7"/>
      <c r="AH130" s="7"/>
      <c r="AI130" s="7"/>
      <c r="AJ130" s="7"/>
      <c r="AK130" s="7"/>
      <c r="AL130" s="7"/>
      <c r="AM130" s="7"/>
      <c r="AN130" s="7"/>
      <c r="AO130" s="7"/>
      <c r="AP130" s="83"/>
      <c r="AQ130" s="83"/>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0"/>
      <c r="CA130" s="50"/>
      <c r="CB130" s="50"/>
      <c r="CC130" s="50"/>
      <c r="CD130" s="50"/>
      <c r="CE130" s="50"/>
      <c r="CF130" s="50"/>
      <c r="CG130" s="50"/>
      <c r="CH130" s="50"/>
      <c r="CI130" s="50"/>
      <c r="CJ130" s="50"/>
      <c r="CK130" s="50"/>
      <c r="CL130" s="50"/>
      <c r="CM130" s="50"/>
      <c r="CN130" s="50"/>
      <c r="CO130" s="50"/>
      <c r="CP130" s="50"/>
      <c r="CQ130" s="50"/>
      <c r="CR130" s="50"/>
      <c r="CS130" s="50"/>
      <c r="CT130" s="50"/>
      <c r="CU130" s="50"/>
      <c r="CV130" s="50"/>
      <c r="CW130" s="50"/>
      <c r="CX130" s="50"/>
      <c r="CY130" s="50"/>
      <c r="CZ130" s="50"/>
      <c r="DA130" s="50"/>
      <c r="DB130" s="50"/>
      <c r="DC130" s="50"/>
      <c r="DD130" s="50"/>
      <c r="DE130" s="49"/>
      <c r="DF130" s="49"/>
      <c r="DG130" s="49"/>
      <c r="DH130" s="49"/>
      <c r="DI130" s="49"/>
      <c r="DJ130" s="49"/>
      <c r="DK130" s="49"/>
      <c r="DL130" s="49"/>
      <c r="DM130" s="49"/>
      <c r="DN130" s="49"/>
      <c r="DO130" s="49"/>
      <c r="DP130" s="49"/>
      <c r="DQ130" s="49"/>
      <c r="DR130" s="49"/>
      <c r="DS130" s="49"/>
      <c r="DT130" s="49"/>
      <c r="DU130" s="49"/>
      <c r="DV130" s="49"/>
      <c r="DW130" s="49"/>
      <c r="DX130" s="49"/>
      <c r="DY130" s="49"/>
      <c r="DZ130" s="49"/>
      <c r="EA130" s="49"/>
      <c r="EB130" s="49"/>
      <c r="EC130" s="49"/>
      <c r="ED130" s="49"/>
      <c r="EE130" s="50"/>
      <c r="EF130" s="50"/>
      <c r="EG130" s="50"/>
      <c r="EH130" s="50"/>
      <c r="EI130" s="50"/>
      <c r="EJ130" s="50"/>
      <c r="EK130" s="50"/>
      <c r="EL130" s="50"/>
      <c r="EM130" s="50"/>
      <c r="EN130" s="50"/>
      <c r="EO130" s="50"/>
      <c r="EP130" s="50"/>
      <c r="EQ130" s="50"/>
      <c r="ER130" s="50"/>
      <c r="ES130" s="50"/>
      <c r="ET130" s="50"/>
      <c r="EU130" s="50"/>
      <c r="EV130" s="50"/>
      <c r="EW130" s="50"/>
      <c r="EX130" s="50"/>
      <c r="EY130" s="50"/>
      <c r="EZ130" s="50"/>
      <c r="FA130" s="50"/>
      <c r="FB130" s="50"/>
      <c r="FC130" s="50"/>
      <c r="FD130" s="50"/>
      <c r="FE130" s="50"/>
      <c r="FF130" s="50"/>
      <c r="FG130" s="50"/>
      <c r="FH130" s="50"/>
      <c r="FI130" s="50"/>
      <c r="FJ130" s="50"/>
      <c r="FK130" s="50"/>
      <c r="FL130" s="50"/>
      <c r="FM130" s="50"/>
      <c r="FN130" s="50"/>
    </row>
    <row r="131" spans="1:170" s="8" customFormat="1" ht="15.75" hidden="1" customHeight="1">
      <c r="A131" s="1976"/>
      <c r="B131" s="21"/>
      <c r="C131" s="17" t="s">
        <v>55</v>
      </c>
      <c r="D131" s="17"/>
      <c r="E131" s="196"/>
      <c r="F131" s="17"/>
      <c r="G131" s="17"/>
      <c r="H131" s="17"/>
      <c r="I131" s="22" t="s">
        <v>16</v>
      </c>
      <c r="J131" s="24" t="s">
        <v>16</v>
      </c>
      <c r="K131" s="24"/>
      <c r="L131" s="19"/>
      <c r="M131" s="19" t="s">
        <v>36</v>
      </c>
      <c r="N131" s="20" t="s">
        <v>36</v>
      </c>
      <c r="O131" s="20" t="s">
        <v>36</v>
      </c>
      <c r="P131" s="14">
        <v>0</v>
      </c>
      <c r="Q131" s="392">
        <v>0</v>
      </c>
      <c r="R131" s="14">
        <v>0</v>
      </c>
      <c r="S131" s="243"/>
      <c r="T131" s="89"/>
      <c r="U131" s="89"/>
      <c r="V131" s="64"/>
      <c r="W131" s="158"/>
      <c r="X131" s="158"/>
      <c r="Y131" s="64"/>
      <c r="Z131" s="158"/>
      <c r="AA131" s="158"/>
      <c r="AB131" s="65"/>
      <c r="AC131" s="89"/>
      <c r="AD131" s="89"/>
      <c r="AE131" s="7"/>
      <c r="AF131" s="7"/>
      <c r="AG131" s="7"/>
      <c r="AH131" s="7"/>
      <c r="AI131" s="7"/>
      <c r="AJ131" s="7"/>
      <c r="AK131" s="7"/>
      <c r="AL131" s="7"/>
      <c r="AM131" s="7"/>
      <c r="AN131" s="7"/>
      <c r="AO131" s="7"/>
      <c r="AP131" s="83"/>
      <c r="AQ131" s="83"/>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0"/>
      <c r="CA131" s="50"/>
      <c r="CB131" s="50"/>
      <c r="CC131" s="50"/>
      <c r="CD131" s="50"/>
      <c r="CE131" s="50"/>
      <c r="CF131" s="50"/>
      <c r="CG131" s="50"/>
      <c r="CH131" s="50"/>
      <c r="CI131" s="50"/>
      <c r="CJ131" s="50"/>
      <c r="CK131" s="50"/>
      <c r="CL131" s="50"/>
      <c r="CM131" s="50"/>
      <c r="CN131" s="50"/>
      <c r="CO131" s="50"/>
      <c r="CP131" s="50"/>
      <c r="CQ131" s="50"/>
      <c r="CR131" s="50"/>
      <c r="CS131" s="50"/>
      <c r="CT131" s="50"/>
      <c r="CU131" s="50"/>
      <c r="CV131" s="50"/>
      <c r="CW131" s="50"/>
      <c r="CX131" s="50"/>
      <c r="CY131" s="50"/>
      <c r="CZ131" s="50"/>
      <c r="DA131" s="50"/>
      <c r="DB131" s="50"/>
      <c r="DC131" s="50"/>
      <c r="DD131" s="50"/>
      <c r="DE131" s="49"/>
      <c r="DF131" s="49"/>
      <c r="DG131" s="49"/>
      <c r="DH131" s="49"/>
      <c r="DI131" s="49"/>
      <c r="DJ131" s="49"/>
      <c r="DK131" s="49"/>
      <c r="DL131" s="49"/>
      <c r="DM131" s="49"/>
      <c r="DN131" s="49"/>
      <c r="DO131" s="49"/>
      <c r="DP131" s="49"/>
      <c r="DQ131" s="49"/>
      <c r="DR131" s="49"/>
      <c r="DS131" s="49"/>
      <c r="DT131" s="49"/>
      <c r="DU131" s="49"/>
      <c r="DV131" s="49"/>
      <c r="DW131" s="49"/>
      <c r="DX131" s="49"/>
      <c r="DY131" s="49"/>
      <c r="DZ131" s="49"/>
      <c r="EA131" s="49"/>
      <c r="EB131" s="49"/>
      <c r="EC131" s="49"/>
      <c r="ED131" s="49"/>
      <c r="EE131" s="50"/>
      <c r="EF131" s="50"/>
      <c r="EG131" s="50"/>
      <c r="EH131" s="50"/>
      <c r="EI131" s="50"/>
      <c r="EJ131" s="50"/>
      <c r="EK131" s="50"/>
      <c r="EL131" s="50"/>
      <c r="EM131" s="50"/>
      <c r="EN131" s="50"/>
      <c r="EO131" s="50"/>
      <c r="EP131" s="50"/>
      <c r="EQ131" s="50"/>
      <c r="ER131" s="50"/>
      <c r="ES131" s="50"/>
      <c r="ET131" s="50"/>
      <c r="EU131" s="50"/>
      <c r="EV131" s="50"/>
      <c r="EW131" s="50"/>
      <c r="EX131" s="50"/>
      <c r="EY131" s="50"/>
      <c r="EZ131" s="50"/>
      <c r="FA131" s="50"/>
      <c r="FB131" s="50"/>
      <c r="FC131" s="50"/>
      <c r="FD131" s="50"/>
      <c r="FE131" s="50"/>
      <c r="FF131" s="50"/>
      <c r="FG131" s="50"/>
      <c r="FH131" s="50"/>
      <c r="FI131" s="50"/>
      <c r="FJ131" s="50"/>
      <c r="FK131" s="50"/>
      <c r="FL131" s="50"/>
      <c r="FM131" s="50"/>
      <c r="FN131" s="50"/>
    </row>
    <row r="132" spans="1:170" s="8" customFormat="1" ht="16.5" hidden="1" customHeight="1">
      <c r="A132" s="1976"/>
      <c r="B132" s="21"/>
      <c r="C132" s="395" t="s">
        <v>1470</v>
      </c>
      <c r="D132" s="17"/>
      <c r="E132" s="196"/>
      <c r="F132" s="17"/>
      <c r="G132" s="17"/>
      <c r="H132" s="17"/>
      <c r="I132" s="22" t="s">
        <v>451</v>
      </c>
      <c r="J132" s="24" t="s">
        <v>15</v>
      </c>
      <c r="K132" s="24"/>
      <c r="L132" s="19"/>
      <c r="M132" s="20">
        <f>IF(M136="IDA-C3",Profile!$O611,IF(M136="IDA-C4",Profile!$Q611,Profile!$U611))</f>
        <v>8760</v>
      </c>
      <c r="N132" s="20">
        <f>IF(N136="IDA-C3",Profile!$O611,IF(N136="IDA-C4",Profile!$Q611,Profile!$U611))</f>
        <v>7540</v>
      </c>
      <c r="O132" s="20">
        <f>IF(O136="IDA-C3",Profile!$O611,IF(O136="IDA-C4",Profile!$Q611,Profile!$U611))</f>
        <v>5750</v>
      </c>
      <c r="P132" s="14">
        <v>0</v>
      </c>
      <c r="Q132" s="392">
        <v>0</v>
      </c>
      <c r="R132" s="14">
        <v>0</v>
      </c>
      <c r="S132" s="243" t="s">
        <v>261</v>
      </c>
      <c r="T132" s="89"/>
      <c r="U132" s="89"/>
      <c r="V132" s="64"/>
      <c r="W132" s="158"/>
      <c r="X132" s="158"/>
      <c r="Y132" s="64"/>
      <c r="Z132" s="158"/>
      <c r="AA132" s="158"/>
      <c r="AB132" s="65"/>
      <c r="AC132" s="89"/>
      <c r="AD132" s="89"/>
      <c r="AE132" s="7"/>
      <c r="AF132" s="7"/>
      <c r="AG132" s="7"/>
      <c r="AH132" s="7"/>
      <c r="AI132" s="7"/>
      <c r="AJ132" s="7"/>
      <c r="AK132" s="7"/>
      <c r="AL132" s="7"/>
      <c r="AM132" s="7"/>
      <c r="AN132" s="7"/>
      <c r="AO132" s="7"/>
      <c r="AP132" s="83"/>
      <c r="AQ132" s="83"/>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0"/>
      <c r="CA132" s="50"/>
      <c r="CB132" s="50"/>
      <c r="CC132" s="50"/>
      <c r="CD132" s="50"/>
      <c r="CE132" s="50"/>
      <c r="CF132" s="50"/>
      <c r="CG132" s="50"/>
      <c r="CH132" s="50"/>
      <c r="CI132" s="50"/>
      <c r="CJ132" s="50"/>
      <c r="CK132" s="50"/>
      <c r="CL132" s="50"/>
      <c r="CM132" s="50"/>
      <c r="CN132" s="50"/>
      <c r="CO132" s="50"/>
      <c r="CP132" s="50"/>
      <c r="CQ132" s="50"/>
      <c r="CR132" s="50"/>
      <c r="CS132" s="50"/>
      <c r="CT132" s="50"/>
      <c r="CU132" s="50"/>
      <c r="CV132" s="50"/>
      <c r="CW132" s="50"/>
      <c r="CX132" s="50"/>
      <c r="CY132" s="50"/>
      <c r="CZ132" s="50"/>
      <c r="DA132" s="50"/>
      <c r="DB132" s="50"/>
      <c r="DC132" s="50"/>
      <c r="DD132" s="50"/>
      <c r="DE132" s="49"/>
      <c r="DF132" s="49"/>
      <c r="DG132" s="49"/>
      <c r="DH132" s="49"/>
      <c r="DI132" s="49"/>
      <c r="DJ132" s="49"/>
      <c r="DK132" s="49"/>
      <c r="DL132" s="49"/>
      <c r="DM132" s="49"/>
      <c r="DN132" s="49"/>
      <c r="DO132" s="49"/>
      <c r="DP132" s="49"/>
      <c r="DQ132" s="49"/>
      <c r="DR132" s="49"/>
      <c r="DS132" s="49"/>
      <c r="DT132" s="49"/>
      <c r="DU132" s="49"/>
      <c r="DV132" s="49"/>
      <c r="DW132" s="49"/>
      <c r="DX132" s="49"/>
      <c r="DY132" s="49"/>
      <c r="DZ132" s="49"/>
      <c r="EA132" s="49"/>
      <c r="EB132" s="49"/>
      <c r="EC132" s="49"/>
      <c r="ED132" s="49"/>
      <c r="EE132" s="50"/>
      <c r="EF132" s="50"/>
      <c r="EG132" s="50"/>
      <c r="EH132" s="50"/>
      <c r="EI132" s="50"/>
      <c r="EJ132" s="50"/>
      <c r="EK132" s="50"/>
      <c r="EL132" s="50"/>
      <c r="EM132" s="50"/>
      <c r="EN132" s="50"/>
      <c r="EO132" s="50"/>
      <c r="EP132" s="50"/>
      <c r="EQ132" s="50"/>
      <c r="ER132" s="50"/>
      <c r="ES132" s="50"/>
      <c r="ET132" s="50"/>
      <c r="EU132" s="50"/>
      <c r="EV132" s="50"/>
      <c r="EW132" s="50"/>
      <c r="EX132" s="50"/>
      <c r="EY132" s="50"/>
      <c r="EZ132" s="50"/>
      <c r="FA132" s="50"/>
      <c r="FB132" s="50"/>
      <c r="FC132" s="50"/>
      <c r="FD132" s="50"/>
      <c r="FE132" s="50"/>
      <c r="FF132" s="50"/>
      <c r="FG132" s="50"/>
      <c r="FH132" s="50"/>
      <c r="FI132" s="50"/>
      <c r="FJ132" s="50"/>
      <c r="FK132" s="50"/>
      <c r="FL132" s="50"/>
      <c r="FM132" s="50"/>
      <c r="FN132" s="50"/>
    </row>
    <row r="133" spans="1:170" s="8" customFormat="1" ht="18" customHeight="1">
      <c r="A133" s="1976"/>
      <c r="B133" s="204"/>
      <c r="C133" s="14" t="str">
        <f>Begriffe!F48</f>
        <v>Hygienebedingter Aussenluft-Volumenstrom</v>
      </c>
      <c r="D133" s="14"/>
      <c r="E133" s="14"/>
      <c r="F133" s="14" t="str">
        <f>Begriffe!$F$362</f>
        <v>Pro Nettogeschossfläche</v>
      </c>
      <c r="G133" s="14"/>
      <c r="H133" s="14"/>
      <c r="I133" s="98" t="s">
        <v>585</v>
      </c>
      <c r="J133" s="377" t="s">
        <v>980</v>
      </c>
      <c r="K133" s="377"/>
      <c r="L133" s="99"/>
      <c r="M133" s="1760" cm="1">
        <f t="array" ref="M133">IF(L130&lt;&gt;"",L130/M58,IF(L58&lt;&gt;"",M130/L58,INDEX(Eingabedaten!$D$9:$DN$53,nutzid,MATCH($C133,Eingabedaten!$D$6:$DN$6,0))))</f>
        <v>0.82857142857142863</v>
      </c>
      <c r="N133" s="1385">
        <f>M133</f>
        <v>0.82857142857142863</v>
      </c>
      <c r="O133" s="464">
        <f>M133</f>
        <v>0.82857142857142863</v>
      </c>
      <c r="P133" s="14">
        <v>1</v>
      </c>
      <c r="Q133" s="392">
        <v>1</v>
      </c>
      <c r="R133" s="14">
        <v>0</v>
      </c>
      <c r="S133" s="243"/>
      <c r="T133" s="89"/>
      <c r="U133" s="89"/>
      <c r="V133" s="64"/>
      <c r="W133" s="158"/>
      <c r="X133" s="158"/>
      <c r="Y133" s="64"/>
      <c r="Z133" s="158"/>
      <c r="AA133" s="158"/>
      <c r="AB133" s="65"/>
      <c r="AC133" s="89"/>
      <c r="AD133" s="89"/>
      <c r="AE133" s="7"/>
      <c r="AF133" s="7"/>
      <c r="AG133" s="7"/>
      <c r="AH133" s="7"/>
      <c r="AI133" s="7"/>
      <c r="AJ133" s="7"/>
      <c r="AK133" s="7"/>
      <c r="AL133" s="7"/>
      <c r="AM133" s="7"/>
      <c r="AN133" s="7"/>
      <c r="AO133" s="7"/>
      <c r="AP133" s="83"/>
      <c r="AQ133" s="83"/>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0"/>
      <c r="CA133" s="50"/>
      <c r="CB133" s="50"/>
      <c r="CC133" s="50"/>
      <c r="CD133" s="50"/>
      <c r="CE133" s="50"/>
      <c r="CF133" s="50"/>
      <c r="CG133" s="50"/>
      <c r="CH133" s="50"/>
      <c r="CI133" s="50"/>
      <c r="CJ133" s="50"/>
      <c r="CK133" s="50"/>
      <c r="CL133" s="50"/>
      <c r="CM133" s="50"/>
      <c r="CN133" s="50"/>
      <c r="CO133" s="50"/>
      <c r="CP133" s="50"/>
      <c r="CQ133" s="50"/>
      <c r="CR133" s="50"/>
      <c r="CS133" s="50"/>
      <c r="CT133" s="50"/>
      <c r="CU133" s="50"/>
      <c r="CV133" s="50"/>
      <c r="CW133" s="50"/>
      <c r="CX133" s="50"/>
      <c r="CY133" s="50"/>
      <c r="CZ133" s="50"/>
      <c r="DA133" s="50"/>
      <c r="DB133" s="50"/>
      <c r="DC133" s="50"/>
      <c r="DD133" s="50"/>
      <c r="DE133" s="49"/>
      <c r="DF133" s="49"/>
      <c r="DG133" s="49"/>
      <c r="DH133" s="49"/>
      <c r="DI133" s="49"/>
      <c r="DJ133" s="49"/>
      <c r="DK133" s="49"/>
      <c r="DL133" s="49"/>
      <c r="DM133" s="49"/>
      <c r="DN133" s="49"/>
      <c r="DO133" s="49"/>
      <c r="DP133" s="49"/>
      <c r="DQ133" s="49"/>
      <c r="DR133" s="49"/>
      <c r="DS133" s="49"/>
      <c r="DT133" s="49"/>
      <c r="DU133" s="49"/>
      <c r="DV133" s="49"/>
      <c r="DW133" s="49"/>
      <c r="DX133" s="49"/>
      <c r="DY133" s="49"/>
      <c r="DZ133" s="49"/>
      <c r="EA133" s="49"/>
      <c r="EB133" s="49"/>
      <c r="EC133" s="49"/>
      <c r="ED133" s="49"/>
      <c r="EE133" s="50"/>
      <c r="EF133" s="50"/>
      <c r="EG133" s="50"/>
      <c r="EH133" s="50"/>
      <c r="EI133" s="50"/>
      <c r="EJ133" s="50"/>
      <c r="EK133" s="50"/>
      <c r="EL133" s="50"/>
      <c r="EM133" s="50"/>
      <c r="EN133" s="50"/>
      <c r="EO133" s="50"/>
      <c r="EP133" s="50"/>
      <c r="EQ133" s="50"/>
      <c r="ER133" s="50"/>
      <c r="ES133" s="50"/>
      <c r="ET133" s="50"/>
      <c r="EU133" s="50"/>
      <c r="EV133" s="50"/>
      <c r="EW133" s="50"/>
      <c r="EX133" s="50"/>
      <c r="EY133" s="50"/>
      <c r="EZ133" s="50"/>
      <c r="FA133" s="50"/>
      <c r="FB133" s="50"/>
      <c r="FC133" s="50"/>
      <c r="FD133" s="50"/>
      <c r="FE133" s="50"/>
      <c r="FF133" s="50"/>
      <c r="FG133" s="50"/>
      <c r="FH133" s="50"/>
      <c r="FI133" s="50"/>
      <c r="FJ133" s="50"/>
      <c r="FK133" s="50"/>
      <c r="FL133" s="50"/>
      <c r="FM133" s="50"/>
      <c r="FN133" s="50"/>
    </row>
    <row r="134" spans="1:170" s="8" customFormat="1" ht="18" customHeight="1">
      <c r="A134" s="1976"/>
      <c r="B134" s="204"/>
      <c r="C134" s="14" t="str">
        <f>Begriffe!F90</f>
        <v>Prozessbedingter Aussenluft-Volumenstrom</v>
      </c>
      <c r="D134" s="14"/>
      <c r="E134" s="14"/>
      <c r="F134" s="14" t="str">
        <f>Begriffe!$F$362</f>
        <v>Pro Nettogeschossfläche</v>
      </c>
      <c r="G134" s="14"/>
      <c r="H134" s="14"/>
      <c r="I134" s="98" t="s">
        <v>1429</v>
      </c>
      <c r="J134" s="377" t="s">
        <v>980</v>
      </c>
      <c r="K134" s="377"/>
      <c r="L134" s="1558"/>
      <c r="M134" s="1760">
        <f>IF(L134&lt;&gt;"",L134,INDEX(Eingabedaten!$D$9:$DN$53,nutzid,MATCH($C134,Eingabedaten!$D$6:$DN$6,0)))</f>
        <v>0</v>
      </c>
      <c r="N134" s="1385"/>
      <c r="O134" s="464"/>
      <c r="P134" s="14"/>
      <c r="Q134" s="392">
        <v>1</v>
      </c>
      <c r="R134" s="14"/>
      <c r="S134" s="243"/>
      <c r="T134" s="89"/>
      <c r="U134" s="89"/>
      <c r="V134" s="64"/>
      <c r="W134" s="158"/>
      <c r="X134" s="158"/>
      <c r="Y134" s="64"/>
      <c r="Z134" s="158"/>
      <c r="AA134" s="158"/>
      <c r="AB134" s="65"/>
      <c r="AC134" s="89"/>
      <c r="AD134" s="89"/>
      <c r="AE134" s="7"/>
      <c r="AF134" s="7"/>
      <c r="AG134" s="7"/>
      <c r="AH134" s="7"/>
      <c r="AI134" s="7"/>
      <c r="AJ134" s="7"/>
      <c r="AK134" s="7"/>
      <c r="AL134" s="7"/>
      <c r="AM134" s="7"/>
      <c r="AN134" s="7"/>
      <c r="AO134" s="7"/>
      <c r="AP134" s="83"/>
      <c r="AQ134" s="83"/>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0"/>
      <c r="CA134" s="50"/>
      <c r="CB134" s="50"/>
      <c r="CC134" s="50"/>
      <c r="CD134" s="50"/>
      <c r="CE134" s="50"/>
      <c r="CF134" s="50"/>
      <c r="CG134" s="50"/>
      <c r="CH134" s="50"/>
      <c r="CI134" s="50"/>
      <c r="CJ134" s="50"/>
      <c r="CK134" s="50"/>
      <c r="CL134" s="50"/>
      <c r="CM134" s="50"/>
      <c r="CN134" s="50"/>
      <c r="CO134" s="50"/>
      <c r="CP134" s="50"/>
      <c r="CQ134" s="50"/>
      <c r="CR134" s="50"/>
      <c r="CS134" s="50"/>
      <c r="CT134" s="50"/>
      <c r="CU134" s="50"/>
      <c r="CV134" s="50"/>
      <c r="CW134" s="50"/>
      <c r="CX134" s="50"/>
      <c r="CY134" s="50"/>
      <c r="CZ134" s="50"/>
      <c r="DA134" s="50"/>
      <c r="DB134" s="50"/>
      <c r="DC134" s="50"/>
      <c r="DD134" s="50"/>
      <c r="DE134" s="49"/>
      <c r="DF134" s="49"/>
      <c r="DG134" s="49"/>
      <c r="DH134" s="49"/>
      <c r="DI134" s="49"/>
      <c r="DJ134" s="49"/>
      <c r="DK134" s="49"/>
      <c r="DL134" s="49"/>
      <c r="DM134" s="49"/>
      <c r="DN134" s="49"/>
      <c r="DO134" s="49"/>
      <c r="DP134" s="49"/>
      <c r="DQ134" s="49"/>
      <c r="DR134" s="49"/>
      <c r="DS134" s="49"/>
      <c r="DT134" s="49"/>
      <c r="DU134" s="49"/>
      <c r="DV134" s="49"/>
      <c r="DW134" s="49"/>
      <c r="DX134" s="49"/>
      <c r="DY134" s="49"/>
      <c r="DZ134" s="49"/>
      <c r="EA134" s="49"/>
      <c r="EB134" s="49"/>
      <c r="EC134" s="49"/>
      <c r="ED134" s="49"/>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50"/>
      <c r="FA134" s="50"/>
      <c r="FB134" s="50"/>
      <c r="FC134" s="50"/>
      <c r="FD134" s="50"/>
      <c r="FE134" s="50"/>
      <c r="FF134" s="50"/>
      <c r="FG134" s="50"/>
      <c r="FH134" s="50"/>
      <c r="FI134" s="50"/>
      <c r="FJ134" s="50"/>
      <c r="FK134" s="50"/>
      <c r="FL134" s="50"/>
      <c r="FM134" s="50"/>
      <c r="FN134" s="50"/>
    </row>
    <row r="135" spans="1:170" s="8" customFormat="1" ht="18" customHeight="1">
      <c r="A135" s="1976"/>
      <c r="B135" s="204"/>
      <c r="C135" s="14" t="str">
        <f>Begriffe!F32</f>
        <v>Aussenluft-Volumenstrom durch Infiltration</v>
      </c>
      <c r="D135" s="14"/>
      <c r="E135" s="14"/>
      <c r="F135" s="14"/>
      <c r="G135" s="14"/>
      <c r="H135" s="14"/>
      <c r="I135" s="98" t="s">
        <v>480</v>
      </c>
      <c r="J135" s="377" t="s">
        <v>980</v>
      </c>
      <c r="K135" s="377"/>
      <c r="L135" s="1559"/>
      <c r="M135" s="1745">
        <f>IF(L135&lt;&gt;"",L135,INDEX(Eingabedaten!$D$9:$DN$53,nutzid,MATCH($C135,Eingabedaten!$D$6:$DN$6,0)))</f>
        <v>0.15</v>
      </c>
      <c r="N135" s="1366">
        <f>M135</f>
        <v>0.15</v>
      </c>
      <c r="O135" s="444">
        <f>INDEX(Eingabedaten!$D$9:$DN$53,nutzid,MATCH($C135,Eingabedaten!$D$6:$DN$6,0)+1)</f>
        <v>0.3</v>
      </c>
      <c r="P135" s="14">
        <v>0</v>
      </c>
      <c r="Q135" s="392">
        <v>1</v>
      </c>
      <c r="R135" s="14">
        <v>0</v>
      </c>
      <c r="S135" s="243"/>
      <c r="T135" s="89"/>
      <c r="U135" s="89"/>
      <c r="V135" s="64"/>
      <c r="W135" s="158"/>
      <c r="X135" s="158"/>
      <c r="Y135" s="64"/>
      <c r="Z135" s="158"/>
      <c r="AA135" s="158"/>
      <c r="AB135" s="65"/>
      <c r="AC135" s="89"/>
      <c r="AD135" s="89"/>
      <c r="AE135" s="7"/>
      <c r="AF135" s="7"/>
      <c r="AG135" s="7"/>
      <c r="AH135" s="7"/>
      <c r="AI135" s="7"/>
      <c r="AJ135" s="7"/>
      <c r="AK135" s="7"/>
      <c r="AL135" s="7"/>
      <c r="AM135" s="7"/>
      <c r="AN135" s="7"/>
      <c r="AO135" s="7"/>
      <c r="AP135" s="83"/>
      <c r="AQ135" s="83"/>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0"/>
      <c r="CA135" s="50"/>
      <c r="CB135" s="50"/>
      <c r="CC135" s="50"/>
      <c r="CD135" s="50"/>
      <c r="CE135" s="50"/>
      <c r="CF135" s="50"/>
      <c r="CG135" s="50"/>
      <c r="CH135" s="50"/>
      <c r="CI135" s="50"/>
      <c r="CJ135" s="50"/>
      <c r="CK135" s="50"/>
      <c r="CL135" s="50"/>
      <c r="CM135" s="50"/>
      <c r="CN135" s="50"/>
      <c r="CO135" s="50"/>
      <c r="CP135" s="50"/>
      <c r="CQ135" s="50"/>
      <c r="CR135" s="50"/>
      <c r="CS135" s="50"/>
      <c r="CT135" s="50"/>
      <c r="CU135" s="50"/>
      <c r="CV135" s="50"/>
      <c r="CW135" s="50"/>
      <c r="CX135" s="50"/>
      <c r="CY135" s="50"/>
      <c r="CZ135" s="50"/>
      <c r="DA135" s="50"/>
      <c r="DB135" s="50"/>
      <c r="DC135" s="50"/>
      <c r="DD135" s="50"/>
      <c r="DE135" s="49"/>
      <c r="DF135" s="49"/>
      <c r="DG135" s="49"/>
      <c r="DH135" s="49"/>
      <c r="DI135" s="49"/>
      <c r="DJ135" s="49"/>
      <c r="DK135" s="49"/>
      <c r="DL135" s="49"/>
      <c r="DM135" s="49"/>
      <c r="DN135" s="49"/>
      <c r="DO135" s="49"/>
      <c r="DP135" s="49"/>
      <c r="DQ135" s="49"/>
      <c r="DR135" s="49"/>
      <c r="DS135" s="49"/>
      <c r="DT135" s="49"/>
      <c r="DU135" s="49"/>
      <c r="DV135" s="49"/>
      <c r="DW135" s="49"/>
      <c r="DX135" s="49"/>
      <c r="DY135" s="49"/>
      <c r="DZ135" s="49"/>
      <c r="EA135" s="49"/>
      <c r="EB135" s="49"/>
      <c r="EC135" s="49"/>
      <c r="ED135" s="49"/>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50"/>
      <c r="FA135" s="50"/>
      <c r="FB135" s="50"/>
      <c r="FC135" s="50"/>
      <c r="FD135" s="50"/>
      <c r="FE135" s="50"/>
      <c r="FF135" s="50"/>
      <c r="FG135" s="50"/>
      <c r="FH135" s="50"/>
      <c r="FI135" s="50"/>
      <c r="FJ135" s="50"/>
      <c r="FK135" s="50"/>
      <c r="FL135" s="50"/>
      <c r="FM135" s="50"/>
      <c r="FN135" s="50"/>
    </row>
    <row r="136" spans="1:170" s="8" customFormat="1" ht="18" hidden="1" customHeight="1">
      <c r="A136" s="1976"/>
      <c r="B136" s="204"/>
      <c r="C136" s="14" t="str">
        <f>Begriffe!F103</f>
        <v>Steuerung und Regelung des Luftvolumenstroms (einstufig, zweistufig, stufenlos)</v>
      </c>
      <c r="D136" s="14"/>
      <c r="E136" s="14"/>
      <c r="F136" s="14"/>
      <c r="G136" s="14"/>
      <c r="H136" s="14"/>
      <c r="I136" s="98" t="s">
        <v>208</v>
      </c>
      <c r="J136" s="377" t="s">
        <v>208</v>
      </c>
      <c r="K136" s="377"/>
      <c r="L136" s="520"/>
      <c r="M136" s="444" t="str" cm="1">
        <f t="array" ref="M136">IF(L137="einstufig","IDA-C3",IF(L137="zweistufig","IDA-C4",IF(L137="stufenlos","IDA-C6",INDEX(Eingabedaten!$D$9:$DN$53,nutzid,MATCH($C136,Eingabedaten!$D$6:$DN$6,0)))))</f>
        <v>IDA-C3</v>
      </c>
      <c r="N136" s="394" t="str">
        <f>INDEX(Eingabedaten!$D$9:$DN$53,nutzid,MATCH($C136,Eingabedaten!$D$6:$DN$6,0)+1)</f>
        <v>IDA-C4</v>
      </c>
      <c r="O136" s="394">
        <f>INDEX(Eingabedaten!$D$9:$DN$53,nutzid,MATCH($C136,Eingabedaten!$D$6:$DN$6,0)+2)</f>
        <v>0</v>
      </c>
      <c r="P136" s="14">
        <v>0</v>
      </c>
      <c r="Q136" s="392"/>
      <c r="R136" s="14">
        <v>0</v>
      </c>
      <c r="S136" s="243"/>
      <c r="T136" s="89"/>
      <c r="U136" s="89"/>
      <c r="V136" s="64"/>
      <c r="W136" s="158"/>
      <c r="X136" s="158"/>
      <c r="Y136" s="64"/>
      <c r="Z136" s="158"/>
      <c r="AA136" s="158"/>
      <c r="AB136" s="65"/>
      <c r="AC136" s="89"/>
      <c r="AD136" s="89"/>
      <c r="AE136" s="7"/>
      <c r="AF136" s="7"/>
      <c r="AG136" s="7"/>
      <c r="AH136" s="7"/>
      <c r="AI136" s="7"/>
      <c r="AJ136" s="7"/>
      <c r="AK136" s="7"/>
      <c r="AL136" s="7"/>
      <c r="AM136" s="7"/>
      <c r="AN136" s="7"/>
      <c r="AO136" s="7"/>
      <c r="AP136" s="83"/>
      <c r="AQ136" s="83"/>
      <c r="AR136" s="50"/>
      <c r="AS136" s="50"/>
      <c r="AT136" s="50"/>
      <c r="AU136" s="50"/>
      <c r="AV136" s="50"/>
      <c r="AW136" s="50"/>
      <c r="AX136" s="50"/>
      <c r="AY136" s="50"/>
      <c r="AZ136" s="50"/>
      <c r="BA136" s="50"/>
      <c r="BB136" s="50"/>
      <c r="BC136" s="50"/>
      <c r="BD136" s="50"/>
      <c r="BE136" s="50"/>
      <c r="BF136" s="50"/>
      <c r="BG136" s="50"/>
      <c r="BH136" s="50"/>
      <c r="BI136" s="50"/>
      <c r="BJ136" s="50"/>
      <c r="BK136" s="50"/>
      <c r="BL136" s="50"/>
      <c r="BM136" s="50"/>
      <c r="BN136" s="50"/>
      <c r="BO136" s="50"/>
      <c r="BP136" s="50"/>
      <c r="BQ136" s="50"/>
      <c r="BR136" s="50"/>
      <c r="BS136" s="50"/>
      <c r="BT136" s="50"/>
      <c r="BU136" s="50"/>
      <c r="BV136" s="50"/>
      <c r="BW136" s="50"/>
      <c r="BX136" s="50"/>
      <c r="BY136" s="50"/>
      <c r="BZ136" s="50"/>
      <c r="CA136" s="50"/>
      <c r="CB136" s="50"/>
      <c r="CC136" s="50"/>
      <c r="CD136" s="50"/>
      <c r="CE136" s="50"/>
      <c r="CF136" s="50"/>
      <c r="CG136" s="50"/>
      <c r="CH136" s="50"/>
      <c r="CI136" s="50"/>
      <c r="CJ136" s="50"/>
      <c r="CK136" s="50"/>
      <c r="CL136" s="50"/>
      <c r="CM136" s="50"/>
      <c r="CN136" s="50"/>
      <c r="CO136" s="50"/>
      <c r="CP136" s="50"/>
      <c r="CQ136" s="50"/>
      <c r="CR136" s="50"/>
      <c r="CS136" s="50"/>
      <c r="CT136" s="50"/>
      <c r="CU136" s="50"/>
      <c r="CV136" s="50"/>
      <c r="CW136" s="50"/>
      <c r="CX136" s="50"/>
      <c r="CY136" s="50"/>
      <c r="CZ136" s="50"/>
      <c r="DA136" s="50"/>
      <c r="DB136" s="50"/>
      <c r="DC136" s="50"/>
      <c r="DD136" s="50"/>
      <c r="DE136" s="49"/>
      <c r="DF136" s="49"/>
      <c r="DG136" s="49"/>
      <c r="DH136" s="49"/>
      <c r="DI136" s="49"/>
      <c r="DJ136" s="49"/>
      <c r="DK136" s="49"/>
      <c r="DL136" s="49"/>
      <c r="DM136" s="49"/>
      <c r="DN136" s="49"/>
      <c r="DO136" s="49"/>
      <c r="DP136" s="49"/>
      <c r="DQ136" s="49"/>
      <c r="DR136" s="49"/>
      <c r="DS136" s="49"/>
      <c r="DT136" s="49"/>
      <c r="DU136" s="49"/>
      <c r="DV136" s="49"/>
      <c r="DW136" s="49"/>
      <c r="DX136" s="49"/>
      <c r="DY136" s="49"/>
      <c r="DZ136" s="49"/>
      <c r="EA136" s="49"/>
      <c r="EB136" s="49"/>
      <c r="EC136" s="49"/>
      <c r="ED136" s="49"/>
      <c r="EE136" s="50"/>
      <c r="EF136" s="50"/>
      <c r="EG136" s="50"/>
      <c r="EH136" s="50"/>
      <c r="EI136" s="50"/>
      <c r="EJ136" s="50"/>
      <c r="EK136" s="50"/>
      <c r="EL136" s="50"/>
      <c r="EM136" s="50"/>
      <c r="EN136" s="50"/>
      <c r="EO136" s="50"/>
      <c r="EP136" s="50"/>
      <c r="EQ136" s="50"/>
      <c r="ER136" s="50"/>
      <c r="ES136" s="50"/>
      <c r="ET136" s="50"/>
      <c r="EU136" s="50"/>
      <c r="EV136" s="50"/>
      <c r="EW136" s="50"/>
      <c r="EX136" s="50"/>
      <c r="EY136" s="50"/>
      <c r="EZ136" s="50"/>
      <c r="FA136" s="50"/>
      <c r="FB136" s="50"/>
      <c r="FC136" s="50"/>
      <c r="FD136" s="50"/>
      <c r="FE136" s="50"/>
      <c r="FF136" s="50"/>
      <c r="FG136" s="50"/>
      <c r="FH136" s="50"/>
      <c r="FI136" s="50"/>
      <c r="FJ136" s="50"/>
      <c r="FK136" s="50"/>
      <c r="FL136" s="50"/>
      <c r="FM136" s="50"/>
      <c r="FN136" s="50"/>
    </row>
    <row r="137" spans="1:170" s="8" customFormat="1" ht="18" customHeight="1">
      <c r="A137" s="1976"/>
      <c r="B137" s="204"/>
      <c r="C137" s="14" t="str">
        <f>Begriffe!F103</f>
        <v>Steuerung und Regelung des Luftvolumenstroms (einstufig, zweistufig, stufenlos)</v>
      </c>
      <c r="D137" s="14"/>
      <c r="E137" s="14"/>
      <c r="F137" s="14"/>
      <c r="G137" s="14"/>
      <c r="H137" s="14"/>
      <c r="I137" s="98" t="s">
        <v>208</v>
      </c>
      <c r="J137" s="377" t="s">
        <v>208</v>
      </c>
      <c r="K137" s="377"/>
      <c r="L137" s="1559"/>
      <c r="M137" s="1745" t="str">
        <f>IF(L137&lt;&gt;"",L137,IF(M136="IDA-C3",Begriffe!$F248,IF(M136="IDA-C4",Begriffe!$F249,IF(M136="IDA-C6",Begriffe!$F250,0))))</f>
        <v>einstufig</v>
      </c>
      <c r="N137" s="1366" t="str">
        <f>IF(N136="IDA-C3",Begriffe!$F248,IF(N136="IDA-C4",Begriffe!$F249,IF(N136="IDA-C6",Begriffe!$F250,0)))</f>
        <v>zweistufig</v>
      </c>
      <c r="O137" s="444">
        <f>IF(O136="IDA-C3",Begriffe!$F248,IF(O136="IDA-C4",Begriffe!$F249,IF(O136="IDA-C6",Begriffe!$F250,0)))</f>
        <v>0</v>
      </c>
      <c r="P137" s="14"/>
      <c r="Q137" s="392">
        <v>1</v>
      </c>
      <c r="R137" s="14"/>
      <c r="S137" s="243"/>
      <c r="T137" s="89"/>
      <c r="U137" s="89"/>
      <c r="V137" s="64"/>
      <c r="W137" s="158"/>
      <c r="X137" s="158"/>
      <c r="Y137" s="64"/>
      <c r="Z137" s="158"/>
      <c r="AA137" s="158"/>
      <c r="AB137" s="65"/>
      <c r="AC137" s="89"/>
      <c r="AD137" s="89"/>
      <c r="AE137" s="7"/>
      <c r="AF137" s="7"/>
      <c r="AG137" s="7"/>
      <c r="AH137" s="7"/>
      <c r="AI137" s="7"/>
      <c r="AJ137" s="7"/>
      <c r="AK137" s="7"/>
      <c r="AL137" s="7"/>
      <c r="AM137" s="7"/>
      <c r="AN137" s="7"/>
      <c r="AO137" s="7"/>
      <c r="AP137" s="83"/>
      <c r="AQ137" s="83"/>
      <c r="AR137" s="50"/>
      <c r="AS137" s="50"/>
      <c r="AT137" s="50"/>
      <c r="AU137" s="50"/>
      <c r="AV137" s="50"/>
      <c r="AW137" s="50"/>
      <c r="AX137" s="50"/>
      <c r="AY137" s="50"/>
      <c r="AZ137" s="50"/>
      <c r="BA137" s="50"/>
      <c r="BB137" s="50"/>
      <c r="BC137" s="50"/>
      <c r="BD137" s="50"/>
      <c r="BE137" s="50"/>
      <c r="BF137" s="50"/>
      <c r="BG137" s="50"/>
      <c r="BH137" s="50"/>
      <c r="BI137" s="50"/>
      <c r="BJ137" s="50"/>
      <c r="BK137" s="50"/>
      <c r="BL137" s="50"/>
      <c r="BM137" s="50"/>
      <c r="BN137" s="50"/>
      <c r="BO137" s="50"/>
      <c r="BP137" s="50"/>
      <c r="BQ137" s="50"/>
      <c r="BR137" s="50"/>
      <c r="BS137" s="50"/>
      <c r="BT137" s="50"/>
      <c r="BU137" s="50"/>
      <c r="BV137" s="50"/>
      <c r="BW137" s="50"/>
      <c r="BX137" s="50"/>
      <c r="BY137" s="50"/>
      <c r="BZ137" s="50"/>
      <c r="CA137" s="50"/>
      <c r="CB137" s="50"/>
      <c r="CC137" s="50"/>
      <c r="CD137" s="50"/>
      <c r="CE137" s="50"/>
      <c r="CF137" s="50"/>
      <c r="CG137" s="50"/>
      <c r="CH137" s="50"/>
      <c r="CI137" s="50"/>
      <c r="CJ137" s="50"/>
      <c r="CK137" s="50"/>
      <c r="CL137" s="50"/>
      <c r="CM137" s="50"/>
      <c r="CN137" s="50"/>
      <c r="CO137" s="50"/>
      <c r="CP137" s="50"/>
      <c r="CQ137" s="50"/>
      <c r="CR137" s="50"/>
      <c r="CS137" s="50"/>
      <c r="CT137" s="50"/>
      <c r="CU137" s="50"/>
      <c r="CV137" s="50"/>
      <c r="CW137" s="50"/>
      <c r="CX137" s="50"/>
      <c r="CY137" s="50"/>
      <c r="CZ137" s="50"/>
      <c r="DA137" s="50"/>
      <c r="DB137" s="50"/>
      <c r="DC137" s="50"/>
      <c r="DD137" s="50"/>
      <c r="DE137" s="49"/>
      <c r="DF137" s="49"/>
      <c r="DG137" s="49"/>
      <c r="DH137" s="49"/>
      <c r="DI137" s="49"/>
      <c r="DJ137" s="49"/>
      <c r="DK137" s="49"/>
      <c r="DL137" s="49"/>
      <c r="DM137" s="49"/>
      <c r="DN137" s="49"/>
      <c r="DO137" s="49"/>
      <c r="DP137" s="49"/>
      <c r="DQ137" s="49"/>
      <c r="DR137" s="49"/>
      <c r="DS137" s="49"/>
      <c r="DT137" s="49"/>
      <c r="DU137" s="49"/>
      <c r="DV137" s="49"/>
      <c r="DW137" s="49"/>
      <c r="DX137" s="49"/>
      <c r="DY137" s="49"/>
      <c r="DZ137" s="49"/>
      <c r="EA137" s="49"/>
      <c r="EB137" s="49"/>
      <c r="EC137" s="49"/>
      <c r="ED137" s="49"/>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0"/>
      <c r="FC137" s="50"/>
      <c r="FD137" s="50"/>
      <c r="FE137" s="50"/>
      <c r="FF137" s="50"/>
      <c r="FG137" s="50"/>
      <c r="FH137" s="50"/>
      <c r="FI137" s="50"/>
      <c r="FJ137" s="50"/>
      <c r="FK137" s="50"/>
      <c r="FL137" s="50"/>
      <c r="FM137" s="50"/>
      <c r="FN137" s="50"/>
    </row>
    <row r="138" spans="1:170" s="8" customFormat="1" ht="18" hidden="1" customHeight="1">
      <c r="A138" s="1976"/>
      <c r="B138" s="204"/>
      <c r="C138" s="1160" t="str">
        <f>Begriffe!F28</f>
        <v>Anlagentyp</v>
      </c>
      <c r="D138" s="1170"/>
      <c r="E138" s="1170" t="str">
        <f>INDEX(Eingabedaten!$D$9:$DN$53,nutzid,MATCH($C138,Eingabedaten!$D$6:$DN$6,0))</f>
        <v>Lüftungsanlage mit Lufterwärmung</v>
      </c>
      <c r="F138" s="1160"/>
      <c r="G138" s="1160"/>
      <c r="H138" s="1160"/>
      <c r="I138" s="1162"/>
      <c r="J138" s="1163"/>
      <c r="K138" s="1163"/>
      <c r="L138" s="99"/>
      <c r="M138" s="1166" t="str">
        <f>IF(M136=0,Begriffe!F379,"")</f>
        <v/>
      </c>
      <c r="N138" s="1166" t="str">
        <f>IF(N136=0,Begriffe!F379,"")</f>
        <v/>
      </c>
      <c r="O138" s="1166" t="str">
        <f>IF(O136=0,Begriffe!F379,"")</f>
        <v>Keine Anlagen</v>
      </c>
      <c r="P138" s="14">
        <v>0</v>
      </c>
      <c r="Q138" s="392"/>
      <c r="R138" s="14">
        <v>0</v>
      </c>
      <c r="S138" s="243"/>
      <c r="T138" s="89"/>
      <c r="U138" s="89"/>
      <c r="V138" s="64"/>
      <c r="W138" s="158"/>
      <c r="X138" s="158"/>
      <c r="Y138" s="64"/>
      <c r="Z138" s="158"/>
      <c r="AA138" s="158"/>
      <c r="AB138" s="65"/>
      <c r="AC138" s="89"/>
      <c r="AD138" s="89"/>
      <c r="AE138" s="7"/>
      <c r="AF138" s="7"/>
      <c r="AG138" s="7"/>
      <c r="AH138" s="7"/>
      <c r="AI138" s="7"/>
      <c r="AJ138" s="7"/>
      <c r="AK138" s="7"/>
      <c r="AL138" s="7"/>
      <c r="AM138" s="7"/>
      <c r="AN138" s="7"/>
      <c r="AO138" s="7"/>
      <c r="AP138" s="83"/>
      <c r="AQ138" s="83"/>
      <c r="AR138" s="50"/>
      <c r="AS138" s="50"/>
      <c r="AT138" s="50"/>
      <c r="AU138" s="50"/>
      <c r="AV138" s="50"/>
      <c r="AW138" s="50"/>
      <c r="AX138" s="50"/>
      <c r="AY138" s="50"/>
      <c r="AZ138" s="50"/>
      <c r="BA138" s="50"/>
      <c r="BB138" s="50"/>
      <c r="BC138" s="50"/>
      <c r="BD138" s="50"/>
      <c r="BE138" s="50"/>
      <c r="BF138" s="50"/>
      <c r="BG138" s="50"/>
      <c r="BH138" s="50"/>
      <c r="BI138" s="50"/>
      <c r="BJ138" s="50"/>
      <c r="BK138" s="50"/>
      <c r="BL138" s="50"/>
      <c r="BM138" s="50"/>
      <c r="BN138" s="50"/>
      <c r="BO138" s="50"/>
      <c r="BP138" s="50"/>
      <c r="BQ138" s="50"/>
      <c r="BR138" s="50"/>
      <c r="BS138" s="50"/>
      <c r="BT138" s="50"/>
      <c r="BU138" s="50"/>
      <c r="BV138" s="50"/>
      <c r="BW138" s="50"/>
      <c r="BX138" s="50"/>
      <c r="BY138" s="50"/>
      <c r="BZ138" s="50"/>
      <c r="CA138" s="50"/>
      <c r="CB138" s="50"/>
      <c r="CC138" s="50"/>
      <c r="CD138" s="50"/>
      <c r="CE138" s="50"/>
      <c r="CF138" s="50"/>
      <c r="CG138" s="50"/>
      <c r="CH138" s="50"/>
      <c r="CI138" s="50"/>
      <c r="CJ138" s="50"/>
      <c r="CK138" s="50"/>
      <c r="CL138" s="50"/>
      <c r="CM138" s="50"/>
      <c r="CN138" s="50"/>
      <c r="CO138" s="50"/>
      <c r="CP138" s="50"/>
      <c r="CQ138" s="50"/>
      <c r="CR138" s="50"/>
      <c r="CS138" s="50"/>
      <c r="CT138" s="50"/>
      <c r="CU138" s="50"/>
      <c r="CV138" s="50"/>
      <c r="CW138" s="50"/>
      <c r="CX138" s="50"/>
      <c r="CY138" s="50"/>
      <c r="CZ138" s="50"/>
      <c r="DA138" s="50"/>
      <c r="DB138" s="50"/>
      <c r="DC138" s="50"/>
      <c r="DD138" s="50"/>
      <c r="DE138" s="49"/>
      <c r="DF138" s="49"/>
      <c r="DG138" s="49"/>
      <c r="DH138" s="49"/>
      <c r="DI138" s="49"/>
      <c r="DJ138" s="49"/>
      <c r="DK138" s="49"/>
      <c r="DL138" s="49"/>
      <c r="DM138" s="49"/>
      <c r="DN138" s="49"/>
      <c r="DO138" s="49"/>
      <c r="DP138" s="49"/>
      <c r="DQ138" s="49"/>
      <c r="DR138" s="49"/>
      <c r="DS138" s="49"/>
      <c r="DT138" s="49"/>
      <c r="DU138" s="49"/>
      <c r="DV138" s="49"/>
      <c r="DW138" s="49"/>
      <c r="DX138" s="49"/>
      <c r="DY138" s="49"/>
      <c r="DZ138" s="49"/>
      <c r="EA138" s="49"/>
      <c r="EB138" s="49"/>
      <c r="EC138" s="49"/>
      <c r="ED138" s="49"/>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0"/>
      <c r="FC138" s="50"/>
      <c r="FD138" s="50"/>
      <c r="FE138" s="50"/>
      <c r="FF138" s="50"/>
      <c r="FG138" s="50"/>
      <c r="FH138" s="50"/>
      <c r="FI138" s="50"/>
      <c r="FJ138" s="50"/>
      <c r="FK138" s="50"/>
      <c r="FL138" s="50"/>
      <c r="FM138" s="50"/>
      <c r="FN138" s="50"/>
    </row>
    <row r="139" spans="1:170" s="8" customFormat="1" ht="18" customHeight="1">
      <c r="A139" s="1976"/>
      <c r="B139" s="204"/>
      <c r="C139" s="14" t="str">
        <f>Begriffe!F105</f>
        <v>Temperatur-Änderungsgrad der Wärmerückgewinnung</v>
      </c>
      <c r="D139" s="14"/>
      <c r="E139" s="14"/>
      <c r="F139" s="14"/>
      <c r="G139" s="14"/>
      <c r="H139" s="14"/>
      <c r="I139" s="155" t="s">
        <v>190</v>
      </c>
      <c r="J139" s="678" t="s">
        <v>208</v>
      </c>
      <c r="K139" s="377"/>
      <c r="L139" s="1559"/>
      <c r="M139" s="1745">
        <f>IF(L139&lt;&gt;"",L139,INDEX(Eingabedaten!$D$9:$DN$53,nutzid,MATCH($C139,Eingabedaten!$D$6:$DN$6,0)))</f>
        <v>0.73</v>
      </c>
      <c r="N139" s="1366">
        <f>INDEX(Eingabedaten!$D$9:$DN$53,nutzid,MATCH($C139,Eingabedaten!$D$6:$DN$6,0)+1)</f>
        <v>0.78</v>
      </c>
      <c r="O139" s="444">
        <f>INDEX(Eingabedaten!$D$9:$DN$53,nutzid,MATCH($C139,Eingabedaten!$D$6:$DN$6,0)+2)</f>
        <v>0</v>
      </c>
      <c r="P139" s="14">
        <v>0</v>
      </c>
      <c r="Q139" s="392">
        <v>1</v>
      </c>
      <c r="R139" s="14">
        <v>0</v>
      </c>
      <c r="S139" s="243"/>
      <c r="T139" s="89"/>
      <c r="U139" s="89"/>
      <c r="V139" s="64"/>
      <c r="W139" s="158"/>
      <c r="X139" s="158"/>
      <c r="Y139" s="64"/>
      <c r="Z139" s="158"/>
      <c r="AA139" s="158"/>
      <c r="AB139" s="65"/>
      <c r="AC139" s="89"/>
      <c r="AD139" s="89"/>
      <c r="AE139" s="7"/>
      <c r="AF139" s="7"/>
      <c r="AG139" s="7"/>
      <c r="AH139" s="7"/>
      <c r="AI139" s="7"/>
      <c r="AJ139" s="7"/>
      <c r="AK139" s="7"/>
      <c r="AL139" s="7"/>
      <c r="AM139" s="7"/>
      <c r="AN139" s="7"/>
      <c r="AO139" s="7"/>
      <c r="AP139" s="83"/>
      <c r="AQ139" s="83"/>
      <c r="AR139" s="50"/>
      <c r="AS139" s="50"/>
      <c r="AT139" s="50"/>
      <c r="AU139" s="50"/>
      <c r="AV139" s="50"/>
      <c r="AW139" s="50"/>
      <c r="AX139" s="50"/>
      <c r="AY139" s="50"/>
      <c r="AZ139" s="50"/>
      <c r="BA139" s="50"/>
      <c r="BB139" s="50"/>
      <c r="BC139" s="50"/>
      <c r="BD139" s="50"/>
      <c r="BE139" s="50"/>
      <c r="BF139" s="50"/>
      <c r="BG139" s="50"/>
      <c r="BH139" s="50"/>
      <c r="BI139" s="50"/>
      <c r="BJ139" s="50"/>
      <c r="BK139" s="50"/>
      <c r="BL139" s="50"/>
      <c r="BM139" s="50"/>
      <c r="BN139" s="50"/>
      <c r="BO139" s="50"/>
      <c r="BP139" s="50"/>
      <c r="BQ139" s="50"/>
      <c r="BR139" s="50"/>
      <c r="BS139" s="50"/>
      <c r="BT139" s="50"/>
      <c r="BU139" s="50"/>
      <c r="BV139" s="50"/>
      <c r="BW139" s="50"/>
      <c r="BX139" s="50"/>
      <c r="BY139" s="50"/>
      <c r="BZ139" s="50"/>
      <c r="CA139" s="50"/>
      <c r="CB139" s="50"/>
      <c r="CC139" s="50"/>
      <c r="CD139" s="50"/>
      <c r="CE139" s="50"/>
      <c r="CF139" s="50"/>
      <c r="CG139" s="50"/>
      <c r="CH139" s="50"/>
      <c r="CI139" s="50"/>
      <c r="CJ139" s="50"/>
      <c r="CK139" s="50"/>
      <c r="CL139" s="50"/>
      <c r="CM139" s="50"/>
      <c r="CN139" s="50"/>
      <c r="CO139" s="50"/>
      <c r="CP139" s="50"/>
      <c r="CQ139" s="50"/>
      <c r="CR139" s="50"/>
      <c r="CS139" s="50"/>
      <c r="CT139" s="50"/>
      <c r="CU139" s="50"/>
      <c r="CV139" s="50"/>
      <c r="CW139" s="50"/>
      <c r="CX139" s="50"/>
      <c r="CY139" s="50"/>
      <c r="CZ139" s="50"/>
      <c r="DA139" s="50"/>
      <c r="DB139" s="50"/>
      <c r="DC139" s="50"/>
      <c r="DD139" s="50"/>
      <c r="DE139" s="49"/>
      <c r="DF139" s="49"/>
      <c r="DG139" s="49"/>
      <c r="DH139" s="49"/>
      <c r="DI139" s="49"/>
      <c r="DJ139" s="49"/>
      <c r="DK139" s="49"/>
      <c r="DL139" s="49"/>
      <c r="DM139" s="49"/>
      <c r="DN139" s="49"/>
      <c r="DO139" s="49"/>
      <c r="DP139" s="49"/>
      <c r="DQ139" s="49"/>
      <c r="DR139" s="49"/>
      <c r="DS139" s="49"/>
      <c r="DT139" s="49"/>
      <c r="DU139" s="49"/>
      <c r="DV139" s="49"/>
      <c r="DW139" s="49"/>
      <c r="DX139" s="49"/>
      <c r="DY139" s="49"/>
      <c r="DZ139" s="49"/>
      <c r="EA139" s="49"/>
      <c r="EB139" s="49"/>
      <c r="EC139" s="49"/>
      <c r="ED139" s="49"/>
      <c r="EE139" s="50"/>
      <c r="EF139" s="50"/>
      <c r="EG139" s="50"/>
      <c r="EH139" s="50"/>
      <c r="EI139" s="50"/>
      <c r="EJ139" s="50"/>
      <c r="EK139" s="50"/>
      <c r="EL139" s="50"/>
      <c r="EM139" s="50"/>
      <c r="EN139" s="50"/>
      <c r="EO139" s="50"/>
      <c r="EP139" s="50"/>
      <c r="EQ139" s="50"/>
      <c r="ER139" s="50"/>
      <c r="ES139" s="50"/>
      <c r="ET139" s="50"/>
      <c r="EU139" s="50"/>
      <c r="EV139" s="50"/>
      <c r="EW139" s="50"/>
      <c r="EX139" s="50"/>
      <c r="EY139" s="50"/>
      <c r="EZ139" s="50"/>
      <c r="FA139" s="50"/>
      <c r="FB139" s="50"/>
      <c r="FC139" s="50"/>
      <c r="FD139" s="50"/>
      <c r="FE139" s="50"/>
      <c r="FF139" s="50"/>
      <c r="FG139" s="50"/>
      <c r="FH139" s="50"/>
      <c r="FI139" s="50"/>
      <c r="FJ139" s="50"/>
      <c r="FK139" s="50"/>
      <c r="FL139" s="50"/>
      <c r="FM139" s="50"/>
      <c r="FN139" s="50"/>
    </row>
    <row r="140" spans="1:170" s="8" customFormat="1" ht="18" customHeight="1">
      <c r="A140" s="1976"/>
      <c r="B140" s="204"/>
      <c r="C140" s="14" t="str">
        <f>Begriffe!F53</f>
        <v>Anlagennutzungsgrad der Wärmerückgewinnung</v>
      </c>
      <c r="D140" s="14"/>
      <c r="E140" s="14"/>
      <c r="F140" s="14"/>
      <c r="G140" s="14"/>
      <c r="H140" s="14"/>
      <c r="I140" s="155" t="s">
        <v>1868</v>
      </c>
      <c r="J140" s="678" t="s">
        <v>208</v>
      </c>
      <c r="K140" s="377"/>
      <c r="L140" s="1560"/>
      <c r="M140" s="1745">
        <f>IF(L140&lt;&gt;"",L140,INDEX(Eingabedaten!$D$9:$DN$53,nutzid,MATCH($C140,Eingabedaten!$D$6:$DN$6,0)))</f>
        <v>0.7</v>
      </c>
      <c r="N140" s="1366">
        <f>INDEX(Eingabedaten!$D$9:$DN$53,nutzid,MATCH($C140,Eingabedaten!$D$6:$DN$6,0)+1)</f>
        <v>0.75</v>
      </c>
      <c r="O140" s="444">
        <f>INDEX(Eingabedaten!$D$9:$DN$53,nutzid,MATCH($C140,Eingabedaten!$D$6:$DN$6,0)+2)</f>
        <v>0</v>
      </c>
      <c r="P140" s="14">
        <v>0</v>
      </c>
      <c r="Q140" s="392">
        <v>1</v>
      </c>
      <c r="R140" s="14">
        <v>0</v>
      </c>
      <c r="S140" s="243"/>
      <c r="T140" s="89"/>
      <c r="U140" s="89"/>
      <c r="V140" s="64"/>
      <c r="W140" s="158"/>
      <c r="X140" s="158"/>
      <c r="Y140" s="64"/>
      <c r="Z140" s="158"/>
      <c r="AA140" s="158"/>
      <c r="AB140" s="65"/>
      <c r="AC140" s="89"/>
      <c r="AD140" s="89"/>
      <c r="AE140" s="7"/>
      <c r="AF140" s="7"/>
      <c r="AG140" s="7"/>
      <c r="AH140" s="7"/>
      <c r="AI140" s="7"/>
      <c r="AJ140" s="7"/>
      <c r="AK140" s="7"/>
      <c r="AL140" s="7"/>
      <c r="AM140" s="7"/>
      <c r="AN140" s="7"/>
      <c r="AO140" s="7"/>
      <c r="AP140" s="83"/>
      <c r="AQ140" s="83"/>
      <c r="AR140" s="50"/>
      <c r="AS140" s="50"/>
      <c r="AT140" s="50"/>
      <c r="AU140" s="50"/>
      <c r="AV140" s="50"/>
      <c r="AW140" s="50"/>
      <c r="AX140" s="50"/>
      <c r="AY140" s="50"/>
      <c r="AZ140" s="50"/>
      <c r="BA140" s="50"/>
      <c r="BB140" s="50"/>
      <c r="BC140" s="50"/>
      <c r="BD140" s="50"/>
      <c r="BE140" s="50"/>
      <c r="BF140" s="50"/>
      <c r="BG140" s="50"/>
      <c r="BH140" s="50"/>
      <c r="BI140" s="50"/>
      <c r="BJ140" s="50"/>
      <c r="BK140" s="50"/>
      <c r="BL140" s="50"/>
      <c r="BM140" s="50"/>
      <c r="BN140" s="50"/>
      <c r="BO140" s="50"/>
      <c r="BP140" s="50"/>
      <c r="BQ140" s="50"/>
      <c r="BR140" s="50"/>
      <c r="BS140" s="50"/>
      <c r="BT140" s="50"/>
      <c r="BU140" s="50"/>
      <c r="BV140" s="50"/>
      <c r="BW140" s="50"/>
      <c r="BX140" s="50"/>
      <c r="BY140" s="50"/>
      <c r="BZ140" s="50"/>
      <c r="CA140" s="50"/>
      <c r="CB140" s="50"/>
      <c r="CC140" s="50"/>
      <c r="CD140" s="50"/>
      <c r="CE140" s="50"/>
      <c r="CF140" s="50"/>
      <c r="CG140" s="50"/>
      <c r="CH140" s="50"/>
      <c r="CI140" s="50"/>
      <c r="CJ140" s="50"/>
      <c r="CK140" s="50"/>
      <c r="CL140" s="50"/>
      <c r="CM140" s="50"/>
      <c r="CN140" s="50"/>
      <c r="CO140" s="50"/>
      <c r="CP140" s="50"/>
      <c r="CQ140" s="50"/>
      <c r="CR140" s="50"/>
      <c r="CS140" s="50"/>
      <c r="CT140" s="50"/>
      <c r="CU140" s="50"/>
      <c r="CV140" s="50"/>
      <c r="CW140" s="50"/>
      <c r="CX140" s="50"/>
      <c r="CY140" s="50"/>
      <c r="CZ140" s="50"/>
      <c r="DA140" s="50"/>
      <c r="DB140" s="50"/>
      <c r="DC140" s="50"/>
      <c r="DD140" s="50"/>
      <c r="DE140" s="49"/>
      <c r="DF140" s="49"/>
      <c r="DG140" s="49"/>
      <c r="DH140" s="49"/>
      <c r="DI140" s="49"/>
      <c r="DJ140" s="49"/>
      <c r="DK140" s="49"/>
      <c r="DL140" s="49"/>
      <c r="DM140" s="49"/>
      <c r="DN140" s="49"/>
      <c r="DO140" s="49"/>
      <c r="DP140" s="49"/>
      <c r="DQ140" s="49"/>
      <c r="DR140" s="49"/>
      <c r="DS140" s="49"/>
      <c r="DT140" s="49"/>
      <c r="DU140" s="49"/>
      <c r="DV140" s="49"/>
      <c r="DW140" s="49"/>
      <c r="DX140" s="49"/>
      <c r="DY140" s="49"/>
      <c r="DZ140" s="49"/>
      <c r="EA140" s="49"/>
      <c r="EB140" s="49"/>
      <c r="EC140" s="49"/>
      <c r="ED140" s="49"/>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50"/>
      <c r="FA140" s="50"/>
      <c r="FB140" s="50"/>
      <c r="FC140" s="50"/>
      <c r="FD140" s="50"/>
      <c r="FE140" s="50"/>
      <c r="FF140" s="50"/>
      <c r="FG140" s="50"/>
      <c r="FH140" s="50"/>
      <c r="FI140" s="50"/>
      <c r="FJ140" s="50"/>
      <c r="FK140" s="50"/>
      <c r="FL140" s="50"/>
      <c r="FM140" s="50"/>
      <c r="FN140" s="50"/>
    </row>
    <row r="141" spans="1:170" s="8" customFormat="1" ht="18" customHeight="1">
      <c r="A141" s="1976"/>
      <c r="B141" s="204"/>
      <c r="C141" s="14" t="str">
        <f>Begriffe!F58</f>
        <v>Jährliche Volumenstrom-Volllaststunden</v>
      </c>
      <c r="D141" s="14"/>
      <c r="E141" s="14"/>
      <c r="F141" s="1267" t="str">
        <f>Begriffe!F381</f>
        <v>Hygienelüftung</v>
      </c>
      <c r="G141" s="14"/>
      <c r="H141" s="14"/>
      <c r="I141" s="98" t="s">
        <v>169</v>
      </c>
      <c r="J141" s="377" t="s">
        <v>15</v>
      </c>
      <c r="K141" s="377"/>
      <c r="L141" s="444"/>
      <c r="M141" s="1755">
        <f>ROUND(IF(M136="IDA-C3",Profile!$O611,IF(M136="IDA-C4",Profile!$Q611,Profile!$U611))*IF(M136=0,0,1),-1)</f>
        <v>8760</v>
      </c>
      <c r="N141" s="1378">
        <f>ROUND(IF(N136="IDA-C3",Profile!$O611,IF(N136="IDA-C4",Profile!$Q611,Profile!$U611))*IF(N136=0,0,1),-1)</f>
        <v>7540</v>
      </c>
      <c r="O141" s="149">
        <f>ROUND(IF(O136="IDA-C3",Profile!$O611,IF(O136="IDA-C4",Profile!$Q611,Profile!$U611))*IF(O136=0,0,1),-1)</f>
        <v>0</v>
      </c>
      <c r="P141" s="14">
        <v>1</v>
      </c>
      <c r="Q141" s="392">
        <v>1</v>
      </c>
      <c r="R141" s="14"/>
      <c r="S141" s="243"/>
      <c r="T141" s="89"/>
      <c r="U141" s="89"/>
      <c r="V141" s="64"/>
      <c r="W141" s="158"/>
      <c r="X141" s="158"/>
      <c r="Y141" s="64"/>
      <c r="Z141" s="158"/>
      <c r="AA141" s="158"/>
      <c r="AB141" s="65"/>
      <c r="AC141" s="89"/>
      <c r="AD141" s="89"/>
      <c r="AE141" s="7"/>
      <c r="AF141" s="7"/>
      <c r="AG141" s="7"/>
      <c r="AH141" s="7"/>
      <c r="AI141" s="7"/>
      <c r="AJ141" s="7"/>
      <c r="AK141" s="7"/>
      <c r="AL141" s="7"/>
      <c r="AM141" s="7"/>
      <c r="AN141" s="7"/>
      <c r="AO141" s="7"/>
      <c r="AP141" s="83"/>
      <c r="AQ141" s="83"/>
      <c r="AR141" s="50"/>
      <c r="AS141" s="50"/>
      <c r="AT141" s="50"/>
      <c r="AU141" s="50"/>
      <c r="AV141" s="50"/>
      <c r="AW141" s="50"/>
      <c r="AX141" s="50"/>
      <c r="AY141" s="50"/>
      <c r="AZ141" s="50"/>
      <c r="BA141" s="50"/>
      <c r="BB141" s="50"/>
      <c r="BC141" s="50"/>
      <c r="BD141" s="50"/>
      <c r="BE141" s="50"/>
      <c r="BF141" s="50"/>
      <c r="BG141" s="50"/>
      <c r="BH141" s="50"/>
      <c r="BI141" s="50"/>
      <c r="BJ141" s="50"/>
      <c r="BK141" s="50"/>
      <c r="BL141" s="50"/>
      <c r="BM141" s="50"/>
      <c r="BN141" s="50"/>
      <c r="BO141" s="50"/>
      <c r="BP141" s="50"/>
      <c r="BQ141" s="50"/>
      <c r="BR141" s="50"/>
      <c r="BS141" s="50"/>
      <c r="BT141" s="50"/>
      <c r="BU141" s="50"/>
      <c r="BV141" s="50"/>
      <c r="BW141" s="50"/>
      <c r="BX141" s="50"/>
      <c r="BY141" s="50"/>
      <c r="BZ141" s="50"/>
      <c r="CA141" s="50"/>
      <c r="CB141" s="50"/>
      <c r="CC141" s="50"/>
      <c r="CD141" s="50"/>
      <c r="CE141" s="50"/>
      <c r="CF141" s="50"/>
      <c r="CG141" s="50"/>
      <c r="CH141" s="50"/>
      <c r="CI141" s="50"/>
      <c r="CJ141" s="50"/>
      <c r="CK141" s="50"/>
      <c r="CL141" s="50"/>
      <c r="CM141" s="50"/>
      <c r="CN141" s="50"/>
      <c r="CO141" s="50"/>
      <c r="CP141" s="50"/>
      <c r="CQ141" s="50"/>
      <c r="CR141" s="50"/>
      <c r="CS141" s="50"/>
      <c r="CT141" s="50"/>
      <c r="CU141" s="50"/>
      <c r="CV141" s="50"/>
      <c r="CW141" s="50"/>
      <c r="CX141" s="50"/>
      <c r="CY141" s="50"/>
      <c r="CZ141" s="50"/>
      <c r="DA141" s="50"/>
      <c r="DB141" s="50"/>
      <c r="DC141" s="50"/>
      <c r="DD141" s="50"/>
      <c r="DE141" s="49"/>
      <c r="DF141" s="49"/>
      <c r="DG141" s="49"/>
      <c r="DH141" s="49"/>
      <c r="DI141" s="49"/>
      <c r="DJ141" s="49"/>
      <c r="DK141" s="49"/>
      <c r="DL141" s="49"/>
      <c r="DM141" s="49"/>
      <c r="DN141" s="49"/>
      <c r="DO141" s="49"/>
      <c r="DP141" s="49"/>
      <c r="DQ141" s="49"/>
      <c r="DR141" s="49"/>
      <c r="DS141" s="49"/>
      <c r="DT141" s="49"/>
      <c r="DU141" s="49"/>
      <c r="DV141" s="49"/>
      <c r="DW141" s="49"/>
      <c r="DX141" s="49"/>
      <c r="DY141" s="49"/>
      <c r="DZ141" s="49"/>
      <c r="EA141" s="49"/>
      <c r="EB141" s="49"/>
      <c r="EC141" s="49"/>
      <c r="ED141" s="49"/>
      <c r="EE141" s="50"/>
      <c r="EF141" s="50"/>
      <c r="EG141" s="50"/>
      <c r="EH141" s="50"/>
      <c r="EI141" s="50"/>
      <c r="EJ141" s="50"/>
      <c r="EK141" s="50"/>
      <c r="EL141" s="50"/>
      <c r="EM141" s="50"/>
      <c r="EN141" s="50"/>
      <c r="EO141" s="50"/>
      <c r="EP141" s="50"/>
      <c r="EQ141" s="50"/>
      <c r="ER141" s="50"/>
      <c r="ES141" s="50"/>
      <c r="ET141" s="50"/>
      <c r="EU141" s="50"/>
      <c r="EV141" s="50"/>
      <c r="EW141" s="50"/>
      <c r="EX141" s="50"/>
      <c r="EY141" s="50"/>
      <c r="EZ141" s="50"/>
      <c r="FA141" s="50"/>
      <c r="FB141" s="50"/>
      <c r="FC141" s="50"/>
      <c r="FD141" s="50"/>
      <c r="FE141" s="50"/>
      <c r="FF141" s="50"/>
      <c r="FG141" s="50"/>
      <c r="FH141" s="50"/>
      <c r="FI141" s="50"/>
      <c r="FJ141" s="50"/>
      <c r="FK141" s="50"/>
      <c r="FL141" s="50"/>
      <c r="FM141" s="50"/>
      <c r="FN141" s="50"/>
    </row>
    <row r="142" spans="1:170" s="8" customFormat="1" ht="18" hidden="1" customHeight="1">
      <c r="A142" s="1976"/>
      <c r="B142" s="204"/>
      <c r="C142" s="1160" t="str">
        <f>Begriffe!F102</f>
        <v>Spezifische Ventilatorleistung</v>
      </c>
      <c r="D142" s="1160"/>
      <c r="E142" s="1161"/>
      <c r="F142" s="1160" t="str">
        <f>Begriffe!$F$363</f>
        <v>Total Zu- und Abluft</v>
      </c>
      <c r="G142" s="1160"/>
      <c r="H142" s="1160"/>
      <c r="I142" s="1162" t="s">
        <v>1471</v>
      </c>
      <c r="J142" s="1163" t="s">
        <v>1472</v>
      </c>
      <c r="K142" s="1163"/>
      <c r="L142" s="1164"/>
      <c r="M142" s="1165">
        <f>IF(L142&lt;&gt;"",L142,INDEX(Eingabedaten!$D$9:$DN$53,nutzid,MATCH($C142,Eingabedaten!$D$6:$DN$6,0)))*IF(M136=0,0,1)</f>
        <v>0.56000000000000005</v>
      </c>
      <c r="N142" s="1165">
        <f>INDEX(Eingabedaten!$D$9:$DN$53,nutzid,MATCH($C142,Eingabedaten!$D$6:$DN$6,0)+1)*IF(N136=0,0,1)</f>
        <v>0.34</v>
      </c>
      <c r="O142" s="1165">
        <f>INDEX(Eingabedaten!$D$9:$DN$53,nutzid,MATCH($C142,Eingabedaten!$D$6:$DN$6,0)+2)*IF(O136=0,0,1)</f>
        <v>0</v>
      </c>
      <c r="P142" s="14">
        <v>0</v>
      </c>
      <c r="Q142" s="392"/>
      <c r="R142" s="14">
        <v>0</v>
      </c>
      <c r="S142" s="243"/>
      <c r="T142" s="89"/>
      <c r="U142" s="89"/>
      <c r="V142" s="64"/>
      <c r="W142" s="158"/>
      <c r="X142" s="158"/>
      <c r="Y142" s="64"/>
      <c r="Z142" s="158"/>
      <c r="AA142" s="158"/>
      <c r="AB142" s="65"/>
      <c r="AC142" s="89"/>
      <c r="AD142" s="89"/>
      <c r="AE142" s="7"/>
      <c r="AF142" s="7"/>
      <c r="AG142" s="7"/>
      <c r="AH142" s="7"/>
      <c r="AI142" s="7"/>
      <c r="AJ142" s="7"/>
      <c r="AK142" s="7"/>
      <c r="AL142" s="7"/>
      <c r="AM142" s="7"/>
      <c r="AN142" s="7"/>
      <c r="AO142" s="7"/>
      <c r="AP142" s="83"/>
      <c r="AQ142" s="83"/>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0"/>
      <c r="CA142" s="50"/>
      <c r="CB142" s="50"/>
      <c r="CC142" s="50"/>
      <c r="CD142" s="50"/>
      <c r="CE142" s="50"/>
      <c r="CF142" s="50"/>
      <c r="CG142" s="50"/>
      <c r="CH142" s="50"/>
      <c r="CI142" s="50"/>
      <c r="CJ142" s="50"/>
      <c r="CK142" s="50"/>
      <c r="CL142" s="50"/>
      <c r="CM142" s="50"/>
      <c r="CN142" s="50"/>
      <c r="CO142" s="50"/>
      <c r="CP142" s="50"/>
      <c r="CQ142" s="50"/>
      <c r="CR142" s="50"/>
      <c r="CS142" s="50"/>
      <c r="CT142" s="50"/>
      <c r="CU142" s="50"/>
      <c r="CV142" s="50"/>
      <c r="CW142" s="50"/>
      <c r="CX142" s="50"/>
      <c r="CY142" s="50"/>
      <c r="CZ142" s="50"/>
      <c r="DA142" s="50"/>
      <c r="DB142" s="50"/>
      <c r="DC142" s="50"/>
      <c r="DD142" s="50"/>
      <c r="DE142" s="49"/>
      <c r="DF142" s="49"/>
      <c r="DG142" s="49"/>
      <c r="DH142" s="49"/>
      <c r="DI142" s="49"/>
      <c r="DJ142" s="49"/>
      <c r="DK142" s="49"/>
      <c r="DL142" s="49"/>
      <c r="DM142" s="49"/>
      <c r="DN142" s="49"/>
      <c r="DO142" s="49"/>
      <c r="DP142" s="49"/>
      <c r="DQ142" s="49"/>
      <c r="DR142" s="49"/>
      <c r="DS142" s="49"/>
      <c r="DT142" s="49"/>
      <c r="DU142" s="49"/>
      <c r="DV142" s="49"/>
      <c r="DW142" s="49"/>
      <c r="DX142" s="49"/>
      <c r="DY142" s="49"/>
      <c r="DZ142" s="49"/>
      <c r="EA142" s="49"/>
      <c r="EB142" s="49"/>
      <c r="EC142" s="49"/>
      <c r="ED142" s="49"/>
      <c r="EE142" s="50"/>
      <c r="EF142" s="50"/>
      <c r="EG142" s="50"/>
      <c r="EH142" s="50"/>
      <c r="EI142" s="50"/>
      <c r="EJ142" s="50"/>
      <c r="EK142" s="50"/>
      <c r="EL142" s="50"/>
      <c r="EM142" s="50"/>
      <c r="EN142" s="50"/>
      <c r="EO142" s="50"/>
      <c r="EP142" s="50"/>
      <c r="EQ142" s="50"/>
      <c r="ER142" s="50"/>
      <c r="ES142" s="50"/>
      <c r="ET142" s="50"/>
      <c r="EU142" s="50"/>
      <c r="EV142" s="50"/>
      <c r="EW142" s="50"/>
      <c r="EX142" s="50"/>
      <c r="EY142" s="50"/>
      <c r="EZ142" s="50"/>
      <c r="FA142" s="50"/>
      <c r="FB142" s="50"/>
      <c r="FC142" s="50"/>
      <c r="FD142" s="50"/>
      <c r="FE142" s="50"/>
      <c r="FF142" s="50"/>
      <c r="FG142" s="50"/>
      <c r="FH142" s="50"/>
      <c r="FI142" s="50"/>
      <c r="FJ142" s="50"/>
      <c r="FK142" s="50"/>
      <c r="FL142" s="50"/>
      <c r="FM142" s="50"/>
      <c r="FN142" s="50"/>
    </row>
    <row r="143" spans="1:170" s="8" customFormat="1" ht="18" hidden="1" customHeight="1">
      <c r="A143" s="1976"/>
      <c r="B143" s="204"/>
      <c r="C143" s="1160" t="str">
        <f>Begriffe!F40</f>
        <v>Elektrische Leistung der Lüftung</v>
      </c>
      <c r="D143" s="1160"/>
      <c r="E143" s="1161"/>
      <c r="F143" s="1160" t="str">
        <f>Begriffe!F380</f>
        <v>Ohne Fensterlüftung, ohne Prozessanlagen</v>
      </c>
      <c r="G143" s="1160"/>
      <c r="H143" s="1160"/>
      <c r="I143" s="1162" t="s">
        <v>1473</v>
      </c>
      <c r="J143" s="1163" t="s">
        <v>1474</v>
      </c>
      <c r="K143" s="1163"/>
      <c r="L143" s="1166"/>
      <c r="M143" s="1167">
        <f>(M133*M142)</f>
        <v>0.46400000000000008</v>
      </c>
      <c r="N143" s="1167">
        <f>(N133*N142)</f>
        <v>0.28171428571428575</v>
      </c>
      <c r="O143" s="1168">
        <f>(O133*O142)</f>
        <v>0</v>
      </c>
      <c r="P143" s="14">
        <v>1</v>
      </c>
      <c r="Q143" s="392"/>
      <c r="R143" s="14">
        <v>0</v>
      </c>
      <c r="S143" s="243"/>
      <c r="T143" s="89"/>
      <c r="U143" s="89"/>
      <c r="V143" s="64"/>
      <c r="W143" s="158"/>
      <c r="X143" s="1981"/>
      <c r="Y143" s="64"/>
      <c r="Z143" s="158"/>
      <c r="AA143" s="158"/>
      <c r="AB143" s="65"/>
      <c r="AC143" s="89"/>
      <c r="AD143" s="89"/>
      <c r="AE143" s="7"/>
      <c r="AF143" s="7"/>
      <c r="AG143" s="7"/>
      <c r="AH143" s="7"/>
      <c r="AI143" s="7"/>
      <c r="AJ143" s="7"/>
      <c r="AK143" s="7"/>
      <c r="AL143" s="7"/>
      <c r="AM143" s="7"/>
      <c r="AN143" s="7"/>
      <c r="AO143" s="7"/>
      <c r="AP143" s="83"/>
      <c r="AQ143" s="83"/>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0"/>
      <c r="CA143" s="50"/>
      <c r="CB143" s="50"/>
      <c r="CC143" s="50"/>
      <c r="CD143" s="50"/>
      <c r="CE143" s="50"/>
      <c r="CF143" s="50"/>
      <c r="CG143" s="50"/>
      <c r="CH143" s="50"/>
      <c r="CI143" s="50"/>
      <c r="CJ143" s="50"/>
      <c r="CK143" s="50"/>
      <c r="CL143" s="50"/>
      <c r="CM143" s="50"/>
      <c r="CN143" s="50"/>
      <c r="CO143" s="50"/>
      <c r="CP143" s="50"/>
      <c r="CQ143" s="50"/>
      <c r="CR143" s="50"/>
      <c r="CS143" s="50"/>
      <c r="CT143" s="50"/>
      <c r="CU143" s="50"/>
      <c r="CV143" s="50"/>
      <c r="CW143" s="50"/>
      <c r="CX143" s="50"/>
      <c r="CY143" s="50"/>
      <c r="CZ143" s="50"/>
      <c r="DA143" s="50"/>
      <c r="DB143" s="50"/>
      <c r="DC143" s="50"/>
      <c r="DD143" s="50"/>
      <c r="DE143" s="49"/>
      <c r="DF143" s="49"/>
      <c r="DG143" s="49"/>
      <c r="DH143" s="49"/>
      <c r="DI143" s="49"/>
      <c r="DJ143" s="49"/>
      <c r="DK143" s="49"/>
      <c r="DL143" s="49"/>
      <c r="DM143" s="49"/>
      <c r="DN143" s="49"/>
      <c r="DO143" s="49"/>
      <c r="DP143" s="49"/>
      <c r="DQ143" s="49"/>
      <c r="DR143" s="49"/>
      <c r="DS143" s="49"/>
      <c r="DT143" s="49"/>
      <c r="DU143" s="49"/>
      <c r="DV143" s="49"/>
      <c r="DW143" s="49"/>
      <c r="DX143" s="49"/>
      <c r="DY143" s="49"/>
      <c r="DZ143" s="49"/>
      <c r="EA143" s="49"/>
      <c r="EB143" s="49"/>
      <c r="EC143" s="49"/>
      <c r="ED143" s="49"/>
      <c r="EE143" s="50"/>
      <c r="EF143" s="50"/>
      <c r="EG143" s="50"/>
      <c r="EH143" s="50"/>
      <c r="EI143" s="50"/>
      <c r="EJ143" s="50"/>
      <c r="EK143" s="50"/>
      <c r="EL143" s="50"/>
      <c r="EM143" s="50"/>
      <c r="EN143" s="50"/>
      <c r="EO143" s="50"/>
      <c r="EP143" s="50"/>
      <c r="EQ143" s="50"/>
      <c r="ER143" s="50"/>
      <c r="ES143" s="50"/>
      <c r="ET143" s="50"/>
      <c r="EU143" s="50"/>
      <c r="EV143" s="50"/>
      <c r="EW143" s="50"/>
      <c r="EX143" s="50"/>
      <c r="EY143" s="50"/>
      <c r="EZ143" s="50"/>
      <c r="FA143" s="50"/>
      <c r="FB143" s="50"/>
      <c r="FC143" s="50"/>
      <c r="FD143" s="50"/>
      <c r="FE143" s="50"/>
      <c r="FF143" s="50"/>
      <c r="FG143" s="50"/>
      <c r="FH143" s="50"/>
      <c r="FI143" s="50"/>
      <c r="FJ143" s="50"/>
      <c r="FK143" s="50"/>
      <c r="FL143" s="50"/>
      <c r="FM143" s="50"/>
      <c r="FN143" s="50"/>
    </row>
    <row r="144" spans="1:170" s="8" customFormat="1" ht="18" hidden="1" customHeight="1">
      <c r="A144" s="1976"/>
      <c r="B144" s="204"/>
      <c r="C144" s="1160" t="str">
        <f>Begriffe!F57</f>
        <v>Jährliche Volllaststunden der Lüftung</v>
      </c>
      <c r="D144" s="1160"/>
      <c r="E144" s="1160"/>
      <c r="F144" s="1160" t="str">
        <f>Begriffe!$F$364</f>
        <v>Elektrizitätsbedarf</v>
      </c>
      <c r="G144" s="1160"/>
      <c r="H144" s="1160"/>
      <c r="I144" s="1162" t="s">
        <v>1475</v>
      </c>
      <c r="J144" s="1163" t="s">
        <v>15</v>
      </c>
      <c r="K144" s="1163"/>
      <c r="L144" s="1166"/>
      <c r="M144" s="1169">
        <f>ROUND(IF(M136="IDA-C3",Profile!$P$611,IF(M136="IDA-C4",Profile!$T$611,Profile!$AB$611))*IF(M136=0,0,1),-1)</f>
        <v>8760</v>
      </c>
      <c r="N144" s="1169">
        <f>ROUND(IF(N136="IDA-C3",Profile!$P$611,IF(N136="IDA-C4",Profile!$T$611,Profile!$AB$611))*IF(N136=0,0,1),-1)</f>
        <v>6440</v>
      </c>
      <c r="O144" s="1169">
        <f>ROUND(IF(O136="IDA-C3",Profile!$P$611,IF(O136="IDA-C4",Profile!$T$611,Profile!$AB$611))*IF(O136=0,0,1),-1)</f>
        <v>0</v>
      </c>
      <c r="P144" s="14">
        <v>1</v>
      </c>
      <c r="Q144" s="392"/>
      <c r="R144" s="14">
        <v>0</v>
      </c>
      <c r="S144" s="243" t="s">
        <v>261</v>
      </c>
      <c r="T144" s="89"/>
      <c r="U144" s="89"/>
      <c r="V144" s="64"/>
      <c r="W144" s="158"/>
      <c r="X144" s="1981"/>
      <c r="Y144" s="64"/>
      <c r="Z144" s="158"/>
      <c r="AA144" s="158"/>
      <c r="AB144" s="65"/>
      <c r="AC144" s="89"/>
      <c r="AD144" s="89"/>
      <c r="AE144" s="7"/>
      <c r="AF144" s="7"/>
      <c r="AG144" s="7"/>
      <c r="AH144" s="7"/>
      <c r="AI144" s="7"/>
      <c r="AJ144" s="7"/>
      <c r="AK144" s="7"/>
      <c r="AL144" s="7"/>
      <c r="AM144" s="7"/>
      <c r="AN144" s="7"/>
      <c r="AO144" s="7"/>
      <c r="AP144" s="83"/>
      <c r="AQ144" s="83"/>
      <c r="AR144" s="50"/>
      <c r="AS144" s="50"/>
      <c r="AT144" s="50"/>
      <c r="AU144" s="50"/>
      <c r="AV144" s="50"/>
      <c r="AW144" s="50"/>
      <c r="AX144" s="50"/>
      <c r="AY144" s="50"/>
      <c r="AZ144" s="50"/>
      <c r="BA144" s="50"/>
      <c r="BB144" s="50"/>
      <c r="BC144" s="50"/>
      <c r="BD144" s="50"/>
      <c r="BE144" s="50"/>
      <c r="BF144" s="50"/>
      <c r="BG144" s="50"/>
      <c r="BH144" s="50"/>
      <c r="BI144" s="50"/>
      <c r="BJ144" s="50"/>
      <c r="BK144" s="50"/>
      <c r="BL144" s="50"/>
      <c r="BM144" s="50"/>
      <c r="BN144" s="50"/>
      <c r="BO144" s="50"/>
      <c r="BP144" s="50"/>
      <c r="BQ144" s="50"/>
      <c r="BR144" s="50"/>
      <c r="BS144" s="50"/>
      <c r="BT144" s="50"/>
      <c r="BU144" s="50"/>
      <c r="BV144" s="50"/>
      <c r="BW144" s="50"/>
      <c r="BX144" s="50"/>
      <c r="BY144" s="50"/>
      <c r="BZ144" s="50"/>
      <c r="CA144" s="50"/>
      <c r="CB144" s="50"/>
      <c r="CC144" s="50"/>
      <c r="CD144" s="50"/>
      <c r="CE144" s="50"/>
      <c r="CF144" s="50"/>
      <c r="CG144" s="50"/>
      <c r="CH144" s="50"/>
      <c r="CI144" s="50"/>
      <c r="CJ144" s="50"/>
      <c r="CK144" s="50"/>
      <c r="CL144" s="50"/>
      <c r="CM144" s="50"/>
      <c r="CN144" s="50"/>
      <c r="CO144" s="50"/>
      <c r="CP144" s="50"/>
      <c r="CQ144" s="50"/>
      <c r="CR144" s="50"/>
      <c r="CS144" s="50"/>
      <c r="CT144" s="50"/>
      <c r="CU144" s="50"/>
      <c r="CV144" s="50"/>
      <c r="CW144" s="50"/>
      <c r="CX144" s="50"/>
      <c r="CY144" s="50"/>
      <c r="CZ144" s="50"/>
      <c r="DA144" s="50"/>
      <c r="DB144" s="50"/>
      <c r="DC144" s="50"/>
      <c r="DD144" s="50"/>
      <c r="DE144" s="49"/>
      <c r="DF144" s="49"/>
      <c r="DG144" s="49"/>
      <c r="DH144" s="49"/>
      <c r="DI144" s="49"/>
      <c r="DJ144" s="49"/>
      <c r="DK144" s="49"/>
      <c r="DL144" s="49"/>
      <c r="DM144" s="49"/>
      <c r="DN144" s="49"/>
      <c r="DO144" s="49"/>
      <c r="DP144" s="49"/>
      <c r="DQ144" s="49"/>
      <c r="DR144" s="49"/>
      <c r="DS144" s="49"/>
      <c r="DT144" s="49"/>
      <c r="DU144" s="49"/>
      <c r="DV144" s="49"/>
      <c r="DW144" s="49"/>
      <c r="DX144" s="49"/>
      <c r="DY144" s="49"/>
      <c r="DZ144" s="49"/>
      <c r="EA144" s="49"/>
      <c r="EB144" s="49"/>
      <c r="EC144" s="49"/>
      <c r="ED144" s="49"/>
      <c r="EE144" s="50"/>
      <c r="EF144" s="50"/>
      <c r="EG144" s="50"/>
      <c r="EH144" s="50"/>
      <c r="EI144" s="50"/>
      <c r="EJ144" s="50"/>
      <c r="EK144" s="50"/>
      <c r="EL144" s="50"/>
      <c r="EM144" s="50"/>
      <c r="EN144" s="50"/>
      <c r="EO144" s="50"/>
      <c r="EP144" s="50"/>
      <c r="EQ144" s="50"/>
      <c r="ER144" s="50"/>
      <c r="ES144" s="50"/>
      <c r="ET144" s="50"/>
      <c r="EU144" s="50"/>
      <c r="EV144" s="50"/>
      <c r="EW144" s="50"/>
      <c r="EX144" s="50"/>
      <c r="EY144" s="50"/>
      <c r="EZ144" s="50"/>
      <c r="FA144" s="50"/>
      <c r="FB144" s="50"/>
      <c r="FC144" s="50"/>
      <c r="FD144" s="50"/>
      <c r="FE144" s="50"/>
      <c r="FF144" s="50"/>
      <c r="FG144" s="50"/>
      <c r="FH144" s="50"/>
      <c r="FI144" s="50"/>
      <c r="FJ144" s="50"/>
      <c r="FK144" s="50"/>
      <c r="FL144" s="50"/>
      <c r="FM144" s="50"/>
      <c r="FN144" s="50"/>
    </row>
    <row r="145" spans="1:170" s="8" customFormat="1" ht="18" hidden="1" customHeight="1">
      <c r="A145" s="1977"/>
      <c r="B145" s="204"/>
      <c r="C145" s="1160" t="str">
        <f>Begriffe!F63</f>
        <v>Jährlicher Elektrizitätsbedarf der Lüftung</v>
      </c>
      <c r="D145" s="1160"/>
      <c r="E145" s="1160"/>
      <c r="F145" s="1160" t="str">
        <f>Begriffe!F380</f>
        <v>Ohne Fensterlüftung, ohne Prozessanlagen</v>
      </c>
      <c r="G145" s="1160"/>
      <c r="H145" s="1160"/>
      <c r="I145" s="1162" t="s">
        <v>1476</v>
      </c>
      <c r="J145" s="1163" t="s">
        <v>1477</v>
      </c>
      <c r="K145" s="1163"/>
      <c r="L145" s="1166"/>
      <c r="M145" s="1168">
        <f>M143*M144/1000</f>
        <v>4.0646400000000007</v>
      </c>
      <c r="N145" s="1168">
        <f>N143*N144/1000</f>
        <v>1.8142400000000003</v>
      </c>
      <c r="O145" s="1168">
        <f>O143*O144/1000</f>
        <v>0</v>
      </c>
      <c r="P145" s="14">
        <v>1</v>
      </c>
      <c r="Q145" s="392"/>
      <c r="R145" s="14">
        <v>0</v>
      </c>
      <c r="S145" s="243"/>
      <c r="T145" s="89"/>
      <c r="U145" s="89"/>
      <c r="V145" s="64"/>
      <c r="W145" s="158"/>
      <c r="X145" s="1981"/>
      <c r="Y145" s="64"/>
      <c r="Z145" s="158"/>
      <c r="AA145" s="158"/>
      <c r="AB145" s="65"/>
      <c r="AC145" s="89"/>
      <c r="AD145" s="89"/>
      <c r="AE145" s="7"/>
      <c r="AF145" s="7"/>
      <c r="AG145" s="7"/>
      <c r="AH145" s="7"/>
      <c r="AI145" s="7"/>
      <c r="AJ145" s="7"/>
      <c r="AK145" s="7"/>
      <c r="AL145" s="7"/>
      <c r="AM145" s="7"/>
      <c r="AN145" s="7"/>
      <c r="AO145" s="7"/>
      <c r="AP145" s="83"/>
      <c r="AQ145" s="83"/>
      <c r="AR145" s="50"/>
      <c r="AS145" s="50"/>
      <c r="AT145" s="50"/>
      <c r="AU145" s="50"/>
      <c r="AV145" s="50"/>
      <c r="AW145" s="50"/>
      <c r="AX145" s="50"/>
      <c r="AY145" s="50"/>
      <c r="AZ145" s="50"/>
      <c r="BA145" s="50"/>
      <c r="BB145" s="50"/>
      <c r="BC145" s="50"/>
      <c r="BD145" s="50"/>
      <c r="BE145" s="50"/>
      <c r="BF145" s="50"/>
      <c r="BG145" s="50"/>
      <c r="BH145" s="50"/>
      <c r="BI145" s="50"/>
      <c r="BJ145" s="50"/>
      <c r="BK145" s="50"/>
      <c r="BL145" s="50"/>
      <c r="BM145" s="50"/>
      <c r="BN145" s="50"/>
      <c r="BO145" s="50"/>
      <c r="BP145" s="50"/>
      <c r="BQ145" s="50"/>
      <c r="BR145" s="50"/>
      <c r="BS145" s="50"/>
      <c r="BT145" s="50"/>
      <c r="BU145" s="50"/>
      <c r="BV145" s="50"/>
      <c r="BW145" s="50"/>
      <c r="BX145" s="50"/>
      <c r="BY145" s="50"/>
      <c r="BZ145" s="50"/>
      <c r="CA145" s="50"/>
      <c r="CB145" s="50"/>
      <c r="CC145" s="50"/>
      <c r="CD145" s="50"/>
      <c r="CE145" s="50"/>
      <c r="CF145" s="50"/>
      <c r="CG145" s="50"/>
      <c r="CH145" s="50"/>
      <c r="CI145" s="50"/>
      <c r="CJ145" s="50"/>
      <c r="CK145" s="50"/>
      <c r="CL145" s="50"/>
      <c r="CM145" s="50"/>
      <c r="CN145" s="50"/>
      <c r="CO145" s="50"/>
      <c r="CP145" s="50"/>
      <c r="CQ145" s="50"/>
      <c r="CR145" s="50"/>
      <c r="CS145" s="50"/>
      <c r="CT145" s="50"/>
      <c r="CU145" s="50"/>
      <c r="CV145" s="50"/>
      <c r="CW145" s="50"/>
      <c r="CX145" s="50"/>
      <c r="CY145" s="50"/>
      <c r="CZ145" s="50"/>
      <c r="DA145" s="50"/>
      <c r="DB145" s="50"/>
      <c r="DC145" s="50"/>
      <c r="DD145" s="50"/>
      <c r="DE145" s="49"/>
      <c r="DF145" s="49"/>
      <c r="DG145" s="49"/>
      <c r="DH145" s="49"/>
      <c r="DI145" s="49"/>
      <c r="DJ145" s="49"/>
      <c r="DK145" s="49"/>
      <c r="DL145" s="49"/>
      <c r="DM145" s="49"/>
      <c r="DN145" s="49"/>
      <c r="DO145" s="49"/>
      <c r="DP145" s="49"/>
      <c r="DQ145" s="49"/>
      <c r="DR145" s="49"/>
      <c r="DS145" s="49"/>
      <c r="DT145" s="49"/>
      <c r="DU145" s="49"/>
      <c r="DV145" s="49"/>
      <c r="DW145" s="49"/>
      <c r="DX145" s="49"/>
      <c r="DY145" s="49"/>
      <c r="DZ145" s="49"/>
      <c r="EA145" s="49"/>
      <c r="EB145" s="49"/>
      <c r="EC145" s="49"/>
      <c r="ED145" s="49"/>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50"/>
      <c r="FA145" s="50"/>
      <c r="FB145" s="50"/>
      <c r="FC145" s="50"/>
      <c r="FD145" s="50"/>
      <c r="FE145" s="50"/>
      <c r="FF145" s="50"/>
      <c r="FG145" s="50"/>
      <c r="FH145" s="50"/>
      <c r="FI145" s="50"/>
      <c r="FJ145" s="50"/>
      <c r="FK145" s="50"/>
      <c r="FL145" s="50"/>
      <c r="FM145" s="50"/>
      <c r="FN145" s="50"/>
    </row>
    <row r="146" spans="1:170" s="8" customFormat="1" ht="2.25" customHeight="1">
      <c r="A146" s="113"/>
      <c r="B146" s="495"/>
      <c r="C146" s="495"/>
      <c r="D146" s="495"/>
      <c r="E146" s="495"/>
      <c r="F146" s="495"/>
      <c r="G146" s="495"/>
      <c r="H146" s="495"/>
      <c r="I146" s="691"/>
      <c r="J146" s="495"/>
      <c r="K146" s="495"/>
      <c r="L146" s="116"/>
      <c r="M146" s="1769"/>
      <c r="N146" s="1733"/>
      <c r="O146" s="136"/>
      <c r="P146" s="14">
        <v>0</v>
      </c>
      <c r="Q146" s="451">
        <v>1</v>
      </c>
      <c r="R146" s="14">
        <v>0</v>
      </c>
      <c r="S146" s="243"/>
      <c r="T146" s="89"/>
      <c r="U146" s="89"/>
      <c r="V146" s="64"/>
      <c r="W146" s="158"/>
      <c r="X146" s="164"/>
      <c r="Y146" s="64"/>
      <c r="Z146" s="158"/>
      <c r="AA146" s="158"/>
      <c r="AB146" s="65"/>
      <c r="AC146" s="89"/>
      <c r="AD146" s="89"/>
      <c r="AE146" s="7"/>
      <c r="AF146" s="7"/>
      <c r="AG146" s="7"/>
      <c r="AH146" s="7"/>
      <c r="AI146" s="7"/>
      <c r="AJ146" s="7"/>
      <c r="AK146" s="7"/>
      <c r="AL146" s="7"/>
      <c r="AM146" s="7"/>
      <c r="AN146" s="7"/>
      <c r="AO146" s="7"/>
      <c r="AP146" s="83"/>
      <c r="AQ146" s="83"/>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50"/>
      <c r="DA146" s="50"/>
      <c r="DB146" s="50"/>
      <c r="DC146" s="50"/>
      <c r="DD146" s="50"/>
      <c r="DE146" s="49"/>
      <c r="DF146" s="49"/>
      <c r="DG146" s="49"/>
      <c r="DH146" s="49"/>
      <c r="DI146" s="49"/>
      <c r="DJ146" s="49"/>
      <c r="DK146" s="49"/>
      <c r="DL146" s="49"/>
      <c r="DM146" s="49"/>
      <c r="DN146" s="49"/>
      <c r="DO146" s="49"/>
      <c r="DP146" s="49"/>
      <c r="DQ146" s="49"/>
      <c r="DR146" s="49"/>
      <c r="DS146" s="49"/>
      <c r="DT146" s="49"/>
      <c r="DU146" s="49"/>
      <c r="DV146" s="49"/>
      <c r="DW146" s="49"/>
      <c r="DX146" s="49"/>
      <c r="DY146" s="49"/>
      <c r="DZ146" s="49"/>
      <c r="EA146" s="49"/>
      <c r="EB146" s="49"/>
      <c r="EC146" s="49"/>
      <c r="ED146" s="49"/>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50"/>
      <c r="FA146" s="50"/>
      <c r="FB146" s="50"/>
      <c r="FC146" s="50"/>
      <c r="FD146" s="50"/>
      <c r="FE146" s="50"/>
      <c r="FF146" s="50"/>
      <c r="FG146" s="50"/>
      <c r="FH146" s="50"/>
      <c r="FI146" s="50"/>
      <c r="FJ146" s="50"/>
      <c r="FK146" s="50"/>
      <c r="FL146" s="50"/>
      <c r="FM146" s="50"/>
      <c r="FN146" s="50"/>
    </row>
    <row r="147" spans="1:170" s="14" customFormat="1" ht="18" customHeight="1">
      <c r="A147" s="1978" t="str">
        <f>Begriffe!F220</f>
        <v>Raumkühlung</v>
      </c>
      <c r="B147" s="204"/>
      <c r="C147" s="14" t="str">
        <f>Begriffe!F42</f>
        <v>Externe Wärmeeintragsleistung</v>
      </c>
      <c r="F147" s="14" t="str">
        <f>Begriffe!$F$365</f>
        <v>Solar, Transmission, Lüftung</v>
      </c>
      <c r="I147" s="155" t="s">
        <v>967</v>
      </c>
      <c r="J147" s="678" t="s">
        <v>149</v>
      </c>
      <c r="K147" s="678"/>
      <c r="L147" s="170"/>
      <c r="M147" s="1770">
        <f>Profile!J264+Profile!O264+Profile!P264</f>
        <v>12.277758823529414</v>
      </c>
      <c r="N147" s="1740"/>
      <c r="O147" s="702"/>
      <c r="P147" s="14">
        <v>1</v>
      </c>
      <c r="Q147" s="392">
        <v>1</v>
      </c>
      <c r="R147" s="14">
        <v>1</v>
      </c>
      <c r="S147" s="243" t="s">
        <v>261</v>
      </c>
      <c r="T147" s="89"/>
      <c r="U147" s="89"/>
      <c r="V147" s="64"/>
      <c r="W147" s="1803">
        <f>Profile!J264+Profile!O264+Profile!P264</f>
        <v>12.277758823529414</v>
      </c>
      <c r="X147" s="158"/>
      <c r="Y147" s="243"/>
      <c r="Z147" s="158"/>
      <c r="AA147" s="64"/>
      <c r="AB147" s="64"/>
      <c r="AC147" s="64"/>
      <c r="AD147" s="89"/>
      <c r="AE147" s="7"/>
      <c r="AF147" s="7"/>
      <c r="AG147" s="7"/>
      <c r="AH147" s="7"/>
      <c r="AI147" s="7"/>
      <c r="AJ147" s="7"/>
      <c r="AK147" s="7"/>
      <c r="AL147" s="7"/>
      <c r="AM147" s="7"/>
      <c r="AN147" s="7"/>
      <c r="AO147" s="7"/>
      <c r="AP147" s="83"/>
      <c r="AQ147" s="83"/>
      <c r="AR147" s="50"/>
      <c r="AS147" s="50"/>
      <c r="AT147" s="50"/>
      <c r="AU147" s="50"/>
      <c r="AV147" s="50"/>
      <c r="AW147" s="50"/>
      <c r="AX147" s="50"/>
      <c r="AY147" s="50"/>
      <c r="AZ147" s="50"/>
      <c r="BA147" s="50"/>
      <c r="BB147" s="50"/>
      <c r="BC147" s="50"/>
      <c r="BD147" s="50"/>
      <c r="BE147" s="50"/>
      <c r="BF147" s="50"/>
      <c r="BG147" s="50"/>
      <c r="BH147" s="50"/>
      <c r="BI147" s="50"/>
      <c r="BJ147" s="50"/>
      <c r="BK147" s="50"/>
      <c r="BL147" s="50"/>
      <c r="BM147" s="50"/>
      <c r="BN147" s="50"/>
      <c r="BO147" s="50"/>
      <c r="BP147" s="50"/>
      <c r="BQ147" s="50"/>
      <c r="BR147" s="50"/>
      <c r="BS147" s="50"/>
      <c r="BT147" s="50"/>
      <c r="BU147" s="50"/>
      <c r="BV147" s="50"/>
      <c r="BW147" s="50"/>
      <c r="BX147" s="50"/>
      <c r="BY147" s="50"/>
      <c r="BZ147" s="50"/>
      <c r="CA147" s="50"/>
      <c r="CB147" s="50"/>
      <c r="CC147" s="50"/>
      <c r="CD147" s="50"/>
      <c r="CE147" s="50"/>
      <c r="CF147" s="50"/>
      <c r="CG147" s="50"/>
      <c r="CH147" s="50"/>
      <c r="CI147" s="50"/>
      <c r="CJ147" s="50"/>
      <c r="CK147" s="50"/>
      <c r="CL147" s="50"/>
      <c r="CM147" s="50"/>
      <c r="CN147" s="50"/>
      <c r="CO147" s="50"/>
      <c r="CP147" s="50"/>
      <c r="CQ147" s="50"/>
      <c r="CR147" s="50"/>
      <c r="CS147" s="50"/>
      <c r="CT147" s="50"/>
      <c r="CU147" s="50"/>
      <c r="CV147" s="50"/>
      <c r="CW147" s="50"/>
      <c r="CX147" s="50"/>
      <c r="CY147" s="50"/>
      <c r="CZ147" s="50"/>
      <c r="DA147" s="50"/>
      <c r="DB147" s="50"/>
      <c r="DC147" s="50"/>
      <c r="DD147" s="50"/>
      <c r="DE147" s="49"/>
      <c r="DF147" s="49"/>
      <c r="DG147" s="49"/>
      <c r="DH147" s="49"/>
      <c r="DI147" s="49"/>
      <c r="DJ147" s="49"/>
      <c r="DK147" s="49"/>
      <c r="DL147" s="49"/>
      <c r="DM147" s="49"/>
      <c r="DN147" s="49"/>
      <c r="DO147" s="49"/>
      <c r="DP147" s="49"/>
      <c r="DQ147" s="49"/>
      <c r="DR147" s="49"/>
      <c r="DS147" s="49"/>
      <c r="DT147" s="49"/>
      <c r="DU147" s="49"/>
      <c r="DV147" s="49"/>
      <c r="DW147" s="49"/>
      <c r="DX147" s="49"/>
      <c r="DY147" s="49"/>
      <c r="DZ147" s="49"/>
      <c r="EA147" s="49"/>
      <c r="EB147" s="49"/>
      <c r="EC147" s="49"/>
      <c r="ED147" s="49"/>
      <c r="EE147" s="50"/>
      <c r="EF147" s="50"/>
      <c r="EG147" s="50"/>
      <c r="EH147" s="50"/>
      <c r="EI147" s="50"/>
      <c r="EJ147" s="50"/>
      <c r="EK147" s="50"/>
      <c r="EL147" s="50"/>
      <c r="EM147" s="50"/>
      <c r="EN147" s="50"/>
      <c r="EO147" s="50"/>
      <c r="EP147" s="50"/>
      <c r="EQ147" s="50"/>
      <c r="ER147" s="50"/>
      <c r="ES147" s="50"/>
      <c r="ET147" s="50"/>
      <c r="EU147" s="50"/>
      <c r="EV147" s="50"/>
      <c r="EW147" s="50"/>
      <c r="EX147" s="50"/>
      <c r="EY147" s="50"/>
      <c r="EZ147" s="50"/>
      <c r="FA147" s="50"/>
      <c r="FB147" s="50"/>
      <c r="FC147" s="50"/>
      <c r="FD147" s="50"/>
      <c r="FE147" s="50"/>
      <c r="FF147" s="50"/>
      <c r="FG147" s="50"/>
      <c r="FH147" s="50"/>
      <c r="FI147" s="50"/>
      <c r="FJ147" s="50"/>
      <c r="FK147" s="50"/>
      <c r="FL147" s="50"/>
      <c r="FM147" s="50"/>
      <c r="FN147" s="50"/>
    </row>
    <row r="148" spans="1:170" s="14" customFormat="1" ht="18" customHeight="1">
      <c r="A148" s="1976"/>
      <c r="B148" s="204"/>
      <c r="C148" s="14" t="str">
        <f>Begriffe!F50</f>
        <v>Interne Wärmeeintragsleistung</v>
      </c>
      <c r="F148" s="14" t="str">
        <f>Begriffe!$F$366</f>
        <v>Personen, Geräte, Beleuchtung</v>
      </c>
      <c r="I148" s="155" t="s">
        <v>968</v>
      </c>
      <c r="J148" s="377" t="s">
        <v>149</v>
      </c>
      <c r="K148" s="377"/>
      <c r="L148" s="99"/>
      <c r="M148" s="1760">
        <f>$M62+M80+M122</f>
        <v>15.379166666666668</v>
      </c>
      <c r="N148" s="1371"/>
      <c r="O148" s="148"/>
      <c r="P148" s="14">
        <v>1</v>
      </c>
      <c r="Q148" s="392">
        <v>1</v>
      </c>
      <c r="R148" s="14">
        <v>1</v>
      </c>
      <c r="T148" s="243"/>
      <c r="W148" s="1803">
        <f>Profile!C264+Profile!D264+Profile!F264</f>
        <v>15.379166666666668</v>
      </c>
      <c r="X148" s="158"/>
      <c r="Y148" s="64"/>
      <c r="Z148" s="158"/>
      <c r="AA148" s="158"/>
      <c r="AB148" s="65"/>
      <c r="AC148" s="89"/>
      <c r="AD148" s="89"/>
      <c r="AE148" s="7"/>
      <c r="AF148" s="7"/>
      <c r="AG148" s="7"/>
      <c r="AH148" s="7"/>
      <c r="AI148" s="7"/>
      <c r="AJ148" s="7"/>
      <c r="AK148" s="7"/>
      <c r="AL148" s="7"/>
      <c r="AM148" s="7"/>
      <c r="AN148" s="7"/>
      <c r="AO148" s="7"/>
      <c r="AP148" s="83"/>
      <c r="AQ148" s="83"/>
      <c r="AR148" s="50"/>
      <c r="AS148" s="50"/>
      <c r="AT148" s="50"/>
      <c r="AU148" s="50"/>
      <c r="AV148" s="50"/>
      <c r="AW148" s="50"/>
      <c r="AX148" s="50"/>
      <c r="AY148" s="50"/>
      <c r="AZ148" s="50"/>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c r="BW148" s="50"/>
      <c r="BX148" s="50"/>
      <c r="BY148" s="50"/>
      <c r="BZ148" s="50"/>
      <c r="CA148" s="50"/>
      <c r="CB148" s="50"/>
      <c r="CC148" s="50"/>
      <c r="CD148" s="50"/>
      <c r="CE148" s="50"/>
      <c r="CF148" s="50"/>
      <c r="CG148" s="50"/>
      <c r="CH148" s="50"/>
      <c r="CI148" s="50"/>
      <c r="CJ148" s="50"/>
      <c r="CK148" s="50"/>
      <c r="CL148" s="50"/>
      <c r="CM148" s="50"/>
      <c r="CN148" s="50"/>
      <c r="CO148" s="50"/>
      <c r="CP148" s="50"/>
      <c r="CQ148" s="50"/>
      <c r="CR148" s="50"/>
      <c r="CS148" s="50"/>
      <c r="CT148" s="50"/>
      <c r="CU148" s="50"/>
      <c r="CV148" s="50"/>
      <c r="CW148" s="50"/>
      <c r="CX148" s="50"/>
      <c r="CY148" s="50"/>
      <c r="CZ148" s="50"/>
      <c r="DA148" s="50"/>
      <c r="DB148" s="50"/>
      <c r="DC148" s="50"/>
      <c r="DD148" s="50"/>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50"/>
      <c r="EF148" s="50"/>
      <c r="EG148" s="50"/>
      <c r="EH148" s="50"/>
      <c r="EI148" s="50"/>
      <c r="EJ148" s="50"/>
      <c r="EK148" s="50"/>
      <c r="EL148" s="50"/>
      <c r="EM148" s="50"/>
      <c r="EN148" s="50"/>
      <c r="EO148" s="50"/>
      <c r="EP148" s="50"/>
      <c r="EQ148" s="50"/>
      <c r="ER148" s="50"/>
      <c r="ES148" s="50"/>
      <c r="ET148" s="50"/>
      <c r="EU148" s="50"/>
      <c r="EV148" s="50"/>
      <c r="EW148" s="50"/>
      <c r="EX148" s="50"/>
      <c r="EY148" s="50"/>
      <c r="EZ148" s="50"/>
      <c r="FA148" s="50"/>
      <c r="FB148" s="50"/>
      <c r="FC148" s="50"/>
      <c r="FD148" s="50"/>
      <c r="FE148" s="50"/>
      <c r="FF148" s="50"/>
      <c r="FG148" s="50"/>
      <c r="FH148" s="50"/>
      <c r="FI148" s="50"/>
      <c r="FJ148" s="50"/>
      <c r="FK148" s="50"/>
      <c r="FL148" s="50"/>
      <c r="FM148" s="50"/>
      <c r="FN148" s="50"/>
    </row>
    <row r="149" spans="1:170" s="8" customFormat="1" ht="18" customHeight="1">
      <c r="A149" s="1976"/>
      <c r="B149" s="204"/>
      <c r="C149" s="14" t="str">
        <f>Begriffe!F49</f>
        <v>Interne Wärmeeinträge pro Tag</v>
      </c>
      <c r="D149" s="14"/>
      <c r="E149" s="14"/>
      <c r="F149" s="14" t="str">
        <f>Begriffe!$F$366</f>
        <v>Personen, Geräte, Beleuchtung</v>
      </c>
      <c r="G149" s="14"/>
      <c r="H149" s="14"/>
      <c r="I149" s="98" t="s">
        <v>969</v>
      </c>
      <c r="J149" s="377" t="s">
        <v>970</v>
      </c>
      <c r="K149" s="377"/>
      <c r="L149" s="99"/>
      <c r="M149" s="1755">
        <f>Profile!C263+Profile!D263+Profile!F263</f>
        <v>116.53749999999999</v>
      </c>
      <c r="N149" s="1378"/>
      <c r="O149" s="149"/>
      <c r="P149" s="14">
        <v>1</v>
      </c>
      <c r="Q149" s="392">
        <v>1</v>
      </c>
      <c r="R149" s="14">
        <v>1</v>
      </c>
      <c r="S149" s="14"/>
      <c r="T149" s="89"/>
      <c r="W149" s="1804">
        <f>Profile!C263+Profile!D263+Profile!F263</f>
        <v>116.53749999999999</v>
      </c>
      <c r="X149" s="158"/>
      <c r="Y149" s="64"/>
      <c r="Z149" s="158"/>
      <c r="AA149" s="158"/>
      <c r="AB149" s="65"/>
      <c r="AC149" s="89"/>
      <c r="AD149" s="89"/>
      <c r="AE149" s="7"/>
      <c r="AF149" s="7"/>
      <c r="AG149" s="7"/>
      <c r="AH149" s="7"/>
      <c r="AI149" s="7"/>
      <c r="AJ149" s="7"/>
      <c r="AK149" s="7"/>
      <c r="AL149" s="7"/>
      <c r="AM149" s="7"/>
      <c r="AN149" s="7"/>
      <c r="AO149" s="7"/>
      <c r="AP149" s="83"/>
      <c r="AQ149" s="83"/>
      <c r="AR149" s="50"/>
      <c r="AS149" s="50"/>
      <c r="AT149" s="50"/>
      <c r="AU149" s="50"/>
      <c r="AV149" s="50"/>
      <c r="AW149" s="50"/>
      <c r="AX149" s="50"/>
      <c r="AY149" s="50"/>
      <c r="AZ149" s="50"/>
      <c r="BA149" s="50"/>
      <c r="BB149" s="50"/>
      <c r="BC149" s="50"/>
      <c r="BD149" s="50"/>
      <c r="BE149" s="50"/>
      <c r="BF149" s="50"/>
      <c r="BG149" s="50"/>
      <c r="BH149" s="50"/>
      <c r="BI149" s="50"/>
      <c r="BJ149" s="50"/>
      <c r="BK149" s="50"/>
      <c r="BL149" s="50"/>
      <c r="BM149" s="50"/>
      <c r="BN149" s="50"/>
      <c r="BO149" s="50"/>
      <c r="BP149" s="50"/>
      <c r="BQ149" s="50"/>
      <c r="BR149" s="50"/>
      <c r="BS149" s="50"/>
      <c r="BT149" s="50"/>
      <c r="BU149" s="50"/>
      <c r="BV149" s="50"/>
      <c r="BW149" s="50"/>
      <c r="BX149" s="50"/>
      <c r="BY149" s="50"/>
      <c r="BZ149" s="50"/>
      <c r="CA149" s="50"/>
      <c r="CB149" s="50"/>
      <c r="CC149" s="50"/>
      <c r="CD149" s="50"/>
      <c r="CE149" s="50"/>
      <c r="CF149" s="50"/>
      <c r="CG149" s="50"/>
      <c r="CH149" s="50"/>
      <c r="CI149" s="50"/>
      <c r="CJ149" s="50"/>
      <c r="CK149" s="50"/>
      <c r="CL149" s="50"/>
      <c r="CM149" s="50"/>
      <c r="CN149" s="50"/>
      <c r="CO149" s="50"/>
      <c r="CP149" s="50"/>
      <c r="CQ149" s="50"/>
      <c r="CR149" s="50"/>
      <c r="CS149" s="50"/>
      <c r="CT149" s="50"/>
      <c r="CU149" s="50"/>
      <c r="CV149" s="50"/>
      <c r="CW149" s="50"/>
      <c r="CX149" s="50"/>
      <c r="CY149" s="50"/>
      <c r="CZ149" s="50"/>
      <c r="DA149" s="50"/>
      <c r="DB149" s="50"/>
      <c r="DC149" s="50"/>
      <c r="DD149" s="50"/>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50"/>
      <c r="EF149" s="50"/>
      <c r="EG149" s="50"/>
      <c r="EH149" s="50"/>
      <c r="EI149" s="50"/>
      <c r="EJ149" s="50"/>
      <c r="EK149" s="50"/>
      <c r="EL149" s="50"/>
      <c r="EM149" s="50"/>
      <c r="EN149" s="50"/>
      <c r="EO149" s="50"/>
      <c r="EP149" s="50"/>
      <c r="EQ149" s="50"/>
      <c r="ER149" s="50"/>
      <c r="ES149" s="50"/>
      <c r="ET149" s="50"/>
      <c r="EU149" s="50"/>
      <c r="EV149" s="50"/>
      <c r="EW149" s="50"/>
      <c r="EX149" s="50"/>
      <c r="EY149" s="50"/>
      <c r="EZ149" s="50"/>
      <c r="FA149" s="50"/>
      <c r="FB149" s="50"/>
      <c r="FC149" s="50"/>
      <c r="FD149" s="50"/>
      <c r="FE149" s="50"/>
      <c r="FF149" s="50"/>
      <c r="FG149" s="50"/>
      <c r="FH149" s="50"/>
      <c r="FI149" s="50"/>
      <c r="FJ149" s="50"/>
      <c r="FK149" s="50"/>
      <c r="FL149" s="50"/>
      <c r="FM149" s="50"/>
      <c r="FN149" s="50"/>
    </row>
    <row r="150" spans="1:170" s="8" customFormat="1" ht="18" hidden="1" customHeight="1">
      <c r="A150" s="1976"/>
      <c r="B150" s="204"/>
      <c r="C150" s="395" t="str">
        <f>Begriffe!F82</f>
        <v>Notwendigkeit einer Kühlung</v>
      </c>
      <c r="D150" s="395"/>
      <c r="E150" s="395"/>
      <c r="F150" s="395" t="str">
        <f>Begriffe!$F$367</f>
        <v>Mit unterstützender Fensterlüftung Tag und Nacht</v>
      </c>
      <c r="G150" s="395"/>
      <c r="H150" s="395"/>
      <c r="I150" s="396"/>
      <c r="J150" s="397"/>
      <c r="K150" s="397"/>
      <c r="L150" s="401"/>
      <c r="M150" s="476" t="str">
        <f>IF(M$31=0,"-",IF(M158=0,"-",IF(OR(nutzid=1,nutzid=2),"-",IF(nutzid=33,"nicht notwend.",IF(nutzid=44,"notwendig",IF(M149&lt;140,"nicht notwend.",IF(M149&lt;=200,"erwünscht","notwendig")))))))</f>
        <v>-</v>
      </c>
      <c r="N150" s="476" t="str">
        <f>IF(M$31=0,"-",IF(N158=0,"-",IF(OR(nutzid=1,nutzid=2),"-",IF(nutzid=33,"nicht notwend.",IF(nutzid=44,"notwendig",IF(N149&lt;140,"nicht notwend.",IF(N149&lt;=200,"erwünscht","notwendig")))))))</f>
        <v>-</v>
      </c>
      <c r="O150" s="476" t="s">
        <v>16</v>
      </c>
      <c r="P150" s="14">
        <v>0</v>
      </c>
      <c r="Q150" s="392">
        <v>0</v>
      </c>
      <c r="R150" s="14">
        <v>1</v>
      </c>
      <c r="S150" s="14"/>
      <c r="T150" s="89"/>
      <c r="X150" s="158"/>
      <c r="Y150" s="64"/>
      <c r="Z150" s="158"/>
      <c r="AA150" s="158"/>
      <c r="AB150" s="65"/>
      <c r="AC150" s="89"/>
      <c r="AD150" s="89"/>
      <c r="AE150" s="7"/>
      <c r="AF150" s="7"/>
      <c r="AG150" s="7"/>
      <c r="AH150" s="7"/>
      <c r="AI150" s="7"/>
      <c r="AJ150" s="7"/>
      <c r="AK150" s="7"/>
      <c r="AL150" s="7"/>
      <c r="AM150" s="7"/>
      <c r="AN150" s="7"/>
      <c r="AO150" s="7"/>
      <c r="AP150" s="83"/>
      <c r="AQ150" s="83"/>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50"/>
      <c r="DA150" s="50"/>
      <c r="DB150" s="50"/>
      <c r="DC150" s="50"/>
      <c r="DD150" s="50"/>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50"/>
      <c r="EF150" s="50"/>
      <c r="EG150" s="50"/>
      <c r="EH150" s="50"/>
      <c r="EI150" s="50"/>
      <c r="EJ150" s="50"/>
      <c r="EK150" s="50"/>
      <c r="EL150" s="50"/>
      <c r="EM150" s="50"/>
      <c r="EN150" s="50"/>
      <c r="EO150" s="50"/>
      <c r="EP150" s="50"/>
      <c r="EQ150" s="50"/>
      <c r="ER150" s="50"/>
      <c r="ES150" s="50"/>
      <c r="ET150" s="50"/>
      <c r="EU150" s="50"/>
      <c r="EV150" s="50"/>
      <c r="EW150" s="50"/>
      <c r="EX150" s="50"/>
      <c r="EY150" s="50"/>
      <c r="EZ150" s="50"/>
      <c r="FA150" s="50"/>
      <c r="FB150" s="50"/>
      <c r="FC150" s="50"/>
      <c r="FD150" s="50"/>
      <c r="FE150" s="50"/>
      <c r="FF150" s="50"/>
      <c r="FG150" s="50"/>
      <c r="FH150" s="50"/>
      <c r="FI150" s="50"/>
      <c r="FJ150" s="50"/>
      <c r="FK150" s="50"/>
      <c r="FL150" s="50"/>
      <c r="FM150" s="50"/>
      <c r="FN150" s="50"/>
    </row>
    <row r="151" spans="1:170" s="8" customFormat="1" ht="18" hidden="1" customHeight="1">
      <c r="A151" s="1976"/>
      <c r="B151" s="204"/>
      <c r="C151" s="527" t="s">
        <v>729</v>
      </c>
      <c r="D151" s="395"/>
      <c r="E151" s="395"/>
      <c r="F151" s="395" t="str">
        <f>Begriffe!$F$368</f>
        <v>Mit unterstützender Fensterlüftung bei Belegung</v>
      </c>
      <c r="G151" s="395"/>
      <c r="H151" s="395"/>
      <c r="I151" s="396"/>
      <c r="J151" s="397"/>
      <c r="K151" s="397"/>
      <c r="L151" s="401"/>
      <c r="M151" s="476" t="str">
        <f>IF(M$31=0,"-",IF(M158=0,"-",IF(OR(nutzid=1,nutzid=2),"-",IF(nutzid=33,"nicht notwend.",IF(nutzid=44,"notwendig",IF(M149&lt;100,"nicht notwend.",IF(M149&lt;=140,"erwünscht","notwendig")))))))</f>
        <v>-</v>
      </c>
      <c r="N151" s="476" t="str">
        <f>IF(M$31=0,"-",IF(N158=0,"-",IF(OR(nutzid=1,nutzid=2),"-",IF(nutzid=33,"nicht notwend.",IF(nutzid=44,"notwendig",IF(N149&lt;100,"nicht notwend.",IF(N149&lt;=140,"erwünscht","notwendig")))))))</f>
        <v>-</v>
      </c>
      <c r="O151" s="476" t="s">
        <v>16</v>
      </c>
      <c r="P151" s="14">
        <v>0</v>
      </c>
      <c r="Q151" s="392">
        <v>0</v>
      </c>
      <c r="R151" s="14">
        <v>0</v>
      </c>
      <c r="S151" s="14"/>
      <c r="T151" s="89"/>
      <c r="X151" s="158"/>
      <c r="Y151" s="64"/>
      <c r="Z151" s="158"/>
      <c r="AA151" s="158"/>
      <c r="AB151" s="65"/>
      <c r="AC151" s="89"/>
      <c r="AD151" s="89"/>
      <c r="AE151" s="7"/>
      <c r="AF151" s="7"/>
      <c r="AG151" s="7"/>
      <c r="AH151" s="7"/>
      <c r="AI151" s="7"/>
      <c r="AJ151" s="7"/>
      <c r="AK151" s="7"/>
      <c r="AL151" s="7"/>
      <c r="AM151" s="7"/>
      <c r="AN151" s="7"/>
      <c r="AO151" s="7"/>
      <c r="AP151" s="83"/>
      <c r="AQ151" s="83"/>
      <c r="AR151" s="50"/>
      <c r="AS151" s="50"/>
      <c r="AT151" s="50"/>
      <c r="AU151" s="50"/>
      <c r="AV151" s="50"/>
      <c r="AW151" s="50"/>
      <c r="AX151" s="50"/>
      <c r="AY151" s="50"/>
      <c r="AZ151" s="50"/>
      <c r="BA151" s="50"/>
      <c r="BB151" s="50"/>
      <c r="BC151" s="50"/>
      <c r="BD151" s="50"/>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0"/>
      <c r="CD151" s="50"/>
      <c r="CE151" s="50"/>
      <c r="CF151" s="50"/>
      <c r="CG151" s="50"/>
      <c r="CH151" s="50"/>
      <c r="CI151" s="50"/>
      <c r="CJ151" s="50"/>
      <c r="CK151" s="50"/>
      <c r="CL151" s="50"/>
      <c r="CM151" s="50"/>
      <c r="CN151" s="50"/>
      <c r="CO151" s="50"/>
      <c r="CP151" s="50"/>
      <c r="CQ151" s="50"/>
      <c r="CR151" s="50"/>
      <c r="CS151" s="50"/>
      <c r="CT151" s="50"/>
      <c r="CU151" s="50"/>
      <c r="CV151" s="50"/>
      <c r="CW151" s="50"/>
      <c r="CX151" s="50"/>
      <c r="CY151" s="50"/>
      <c r="CZ151" s="50"/>
      <c r="DA151" s="50"/>
      <c r="DB151" s="50"/>
      <c r="DC151" s="50"/>
      <c r="DD151" s="50"/>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50"/>
      <c r="EF151" s="50"/>
      <c r="EG151" s="50"/>
      <c r="EH151" s="50"/>
      <c r="EI151" s="50"/>
      <c r="EJ151" s="50"/>
      <c r="EK151" s="50"/>
      <c r="EL151" s="50"/>
      <c r="EM151" s="50"/>
      <c r="EN151" s="50"/>
      <c r="EO151" s="50"/>
      <c r="EP151" s="50"/>
      <c r="EQ151" s="50"/>
      <c r="ER151" s="50"/>
      <c r="ES151" s="50"/>
      <c r="ET151" s="50"/>
      <c r="EU151" s="50"/>
      <c r="EV151" s="50"/>
      <c r="EW151" s="50"/>
      <c r="EX151" s="50"/>
      <c r="EY151" s="50"/>
      <c r="EZ151" s="50"/>
      <c r="FA151" s="50"/>
      <c r="FB151" s="50"/>
      <c r="FC151" s="50"/>
      <c r="FD151" s="50"/>
      <c r="FE151" s="50"/>
      <c r="FF151" s="50"/>
      <c r="FG151" s="50"/>
      <c r="FH151" s="50"/>
      <c r="FI151" s="50"/>
      <c r="FJ151" s="50"/>
      <c r="FK151" s="50"/>
      <c r="FL151" s="50"/>
      <c r="FM151" s="50"/>
      <c r="FN151" s="50"/>
    </row>
    <row r="152" spans="1:170" s="8" customFormat="1" ht="18" hidden="1" customHeight="1">
      <c r="A152" s="1976"/>
      <c r="B152" s="204"/>
      <c r="C152" s="471"/>
      <c r="D152" s="395"/>
      <c r="E152" s="395"/>
      <c r="F152" s="395" t="str">
        <f>Begriffe!$F$369</f>
        <v>Ohne Fensterlüftung</v>
      </c>
      <c r="G152" s="395"/>
      <c r="H152" s="395"/>
      <c r="I152" s="396"/>
      <c r="J152" s="397"/>
      <c r="K152" s="397"/>
      <c r="L152" s="401"/>
      <c r="M152" s="476" t="str">
        <f>IF(M$31=0,"-",IF(M158=0,"-",IF(OR(nutzid=1,nutzid=2),"-",IF(nutzid=33,"nicht notwend.",IF(nutzid=44,"notwendig",IF(M149&lt;80,"nicht notwend.",IF(M149&lt;=120,"erwünscht","notwendig")))))))</f>
        <v>-</v>
      </c>
      <c r="N152" s="476" t="str">
        <f>IF(M$31=0,"-",IF(N158=0,"-",IF(OR(nutzid=1,nutzid=2),"-",IF(nutzid=33,"nicht notwend.",IF(nutzid=44,"notwendig",IF(N149&lt;80,"nicht notwend.",IF(N149&lt;=120,"erwünscht","notwendig")))))))</f>
        <v>-</v>
      </c>
      <c r="O152" s="476" t="s">
        <v>16</v>
      </c>
      <c r="P152" s="14">
        <v>0</v>
      </c>
      <c r="Q152" s="392">
        <v>0</v>
      </c>
      <c r="R152" s="14">
        <v>0</v>
      </c>
      <c r="S152" s="14"/>
      <c r="T152" s="89"/>
      <c r="X152" s="158"/>
      <c r="Y152" s="64"/>
      <c r="Z152" s="158"/>
      <c r="AA152" s="158"/>
      <c r="AB152" s="65"/>
      <c r="AC152" s="89"/>
      <c r="AD152" s="89"/>
      <c r="AE152" s="7"/>
      <c r="AF152" s="7"/>
      <c r="AG152" s="7"/>
      <c r="AH152" s="7"/>
      <c r="AI152" s="7"/>
      <c r="AJ152" s="7"/>
      <c r="AK152" s="7"/>
      <c r="AL152" s="7"/>
      <c r="AM152" s="7"/>
      <c r="AN152" s="7"/>
      <c r="AO152" s="7"/>
      <c r="AP152" s="83"/>
      <c r="AQ152" s="83"/>
      <c r="AR152" s="50"/>
      <c r="AS152" s="50"/>
      <c r="AT152" s="50"/>
      <c r="AU152" s="50"/>
      <c r="AV152" s="50"/>
      <c r="AW152" s="50"/>
      <c r="AX152" s="50"/>
      <c r="AY152" s="50"/>
      <c r="AZ152" s="50"/>
      <c r="BA152" s="50"/>
      <c r="BB152" s="50"/>
      <c r="BC152" s="50"/>
      <c r="BD152" s="50"/>
      <c r="BE152" s="50"/>
      <c r="BF152" s="50"/>
      <c r="BG152" s="50"/>
      <c r="BH152" s="50"/>
      <c r="BI152" s="50"/>
      <c r="BJ152" s="50"/>
      <c r="BK152" s="50"/>
      <c r="BL152" s="50"/>
      <c r="BM152" s="50"/>
      <c r="BN152" s="50"/>
      <c r="BO152" s="50"/>
      <c r="BP152" s="50"/>
      <c r="BQ152" s="50"/>
      <c r="BR152" s="50"/>
      <c r="BS152" s="50"/>
      <c r="BT152" s="50"/>
      <c r="BU152" s="50"/>
      <c r="BV152" s="50"/>
      <c r="BW152" s="50"/>
      <c r="BX152" s="50"/>
      <c r="BY152" s="50"/>
      <c r="BZ152" s="50"/>
      <c r="CA152" s="50"/>
      <c r="CB152" s="50"/>
      <c r="CC152" s="50"/>
      <c r="CD152" s="50"/>
      <c r="CE152" s="50"/>
      <c r="CF152" s="50"/>
      <c r="CG152" s="50"/>
      <c r="CH152" s="50"/>
      <c r="CI152" s="50"/>
      <c r="CJ152" s="50"/>
      <c r="CK152" s="50"/>
      <c r="CL152" s="50"/>
      <c r="CM152" s="50"/>
      <c r="CN152" s="50"/>
      <c r="CO152" s="50"/>
      <c r="CP152" s="50"/>
      <c r="CQ152" s="50"/>
      <c r="CR152" s="50"/>
      <c r="CS152" s="50"/>
      <c r="CT152" s="50"/>
      <c r="CU152" s="50"/>
      <c r="CV152" s="50"/>
      <c r="CW152" s="50"/>
      <c r="CX152" s="50"/>
      <c r="CY152" s="50"/>
      <c r="CZ152" s="50"/>
      <c r="DA152" s="50"/>
      <c r="DB152" s="50"/>
      <c r="DC152" s="50"/>
      <c r="DD152" s="50"/>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50"/>
      <c r="EF152" s="50"/>
      <c r="EG152" s="50"/>
      <c r="EH152" s="50"/>
      <c r="EI152" s="50"/>
      <c r="EJ152" s="50"/>
      <c r="EK152" s="50"/>
      <c r="EL152" s="50"/>
      <c r="EM152" s="50"/>
      <c r="EN152" s="50"/>
      <c r="EO152" s="50"/>
      <c r="EP152" s="50"/>
      <c r="EQ152" s="50"/>
      <c r="ER152" s="50"/>
      <c r="ES152" s="50"/>
      <c r="ET152" s="50"/>
      <c r="EU152" s="50"/>
      <c r="EV152" s="50"/>
      <c r="EW152" s="50"/>
      <c r="EX152" s="50"/>
      <c r="EY152" s="50"/>
      <c r="EZ152" s="50"/>
      <c r="FA152" s="50"/>
      <c r="FB152" s="50"/>
      <c r="FC152" s="50"/>
      <c r="FD152" s="50"/>
      <c r="FE152" s="50"/>
      <c r="FF152" s="50"/>
      <c r="FG152" s="50"/>
      <c r="FH152" s="50"/>
      <c r="FI152" s="50"/>
      <c r="FJ152" s="50"/>
      <c r="FK152" s="50"/>
      <c r="FL152" s="50"/>
      <c r="FM152" s="50"/>
      <c r="FN152" s="50"/>
    </row>
    <row r="153" spans="1:170" s="8" customFormat="1" ht="18" customHeight="1">
      <c r="A153" s="1976"/>
      <c r="B153" s="204"/>
      <c r="C153" s="14" t="str">
        <f>Begriffe!F82</f>
        <v>Notwendigkeit einer Kühlung</v>
      </c>
      <c r="D153" s="14"/>
      <c r="E153" s="14"/>
      <c r="F153" s="14" t="str">
        <f>Begriffe!$F$367</f>
        <v>Mit unterstützender Fensterlüftung Tag und Nacht</v>
      </c>
      <c r="G153" s="14"/>
      <c r="H153" s="14"/>
      <c r="I153" s="98"/>
      <c r="J153" s="377"/>
      <c r="K153" s="377"/>
      <c r="L153" s="99"/>
      <c r="M153" s="1745" t="str">
        <f>IF(OR($O$2=1.01,$O$2=1.02,$M$31=0),"-",IF(M$149&lt;140,Begriffe!$F$257,IF(M$149&lt;200,Begriffe!$F$258,Begriffe!$F$259)))</f>
        <v>-</v>
      </c>
      <c r="N153" s="1366"/>
      <c r="O153" s="444" t="s">
        <v>16</v>
      </c>
      <c r="P153" s="14">
        <v>1</v>
      </c>
      <c r="Q153" s="392">
        <v>1</v>
      </c>
      <c r="R153" s="14">
        <v>1</v>
      </c>
      <c r="S153" s="14"/>
      <c r="T153" s="89"/>
      <c r="X153" s="158"/>
      <c r="Y153" s="64"/>
      <c r="Z153" s="158"/>
      <c r="AA153" s="158"/>
      <c r="AB153" s="65"/>
      <c r="AC153" s="89"/>
      <c r="AD153" s="89"/>
      <c r="AE153" s="7"/>
      <c r="AF153" s="7"/>
      <c r="AG153" s="7"/>
      <c r="AH153" s="7"/>
      <c r="AI153" s="7"/>
      <c r="AJ153" s="7"/>
      <c r="AK153" s="7"/>
      <c r="AL153" s="7"/>
      <c r="AM153" s="7"/>
      <c r="AN153" s="7"/>
      <c r="AO153" s="7"/>
      <c r="AP153" s="83"/>
      <c r="AQ153" s="83"/>
      <c r="AR153" s="50"/>
      <c r="AS153" s="50"/>
      <c r="AT153" s="50"/>
      <c r="AU153" s="50"/>
      <c r="AV153" s="50"/>
      <c r="AW153" s="50"/>
      <c r="AX153" s="50"/>
      <c r="AY153" s="50"/>
      <c r="AZ153" s="50"/>
      <c r="BA153" s="50"/>
      <c r="BB153" s="50"/>
      <c r="BC153" s="50"/>
      <c r="BD153" s="50"/>
      <c r="BE153" s="50"/>
      <c r="BF153" s="50"/>
      <c r="BG153" s="50"/>
      <c r="BH153" s="50"/>
      <c r="BI153" s="50"/>
      <c r="BJ153" s="50"/>
      <c r="BK153" s="50"/>
      <c r="BL153" s="50"/>
      <c r="BM153" s="50"/>
      <c r="BN153" s="50"/>
      <c r="BO153" s="50"/>
      <c r="BP153" s="50"/>
      <c r="BQ153" s="50"/>
      <c r="BR153" s="50"/>
      <c r="BS153" s="50"/>
      <c r="BT153" s="50"/>
      <c r="BU153" s="50"/>
      <c r="BV153" s="50"/>
      <c r="BW153" s="50"/>
      <c r="BX153" s="50"/>
      <c r="BY153" s="50"/>
      <c r="BZ153" s="50"/>
      <c r="CA153" s="50"/>
      <c r="CB153" s="50"/>
      <c r="CC153" s="50"/>
      <c r="CD153" s="50"/>
      <c r="CE153" s="50"/>
      <c r="CF153" s="50"/>
      <c r="CG153" s="50"/>
      <c r="CH153" s="50"/>
      <c r="CI153" s="50"/>
      <c r="CJ153" s="50"/>
      <c r="CK153" s="50"/>
      <c r="CL153" s="50"/>
      <c r="CM153" s="50"/>
      <c r="CN153" s="50"/>
      <c r="CO153" s="50"/>
      <c r="CP153" s="50"/>
      <c r="CQ153" s="50"/>
      <c r="CR153" s="50"/>
      <c r="CS153" s="50"/>
      <c r="CT153" s="50"/>
      <c r="CU153" s="50"/>
      <c r="CV153" s="50"/>
      <c r="CW153" s="50"/>
      <c r="CX153" s="50"/>
      <c r="CY153" s="50"/>
      <c r="CZ153" s="50"/>
      <c r="DA153" s="50"/>
      <c r="DB153" s="50"/>
      <c r="DC153" s="50"/>
      <c r="DD153" s="50"/>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50"/>
      <c r="EF153" s="50"/>
      <c r="EG153" s="50"/>
      <c r="EH153" s="50"/>
      <c r="EI153" s="50"/>
      <c r="EJ153" s="50"/>
      <c r="EK153" s="50"/>
      <c r="EL153" s="50"/>
      <c r="EM153" s="50"/>
      <c r="EN153" s="50"/>
      <c r="EO153" s="50"/>
      <c r="EP153" s="50"/>
      <c r="EQ153" s="50"/>
      <c r="ER153" s="50"/>
      <c r="ES153" s="50"/>
      <c r="ET153" s="50"/>
      <c r="EU153" s="50"/>
      <c r="EV153" s="50"/>
      <c r="EW153" s="50"/>
      <c r="EX153" s="50"/>
      <c r="EY153" s="50"/>
      <c r="EZ153" s="50"/>
      <c r="FA153" s="50"/>
      <c r="FB153" s="50"/>
      <c r="FC153" s="50"/>
      <c r="FD153" s="50"/>
      <c r="FE153" s="50"/>
      <c r="FF153" s="50"/>
      <c r="FG153" s="50"/>
      <c r="FH153" s="50"/>
      <c r="FI153" s="50"/>
      <c r="FJ153" s="50"/>
      <c r="FK153" s="50"/>
      <c r="FL153" s="50"/>
      <c r="FM153" s="50"/>
      <c r="FN153" s="50"/>
    </row>
    <row r="154" spans="1:170" s="8" customFormat="1" ht="18" customHeight="1">
      <c r="A154" s="1976"/>
      <c r="B154" s="204"/>
      <c r="C154" s="14"/>
      <c r="D154" s="14"/>
      <c r="E154" s="14"/>
      <c r="F154" s="14" t="str">
        <f>Begriffe!$F$368</f>
        <v>Mit unterstützender Fensterlüftung bei Belegung</v>
      </c>
      <c r="G154" s="14"/>
      <c r="H154" s="14"/>
      <c r="I154" s="98"/>
      <c r="J154" s="377"/>
      <c r="K154" s="377"/>
      <c r="L154" s="99"/>
      <c r="M154" s="1745" t="str">
        <f>IF(OR($O$2=1.01,$O$2=1.02,$M$31=0),"-",IF(M$149&lt;100,Begriffe!$F$257,IF(M$149&lt;140,Begriffe!$F$258,Begriffe!$F$259)))</f>
        <v>-</v>
      </c>
      <c r="N154" s="1366"/>
      <c r="O154" s="444" t="s">
        <v>16</v>
      </c>
      <c r="P154" s="14">
        <v>1</v>
      </c>
      <c r="Q154" s="392">
        <v>1</v>
      </c>
      <c r="R154" s="14">
        <v>0</v>
      </c>
      <c r="S154" s="14"/>
      <c r="T154" s="89"/>
      <c r="X154" s="158"/>
      <c r="Y154" s="64"/>
      <c r="Z154" s="158"/>
      <c r="AA154" s="158"/>
      <c r="AB154" s="65"/>
      <c r="AC154" s="89"/>
      <c r="AD154" s="89"/>
      <c r="AE154" s="7"/>
      <c r="AF154" s="7"/>
      <c r="AG154" s="7"/>
      <c r="AH154" s="7"/>
      <c r="AI154" s="7"/>
      <c r="AJ154" s="7"/>
      <c r="AK154" s="7"/>
      <c r="AL154" s="7"/>
      <c r="AM154" s="7"/>
      <c r="AN154" s="7"/>
      <c r="AO154" s="7"/>
      <c r="AP154" s="83"/>
      <c r="AQ154" s="83"/>
      <c r="AR154" s="50"/>
      <c r="AS154" s="50"/>
      <c r="AT154" s="50"/>
      <c r="AU154" s="50"/>
      <c r="AV154" s="50"/>
      <c r="AW154" s="50"/>
      <c r="AX154" s="50"/>
      <c r="AY154" s="50"/>
      <c r="AZ154" s="50"/>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c r="CW154" s="50"/>
      <c r="CX154" s="50"/>
      <c r="CY154" s="50"/>
      <c r="CZ154" s="50"/>
      <c r="DA154" s="50"/>
      <c r="DB154" s="50"/>
      <c r="DC154" s="50"/>
      <c r="DD154" s="50"/>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50"/>
      <c r="EF154" s="50"/>
      <c r="EG154" s="50"/>
      <c r="EH154" s="50"/>
      <c r="EI154" s="50"/>
      <c r="EJ154" s="50"/>
      <c r="EK154" s="50"/>
      <c r="EL154" s="50"/>
      <c r="EM154" s="50"/>
      <c r="EN154" s="50"/>
      <c r="EO154" s="50"/>
      <c r="EP154" s="50"/>
      <c r="EQ154" s="50"/>
      <c r="ER154" s="50"/>
      <c r="ES154" s="50"/>
      <c r="ET154" s="50"/>
      <c r="EU154" s="50"/>
      <c r="EV154" s="50"/>
      <c r="EW154" s="50"/>
      <c r="EX154" s="50"/>
      <c r="EY154" s="50"/>
      <c r="EZ154" s="50"/>
      <c r="FA154" s="50"/>
      <c r="FB154" s="50"/>
      <c r="FC154" s="50"/>
      <c r="FD154" s="50"/>
      <c r="FE154" s="50"/>
      <c r="FF154" s="50"/>
      <c r="FG154" s="50"/>
      <c r="FH154" s="50"/>
      <c r="FI154" s="50"/>
      <c r="FJ154" s="50"/>
      <c r="FK154" s="50"/>
      <c r="FL154" s="50"/>
      <c r="FM154" s="50"/>
      <c r="FN154" s="50"/>
    </row>
    <row r="155" spans="1:170" s="8" customFormat="1" ht="18" customHeight="1">
      <c r="A155" s="1976"/>
      <c r="B155" s="204"/>
      <c r="C155" s="14"/>
      <c r="D155" s="14"/>
      <c r="E155" s="14"/>
      <c r="F155" s="14" t="str">
        <f>Begriffe!$F$369</f>
        <v>Ohne Fensterlüftung</v>
      </c>
      <c r="G155" s="14"/>
      <c r="H155" s="14"/>
      <c r="I155" s="98"/>
      <c r="J155" s="377"/>
      <c r="K155" s="377"/>
      <c r="L155" s="99"/>
      <c r="M155" s="1745" t="str">
        <f>IF(OR($O$2=1.01,$O$2=1.02,$M$31=0),"-",IF(M$149&lt;80,Begriffe!$F$257,IF(M$149&lt;120,Begriffe!$F$258,Begriffe!$F$259)))</f>
        <v>-</v>
      </c>
      <c r="N155" s="1366"/>
      <c r="O155" s="444" t="s">
        <v>16</v>
      </c>
      <c r="P155" s="14">
        <v>1</v>
      </c>
      <c r="Q155" s="392">
        <v>1</v>
      </c>
      <c r="R155" s="14">
        <v>0</v>
      </c>
      <c r="S155" s="14"/>
      <c r="T155" s="89"/>
      <c r="X155" s="158"/>
      <c r="Y155" s="64"/>
      <c r="Z155" s="158"/>
      <c r="AA155" s="158"/>
      <c r="AB155" s="65"/>
      <c r="AC155" s="89"/>
      <c r="AD155" s="89"/>
      <c r="AE155" s="7"/>
      <c r="AF155" s="7"/>
      <c r="AG155" s="7"/>
      <c r="AH155" s="7"/>
      <c r="AI155" s="7"/>
      <c r="AJ155" s="7"/>
      <c r="AK155" s="7"/>
      <c r="AL155" s="7"/>
      <c r="AM155" s="7"/>
      <c r="AN155" s="7"/>
      <c r="AO155" s="7"/>
      <c r="AP155" s="83"/>
      <c r="AQ155" s="83"/>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c r="BW155" s="50"/>
      <c r="BX155" s="50"/>
      <c r="BY155" s="50"/>
      <c r="BZ155" s="50"/>
      <c r="CA155" s="50"/>
      <c r="CB155" s="50"/>
      <c r="CC155" s="50"/>
      <c r="CD155" s="50"/>
      <c r="CE155" s="50"/>
      <c r="CF155" s="50"/>
      <c r="CG155" s="50"/>
      <c r="CH155" s="50"/>
      <c r="CI155" s="50"/>
      <c r="CJ155" s="50"/>
      <c r="CK155" s="50"/>
      <c r="CL155" s="50"/>
      <c r="CM155" s="50"/>
      <c r="CN155" s="50"/>
      <c r="CO155" s="50"/>
      <c r="CP155" s="50"/>
      <c r="CQ155" s="50"/>
      <c r="CR155" s="50"/>
      <c r="CS155" s="50"/>
      <c r="CT155" s="50"/>
      <c r="CU155" s="50"/>
      <c r="CV155" s="50"/>
      <c r="CW155" s="50"/>
      <c r="CX155" s="50"/>
      <c r="CY155" s="50"/>
      <c r="CZ155" s="50"/>
      <c r="DA155" s="50"/>
      <c r="DB155" s="50"/>
      <c r="DC155" s="50"/>
      <c r="DD155" s="50"/>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50"/>
      <c r="EF155" s="50"/>
      <c r="EG155" s="50"/>
      <c r="EH155" s="50"/>
      <c r="EI155" s="50"/>
      <c r="EJ155" s="50"/>
      <c r="EK155" s="50"/>
      <c r="EL155" s="50"/>
      <c r="EM155" s="50"/>
      <c r="EN155" s="50"/>
      <c r="EO155" s="50"/>
      <c r="EP155" s="50"/>
      <c r="EQ155" s="50"/>
      <c r="ER155" s="50"/>
      <c r="ES155" s="50"/>
      <c r="ET155" s="50"/>
      <c r="EU155" s="50"/>
      <c r="EV155" s="50"/>
      <c r="EW155" s="50"/>
      <c r="EX155" s="50"/>
      <c r="EY155" s="50"/>
      <c r="EZ155" s="50"/>
      <c r="FA155" s="50"/>
      <c r="FB155" s="50"/>
      <c r="FC155" s="50"/>
      <c r="FD155" s="50"/>
      <c r="FE155" s="50"/>
      <c r="FF155" s="50"/>
      <c r="FG155" s="50"/>
      <c r="FH155" s="50"/>
      <c r="FI155" s="50"/>
      <c r="FJ155" s="50"/>
      <c r="FK155" s="50"/>
      <c r="FL155" s="50"/>
      <c r="FM155" s="50"/>
      <c r="FN155" s="50"/>
    </row>
    <row r="156" spans="1:170" s="8" customFormat="1" ht="18" hidden="1" customHeight="1">
      <c r="A156" s="1976"/>
      <c r="B156" s="204"/>
      <c r="C156" s="14" t="str">
        <f>Begriffe!F68</f>
        <v>Klimakälteleistungsbedarf</v>
      </c>
      <c r="D156" s="13"/>
      <c r="E156" s="13"/>
      <c r="F156" s="14" t="str">
        <f>Begriffe!F380</f>
        <v>Ohne Fensterlüftung, ohne Prozessanlagen</v>
      </c>
      <c r="G156" s="13"/>
      <c r="H156" s="13"/>
      <c r="I156" s="155" t="s">
        <v>971</v>
      </c>
      <c r="J156" s="103" t="s">
        <v>54</v>
      </c>
      <c r="K156" s="103"/>
      <c r="L156" s="99"/>
      <c r="M156" s="394">
        <f>IF($M31=0,0,(M147+M148)*0.7)</f>
        <v>19.359847843137256</v>
      </c>
      <c r="N156" s="394">
        <f t="shared" ref="N156:O156" si="0">IF($M31=0,0,(N147+N148)*0.7)</f>
        <v>0</v>
      </c>
      <c r="O156" s="394">
        <f t="shared" si="0"/>
        <v>0</v>
      </c>
      <c r="P156" s="14">
        <v>1</v>
      </c>
      <c r="Q156" s="392"/>
      <c r="R156" s="14"/>
      <c r="S156" s="243" t="s">
        <v>1485</v>
      </c>
      <c r="T156" s="89"/>
      <c r="X156" s="158"/>
      <c r="Y156" s="64"/>
      <c r="Z156" s="158"/>
      <c r="AA156" s="158"/>
      <c r="AB156" s="65"/>
      <c r="AC156" s="89"/>
      <c r="AD156" s="89"/>
      <c r="AE156" s="7"/>
      <c r="AF156" s="7"/>
      <c r="AG156" s="7"/>
      <c r="AH156" s="7"/>
      <c r="AI156" s="7"/>
      <c r="AJ156" s="7"/>
      <c r="AK156" s="7"/>
      <c r="AL156" s="7"/>
      <c r="AM156" s="7"/>
      <c r="AN156" s="7"/>
      <c r="AO156" s="7"/>
      <c r="AP156" s="83"/>
      <c r="AQ156" s="83"/>
      <c r="AR156" s="50"/>
      <c r="AS156" s="50"/>
      <c r="AT156" s="50"/>
      <c r="AU156" s="50"/>
      <c r="AV156" s="50"/>
      <c r="AW156" s="50"/>
      <c r="AX156" s="50"/>
      <c r="AY156" s="50"/>
      <c r="AZ156" s="50"/>
      <c r="BA156" s="50"/>
      <c r="BB156" s="50"/>
      <c r="BC156" s="50"/>
      <c r="BD156" s="50"/>
      <c r="BE156" s="50"/>
      <c r="BF156" s="50"/>
      <c r="BG156" s="50"/>
      <c r="BH156" s="50"/>
      <c r="BI156" s="50"/>
      <c r="BJ156" s="50"/>
      <c r="BK156" s="50"/>
      <c r="BL156" s="50"/>
      <c r="BM156" s="50"/>
      <c r="BN156" s="50"/>
      <c r="BO156" s="50"/>
      <c r="BP156" s="50"/>
      <c r="BQ156" s="50"/>
      <c r="BR156" s="50"/>
      <c r="BS156" s="50"/>
      <c r="BT156" s="50"/>
      <c r="BU156" s="50"/>
      <c r="BV156" s="50"/>
      <c r="BW156" s="50"/>
      <c r="BX156" s="50"/>
      <c r="BY156" s="50"/>
      <c r="BZ156" s="50"/>
      <c r="CA156" s="50"/>
      <c r="CB156" s="50"/>
      <c r="CC156" s="50"/>
      <c r="CD156" s="50"/>
      <c r="CE156" s="50"/>
      <c r="CF156" s="50"/>
      <c r="CG156" s="50"/>
      <c r="CH156" s="50"/>
      <c r="CI156" s="50"/>
      <c r="CJ156" s="50"/>
      <c r="CK156" s="50"/>
      <c r="CL156" s="50"/>
      <c r="CM156" s="50"/>
      <c r="CN156" s="50"/>
      <c r="CO156" s="50"/>
      <c r="CP156" s="50"/>
      <c r="CQ156" s="50"/>
      <c r="CR156" s="50"/>
      <c r="CS156" s="50"/>
      <c r="CT156" s="50"/>
      <c r="CU156" s="50"/>
      <c r="CV156" s="50"/>
      <c r="CW156" s="50"/>
      <c r="CX156" s="50"/>
      <c r="CY156" s="50"/>
      <c r="CZ156" s="50"/>
      <c r="DA156" s="50"/>
      <c r="DB156" s="50"/>
      <c r="DC156" s="50"/>
      <c r="DD156" s="50"/>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50"/>
      <c r="EF156" s="50"/>
      <c r="EG156" s="50"/>
      <c r="EH156" s="50"/>
      <c r="EI156" s="50"/>
      <c r="EJ156" s="50"/>
      <c r="EK156" s="50"/>
      <c r="EL156" s="50"/>
      <c r="EM156" s="50"/>
      <c r="EN156" s="50"/>
      <c r="EO156" s="50"/>
      <c r="EP156" s="50"/>
      <c r="EQ156" s="50"/>
      <c r="ER156" s="50"/>
      <c r="ES156" s="50"/>
      <c r="ET156" s="50"/>
      <c r="EU156" s="50"/>
      <c r="EV156" s="50"/>
      <c r="EW156" s="50"/>
      <c r="EX156" s="50"/>
      <c r="EY156" s="50"/>
      <c r="EZ156" s="50"/>
      <c r="FA156" s="50"/>
      <c r="FB156" s="50"/>
      <c r="FC156" s="50"/>
      <c r="FD156" s="50"/>
      <c r="FE156" s="50"/>
      <c r="FF156" s="50"/>
      <c r="FG156" s="50"/>
      <c r="FH156" s="50"/>
      <c r="FI156" s="50"/>
      <c r="FJ156" s="50"/>
      <c r="FK156" s="50"/>
      <c r="FL156" s="50"/>
      <c r="FM156" s="50"/>
      <c r="FN156" s="50"/>
    </row>
    <row r="157" spans="1:170" s="8" customFormat="1" ht="18" customHeight="1">
      <c r="A157" s="1976"/>
      <c r="B157" s="204"/>
      <c r="C157" s="14" t="str">
        <f>Begriffe!F68</f>
        <v>Klimakälteleistungsbedarf</v>
      </c>
      <c r="D157" s="13"/>
      <c r="E157" s="13"/>
      <c r="F157" s="14" t="str">
        <f>Begriffe!F380</f>
        <v>Ohne Fensterlüftung, ohne Prozessanlagen</v>
      </c>
      <c r="G157" s="13"/>
      <c r="H157" s="13"/>
      <c r="I157" s="155" t="s">
        <v>971</v>
      </c>
      <c r="J157" s="103" t="s">
        <v>54</v>
      </c>
      <c r="K157" s="103"/>
      <c r="L157" s="99"/>
      <c r="M157" s="1760">
        <f>-Profile!U265</f>
        <v>14.860111764705884</v>
      </c>
      <c r="N157" s="1371">
        <f>-Profile!U185</f>
        <v>14.240663435563025</v>
      </c>
      <c r="O157" s="148">
        <f>IF(O160=0,0,-Profile!U225)</f>
        <v>0</v>
      </c>
      <c r="P157" s="14">
        <v>1</v>
      </c>
      <c r="Q157" s="392">
        <v>1</v>
      </c>
      <c r="R157" s="14"/>
      <c r="S157" s="243" t="s">
        <v>1593</v>
      </c>
      <c r="T157" s="89"/>
      <c r="X157" s="158"/>
      <c r="Y157" s="64"/>
      <c r="Z157" s="158"/>
      <c r="AA157" s="158"/>
      <c r="AB157" s="65"/>
      <c r="AC157" s="89"/>
      <c r="AD157" s="89"/>
      <c r="AE157" s="7"/>
      <c r="AF157" s="7"/>
      <c r="AG157" s="7"/>
      <c r="AH157" s="7"/>
      <c r="AI157" s="7"/>
      <c r="AJ157" s="7"/>
      <c r="AK157" s="7"/>
      <c r="AL157" s="7"/>
      <c r="AM157" s="7"/>
      <c r="AN157" s="7"/>
      <c r="AO157" s="7"/>
      <c r="AP157" s="83"/>
      <c r="AQ157" s="83"/>
      <c r="AR157" s="50"/>
      <c r="AS157" s="50"/>
      <c r="AT157" s="50"/>
      <c r="AU157" s="50"/>
      <c r="AV157" s="50"/>
      <c r="AW157" s="50"/>
      <c r="AX157" s="50"/>
      <c r="AY157" s="50"/>
      <c r="AZ157" s="50"/>
      <c r="BA157" s="50"/>
      <c r="BB157" s="50"/>
      <c r="BC157" s="50"/>
      <c r="BD157" s="50"/>
      <c r="BE157" s="50"/>
      <c r="BF157" s="50"/>
      <c r="BG157" s="50"/>
      <c r="BH157" s="50"/>
      <c r="BI157" s="50"/>
      <c r="BJ157" s="50"/>
      <c r="BK157" s="50"/>
      <c r="BL157" s="50"/>
      <c r="BM157" s="50"/>
      <c r="BN157" s="50"/>
      <c r="BO157" s="50"/>
      <c r="BP157" s="50"/>
      <c r="BQ157" s="50"/>
      <c r="BR157" s="50"/>
      <c r="BS157" s="50"/>
      <c r="BT157" s="50"/>
      <c r="BU157" s="50"/>
      <c r="BV157" s="50"/>
      <c r="BW157" s="50"/>
      <c r="BX157" s="50"/>
      <c r="BY157" s="50"/>
      <c r="BZ157" s="50"/>
      <c r="CA157" s="50"/>
      <c r="CB157" s="50"/>
      <c r="CC157" s="50"/>
      <c r="CD157" s="50"/>
      <c r="CE157" s="50"/>
      <c r="CF157" s="50"/>
      <c r="CG157" s="50"/>
      <c r="CH157" s="50"/>
      <c r="CI157" s="50"/>
      <c r="CJ157" s="50"/>
      <c r="CK157" s="50"/>
      <c r="CL157" s="50"/>
      <c r="CM157" s="50"/>
      <c r="CN157" s="50"/>
      <c r="CO157" s="50"/>
      <c r="CP157" s="50"/>
      <c r="CQ157" s="50"/>
      <c r="CR157" s="50"/>
      <c r="CS157" s="50"/>
      <c r="CT157" s="50"/>
      <c r="CU157" s="50"/>
      <c r="CV157" s="50"/>
      <c r="CW157" s="50"/>
      <c r="CX157" s="50"/>
      <c r="CY157" s="50"/>
      <c r="CZ157" s="50"/>
      <c r="DA157" s="50"/>
      <c r="DB157" s="50"/>
      <c r="DC157" s="50"/>
      <c r="DD157" s="50"/>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50"/>
      <c r="EF157" s="50"/>
      <c r="EG157" s="50"/>
      <c r="EH157" s="50"/>
      <c r="EI157" s="50"/>
      <c r="EJ157" s="50"/>
      <c r="EK157" s="50"/>
      <c r="EL157" s="50"/>
      <c r="EM157" s="50"/>
      <c r="EN157" s="50"/>
      <c r="EO157" s="50"/>
      <c r="EP157" s="50"/>
      <c r="EQ157" s="50"/>
      <c r="ER157" s="50"/>
      <c r="ES157" s="50"/>
      <c r="ET157" s="50"/>
      <c r="EU157" s="50"/>
      <c r="EV157" s="50"/>
      <c r="EW157" s="50"/>
      <c r="EX157" s="50"/>
      <c r="EY157" s="50"/>
      <c r="EZ157" s="50"/>
      <c r="FA157" s="50"/>
      <c r="FB157" s="50"/>
      <c r="FC157" s="50"/>
      <c r="FD157" s="50"/>
      <c r="FE157" s="50"/>
      <c r="FF157" s="50"/>
      <c r="FG157" s="50"/>
      <c r="FH157" s="50"/>
      <c r="FI157" s="50"/>
      <c r="FJ157" s="50"/>
      <c r="FK157" s="50"/>
      <c r="FL157" s="50"/>
      <c r="FM157" s="50"/>
      <c r="FN157" s="50"/>
    </row>
    <row r="158" spans="1:170" s="8" customFormat="1" ht="18" hidden="1" customHeight="1">
      <c r="A158" s="1976"/>
      <c r="B158" s="204"/>
      <c r="C158" s="14" t="str">
        <f>Begriffe!F68</f>
        <v>Klimakälteleistungsbedarf</v>
      </c>
      <c r="D158" s="14"/>
      <c r="E158" s="182"/>
      <c r="F158" s="14" t="str">
        <f>Begriffe!$F$369</f>
        <v>Ohne Fensterlüftung</v>
      </c>
      <c r="G158" s="14"/>
      <c r="H158" s="14"/>
      <c r="I158" s="155" t="s">
        <v>971</v>
      </c>
      <c r="J158" s="377" t="s">
        <v>149</v>
      </c>
      <c r="K158" s="377"/>
      <c r="L158" s="519"/>
      <c r="M158" s="394">
        <f>-Profile!T125</f>
        <v>20.553281394957988</v>
      </c>
      <c r="N158" s="394">
        <f>-Profile!T185</f>
        <v>14.240663435563025</v>
      </c>
      <c r="O158" s="394">
        <f>-Profile!T225</f>
        <v>32.898191596638654</v>
      </c>
      <c r="P158" s="14">
        <v>1</v>
      </c>
      <c r="Q158" s="392"/>
      <c r="R158" s="14">
        <v>1</v>
      </c>
      <c r="S158" s="243" t="s">
        <v>1456</v>
      </c>
      <c r="U158" s="89"/>
      <c r="V158" s="64"/>
      <c r="W158" s="158"/>
      <c r="X158" s="158"/>
      <c r="Y158" s="64"/>
      <c r="Z158" s="158"/>
      <c r="AA158" s="158"/>
      <c r="AB158" s="65"/>
      <c r="AC158" s="89"/>
      <c r="AD158" s="89"/>
      <c r="AE158" s="7"/>
      <c r="AF158" s="7"/>
      <c r="AG158" s="7"/>
      <c r="AH158" s="7"/>
      <c r="AI158" s="7"/>
      <c r="AJ158" s="7"/>
      <c r="AK158" s="7"/>
      <c r="AL158" s="7"/>
      <c r="AM158" s="7"/>
      <c r="AN158" s="7"/>
      <c r="AO158" s="7"/>
      <c r="AP158" s="83"/>
      <c r="AQ158" s="83"/>
      <c r="AR158" s="50"/>
      <c r="AS158" s="50"/>
      <c r="AT158" s="50"/>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c r="CC158" s="50"/>
      <c r="CD158" s="50"/>
      <c r="CE158" s="50"/>
      <c r="CF158" s="50"/>
      <c r="CG158" s="50"/>
      <c r="CH158" s="50"/>
      <c r="CI158" s="50"/>
      <c r="CJ158" s="50"/>
      <c r="CK158" s="50"/>
      <c r="CL158" s="50"/>
      <c r="CM158" s="50"/>
      <c r="CN158" s="50"/>
      <c r="CO158" s="50"/>
      <c r="CP158" s="50"/>
      <c r="CQ158" s="50"/>
      <c r="CR158" s="50"/>
      <c r="CS158" s="50"/>
      <c r="CT158" s="50"/>
      <c r="CU158" s="50"/>
      <c r="CV158" s="50"/>
      <c r="CW158" s="50"/>
      <c r="CX158" s="50"/>
      <c r="CY158" s="50"/>
      <c r="CZ158" s="50"/>
      <c r="DA158" s="50"/>
      <c r="DB158" s="50"/>
      <c r="DC158" s="50"/>
      <c r="DD158" s="50"/>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50"/>
      <c r="EF158" s="50"/>
      <c r="EG158" s="50"/>
      <c r="EH158" s="50"/>
      <c r="EI158" s="50"/>
      <c r="EJ158" s="50"/>
      <c r="EK158" s="50"/>
      <c r="EL158" s="50"/>
      <c r="EM158" s="50"/>
      <c r="EN158" s="50"/>
      <c r="EO158" s="50"/>
      <c r="EP158" s="50"/>
      <c r="EQ158" s="50"/>
      <c r="ER158" s="50"/>
      <c r="ES158" s="50"/>
      <c r="ET158" s="50"/>
      <c r="EU158" s="50"/>
      <c r="EV158" s="50"/>
      <c r="EW158" s="50"/>
      <c r="EX158" s="50"/>
      <c r="EY158" s="50"/>
      <c r="EZ158" s="50"/>
      <c r="FA158" s="50"/>
      <c r="FB158" s="50"/>
      <c r="FC158" s="50"/>
      <c r="FD158" s="50"/>
      <c r="FE158" s="50"/>
      <c r="FF158" s="50"/>
      <c r="FG158" s="50"/>
      <c r="FH158" s="50"/>
      <c r="FI158" s="50"/>
      <c r="FJ158" s="50"/>
      <c r="FK158" s="50"/>
      <c r="FL158" s="50"/>
      <c r="FM158" s="50"/>
      <c r="FN158" s="50"/>
    </row>
    <row r="159" spans="1:170" s="8" customFormat="1" ht="17.25" customHeight="1">
      <c r="A159" s="1976"/>
      <c r="B159" s="204"/>
      <c r="C159" s="14" t="str">
        <f>Begriffe!F60</f>
        <v>Jährliche Volllaststunden der Raumkühlung</v>
      </c>
      <c r="D159" s="14"/>
      <c r="E159" s="14"/>
      <c r="F159" s="14" t="str">
        <f>Begriffe!F380</f>
        <v>Ohne Fensterlüftung, ohne Prozessanlagen</v>
      </c>
      <c r="G159" s="14"/>
      <c r="H159" s="14"/>
      <c r="I159" s="98" t="s">
        <v>972</v>
      </c>
      <c r="J159" s="377" t="s">
        <v>15</v>
      </c>
      <c r="K159" s="377"/>
      <c r="L159" s="102"/>
      <c r="M159" s="1755">
        <f>IF(M157=0,0,ROUND(M160*1000/M157,-1))</f>
        <v>0</v>
      </c>
      <c r="N159" s="1378">
        <f>IF(N157=0,0,ROUND(N160*1000/N157,-1))</f>
        <v>190</v>
      </c>
      <c r="O159" s="149">
        <f>IF(O157=0,0,ROUND(O160*1000/O157,-1))</f>
        <v>0</v>
      </c>
      <c r="P159" s="14">
        <v>1</v>
      </c>
      <c r="Q159" s="392">
        <v>1</v>
      </c>
      <c r="R159" s="14">
        <v>1</v>
      </c>
      <c r="S159" s="243"/>
      <c r="T159" s="65"/>
      <c r="U159" s="89"/>
      <c r="V159" s="64"/>
      <c r="W159" s="158"/>
      <c r="X159" s="158"/>
      <c r="Y159" s="64"/>
      <c r="Z159" s="158"/>
      <c r="AA159" s="158"/>
      <c r="AB159" s="65"/>
      <c r="AC159" s="89"/>
      <c r="AD159" s="89"/>
      <c r="AE159" s="7"/>
      <c r="AF159" s="7"/>
      <c r="AG159" s="7"/>
      <c r="AH159" s="7"/>
      <c r="AI159" s="7"/>
      <c r="AJ159" s="7"/>
      <c r="AK159" s="7"/>
      <c r="AL159" s="7"/>
      <c r="AM159" s="7"/>
      <c r="AN159" s="7"/>
      <c r="AO159" s="7"/>
      <c r="AP159" s="83"/>
      <c r="AQ159" s="83"/>
      <c r="AR159" s="50"/>
      <c r="AS159" s="50"/>
      <c r="AT159" s="50"/>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c r="CW159" s="50"/>
      <c r="CX159" s="50"/>
      <c r="CY159" s="50"/>
      <c r="CZ159" s="50"/>
      <c r="DA159" s="50"/>
      <c r="DB159" s="50"/>
      <c r="DC159" s="50"/>
      <c r="DD159" s="50"/>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50"/>
      <c r="EF159" s="50"/>
      <c r="EG159" s="50"/>
      <c r="EH159" s="50"/>
      <c r="EI159" s="50"/>
      <c r="EJ159" s="50"/>
      <c r="EK159" s="50"/>
      <c r="EL159" s="50"/>
      <c r="EM159" s="50"/>
      <c r="EN159" s="50"/>
      <c r="EO159" s="50"/>
      <c r="EP159" s="50"/>
      <c r="EQ159" s="50"/>
      <c r="ER159" s="50"/>
      <c r="ES159" s="50"/>
      <c r="ET159" s="50"/>
      <c r="EU159" s="50"/>
      <c r="EV159" s="50"/>
      <c r="EW159" s="50"/>
      <c r="EX159" s="50"/>
      <c r="EY159" s="50"/>
      <c r="EZ159" s="50"/>
      <c r="FA159" s="50"/>
      <c r="FB159" s="50"/>
      <c r="FC159" s="50"/>
      <c r="FD159" s="50"/>
      <c r="FE159" s="50"/>
      <c r="FF159" s="50"/>
      <c r="FG159" s="50"/>
      <c r="FH159" s="50"/>
      <c r="FI159" s="50"/>
      <c r="FJ159" s="50"/>
      <c r="FK159" s="50"/>
      <c r="FL159" s="50"/>
      <c r="FM159" s="50"/>
      <c r="FN159" s="50"/>
    </row>
    <row r="160" spans="1:170" s="8" customFormat="1" ht="18" customHeight="1">
      <c r="A160" s="1976"/>
      <c r="B160" s="204"/>
      <c r="C160" s="14" t="str">
        <f>Begriffe!F66</f>
        <v>Jährlicher Klimakältebedarf</v>
      </c>
      <c r="D160" s="13"/>
      <c r="E160" s="13"/>
      <c r="F160" s="14" t="str">
        <f>Begriffe!F380</f>
        <v>Ohne Fensterlüftung, ohne Prozessanlagen</v>
      </c>
      <c r="G160" s="13"/>
      <c r="H160" s="13"/>
      <c r="I160" s="98" t="s">
        <v>973</v>
      </c>
      <c r="J160" s="103" t="s">
        <v>441</v>
      </c>
      <c r="K160" s="103"/>
      <c r="L160" s="99"/>
      <c r="M160" s="1760">
        <f>IF($M33=0,0,'SIA 380-1_Qc_EN'!P137/3.6)</f>
        <v>0</v>
      </c>
      <c r="N160" s="1371">
        <f>IF($M33=0,0,'SIA 380-1_Qc'!P167/3.6)</f>
        <v>2.7573988470164092</v>
      </c>
      <c r="O160" s="148">
        <f>IF($M33=0,0,'SIA 380-1_Qc'!P197/3.6)</f>
        <v>0</v>
      </c>
      <c r="P160" s="14">
        <v>1</v>
      </c>
      <c r="Q160" s="392">
        <v>1</v>
      </c>
      <c r="R160" s="14"/>
      <c r="S160" s="243" t="s">
        <v>1484</v>
      </c>
      <c r="T160" s="65"/>
      <c r="U160" s="89"/>
      <c r="V160" s="64"/>
      <c r="W160" s="158"/>
      <c r="X160" s="158"/>
      <c r="Y160" s="64"/>
      <c r="Z160" s="158"/>
      <c r="AA160" s="158"/>
      <c r="AB160" s="65"/>
      <c r="AC160" s="89"/>
      <c r="AD160" s="89"/>
      <c r="AE160" s="7"/>
      <c r="AF160" s="7"/>
      <c r="AG160" s="7"/>
      <c r="AH160" s="7"/>
      <c r="AI160" s="7"/>
      <c r="AJ160" s="7"/>
      <c r="AK160" s="7"/>
      <c r="AL160" s="7"/>
      <c r="AM160" s="7"/>
      <c r="AN160" s="7"/>
      <c r="AO160" s="7"/>
      <c r="AP160" s="83"/>
      <c r="AQ160" s="83"/>
      <c r="AR160" s="50"/>
      <c r="AS160" s="50"/>
      <c r="AT160" s="50"/>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c r="CC160" s="50"/>
      <c r="CD160" s="50"/>
      <c r="CE160" s="50"/>
      <c r="CF160" s="50"/>
      <c r="CG160" s="50"/>
      <c r="CH160" s="50"/>
      <c r="CI160" s="50"/>
      <c r="CJ160" s="50"/>
      <c r="CK160" s="50"/>
      <c r="CL160" s="50"/>
      <c r="CM160" s="50"/>
      <c r="CN160" s="50"/>
      <c r="CO160" s="50"/>
      <c r="CP160" s="50"/>
      <c r="CQ160" s="50"/>
      <c r="CR160" s="50"/>
      <c r="CS160" s="50"/>
      <c r="CT160" s="50"/>
      <c r="CU160" s="50"/>
      <c r="CV160" s="50"/>
      <c r="CW160" s="50"/>
      <c r="CX160" s="50"/>
      <c r="CY160" s="50"/>
      <c r="CZ160" s="50"/>
      <c r="DA160" s="50"/>
      <c r="DB160" s="50"/>
      <c r="DC160" s="50"/>
      <c r="DD160" s="50"/>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50"/>
      <c r="EF160" s="50"/>
      <c r="EG160" s="50"/>
      <c r="EH160" s="50"/>
      <c r="EI160" s="50"/>
      <c r="EJ160" s="50"/>
      <c r="EK160" s="50"/>
      <c r="EL160" s="50"/>
      <c r="EM160" s="50"/>
      <c r="EN160" s="50"/>
      <c r="EO160" s="50"/>
      <c r="EP160" s="50"/>
      <c r="EQ160" s="50"/>
      <c r="ER160" s="50"/>
      <c r="ES160" s="50"/>
      <c r="ET160" s="50"/>
      <c r="EU160" s="50"/>
      <c r="EV160" s="50"/>
      <c r="EW160" s="50"/>
      <c r="EX160" s="50"/>
      <c r="EY160" s="50"/>
      <c r="EZ160" s="50"/>
      <c r="FA160" s="50"/>
      <c r="FB160" s="50"/>
      <c r="FC160" s="50"/>
      <c r="FD160" s="50"/>
      <c r="FE160" s="50"/>
      <c r="FF160" s="50"/>
      <c r="FG160" s="50"/>
      <c r="FH160" s="50"/>
      <c r="FI160" s="50"/>
      <c r="FJ160" s="50"/>
      <c r="FK160" s="50"/>
      <c r="FL160" s="50"/>
      <c r="FM160" s="50"/>
      <c r="FN160" s="50"/>
    </row>
    <row r="161" spans="1:170" s="8" customFormat="1" ht="18" hidden="1" customHeight="1">
      <c r="A161" s="1977"/>
      <c r="B161" s="204"/>
      <c r="C161" s="1127" t="str">
        <f>Begriffe!F66</f>
        <v>Jährlicher Klimakältebedarf</v>
      </c>
      <c r="D161" s="1127"/>
      <c r="E161" s="1127"/>
      <c r="F161" s="14" t="str">
        <f>Begriffe!$F$369</f>
        <v>Ohne Fensterlüftung</v>
      </c>
      <c r="G161" s="14"/>
      <c r="H161" s="14"/>
      <c r="I161" s="126" t="s">
        <v>973</v>
      </c>
      <c r="J161" s="677" t="s">
        <v>441</v>
      </c>
      <c r="K161" s="677"/>
      <c r="L161" s="522"/>
      <c r="M161" s="1194">
        <f>IF(L161&lt;&gt;"",L161,IF(M$31=0,0,IF(ISERR(INDEX(#REF!,nutzid,4)),0,INDEX(#REF!,nutzid,4))))</f>
        <v>0</v>
      </c>
      <c r="N161" s="1194">
        <f>IF(M$31=0,0,IF(ISERR(INDEX(#REF!,nutzid,6)),0,INDEX(#REF!,nutzid,6)))</f>
        <v>0</v>
      </c>
      <c r="O161" s="1194">
        <f>IF(M$31=0,0,IF(ISERR(INDEX(#REF!,nutzid,8)),0,INDEX(#REF!,nutzid,8)))</f>
        <v>0</v>
      </c>
      <c r="P161" s="14">
        <v>1</v>
      </c>
      <c r="Q161" s="392"/>
      <c r="R161" s="14">
        <v>1</v>
      </c>
      <c r="S161" s="243" t="s">
        <v>1483</v>
      </c>
      <c r="T161" s="65"/>
      <c r="U161" s="89"/>
      <c r="V161" s="64"/>
      <c r="W161" s="158"/>
      <c r="X161" s="158"/>
      <c r="Y161" s="64"/>
      <c r="Z161" s="158"/>
      <c r="AA161" s="158"/>
      <c r="AB161" s="65"/>
      <c r="AC161" s="89"/>
      <c r="AD161" s="89"/>
      <c r="AE161" s="7"/>
      <c r="AF161" s="7"/>
      <c r="AG161" s="7"/>
      <c r="AH161" s="7"/>
      <c r="AI161" s="7"/>
      <c r="AJ161" s="7"/>
      <c r="AK161" s="7"/>
      <c r="AL161" s="7"/>
      <c r="AM161" s="7"/>
      <c r="AN161" s="7"/>
      <c r="AO161" s="7"/>
      <c r="AP161" s="83"/>
      <c r="AQ161" s="83"/>
      <c r="AR161" s="50"/>
      <c r="AS161" s="50"/>
      <c r="AT161" s="50"/>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c r="CC161" s="50"/>
      <c r="CD161" s="50"/>
      <c r="CE161" s="50"/>
      <c r="CF161" s="50"/>
      <c r="CG161" s="50"/>
      <c r="CH161" s="50"/>
      <c r="CI161" s="50"/>
      <c r="CJ161" s="50"/>
      <c r="CK161" s="50"/>
      <c r="CL161" s="50"/>
      <c r="CM161" s="50"/>
      <c r="CN161" s="50"/>
      <c r="CO161" s="50"/>
      <c r="CP161" s="50"/>
      <c r="CQ161" s="50"/>
      <c r="CR161" s="50"/>
      <c r="CS161" s="50"/>
      <c r="CT161" s="50"/>
      <c r="CU161" s="50"/>
      <c r="CV161" s="50"/>
      <c r="CW161" s="50"/>
      <c r="CX161" s="50"/>
      <c r="CY161" s="50"/>
      <c r="CZ161" s="50"/>
      <c r="DA161" s="50"/>
      <c r="DB161" s="50"/>
      <c r="DC161" s="50"/>
      <c r="DD161" s="50"/>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50"/>
      <c r="EF161" s="50"/>
      <c r="EG161" s="50"/>
      <c r="EH161" s="50"/>
      <c r="EI161" s="50"/>
      <c r="EJ161" s="50"/>
      <c r="EK161" s="50"/>
      <c r="EL161" s="50"/>
      <c r="EM161" s="50"/>
      <c r="EN161" s="50"/>
      <c r="EO161" s="50"/>
      <c r="EP161" s="50"/>
      <c r="EQ161" s="50"/>
      <c r="ER161" s="50"/>
      <c r="ES161" s="50"/>
      <c r="ET161" s="50"/>
      <c r="EU161" s="50"/>
      <c r="EV161" s="50"/>
      <c r="EW161" s="50"/>
      <c r="EX161" s="50"/>
      <c r="EY161" s="50"/>
      <c r="EZ161" s="50"/>
      <c r="FA161" s="50"/>
      <c r="FB161" s="50"/>
      <c r="FC161" s="50"/>
      <c r="FD161" s="50"/>
      <c r="FE161" s="50"/>
      <c r="FF161" s="50"/>
      <c r="FG161" s="50"/>
      <c r="FH161" s="50"/>
      <c r="FI161" s="50"/>
      <c r="FJ161" s="50"/>
      <c r="FK161" s="50"/>
      <c r="FL161" s="50"/>
      <c r="FM161" s="50"/>
      <c r="FN161" s="50"/>
    </row>
    <row r="162" spans="1:170" s="5" customFormat="1" ht="2.25" customHeight="1">
      <c r="A162" s="113"/>
      <c r="B162" s="495"/>
      <c r="C162" s="1126"/>
      <c r="D162" s="495"/>
      <c r="E162" s="495"/>
      <c r="F162" s="495"/>
      <c r="G162" s="495"/>
      <c r="H162" s="495"/>
      <c r="I162" s="693"/>
      <c r="J162" s="694"/>
      <c r="K162" s="694"/>
      <c r="L162" s="122"/>
      <c r="M162" s="1771"/>
      <c r="N162" s="1733"/>
      <c r="O162" s="136"/>
      <c r="P162" s="14">
        <v>0</v>
      </c>
      <c r="Q162" s="392">
        <v>1</v>
      </c>
      <c r="R162" s="14">
        <v>0</v>
      </c>
      <c r="S162" s="618"/>
      <c r="T162" s="147"/>
      <c r="U162" s="147"/>
      <c r="V162" s="27"/>
      <c r="W162" s="138"/>
      <c r="X162" s="138"/>
      <c r="Y162" s="27"/>
      <c r="Z162" s="138"/>
      <c r="AA162" s="138"/>
      <c r="AB162" s="36"/>
      <c r="AC162" s="147"/>
      <c r="AD162" s="147"/>
      <c r="AE162" s="36"/>
      <c r="AF162" s="36"/>
      <c r="AG162" s="36"/>
      <c r="AH162" s="36"/>
      <c r="AI162" s="36"/>
      <c r="AJ162" s="36"/>
      <c r="AK162" s="36"/>
      <c r="AL162" s="36"/>
      <c r="AM162" s="36"/>
      <c r="AN162" s="84"/>
      <c r="AO162" s="84"/>
      <c r="AP162" s="85"/>
      <c r="AQ162" s="85"/>
      <c r="AR162" s="54"/>
      <c r="AS162" s="54"/>
      <c r="AT162" s="54"/>
      <c r="AU162" s="54"/>
      <c r="AV162" s="54"/>
      <c r="AW162" s="54"/>
      <c r="AX162" s="54"/>
      <c r="AY162" s="54"/>
      <c r="AZ162" s="54"/>
      <c r="BA162" s="54"/>
      <c r="BB162" s="54"/>
      <c r="BC162" s="54"/>
      <c r="BD162" s="54"/>
      <c r="BE162" s="54"/>
      <c r="BF162" s="54"/>
      <c r="BG162" s="54"/>
      <c r="BH162" s="54"/>
      <c r="BI162" s="54"/>
      <c r="BJ162" s="54"/>
      <c r="BK162" s="54"/>
      <c r="BL162" s="54"/>
      <c r="BM162" s="54"/>
      <c r="BN162" s="54"/>
      <c r="BO162" s="54"/>
      <c r="BP162" s="54"/>
      <c r="BQ162" s="54"/>
      <c r="BR162" s="54"/>
      <c r="BS162" s="54"/>
      <c r="BT162" s="54"/>
      <c r="BU162" s="54"/>
      <c r="BV162" s="54"/>
      <c r="BW162" s="54"/>
      <c r="BX162" s="54"/>
      <c r="BY162" s="54"/>
      <c r="BZ162" s="54"/>
      <c r="CA162" s="54"/>
      <c r="CB162" s="54"/>
      <c r="CC162" s="54"/>
      <c r="CD162" s="54"/>
      <c r="CE162" s="54"/>
      <c r="CF162" s="54"/>
      <c r="CG162" s="54"/>
      <c r="CH162" s="54"/>
      <c r="CI162" s="54"/>
      <c r="CJ162" s="54"/>
      <c r="CK162" s="54"/>
      <c r="CL162" s="54"/>
      <c r="CM162" s="54"/>
      <c r="CN162" s="54"/>
      <c r="CO162" s="54"/>
      <c r="CP162" s="54"/>
      <c r="CQ162" s="54"/>
      <c r="CR162" s="54"/>
      <c r="CS162" s="54"/>
      <c r="CT162" s="54"/>
      <c r="CU162" s="54"/>
      <c r="CV162" s="55"/>
      <c r="CW162" s="55"/>
      <c r="CX162" s="55"/>
      <c r="CY162" s="55"/>
      <c r="CZ162" s="55"/>
      <c r="DA162" s="55"/>
      <c r="DB162" s="55"/>
      <c r="DC162" s="55"/>
      <c r="DD162" s="55"/>
      <c r="DE162" s="55"/>
      <c r="DF162" s="55"/>
      <c r="DG162" s="55"/>
      <c r="DH162" s="55"/>
      <c r="DI162" s="55"/>
      <c r="DJ162" s="55"/>
      <c r="DK162" s="55"/>
      <c r="DL162" s="55"/>
      <c r="DM162" s="55"/>
      <c r="DN162" s="55"/>
      <c r="DO162" s="55"/>
      <c r="DP162" s="55"/>
      <c r="DQ162" s="55"/>
      <c r="DR162" s="55"/>
      <c r="DS162" s="55"/>
      <c r="DT162" s="55"/>
      <c r="DU162" s="55"/>
      <c r="DV162" s="55"/>
      <c r="DW162" s="55"/>
      <c r="DX162" s="55"/>
      <c r="DY162" s="55"/>
      <c r="DZ162" s="55"/>
      <c r="EA162" s="55"/>
      <c r="EB162" s="55"/>
      <c r="EC162" s="55"/>
      <c r="ED162" s="55"/>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3"/>
      <c r="FK162" s="53"/>
      <c r="FL162" s="53"/>
      <c r="FM162" s="53"/>
      <c r="FN162" s="53"/>
    </row>
    <row r="163" spans="1:170" s="8" customFormat="1" ht="18" hidden="1" customHeight="1">
      <c r="A163" s="1976" t="s">
        <v>20</v>
      </c>
      <c r="B163" s="21"/>
      <c r="C163" s="395" t="s">
        <v>489</v>
      </c>
      <c r="D163" s="395"/>
      <c r="E163" s="395"/>
      <c r="F163" s="395" t="s">
        <v>160</v>
      </c>
      <c r="G163" s="395"/>
      <c r="H163" s="395"/>
      <c r="I163" s="396" t="s">
        <v>161</v>
      </c>
      <c r="J163" s="397" t="s">
        <v>177</v>
      </c>
      <c r="K163" s="397"/>
      <c r="L163" s="398"/>
      <c r="M163" s="399" t="e">
        <f>INDEX(Eingabedaten!$D$9:$DN$53,nutzid,MATCH($C163,Eingabedaten!$D$6:$DN$6,0))</f>
        <v>#N/A</v>
      </c>
      <c r="N163" s="399" t="e">
        <f>INDEX(Eingabedaten!$D$9:$DN$53,nutzid,MATCH($C163,Eingabedaten!$D$6:$DN$6,0)+1)</f>
        <v>#N/A</v>
      </c>
      <c r="O163" s="399" t="e">
        <f>INDEX(Eingabedaten!$D$9:$DN$53,nutzid,MATCH($C163,Eingabedaten!$D$6:$DN$6,0)+2)</f>
        <v>#N/A</v>
      </c>
      <c r="P163" s="14">
        <v>0</v>
      </c>
      <c r="Q163" s="392">
        <v>0</v>
      </c>
      <c r="R163" s="14">
        <v>0</v>
      </c>
      <c r="S163" s="243"/>
      <c r="T163" s="89"/>
      <c r="U163" s="89"/>
      <c r="V163" s="64"/>
      <c r="W163" s="158"/>
      <c r="X163" s="158"/>
      <c r="Y163" s="64"/>
      <c r="Z163" s="158"/>
      <c r="AA163" s="158"/>
      <c r="AB163" s="65"/>
      <c r="AC163" s="89"/>
      <c r="AD163" s="89"/>
      <c r="AE163" s="7"/>
      <c r="AF163" s="7"/>
      <c r="AG163" s="7"/>
      <c r="AH163" s="7"/>
      <c r="AI163" s="7"/>
      <c r="AJ163" s="7"/>
      <c r="AK163" s="7"/>
      <c r="AL163" s="7"/>
      <c r="AM163" s="7"/>
      <c r="AN163" s="7"/>
      <c r="AO163" s="7"/>
      <c r="AP163" s="83"/>
      <c r="AQ163" s="83"/>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50"/>
      <c r="EF163" s="50"/>
      <c r="EG163" s="50"/>
      <c r="EH163" s="50"/>
      <c r="EI163" s="50"/>
      <c r="EJ163" s="50"/>
      <c r="EK163" s="50"/>
      <c r="EL163" s="50"/>
      <c r="EM163" s="50"/>
      <c r="EN163" s="50"/>
      <c r="EO163" s="50"/>
      <c r="EP163" s="50"/>
      <c r="EQ163" s="50"/>
      <c r="ER163" s="50"/>
      <c r="ES163" s="50"/>
      <c r="ET163" s="50"/>
      <c r="EU163" s="50"/>
      <c r="EV163" s="50"/>
      <c r="EW163" s="50"/>
      <c r="EX163" s="50"/>
      <c r="EY163" s="50"/>
      <c r="EZ163" s="50"/>
      <c r="FA163" s="50"/>
      <c r="FB163" s="50"/>
      <c r="FC163" s="50"/>
      <c r="FD163" s="50"/>
      <c r="FE163" s="50"/>
      <c r="FF163" s="50"/>
      <c r="FG163" s="50"/>
      <c r="FH163" s="50"/>
      <c r="FI163" s="50"/>
      <c r="FJ163" s="50"/>
      <c r="FK163" s="50"/>
      <c r="FL163" s="50"/>
      <c r="FM163" s="50"/>
      <c r="FN163" s="50"/>
    </row>
    <row r="164" spans="1:170" s="8" customFormat="1" ht="18" hidden="1" customHeight="1">
      <c r="A164" s="1976"/>
      <c r="B164" s="21"/>
      <c r="C164" s="471" t="s">
        <v>510</v>
      </c>
      <c r="D164" s="395"/>
      <c r="E164" s="395"/>
      <c r="F164" s="395"/>
      <c r="G164" s="395"/>
      <c r="H164" s="395"/>
      <c r="I164" s="400" t="s">
        <v>189</v>
      </c>
      <c r="J164" s="397" t="s">
        <v>208</v>
      </c>
      <c r="K164" s="397"/>
      <c r="L164" s="401"/>
      <c r="M164" s="399">
        <v>0.7</v>
      </c>
      <c r="N164" s="399"/>
      <c r="O164" s="399"/>
      <c r="P164" s="14">
        <v>0</v>
      </c>
      <c r="Q164" s="392">
        <v>0</v>
      </c>
      <c r="R164" s="14">
        <v>0</v>
      </c>
      <c r="S164" s="243"/>
      <c r="T164" s="89"/>
      <c r="U164" s="89"/>
      <c r="V164" s="64"/>
      <c r="W164" s="158"/>
      <c r="X164" s="158"/>
      <c r="Y164" s="64"/>
      <c r="Z164" s="158"/>
      <c r="AA164" s="158"/>
      <c r="AB164" s="65"/>
      <c r="AC164" s="89"/>
      <c r="AD164" s="89"/>
      <c r="AE164" s="7"/>
      <c r="AF164" s="7"/>
      <c r="AG164" s="7"/>
      <c r="AH164" s="7"/>
      <c r="AI164" s="7"/>
      <c r="AJ164" s="7"/>
      <c r="AK164" s="7"/>
      <c r="AL164" s="7"/>
      <c r="AM164" s="7"/>
      <c r="AN164" s="7"/>
      <c r="AO164" s="7"/>
      <c r="AP164" s="83"/>
      <c r="AQ164" s="83"/>
      <c r="AR164" s="50"/>
      <c r="AS164" s="50"/>
      <c r="AT164" s="50"/>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c r="CC164" s="50"/>
      <c r="CD164" s="50"/>
      <c r="CE164" s="50"/>
      <c r="CF164" s="50"/>
      <c r="CG164" s="50"/>
      <c r="CH164" s="50"/>
      <c r="CI164" s="50"/>
      <c r="CJ164" s="50"/>
      <c r="CK164" s="50"/>
      <c r="CL164" s="50"/>
      <c r="CM164" s="50"/>
      <c r="CN164" s="50"/>
      <c r="CO164" s="50"/>
      <c r="CP164" s="50"/>
      <c r="CQ164" s="50"/>
      <c r="CR164" s="50"/>
      <c r="CS164" s="50"/>
      <c r="CT164" s="50"/>
      <c r="CU164" s="50"/>
      <c r="CV164" s="50"/>
      <c r="CW164" s="50"/>
      <c r="CX164" s="50"/>
      <c r="CY164" s="50"/>
      <c r="CZ164" s="50"/>
      <c r="DA164" s="50"/>
      <c r="DB164" s="50"/>
      <c r="DC164" s="50"/>
      <c r="DD164" s="50"/>
      <c r="DE164" s="50"/>
      <c r="DF164" s="50"/>
      <c r="DG164" s="50"/>
      <c r="DH164" s="50"/>
      <c r="DI164" s="50"/>
      <c r="DJ164" s="50"/>
      <c r="DK164" s="50"/>
      <c r="DL164" s="49"/>
      <c r="DM164" s="49"/>
      <c r="DN164" s="49"/>
      <c r="DO164" s="49"/>
      <c r="DP164" s="49"/>
      <c r="DQ164" s="49"/>
      <c r="DR164" s="49"/>
      <c r="DS164" s="49"/>
      <c r="DT164" s="49"/>
      <c r="DU164" s="49"/>
      <c r="DV164" s="49"/>
      <c r="DW164" s="49"/>
      <c r="DX164" s="49"/>
      <c r="DY164" s="49"/>
      <c r="DZ164" s="49"/>
      <c r="EA164" s="49"/>
      <c r="EB164" s="49"/>
      <c r="EC164" s="49"/>
      <c r="ED164" s="49"/>
      <c r="EE164" s="50"/>
      <c r="EF164" s="50"/>
      <c r="EG164" s="50"/>
      <c r="EH164" s="50"/>
      <c r="EI164" s="50"/>
      <c r="EJ164" s="50"/>
      <c r="EK164" s="50"/>
      <c r="EL164" s="50"/>
      <c r="EM164" s="50"/>
      <c r="EN164" s="50"/>
      <c r="EO164" s="50"/>
      <c r="EP164" s="50"/>
      <c r="EQ164" s="50"/>
      <c r="ER164" s="50"/>
      <c r="ES164" s="50"/>
      <c r="ET164" s="50"/>
      <c r="EU164" s="50"/>
      <c r="EV164" s="50"/>
      <c r="EW164" s="50"/>
      <c r="EX164" s="50"/>
      <c r="EY164" s="50"/>
      <c r="EZ164" s="50"/>
      <c r="FA164" s="50"/>
      <c r="FB164" s="50"/>
      <c r="FC164" s="50"/>
      <c r="FD164" s="50"/>
      <c r="FE164" s="50"/>
      <c r="FF164" s="50"/>
      <c r="FG164" s="50"/>
      <c r="FH164" s="50"/>
      <c r="FI164" s="50"/>
      <c r="FJ164" s="50"/>
      <c r="FK164" s="50"/>
      <c r="FL164" s="50"/>
      <c r="FM164" s="50"/>
      <c r="FN164" s="50"/>
    </row>
    <row r="165" spans="1:170" s="8" customFormat="1" ht="18" hidden="1" customHeight="1">
      <c r="A165" s="1976"/>
      <c r="B165" s="21"/>
      <c r="C165" s="472" t="s">
        <v>511</v>
      </c>
      <c r="D165" s="402"/>
      <c r="E165" s="403"/>
      <c r="F165" s="404"/>
      <c r="G165" s="404"/>
      <c r="H165" s="404"/>
      <c r="I165" s="396" t="s">
        <v>170</v>
      </c>
      <c r="J165" s="397" t="s">
        <v>171</v>
      </c>
      <c r="K165" s="397"/>
      <c r="L165" s="405"/>
      <c r="M165" s="401">
        <f>IF(M36="",0,(288.58*(1.098+21/100)^(8.02))/((273+20)*461.5)*M36/100*1000)</f>
        <v>5.514958704941062</v>
      </c>
      <c r="N165" s="406">
        <f>M165</f>
        <v>5.514958704941062</v>
      </c>
      <c r="O165" s="406">
        <f>M165</f>
        <v>5.514958704941062</v>
      </c>
      <c r="P165" s="14">
        <v>0</v>
      </c>
      <c r="Q165" s="392">
        <v>0</v>
      </c>
      <c r="R165" s="14">
        <v>0</v>
      </c>
      <c r="S165" s="243"/>
      <c r="T165" s="89"/>
      <c r="U165" s="89"/>
      <c r="V165" s="64"/>
      <c r="W165" s="158"/>
      <c r="X165" s="158"/>
      <c r="Y165" s="64"/>
      <c r="Z165" s="158"/>
      <c r="AA165" s="158"/>
      <c r="AB165" s="65"/>
      <c r="AC165" s="89"/>
      <c r="AD165" s="89"/>
      <c r="AE165" s="7"/>
      <c r="AF165" s="7"/>
      <c r="AG165" s="7"/>
      <c r="AH165" s="7"/>
      <c r="AI165" s="7"/>
      <c r="AJ165" s="7"/>
      <c r="AK165" s="7"/>
      <c r="AL165" s="7"/>
      <c r="AM165" s="7"/>
      <c r="AN165" s="7"/>
      <c r="AO165" s="7"/>
      <c r="AP165" s="83"/>
      <c r="AQ165" s="83"/>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49"/>
      <c r="DM165" s="49"/>
      <c r="DN165" s="49"/>
      <c r="DO165" s="49"/>
      <c r="DP165" s="49"/>
      <c r="DQ165" s="49"/>
      <c r="DR165" s="49"/>
      <c r="DS165" s="49"/>
      <c r="DT165" s="49"/>
      <c r="DU165" s="49"/>
      <c r="DV165" s="49"/>
      <c r="DW165" s="49"/>
      <c r="DX165" s="49"/>
      <c r="DY165" s="49"/>
      <c r="DZ165" s="49"/>
      <c r="EA165" s="49"/>
      <c r="EB165" s="49"/>
      <c r="EC165" s="49"/>
      <c r="ED165" s="49"/>
      <c r="EE165" s="50"/>
      <c r="EF165" s="50"/>
      <c r="EG165" s="50"/>
      <c r="EH165" s="50"/>
      <c r="EI165" s="50"/>
      <c r="EJ165" s="50"/>
      <c r="EK165" s="50"/>
      <c r="EL165" s="50"/>
      <c r="EM165" s="50"/>
      <c r="EN165" s="50"/>
      <c r="EO165" s="50"/>
      <c r="EP165" s="50"/>
      <c r="EQ165" s="50"/>
      <c r="ER165" s="50"/>
      <c r="ES165" s="50"/>
      <c r="ET165" s="50"/>
      <c r="EU165" s="50"/>
      <c r="EV165" s="50"/>
      <c r="EW165" s="50"/>
      <c r="EX165" s="50"/>
      <c r="EY165" s="50"/>
      <c r="EZ165" s="50"/>
      <c r="FA165" s="50"/>
      <c r="FB165" s="50"/>
      <c r="FC165" s="50"/>
      <c r="FD165" s="50"/>
      <c r="FE165" s="50"/>
      <c r="FF165" s="50"/>
      <c r="FG165" s="50"/>
      <c r="FH165" s="50"/>
      <c r="FI165" s="50"/>
      <c r="FJ165" s="50"/>
      <c r="FK165" s="50"/>
      <c r="FL165" s="50"/>
      <c r="FM165" s="50"/>
      <c r="FN165" s="50"/>
    </row>
    <row r="166" spans="1:170" s="8" customFormat="1" ht="18" hidden="1" customHeight="1">
      <c r="A166" s="1976"/>
      <c r="B166" s="21"/>
      <c r="C166" s="472" t="s">
        <v>512</v>
      </c>
      <c r="D166" s="402"/>
      <c r="E166" s="403"/>
      <c r="F166" s="404" t="s">
        <v>168</v>
      </c>
      <c r="G166" s="404"/>
      <c r="H166" s="404"/>
      <c r="I166" s="396" t="s">
        <v>172</v>
      </c>
      <c r="J166" s="397" t="s">
        <v>171</v>
      </c>
      <c r="K166" s="397"/>
      <c r="L166" s="405"/>
      <c r="M166" s="407">
        <v>1.1499999999999999</v>
      </c>
      <c r="N166" s="401"/>
      <c r="O166" s="401"/>
      <c r="P166" s="14">
        <v>0</v>
      </c>
      <c r="Q166" s="392">
        <v>0</v>
      </c>
      <c r="R166" s="14">
        <v>0</v>
      </c>
      <c r="S166" s="243"/>
      <c r="T166" s="89"/>
      <c r="U166" s="89"/>
      <c r="V166" s="64"/>
      <c r="W166" s="158"/>
      <c r="X166" s="158"/>
      <c r="Y166" s="64"/>
      <c r="Z166" s="158"/>
      <c r="AA166" s="158"/>
      <c r="AB166" s="65"/>
      <c r="AC166" s="89"/>
      <c r="AD166" s="89"/>
      <c r="AE166" s="7"/>
      <c r="AF166" s="7"/>
      <c r="AG166" s="7"/>
      <c r="AH166" s="7"/>
      <c r="AI166" s="7"/>
      <c r="AJ166" s="7"/>
      <c r="AK166" s="7"/>
      <c r="AL166" s="7"/>
      <c r="AM166" s="7"/>
      <c r="AN166" s="7"/>
      <c r="AO166" s="7"/>
      <c r="AP166" s="83"/>
      <c r="AQ166" s="83"/>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49"/>
      <c r="DM166" s="49"/>
      <c r="DN166" s="49"/>
      <c r="DO166" s="49"/>
      <c r="DP166" s="49"/>
      <c r="DQ166" s="49"/>
      <c r="DR166" s="49"/>
      <c r="DS166" s="49"/>
      <c r="DT166" s="49"/>
      <c r="DU166" s="49"/>
      <c r="DV166" s="49"/>
      <c r="DW166" s="49"/>
      <c r="DX166" s="49"/>
      <c r="DY166" s="49"/>
      <c r="DZ166" s="49"/>
      <c r="EA166" s="49"/>
      <c r="EB166" s="49"/>
      <c r="EC166" s="49"/>
      <c r="ED166" s="49"/>
      <c r="EE166" s="50"/>
      <c r="EF166" s="50"/>
      <c r="EG166" s="50"/>
      <c r="EH166" s="50"/>
      <c r="EI166" s="50"/>
      <c r="EJ166" s="50"/>
      <c r="EK166" s="50"/>
      <c r="EL166" s="50"/>
      <c r="EM166" s="50"/>
      <c r="EN166" s="50"/>
      <c r="EO166" s="50"/>
      <c r="EP166" s="50"/>
      <c r="EQ166" s="50"/>
      <c r="ER166" s="50"/>
      <c r="ES166" s="50"/>
      <c r="ET166" s="50"/>
      <c r="EU166" s="50"/>
      <c r="EV166" s="50"/>
      <c r="EW166" s="50"/>
      <c r="EX166" s="50"/>
      <c r="EY166" s="50"/>
      <c r="EZ166" s="50"/>
      <c r="FA166" s="50"/>
      <c r="FB166" s="50"/>
      <c r="FC166" s="50"/>
      <c r="FD166" s="50"/>
      <c r="FE166" s="50"/>
      <c r="FF166" s="50"/>
      <c r="FG166" s="50"/>
      <c r="FH166" s="50"/>
      <c r="FI166" s="50"/>
      <c r="FJ166" s="50"/>
      <c r="FK166" s="50"/>
      <c r="FL166" s="50"/>
      <c r="FM166" s="50"/>
      <c r="FN166" s="50"/>
    </row>
    <row r="167" spans="1:170" s="8" customFormat="1" ht="18" hidden="1" customHeight="1">
      <c r="A167" s="1976"/>
      <c r="B167" s="21"/>
      <c r="C167" s="472" t="s">
        <v>513</v>
      </c>
      <c r="D167" s="402"/>
      <c r="E167" s="403"/>
      <c r="F167" s="404"/>
      <c r="G167" s="404"/>
      <c r="H167" s="404"/>
      <c r="I167" s="408" t="s">
        <v>166</v>
      </c>
      <c r="J167" s="397" t="s">
        <v>167</v>
      </c>
      <c r="K167" s="397"/>
      <c r="L167" s="405"/>
      <c r="M167" s="401">
        <v>1.1399999999999999</v>
      </c>
      <c r="N167" s="401"/>
      <c r="O167" s="401"/>
      <c r="P167" s="14">
        <v>0</v>
      </c>
      <c r="Q167" s="392">
        <v>0</v>
      </c>
      <c r="R167" s="14">
        <v>0</v>
      </c>
      <c r="S167" s="243" t="s">
        <v>151</v>
      </c>
      <c r="T167" s="89"/>
      <c r="U167" s="89"/>
      <c r="V167" s="64"/>
      <c r="W167" s="158"/>
      <c r="X167" s="158"/>
      <c r="Y167" s="64"/>
      <c r="Z167" s="158"/>
      <c r="AA167" s="158"/>
      <c r="AB167" s="65"/>
      <c r="AC167" s="89"/>
      <c r="AD167" s="89"/>
      <c r="AE167" s="7"/>
      <c r="AF167" s="7"/>
      <c r="AG167" s="7"/>
      <c r="AH167" s="7"/>
      <c r="AI167" s="7"/>
      <c r="AJ167" s="7"/>
      <c r="AK167" s="7"/>
      <c r="AL167" s="7"/>
      <c r="AM167" s="7"/>
      <c r="AN167" s="7"/>
      <c r="AO167" s="7"/>
      <c r="AP167" s="83"/>
      <c r="AQ167" s="83"/>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49"/>
      <c r="DM167" s="49"/>
      <c r="DN167" s="49"/>
      <c r="DO167" s="49"/>
      <c r="DP167" s="49"/>
      <c r="DQ167" s="49"/>
      <c r="DR167" s="49"/>
      <c r="DS167" s="49"/>
      <c r="DT167" s="49"/>
      <c r="DU167" s="49"/>
      <c r="DV167" s="49"/>
      <c r="DW167" s="49"/>
      <c r="DX167" s="49"/>
      <c r="DY167" s="49"/>
      <c r="DZ167" s="49"/>
      <c r="EA167" s="49"/>
      <c r="EB167" s="49"/>
      <c r="EC167" s="49"/>
      <c r="ED167" s="49"/>
      <c r="EE167" s="50"/>
      <c r="EF167" s="50"/>
      <c r="EG167" s="50"/>
      <c r="EH167" s="50"/>
      <c r="EI167" s="50"/>
      <c r="EJ167" s="50"/>
      <c r="EK167" s="50"/>
      <c r="EL167" s="50"/>
      <c r="EM167" s="50"/>
      <c r="EN167" s="50"/>
      <c r="EO167" s="50"/>
      <c r="EP167" s="50"/>
      <c r="EQ167" s="50"/>
      <c r="ER167" s="50"/>
      <c r="ES167" s="50"/>
      <c r="ET167" s="50"/>
      <c r="EU167" s="50"/>
      <c r="EV167" s="50"/>
      <c r="EW167" s="50"/>
      <c r="EX167" s="50"/>
      <c r="EY167" s="50"/>
      <c r="EZ167" s="50"/>
      <c r="FA167" s="50"/>
      <c r="FB167" s="50"/>
      <c r="FC167" s="50"/>
      <c r="FD167" s="50"/>
      <c r="FE167" s="50"/>
      <c r="FF167" s="50"/>
      <c r="FG167" s="50"/>
      <c r="FH167" s="50"/>
      <c r="FI167" s="50"/>
      <c r="FJ167" s="50"/>
      <c r="FK167" s="50"/>
      <c r="FL167" s="50"/>
      <c r="FM167" s="50"/>
      <c r="FN167" s="50"/>
    </row>
    <row r="168" spans="1:170" s="8" customFormat="1" ht="18" hidden="1" customHeight="1">
      <c r="A168" s="1976"/>
      <c r="B168" s="21"/>
      <c r="C168" s="472" t="s">
        <v>514</v>
      </c>
      <c r="D168" s="402"/>
      <c r="E168" s="403"/>
      <c r="F168" s="404"/>
      <c r="G168" s="404"/>
      <c r="H168" s="404"/>
      <c r="I168" s="396" t="s">
        <v>452</v>
      </c>
      <c r="J168" s="397" t="s">
        <v>177</v>
      </c>
      <c r="K168" s="397"/>
      <c r="L168" s="405"/>
      <c r="M168" s="401" t="e">
        <f>IF(M133*($M165-$M166)*(1-$M164)-IF(M136="RAL-C3",$M68*$M53/$M52,$M68)-M163&gt;0,M133*($M165-$M166)*(1-$M164)-IF(M136="RAL-C3",$M68*$M53/$M52,$M68)-M163,0)</f>
        <v>#N/A</v>
      </c>
      <c r="N168" s="401" t="e">
        <f>IF(N133*($M165-$M166)*(1-$M164)-IF(N136="RAL-C3",$M68*$M53/$M52,$M68)-N163&gt;0,N133*($M165-$M166)*(1-$M164)-IF(N136="RAL-C3",$M68*$M53/$M52,$M68)-N163,0)</f>
        <v>#N/A</v>
      </c>
      <c r="O168" s="401" t="e">
        <f>IF(O133*($M165-$M166)*(1-$M164)-IF(O136="RAL-C3",$M68*$M53/$M52,$M68)-O163&gt;0,O133*($M165-$M166)*(1-$M164)-IF(O136="RAL-C3",$M68*$M53/$M52,$M68)-O163,0)</f>
        <v>#N/A</v>
      </c>
      <c r="P168" s="14">
        <v>0</v>
      </c>
      <c r="Q168" s="392">
        <v>0</v>
      </c>
      <c r="R168" s="14">
        <v>0</v>
      </c>
      <c r="S168" s="243"/>
      <c r="T168" s="89"/>
      <c r="U168" s="89"/>
      <c r="V168" s="64"/>
      <c r="W168" s="158"/>
      <c r="X168" s="158"/>
      <c r="Y168" s="64"/>
      <c r="Z168" s="158"/>
      <c r="AA168" s="158"/>
      <c r="AB168" s="65"/>
      <c r="AC168" s="89"/>
      <c r="AD168" s="89"/>
      <c r="AE168" s="7"/>
      <c r="AF168" s="7"/>
      <c r="AG168" s="7"/>
      <c r="AH168" s="7"/>
      <c r="AI168" s="7"/>
      <c r="AJ168" s="7"/>
      <c r="AK168" s="7"/>
      <c r="AL168" s="7"/>
      <c r="AM168" s="7"/>
      <c r="AN168" s="7"/>
      <c r="AO168" s="7"/>
      <c r="AP168" s="83"/>
      <c r="AQ168" s="83"/>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49"/>
      <c r="DM168" s="49"/>
      <c r="DN168" s="49"/>
      <c r="DO168" s="49"/>
      <c r="DP168" s="49"/>
      <c r="DQ168" s="49"/>
      <c r="DR168" s="49"/>
      <c r="DS168" s="49"/>
      <c r="DT168" s="49"/>
      <c r="DU168" s="49"/>
      <c r="DV168" s="49"/>
      <c r="DW168" s="49"/>
      <c r="DX168" s="49"/>
      <c r="DY168" s="49"/>
      <c r="DZ168" s="49"/>
      <c r="EA168" s="49"/>
      <c r="EB168" s="49"/>
      <c r="EC168" s="49"/>
      <c r="ED168" s="49"/>
      <c r="EE168" s="50"/>
      <c r="EF168" s="50"/>
      <c r="EG168" s="50"/>
      <c r="EH168" s="50"/>
      <c r="EI168" s="50"/>
      <c r="EJ168" s="50"/>
      <c r="EK168" s="50"/>
      <c r="EL168" s="50"/>
      <c r="EM168" s="50"/>
      <c r="EN168" s="50"/>
      <c r="EO168" s="50"/>
      <c r="EP168" s="50"/>
      <c r="EQ168" s="50"/>
      <c r="ER168" s="50"/>
      <c r="ES168" s="50"/>
      <c r="ET168" s="50"/>
      <c r="EU168" s="50"/>
      <c r="EV168" s="50"/>
      <c r="EW168" s="50"/>
      <c r="EX168" s="50"/>
      <c r="EY168" s="50"/>
      <c r="EZ168" s="50"/>
      <c r="FA168" s="50"/>
      <c r="FB168" s="50"/>
      <c r="FC168" s="50"/>
      <c r="FD168" s="50"/>
      <c r="FE168" s="50"/>
      <c r="FF168" s="50"/>
      <c r="FG168" s="50"/>
      <c r="FH168" s="50"/>
      <c r="FI168" s="50"/>
      <c r="FJ168" s="50"/>
      <c r="FK168" s="50"/>
      <c r="FL168" s="50"/>
      <c r="FM168" s="50"/>
      <c r="FN168" s="50"/>
    </row>
    <row r="169" spans="1:170" s="8" customFormat="1" ht="18" hidden="1" customHeight="1">
      <c r="A169" s="1976"/>
      <c r="B169" s="21"/>
      <c r="C169" s="395" t="s">
        <v>515</v>
      </c>
      <c r="D169" s="395"/>
      <c r="E169" s="409"/>
      <c r="F169" s="395"/>
      <c r="G169" s="395"/>
      <c r="H169" s="395"/>
      <c r="I169" s="410" t="s">
        <v>453</v>
      </c>
      <c r="J169" s="397" t="s">
        <v>54</v>
      </c>
      <c r="K169" s="397"/>
      <c r="L169" s="401"/>
      <c r="M169" s="398" t="e">
        <f>M168*0.71</f>
        <v>#N/A</v>
      </c>
      <c r="N169" s="398" t="e">
        <f>N168*0.71</f>
        <v>#N/A</v>
      </c>
      <c r="O169" s="398" t="e">
        <f>O168*0.71</f>
        <v>#N/A</v>
      </c>
      <c r="P169" s="14">
        <v>0</v>
      </c>
      <c r="Q169" s="392">
        <v>0</v>
      </c>
      <c r="R169" s="14">
        <v>0</v>
      </c>
      <c r="S169" s="243"/>
      <c r="T169" s="89"/>
      <c r="U169" s="89"/>
      <c r="V169" s="64"/>
      <c r="W169" s="158"/>
      <c r="X169" s="158"/>
      <c r="Y169" s="64"/>
      <c r="Z169" s="158"/>
      <c r="AA169" s="158"/>
      <c r="AB169" s="65"/>
      <c r="AC169" s="89"/>
      <c r="AD169" s="89"/>
      <c r="AE169" s="7"/>
      <c r="AF169" s="7"/>
      <c r="AG169" s="7"/>
      <c r="AH169" s="7"/>
      <c r="AI169" s="7"/>
      <c r="AJ169" s="7"/>
      <c r="AK169" s="7"/>
      <c r="AL169" s="7"/>
      <c r="AM169" s="7"/>
      <c r="AN169" s="7"/>
      <c r="AO169" s="7"/>
      <c r="AP169" s="83"/>
      <c r="AQ169" s="83"/>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50"/>
      <c r="EF169" s="50"/>
      <c r="EG169" s="50"/>
      <c r="EH169" s="50"/>
      <c r="EI169" s="50"/>
      <c r="EJ169" s="50"/>
      <c r="EK169" s="50"/>
      <c r="EL169" s="50"/>
      <c r="EM169" s="50"/>
      <c r="EN169" s="50"/>
      <c r="EO169" s="50"/>
      <c r="EP169" s="50"/>
      <c r="EQ169" s="50"/>
      <c r="ER169" s="50"/>
      <c r="ES169" s="50"/>
      <c r="ET169" s="50"/>
      <c r="EU169" s="50"/>
      <c r="EV169" s="50"/>
      <c r="EW169" s="50"/>
      <c r="EX169" s="50"/>
      <c r="EY169" s="50"/>
      <c r="EZ169" s="50"/>
      <c r="FA169" s="50"/>
      <c r="FB169" s="50"/>
      <c r="FC169" s="50"/>
      <c r="FD169" s="50"/>
      <c r="FE169" s="50"/>
      <c r="FF169" s="50"/>
      <c r="FG169" s="50"/>
      <c r="FH169" s="50"/>
      <c r="FI169" s="50"/>
      <c r="FJ169" s="50"/>
      <c r="FK169" s="50"/>
      <c r="FL169" s="50"/>
      <c r="FM169" s="50"/>
      <c r="FN169" s="50"/>
    </row>
    <row r="170" spans="1:170" s="8" customFormat="1" ht="18" hidden="1" customHeight="1">
      <c r="A170" s="1976"/>
      <c r="B170" s="21"/>
      <c r="C170" s="395" t="s">
        <v>498</v>
      </c>
      <c r="D170" s="395"/>
      <c r="E170" s="395"/>
      <c r="F170" s="395"/>
      <c r="G170" s="395"/>
      <c r="H170" s="395"/>
      <c r="I170" s="410" t="s">
        <v>454</v>
      </c>
      <c r="J170" s="397" t="s">
        <v>15</v>
      </c>
      <c r="K170" s="397"/>
      <c r="L170" s="401"/>
      <c r="M170" s="411" t="e">
        <f>IF(M169=0,0,ROUND(M171/M169*1000,-1))</f>
        <v>#N/A</v>
      </c>
      <c r="N170" s="411" t="e">
        <f>IF(N169=0,0,ROUND(N171/N169*1000,-1))</f>
        <v>#N/A</v>
      </c>
      <c r="O170" s="411" t="e">
        <f>IF(O169=0,0,ROUND(O171/O169*1000,-1))</f>
        <v>#N/A</v>
      </c>
      <c r="P170" s="14">
        <v>0</v>
      </c>
      <c r="Q170" s="392">
        <v>0</v>
      </c>
      <c r="R170" s="14">
        <v>0</v>
      </c>
      <c r="S170" s="243"/>
      <c r="T170" s="89"/>
      <c r="U170" s="89"/>
      <c r="V170" s="64"/>
      <c r="W170" s="158"/>
      <c r="X170" s="158"/>
      <c r="Y170" s="64"/>
      <c r="Z170" s="158"/>
      <c r="AA170" s="158"/>
      <c r="AB170" s="65"/>
      <c r="AC170" s="89"/>
      <c r="AD170" s="89"/>
      <c r="AE170" s="7"/>
      <c r="AF170" s="7"/>
      <c r="AG170" s="7"/>
      <c r="AH170" s="7"/>
      <c r="AI170" s="7"/>
      <c r="AJ170" s="7"/>
      <c r="AK170" s="7"/>
      <c r="AL170" s="7"/>
      <c r="AM170" s="7"/>
      <c r="AN170" s="7"/>
      <c r="AO170" s="7"/>
      <c r="AP170" s="83"/>
      <c r="AQ170" s="83"/>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50"/>
      <c r="EF170" s="50"/>
      <c r="EG170" s="50"/>
      <c r="EH170" s="50"/>
      <c r="EI170" s="50"/>
      <c r="EJ170" s="50"/>
      <c r="EK170" s="50"/>
      <c r="EL170" s="50"/>
      <c r="EM170" s="50"/>
      <c r="EN170" s="50"/>
      <c r="EO170" s="50"/>
      <c r="EP170" s="50"/>
      <c r="EQ170" s="50"/>
      <c r="ER170" s="50"/>
      <c r="ES170" s="50"/>
      <c r="ET170" s="50"/>
      <c r="EU170" s="50"/>
      <c r="EV170" s="50"/>
      <c r="EW170" s="50"/>
      <c r="EX170" s="50"/>
      <c r="EY170" s="50"/>
      <c r="EZ170" s="50"/>
      <c r="FA170" s="50"/>
      <c r="FB170" s="50"/>
      <c r="FC170" s="50"/>
      <c r="FD170" s="50"/>
      <c r="FE170" s="50"/>
      <c r="FF170" s="50"/>
      <c r="FG170" s="50"/>
      <c r="FH170" s="50"/>
      <c r="FI170" s="50"/>
      <c r="FJ170" s="50"/>
      <c r="FK170" s="50"/>
      <c r="FL170" s="50"/>
      <c r="FM170" s="50"/>
      <c r="FN170" s="50"/>
    </row>
    <row r="171" spans="1:170" s="8" customFormat="1" ht="18" hidden="1" customHeight="1">
      <c r="A171" s="1977"/>
      <c r="B171" s="21"/>
      <c r="C171" s="395" t="s">
        <v>516</v>
      </c>
      <c r="D171" s="395"/>
      <c r="E171" s="395"/>
      <c r="F171" s="395"/>
      <c r="G171" s="395"/>
      <c r="H171" s="395"/>
      <c r="I171" s="412" t="s">
        <v>455</v>
      </c>
      <c r="J171" s="413" t="s">
        <v>62</v>
      </c>
      <c r="K171" s="413"/>
      <c r="L171" s="414"/>
      <c r="M171" s="415" t="e">
        <f>#REF!</f>
        <v>#REF!</v>
      </c>
      <c r="N171" s="415" t="e">
        <f>#REF!</f>
        <v>#REF!</v>
      </c>
      <c r="O171" s="415" t="e">
        <f>#REF!</f>
        <v>#REF!</v>
      </c>
      <c r="P171" s="14">
        <v>0</v>
      </c>
      <c r="Q171" s="392">
        <v>0</v>
      </c>
      <c r="R171" s="14">
        <v>0</v>
      </c>
      <c r="S171" s="243"/>
      <c r="T171" s="89"/>
      <c r="U171" s="89"/>
      <c r="V171" s="64"/>
      <c r="W171" s="158"/>
      <c r="X171" s="158"/>
      <c r="Y171" s="64"/>
      <c r="Z171" s="158"/>
      <c r="AA171" s="158"/>
      <c r="AB171" s="65"/>
      <c r="AC171" s="89"/>
      <c r="AD171" s="89"/>
      <c r="AE171" s="7"/>
      <c r="AF171" s="7"/>
      <c r="AG171" s="7"/>
      <c r="AH171" s="7"/>
      <c r="AI171" s="7"/>
      <c r="AJ171" s="7"/>
      <c r="AK171" s="7"/>
      <c r="AL171" s="7"/>
      <c r="AM171" s="7"/>
      <c r="AN171" s="7"/>
      <c r="AO171" s="7"/>
      <c r="AP171" s="83"/>
      <c r="AQ171" s="83"/>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50"/>
      <c r="EF171" s="50"/>
      <c r="EG171" s="50"/>
      <c r="EH171" s="50"/>
      <c r="EI171" s="50"/>
      <c r="EJ171" s="50"/>
      <c r="EK171" s="50"/>
      <c r="EL171" s="50"/>
      <c r="EM171" s="50"/>
      <c r="EN171" s="50"/>
      <c r="EO171" s="50"/>
      <c r="EP171" s="50"/>
      <c r="EQ171" s="50"/>
      <c r="ER171" s="50"/>
      <c r="ES171" s="50"/>
      <c r="ET171" s="50"/>
      <c r="EU171" s="50"/>
      <c r="EV171" s="50"/>
      <c r="EW171" s="50"/>
      <c r="EX171" s="50"/>
      <c r="EY171" s="50"/>
      <c r="EZ171" s="50"/>
      <c r="FA171" s="50"/>
      <c r="FB171" s="50"/>
      <c r="FC171" s="50"/>
      <c r="FD171" s="50"/>
      <c r="FE171" s="50"/>
      <c r="FF171" s="50"/>
      <c r="FG171" s="50"/>
      <c r="FH171" s="50"/>
      <c r="FI171" s="50"/>
      <c r="FJ171" s="50"/>
      <c r="FK171" s="50"/>
      <c r="FL171" s="50"/>
      <c r="FM171" s="50"/>
      <c r="FN171" s="50"/>
    </row>
    <row r="172" spans="1:170" s="5" customFormat="1" ht="2.25" hidden="1" customHeight="1">
      <c r="A172" s="113"/>
      <c r="B172" s="113"/>
      <c r="C172" s="114"/>
      <c r="D172" s="114"/>
      <c r="E172" s="114"/>
      <c r="F172" s="114"/>
      <c r="G172" s="114"/>
      <c r="H172" s="114"/>
      <c r="I172" s="154"/>
      <c r="J172" s="121"/>
      <c r="K172" s="121"/>
      <c r="L172" s="122"/>
      <c r="M172" s="122"/>
      <c r="N172" s="136"/>
      <c r="O172" s="136"/>
      <c r="P172" s="14">
        <v>0</v>
      </c>
      <c r="Q172" s="392">
        <v>0</v>
      </c>
      <c r="R172" s="14">
        <v>0</v>
      </c>
      <c r="S172" s="618"/>
      <c r="T172" s="147"/>
      <c r="U172" s="147"/>
      <c r="V172" s="36"/>
      <c r="W172" s="138"/>
      <c r="X172" s="138"/>
      <c r="Y172" s="27"/>
      <c r="Z172" s="138"/>
      <c r="AA172" s="138"/>
      <c r="AB172" s="36"/>
      <c r="AC172" s="147"/>
      <c r="AD172" s="147"/>
      <c r="AE172" s="36"/>
      <c r="AF172" s="36"/>
      <c r="AG172" s="36"/>
      <c r="AH172" s="36"/>
      <c r="AI172" s="36"/>
      <c r="AJ172" s="36"/>
      <c r="AK172" s="36"/>
      <c r="AL172" s="36"/>
      <c r="AM172" s="36"/>
      <c r="AN172" s="84"/>
      <c r="AO172" s="84"/>
      <c r="AP172" s="85"/>
      <c r="AQ172" s="85"/>
      <c r="AR172" s="54"/>
      <c r="AS172" s="54"/>
      <c r="AT172" s="54"/>
      <c r="AU172" s="54"/>
      <c r="AV172" s="54"/>
      <c r="AW172" s="54"/>
      <c r="AX172" s="54"/>
      <c r="AY172" s="54"/>
      <c r="AZ172" s="54"/>
      <c r="BA172" s="54"/>
      <c r="BB172" s="54"/>
      <c r="BC172" s="54"/>
      <c r="BD172" s="54"/>
      <c r="BE172" s="54"/>
      <c r="BF172" s="54"/>
      <c r="BG172" s="54"/>
      <c r="BH172" s="54"/>
      <c r="BI172" s="54"/>
      <c r="BJ172" s="54"/>
      <c r="BK172" s="54"/>
      <c r="BL172" s="54"/>
      <c r="BM172" s="54"/>
      <c r="BN172" s="54"/>
      <c r="BO172" s="54"/>
      <c r="BP172" s="54"/>
      <c r="BQ172" s="54"/>
      <c r="BR172" s="54"/>
      <c r="BS172" s="54"/>
      <c r="BT172" s="54"/>
      <c r="BU172" s="54"/>
      <c r="BV172" s="54"/>
      <c r="BW172" s="54"/>
      <c r="BX172" s="54"/>
      <c r="BY172" s="54"/>
      <c r="BZ172" s="54"/>
      <c r="CA172" s="54"/>
      <c r="CB172" s="54"/>
      <c r="CC172" s="54"/>
      <c r="CD172" s="54"/>
      <c r="CE172" s="54"/>
      <c r="CF172" s="54"/>
      <c r="CG172" s="54"/>
      <c r="CH172" s="54"/>
      <c r="CI172" s="54"/>
      <c r="CJ172" s="54"/>
      <c r="CK172" s="54"/>
      <c r="CL172" s="54"/>
      <c r="CM172" s="54"/>
      <c r="CN172" s="54"/>
      <c r="CO172" s="54"/>
      <c r="CP172" s="54"/>
      <c r="CQ172" s="54"/>
      <c r="CR172" s="54"/>
      <c r="CS172" s="54"/>
      <c r="CT172" s="54"/>
      <c r="CU172" s="54"/>
      <c r="CV172" s="55"/>
      <c r="CW172" s="55"/>
      <c r="CX172" s="55"/>
      <c r="CY172" s="55"/>
      <c r="CZ172" s="55"/>
      <c r="DA172" s="55"/>
      <c r="DB172" s="55"/>
      <c r="DC172" s="55"/>
      <c r="DD172" s="55"/>
      <c r="DE172" s="55"/>
      <c r="DF172" s="55"/>
      <c r="DG172" s="55"/>
      <c r="DH172" s="55"/>
      <c r="DI172" s="55"/>
      <c r="DJ172" s="55"/>
      <c r="DK172" s="55"/>
      <c r="DL172" s="55"/>
      <c r="DM172" s="55"/>
      <c r="DN172" s="55"/>
      <c r="DO172" s="55"/>
      <c r="DP172" s="55"/>
      <c r="DQ172" s="55"/>
      <c r="DR172" s="55"/>
      <c r="DS172" s="55"/>
      <c r="DT172" s="55"/>
      <c r="DU172" s="55"/>
      <c r="DV172" s="55"/>
      <c r="DW172" s="55"/>
      <c r="DX172" s="55"/>
      <c r="DY172" s="55"/>
      <c r="DZ172" s="55"/>
      <c r="EA172" s="55"/>
      <c r="EB172" s="55"/>
      <c r="EC172" s="55"/>
      <c r="ED172" s="55"/>
      <c r="EE172" s="53"/>
      <c r="EF172" s="53"/>
      <c r="EG172" s="53"/>
      <c r="EH172" s="53"/>
      <c r="EI172" s="53"/>
      <c r="EJ172" s="53"/>
      <c r="EK172" s="53"/>
      <c r="EL172" s="53"/>
      <c r="EM172" s="53"/>
      <c r="EN172" s="53"/>
      <c r="EO172" s="53"/>
      <c r="EP172" s="53"/>
      <c r="EQ172" s="53"/>
      <c r="ER172" s="53"/>
      <c r="ES172" s="53"/>
      <c r="ET172" s="53"/>
      <c r="EU172" s="53"/>
      <c r="EV172" s="53"/>
      <c r="EW172" s="53"/>
      <c r="EX172" s="53"/>
      <c r="EY172" s="53"/>
      <c r="EZ172" s="53"/>
      <c r="FA172" s="53"/>
      <c r="FB172" s="53"/>
      <c r="FC172" s="53"/>
      <c r="FD172" s="53"/>
      <c r="FE172" s="53"/>
      <c r="FF172" s="53"/>
      <c r="FG172" s="53"/>
      <c r="FH172" s="53"/>
      <c r="FI172" s="53"/>
      <c r="FJ172" s="53"/>
      <c r="FK172" s="53"/>
      <c r="FL172" s="53"/>
      <c r="FM172" s="53"/>
      <c r="FN172" s="53"/>
    </row>
    <row r="173" spans="1:170" s="8" customFormat="1" ht="18" customHeight="1">
      <c r="A173" s="1976" t="str">
        <f>Begriffe!F222</f>
        <v>Raumheizung</v>
      </c>
      <c r="B173" s="204"/>
      <c r="C173" s="500" t="str">
        <f>Begriffe!F110</f>
        <v>Transmissions-Wärmetransferkoeffizient</v>
      </c>
      <c r="D173" s="379"/>
      <c r="E173" s="379"/>
      <c r="F173" s="267"/>
      <c r="G173" s="14"/>
      <c r="H173" s="14"/>
      <c r="I173" s="98" t="s">
        <v>173</v>
      </c>
      <c r="J173" s="499" t="s">
        <v>49</v>
      </c>
      <c r="K173" s="499"/>
      <c r="L173" s="201"/>
      <c r="M173" s="1751">
        <f>(($M$14-$M95*($M$13)/M20)*M18+$M95*($M$13)/M20*M19)*(1+M21)</f>
        <v>9.2464705882352956</v>
      </c>
      <c r="N173" s="1367">
        <f>(($M$14-$M95*($M$13)/N20)*N18+$M95*($M$13)/N20*N19)*(1+N21)</f>
        <v>6.5352941176470596</v>
      </c>
      <c r="O173" s="394">
        <f>(($M$14-$M95*($M$13)/O20)*O18+$M95*($M$13)/O20*O19)*(1+O21)</f>
        <v>26.917647058823533</v>
      </c>
      <c r="P173" s="14">
        <v>0</v>
      </c>
      <c r="Q173" s="392">
        <v>1</v>
      </c>
      <c r="R173" s="14">
        <v>0</v>
      </c>
      <c r="S173" s="14"/>
      <c r="T173" s="89"/>
      <c r="V173" s="64"/>
      <c r="W173" s="158"/>
      <c r="X173" s="158"/>
      <c r="Y173" s="64"/>
      <c r="Z173" s="158"/>
      <c r="AA173" s="158"/>
      <c r="AB173" s="65"/>
      <c r="AC173" s="89"/>
      <c r="AD173" s="89"/>
      <c r="AE173" s="7"/>
      <c r="AF173" s="7"/>
      <c r="AG173" s="7"/>
      <c r="AH173" s="7"/>
      <c r="AI173" s="7"/>
      <c r="AJ173" s="7"/>
      <c r="AK173" s="7"/>
      <c r="AL173" s="7"/>
      <c r="AM173" s="7"/>
      <c r="AN173" s="7"/>
      <c r="AO173" s="7"/>
      <c r="AP173" s="83"/>
      <c r="AQ173" s="83"/>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50"/>
      <c r="EF173" s="50"/>
      <c r="EG173" s="50"/>
      <c r="EH173" s="50"/>
      <c r="EI173" s="50"/>
      <c r="EJ173" s="50"/>
      <c r="EK173" s="50"/>
      <c r="EL173" s="50"/>
      <c r="EM173" s="50"/>
      <c r="EN173" s="50"/>
      <c r="EO173" s="50"/>
      <c r="EP173" s="50"/>
      <c r="EQ173" s="50"/>
      <c r="ER173" s="50"/>
      <c r="ES173" s="50"/>
      <c r="ET173" s="50"/>
      <c r="EU173" s="50"/>
      <c r="EV173" s="50"/>
      <c r="EW173" s="50"/>
      <c r="EX173" s="50"/>
      <c r="EY173" s="50"/>
      <c r="EZ173" s="50"/>
      <c r="FA173" s="50"/>
      <c r="FB173" s="50"/>
      <c r="FC173" s="50"/>
      <c r="FD173" s="50"/>
      <c r="FE173" s="50"/>
      <c r="FF173" s="50"/>
      <c r="FG173" s="50"/>
      <c r="FH173" s="50"/>
      <c r="FI173" s="50"/>
      <c r="FJ173" s="50"/>
      <c r="FK173" s="50"/>
      <c r="FL173" s="50"/>
      <c r="FM173" s="50"/>
      <c r="FN173" s="50"/>
    </row>
    <row r="174" spans="1:170" s="8" customFormat="1" ht="18" customHeight="1">
      <c r="A174" s="1976"/>
      <c r="B174" s="204"/>
      <c r="C174" s="501" t="str">
        <f>Begriffe!F76</f>
        <v>Lüftungs-Wärmetransferkoeffizient</v>
      </c>
      <c r="D174" s="379"/>
      <c r="E174" s="379"/>
      <c r="F174" s="267"/>
      <c r="G174" s="14"/>
      <c r="H174" s="14"/>
      <c r="I174" s="98" t="s">
        <v>174</v>
      </c>
      <c r="J174" s="499" t="s">
        <v>49</v>
      </c>
      <c r="K174" s="499"/>
      <c r="L174" s="201"/>
      <c r="M174" s="1772">
        <f>(M180*0.32*$M$13)</f>
        <v>1.6</v>
      </c>
      <c r="N174" s="1386">
        <f>(N180*0.32*$M$13)</f>
        <v>1.6</v>
      </c>
      <c r="O174" s="697">
        <f>(O180*0.32*$M$13)</f>
        <v>8</v>
      </c>
      <c r="P174" s="14">
        <v>0</v>
      </c>
      <c r="Q174" s="392">
        <v>1</v>
      </c>
      <c r="R174" s="14">
        <v>0</v>
      </c>
      <c r="S174" s="243"/>
      <c r="T174" s="89"/>
      <c r="U174" s="89"/>
      <c r="V174" s="64"/>
      <c r="W174" s="158"/>
      <c r="X174" s="158"/>
      <c r="Y174" s="64"/>
      <c r="Z174" s="158"/>
      <c r="AA174" s="158"/>
      <c r="AB174" s="65"/>
      <c r="AC174" s="89"/>
      <c r="AD174" s="89"/>
      <c r="AE174" s="7"/>
      <c r="AF174" s="7"/>
      <c r="AG174" s="7"/>
      <c r="AH174" s="7"/>
      <c r="AI174" s="7"/>
      <c r="AJ174" s="7"/>
      <c r="AK174" s="7"/>
      <c r="AL174" s="7"/>
      <c r="AM174" s="7"/>
      <c r="AN174" s="7"/>
      <c r="AO174" s="7"/>
      <c r="AP174" s="83"/>
      <c r="AQ174" s="83"/>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c r="CC174" s="50"/>
      <c r="CD174" s="50"/>
      <c r="CE174" s="50"/>
      <c r="CF174" s="50"/>
      <c r="CG174" s="50"/>
      <c r="CH174" s="50"/>
      <c r="CI174" s="50"/>
      <c r="CJ174" s="50"/>
      <c r="CK174" s="50"/>
      <c r="CL174" s="50"/>
      <c r="CM174" s="50"/>
      <c r="CN174" s="50"/>
      <c r="CO174" s="50"/>
      <c r="CP174" s="50"/>
      <c r="CQ174" s="50"/>
      <c r="CR174" s="50"/>
      <c r="CS174" s="50"/>
      <c r="CT174" s="50"/>
      <c r="CU174" s="50"/>
      <c r="CV174" s="50"/>
      <c r="CW174" s="50"/>
      <c r="CX174" s="50"/>
      <c r="CY174" s="50"/>
      <c r="CZ174" s="50"/>
      <c r="DA174" s="50"/>
      <c r="DB174" s="50"/>
      <c r="DC174" s="50"/>
      <c r="DD174" s="50"/>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50"/>
      <c r="EF174" s="50"/>
      <c r="EG174" s="50"/>
      <c r="EH174" s="50"/>
      <c r="EI174" s="50"/>
      <c r="EJ174" s="50"/>
      <c r="EK174" s="50"/>
      <c r="EL174" s="50"/>
      <c r="EM174" s="50"/>
      <c r="EN174" s="50"/>
      <c r="EO174" s="50"/>
      <c r="EP174" s="50"/>
      <c r="EQ174" s="50"/>
      <c r="ER174" s="50"/>
      <c r="ES174" s="50"/>
      <c r="ET174" s="50"/>
      <c r="EU174" s="50"/>
      <c r="EV174" s="50"/>
      <c r="EW174" s="50"/>
      <c r="EX174" s="50"/>
      <c r="EY174" s="50"/>
      <c r="EZ174" s="50"/>
      <c r="FA174" s="50"/>
      <c r="FB174" s="50"/>
      <c r="FC174" s="50"/>
      <c r="FD174" s="50"/>
      <c r="FE174" s="50"/>
      <c r="FF174" s="50"/>
      <c r="FG174" s="50"/>
      <c r="FH174" s="50"/>
      <c r="FI174" s="50"/>
      <c r="FJ174" s="50"/>
      <c r="FK174" s="50"/>
      <c r="FL174" s="50"/>
      <c r="FM174" s="50"/>
      <c r="FN174" s="50"/>
    </row>
    <row r="175" spans="1:170" s="8" customFormat="1" ht="18" customHeight="1">
      <c r="A175" s="1976"/>
      <c r="B175" s="204"/>
      <c r="C175" s="501" t="str">
        <f>Begriffe!F124</f>
        <v>Wärmetransferkoeffizient</v>
      </c>
      <c r="D175" s="379"/>
      <c r="E175" s="379"/>
      <c r="F175" s="14"/>
      <c r="G175" s="14"/>
      <c r="H175" s="14"/>
      <c r="I175" s="98" t="s">
        <v>595</v>
      </c>
      <c r="J175" s="499" t="s">
        <v>49</v>
      </c>
      <c r="K175" s="499"/>
      <c r="L175" s="201"/>
      <c r="M175" s="1772">
        <f>SUM(M173:M174)</f>
        <v>10.846470588235295</v>
      </c>
      <c r="N175" s="1386">
        <f>SUM(N173:N174)</f>
        <v>8.1352941176470601</v>
      </c>
      <c r="O175" s="697">
        <f>SUM(O173:O174)</f>
        <v>34.917647058823533</v>
      </c>
      <c r="P175" s="14">
        <v>1</v>
      </c>
      <c r="Q175" s="392">
        <v>1</v>
      </c>
      <c r="R175" s="14">
        <v>0</v>
      </c>
      <c r="S175" s="243"/>
      <c r="T175" s="89"/>
      <c r="U175" s="89"/>
      <c r="V175" s="64"/>
      <c r="W175" s="158"/>
      <c r="X175" s="158"/>
      <c r="Y175" s="64"/>
      <c r="Z175" s="158"/>
      <c r="AA175" s="158"/>
      <c r="AB175" s="65"/>
      <c r="AC175" s="89"/>
      <c r="AD175" s="89"/>
      <c r="AE175" s="7"/>
      <c r="AF175" s="7"/>
      <c r="AG175" s="7"/>
      <c r="AH175" s="7"/>
      <c r="AI175" s="7"/>
      <c r="AJ175" s="7"/>
      <c r="AK175" s="7"/>
      <c r="AL175" s="7"/>
      <c r="AM175" s="7"/>
      <c r="AN175" s="7"/>
      <c r="AO175" s="7"/>
      <c r="AP175" s="83"/>
      <c r="AQ175" s="83"/>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50"/>
      <c r="EF175" s="50"/>
      <c r="EG175" s="50"/>
      <c r="EH175" s="50"/>
      <c r="EI175" s="50"/>
      <c r="EJ175" s="50"/>
      <c r="EK175" s="50"/>
      <c r="EL175" s="50"/>
      <c r="EM175" s="50"/>
      <c r="EN175" s="50"/>
      <c r="EO175" s="50"/>
      <c r="EP175" s="50"/>
      <c r="EQ175" s="50"/>
      <c r="ER175" s="50"/>
      <c r="ES175" s="50"/>
      <c r="ET175" s="50"/>
      <c r="EU175" s="50"/>
      <c r="EV175" s="50"/>
      <c r="EW175" s="50"/>
      <c r="EX175" s="50"/>
      <c r="EY175" s="50"/>
      <c r="EZ175" s="50"/>
      <c r="FA175" s="50"/>
      <c r="FB175" s="50"/>
      <c r="FC175" s="50"/>
      <c r="FD175" s="50"/>
      <c r="FE175" s="50"/>
      <c r="FF175" s="50"/>
      <c r="FG175" s="50"/>
      <c r="FH175" s="50"/>
      <c r="FI175" s="50"/>
      <c r="FJ175" s="50"/>
      <c r="FK175" s="50"/>
      <c r="FL175" s="50"/>
      <c r="FM175" s="50"/>
      <c r="FN175" s="50"/>
    </row>
    <row r="176" spans="1:170" s="8" customFormat="1" ht="18" customHeight="1">
      <c r="A176" s="1976"/>
      <c r="B176" s="204"/>
      <c r="C176" s="501" t="str">
        <f>Begriffe!F127</f>
        <v>Zeitkonstante</v>
      </c>
      <c r="D176" s="379"/>
      <c r="E176" s="379"/>
      <c r="F176" s="14"/>
      <c r="G176" s="14"/>
      <c r="H176" s="14"/>
      <c r="I176" s="675" t="s">
        <v>175</v>
      </c>
      <c r="J176" s="499" t="s">
        <v>15</v>
      </c>
      <c r="K176" s="499"/>
      <c r="L176" s="201"/>
      <c r="M176" s="1773">
        <f>IF(M175&lt;=0,0,$M28*$M13/M175)</f>
        <v>221.27013395520362</v>
      </c>
      <c r="N176" s="1387">
        <f>IF(N175&lt;=0,0,$M28*$M13/N175)</f>
        <v>295.01084598698475</v>
      </c>
      <c r="O176" s="698">
        <f>IF(O175&lt;=0,0,$M28*$M13/O175)</f>
        <v>68.733153638814002</v>
      </c>
      <c r="P176" s="14">
        <v>1</v>
      </c>
      <c r="Q176" s="392">
        <v>1</v>
      </c>
      <c r="R176" s="14">
        <v>0</v>
      </c>
      <c r="S176" s="243"/>
      <c r="T176" s="89"/>
      <c r="U176" s="89"/>
      <c r="V176" s="64"/>
      <c r="W176" s="158"/>
      <c r="X176" s="158"/>
      <c r="Y176" s="64"/>
      <c r="Z176" s="158"/>
      <c r="AA176" s="158"/>
      <c r="AB176" s="65"/>
      <c r="AC176" s="89"/>
      <c r="AD176" s="89"/>
      <c r="AE176" s="7"/>
      <c r="AF176" s="7"/>
      <c r="AG176" s="7"/>
      <c r="AH176" s="7"/>
      <c r="AI176" s="7"/>
      <c r="AJ176" s="7"/>
      <c r="AK176" s="7"/>
      <c r="AL176" s="7"/>
      <c r="AM176" s="7"/>
      <c r="AN176" s="7"/>
      <c r="AO176" s="7"/>
      <c r="AP176" s="83"/>
      <c r="AQ176" s="83"/>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c r="CC176" s="50"/>
      <c r="CD176" s="50"/>
      <c r="CE176" s="50"/>
      <c r="CF176" s="50"/>
      <c r="CG176" s="50"/>
      <c r="CH176" s="50"/>
      <c r="CI176" s="50"/>
      <c r="CJ176" s="50"/>
      <c r="CK176" s="50"/>
      <c r="CL176" s="50"/>
      <c r="CM176" s="50"/>
      <c r="CN176" s="50"/>
      <c r="CO176" s="50"/>
      <c r="CP176" s="50"/>
      <c r="CQ176" s="50"/>
      <c r="CR176" s="50"/>
      <c r="CS176" s="50"/>
      <c r="CT176" s="50"/>
      <c r="CU176" s="50"/>
      <c r="CV176" s="50"/>
      <c r="CW176" s="50"/>
      <c r="CX176" s="50"/>
      <c r="CY176" s="50"/>
      <c r="CZ176" s="50"/>
      <c r="DA176" s="50"/>
      <c r="DB176" s="50"/>
      <c r="DC176" s="50"/>
      <c r="DD176" s="50"/>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50"/>
      <c r="EF176" s="50"/>
      <c r="EG176" s="50"/>
      <c r="EH176" s="50"/>
      <c r="EI176" s="50"/>
      <c r="EJ176" s="50"/>
      <c r="EK176" s="50"/>
      <c r="EL176" s="50"/>
      <c r="EM176" s="50"/>
      <c r="EN176" s="50"/>
      <c r="EO176" s="50"/>
      <c r="EP176" s="50"/>
      <c r="EQ176" s="50"/>
      <c r="ER176" s="50"/>
      <c r="ES176" s="50"/>
      <c r="ET176" s="50"/>
      <c r="EU176" s="50"/>
      <c r="EV176" s="50"/>
      <c r="EW176" s="50"/>
      <c r="EX176" s="50"/>
      <c r="EY176" s="50"/>
      <c r="EZ176" s="50"/>
      <c r="FA176" s="50"/>
      <c r="FB176" s="50"/>
      <c r="FC176" s="50"/>
      <c r="FD176" s="50"/>
      <c r="FE176" s="50"/>
      <c r="FF176" s="50"/>
      <c r="FG176" s="50"/>
      <c r="FH176" s="50"/>
      <c r="FI176" s="50"/>
      <c r="FJ176" s="50"/>
      <c r="FK176" s="50"/>
      <c r="FL176" s="50"/>
      <c r="FM176" s="50"/>
      <c r="FN176" s="50"/>
    </row>
    <row r="177" spans="1:170" s="8" customFormat="1" ht="18" customHeight="1">
      <c r="A177" s="1976"/>
      <c r="B177" s="204"/>
      <c r="C177" s="501" t="str">
        <f>Begriffe!F106</f>
        <v>Temperaturkorrektur</v>
      </c>
      <c r="D177" s="379"/>
      <c r="E177" s="379"/>
      <c r="F177" s="265"/>
      <c r="G177" s="14"/>
      <c r="H177" s="14"/>
      <c r="I177" s="675" t="s">
        <v>978</v>
      </c>
      <c r="J177" s="499" t="s">
        <v>3</v>
      </c>
      <c r="K177" s="499"/>
      <c r="L177" s="201"/>
      <c r="M177" s="1772">
        <f>MAX(MIN(0.015*M176-3.4,0),-3)</f>
        <v>-8.0947990671945913E-2</v>
      </c>
      <c r="N177" s="1386">
        <f>MAX(MIN(0.015*N176-3.4,0),-3)</f>
        <v>0</v>
      </c>
      <c r="O177" s="697">
        <f>MAX(MIN(0.015*O176-3.4,0),-3)</f>
        <v>-2.3690026954177901</v>
      </c>
      <c r="P177" s="14">
        <v>1</v>
      </c>
      <c r="Q177" s="392">
        <v>1</v>
      </c>
      <c r="R177" s="14">
        <v>0</v>
      </c>
      <c r="S177" s="243"/>
      <c r="T177" s="89"/>
      <c r="U177" s="89"/>
      <c r="V177" s="64"/>
      <c r="W177" s="158"/>
      <c r="X177" s="158"/>
      <c r="Y177" s="64"/>
      <c r="Z177" s="158"/>
      <c r="AA177" s="158"/>
      <c r="AB177" s="65"/>
      <c r="AC177" s="89"/>
      <c r="AD177" s="89"/>
      <c r="AE177" s="7"/>
      <c r="AF177" s="7"/>
      <c r="AG177" s="7"/>
      <c r="AH177" s="7"/>
      <c r="AI177" s="7"/>
      <c r="AJ177" s="7"/>
      <c r="AK177" s="7"/>
      <c r="AL177" s="7"/>
      <c r="AM177" s="7"/>
      <c r="AN177" s="7"/>
      <c r="AO177" s="7"/>
      <c r="AP177" s="83"/>
      <c r="AQ177" s="83"/>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c r="CC177" s="50"/>
      <c r="CD177" s="50"/>
      <c r="CE177" s="50"/>
      <c r="CF177" s="50"/>
      <c r="CG177" s="50"/>
      <c r="CH177" s="50"/>
      <c r="CI177" s="50"/>
      <c r="CJ177" s="50"/>
      <c r="CK177" s="50"/>
      <c r="CL177" s="50"/>
      <c r="CM177" s="50"/>
      <c r="CN177" s="50"/>
      <c r="CO177" s="50"/>
      <c r="CP177" s="50"/>
      <c r="CQ177" s="50"/>
      <c r="CR177" s="50"/>
      <c r="CS177" s="50"/>
      <c r="CT177" s="50"/>
      <c r="CU177" s="50"/>
      <c r="CV177" s="50"/>
      <c r="CW177" s="50"/>
      <c r="CX177" s="50"/>
      <c r="CY177" s="50"/>
      <c r="CZ177" s="50"/>
      <c r="DA177" s="50"/>
      <c r="DB177" s="50"/>
      <c r="DC177" s="50"/>
      <c r="DD177" s="50"/>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50"/>
      <c r="EF177" s="50"/>
      <c r="EG177" s="50"/>
      <c r="EH177" s="50"/>
      <c r="EI177" s="50"/>
      <c r="EJ177" s="50"/>
      <c r="EK177" s="50"/>
      <c r="EL177" s="50"/>
      <c r="EM177" s="50"/>
      <c r="EN177" s="50"/>
      <c r="EO177" s="50"/>
      <c r="EP177" s="50"/>
      <c r="EQ177" s="50"/>
      <c r="ER177" s="50"/>
      <c r="ES177" s="50"/>
      <c r="ET177" s="50"/>
      <c r="EU177" s="50"/>
      <c r="EV177" s="50"/>
      <c r="EW177" s="50"/>
      <c r="EX177" s="50"/>
      <c r="EY177" s="50"/>
      <c r="EZ177" s="50"/>
      <c r="FA177" s="50"/>
      <c r="FB177" s="50"/>
      <c r="FC177" s="50"/>
      <c r="FD177" s="50"/>
      <c r="FE177" s="50"/>
      <c r="FF177" s="50"/>
      <c r="FG177" s="50"/>
      <c r="FH177" s="50"/>
      <c r="FI177" s="50"/>
      <c r="FJ177" s="50"/>
      <c r="FK177" s="50"/>
      <c r="FL177" s="50"/>
      <c r="FM177" s="50"/>
      <c r="FN177" s="50"/>
    </row>
    <row r="178" spans="1:170" s="8" customFormat="1" ht="18" hidden="1" customHeight="1">
      <c r="A178" s="1976"/>
      <c r="B178" s="204"/>
      <c r="C178" s="1152" t="s">
        <v>1468</v>
      </c>
      <c r="D178" s="1153"/>
      <c r="E178" s="1153"/>
      <c r="F178" s="1154" t="s">
        <v>1466</v>
      </c>
      <c r="G178" s="471"/>
      <c r="H178" s="471"/>
      <c r="I178" s="1157" t="s">
        <v>1517</v>
      </c>
      <c r="J178" s="719" t="s">
        <v>149</v>
      </c>
      <c r="K178" s="1155"/>
      <c r="L178" s="405"/>
      <c r="M178" s="1158">
        <f>M173/$M13*($M32-$M5-M177)</f>
        <v>14.461918278393306</v>
      </c>
      <c r="N178" s="1158">
        <f>N173/$M13*($M32-$M5-N177)</f>
        <v>10.195058823529411</v>
      </c>
      <c r="O178" s="1158">
        <f>O173/$M13*($M32-$M5-O177)</f>
        <v>45.179928333597594</v>
      </c>
      <c r="P178" s="14"/>
      <c r="Q178" s="392"/>
      <c r="R178" s="14"/>
      <c r="S178" s="243"/>
      <c r="T178" s="89"/>
      <c r="U178" s="89"/>
      <c r="V178" s="64"/>
      <c r="W178" s="158"/>
      <c r="X178" s="158"/>
      <c r="Y178" s="64"/>
      <c r="Z178" s="158"/>
      <c r="AA178" s="158"/>
      <c r="AB178" s="65"/>
      <c r="AC178" s="89"/>
      <c r="AD178" s="89"/>
      <c r="AE178" s="7"/>
      <c r="AF178" s="7"/>
      <c r="AG178" s="7"/>
      <c r="AH178" s="7"/>
      <c r="AI178" s="7"/>
      <c r="AJ178" s="7"/>
      <c r="AK178" s="7"/>
      <c r="AL178" s="7"/>
      <c r="AM178" s="7"/>
      <c r="AN178" s="7"/>
      <c r="AO178" s="7"/>
      <c r="AP178" s="83"/>
      <c r="AQ178" s="83"/>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c r="CC178" s="50"/>
      <c r="CD178" s="50"/>
      <c r="CE178" s="50"/>
      <c r="CF178" s="50"/>
      <c r="CG178" s="50"/>
      <c r="CH178" s="50"/>
      <c r="CI178" s="50"/>
      <c r="CJ178" s="50"/>
      <c r="CK178" s="50"/>
      <c r="CL178" s="50"/>
      <c r="CM178" s="50"/>
      <c r="CN178" s="50"/>
      <c r="CO178" s="50"/>
      <c r="CP178" s="50"/>
      <c r="CQ178" s="50"/>
      <c r="CR178" s="50"/>
      <c r="CS178" s="50"/>
      <c r="CT178" s="50"/>
      <c r="CU178" s="50"/>
      <c r="CV178" s="50"/>
      <c r="CW178" s="50"/>
      <c r="CX178" s="50"/>
      <c r="CY178" s="50"/>
      <c r="CZ178" s="50"/>
      <c r="DA178" s="50"/>
      <c r="DB178" s="50"/>
      <c r="DC178" s="50"/>
      <c r="DD178" s="50"/>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50"/>
      <c r="EF178" s="50"/>
      <c r="EG178" s="50"/>
      <c r="EH178" s="50"/>
      <c r="EI178" s="50"/>
      <c r="EJ178" s="50"/>
      <c r="EK178" s="50"/>
      <c r="EL178" s="50"/>
      <c r="EM178" s="50"/>
      <c r="EN178" s="50"/>
      <c r="EO178" s="50"/>
      <c r="EP178" s="50"/>
      <c r="EQ178" s="50"/>
      <c r="ER178" s="50"/>
      <c r="ES178" s="50"/>
      <c r="ET178" s="50"/>
      <c r="EU178" s="50"/>
      <c r="EV178" s="50"/>
      <c r="EW178" s="50"/>
      <c r="EX178" s="50"/>
      <c r="EY178" s="50"/>
      <c r="EZ178" s="50"/>
      <c r="FA178" s="50"/>
      <c r="FB178" s="50"/>
      <c r="FC178" s="50"/>
      <c r="FD178" s="50"/>
      <c r="FE178" s="50"/>
      <c r="FF178" s="50"/>
      <c r="FG178" s="50"/>
      <c r="FH178" s="50"/>
      <c r="FI178" s="50"/>
      <c r="FJ178" s="50"/>
      <c r="FK178" s="50"/>
      <c r="FL178" s="50"/>
      <c r="FM178" s="50"/>
      <c r="FN178" s="50"/>
    </row>
    <row r="179" spans="1:170" s="8" customFormat="1" ht="18" hidden="1" customHeight="1">
      <c r="A179" s="1976"/>
      <c r="B179" s="204"/>
      <c r="C179" s="1152" t="str">
        <f>Begriffe!F107</f>
        <v>Thermisch wirksame Mindest-Luftwechselrate</v>
      </c>
      <c r="D179" s="1153"/>
      <c r="E179" s="1153"/>
      <c r="F179" s="1154" t="s">
        <v>1466</v>
      </c>
      <c r="G179" s="471"/>
      <c r="H179" s="471"/>
      <c r="I179" s="410" t="s">
        <v>1462</v>
      </c>
      <c r="J179" s="1155" t="s">
        <v>1461</v>
      </c>
      <c r="K179" s="1155"/>
      <c r="L179" s="405"/>
      <c r="M179" s="1158">
        <f>IF(L179&lt;&gt;"",L179,INDEX(Eingabedaten!$D$9:$DN$53,nutzid,MATCH($C179,Eingabedaten!$D$6:$DN$6,0)))</f>
        <v>0.1</v>
      </c>
      <c r="N179" s="1156">
        <f>M179</f>
        <v>0.1</v>
      </c>
      <c r="O179" s="1156">
        <f>IF(L179&lt;&gt;"",L179,INDEX(Eingabedaten!$D$9:$DN$53,nutzid,MATCH($C179,Eingabedaten!$D$6:$DN$6,0)+1))</f>
        <v>0.5</v>
      </c>
      <c r="P179" s="14"/>
      <c r="Q179" s="392"/>
      <c r="R179" s="14"/>
      <c r="S179" s="243"/>
      <c r="T179" s="89"/>
      <c r="U179" s="89"/>
      <c r="V179" s="64"/>
      <c r="W179" s="158"/>
      <c r="X179" s="158"/>
      <c r="Y179" s="64"/>
      <c r="Z179" s="158"/>
      <c r="AA179" s="158"/>
      <c r="AB179" s="65"/>
      <c r="AC179" s="89"/>
      <c r="AD179" s="89"/>
      <c r="AE179" s="7"/>
      <c r="AF179" s="7"/>
      <c r="AG179" s="7"/>
      <c r="AH179" s="7"/>
      <c r="AI179" s="7"/>
      <c r="AJ179" s="7"/>
      <c r="AK179" s="7"/>
      <c r="AL179" s="7"/>
      <c r="AM179" s="7"/>
      <c r="AN179" s="7"/>
      <c r="AO179" s="7"/>
      <c r="AP179" s="83"/>
      <c r="AQ179" s="83"/>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c r="CC179" s="50"/>
      <c r="CD179" s="50"/>
      <c r="CE179" s="50"/>
      <c r="CF179" s="50"/>
      <c r="CG179" s="50"/>
      <c r="CH179" s="50"/>
      <c r="CI179" s="50"/>
      <c r="CJ179" s="50"/>
      <c r="CK179" s="50"/>
      <c r="CL179" s="50"/>
      <c r="CM179" s="50"/>
      <c r="CN179" s="50"/>
      <c r="CO179" s="50"/>
      <c r="CP179" s="50"/>
      <c r="CQ179" s="50"/>
      <c r="CR179" s="50"/>
      <c r="CS179" s="50"/>
      <c r="CT179" s="50"/>
      <c r="CU179" s="50"/>
      <c r="CV179" s="50"/>
      <c r="CW179" s="50"/>
      <c r="CX179" s="50"/>
      <c r="CY179" s="50"/>
      <c r="CZ179" s="50"/>
      <c r="DA179" s="50"/>
      <c r="DB179" s="50"/>
      <c r="DC179" s="50"/>
      <c r="DD179" s="50"/>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50"/>
      <c r="EF179" s="50"/>
      <c r="EG179" s="50"/>
      <c r="EH179" s="50"/>
      <c r="EI179" s="50"/>
      <c r="EJ179" s="50"/>
      <c r="EK179" s="50"/>
      <c r="EL179" s="50"/>
      <c r="EM179" s="50"/>
      <c r="EN179" s="50"/>
      <c r="EO179" s="50"/>
      <c r="EP179" s="50"/>
      <c r="EQ179" s="50"/>
      <c r="ER179" s="50"/>
      <c r="ES179" s="50"/>
      <c r="ET179" s="50"/>
      <c r="EU179" s="50"/>
      <c r="EV179" s="50"/>
      <c r="EW179" s="50"/>
      <c r="EX179" s="50"/>
      <c r="EY179" s="50"/>
      <c r="EZ179" s="50"/>
      <c r="FA179" s="50"/>
      <c r="FB179" s="50"/>
      <c r="FC179" s="50"/>
      <c r="FD179" s="50"/>
      <c r="FE179" s="50"/>
      <c r="FF179" s="50"/>
      <c r="FG179" s="50"/>
      <c r="FH179" s="50"/>
      <c r="FI179" s="50"/>
      <c r="FJ179" s="50"/>
      <c r="FK179" s="50"/>
      <c r="FL179" s="50"/>
      <c r="FM179" s="50"/>
      <c r="FN179" s="50"/>
    </row>
    <row r="180" spans="1:170" s="8" customFormat="1" ht="18" hidden="1" customHeight="1">
      <c r="A180" s="1976"/>
      <c r="B180" s="204"/>
      <c r="C180" s="1152" t="s">
        <v>1463</v>
      </c>
      <c r="D180" s="1153"/>
      <c r="E180" s="1153"/>
      <c r="F180" s="1154" t="s">
        <v>1466</v>
      </c>
      <c r="G180" s="471"/>
      <c r="H180" s="471"/>
      <c r="I180" s="410" t="s">
        <v>1464</v>
      </c>
      <c r="J180" s="719" t="s">
        <v>980</v>
      </c>
      <c r="K180" s="1155"/>
      <c r="L180" s="405"/>
      <c r="M180" s="1156">
        <f>M179*$M12</f>
        <v>0.25</v>
      </c>
      <c r="N180" s="1156">
        <f>N179*$M12</f>
        <v>0.25</v>
      </c>
      <c r="O180" s="1156">
        <f>O179*$M12</f>
        <v>1.25</v>
      </c>
      <c r="P180" s="14"/>
      <c r="Q180" s="392"/>
      <c r="R180" s="14"/>
      <c r="S180" s="243"/>
      <c r="T180" s="89"/>
      <c r="U180" s="89"/>
      <c r="V180" s="64"/>
      <c r="W180" s="158"/>
      <c r="X180" s="158"/>
      <c r="Y180" s="64"/>
      <c r="Z180" s="158"/>
      <c r="AA180" s="158"/>
      <c r="AB180" s="65"/>
      <c r="AC180" s="89"/>
      <c r="AD180" s="89"/>
      <c r="AE180" s="7"/>
      <c r="AF180" s="7"/>
      <c r="AG180" s="7"/>
      <c r="AH180" s="7"/>
      <c r="AI180" s="7"/>
      <c r="AJ180" s="7"/>
      <c r="AK180" s="7"/>
      <c r="AL180" s="7"/>
      <c r="AM180" s="7"/>
      <c r="AN180" s="7"/>
      <c r="AO180" s="7"/>
      <c r="AP180" s="83"/>
      <c r="AQ180" s="83"/>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c r="CC180" s="50"/>
      <c r="CD180" s="50"/>
      <c r="CE180" s="50"/>
      <c r="CF180" s="50"/>
      <c r="CG180" s="50"/>
      <c r="CH180" s="50"/>
      <c r="CI180" s="50"/>
      <c r="CJ180" s="50"/>
      <c r="CK180" s="50"/>
      <c r="CL180" s="50"/>
      <c r="CM180" s="50"/>
      <c r="CN180" s="50"/>
      <c r="CO180" s="50"/>
      <c r="CP180" s="50"/>
      <c r="CQ180" s="50"/>
      <c r="CR180" s="50"/>
      <c r="CS180" s="50"/>
      <c r="CT180" s="50"/>
      <c r="CU180" s="50"/>
      <c r="CV180" s="50"/>
      <c r="CW180" s="50"/>
      <c r="CX180" s="50"/>
      <c r="CY180" s="50"/>
      <c r="CZ180" s="50"/>
      <c r="DA180" s="50"/>
      <c r="DB180" s="50"/>
      <c r="DC180" s="50"/>
      <c r="DD180" s="50"/>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50"/>
      <c r="EF180" s="50"/>
      <c r="EG180" s="50"/>
      <c r="EH180" s="50"/>
      <c r="EI180" s="50"/>
      <c r="EJ180" s="50"/>
      <c r="EK180" s="50"/>
      <c r="EL180" s="50"/>
      <c r="EM180" s="50"/>
      <c r="EN180" s="50"/>
      <c r="EO180" s="50"/>
      <c r="EP180" s="50"/>
      <c r="EQ180" s="50"/>
      <c r="ER180" s="50"/>
      <c r="ES180" s="50"/>
      <c r="ET180" s="50"/>
      <c r="EU180" s="50"/>
      <c r="EV180" s="50"/>
      <c r="EW180" s="50"/>
      <c r="EX180" s="50"/>
      <c r="EY180" s="50"/>
      <c r="EZ180" s="50"/>
      <c r="FA180" s="50"/>
      <c r="FB180" s="50"/>
      <c r="FC180" s="50"/>
      <c r="FD180" s="50"/>
      <c r="FE180" s="50"/>
      <c r="FF180" s="50"/>
      <c r="FG180" s="50"/>
      <c r="FH180" s="50"/>
      <c r="FI180" s="50"/>
      <c r="FJ180" s="50"/>
      <c r="FK180" s="50"/>
      <c r="FL180" s="50"/>
      <c r="FM180" s="50"/>
      <c r="FN180" s="50"/>
    </row>
    <row r="181" spans="1:170" s="8" customFormat="1" ht="18" hidden="1" customHeight="1">
      <c r="A181" s="1976"/>
      <c r="B181" s="204"/>
      <c r="C181" s="1152" t="s">
        <v>1467</v>
      </c>
      <c r="D181" s="1153"/>
      <c r="E181" s="1153"/>
      <c r="F181" s="1154" t="s">
        <v>1466</v>
      </c>
      <c r="G181" s="471"/>
      <c r="H181" s="471"/>
      <c r="I181" s="1272" t="s">
        <v>1465</v>
      </c>
      <c r="J181" s="719" t="s">
        <v>149</v>
      </c>
      <c r="K181" s="1155"/>
      <c r="L181" s="405"/>
      <c r="M181" s="1158">
        <f>M174/$M$13*($M32-$M5-M177)</f>
        <v>2.5024758392537554</v>
      </c>
      <c r="N181" s="1158">
        <f>N174/$M$13*($M32-$M5-N177)</f>
        <v>2.496</v>
      </c>
      <c r="O181" s="1158">
        <f>O174/$M$13*($M32-$M5-O177)</f>
        <v>13.427601078167115</v>
      </c>
      <c r="P181" s="14"/>
      <c r="Q181" s="392"/>
      <c r="R181" s="14"/>
      <c r="S181" s="243"/>
      <c r="T181" s="89"/>
      <c r="U181" s="89"/>
      <c r="V181" s="64"/>
      <c r="W181" s="158"/>
      <c r="X181" s="158"/>
      <c r="Y181" s="64"/>
      <c r="Z181" s="158"/>
      <c r="AA181" s="158"/>
      <c r="AB181" s="65"/>
      <c r="AC181" s="89"/>
      <c r="AD181" s="89"/>
      <c r="AE181" s="7"/>
      <c r="AF181" s="7"/>
      <c r="AG181" s="7"/>
      <c r="AH181" s="7"/>
      <c r="AI181" s="7"/>
      <c r="AJ181" s="7"/>
      <c r="AK181" s="7"/>
      <c r="AL181" s="7"/>
      <c r="AM181" s="7"/>
      <c r="AN181" s="7"/>
      <c r="AO181" s="7"/>
      <c r="AP181" s="83"/>
      <c r="AQ181" s="83"/>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c r="CC181" s="50"/>
      <c r="CD181" s="50"/>
      <c r="CE181" s="50"/>
      <c r="CF181" s="50"/>
      <c r="CG181" s="50"/>
      <c r="CH181" s="50"/>
      <c r="CI181" s="50"/>
      <c r="CJ181" s="50"/>
      <c r="CK181" s="50"/>
      <c r="CL181" s="50"/>
      <c r="CM181" s="50"/>
      <c r="CN181" s="50"/>
      <c r="CO181" s="50"/>
      <c r="CP181" s="50"/>
      <c r="CQ181" s="50"/>
      <c r="CR181" s="50"/>
      <c r="CS181" s="50"/>
      <c r="CT181" s="50"/>
      <c r="CU181" s="50"/>
      <c r="CV181" s="50"/>
      <c r="CW181" s="50"/>
      <c r="CX181" s="50"/>
      <c r="CY181" s="50"/>
      <c r="CZ181" s="50"/>
      <c r="DA181" s="50"/>
      <c r="DB181" s="50"/>
      <c r="DC181" s="50"/>
      <c r="DD181" s="50"/>
      <c r="DE181" s="49"/>
      <c r="DF181" s="49"/>
      <c r="DG181" s="49"/>
      <c r="DH181" s="49"/>
      <c r="DI181" s="49"/>
      <c r="DJ181" s="49"/>
      <c r="DK181" s="49"/>
      <c r="DL181" s="49"/>
      <c r="DM181" s="49"/>
      <c r="DN181" s="49"/>
      <c r="DO181" s="49"/>
      <c r="DP181" s="49"/>
      <c r="DQ181" s="49"/>
      <c r="DR181" s="49"/>
      <c r="DS181" s="49"/>
      <c r="DT181" s="49"/>
      <c r="DU181" s="49"/>
      <c r="DV181" s="49"/>
      <c r="DW181" s="49"/>
      <c r="DX181" s="49"/>
      <c r="DY181" s="49"/>
      <c r="DZ181" s="49"/>
      <c r="EA181" s="49"/>
      <c r="EB181" s="49"/>
      <c r="EC181" s="49"/>
      <c r="ED181" s="49"/>
      <c r="EE181" s="50"/>
      <c r="EF181" s="50"/>
      <c r="EG181" s="50"/>
      <c r="EH181" s="50"/>
      <c r="EI181" s="50"/>
      <c r="EJ181" s="50"/>
      <c r="EK181" s="50"/>
      <c r="EL181" s="50"/>
      <c r="EM181" s="50"/>
      <c r="EN181" s="50"/>
      <c r="EO181" s="50"/>
      <c r="EP181" s="50"/>
      <c r="EQ181" s="50"/>
      <c r="ER181" s="50"/>
      <c r="ES181" s="50"/>
      <c r="ET181" s="50"/>
      <c r="EU181" s="50"/>
      <c r="EV181" s="50"/>
      <c r="EW181" s="50"/>
      <c r="EX181" s="50"/>
      <c r="EY181" s="50"/>
      <c r="EZ181" s="50"/>
      <c r="FA181" s="50"/>
      <c r="FB181" s="50"/>
      <c r="FC181" s="50"/>
      <c r="FD181" s="50"/>
      <c r="FE181" s="50"/>
      <c r="FF181" s="50"/>
      <c r="FG181" s="50"/>
      <c r="FH181" s="50"/>
      <c r="FI181" s="50"/>
      <c r="FJ181" s="50"/>
      <c r="FK181" s="50"/>
      <c r="FL181" s="50"/>
      <c r="FM181" s="50"/>
      <c r="FN181" s="50"/>
    </row>
    <row r="182" spans="1:170" s="8" customFormat="1" ht="18" customHeight="1">
      <c r="A182" s="1976"/>
      <c r="B182" s="204"/>
      <c r="C182" s="501" t="str">
        <f>Begriffe!F81</f>
        <v>Norm-Heizlast</v>
      </c>
      <c r="D182" s="379"/>
      <c r="E182" s="379"/>
      <c r="F182" s="265"/>
      <c r="G182" s="14"/>
      <c r="H182" s="14"/>
      <c r="I182" s="675" t="s">
        <v>1866</v>
      </c>
      <c r="J182" s="377" t="s">
        <v>149</v>
      </c>
      <c r="K182" s="499"/>
      <c r="L182" s="201"/>
      <c r="M182" s="1774">
        <f>M178+M181</f>
        <v>16.964394117647061</v>
      </c>
      <c r="N182" s="1388">
        <f>N178+N181</f>
        <v>12.691058823529412</v>
      </c>
      <c r="O182" s="1271">
        <f>O178+O181</f>
        <v>58.607529411764709</v>
      </c>
      <c r="P182" s="14">
        <v>1</v>
      </c>
      <c r="Q182" s="392">
        <v>1</v>
      </c>
      <c r="R182" s="14"/>
      <c r="S182" s="243" t="s">
        <v>1518</v>
      </c>
      <c r="T182" s="89"/>
      <c r="U182" s="89"/>
      <c r="V182" s="64"/>
      <c r="W182" s="158"/>
      <c r="X182" s="158"/>
      <c r="Y182" s="64"/>
      <c r="Z182" s="158"/>
      <c r="AA182" s="158"/>
      <c r="AB182" s="65"/>
      <c r="AC182" s="89"/>
      <c r="AD182" s="89"/>
      <c r="AE182" s="7"/>
      <c r="AF182" s="7"/>
      <c r="AG182" s="7"/>
      <c r="AH182" s="7"/>
      <c r="AI182" s="7"/>
      <c r="AJ182" s="7"/>
      <c r="AK182" s="7"/>
      <c r="AL182" s="7"/>
      <c r="AM182" s="7"/>
      <c r="AN182" s="7"/>
      <c r="AO182" s="7"/>
      <c r="AP182" s="83"/>
      <c r="AQ182" s="83"/>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c r="BW182" s="50"/>
      <c r="BX182" s="50"/>
      <c r="BY182" s="50"/>
      <c r="BZ182" s="50"/>
      <c r="CA182" s="50"/>
      <c r="CB182" s="50"/>
      <c r="CC182" s="50"/>
      <c r="CD182" s="50"/>
      <c r="CE182" s="50"/>
      <c r="CF182" s="50"/>
      <c r="CG182" s="50"/>
      <c r="CH182" s="50"/>
      <c r="CI182" s="50"/>
      <c r="CJ182" s="50"/>
      <c r="CK182" s="50"/>
      <c r="CL182" s="50"/>
      <c r="CM182" s="50"/>
      <c r="CN182" s="50"/>
      <c r="CO182" s="50"/>
      <c r="CP182" s="50"/>
      <c r="CQ182" s="50"/>
      <c r="CR182" s="50"/>
      <c r="CS182" s="50"/>
      <c r="CT182" s="50"/>
      <c r="CU182" s="50"/>
      <c r="CV182" s="50"/>
      <c r="CW182" s="50"/>
      <c r="CX182" s="50"/>
      <c r="CY182" s="50"/>
      <c r="CZ182" s="50"/>
      <c r="DA182" s="50"/>
      <c r="DB182" s="50"/>
      <c r="DC182" s="50"/>
      <c r="DD182" s="50"/>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50"/>
      <c r="EF182" s="50"/>
      <c r="EG182" s="50"/>
      <c r="EH182" s="50"/>
      <c r="EI182" s="50"/>
      <c r="EJ182" s="50"/>
      <c r="EK182" s="50"/>
      <c r="EL182" s="50"/>
      <c r="EM182" s="50"/>
      <c r="EN182" s="50"/>
      <c r="EO182" s="50"/>
      <c r="EP182" s="50"/>
      <c r="EQ182" s="50"/>
      <c r="ER182" s="50"/>
      <c r="ES182" s="50"/>
      <c r="ET182" s="50"/>
      <c r="EU182" s="50"/>
      <c r="EV182" s="50"/>
      <c r="EW182" s="50"/>
      <c r="EX182" s="50"/>
      <c r="EY182" s="50"/>
      <c r="EZ182" s="50"/>
      <c r="FA182" s="50"/>
      <c r="FB182" s="50"/>
      <c r="FC182" s="50"/>
      <c r="FD182" s="50"/>
      <c r="FE182" s="50"/>
      <c r="FF182" s="50"/>
      <c r="FG182" s="50"/>
      <c r="FH182" s="50"/>
      <c r="FI182" s="50"/>
      <c r="FJ182" s="50"/>
      <c r="FK182" s="50"/>
      <c r="FL182" s="50"/>
      <c r="FM182" s="50"/>
      <c r="FN182" s="50"/>
    </row>
    <row r="183" spans="1:170" s="8" customFormat="1" ht="18" customHeight="1">
      <c r="A183" s="1976"/>
      <c r="B183" s="204"/>
      <c r="C183" s="501" t="str">
        <f>Begriffe!F59</f>
        <v>Jährliche Volllaststunden der Raumheizung</v>
      </c>
      <c r="D183" s="14"/>
      <c r="E183" s="14"/>
      <c r="F183" s="14"/>
      <c r="G183" s="14"/>
      <c r="H183" s="14"/>
      <c r="I183" s="98" t="s">
        <v>979</v>
      </c>
      <c r="J183" s="377" t="s">
        <v>15</v>
      </c>
      <c r="K183" s="377"/>
      <c r="L183" s="99"/>
      <c r="M183" s="1755">
        <f>IF(M182=0,0,ROUND(M188*1000/M182,-1))</f>
        <v>830</v>
      </c>
      <c r="N183" s="1378">
        <f>IF(N182=0,0,ROUND(N188*1000/N182,-1))</f>
        <v>810</v>
      </c>
      <c r="O183" s="149">
        <f>IF(O182=0,0,ROUND(O188*1000/O182,-1))</f>
        <v>1770</v>
      </c>
      <c r="P183" s="14">
        <v>1</v>
      </c>
      <c r="Q183" s="392">
        <v>1</v>
      </c>
      <c r="R183" s="14">
        <v>0</v>
      </c>
      <c r="S183" s="14"/>
      <c r="T183" s="14"/>
      <c r="U183" s="89"/>
      <c r="V183" s="64"/>
      <c r="W183" s="158"/>
      <c r="X183" s="158"/>
      <c r="Y183" s="64"/>
      <c r="Z183" s="158"/>
      <c r="AA183" s="158"/>
      <c r="AB183" s="65"/>
      <c r="AC183" s="89"/>
      <c r="AD183" s="89"/>
      <c r="AE183" s="7"/>
      <c r="AF183" s="7"/>
      <c r="AG183" s="7"/>
      <c r="AH183" s="7"/>
      <c r="AI183" s="7"/>
      <c r="AJ183" s="7"/>
      <c r="AK183" s="7"/>
      <c r="AL183" s="7"/>
      <c r="AM183" s="7"/>
      <c r="AN183" s="7"/>
      <c r="AO183" s="7"/>
      <c r="AP183" s="83"/>
      <c r="AQ183" s="83"/>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c r="CC183" s="50"/>
      <c r="CD183" s="50"/>
      <c r="CE183" s="50"/>
      <c r="CF183" s="50"/>
      <c r="CG183" s="50"/>
      <c r="CH183" s="50"/>
      <c r="CI183" s="50"/>
      <c r="CJ183" s="50"/>
      <c r="CK183" s="50"/>
      <c r="CL183" s="50"/>
      <c r="CM183" s="50"/>
      <c r="CN183" s="50"/>
      <c r="CO183" s="50"/>
      <c r="CP183" s="50"/>
      <c r="CQ183" s="50"/>
      <c r="CR183" s="50"/>
      <c r="CS183" s="50"/>
      <c r="CT183" s="50"/>
      <c r="CU183" s="50"/>
      <c r="CV183" s="50"/>
      <c r="CW183" s="50"/>
      <c r="CX183" s="50"/>
      <c r="CY183" s="50"/>
      <c r="CZ183" s="50"/>
      <c r="DA183" s="50"/>
      <c r="DB183" s="50"/>
      <c r="DC183" s="50"/>
      <c r="DD183" s="50"/>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50"/>
      <c r="EF183" s="50"/>
      <c r="EG183" s="50"/>
      <c r="EH183" s="50"/>
      <c r="EI183" s="50"/>
      <c r="EJ183" s="50"/>
      <c r="EK183" s="50"/>
      <c r="EL183" s="50"/>
      <c r="EM183" s="50"/>
      <c r="EN183" s="50"/>
      <c r="EO183" s="50"/>
      <c r="EP183" s="50"/>
      <c r="EQ183" s="50"/>
      <c r="ER183" s="50"/>
      <c r="ES183" s="50"/>
      <c r="ET183" s="50"/>
      <c r="EU183" s="50"/>
      <c r="EV183" s="50"/>
      <c r="EW183" s="50"/>
      <c r="EX183" s="50"/>
      <c r="EY183" s="50"/>
      <c r="EZ183" s="50"/>
      <c r="FA183" s="50"/>
      <c r="FB183" s="50"/>
      <c r="FC183" s="50"/>
      <c r="FD183" s="50"/>
      <c r="FE183" s="50"/>
      <c r="FF183" s="50"/>
      <c r="FG183" s="50"/>
      <c r="FH183" s="50"/>
      <c r="FI183" s="50"/>
      <c r="FJ183" s="50"/>
      <c r="FK183" s="50"/>
      <c r="FL183" s="50"/>
      <c r="FM183" s="50"/>
      <c r="FN183" s="50"/>
    </row>
    <row r="184" spans="1:170" s="8" customFormat="1" ht="18" hidden="1" customHeight="1">
      <c r="A184" s="1976"/>
      <c r="B184" s="21"/>
      <c r="C184" s="256" t="s">
        <v>258</v>
      </c>
      <c r="D184" s="37"/>
      <c r="E184" s="37"/>
      <c r="F184" s="37"/>
      <c r="G184" s="37"/>
      <c r="H184" s="37"/>
      <c r="I184" s="22" t="s">
        <v>456</v>
      </c>
      <c r="J184" s="203" t="s">
        <v>62</v>
      </c>
      <c r="K184" s="203"/>
      <c r="L184" s="202"/>
      <c r="M184" s="124">
        <f>INDEX(Eingabedaten!$D$9:$IA$53,nutzid,MATCH("Qh,li0",Eingabedaten!$D$6:$IA$6,0))/3.6</f>
        <v>3.6111111111111112</v>
      </c>
      <c r="N184" s="124">
        <f>M184</f>
        <v>3.6111111111111112</v>
      </c>
      <c r="O184" s="124">
        <f>M184</f>
        <v>3.6111111111111112</v>
      </c>
      <c r="P184" s="14">
        <v>0</v>
      </c>
      <c r="Q184" s="392">
        <v>0</v>
      </c>
      <c r="R184" s="14">
        <v>0</v>
      </c>
      <c r="S184" s="14"/>
      <c r="T184" s="14"/>
      <c r="U184" s="89"/>
      <c r="V184" s="64"/>
      <c r="W184" s="158"/>
      <c r="X184" s="158"/>
      <c r="Y184" s="64"/>
      <c r="Z184" s="158"/>
      <c r="AA184" s="158"/>
      <c r="AB184" s="65"/>
      <c r="AC184" s="89"/>
      <c r="AD184" s="89"/>
      <c r="AE184" s="7"/>
      <c r="AF184" s="7"/>
      <c r="AG184" s="7"/>
      <c r="AH184" s="7"/>
      <c r="AI184" s="7"/>
      <c r="AJ184" s="7"/>
      <c r="AK184" s="7"/>
      <c r="AL184" s="7"/>
      <c r="AM184" s="7"/>
      <c r="AN184" s="7"/>
      <c r="AO184" s="7"/>
      <c r="AP184" s="83"/>
      <c r="AQ184" s="83"/>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c r="CC184" s="50"/>
      <c r="CD184" s="50"/>
      <c r="CE184" s="50"/>
      <c r="CF184" s="50"/>
      <c r="CG184" s="50"/>
      <c r="CH184" s="50"/>
      <c r="CI184" s="50"/>
      <c r="CJ184" s="50"/>
      <c r="CK184" s="50"/>
      <c r="CL184" s="50"/>
      <c r="CM184" s="50"/>
      <c r="CN184" s="50"/>
      <c r="CO184" s="50"/>
      <c r="CP184" s="50"/>
      <c r="CQ184" s="50"/>
      <c r="CR184" s="50"/>
      <c r="CS184" s="50"/>
      <c r="CT184" s="50"/>
      <c r="CU184" s="50"/>
      <c r="CV184" s="50"/>
      <c r="CW184" s="50"/>
      <c r="CX184" s="50"/>
      <c r="CY184" s="50"/>
      <c r="CZ184" s="50"/>
      <c r="DA184" s="50"/>
      <c r="DB184" s="50"/>
      <c r="DC184" s="50"/>
      <c r="DD184" s="50"/>
      <c r="DE184" s="49"/>
      <c r="DF184" s="49"/>
      <c r="DG184" s="49"/>
      <c r="DH184" s="49"/>
      <c r="DI184" s="49"/>
      <c r="DJ184" s="49"/>
      <c r="DK184" s="49"/>
      <c r="DL184" s="49"/>
      <c r="DM184" s="49"/>
      <c r="DN184" s="49"/>
      <c r="DO184" s="49"/>
      <c r="DP184" s="49"/>
      <c r="DQ184" s="49"/>
      <c r="DR184" s="49"/>
      <c r="DS184" s="49"/>
      <c r="DT184" s="49"/>
      <c r="DU184" s="49"/>
      <c r="DV184" s="49"/>
      <c r="DW184" s="49"/>
      <c r="DX184" s="49"/>
      <c r="DY184" s="49"/>
      <c r="DZ184" s="49"/>
      <c r="EA184" s="49"/>
      <c r="EB184" s="49"/>
      <c r="EC184" s="49"/>
      <c r="ED184" s="49"/>
      <c r="EE184" s="50"/>
      <c r="EF184" s="50"/>
      <c r="EG184" s="50"/>
      <c r="EH184" s="50"/>
      <c r="EI184" s="50"/>
      <c r="EJ184" s="50"/>
      <c r="EK184" s="50"/>
      <c r="EL184" s="50"/>
      <c r="EM184" s="50"/>
      <c r="EN184" s="50"/>
      <c r="EO184" s="50"/>
      <c r="EP184" s="50"/>
      <c r="EQ184" s="50"/>
      <c r="ER184" s="50"/>
      <c r="ES184" s="50"/>
      <c r="ET184" s="50"/>
      <c r="EU184" s="50"/>
      <c r="EV184" s="50"/>
      <c r="EW184" s="50"/>
      <c r="EX184" s="50"/>
      <c r="EY184" s="50"/>
      <c r="EZ184" s="50"/>
      <c r="FA184" s="50"/>
      <c r="FB184" s="50"/>
      <c r="FC184" s="50"/>
      <c r="FD184" s="50"/>
      <c r="FE184" s="50"/>
      <c r="FF184" s="50"/>
      <c r="FG184" s="50"/>
      <c r="FH184" s="50"/>
      <c r="FI184" s="50"/>
      <c r="FJ184" s="50"/>
      <c r="FK184" s="50"/>
      <c r="FL184" s="50"/>
      <c r="FM184" s="50"/>
      <c r="FN184" s="50"/>
    </row>
    <row r="185" spans="1:170" s="8" customFormat="1" ht="18" hidden="1" customHeight="1">
      <c r="A185" s="1976"/>
      <c r="B185" s="21"/>
      <c r="C185" s="256" t="s">
        <v>259</v>
      </c>
      <c r="D185" s="37"/>
      <c r="E185" s="37"/>
      <c r="F185" s="37"/>
      <c r="G185" s="37"/>
      <c r="H185" s="37"/>
      <c r="I185" s="22" t="s">
        <v>457</v>
      </c>
      <c r="J185" s="203" t="s">
        <v>62</v>
      </c>
      <c r="K185" s="203"/>
      <c r="L185" s="202"/>
      <c r="M185" s="124">
        <f>INDEX(Eingabedaten!$D$9:$IA$53,nutzid,MATCH("dQh,li",Eingabedaten!$D$6:$IA$6,0))/3.6</f>
        <v>3.8888888888888888</v>
      </c>
      <c r="N185" s="124">
        <f>M185</f>
        <v>3.8888888888888888</v>
      </c>
      <c r="O185" s="124">
        <f>M185</f>
        <v>3.8888888888888888</v>
      </c>
      <c r="P185" s="14">
        <v>0</v>
      </c>
      <c r="Q185" s="392">
        <v>0</v>
      </c>
      <c r="R185" s="14">
        <v>0</v>
      </c>
      <c r="S185" s="14"/>
      <c r="T185" s="14"/>
      <c r="U185" s="89"/>
      <c r="V185" s="64"/>
      <c r="W185" s="158"/>
      <c r="X185" s="158"/>
      <c r="Y185" s="64"/>
      <c r="Z185" s="158"/>
      <c r="AA185" s="158"/>
      <c r="AB185" s="65"/>
      <c r="AC185" s="89"/>
      <c r="AD185" s="89"/>
      <c r="AE185" s="7"/>
      <c r="AF185" s="7"/>
      <c r="AG185" s="7"/>
      <c r="AH185" s="7"/>
      <c r="AI185" s="7"/>
      <c r="AJ185" s="7"/>
      <c r="AK185" s="7"/>
      <c r="AL185" s="7"/>
      <c r="AM185" s="7"/>
      <c r="AN185" s="7"/>
      <c r="AO185" s="7"/>
      <c r="AP185" s="83"/>
      <c r="AQ185" s="83"/>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c r="CC185" s="50"/>
      <c r="CD185" s="50"/>
      <c r="CE185" s="50"/>
      <c r="CF185" s="50"/>
      <c r="CG185" s="50"/>
      <c r="CH185" s="50"/>
      <c r="CI185" s="50"/>
      <c r="CJ185" s="50"/>
      <c r="CK185" s="50"/>
      <c r="CL185" s="50"/>
      <c r="CM185" s="50"/>
      <c r="CN185" s="50"/>
      <c r="CO185" s="50"/>
      <c r="CP185" s="50"/>
      <c r="CQ185" s="50"/>
      <c r="CR185" s="50"/>
      <c r="CS185" s="50"/>
      <c r="CT185" s="50"/>
      <c r="CU185" s="50"/>
      <c r="CV185" s="50"/>
      <c r="CW185" s="50"/>
      <c r="CX185" s="50"/>
      <c r="CY185" s="50"/>
      <c r="CZ185" s="50"/>
      <c r="DA185" s="50"/>
      <c r="DB185" s="50"/>
      <c r="DC185" s="50"/>
      <c r="DD185" s="50"/>
      <c r="DE185" s="49"/>
      <c r="DF185" s="49"/>
      <c r="DG185" s="49"/>
      <c r="DH185" s="49"/>
      <c r="DI185" s="49"/>
      <c r="DJ185" s="49"/>
      <c r="DK185" s="49"/>
      <c r="DL185" s="49"/>
      <c r="DM185" s="49"/>
      <c r="DN185" s="49"/>
      <c r="DO185" s="49"/>
      <c r="DP185" s="49"/>
      <c r="DQ185" s="49"/>
      <c r="DR185" s="49"/>
      <c r="DS185" s="49"/>
      <c r="DT185" s="49"/>
      <c r="DU185" s="49"/>
      <c r="DV185" s="49"/>
      <c r="DW185" s="49"/>
      <c r="DX185" s="49"/>
      <c r="DY185" s="49"/>
      <c r="DZ185" s="49"/>
      <c r="EA185" s="49"/>
      <c r="EB185" s="49"/>
      <c r="EC185" s="49"/>
      <c r="ED185" s="49"/>
      <c r="EE185" s="50"/>
      <c r="EF185" s="50"/>
      <c r="EG185" s="50"/>
      <c r="EH185" s="50"/>
      <c r="EI185" s="50"/>
      <c r="EJ185" s="50"/>
      <c r="EK185" s="50"/>
      <c r="EL185" s="50"/>
      <c r="EM185" s="50"/>
      <c r="EN185" s="50"/>
      <c r="EO185" s="50"/>
      <c r="EP185" s="50"/>
      <c r="EQ185" s="50"/>
      <c r="ER185" s="50"/>
      <c r="ES185" s="50"/>
      <c r="ET185" s="50"/>
      <c r="EU185" s="50"/>
      <c r="EV185" s="50"/>
      <c r="EW185" s="50"/>
      <c r="EX185" s="50"/>
      <c r="EY185" s="50"/>
      <c r="EZ185" s="50"/>
      <c r="FA185" s="50"/>
      <c r="FB185" s="50"/>
      <c r="FC185" s="50"/>
      <c r="FD185" s="50"/>
      <c r="FE185" s="50"/>
      <c r="FF185" s="50"/>
      <c r="FG185" s="50"/>
      <c r="FH185" s="50"/>
      <c r="FI185" s="50"/>
      <c r="FJ185" s="50"/>
      <c r="FK185" s="50"/>
      <c r="FL185" s="50"/>
      <c r="FM185" s="50"/>
      <c r="FN185" s="50"/>
    </row>
    <row r="186" spans="1:170" s="8" customFormat="1" ht="18" hidden="1" customHeight="1">
      <c r="A186" s="1976"/>
      <c r="B186" s="21"/>
      <c r="C186" s="256" t="s">
        <v>1528</v>
      </c>
      <c r="D186" s="37"/>
      <c r="E186" s="37"/>
      <c r="F186" s="37"/>
      <c r="G186" s="37"/>
      <c r="H186" s="37"/>
      <c r="I186" s="22" t="s">
        <v>257</v>
      </c>
      <c r="J186" s="203" t="s">
        <v>178</v>
      </c>
      <c r="K186" s="203"/>
      <c r="L186" s="202"/>
      <c r="M186" s="124">
        <f>INDEX(Eingabedaten!$D$9:$IQ$53,nutzid,MATCH($C186,Eingabedaten!$D$6:$IQ$6,0))</f>
        <v>0.7</v>
      </c>
      <c r="N186" s="124">
        <f>M186</f>
        <v>0.7</v>
      </c>
      <c r="O186" s="124">
        <f>M186</f>
        <v>0.7</v>
      </c>
      <c r="P186" s="14">
        <v>0</v>
      </c>
      <c r="Q186" s="392">
        <v>0</v>
      </c>
      <c r="R186" s="14">
        <v>0</v>
      </c>
      <c r="S186" s="14" t="s">
        <v>1529</v>
      </c>
      <c r="T186" s="14"/>
      <c r="U186" s="89"/>
      <c r="V186" s="64"/>
      <c r="W186" s="158"/>
      <c r="X186" s="158"/>
      <c r="Y186" s="64"/>
      <c r="Z186" s="158"/>
      <c r="AA186" s="158"/>
      <c r="AB186" s="65"/>
      <c r="AC186" s="89"/>
      <c r="AD186" s="89"/>
      <c r="AE186" s="7"/>
      <c r="AF186" s="7"/>
      <c r="AG186" s="7"/>
      <c r="AH186" s="7"/>
      <c r="AI186" s="7"/>
      <c r="AJ186" s="7"/>
      <c r="AK186" s="7"/>
      <c r="AL186" s="7"/>
      <c r="AM186" s="7"/>
      <c r="AN186" s="7"/>
      <c r="AO186" s="7"/>
      <c r="AP186" s="83"/>
      <c r="AQ186" s="83"/>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c r="CC186" s="50"/>
      <c r="CD186" s="50"/>
      <c r="CE186" s="50"/>
      <c r="CF186" s="50"/>
      <c r="CG186" s="50"/>
      <c r="CH186" s="50"/>
      <c r="CI186" s="50"/>
      <c r="CJ186" s="50"/>
      <c r="CK186" s="50"/>
      <c r="CL186" s="50"/>
      <c r="CM186" s="50"/>
      <c r="CN186" s="50"/>
      <c r="CO186" s="50"/>
      <c r="CP186" s="50"/>
      <c r="CQ186" s="50"/>
      <c r="CR186" s="50"/>
      <c r="CS186" s="50"/>
      <c r="CT186" s="50"/>
      <c r="CU186" s="50"/>
      <c r="CV186" s="50"/>
      <c r="CW186" s="50"/>
      <c r="CX186" s="50"/>
      <c r="CY186" s="50"/>
      <c r="CZ186" s="50"/>
      <c r="DA186" s="50"/>
      <c r="DB186" s="50"/>
      <c r="DC186" s="50"/>
      <c r="DD186" s="50"/>
      <c r="DE186" s="49"/>
      <c r="DF186" s="49"/>
      <c r="DG186" s="49"/>
      <c r="DH186" s="49"/>
      <c r="DI186" s="49"/>
      <c r="DJ186" s="49"/>
      <c r="DK186" s="49"/>
      <c r="DL186" s="49"/>
      <c r="DM186" s="49"/>
      <c r="DN186" s="49"/>
      <c r="DO186" s="49"/>
      <c r="DP186" s="49"/>
      <c r="DQ186" s="49"/>
      <c r="DR186" s="49"/>
      <c r="DS186" s="49"/>
      <c r="DT186" s="49"/>
      <c r="DU186" s="49"/>
      <c r="DV186" s="49"/>
      <c r="DW186" s="49"/>
      <c r="DX186" s="49"/>
      <c r="DY186" s="49"/>
      <c r="DZ186" s="49"/>
      <c r="EA186" s="49"/>
      <c r="EB186" s="49"/>
      <c r="EC186" s="49"/>
      <c r="ED186" s="49"/>
      <c r="EE186" s="50"/>
      <c r="EF186" s="50"/>
      <c r="EG186" s="50"/>
      <c r="EH186" s="50"/>
      <c r="EI186" s="50"/>
      <c r="EJ186" s="50"/>
      <c r="EK186" s="50"/>
      <c r="EL186" s="50"/>
      <c r="EM186" s="50"/>
      <c r="EN186" s="50"/>
      <c r="EO186" s="50"/>
      <c r="EP186" s="50"/>
      <c r="EQ186" s="50"/>
      <c r="ER186" s="50"/>
      <c r="ES186" s="50"/>
      <c r="ET186" s="50"/>
      <c r="EU186" s="50"/>
      <c r="EV186" s="50"/>
      <c r="EW186" s="50"/>
      <c r="EX186" s="50"/>
      <c r="EY186" s="50"/>
      <c r="EZ186" s="50"/>
      <c r="FA186" s="50"/>
      <c r="FB186" s="50"/>
      <c r="FC186" s="50"/>
      <c r="FD186" s="50"/>
      <c r="FE186" s="50"/>
      <c r="FF186" s="50"/>
      <c r="FG186" s="50"/>
      <c r="FH186" s="50"/>
      <c r="FI186" s="50"/>
      <c r="FJ186" s="50"/>
      <c r="FK186" s="50"/>
      <c r="FL186" s="50"/>
      <c r="FM186" s="50"/>
      <c r="FN186" s="50"/>
    </row>
    <row r="187" spans="1:170" s="8" customFormat="1" ht="18" customHeight="1">
      <c r="A187" s="1976"/>
      <c r="B187" s="204"/>
      <c r="C187" s="501" t="str">
        <f>Begriffe!F108</f>
        <v>Thermisch wirksamer Aussenluft-Volumenstrom</v>
      </c>
      <c r="D187" s="265"/>
      <c r="E187" s="265"/>
      <c r="F187" s="265"/>
      <c r="G187" s="265"/>
      <c r="H187" s="265"/>
      <c r="I187" s="126" t="s">
        <v>478</v>
      </c>
      <c r="J187" s="377" t="s">
        <v>980</v>
      </c>
      <c r="K187" s="377"/>
      <c r="L187" s="99"/>
      <c r="M187" s="1775">
        <f>IF(L187&lt;&gt;0,L187,IF(M133=0,0,(($M133-M135)*(1-M140)*M132)/8760+M135))</f>
        <v>0.35357142857142859</v>
      </c>
      <c r="N187" s="1389">
        <f>IF(M133=0,0,(($M133-N135)*(1-N140)*N132)/8760+N135)</f>
        <v>0.29601679712981083</v>
      </c>
      <c r="O187" s="700">
        <f>IF(M133=0,0,(($M133-O135)*(1-O140)*O132)/8760+O135)</f>
        <v>0.64695042400521863</v>
      </c>
      <c r="P187" s="14">
        <v>1</v>
      </c>
      <c r="Q187" s="392">
        <v>1</v>
      </c>
      <c r="R187" s="14">
        <v>0</v>
      </c>
      <c r="S187" s="14"/>
      <c r="T187" s="14"/>
      <c r="U187" s="89"/>
      <c r="V187" s="64"/>
      <c r="W187" s="158"/>
      <c r="X187" s="158"/>
      <c r="Y187" s="64"/>
      <c r="Z187" s="158"/>
      <c r="AA187" s="158"/>
      <c r="AB187" s="65"/>
      <c r="AC187" s="89"/>
      <c r="AD187" s="89"/>
      <c r="AE187" s="7"/>
      <c r="AF187" s="7"/>
      <c r="AG187" s="7"/>
      <c r="AH187" s="7"/>
      <c r="AI187" s="7"/>
      <c r="AJ187" s="7"/>
      <c r="AK187" s="7"/>
      <c r="AL187" s="7"/>
      <c r="AM187" s="7"/>
      <c r="AN187" s="7"/>
      <c r="AO187" s="7"/>
      <c r="AP187" s="83"/>
      <c r="AQ187" s="83"/>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c r="BW187" s="50"/>
      <c r="BX187" s="50"/>
      <c r="BY187" s="50"/>
      <c r="BZ187" s="50"/>
      <c r="CA187" s="50"/>
      <c r="CB187" s="50"/>
      <c r="CC187" s="50"/>
      <c r="CD187" s="50"/>
      <c r="CE187" s="50"/>
      <c r="CF187" s="50"/>
      <c r="CG187" s="50"/>
      <c r="CH187" s="50"/>
      <c r="CI187" s="50"/>
      <c r="CJ187" s="50"/>
      <c r="CK187" s="50"/>
      <c r="CL187" s="50"/>
      <c r="CM187" s="50"/>
      <c r="CN187" s="50"/>
      <c r="CO187" s="50"/>
      <c r="CP187" s="50"/>
      <c r="CQ187" s="50"/>
      <c r="CR187" s="50"/>
      <c r="CS187" s="50"/>
      <c r="CT187" s="50"/>
      <c r="CU187" s="50"/>
      <c r="CV187" s="50"/>
      <c r="CW187" s="50"/>
      <c r="CX187" s="50"/>
      <c r="CY187" s="50"/>
      <c r="CZ187" s="50"/>
      <c r="DA187" s="50"/>
      <c r="DB187" s="50"/>
      <c r="DC187" s="50"/>
      <c r="DD187" s="50"/>
      <c r="DE187" s="49"/>
      <c r="DF187" s="49"/>
      <c r="DG187" s="49"/>
      <c r="DH187" s="49"/>
      <c r="DI187" s="49"/>
      <c r="DJ187" s="49"/>
      <c r="DK187" s="49"/>
      <c r="DL187" s="49"/>
      <c r="DM187" s="49"/>
      <c r="DN187" s="49"/>
      <c r="DO187" s="49"/>
      <c r="DP187" s="49"/>
      <c r="DQ187" s="49"/>
      <c r="DR187" s="49"/>
      <c r="DS187" s="49"/>
      <c r="DT187" s="49"/>
      <c r="DU187" s="49"/>
      <c r="DV187" s="49"/>
      <c r="DW187" s="49"/>
      <c r="DX187" s="49"/>
      <c r="DY187" s="49"/>
      <c r="DZ187" s="49"/>
      <c r="EA187" s="49"/>
      <c r="EB187" s="49"/>
      <c r="EC187" s="49"/>
      <c r="ED187" s="49"/>
      <c r="EE187" s="50"/>
      <c r="EF187" s="50"/>
      <c r="EG187" s="50"/>
      <c r="EH187" s="50"/>
      <c r="EI187" s="50"/>
      <c r="EJ187" s="50"/>
      <c r="EK187" s="50"/>
      <c r="EL187" s="50"/>
      <c r="EM187" s="50"/>
      <c r="EN187" s="50"/>
      <c r="EO187" s="50"/>
      <c r="EP187" s="50"/>
      <c r="EQ187" s="50"/>
      <c r="ER187" s="50"/>
      <c r="ES187" s="50"/>
      <c r="ET187" s="50"/>
      <c r="EU187" s="50"/>
      <c r="EV187" s="50"/>
      <c r="EW187" s="50"/>
      <c r="EX187" s="50"/>
      <c r="EY187" s="50"/>
      <c r="EZ187" s="50"/>
      <c r="FA187" s="50"/>
      <c r="FB187" s="50"/>
      <c r="FC187" s="50"/>
      <c r="FD187" s="50"/>
      <c r="FE187" s="50"/>
      <c r="FF187" s="50"/>
      <c r="FG187" s="50"/>
      <c r="FH187" s="50"/>
      <c r="FI187" s="50"/>
      <c r="FJ187" s="50"/>
      <c r="FK187" s="50"/>
      <c r="FL187" s="50"/>
      <c r="FM187" s="50"/>
      <c r="FN187" s="50"/>
    </row>
    <row r="188" spans="1:170" s="8" customFormat="1" ht="18" customHeight="1">
      <c r="A188" s="1977"/>
      <c r="B188" s="204"/>
      <c r="C188" s="14" t="str">
        <f>Begriffe!F65</f>
        <v xml:space="preserve">Jährlicher Heizwärmebedarf </v>
      </c>
      <c r="D188" s="14"/>
      <c r="E188" s="14"/>
      <c r="F188" s="14" t="str">
        <f>Begriffe!F380</f>
        <v>Ohne Fensterlüftung, ohne Prozessanlagen</v>
      </c>
      <c r="G188" s="14"/>
      <c r="H188" s="14"/>
      <c r="I188" s="126" t="s">
        <v>458</v>
      </c>
      <c r="J188" s="677" t="s">
        <v>441</v>
      </c>
      <c r="K188" s="677"/>
      <c r="L188" s="1351"/>
      <c r="M188" s="1776">
        <f>IF(L188&lt;&gt;"",L188,IF(OR(nutzid=44,nutzid=45),0,MAX(0,'SIA 380-1_EN'!P133/3.6)))</f>
        <v>14.042909215362824</v>
      </c>
      <c r="N188" s="1390">
        <f>MAX(0,'SIA 380-1'!P165/3.6)</f>
        <v>10.295092187550507</v>
      </c>
      <c r="O188" s="701">
        <f>MAX(0,'SIA 380-1'!P195/3.6)</f>
        <v>103.48468160361931</v>
      </c>
      <c r="P188" s="14">
        <v>1</v>
      </c>
      <c r="Q188" s="392">
        <v>1</v>
      </c>
      <c r="R188" s="14">
        <v>0</v>
      </c>
      <c r="S188" s="392"/>
      <c r="T188" s="89"/>
      <c r="U188" s="14"/>
      <c r="V188" s="158"/>
      <c r="W188" s="158"/>
      <c r="X188" s="158"/>
      <c r="Y188" s="64"/>
      <c r="Z188" s="243"/>
      <c r="AA188" s="158"/>
      <c r="AB188" s="65"/>
      <c r="AC188" s="89"/>
      <c r="AD188" s="89"/>
      <c r="AE188" s="7"/>
      <c r="AF188" s="7"/>
      <c r="AG188" s="7"/>
      <c r="AH188" s="7"/>
      <c r="AI188" s="7"/>
      <c r="AJ188" s="7"/>
      <c r="AK188" s="7"/>
      <c r="AL188" s="7"/>
      <c r="AM188" s="7"/>
      <c r="AN188" s="7"/>
      <c r="AO188" s="7"/>
      <c r="AP188" s="83"/>
      <c r="AQ188" s="83"/>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0"/>
      <c r="CA188" s="50"/>
      <c r="CB188" s="50"/>
      <c r="CC188" s="50"/>
      <c r="CD188" s="50"/>
      <c r="CE188" s="50"/>
      <c r="CF188" s="50"/>
      <c r="CG188" s="50"/>
      <c r="CH188" s="50"/>
      <c r="CI188" s="50"/>
      <c r="CJ188" s="50"/>
      <c r="CK188" s="50"/>
      <c r="CL188" s="50"/>
      <c r="CM188" s="50"/>
      <c r="CN188" s="50"/>
      <c r="CO188" s="50"/>
      <c r="CP188" s="50"/>
      <c r="CQ188" s="50"/>
      <c r="CR188" s="50"/>
      <c r="CS188" s="50"/>
      <c r="CT188" s="50"/>
      <c r="CU188" s="50"/>
      <c r="CV188" s="50"/>
      <c r="CW188" s="50"/>
      <c r="CX188" s="50"/>
      <c r="CY188" s="50"/>
      <c r="CZ188" s="50"/>
      <c r="DA188" s="50"/>
      <c r="DB188" s="50"/>
      <c r="DC188" s="50"/>
      <c r="DD188" s="50"/>
      <c r="DE188" s="49"/>
      <c r="DF188" s="49"/>
      <c r="DG188" s="49"/>
      <c r="DH188" s="49"/>
      <c r="DI188" s="49"/>
      <c r="DJ188" s="49"/>
      <c r="DK188" s="49"/>
      <c r="DL188" s="49"/>
      <c r="DM188" s="49"/>
      <c r="DN188" s="49"/>
      <c r="DO188" s="49"/>
      <c r="DP188" s="49"/>
      <c r="DQ188" s="49"/>
      <c r="DR188" s="49"/>
      <c r="DS188" s="49"/>
      <c r="DT188" s="49"/>
      <c r="DU188" s="49"/>
      <c r="DV188" s="49"/>
      <c r="DW188" s="49"/>
      <c r="DX188" s="49"/>
      <c r="DY188" s="49"/>
      <c r="DZ188" s="49"/>
      <c r="EA188" s="49"/>
      <c r="EB188" s="49"/>
      <c r="EC188" s="49"/>
      <c r="ED188" s="49"/>
      <c r="EE188" s="50"/>
      <c r="EF188" s="50"/>
      <c r="EG188" s="50"/>
      <c r="EH188" s="50"/>
      <c r="EI188" s="50"/>
      <c r="EJ188" s="50"/>
      <c r="EK188" s="50"/>
      <c r="EL188" s="50"/>
      <c r="EM188" s="50"/>
      <c r="EN188" s="50"/>
      <c r="EO188" s="50"/>
      <c r="EP188" s="50"/>
      <c r="EQ188" s="50"/>
      <c r="ER188" s="50"/>
      <c r="ES188" s="50"/>
      <c r="ET188" s="50"/>
      <c r="EU188" s="50"/>
      <c r="EV188" s="50"/>
      <c r="EW188" s="50"/>
      <c r="EX188" s="50"/>
      <c r="EY188" s="50"/>
      <c r="EZ188" s="50"/>
      <c r="FA188" s="50"/>
      <c r="FB188" s="50"/>
      <c r="FC188" s="50"/>
      <c r="FD188" s="50"/>
      <c r="FE188" s="50"/>
      <c r="FF188" s="50"/>
      <c r="FG188" s="50"/>
      <c r="FH188" s="50"/>
      <c r="FI188" s="50"/>
      <c r="FJ188" s="50"/>
      <c r="FK188" s="50"/>
      <c r="FL188" s="50"/>
      <c r="FM188" s="50"/>
      <c r="FN188" s="50"/>
    </row>
    <row r="189" spans="1:170" s="5" customFormat="1" ht="1.5" customHeight="1">
      <c r="A189" s="113"/>
      <c r="B189" s="495"/>
      <c r="C189" s="495"/>
      <c r="D189" s="495"/>
      <c r="E189" s="495"/>
      <c r="F189" s="495"/>
      <c r="G189" s="495"/>
      <c r="H189" s="495"/>
      <c r="I189" s="693"/>
      <c r="J189" s="694"/>
      <c r="K189" s="694"/>
      <c r="L189" s="122"/>
      <c r="M189" s="1771"/>
      <c r="N189" s="1733"/>
      <c r="O189" s="136"/>
      <c r="P189" s="14">
        <v>0</v>
      </c>
      <c r="Q189" s="392">
        <v>1</v>
      </c>
      <c r="R189" s="14">
        <v>0</v>
      </c>
      <c r="S189" s="618"/>
      <c r="T189" s="147"/>
      <c r="U189" s="147"/>
      <c r="V189" s="27"/>
      <c r="W189" s="138"/>
      <c r="X189" s="138"/>
      <c r="Y189" s="27"/>
      <c r="Z189" s="138"/>
      <c r="AA189" s="138"/>
      <c r="AB189" s="36"/>
      <c r="AC189" s="147"/>
      <c r="AD189" s="147"/>
      <c r="AE189" s="36"/>
      <c r="AF189" s="36"/>
      <c r="AG189" s="36"/>
      <c r="AH189" s="36"/>
      <c r="AI189" s="36"/>
      <c r="AJ189" s="36"/>
      <c r="AK189" s="36"/>
      <c r="AL189" s="36"/>
      <c r="AM189" s="36"/>
      <c r="AN189" s="84"/>
      <c r="AO189" s="84"/>
      <c r="AP189" s="85"/>
      <c r="AQ189" s="85"/>
      <c r="AR189" s="54"/>
      <c r="AS189" s="54"/>
      <c r="AT189" s="54"/>
      <c r="AU189" s="54"/>
      <c r="AV189" s="54"/>
      <c r="AW189" s="54"/>
      <c r="AX189" s="54"/>
      <c r="AY189" s="54"/>
      <c r="AZ189" s="54"/>
      <c r="BA189" s="54"/>
      <c r="BB189" s="54"/>
      <c r="BC189" s="54"/>
      <c r="BD189" s="54"/>
      <c r="BE189" s="54"/>
      <c r="BF189" s="54"/>
      <c r="BG189" s="54"/>
      <c r="BH189" s="54"/>
      <c r="BI189" s="54"/>
      <c r="BJ189" s="54"/>
      <c r="BK189" s="54"/>
      <c r="BL189" s="54"/>
      <c r="BM189" s="54"/>
      <c r="BN189" s="54"/>
      <c r="BO189" s="54"/>
      <c r="BP189" s="54"/>
      <c r="BQ189" s="54"/>
      <c r="BR189" s="54"/>
      <c r="BS189" s="54"/>
      <c r="BT189" s="54"/>
      <c r="BU189" s="54"/>
      <c r="BV189" s="54"/>
      <c r="BW189" s="54"/>
      <c r="BX189" s="54"/>
      <c r="BY189" s="54"/>
      <c r="BZ189" s="54"/>
      <c r="CA189" s="54"/>
      <c r="CB189" s="54"/>
      <c r="CC189" s="54"/>
      <c r="CD189" s="54"/>
      <c r="CE189" s="54"/>
      <c r="CF189" s="54"/>
      <c r="CG189" s="54"/>
      <c r="CH189" s="54"/>
      <c r="CI189" s="54"/>
      <c r="CJ189" s="54"/>
      <c r="CK189" s="54"/>
      <c r="CL189" s="54"/>
      <c r="CM189" s="54"/>
      <c r="CN189" s="54"/>
      <c r="CO189" s="54"/>
      <c r="CP189" s="54"/>
      <c r="CQ189" s="54"/>
      <c r="CR189" s="54"/>
      <c r="CS189" s="54"/>
      <c r="CT189" s="54"/>
      <c r="CU189" s="54"/>
      <c r="CV189" s="55"/>
      <c r="CW189" s="55"/>
      <c r="CX189" s="55"/>
      <c r="CY189" s="55"/>
      <c r="CZ189" s="55"/>
      <c r="DA189" s="55"/>
      <c r="DB189" s="55"/>
      <c r="DC189" s="55"/>
      <c r="DD189" s="55"/>
      <c r="DE189" s="55"/>
      <c r="DF189" s="55"/>
      <c r="DG189" s="55"/>
      <c r="DH189" s="55"/>
      <c r="DI189" s="55"/>
      <c r="DJ189" s="55"/>
      <c r="DK189" s="55"/>
      <c r="DL189" s="55"/>
      <c r="DM189" s="55"/>
      <c r="DN189" s="55"/>
      <c r="DO189" s="55"/>
      <c r="DP189" s="55"/>
      <c r="DQ189" s="55"/>
      <c r="DR189" s="55"/>
      <c r="DS189" s="55"/>
      <c r="DT189" s="55"/>
      <c r="DU189" s="55"/>
      <c r="DV189" s="55"/>
      <c r="DW189" s="55"/>
      <c r="DX189" s="55"/>
      <c r="DY189" s="55"/>
      <c r="DZ189" s="55"/>
      <c r="EA189" s="55"/>
      <c r="EB189" s="55"/>
      <c r="EC189" s="55"/>
      <c r="ED189" s="55"/>
      <c r="EE189" s="53"/>
      <c r="EF189" s="53"/>
      <c r="EG189" s="53"/>
      <c r="EH189" s="53"/>
      <c r="EI189" s="53"/>
      <c r="EJ189" s="53"/>
      <c r="EK189" s="53"/>
      <c r="EL189" s="53"/>
      <c r="EM189" s="53"/>
      <c r="EN189" s="53"/>
      <c r="EO189" s="53"/>
      <c r="EP189" s="53"/>
      <c r="EQ189" s="53"/>
      <c r="ER189" s="53"/>
      <c r="ES189" s="53"/>
      <c r="ET189" s="53"/>
      <c r="EU189" s="53"/>
      <c r="EV189" s="53"/>
      <c r="EW189" s="53"/>
      <c r="EX189" s="53"/>
      <c r="EY189" s="53"/>
      <c r="EZ189" s="53"/>
      <c r="FA189" s="53"/>
      <c r="FB189" s="53"/>
      <c r="FC189" s="53"/>
      <c r="FD189" s="53"/>
      <c r="FE189" s="53"/>
      <c r="FF189" s="53"/>
      <c r="FG189" s="53"/>
      <c r="FH189" s="53"/>
      <c r="FI189" s="53"/>
      <c r="FJ189" s="53"/>
      <c r="FK189" s="53"/>
      <c r="FL189" s="53"/>
      <c r="FM189" s="53"/>
      <c r="FN189" s="53"/>
    </row>
    <row r="190" spans="1:170" s="9" customFormat="1" ht="18" customHeight="1">
      <c r="A190" s="1976" t="str">
        <f>Begriffe!F223</f>
        <v>Wasser</v>
      </c>
      <c r="B190" s="204"/>
      <c r="C190" s="14" t="str">
        <f>Begriffe!F36</f>
        <v>Bezugseinheit</v>
      </c>
      <c r="D190" s="14"/>
      <c r="E190" s="14"/>
      <c r="F190" s="14"/>
      <c r="G190" s="14"/>
      <c r="H190" s="14"/>
      <c r="I190" s="98"/>
      <c r="J190" s="678"/>
      <c r="K190" s="377"/>
      <c r="L190" s="100"/>
      <c r="M190" s="1751" t="str">
        <f>IF(INDEX(Eingabedaten!$D$9:$DN$53,nutzid,MATCH($C190,Eingabedaten!$D$6:$DN$6,0))=0,"",INDEX(Eingabedaten!$D$9:$DN$53,nutzid,MATCH($C190,Eingabedaten!$D$6:$DN$6,0)))</f>
        <v>Person</v>
      </c>
      <c r="N190" s="1378"/>
      <c r="O190" s="149"/>
      <c r="P190" s="14">
        <v>0</v>
      </c>
      <c r="Q190" s="14">
        <v>1</v>
      </c>
      <c r="R190" s="14">
        <v>0</v>
      </c>
      <c r="S190" s="243"/>
      <c r="V190" s="64"/>
      <c r="W190" s="158"/>
      <c r="X190" s="158"/>
      <c r="Y190" s="64"/>
      <c r="Z190" s="158"/>
      <c r="AA190" s="158"/>
      <c r="AB190" s="65"/>
      <c r="AC190" s="89"/>
      <c r="AD190" s="89"/>
      <c r="AE190" s="65"/>
      <c r="AF190" s="65"/>
      <c r="AG190" s="65"/>
      <c r="AH190" s="65"/>
      <c r="AI190" s="65"/>
      <c r="AJ190" s="65"/>
      <c r="AK190" s="65"/>
      <c r="AL190" s="65"/>
      <c r="AM190" s="65"/>
      <c r="AN190" s="66"/>
      <c r="AO190" s="66"/>
      <c r="AP190" s="81"/>
      <c r="AQ190" s="81"/>
      <c r="AR190" s="42"/>
      <c r="AS190" s="42"/>
      <c r="AT190" s="42"/>
      <c r="AU190" s="42"/>
      <c r="AV190" s="42"/>
      <c r="AW190" s="42"/>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c r="CD190" s="42"/>
      <c r="CE190" s="42"/>
      <c r="CF190" s="42"/>
      <c r="CG190" s="42"/>
      <c r="CH190" s="42"/>
      <c r="CI190" s="42"/>
      <c r="CJ190" s="42"/>
      <c r="CK190" s="42"/>
      <c r="CL190" s="42"/>
      <c r="CM190" s="42"/>
      <c r="CN190" s="42"/>
      <c r="CO190" s="42"/>
      <c r="CP190" s="42"/>
      <c r="CQ190" s="42"/>
      <c r="CR190" s="42"/>
      <c r="CS190" s="42"/>
      <c r="CT190" s="42"/>
      <c r="CU190" s="42"/>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row>
    <row r="191" spans="1:170" s="9" customFormat="1" ht="18" customHeight="1">
      <c r="A191" s="1976"/>
      <c r="B191" s="204"/>
      <c r="C191" s="14" t="str">
        <f>Begriffe!F86</f>
        <v>Nutzwarmwasserbedarf pro Bezugseinheit</v>
      </c>
      <c r="D191" s="14"/>
      <c r="E191" s="14"/>
      <c r="F191" s="14" t="s">
        <v>1869</v>
      </c>
      <c r="G191" s="14"/>
      <c r="H191" s="14"/>
      <c r="I191" s="126" t="s">
        <v>584</v>
      </c>
      <c r="J191" s="678" t="s">
        <v>544</v>
      </c>
      <c r="K191" s="377"/>
      <c r="L191" s="1782"/>
      <c r="M191" s="1751">
        <f>IF(L191&lt;&gt;"",L191,INDEX(Eingabedaten!$D$9:$DN$53,nutzid,MATCH($C191,Eingabedaten!$D$6:$DN$6,0)))</f>
        <v>35</v>
      </c>
      <c r="N191" s="1378"/>
      <c r="O191" s="149"/>
      <c r="P191" s="14">
        <v>0</v>
      </c>
      <c r="Q191" s="14">
        <v>1</v>
      </c>
      <c r="R191" s="14">
        <v>0</v>
      </c>
      <c r="S191" s="243"/>
      <c r="V191" s="64"/>
      <c r="W191" s="158"/>
      <c r="X191" s="158"/>
      <c r="Y191" s="64"/>
      <c r="Z191" s="158"/>
      <c r="AA191" s="158"/>
      <c r="AB191" s="65"/>
      <c r="AC191" s="89"/>
      <c r="AD191" s="89"/>
      <c r="AE191" s="65"/>
      <c r="AF191" s="65"/>
      <c r="AG191" s="65"/>
      <c r="AH191" s="65"/>
      <c r="AI191" s="65"/>
      <c r="AJ191" s="65"/>
      <c r="AK191" s="65"/>
      <c r="AL191" s="65"/>
      <c r="AM191" s="65"/>
      <c r="AN191" s="66"/>
      <c r="AO191" s="66"/>
      <c r="AP191" s="81"/>
      <c r="AQ191" s="81"/>
      <c r="AR191" s="42"/>
      <c r="AS191" s="42"/>
      <c r="AT191" s="42"/>
      <c r="AU191" s="42"/>
      <c r="AV191" s="42"/>
      <c r="AW191" s="42"/>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c r="CD191" s="42"/>
      <c r="CE191" s="42"/>
      <c r="CF191" s="42"/>
      <c r="CG191" s="42"/>
      <c r="CH191" s="42"/>
      <c r="CI191" s="42"/>
      <c r="CJ191" s="42"/>
      <c r="CK191" s="42"/>
      <c r="CL191" s="42"/>
      <c r="CM191" s="42"/>
      <c r="CN191" s="42"/>
      <c r="CO191" s="42"/>
      <c r="CP191" s="42"/>
      <c r="CQ191" s="42"/>
      <c r="CR191" s="42"/>
      <c r="CS191" s="42"/>
      <c r="CT191" s="42"/>
      <c r="CU191" s="42"/>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6"/>
      <c r="EF191" s="46"/>
      <c r="EG191" s="46"/>
      <c r="EH191" s="46"/>
      <c r="EI191" s="46"/>
      <c r="EJ191" s="46"/>
      <c r="EK191" s="46"/>
      <c r="EL191" s="46"/>
      <c r="EM191" s="46"/>
      <c r="EN191" s="46"/>
      <c r="EO191" s="46"/>
      <c r="EP191" s="46"/>
      <c r="EQ191" s="46"/>
      <c r="ER191" s="46"/>
      <c r="ES191" s="46"/>
      <c r="ET191" s="46"/>
      <c r="EU191" s="46"/>
      <c r="EV191" s="46"/>
      <c r="EW191" s="46"/>
      <c r="EX191" s="46"/>
      <c r="EY191" s="46"/>
      <c r="EZ191" s="46"/>
      <c r="FA191" s="46"/>
      <c r="FB191" s="46"/>
      <c r="FC191" s="46"/>
      <c r="FD191" s="46"/>
      <c r="FE191" s="46"/>
      <c r="FF191" s="46"/>
      <c r="FG191" s="46"/>
      <c r="FH191" s="46"/>
      <c r="FI191" s="46"/>
      <c r="FJ191" s="46"/>
      <c r="FK191" s="46"/>
      <c r="FL191" s="46"/>
      <c r="FM191" s="46"/>
      <c r="FN191" s="46"/>
    </row>
    <row r="192" spans="1:170" s="9" customFormat="1" ht="18" customHeight="1">
      <c r="A192" s="1976"/>
      <c r="B192" s="204"/>
      <c r="C192" s="14" t="str">
        <f>Begriffe!F29</f>
        <v>Anzahl Bezugseinheiten pro Person</v>
      </c>
      <c r="D192" s="14"/>
      <c r="E192" s="14"/>
      <c r="F192" s="14"/>
      <c r="G192" s="14"/>
      <c r="H192" s="14"/>
      <c r="I192" s="98"/>
      <c r="J192" s="678"/>
      <c r="K192" s="377"/>
      <c r="L192" s="1783"/>
      <c r="M192" s="1751">
        <f>IF(L192&lt;&gt;"",L192,INDEX(Eingabedaten!$D$9:$DN$53,nutzid,MATCH($C192,Eingabedaten!$D$6:$DN$6,0)))</f>
        <v>1</v>
      </c>
      <c r="N192" s="1378"/>
      <c r="O192" s="149"/>
      <c r="P192" s="14">
        <v>0</v>
      </c>
      <c r="Q192" s="14">
        <v>1</v>
      </c>
      <c r="R192" s="14">
        <v>0</v>
      </c>
      <c r="S192" s="243"/>
      <c r="V192" s="64"/>
      <c r="W192" s="158"/>
      <c r="X192" s="158"/>
      <c r="Y192" s="64"/>
      <c r="Z192" s="158"/>
      <c r="AA192" s="158"/>
      <c r="AB192" s="65"/>
      <c r="AC192" s="89"/>
      <c r="AD192" s="89"/>
      <c r="AE192" s="65"/>
      <c r="AF192" s="65"/>
      <c r="AG192" s="65"/>
      <c r="AH192" s="65"/>
      <c r="AI192" s="65"/>
      <c r="AJ192" s="65"/>
      <c r="AK192" s="65"/>
      <c r="AL192" s="65"/>
      <c r="AM192" s="65"/>
      <c r="AN192" s="66"/>
      <c r="AO192" s="66"/>
      <c r="AP192" s="81"/>
      <c r="AQ192" s="81"/>
      <c r="AR192" s="42"/>
      <c r="AS192" s="42"/>
      <c r="AT192" s="42"/>
      <c r="AU192" s="42"/>
      <c r="AV192" s="42"/>
      <c r="AW192" s="42"/>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c r="CD192" s="42"/>
      <c r="CE192" s="42"/>
      <c r="CF192" s="42"/>
      <c r="CG192" s="42"/>
      <c r="CH192" s="42"/>
      <c r="CI192" s="42"/>
      <c r="CJ192" s="42"/>
      <c r="CK192" s="42"/>
      <c r="CL192" s="42"/>
      <c r="CM192" s="42"/>
      <c r="CN192" s="42"/>
      <c r="CO192" s="42"/>
      <c r="CP192" s="42"/>
      <c r="CQ192" s="42"/>
      <c r="CR192" s="42"/>
      <c r="CS192" s="42"/>
      <c r="CT192" s="42"/>
      <c r="CU192" s="42"/>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6"/>
      <c r="EF192" s="46"/>
      <c r="EG192" s="46"/>
      <c r="EH192" s="46"/>
      <c r="EI192" s="46"/>
      <c r="EJ192" s="46"/>
      <c r="EK192" s="46"/>
      <c r="EL192" s="46"/>
      <c r="EM192" s="46"/>
      <c r="EN192" s="46"/>
      <c r="EO192" s="46"/>
      <c r="EP192" s="46"/>
      <c r="EQ192" s="46"/>
      <c r="ER192" s="46"/>
      <c r="ES192" s="46"/>
      <c r="ET192" s="46"/>
      <c r="EU192" s="46"/>
      <c r="EV192" s="46"/>
      <c r="EW192" s="46"/>
      <c r="EX192" s="46"/>
      <c r="EY192" s="46"/>
      <c r="EZ192" s="46"/>
      <c r="FA192" s="46"/>
      <c r="FB192" s="46"/>
      <c r="FC192" s="46"/>
      <c r="FD192" s="46"/>
      <c r="FE192" s="46"/>
      <c r="FF192" s="46"/>
      <c r="FG192" s="46"/>
      <c r="FH192" s="46"/>
      <c r="FI192" s="46"/>
      <c r="FJ192" s="46"/>
      <c r="FK192" s="46"/>
      <c r="FL192" s="46"/>
      <c r="FM192" s="46"/>
      <c r="FN192" s="46"/>
    </row>
    <row r="193" spans="1:175" s="9" customFormat="1" ht="18" customHeight="1">
      <c r="A193" s="1976"/>
      <c r="B193" s="204"/>
      <c r="C193" s="14" t="str">
        <f>Begriffe!F125</f>
        <v>Warmwasserbedarf pro Person</v>
      </c>
      <c r="D193" s="14"/>
      <c r="E193" s="14"/>
      <c r="F193" s="14" t="s">
        <v>1869</v>
      </c>
      <c r="G193" s="14"/>
      <c r="H193" s="14"/>
      <c r="I193" s="126" t="s">
        <v>582</v>
      </c>
      <c r="J193" s="678" t="s">
        <v>544</v>
      </c>
      <c r="K193" s="377"/>
      <c r="L193" s="102"/>
      <c r="M193" s="1751">
        <f>M191*M192</f>
        <v>35</v>
      </c>
      <c r="N193" s="1378"/>
      <c r="O193" s="149"/>
      <c r="P193" s="14">
        <v>1</v>
      </c>
      <c r="Q193" s="14">
        <v>1</v>
      </c>
      <c r="R193" s="14">
        <v>0</v>
      </c>
      <c r="S193" s="243"/>
      <c r="V193" s="64"/>
      <c r="W193" s="158"/>
      <c r="X193" s="158"/>
      <c r="Y193" s="64"/>
      <c r="Z193" s="158"/>
      <c r="AA193" s="158"/>
      <c r="AB193" s="65"/>
      <c r="AC193" s="89"/>
      <c r="AD193" s="89"/>
      <c r="AE193" s="65"/>
      <c r="AF193" s="65"/>
      <c r="AG193" s="65"/>
      <c r="AH193" s="65"/>
      <c r="AI193" s="65"/>
      <c r="AJ193" s="65"/>
      <c r="AK193" s="65"/>
      <c r="AL193" s="65"/>
      <c r="AM193" s="65"/>
      <c r="AN193" s="66"/>
      <c r="AO193" s="66"/>
      <c r="AP193" s="81"/>
      <c r="AQ193" s="81"/>
      <c r="AR193" s="42"/>
      <c r="AS193" s="42"/>
      <c r="AT193" s="42"/>
      <c r="AU193" s="42"/>
      <c r="AV193" s="42"/>
      <c r="AW193" s="42"/>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c r="CD193" s="42"/>
      <c r="CE193" s="42"/>
      <c r="CF193" s="42"/>
      <c r="CG193" s="42"/>
      <c r="CH193" s="42"/>
      <c r="CI193" s="42"/>
      <c r="CJ193" s="42"/>
      <c r="CK193" s="42"/>
      <c r="CL193" s="42"/>
      <c r="CM193" s="42"/>
      <c r="CN193" s="42"/>
      <c r="CO193" s="42"/>
      <c r="CP193" s="42"/>
      <c r="CQ193" s="42"/>
      <c r="CR193" s="42"/>
      <c r="CS193" s="42"/>
      <c r="CT193" s="42"/>
      <c r="CU193" s="42"/>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6"/>
      <c r="EF193" s="46"/>
      <c r="EG193" s="46"/>
      <c r="EH193" s="46"/>
      <c r="EI193" s="46"/>
      <c r="EJ193" s="46"/>
      <c r="EK193" s="46"/>
      <c r="EL193" s="46"/>
      <c r="EM193" s="46"/>
      <c r="EN193" s="46"/>
      <c r="EO193" s="46"/>
      <c r="EP193" s="46"/>
      <c r="EQ193" s="46"/>
      <c r="ER193" s="46"/>
      <c r="ES193" s="46"/>
      <c r="ET193" s="46"/>
      <c r="EU193" s="46"/>
      <c r="EV193" s="46"/>
      <c r="EW193" s="46"/>
      <c r="EX193" s="46"/>
      <c r="EY193" s="46"/>
      <c r="EZ193" s="46"/>
      <c r="FA193" s="46"/>
      <c r="FB193" s="46"/>
      <c r="FC193" s="46"/>
      <c r="FD193" s="46"/>
      <c r="FE193" s="46"/>
      <c r="FF193" s="46"/>
      <c r="FG193" s="46"/>
      <c r="FH193" s="46"/>
      <c r="FI193" s="46"/>
      <c r="FJ193" s="46"/>
      <c r="FK193" s="46"/>
      <c r="FL193" s="46"/>
      <c r="FM193" s="46"/>
      <c r="FN193" s="46"/>
    </row>
    <row r="194" spans="1:175" s="9" customFormat="1" ht="18" customHeight="1">
      <c r="A194" s="1976"/>
      <c r="B194" s="204"/>
      <c r="C194" s="14" t="str">
        <f>Begriffe!F111</f>
        <v>Verhältnis Wasserbedarf zu Warmwasserbedarf</v>
      </c>
      <c r="D194" s="14"/>
      <c r="E194" s="14"/>
      <c r="F194" s="14"/>
      <c r="G194" s="14"/>
      <c r="H194" s="14"/>
      <c r="I194" s="98"/>
      <c r="J194" s="678"/>
      <c r="K194" s="377"/>
      <c r="L194" s="1783"/>
      <c r="M194" s="1752">
        <f>IF(L194&lt;&gt;"",L194,INDEX(Eingabedaten!$D$9:$DN$53,nutzid,MATCH($C194,Eingabedaten!$D$6:$DN$6,0)))</f>
        <v>4</v>
      </c>
      <c r="N194" s="1378"/>
      <c r="O194" s="149"/>
      <c r="P194" s="14">
        <v>0</v>
      </c>
      <c r="Q194" s="14">
        <v>1</v>
      </c>
      <c r="R194" s="14">
        <v>0</v>
      </c>
      <c r="S194" s="243"/>
      <c r="V194" s="64"/>
      <c r="W194" s="158"/>
      <c r="X194" s="158"/>
      <c r="Y194" s="64"/>
      <c r="Z194" s="158"/>
      <c r="AA194" s="158"/>
      <c r="AB194" s="65"/>
      <c r="AC194" s="89"/>
      <c r="AD194" s="89"/>
      <c r="AE194" s="65"/>
      <c r="AF194" s="65"/>
      <c r="AG194" s="65"/>
      <c r="AH194" s="65"/>
      <c r="AI194" s="65"/>
      <c r="AJ194" s="65"/>
      <c r="AK194" s="65"/>
      <c r="AL194" s="65"/>
      <c r="AM194" s="65"/>
      <c r="AN194" s="66"/>
      <c r="AO194" s="66"/>
      <c r="AP194" s="81"/>
      <c r="AQ194" s="81"/>
      <c r="AR194" s="42"/>
      <c r="AS194" s="42"/>
      <c r="AT194" s="42"/>
      <c r="AU194" s="42"/>
      <c r="AV194" s="42"/>
      <c r="AW194" s="42"/>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c r="CD194" s="42"/>
      <c r="CE194" s="42"/>
      <c r="CF194" s="42"/>
      <c r="CG194" s="42"/>
      <c r="CH194" s="42"/>
      <c r="CI194" s="42"/>
      <c r="CJ194" s="42"/>
      <c r="CK194" s="42"/>
      <c r="CL194" s="42"/>
      <c r="CM194" s="42"/>
      <c r="CN194" s="42"/>
      <c r="CO194" s="42"/>
      <c r="CP194" s="42"/>
      <c r="CQ194" s="42"/>
      <c r="CR194" s="42"/>
      <c r="CS194" s="42"/>
      <c r="CT194" s="42"/>
      <c r="CU194" s="42"/>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6"/>
      <c r="EF194" s="46"/>
      <c r="EG194" s="46"/>
      <c r="EH194" s="46"/>
      <c r="EI194" s="46"/>
      <c r="EJ194" s="46"/>
      <c r="EK194" s="46"/>
      <c r="EL194" s="46"/>
      <c r="EM194" s="46"/>
      <c r="EN194" s="46"/>
      <c r="EO194" s="46"/>
      <c r="EP194" s="46"/>
      <c r="EQ194" s="46"/>
      <c r="ER194" s="46"/>
      <c r="ES194" s="46"/>
      <c r="ET194" s="46"/>
      <c r="EU194" s="46"/>
      <c r="EV194" s="46"/>
      <c r="EW194" s="46"/>
      <c r="EX194" s="46"/>
      <c r="EY194" s="46"/>
      <c r="EZ194" s="46"/>
      <c r="FA194" s="46"/>
      <c r="FB194" s="46"/>
      <c r="FC194" s="46"/>
      <c r="FD194" s="46"/>
      <c r="FE194" s="46"/>
      <c r="FF194" s="46"/>
      <c r="FG194" s="46"/>
      <c r="FH194" s="46"/>
      <c r="FI194" s="46"/>
      <c r="FJ194" s="46"/>
      <c r="FK194" s="46"/>
      <c r="FL194" s="46"/>
      <c r="FM194" s="46"/>
      <c r="FN194" s="46"/>
    </row>
    <row r="195" spans="1:175" s="9" customFormat="1" ht="18" customHeight="1">
      <c r="A195" s="1976"/>
      <c r="B195" s="204"/>
      <c r="C195" s="14" t="str">
        <f>Begriffe!F126</f>
        <v>Wasserbedarf pro Person</v>
      </c>
      <c r="D195" s="14"/>
      <c r="E195" s="14"/>
      <c r="F195" s="14" t="str">
        <f>Begriffe!F370</f>
        <v>Warm- und Kaltwasser</v>
      </c>
      <c r="G195" s="14"/>
      <c r="H195" s="14"/>
      <c r="I195" s="126" t="s">
        <v>583</v>
      </c>
      <c r="J195" s="678" t="s">
        <v>544</v>
      </c>
      <c r="K195" s="377"/>
      <c r="L195" s="100"/>
      <c r="M195" s="1752">
        <f>M193*M194</f>
        <v>140</v>
      </c>
      <c r="N195" s="1378"/>
      <c r="O195" s="149"/>
      <c r="P195" s="14">
        <v>1</v>
      </c>
      <c r="Q195" s="14">
        <v>1</v>
      </c>
      <c r="R195" s="14">
        <v>0</v>
      </c>
      <c r="S195" s="243"/>
      <c r="V195" s="64"/>
      <c r="W195" s="158"/>
      <c r="X195" s="158"/>
      <c r="Y195" s="64"/>
      <c r="Z195" s="158"/>
      <c r="AA195" s="158"/>
      <c r="AB195" s="65"/>
      <c r="AC195" s="89"/>
      <c r="AD195" s="89"/>
      <c r="AE195" s="65"/>
      <c r="AF195" s="65"/>
      <c r="AG195" s="65"/>
      <c r="AH195" s="65"/>
      <c r="AI195" s="65"/>
      <c r="AJ195" s="65"/>
      <c r="AK195" s="65"/>
      <c r="AL195" s="65"/>
      <c r="AM195" s="65"/>
      <c r="AN195" s="66"/>
      <c r="AO195" s="66"/>
      <c r="AP195" s="81"/>
      <c r="AQ195" s="81"/>
      <c r="AR195" s="42"/>
      <c r="AS195" s="42"/>
      <c r="AT195" s="42"/>
      <c r="AU195" s="42"/>
      <c r="AV195" s="42"/>
      <c r="AW195" s="42"/>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c r="CD195" s="42"/>
      <c r="CE195" s="42"/>
      <c r="CF195" s="42"/>
      <c r="CG195" s="42"/>
      <c r="CH195" s="42"/>
      <c r="CI195" s="42"/>
      <c r="CJ195" s="42"/>
      <c r="CK195" s="42"/>
      <c r="CL195" s="42"/>
      <c r="CM195" s="42"/>
      <c r="CN195" s="42"/>
      <c r="CO195" s="42"/>
      <c r="CP195" s="42"/>
      <c r="CQ195" s="42"/>
      <c r="CR195" s="42"/>
      <c r="CS195" s="42"/>
      <c r="CT195" s="42"/>
      <c r="CU195" s="42"/>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row>
    <row r="196" spans="1:175" s="14" customFormat="1" ht="18" customHeight="1">
      <c r="A196" s="1977"/>
      <c r="B196" s="204"/>
      <c r="C196" s="1986" t="str">
        <f>Begriffe!F67</f>
        <v>Jährlicher Wärmebedarf für Warmwasser</v>
      </c>
      <c r="D196" s="1986"/>
      <c r="E196" s="1986"/>
      <c r="F196" s="14" t="s">
        <v>1870</v>
      </c>
      <c r="I196" s="126" t="s">
        <v>449</v>
      </c>
      <c r="J196" s="677" t="s">
        <v>441</v>
      </c>
      <c r="K196" s="677"/>
      <c r="L196" s="125"/>
      <c r="M196" s="1777">
        <f>IF($M$58=0,0,$M193*0.058*$M55/$M$58*$M$56)</f>
        <v>16.936000000000003</v>
      </c>
      <c r="N196" s="1391">
        <f>IF($M$58=0,0,$M193*0.058*$M55/$M$58*$M$56)</f>
        <v>16.936000000000003</v>
      </c>
      <c r="O196" s="695">
        <f>IF($M$58=0,0,$M193*0.058*$M55/$M$58*$M$56)</f>
        <v>16.936000000000003</v>
      </c>
      <c r="P196" s="14">
        <v>1</v>
      </c>
      <c r="Q196" s="392">
        <v>1</v>
      </c>
      <c r="R196" s="14">
        <v>0</v>
      </c>
      <c r="S196" s="14" t="s">
        <v>56</v>
      </c>
      <c r="T196" s="7"/>
      <c r="U196" s="7"/>
      <c r="V196" s="63"/>
      <c r="W196" s="63"/>
      <c r="X196" s="64"/>
      <c r="Y196" s="63"/>
      <c r="Z196" s="63"/>
      <c r="AA196" s="63"/>
      <c r="AB196" s="63"/>
      <c r="AC196" s="63"/>
      <c r="AD196" s="63"/>
      <c r="AE196" s="63"/>
      <c r="AF196" s="7"/>
      <c r="AG196" s="7"/>
      <c r="AH196" s="7"/>
      <c r="AI196" s="7"/>
      <c r="AJ196" s="7"/>
      <c r="AK196" s="7"/>
      <c r="AL196" s="7"/>
      <c r="AM196" s="7"/>
      <c r="AN196" s="7"/>
      <c r="AO196" s="7"/>
      <c r="AP196" s="7"/>
      <c r="AQ196" s="7"/>
      <c r="AR196" s="7"/>
      <c r="AS196" s="7"/>
      <c r="AT196" s="7"/>
      <c r="AU196" s="83"/>
      <c r="AV196" s="83"/>
      <c r="AW196" s="50"/>
      <c r="AX196" s="50"/>
      <c r="AY196" s="50"/>
      <c r="AZ196" s="50"/>
      <c r="BA196" s="50"/>
      <c r="BB196" s="50"/>
      <c r="BC196" s="50"/>
      <c r="BD196" s="50"/>
      <c r="BE196" s="50"/>
      <c r="BF196" s="50"/>
      <c r="BG196" s="50"/>
      <c r="BH196" s="50"/>
      <c r="BI196" s="50"/>
      <c r="BJ196" s="50"/>
      <c r="BK196" s="50"/>
      <c r="BL196" s="50"/>
      <c r="BM196" s="50"/>
      <c r="BN196" s="50"/>
      <c r="BO196" s="50"/>
      <c r="BP196" s="50"/>
      <c r="BQ196" s="50"/>
      <c r="BR196" s="50"/>
      <c r="BS196" s="50"/>
      <c r="BT196" s="50"/>
      <c r="BU196" s="50"/>
      <c r="BV196" s="50"/>
      <c r="BW196" s="50"/>
      <c r="BX196" s="50"/>
      <c r="BY196" s="50"/>
      <c r="BZ196" s="50"/>
      <c r="CA196" s="50"/>
      <c r="CB196" s="50"/>
      <c r="CC196" s="50"/>
      <c r="CD196" s="50"/>
      <c r="CE196" s="50"/>
      <c r="CF196" s="50"/>
      <c r="CG196" s="50"/>
      <c r="CH196" s="50"/>
      <c r="CI196" s="50"/>
      <c r="CJ196" s="50"/>
      <c r="CK196" s="50"/>
      <c r="CL196" s="50"/>
      <c r="CM196" s="50"/>
      <c r="CN196" s="50"/>
      <c r="CO196" s="50"/>
      <c r="CP196" s="50"/>
      <c r="CQ196" s="50"/>
      <c r="CR196" s="50"/>
      <c r="CS196" s="50"/>
      <c r="CT196" s="50"/>
      <c r="CU196" s="50"/>
      <c r="CV196" s="50"/>
      <c r="CW196" s="50"/>
      <c r="CX196" s="50"/>
      <c r="CY196" s="50"/>
      <c r="CZ196" s="50"/>
      <c r="DA196" s="50"/>
      <c r="DB196" s="50"/>
      <c r="DC196" s="50"/>
      <c r="DD196" s="50"/>
      <c r="DE196" s="50"/>
      <c r="DF196" s="50"/>
      <c r="DG196" s="50"/>
      <c r="DH196" s="50"/>
      <c r="DI196" s="50"/>
      <c r="DJ196" s="49"/>
      <c r="DK196" s="49"/>
      <c r="DL196" s="49"/>
      <c r="DM196" s="49"/>
      <c r="DN196" s="49"/>
      <c r="DO196" s="49"/>
      <c r="DP196" s="49"/>
      <c r="DQ196" s="49"/>
      <c r="DR196" s="49"/>
      <c r="DS196" s="49"/>
      <c r="DT196" s="49"/>
      <c r="DU196" s="49"/>
      <c r="DV196" s="49"/>
      <c r="DW196" s="49"/>
      <c r="DX196" s="49"/>
      <c r="DY196" s="49"/>
      <c r="DZ196" s="49"/>
      <c r="EA196" s="49"/>
      <c r="EB196" s="49"/>
      <c r="EC196" s="49"/>
      <c r="ED196" s="49"/>
      <c r="EE196" s="49"/>
      <c r="EF196" s="49"/>
      <c r="EG196" s="49"/>
      <c r="EH196" s="49"/>
      <c r="EI196" s="49"/>
      <c r="EJ196" s="50"/>
      <c r="EK196" s="50"/>
      <c r="EL196" s="50"/>
      <c r="EM196" s="50"/>
      <c r="EN196" s="50"/>
      <c r="EO196" s="50"/>
      <c r="EP196" s="50"/>
      <c r="EQ196" s="50"/>
      <c r="ER196" s="50"/>
      <c r="ES196" s="50"/>
      <c r="ET196" s="50"/>
      <c r="EU196" s="50"/>
      <c r="EV196" s="50"/>
      <c r="EW196" s="50"/>
      <c r="EX196" s="50"/>
      <c r="EY196" s="50"/>
      <c r="EZ196" s="50"/>
      <c r="FA196" s="50"/>
      <c r="FB196" s="50"/>
      <c r="FC196" s="50"/>
      <c r="FD196" s="50"/>
      <c r="FE196" s="50"/>
      <c r="FF196" s="50"/>
      <c r="FG196" s="50"/>
      <c r="FH196" s="50"/>
      <c r="FI196" s="50"/>
      <c r="FJ196" s="50"/>
      <c r="FK196" s="50"/>
      <c r="FL196" s="50"/>
      <c r="FM196" s="50"/>
      <c r="FN196" s="50"/>
      <c r="FO196" s="50"/>
      <c r="FP196" s="50"/>
      <c r="FQ196" s="50"/>
      <c r="FR196" s="50"/>
      <c r="FS196" s="50"/>
    </row>
    <row r="197" spans="1:175" s="5" customFormat="1" ht="1.5" customHeight="1">
      <c r="A197" s="113"/>
      <c r="B197" s="495"/>
      <c r="C197" s="495"/>
      <c r="D197" s="495"/>
      <c r="E197" s="495"/>
      <c r="F197" s="495"/>
      <c r="G197" s="495"/>
      <c r="H197" s="495"/>
      <c r="I197" s="693"/>
      <c r="J197" s="694"/>
      <c r="K197" s="694"/>
      <c r="L197" s="122"/>
      <c r="M197" s="1771"/>
      <c r="N197" s="1733"/>
      <c r="O197" s="136"/>
      <c r="P197" s="379"/>
      <c r="Q197" s="392">
        <v>1</v>
      </c>
      <c r="R197" s="1"/>
      <c r="T197" s="1"/>
      <c r="U197" s="1"/>
      <c r="V197" s="25"/>
      <c r="W197" s="25"/>
      <c r="X197" s="27"/>
      <c r="Y197" s="27"/>
      <c r="Z197" s="27"/>
      <c r="AA197" s="27"/>
      <c r="AB197" s="27"/>
      <c r="AC197" s="27"/>
      <c r="AD197" s="27"/>
      <c r="AE197" s="27"/>
      <c r="AF197" s="36"/>
      <c r="AG197" s="36"/>
      <c r="AH197" s="36"/>
      <c r="AI197" s="36"/>
      <c r="AJ197" s="36"/>
      <c r="AK197" s="36"/>
      <c r="AL197" s="36"/>
      <c r="AM197" s="36"/>
      <c r="AN197" s="36"/>
      <c r="AO197" s="36"/>
      <c r="AP197" s="36"/>
      <c r="AQ197" s="36"/>
      <c r="AR197" s="36"/>
      <c r="AS197" s="84"/>
      <c r="AT197" s="84"/>
      <c r="AU197" s="85"/>
      <c r="AV197" s="85"/>
      <c r="AW197" s="54"/>
      <c r="AX197" s="54"/>
      <c r="AY197" s="54"/>
      <c r="AZ197" s="54"/>
      <c r="BA197" s="54"/>
      <c r="BB197" s="54"/>
      <c r="BC197" s="54"/>
      <c r="BD197" s="54"/>
      <c r="BE197" s="54"/>
      <c r="BF197" s="54"/>
      <c r="BG197" s="54"/>
      <c r="BH197" s="54"/>
      <c r="BI197" s="54"/>
      <c r="BJ197" s="54"/>
      <c r="BK197" s="54"/>
      <c r="BL197" s="54"/>
      <c r="BM197" s="54"/>
      <c r="BN197" s="54"/>
      <c r="BO197" s="54"/>
      <c r="BP197" s="54"/>
      <c r="BQ197" s="54"/>
      <c r="BR197" s="54"/>
      <c r="BS197" s="54"/>
      <c r="BT197" s="54"/>
      <c r="BU197" s="54"/>
      <c r="BV197" s="54"/>
      <c r="BW197" s="54"/>
      <c r="BX197" s="54"/>
      <c r="BY197" s="54"/>
      <c r="BZ197" s="54"/>
      <c r="CA197" s="54"/>
      <c r="CB197" s="54"/>
      <c r="CC197" s="54"/>
      <c r="CD197" s="54"/>
      <c r="CE197" s="54"/>
      <c r="CF197" s="54"/>
      <c r="CG197" s="54"/>
      <c r="CH197" s="54"/>
      <c r="CI197" s="54"/>
      <c r="CJ197" s="54"/>
      <c r="CK197" s="54"/>
      <c r="CL197" s="54"/>
      <c r="CM197" s="54"/>
      <c r="CN197" s="54"/>
      <c r="CO197" s="54"/>
      <c r="CP197" s="54"/>
      <c r="CQ197" s="54"/>
      <c r="CR197" s="54"/>
      <c r="CS197" s="54"/>
      <c r="CT197" s="54"/>
      <c r="CU197" s="54"/>
      <c r="CV197" s="54"/>
      <c r="CW197" s="54"/>
      <c r="CX197" s="54"/>
      <c r="CY197" s="54"/>
      <c r="CZ197" s="54"/>
      <c r="DA197" s="55"/>
      <c r="DB197" s="55"/>
      <c r="DC197" s="55"/>
      <c r="DD197" s="55"/>
      <c r="DE197" s="55"/>
      <c r="DF197" s="55"/>
      <c r="DG197" s="55"/>
      <c r="DH197" s="55"/>
      <c r="DI197" s="55"/>
      <c r="DJ197" s="55"/>
      <c r="DK197" s="55"/>
      <c r="DL197" s="55"/>
      <c r="DM197" s="55"/>
      <c r="DN197" s="55"/>
      <c r="DO197" s="55"/>
      <c r="DP197" s="55"/>
      <c r="DQ197" s="55"/>
      <c r="DR197" s="55"/>
      <c r="DS197" s="55"/>
      <c r="DT197" s="55"/>
      <c r="DU197" s="55"/>
      <c r="DV197" s="55"/>
      <c r="DW197" s="55"/>
      <c r="DX197" s="55"/>
      <c r="DY197" s="55"/>
      <c r="DZ197" s="55"/>
      <c r="EA197" s="55"/>
      <c r="EB197" s="55"/>
      <c r="EC197" s="55"/>
      <c r="ED197" s="55"/>
      <c r="EE197" s="55"/>
      <c r="EF197" s="55"/>
      <c r="EG197" s="55"/>
      <c r="EH197" s="55"/>
      <c r="EI197" s="55"/>
      <c r="EJ197" s="53"/>
      <c r="EK197" s="53"/>
      <c r="EL197" s="53"/>
      <c r="EM197" s="53"/>
      <c r="EN197" s="53"/>
      <c r="EO197" s="53"/>
      <c r="EP197" s="53"/>
      <c r="EQ197" s="53"/>
      <c r="ER197" s="53"/>
      <c r="ES197" s="53"/>
      <c r="ET197" s="53"/>
      <c r="EU197" s="53"/>
      <c r="EV197" s="53"/>
      <c r="EW197" s="53"/>
      <c r="EX197" s="53"/>
      <c r="EY197" s="53"/>
      <c r="EZ197" s="53"/>
      <c r="FA197" s="53"/>
      <c r="FB197" s="53"/>
      <c r="FC197" s="53"/>
      <c r="FD197" s="53"/>
      <c r="FE197" s="53"/>
      <c r="FF197" s="53"/>
      <c r="FG197" s="53"/>
      <c r="FH197" s="53"/>
      <c r="FI197" s="53"/>
      <c r="FJ197" s="53"/>
      <c r="FK197" s="53"/>
      <c r="FL197" s="53"/>
      <c r="FM197" s="53"/>
      <c r="FN197" s="53"/>
      <c r="FO197" s="53"/>
      <c r="FP197" s="53"/>
      <c r="FQ197" s="53"/>
      <c r="FR197" s="53"/>
      <c r="FS197" s="53"/>
    </row>
    <row r="198" spans="1:175" s="13" customFormat="1" ht="23.6" customHeight="1">
      <c r="A198" s="1978" t="str">
        <f>Begriffe!F343</f>
        <v>Energie- und Leistungsbedarf</v>
      </c>
      <c r="B198" s="204"/>
      <c r="C198" s="95" t="str">
        <f>Begriffe!F117</f>
        <v>Wärmebilanz pro Monat (exkl. Prozessanlagen)</v>
      </c>
      <c r="H198" s="95" t="str">
        <f>Begriffe!F122</f>
        <v>Wärmeleistungsbilanz am August-Auslegungstag  (exkl. Prozessanlagen)</v>
      </c>
      <c r="M198" s="1778"/>
      <c r="O198" s="111"/>
      <c r="P198" s="393"/>
      <c r="Q198" s="14">
        <v>1</v>
      </c>
      <c r="R198" s="88"/>
      <c r="S198" s="14"/>
      <c r="T198" s="7"/>
      <c r="U198" s="7"/>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51"/>
      <c r="DK198" s="51"/>
      <c r="DL198" s="51"/>
      <c r="DM198" s="51"/>
      <c r="DN198" s="51"/>
      <c r="DO198" s="51"/>
      <c r="DP198" s="51"/>
      <c r="DQ198" s="51"/>
      <c r="DR198" s="51"/>
      <c r="DS198" s="51"/>
      <c r="DT198" s="51"/>
      <c r="DU198" s="51"/>
      <c r="DV198" s="51"/>
      <c r="DW198" s="51"/>
      <c r="DX198" s="51"/>
      <c r="DY198" s="51"/>
      <c r="DZ198" s="51"/>
      <c r="EA198" s="51"/>
      <c r="EB198" s="51"/>
      <c r="EC198" s="51"/>
      <c r="ED198" s="51"/>
      <c r="EE198" s="51"/>
      <c r="EF198" s="51"/>
      <c r="EG198" s="51"/>
      <c r="EH198" s="51"/>
      <c r="EI198" s="51"/>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row>
    <row r="199" spans="1:175" s="13" customFormat="1" ht="16.100000000000001" customHeight="1">
      <c r="A199" s="1976"/>
      <c r="B199" s="204"/>
      <c r="M199" s="1778"/>
      <c r="O199" s="111"/>
      <c r="P199" s="393"/>
      <c r="Q199" s="14">
        <v>1</v>
      </c>
      <c r="R199" s="7"/>
      <c r="S199" s="14"/>
      <c r="T199" s="7"/>
      <c r="U199" s="7"/>
      <c r="V199" s="7"/>
      <c r="W199" s="7"/>
      <c r="X199" s="7"/>
      <c r="Y199" s="7"/>
      <c r="Z199" s="7"/>
      <c r="AA199" s="7"/>
      <c r="AB199" s="7"/>
      <c r="AC199" s="7"/>
      <c r="AD199" s="7"/>
      <c r="AE199" s="7"/>
      <c r="AF199" s="7"/>
      <c r="AG199" s="7"/>
      <c r="AH199" s="7"/>
      <c r="AI199" s="7"/>
      <c r="AJ199" s="7"/>
      <c r="AK199" s="7"/>
      <c r="AL199" s="7"/>
      <c r="AM199" s="7"/>
      <c r="AN199" s="7"/>
      <c r="AO199" s="7"/>
      <c r="AP199" s="7"/>
      <c r="AQ199" s="7"/>
      <c r="AR199" s="7"/>
      <c r="AS199" s="7"/>
      <c r="AT199" s="7"/>
      <c r="AU199" s="7"/>
      <c r="AV199" s="7"/>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51"/>
      <c r="DK199" s="51"/>
      <c r="DL199" s="51"/>
      <c r="DM199" s="51"/>
      <c r="DN199" s="51"/>
      <c r="DO199" s="51"/>
      <c r="DP199" s="51"/>
      <c r="DQ199" s="51"/>
      <c r="DR199" s="51"/>
      <c r="DS199" s="51"/>
      <c r="DT199" s="51"/>
      <c r="DU199" s="51"/>
      <c r="DV199" s="51"/>
      <c r="DW199" s="51"/>
      <c r="DX199" s="51"/>
      <c r="DY199" s="51"/>
      <c r="DZ199" s="51"/>
      <c r="EA199" s="51"/>
      <c r="EB199" s="51"/>
      <c r="EC199" s="51"/>
      <c r="ED199" s="51"/>
      <c r="EE199" s="51"/>
      <c r="EF199" s="51"/>
      <c r="EG199" s="51"/>
      <c r="EH199" s="51"/>
      <c r="EI199" s="51"/>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row>
    <row r="200" spans="1:175" s="13" customFormat="1" ht="16.100000000000001" customHeight="1">
      <c r="A200" s="1976"/>
      <c r="B200" s="204"/>
      <c r="M200" s="1778"/>
      <c r="O200" s="111"/>
      <c r="P200" s="1265"/>
      <c r="Q200" s="14">
        <v>1</v>
      </c>
      <c r="R200" s="7"/>
      <c r="S200" s="14"/>
      <c r="T200" s="7"/>
      <c r="U200" s="7"/>
      <c r="V200" s="7"/>
      <c r="W200" s="7"/>
      <c r="X200" s="7"/>
      <c r="Y200" s="7"/>
      <c r="Z200" s="7"/>
      <c r="AA200" s="7"/>
      <c r="AB200" s="7"/>
      <c r="AC200" s="7"/>
      <c r="AD200" s="7"/>
      <c r="AE200" s="7"/>
      <c r="AF200" s="7"/>
      <c r="AG200" s="7"/>
      <c r="AH200" s="7"/>
      <c r="AI200" s="7"/>
      <c r="AJ200" s="7"/>
      <c r="AK200" s="7"/>
      <c r="AL200" s="7"/>
      <c r="AM200" s="7"/>
      <c r="AN200" s="7"/>
      <c r="AO200" s="7"/>
      <c r="AP200" s="7"/>
      <c r="AQ200" s="7"/>
      <c r="AR200" s="7"/>
      <c r="AS200" s="7"/>
      <c r="AT200" s="7"/>
      <c r="AU200" s="7"/>
      <c r="AV200" s="7"/>
      <c r="AW200" s="40"/>
      <c r="AX200" s="40"/>
      <c r="AY200" s="40"/>
      <c r="AZ200" s="40"/>
      <c r="BA200" s="40"/>
      <c r="BB200" s="40"/>
      <c r="BC200" s="40"/>
      <c r="BD200" s="40"/>
      <c r="BE200" s="40"/>
      <c r="BF200" s="40"/>
      <c r="BG200" s="40"/>
      <c r="BH200" s="40"/>
      <c r="BI200" s="40"/>
      <c r="BJ200" s="40"/>
      <c r="BK200" s="40"/>
      <c r="BL200" s="40"/>
      <c r="BM200" s="40"/>
      <c r="BN200" s="40"/>
      <c r="BO200" s="40"/>
      <c r="BP200" s="40"/>
      <c r="BQ200" s="40"/>
      <c r="BR200" s="40"/>
      <c r="BS200" s="40"/>
      <c r="BT200" s="40"/>
      <c r="BU200" s="40"/>
      <c r="BV200" s="40"/>
      <c r="BW200" s="40"/>
      <c r="BX200" s="40"/>
      <c r="BY200" s="40"/>
      <c r="BZ200" s="40"/>
      <c r="CA200" s="40"/>
      <c r="CB200" s="40"/>
      <c r="CC200" s="40"/>
      <c r="CD200" s="40"/>
      <c r="CE200" s="40"/>
      <c r="CF200" s="40"/>
      <c r="CG200" s="40"/>
      <c r="CH200" s="40"/>
      <c r="CI200" s="40"/>
      <c r="CJ200" s="40"/>
      <c r="CK200" s="40"/>
      <c r="CL200" s="40"/>
      <c r="CM200" s="40"/>
      <c r="CN200" s="40"/>
      <c r="CO200" s="40"/>
      <c r="CP200" s="40"/>
      <c r="CQ200" s="40"/>
      <c r="CR200" s="40"/>
      <c r="CS200" s="40"/>
      <c r="CT200" s="40"/>
      <c r="CU200" s="40"/>
      <c r="CV200" s="40"/>
      <c r="CW200" s="40"/>
      <c r="CX200" s="40"/>
      <c r="CY200" s="40"/>
      <c r="CZ200" s="40"/>
      <c r="DA200" s="40"/>
      <c r="DB200" s="40"/>
      <c r="DC200" s="40"/>
      <c r="DD200" s="40"/>
      <c r="DE200" s="40"/>
      <c r="DF200" s="40"/>
      <c r="DG200" s="40"/>
      <c r="DH200" s="40"/>
      <c r="DI200" s="40"/>
      <c r="DJ200" s="51"/>
      <c r="DK200" s="51"/>
      <c r="DL200" s="51"/>
      <c r="DM200" s="51"/>
      <c r="DN200" s="51"/>
      <c r="DO200" s="51"/>
      <c r="DP200" s="51"/>
      <c r="DQ200" s="51"/>
      <c r="DR200" s="51"/>
      <c r="DS200" s="51"/>
      <c r="DT200" s="51"/>
      <c r="DU200" s="51"/>
      <c r="DV200" s="51"/>
      <c r="DW200" s="51"/>
      <c r="DX200" s="51"/>
      <c r="DY200" s="51"/>
      <c r="DZ200" s="51"/>
      <c r="EA200" s="51"/>
      <c r="EB200" s="51"/>
      <c r="EC200" s="51"/>
      <c r="ED200" s="51"/>
      <c r="EE200" s="51"/>
      <c r="EF200" s="51"/>
      <c r="EG200" s="51"/>
      <c r="EH200" s="51"/>
      <c r="EI200" s="51"/>
      <c r="EJ200" s="40"/>
      <c r="EK200" s="40"/>
      <c r="EL200" s="40"/>
      <c r="EM200" s="40"/>
      <c r="EN200" s="40"/>
      <c r="EO200" s="40"/>
      <c r="EP200" s="40"/>
      <c r="EQ200" s="40"/>
      <c r="ER200" s="40"/>
      <c r="ES200" s="40"/>
      <c r="ET200" s="40"/>
      <c r="EU200" s="40"/>
      <c r="EV200" s="40"/>
      <c r="EW200" s="40"/>
      <c r="EX200" s="40"/>
      <c r="EY200" s="40"/>
      <c r="EZ200" s="40"/>
      <c r="FA200" s="40"/>
      <c r="FB200" s="40"/>
      <c r="FC200" s="40"/>
      <c r="FD200" s="40"/>
      <c r="FE200" s="40"/>
      <c r="FF200" s="40"/>
      <c r="FG200" s="40"/>
      <c r="FH200" s="40"/>
      <c r="FI200" s="40"/>
      <c r="FJ200" s="40"/>
      <c r="FK200" s="40"/>
      <c r="FL200" s="40"/>
      <c r="FM200" s="40"/>
      <c r="FN200" s="40"/>
      <c r="FO200" s="40"/>
      <c r="FP200" s="40"/>
      <c r="FQ200" s="40"/>
      <c r="FR200" s="40"/>
      <c r="FS200" s="40"/>
    </row>
    <row r="201" spans="1:175" s="13" customFormat="1" ht="16.100000000000001" customHeight="1">
      <c r="A201" s="1976"/>
      <c r="B201" s="204"/>
      <c r="M201" s="1778"/>
      <c r="O201" s="111"/>
      <c r="P201" s="1265"/>
      <c r="Q201" s="14">
        <v>1</v>
      </c>
      <c r="R201" s="7"/>
      <c r="S201" s="14"/>
      <c r="T201" s="7"/>
      <c r="U201" s="7"/>
      <c r="V201" s="7"/>
      <c r="W201" s="7"/>
      <c r="X201" s="7"/>
      <c r="Y201" s="7"/>
      <c r="Z201" s="7"/>
      <c r="AA201" s="7"/>
      <c r="AB201" s="7"/>
      <c r="AC201" s="7"/>
      <c r="AD201" s="7"/>
      <c r="AE201" s="7"/>
      <c r="AF201" s="7"/>
      <c r="AG201" s="7"/>
      <c r="AH201" s="7"/>
      <c r="AI201" s="7"/>
      <c r="AJ201" s="7"/>
      <c r="AK201" s="7"/>
      <c r="AL201" s="7"/>
      <c r="AM201" s="7"/>
      <c r="AN201" s="7"/>
      <c r="AO201" s="7"/>
      <c r="AP201" s="7"/>
      <c r="AQ201" s="7"/>
      <c r="AR201" s="7"/>
      <c r="AS201" s="7"/>
      <c r="AT201" s="7"/>
      <c r="AU201" s="7"/>
      <c r="AV201" s="7"/>
      <c r="AW201" s="40"/>
      <c r="AX201" s="40"/>
      <c r="AY201" s="40"/>
      <c r="AZ201" s="40"/>
      <c r="BA201" s="40"/>
      <c r="BB201" s="40"/>
      <c r="BC201" s="40"/>
      <c r="BD201" s="40"/>
      <c r="BE201" s="40"/>
      <c r="BF201" s="40"/>
      <c r="BG201" s="40"/>
      <c r="BH201" s="40"/>
      <c r="BI201" s="40"/>
      <c r="BJ201" s="40"/>
      <c r="BK201" s="40"/>
      <c r="BL201" s="40"/>
      <c r="BM201" s="40"/>
      <c r="BN201" s="40"/>
      <c r="BO201" s="40"/>
      <c r="BP201" s="40"/>
      <c r="BQ201" s="40"/>
      <c r="BR201" s="40"/>
      <c r="BS201" s="40"/>
      <c r="BT201" s="40"/>
      <c r="BU201" s="40"/>
      <c r="BV201" s="40"/>
      <c r="BW201" s="40"/>
      <c r="BX201" s="40"/>
      <c r="BY201" s="40"/>
      <c r="BZ201" s="40"/>
      <c r="CA201" s="40"/>
      <c r="CB201" s="40"/>
      <c r="CC201" s="40"/>
      <c r="CD201" s="40"/>
      <c r="CE201" s="40"/>
      <c r="CF201" s="40"/>
      <c r="CG201" s="40"/>
      <c r="CH201" s="40"/>
      <c r="CI201" s="40"/>
      <c r="CJ201" s="40"/>
      <c r="CK201" s="40"/>
      <c r="CL201" s="40"/>
      <c r="CM201" s="40"/>
      <c r="CN201" s="40"/>
      <c r="CO201" s="40"/>
      <c r="CP201" s="40"/>
      <c r="CQ201" s="40"/>
      <c r="CR201" s="40"/>
      <c r="CS201" s="40"/>
      <c r="CT201" s="40"/>
      <c r="CU201" s="40"/>
      <c r="CV201" s="40"/>
      <c r="CW201" s="40"/>
      <c r="CX201" s="40"/>
      <c r="CY201" s="40"/>
      <c r="CZ201" s="40"/>
      <c r="DA201" s="40"/>
      <c r="DB201" s="40"/>
      <c r="DC201" s="40"/>
      <c r="DD201" s="40"/>
      <c r="DE201" s="40"/>
      <c r="DF201" s="40"/>
      <c r="DG201" s="40"/>
      <c r="DH201" s="40"/>
      <c r="DI201" s="40"/>
      <c r="DJ201" s="51"/>
      <c r="DK201" s="51"/>
      <c r="DL201" s="51"/>
      <c r="DM201" s="51"/>
      <c r="DN201" s="51"/>
      <c r="DO201" s="51"/>
      <c r="DP201" s="51"/>
      <c r="DQ201" s="51"/>
      <c r="DR201" s="51"/>
      <c r="DS201" s="51"/>
      <c r="DT201" s="51"/>
      <c r="DU201" s="51"/>
      <c r="DV201" s="51"/>
      <c r="DW201" s="51"/>
      <c r="DX201" s="51"/>
      <c r="DY201" s="51"/>
      <c r="DZ201" s="51"/>
      <c r="EA201" s="51"/>
      <c r="EB201" s="51"/>
      <c r="EC201" s="51"/>
      <c r="ED201" s="51"/>
      <c r="EE201" s="51"/>
      <c r="EF201" s="51"/>
      <c r="EG201" s="51"/>
      <c r="EH201" s="51"/>
      <c r="EI201" s="51"/>
      <c r="EJ201" s="40"/>
      <c r="EK201" s="40"/>
      <c r="EL201" s="40"/>
      <c r="EM201" s="40"/>
      <c r="EN201" s="40"/>
      <c r="EO201" s="40"/>
      <c r="EP201" s="40"/>
      <c r="EQ201" s="40"/>
      <c r="ER201" s="40"/>
      <c r="ES201" s="40"/>
      <c r="ET201" s="40"/>
      <c r="EU201" s="40"/>
      <c r="EV201" s="40"/>
      <c r="EW201" s="40"/>
      <c r="EX201" s="40"/>
      <c r="EY201" s="40"/>
      <c r="EZ201" s="40"/>
      <c r="FA201" s="40"/>
      <c r="FB201" s="40"/>
      <c r="FC201" s="40"/>
      <c r="FD201" s="40"/>
      <c r="FE201" s="40"/>
      <c r="FF201" s="40"/>
      <c r="FG201" s="40"/>
      <c r="FH201" s="40"/>
      <c r="FI201" s="40"/>
      <c r="FJ201" s="40"/>
      <c r="FK201" s="40"/>
      <c r="FL201" s="40"/>
      <c r="FM201" s="40"/>
      <c r="FN201" s="40"/>
      <c r="FO201" s="40"/>
      <c r="FP201" s="40"/>
      <c r="FQ201" s="40"/>
      <c r="FR201" s="40"/>
      <c r="FS201" s="40"/>
    </row>
    <row r="202" spans="1:175" s="13" customFormat="1" ht="16.100000000000001" customHeight="1">
      <c r="A202" s="1976"/>
      <c r="B202" s="204"/>
      <c r="M202" s="1778"/>
      <c r="O202" s="111"/>
      <c r="P202" s="393"/>
      <c r="Q202" s="14">
        <v>1</v>
      </c>
      <c r="R202" s="7"/>
      <c r="S202" s="14"/>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40"/>
      <c r="AX202" s="40"/>
      <c r="AY202" s="40"/>
      <c r="AZ202" s="40"/>
      <c r="BA202" s="40"/>
      <c r="BB202" s="40"/>
      <c r="BC202" s="40"/>
      <c r="BD202" s="40"/>
      <c r="BE202" s="40"/>
      <c r="BF202" s="40"/>
      <c r="BG202" s="40"/>
      <c r="BH202" s="40"/>
      <c r="BI202" s="40"/>
      <c r="BJ202" s="40"/>
      <c r="BK202" s="40"/>
      <c r="BL202" s="40"/>
      <c r="BM202" s="40"/>
      <c r="BN202" s="40"/>
      <c r="BO202" s="40"/>
      <c r="BP202" s="40"/>
      <c r="BQ202" s="40"/>
      <c r="BR202" s="40"/>
      <c r="BS202" s="40"/>
      <c r="BT202" s="40"/>
      <c r="BU202" s="40"/>
      <c r="BV202" s="40"/>
      <c r="BW202" s="40"/>
      <c r="BX202" s="40"/>
      <c r="BY202" s="40"/>
      <c r="BZ202" s="40"/>
      <c r="CA202" s="40"/>
      <c r="CB202" s="40"/>
      <c r="CC202" s="40"/>
      <c r="CD202" s="40"/>
      <c r="CE202" s="40"/>
      <c r="CF202" s="40"/>
      <c r="CG202" s="40"/>
      <c r="CH202" s="40"/>
      <c r="CI202" s="40"/>
      <c r="CJ202" s="40"/>
      <c r="CK202" s="40"/>
      <c r="CL202" s="40"/>
      <c r="CM202" s="40"/>
      <c r="CN202" s="40"/>
      <c r="CO202" s="40"/>
      <c r="CP202" s="40"/>
      <c r="CQ202" s="40"/>
      <c r="CR202" s="40"/>
      <c r="CS202" s="40"/>
      <c r="CT202" s="40"/>
      <c r="CU202" s="40"/>
      <c r="CV202" s="40"/>
      <c r="CW202" s="40"/>
      <c r="CX202" s="40"/>
      <c r="CY202" s="40"/>
      <c r="CZ202" s="40"/>
      <c r="DA202" s="40"/>
      <c r="DB202" s="40"/>
      <c r="DC202" s="40"/>
      <c r="DD202" s="40"/>
      <c r="DE202" s="40"/>
      <c r="DF202" s="40"/>
      <c r="DG202" s="40"/>
      <c r="DH202" s="40"/>
      <c r="DI202" s="40"/>
      <c r="DJ202" s="51"/>
      <c r="DK202" s="51"/>
      <c r="DL202" s="51"/>
      <c r="DM202" s="51"/>
      <c r="DN202" s="51"/>
      <c r="DO202" s="51"/>
      <c r="DP202" s="51"/>
      <c r="DQ202" s="51"/>
      <c r="DR202" s="51"/>
      <c r="DS202" s="51"/>
      <c r="DT202" s="51"/>
      <c r="DU202" s="51"/>
      <c r="DV202" s="51"/>
      <c r="DW202" s="51"/>
      <c r="DX202" s="51"/>
      <c r="DY202" s="51"/>
      <c r="DZ202" s="51"/>
      <c r="EA202" s="51"/>
      <c r="EB202" s="51"/>
      <c r="EC202" s="51"/>
      <c r="ED202" s="51"/>
      <c r="EE202" s="51"/>
      <c r="EF202" s="51"/>
      <c r="EG202" s="51"/>
      <c r="EH202" s="51"/>
      <c r="EI202" s="51"/>
      <c r="EJ202" s="40"/>
      <c r="EK202" s="40"/>
      <c r="EL202" s="40"/>
      <c r="EM202" s="40"/>
      <c r="EN202" s="40"/>
      <c r="EO202" s="40"/>
      <c r="EP202" s="40"/>
      <c r="EQ202" s="40"/>
      <c r="ER202" s="40"/>
      <c r="ES202" s="40"/>
      <c r="ET202" s="40"/>
      <c r="EU202" s="40"/>
      <c r="EV202" s="40"/>
      <c r="EW202" s="40"/>
      <c r="EX202" s="40"/>
      <c r="EY202" s="40"/>
      <c r="EZ202" s="40"/>
      <c r="FA202" s="40"/>
      <c r="FB202" s="40"/>
      <c r="FC202" s="40"/>
      <c r="FD202" s="40"/>
      <c r="FE202" s="40"/>
      <c r="FF202" s="40"/>
      <c r="FG202" s="40"/>
      <c r="FH202" s="40"/>
      <c r="FI202" s="40"/>
      <c r="FJ202" s="40"/>
      <c r="FK202" s="40"/>
      <c r="FL202" s="40"/>
      <c r="FM202" s="40"/>
      <c r="FN202" s="40"/>
      <c r="FO202" s="40"/>
      <c r="FP202" s="40"/>
      <c r="FQ202" s="40"/>
      <c r="FR202" s="40"/>
      <c r="FS202" s="40"/>
    </row>
    <row r="203" spans="1:175" s="13" customFormat="1" ht="16.100000000000001" customHeight="1">
      <c r="A203" s="1976"/>
      <c r="B203" s="204"/>
      <c r="M203" s="1778"/>
      <c r="O203" s="111"/>
      <c r="P203" s="393"/>
      <c r="Q203" s="14">
        <v>1</v>
      </c>
      <c r="R203" s="7"/>
      <c r="S203" s="14"/>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51"/>
      <c r="DK203" s="51"/>
      <c r="DL203" s="51"/>
      <c r="DM203" s="51"/>
      <c r="DN203" s="51"/>
      <c r="DO203" s="51"/>
      <c r="DP203" s="51"/>
      <c r="DQ203" s="51"/>
      <c r="DR203" s="51"/>
      <c r="DS203" s="51"/>
      <c r="DT203" s="51"/>
      <c r="DU203" s="51"/>
      <c r="DV203" s="51"/>
      <c r="DW203" s="51"/>
      <c r="DX203" s="51"/>
      <c r="DY203" s="51"/>
      <c r="DZ203" s="51"/>
      <c r="EA203" s="51"/>
      <c r="EB203" s="51"/>
      <c r="EC203" s="51"/>
      <c r="ED203" s="51"/>
      <c r="EE203" s="51"/>
      <c r="EF203" s="51"/>
      <c r="EG203" s="51"/>
      <c r="EH203" s="51"/>
      <c r="EI203" s="51"/>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row>
    <row r="204" spans="1:175" s="13" customFormat="1" ht="16.100000000000001" customHeight="1">
      <c r="A204" s="1976"/>
      <c r="B204" s="204"/>
      <c r="M204" s="1778"/>
      <c r="O204" s="111"/>
      <c r="P204" s="393"/>
      <c r="Q204" s="14">
        <v>1</v>
      </c>
      <c r="R204" s="7"/>
      <c r="S204" s="14"/>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51"/>
      <c r="DK204" s="51"/>
      <c r="DL204" s="51"/>
      <c r="DM204" s="51"/>
      <c r="DN204" s="51"/>
      <c r="DO204" s="51"/>
      <c r="DP204" s="51"/>
      <c r="DQ204" s="51"/>
      <c r="DR204" s="51"/>
      <c r="DS204" s="51"/>
      <c r="DT204" s="51"/>
      <c r="DU204" s="51"/>
      <c r="DV204" s="51"/>
      <c r="DW204" s="51"/>
      <c r="DX204" s="51"/>
      <c r="DY204" s="51"/>
      <c r="DZ204" s="51"/>
      <c r="EA204" s="51"/>
      <c r="EB204" s="51"/>
      <c r="EC204" s="51"/>
      <c r="ED204" s="51"/>
      <c r="EE204" s="51"/>
      <c r="EF204" s="51"/>
      <c r="EG204" s="51"/>
      <c r="EH204" s="51"/>
      <c r="EI204" s="51"/>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row>
    <row r="205" spans="1:175" s="13" customFormat="1" ht="16.100000000000001" customHeight="1">
      <c r="A205" s="1976"/>
      <c r="B205" s="204"/>
      <c r="M205" s="1778"/>
      <c r="O205" s="111"/>
      <c r="P205" s="393"/>
      <c r="Q205" s="14">
        <v>1</v>
      </c>
      <c r="R205" s="7"/>
      <c r="S205" s="14"/>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40"/>
      <c r="AX205" s="40"/>
      <c r="AY205" s="40"/>
      <c r="AZ205" s="40"/>
      <c r="BA205" s="40"/>
      <c r="BB205" s="40"/>
      <c r="BC205" s="40"/>
      <c r="BD205" s="40"/>
      <c r="BE205" s="40"/>
      <c r="BF205" s="40"/>
      <c r="BG205" s="40"/>
      <c r="BH205" s="40"/>
      <c r="BI205" s="40"/>
      <c r="BJ205" s="40"/>
      <c r="BK205" s="40"/>
      <c r="BL205" s="40"/>
      <c r="BM205" s="40"/>
      <c r="BN205" s="40"/>
      <c r="BO205" s="40"/>
      <c r="BP205" s="40"/>
      <c r="BQ205" s="40"/>
      <c r="BR205" s="40"/>
      <c r="BS205" s="40"/>
      <c r="BT205" s="40"/>
      <c r="BU205" s="40"/>
      <c r="BV205" s="40"/>
      <c r="BW205" s="40"/>
      <c r="BX205" s="40"/>
      <c r="BY205" s="40"/>
      <c r="BZ205" s="40"/>
      <c r="CA205" s="40"/>
      <c r="CB205" s="40"/>
      <c r="CC205" s="40"/>
      <c r="CD205" s="40"/>
      <c r="CE205" s="40"/>
      <c r="CF205" s="40"/>
      <c r="CG205" s="40"/>
      <c r="CH205" s="40"/>
      <c r="CI205" s="40"/>
      <c r="CJ205" s="40"/>
      <c r="CK205" s="40"/>
      <c r="CL205" s="40"/>
      <c r="CM205" s="40"/>
      <c r="CN205" s="40"/>
      <c r="CO205" s="40"/>
      <c r="CP205" s="40"/>
      <c r="CQ205" s="40"/>
      <c r="CR205" s="40"/>
      <c r="CS205" s="40"/>
      <c r="CT205" s="40"/>
      <c r="CU205" s="40"/>
      <c r="CV205" s="40"/>
      <c r="CW205" s="40"/>
      <c r="CX205" s="40"/>
      <c r="CY205" s="40"/>
      <c r="CZ205" s="40"/>
      <c r="DA205" s="40"/>
      <c r="DB205" s="40"/>
      <c r="DC205" s="40"/>
      <c r="DD205" s="40"/>
      <c r="DE205" s="40"/>
      <c r="DF205" s="40"/>
      <c r="DG205" s="40"/>
      <c r="DH205" s="40"/>
      <c r="DI205" s="40"/>
      <c r="DJ205" s="51"/>
      <c r="DK205" s="51"/>
      <c r="DL205" s="51"/>
      <c r="DM205" s="51"/>
      <c r="DN205" s="51"/>
      <c r="DO205" s="51"/>
      <c r="DP205" s="51"/>
      <c r="DQ205" s="51"/>
      <c r="DR205" s="51"/>
      <c r="DS205" s="51"/>
      <c r="DT205" s="51"/>
      <c r="DU205" s="51"/>
      <c r="DV205" s="51"/>
      <c r="DW205" s="51"/>
      <c r="DX205" s="51"/>
      <c r="DY205" s="51"/>
      <c r="DZ205" s="51"/>
      <c r="EA205" s="51"/>
      <c r="EB205" s="51"/>
      <c r="EC205" s="51"/>
      <c r="ED205" s="51"/>
      <c r="EE205" s="51"/>
      <c r="EF205" s="51"/>
      <c r="EG205" s="51"/>
      <c r="EH205" s="51"/>
      <c r="EI205" s="51"/>
      <c r="EJ205" s="40"/>
      <c r="EK205" s="40"/>
      <c r="EL205" s="40"/>
      <c r="EM205" s="40"/>
      <c r="EN205" s="40"/>
      <c r="EO205" s="40"/>
      <c r="EP205" s="40"/>
      <c r="EQ205" s="40"/>
      <c r="ER205" s="40"/>
      <c r="ES205" s="40"/>
      <c r="ET205" s="40"/>
      <c r="EU205" s="40"/>
      <c r="EV205" s="40"/>
      <c r="EW205" s="40"/>
      <c r="EX205" s="40"/>
      <c r="EY205" s="40"/>
      <c r="EZ205" s="40"/>
      <c r="FA205" s="40"/>
      <c r="FB205" s="40"/>
      <c r="FC205" s="40"/>
      <c r="FD205" s="40"/>
      <c r="FE205" s="40"/>
      <c r="FF205" s="40"/>
      <c r="FG205" s="40"/>
      <c r="FH205" s="40"/>
      <c r="FI205" s="40"/>
      <c r="FJ205" s="40"/>
      <c r="FK205" s="40"/>
      <c r="FL205" s="40"/>
      <c r="FM205" s="40"/>
      <c r="FN205" s="40"/>
      <c r="FO205" s="40"/>
      <c r="FP205" s="40"/>
      <c r="FQ205" s="40"/>
      <c r="FR205" s="40"/>
      <c r="FS205" s="40"/>
    </row>
    <row r="206" spans="1:175" s="13" customFormat="1" ht="16.100000000000001" customHeight="1">
      <c r="A206" s="1976"/>
      <c r="B206" s="204"/>
      <c r="M206" s="1778"/>
      <c r="O206" s="111"/>
      <c r="P206" s="393"/>
      <c r="Q206" s="14">
        <v>1</v>
      </c>
      <c r="R206" s="7"/>
      <c r="S206" s="14"/>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40"/>
      <c r="AX206" s="40"/>
      <c r="AY206" s="40"/>
      <c r="AZ206" s="40"/>
      <c r="BA206" s="40"/>
      <c r="BB206" s="40"/>
      <c r="BC206" s="40"/>
      <c r="BD206" s="40"/>
      <c r="BE206" s="40"/>
      <c r="BF206" s="40"/>
      <c r="BG206" s="40"/>
      <c r="BH206" s="40"/>
      <c r="BI206" s="40"/>
      <c r="BJ206" s="40"/>
      <c r="BK206" s="40"/>
      <c r="BL206" s="40"/>
      <c r="BM206" s="40"/>
      <c r="BN206" s="40"/>
      <c r="BO206" s="40"/>
      <c r="BP206" s="40"/>
      <c r="BQ206" s="40"/>
      <c r="BR206" s="40"/>
      <c r="BS206" s="40"/>
      <c r="BT206" s="40"/>
      <c r="BU206" s="40"/>
      <c r="BV206" s="40"/>
      <c r="BW206" s="40"/>
      <c r="BX206" s="40"/>
      <c r="BY206" s="40"/>
      <c r="BZ206" s="40"/>
      <c r="CA206" s="40"/>
      <c r="CB206" s="40"/>
      <c r="CC206" s="40"/>
      <c r="CD206" s="40"/>
      <c r="CE206" s="40"/>
      <c r="CF206" s="40"/>
      <c r="CG206" s="40"/>
      <c r="CH206" s="40"/>
      <c r="CI206" s="40"/>
      <c r="CJ206" s="40"/>
      <c r="CK206" s="40"/>
      <c r="CL206" s="40"/>
      <c r="CM206" s="40"/>
      <c r="CN206" s="40"/>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51"/>
      <c r="DK206" s="51"/>
      <c r="DL206" s="51"/>
      <c r="DM206" s="51"/>
      <c r="DN206" s="51"/>
      <c r="DO206" s="51"/>
      <c r="DP206" s="51"/>
      <c r="DQ206" s="51"/>
      <c r="DR206" s="51"/>
      <c r="DS206" s="51"/>
      <c r="DT206" s="51"/>
      <c r="DU206" s="51"/>
      <c r="DV206" s="51"/>
      <c r="DW206" s="51"/>
      <c r="DX206" s="51"/>
      <c r="DY206" s="51"/>
      <c r="DZ206" s="51"/>
      <c r="EA206" s="51"/>
      <c r="EB206" s="51"/>
      <c r="EC206" s="51"/>
      <c r="ED206" s="51"/>
      <c r="EE206" s="51"/>
      <c r="EF206" s="51"/>
      <c r="EG206" s="51"/>
      <c r="EH206" s="51"/>
      <c r="EI206" s="51"/>
      <c r="EJ206" s="40"/>
      <c r="EK206" s="40"/>
      <c r="EL206" s="40"/>
      <c r="EM206" s="40"/>
      <c r="EN206" s="40"/>
      <c r="EO206" s="40"/>
      <c r="EP206" s="40"/>
      <c r="EQ206" s="40"/>
      <c r="ER206" s="40"/>
      <c r="ES206" s="40"/>
      <c r="ET206" s="40"/>
      <c r="EU206" s="40"/>
      <c r="EV206" s="40"/>
      <c r="EW206" s="40"/>
      <c r="EX206" s="40"/>
      <c r="EY206" s="40"/>
      <c r="EZ206" s="40"/>
      <c r="FA206" s="40"/>
      <c r="FB206" s="40"/>
      <c r="FC206" s="40"/>
      <c r="FD206" s="40"/>
      <c r="FE206" s="40"/>
      <c r="FF206" s="40"/>
      <c r="FG206" s="40"/>
      <c r="FH206" s="40"/>
      <c r="FI206" s="40"/>
      <c r="FJ206" s="40"/>
      <c r="FK206" s="40"/>
      <c r="FL206" s="40"/>
      <c r="FM206" s="40"/>
      <c r="FN206" s="40"/>
      <c r="FO206" s="40"/>
      <c r="FP206" s="40"/>
      <c r="FQ206" s="40"/>
      <c r="FR206" s="40"/>
      <c r="FS206" s="40"/>
    </row>
    <row r="207" spans="1:175" s="13" customFormat="1" ht="16.100000000000001" customHeight="1">
      <c r="A207" s="1976"/>
      <c r="B207" s="204"/>
      <c r="M207" s="1778"/>
      <c r="O207" s="111"/>
      <c r="P207" s="393"/>
      <c r="Q207" s="14">
        <v>1</v>
      </c>
      <c r="R207" s="7"/>
      <c r="S207" s="14"/>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40"/>
      <c r="AX207" s="40"/>
      <c r="AY207" s="40"/>
      <c r="AZ207" s="40"/>
      <c r="BA207" s="40"/>
      <c r="BB207" s="40"/>
      <c r="BC207" s="40"/>
      <c r="BD207" s="40"/>
      <c r="BE207" s="40"/>
      <c r="BF207" s="40"/>
      <c r="BG207" s="40"/>
      <c r="BH207" s="40"/>
      <c r="BI207" s="40"/>
      <c r="BJ207" s="40"/>
      <c r="BK207" s="40"/>
      <c r="BL207" s="40"/>
      <c r="BM207" s="40"/>
      <c r="BN207" s="40"/>
      <c r="BO207" s="40"/>
      <c r="BP207" s="40"/>
      <c r="BQ207" s="40"/>
      <c r="BR207" s="40"/>
      <c r="BS207" s="40"/>
      <c r="BT207" s="40"/>
      <c r="BU207" s="40"/>
      <c r="BV207" s="40"/>
      <c r="BW207" s="40"/>
      <c r="BX207" s="40"/>
      <c r="BY207" s="40"/>
      <c r="BZ207" s="40"/>
      <c r="CA207" s="40"/>
      <c r="CB207" s="40"/>
      <c r="CC207" s="40"/>
      <c r="CD207" s="40"/>
      <c r="CE207" s="40"/>
      <c r="CF207" s="40"/>
      <c r="CG207" s="40"/>
      <c r="CH207" s="40"/>
      <c r="CI207" s="40"/>
      <c r="CJ207" s="40"/>
      <c r="CK207" s="40"/>
      <c r="CL207" s="40"/>
      <c r="CM207" s="40"/>
      <c r="CN207" s="40"/>
      <c r="CO207" s="40"/>
      <c r="CP207" s="40"/>
      <c r="CQ207" s="40"/>
      <c r="CR207" s="40"/>
      <c r="CS207" s="40"/>
      <c r="CT207" s="40"/>
      <c r="CU207" s="40"/>
      <c r="CV207" s="40"/>
      <c r="CW207" s="40"/>
      <c r="CX207" s="40"/>
      <c r="CY207" s="40"/>
      <c r="CZ207" s="40"/>
      <c r="DA207" s="40"/>
      <c r="DB207" s="40"/>
      <c r="DC207" s="40"/>
      <c r="DD207" s="40"/>
      <c r="DE207" s="40"/>
      <c r="DF207" s="40"/>
      <c r="DG207" s="40"/>
      <c r="DH207" s="40"/>
      <c r="DI207" s="40"/>
      <c r="DJ207" s="51"/>
      <c r="DK207" s="51"/>
      <c r="DL207" s="51"/>
      <c r="DM207" s="51"/>
      <c r="DN207" s="51"/>
      <c r="DO207" s="51"/>
      <c r="DP207" s="51"/>
      <c r="DQ207" s="51"/>
      <c r="DR207" s="51"/>
      <c r="DS207" s="51"/>
      <c r="DT207" s="51"/>
      <c r="DU207" s="51"/>
      <c r="DV207" s="51"/>
      <c r="DW207" s="51"/>
      <c r="DX207" s="51"/>
      <c r="DY207" s="51"/>
      <c r="DZ207" s="51"/>
      <c r="EA207" s="51"/>
      <c r="EB207" s="51"/>
      <c r="EC207" s="51"/>
      <c r="ED207" s="51"/>
      <c r="EE207" s="51"/>
      <c r="EF207" s="51"/>
      <c r="EG207" s="51"/>
      <c r="EH207" s="51"/>
      <c r="EI207" s="51"/>
      <c r="EJ207" s="40"/>
      <c r="EK207" s="40"/>
      <c r="EL207" s="40"/>
      <c r="EM207" s="40"/>
      <c r="EN207" s="40"/>
      <c r="EO207" s="40"/>
      <c r="EP207" s="40"/>
      <c r="EQ207" s="40"/>
      <c r="ER207" s="40"/>
      <c r="ES207" s="40"/>
      <c r="ET207" s="40"/>
      <c r="EU207" s="40"/>
      <c r="EV207" s="40"/>
      <c r="EW207" s="40"/>
      <c r="EX207" s="40"/>
      <c r="EY207" s="40"/>
      <c r="EZ207" s="40"/>
      <c r="FA207" s="40"/>
      <c r="FB207" s="40"/>
      <c r="FC207" s="40"/>
      <c r="FD207" s="40"/>
      <c r="FE207" s="40"/>
      <c r="FF207" s="40"/>
      <c r="FG207" s="40"/>
      <c r="FH207" s="40"/>
      <c r="FI207" s="40"/>
      <c r="FJ207" s="40"/>
      <c r="FK207" s="40"/>
      <c r="FL207" s="40"/>
      <c r="FM207" s="40"/>
      <c r="FN207" s="40"/>
      <c r="FO207" s="40"/>
      <c r="FP207" s="40"/>
      <c r="FQ207" s="40"/>
      <c r="FR207" s="40"/>
      <c r="FS207" s="40"/>
    </row>
    <row r="208" spans="1:175" s="13" customFormat="1" ht="16.100000000000001" customHeight="1">
      <c r="A208" s="1976"/>
      <c r="B208" s="204"/>
      <c r="M208" s="1778"/>
      <c r="O208" s="111"/>
      <c r="P208" s="393"/>
      <c r="Q208" s="14">
        <v>1</v>
      </c>
      <c r="R208" s="7"/>
      <c r="S208" s="14"/>
      <c r="T208" s="7"/>
      <c r="U208" s="7"/>
      <c r="V208" s="7"/>
      <c r="W208" s="7"/>
      <c r="X208" s="7"/>
      <c r="Y208" s="7"/>
      <c r="Z208" s="7"/>
      <c r="AA208" s="7"/>
      <c r="AB208" s="7"/>
      <c r="AC208" s="7"/>
      <c r="AD208" s="7"/>
      <c r="AE208" s="7"/>
      <c r="AF208" s="7"/>
      <c r="AG208" s="7"/>
      <c r="AH208" s="7"/>
      <c r="AI208" s="7"/>
      <c r="AJ208" s="7"/>
      <c r="AK208" s="7"/>
      <c r="AL208" s="7"/>
      <c r="AM208" s="7"/>
      <c r="AN208" s="7"/>
      <c r="AO208" s="7"/>
      <c r="AP208" s="7"/>
      <c r="AQ208" s="7"/>
      <c r="AR208" s="7"/>
      <c r="AS208" s="7"/>
      <c r="AT208" s="7"/>
      <c r="AU208" s="7"/>
      <c r="AV208" s="7"/>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51"/>
      <c r="DK208" s="51"/>
      <c r="DL208" s="51"/>
      <c r="DM208" s="51"/>
      <c r="DN208" s="51"/>
      <c r="DO208" s="51"/>
      <c r="DP208" s="51"/>
      <c r="DQ208" s="51"/>
      <c r="DR208" s="51"/>
      <c r="DS208" s="51"/>
      <c r="DT208" s="51"/>
      <c r="DU208" s="51"/>
      <c r="DV208" s="51"/>
      <c r="DW208" s="51"/>
      <c r="DX208" s="51"/>
      <c r="DY208" s="51"/>
      <c r="DZ208" s="51"/>
      <c r="EA208" s="51"/>
      <c r="EB208" s="51"/>
      <c r="EC208" s="51"/>
      <c r="ED208" s="51"/>
      <c r="EE208" s="51"/>
      <c r="EF208" s="51"/>
      <c r="EG208" s="51"/>
      <c r="EH208" s="51"/>
      <c r="EI208" s="51"/>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row>
    <row r="209" spans="1:175" s="13" customFormat="1" ht="16.100000000000001" customHeight="1">
      <c r="A209" s="1976"/>
      <c r="B209" s="204"/>
      <c r="M209" s="1778"/>
      <c r="O209" s="111"/>
      <c r="P209" s="393"/>
      <c r="Q209" s="14">
        <v>1</v>
      </c>
      <c r="R209" s="7"/>
      <c r="S209" s="14"/>
      <c r="T209" s="7"/>
      <c r="U209" s="7"/>
      <c r="V209" s="7"/>
      <c r="W209" s="7"/>
      <c r="X209" s="7"/>
      <c r="Y209" s="7"/>
      <c r="Z209" s="7"/>
      <c r="AA209" s="7"/>
      <c r="AB209" s="7"/>
      <c r="AC209" s="7"/>
      <c r="AD209" s="7"/>
      <c r="AE209" s="7"/>
      <c r="AF209" s="7"/>
      <c r="AG209" s="7"/>
      <c r="AH209" s="7"/>
      <c r="AI209" s="7"/>
      <c r="AJ209" s="7"/>
      <c r="AK209" s="7"/>
      <c r="AL209" s="7"/>
      <c r="AM209" s="7"/>
      <c r="AN209" s="7"/>
      <c r="AO209" s="7"/>
      <c r="AP209" s="7"/>
      <c r="AQ209" s="7"/>
      <c r="AR209" s="7"/>
      <c r="AS209" s="7"/>
      <c r="AT209" s="7"/>
      <c r="AU209" s="7"/>
      <c r="AV209" s="7"/>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51"/>
      <c r="DK209" s="51"/>
      <c r="DL209" s="51"/>
      <c r="DM209" s="51"/>
      <c r="DN209" s="51"/>
      <c r="DO209" s="51"/>
      <c r="DP209" s="51"/>
      <c r="DQ209" s="51"/>
      <c r="DR209" s="51"/>
      <c r="DS209" s="51"/>
      <c r="DT209" s="51"/>
      <c r="DU209" s="51"/>
      <c r="DV209" s="51"/>
      <c r="DW209" s="51"/>
      <c r="DX209" s="51"/>
      <c r="DY209" s="51"/>
      <c r="DZ209" s="51"/>
      <c r="EA209" s="51"/>
      <c r="EB209" s="51"/>
      <c r="EC209" s="51"/>
      <c r="ED209" s="51"/>
      <c r="EE209" s="51"/>
      <c r="EF209" s="51"/>
      <c r="EG209" s="51"/>
      <c r="EH209" s="51"/>
      <c r="EI209" s="51"/>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row>
    <row r="210" spans="1:175" s="13" customFormat="1" ht="16.100000000000001" customHeight="1">
      <c r="A210" s="1976"/>
      <c r="B210" s="204"/>
      <c r="M210" s="1778"/>
      <c r="O210" s="111"/>
      <c r="P210" s="393"/>
      <c r="Q210" s="14">
        <v>1</v>
      </c>
      <c r="R210" s="7"/>
      <c r="S210" s="14"/>
      <c r="T210" s="7"/>
      <c r="U210" s="7"/>
      <c r="V210" s="63"/>
      <c r="W210" s="63"/>
      <c r="X210" s="64"/>
      <c r="Y210" s="63"/>
      <c r="Z210" s="63"/>
      <c r="AA210" s="63"/>
      <c r="AB210" s="63"/>
      <c r="AC210" s="63"/>
      <c r="AD210" s="63"/>
      <c r="AE210" s="63"/>
      <c r="AF210" s="7"/>
      <c r="AG210" s="7"/>
      <c r="AH210" s="7"/>
      <c r="AI210" s="7"/>
      <c r="AJ210" s="7"/>
      <c r="AK210" s="7"/>
      <c r="AL210" s="7"/>
      <c r="AM210" s="7"/>
      <c r="AN210" s="7"/>
      <c r="AO210" s="7"/>
      <c r="AP210" s="7"/>
      <c r="AQ210" s="7"/>
      <c r="AR210" s="7"/>
      <c r="AS210" s="7"/>
      <c r="AT210" s="7"/>
      <c r="AU210" s="7"/>
      <c r="AV210" s="7"/>
      <c r="AW210" s="40"/>
      <c r="AX210" s="40"/>
      <c r="AY210" s="40"/>
      <c r="AZ210" s="40"/>
      <c r="BA210" s="40"/>
      <c r="BB210" s="40"/>
      <c r="BC210" s="40"/>
      <c r="BD210" s="40"/>
      <c r="BE210" s="40"/>
      <c r="BF210" s="40"/>
      <c r="BG210" s="40"/>
      <c r="BH210" s="40"/>
      <c r="BI210" s="40"/>
      <c r="BJ210" s="40"/>
      <c r="BK210" s="40"/>
      <c r="BL210" s="40"/>
      <c r="BM210" s="40"/>
      <c r="BN210" s="40"/>
      <c r="BO210" s="40"/>
      <c r="BP210" s="40"/>
      <c r="BQ210" s="40"/>
      <c r="BR210" s="40"/>
      <c r="BS210" s="40"/>
      <c r="BT210" s="40"/>
      <c r="BU210" s="40"/>
      <c r="BV210" s="40"/>
      <c r="BW210" s="40"/>
      <c r="BX210" s="40"/>
      <c r="BY210" s="40"/>
      <c r="BZ210" s="40"/>
      <c r="CA210" s="40"/>
      <c r="CB210" s="40"/>
      <c r="CC210" s="40"/>
      <c r="CD210" s="40"/>
      <c r="CE210" s="40"/>
      <c r="CF210" s="40"/>
      <c r="CG210" s="40"/>
      <c r="CH210" s="40"/>
      <c r="CI210" s="40"/>
      <c r="CJ210" s="40"/>
      <c r="CK210" s="40"/>
      <c r="CL210" s="40"/>
      <c r="CM210" s="40"/>
      <c r="CN210" s="40"/>
      <c r="CO210" s="40"/>
      <c r="CP210" s="40"/>
      <c r="CQ210" s="40"/>
      <c r="CR210" s="40"/>
      <c r="CS210" s="40"/>
      <c r="CT210" s="40"/>
      <c r="CU210" s="40"/>
      <c r="CV210" s="40"/>
      <c r="CW210" s="40"/>
      <c r="CX210" s="40"/>
      <c r="CY210" s="40"/>
      <c r="CZ210" s="40"/>
      <c r="DA210" s="40"/>
      <c r="DB210" s="40"/>
      <c r="DC210" s="40"/>
      <c r="DD210" s="40"/>
      <c r="DE210" s="40"/>
      <c r="DF210" s="40"/>
      <c r="DG210" s="40"/>
      <c r="DH210" s="40"/>
      <c r="DI210" s="40"/>
      <c r="DJ210" s="51"/>
      <c r="DK210" s="51"/>
      <c r="DL210" s="51"/>
      <c r="DM210" s="51"/>
      <c r="DN210" s="51"/>
      <c r="DO210" s="51"/>
      <c r="DP210" s="51"/>
      <c r="DQ210" s="51"/>
      <c r="DR210" s="51"/>
      <c r="DS210" s="51"/>
      <c r="DT210" s="51"/>
      <c r="DU210" s="51"/>
      <c r="DV210" s="51"/>
      <c r="DW210" s="51"/>
      <c r="DX210" s="51"/>
      <c r="DY210" s="51"/>
      <c r="DZ210" s="51"/>
      <c r="EA210" s="51"/>
      <c r="EB210" s="51"/>
      <c r="EC210" s="51"/>
      <c r="ED210" s="51"/>
      <c r="EE210" s="51"/>
      <c r="EF210" s="51"/>
      <c r="EG210" s="51"/>
      <c r="EH210" s="51"/>
      <c r="EI210" s="51"/>
      <c r="EJ210" s="40"/>
      <c r="EK210" s="40"/>
      <c r="EL210" s="40"/>
      <c r="EM210" s="40"/>
      <c r="EN210" s="40"/>
      <c r="EO210" s="40"/>
      <c r="EP210" s="40"/>
      <c r="EQ210" s="40"/>
      <c r="ER210" s="40"/>
      <c r="ES210" s="40"/>
      <c r="ET210" s="40"/>
      <c r="EU210" s="40"/>
      <c r="EV210" s="40"/>
      <c r="EW210" s="40"/>
      <c r="EX210" s="40"/>
      <c r="EY210" s="40"/>
      <c r="EZ210" s="40"/>
      <c r="FA210" s="40"/>
      <c r="FB210" s="40"/>
      <c r="FC210" s="40"/>
      <c r="FD210" s="40"/>
      <c r="FE210" s="40"/>
      <c r="FF210" s="40"/>
      <c r="FG210" s="40"/>
      <c r="FH210" s="40"/>
      <c r="FI210" s="40"/>
      <c r="FJ210" s="40"/>
      <c r="FK210" s="40"/>
      <c r="FL210" s="40"/>
      <c r="FM210" s="40"/>
      <c r="FN210" s="40"/>
      <c r="FO210" s="40"/>
      <c r="FP210" s="40"/>
      <c r="FQ210" s="40"/>
      <c r="FR210" s="40"/>
      <c r="FS210" s="40"/>
    </row>
    <row r="211" spans="1:175" s="13" customFormat="1" ht="16.100000000000001" customHeight="1">
      <c r="A211" s="1976"/>
      <c r="B211" s="204"/>
      <c r="M211" s="1778"/>
      <c r="O211" s="111"/>
      <c r="P211" s="393"/>
      <c r="Q211" s="14">
        <v>1</v>
      </c>
      <c r="R211" s="7"/>
      <c r="S211" s="14"/>
      <c r="T211" s="7"/>
      <c r="U211" s="7"/>
      <c r="V211" s="63"/>
      <c r="W211" s="63"/>
      <c r="X211" s="64"/>
      <c r="Y211" s="63"/>
      <c r="Z211" s="63"/>
      <c r="AA211" s="63"/>
      <c r="AB211" s="63"/>
      <c r="AC211" s="63"/>
      <c r="AD211" s="63"/>
      <c r="AE211" s="63"/>
      <c r="AF211" s="7"/>
      <c r="AG211" s="7"/>
      <c r="AH211" s="7"/>
      <c r="AI211" s="7"/>
      <c r="AJ211" s="7"/>
      <c r="AK211" s="7"/>
      <c r="AL211" s="7"/>
      <c r="AM211" s="7"/>
      <c r="AN211" s="7"/>
      <c r="AO211" s="7"/>
      <c r="AP211" s="7"/>
      <c r="AQ211" s="7"/>
      <c r="AR211" s="7"/>
      <c r="AS211" s="7"/>
      <c r="AT211" s="7"/>
      <c r="AU211" s="7"/>
      <c r="AV211" s="7"/>
      <c r="AW211" s="40"/>
      <c r="AX211" s="40"/>
      <c r="AY211" s="40"/>
      <c r="AZ211" s="40"/>
      <c r="BA211" s="40"/>
      <c r="BB211" s="40"/>
      <c r="BC211" s="40"/>
      <c r="BD211" s="40"/>
      <c r="BE211" s="40"/>
      <c r="BF211" s="40"/>
      <c r="BG211" s="40"/>
      <c r="BH211" s="40"/>
      <c r="BI211" s="40"/>
      <c r="BJ211" s="40"/>
      <c r="BK211" s="40"/>
      <c r="BL211" s="40"/>
      <c r="BM211" s="40"/>
      <c r="BN211" s="40"/>
      <c r="BO211" s="40"/>
      <c r="BP211" s="40"/>
      <c r="BQ211" s="40"/>
      <c r="BR211" s="40"/>
      <c r="BS211" s="40"/>
      <c r="BT211" s="40"/>
      <c r="BU211" s="40"/>
      <c r="BV211" s="40"/>
      <c r="BW211" s="40"/>
      <c r="BX211" s="40"/>
      <c r="BY211" s="40"/>
      <c r="BZ211" s="40"/>
      <c r="CA211" s="40"/>
      <c r="CB211" s="40"/>
      <c r="CC211" s="40"/>
      <c r="CD211" s="40"/>
      <c r="CE211" s="40"/>
      <c r="CF211" s="40"/>
      <c r="CG211" s="40"/>
      <c r="CH211" s="40"/>
      <c r="CI211" s="40"/>
      <c r="CJ211" s="40"/>
      <c r="CK211" s="40"/>
      <c r="CL211" s="40"/>
      <c r="CM211" s="40"/>
      <c r="CN211" s="40"/>
      <c r="CO211" s="40"/>
      <c r="CP211" s="40"/>
      <c r="CQ211" s="40"/>
      <c r="CR211" s="40"/>
      <c r="CS211" s="40"/>
      <c r="CT211" s="40"/>
      <c r="CU211" s="40"/>
      <c r="CV211" s="40"/>
      <c r="CW211" s="40"/>
      <c r="CX211" s="40"/>
      <c r="CY211" s="40"/>
      <c r="CZ211" s="40"/>
      <c r="DA211" s="40"/>
      <c r="DB211" s="40"/>
      <c r="DC211" s="40"/>
      <c r="DD211" s="40"/>
      <c r="DE211" s="40"/>
      <c r="DF211" s="40"/>
      <c r="DG211" s="40"/>
      <c r="DH211" s="40"/>
      <c r="DI211" s="40"/>
      <c r="DJ211" s="51"/>
      <c r="DK211" s="51"/>
      <c r="DL211" s="51"/>
      <c r="DM211" s="51"/>
      <c r="DN211" s="51"/>
      <c r="DO211" s="51"/>
      <c r="DP211" s="51"/>
      <c r="DQ211" s="51"/>
      <c r="DR211" s="51"/>
      <c r="DS211" s="51"/>
      <c r="DT211" s="51"/>
      <c r="DU211" s="51"/>
      <c r="DV211" s="51"/>
      <c r="DW211" s="51"/>
      <c r="DX211" s="51"/>
      <c r="DY211" s="51"/>
      <c r="DZ211" s="51"/>
      <c r="EA211" s="51"/>
      <c r="EB211" s="51"/>
      <c r="EC211" s="51"/>
      <c r="ED211" s="51"/>
      <c r="EE211" s="51"/>
      <c r="EF211" s="51"/>
      <c r="EG211" s="51"/>
      <c r="EH211" s="51"/>
      <c r="EI211" s="51"/>
      <c r="EJ211" s="40"/>
      <c r="EK211" s="40"/>
      <c r="EL211" s="40"/>
      <c r="EM211" s="40"/>
      <c r="EN211" s="40"/>
      <c r="EO211" s="40"/>
      <c r="EP211" s="40"/>
      <c r="EQ211" s="40"/>
      <c r="ER211" s="40"/>
      <c r="ES211" s="40"/>
      <c r="ET211" s="40"/>
      <c r="EU211" s="40"/>
      <c r="EV211" s="40"/>
      <c r="EW211" s="40"/>
      <c r="EX211" s="40"/>
      <c r="EY211" s="40"/>
      <c r="EZ211" s="40"/>
      <c r="FA211" s="40"/>
      <c r="FB211" s="40"/>
      <c r="FC211" s="40"/>
      <c r="FD211" s="40"/>
      <c r="FE211" s="40"/>
      <c r="FF211" s="40"/>
      <c r="FG211" s="40"/>
      <c r="FH211" s="40"/>
      <c r="FI211" s="40"/>
      <c r="FJ211" s="40"/>
      <c r="FK211" s="40"/>
      <c r="FL211" s="40"/>
      <c r="FM211" s="40"/>
      <c r="FN211" s="40"/>
      <c r="FO211" s="40"/>
      <c r="FP211" s="40"/>
      <c r="FQ211" s="40"/>
      <c r="FR211" s="40"/>
      <c r="FS211" s="40"/>
    </row>
    <row r="212" spans="1:175" s="13" customFormat="1" ht="16.100000000000001" customHeight="1">
      <c r="A212" s="1976"/>
      <c r="B212" s="204"/>
      <c r="C212" s="1792" t="s">
        <v>2212</v>
      </c>
      <c r="H212" s="95" t="str">
        <f>Begriffe!F385</f>
        <v>Relative Raumluftfeuchte am Nutzungstag</v>
      </c>
      <c r="L212" s="1793" t="s">
        <v>37</v>
      </c>
      <c r="M212" s="1778"/>
      <c r="O212" s="111"/>
      <c r="P212" s="393"/>
      <c r="Q212" s="14">
        <v>1</v>
      </c>
      <c r="R212" s="7"/>
      <c r="S212" s="14"/>
      <c r="T212" s="7"/>
      <c r="U212" s="7"/>
      <c r="V212" s="63"/>
      <c r="W212" s="63"/>
      <c r="X212" s="64"/>
      <c r="Y212" s="63"/>
      <c r="Z212" s="63"/>
      <c r="AA212" s="63"/>
      <c r="AB212" s="63"/>
      <c r="AC212" s="63"/>
      <c r="AD212" s="63"/>
      <c r="AE212" s="63"/>
      <c r="AF212" s="7"/>
      <c r="AG212" s="7"/>
      <c r="AH212" s="7"/>
      <c r="AI212" s="7"/>
      <c r="AJ212" s="7"/>
      <c r="AK212" s="7"/>
      <c r="AL212" s="7"/>
      <c r="AM212" s="7"/>
      <c r="AN212" s="7"/>
      <c r="AO212" s="7"/>
      <c r="AP212" s="7"/>
      <c r="AQ212" s="7"/>
      <c r="AR212" s="7"/>
      <c r="AS212" s="7"/>
      <c r="AT212" s="7"/>
      <c r="AU212" s="7"/>
      <c r="AV212" s="7"/>
      <c r="AW212" s="40"/>
      <c r="AX212" s="40"/>
      <c r="AY212" s="40"/>
      <c r="AZ212" s="40"/>
      <c r="BA212" s="40"/>
      <c r="BB212" s="40"/>
      <c r="BC212" s="40"/>
      <c r="BD212" s="40"/>
      <c r="BE212" s="40"/>
      <c r="BF212" s="40"/>
      <c r="BG212" s="40"/>
      <c r="BH212" s="40"/>
      <c r="BI212" s="40"/>
      <c r="BJ212" s="40"/>
      <c r="BK212" s="40"/>
      <c r="BL212" s="40"/>
      <c r="BM212" s="40"/>
      <c r="BN212" s="40"/>
      <c r="BO212" s="40"/>
      <c r="BP212" s="40"/>
      <c r="BQ212" s="40"/>
      <c r="BR212" s="40"/>
      <c r="BS212" s="40"/>
      <c r="BT212" s="40"/>
      <c r="BU212" s="40"/>
      <c r="BV212" s="40"/>
      <c r="BW212" s="40"/>
      <c r="BX212" s="40"/>
      <c r="BY212" s="40"/>
      <c r="BZ212" s="40"/>
      <c r="CA212" s="40"/>
      <c r="CB212" s="40"/>
      <c r="CC212" s="40"/>
      <c r="CD212" s="40"/>
      <c r="CE212" s="40"/>
      <c r="CF212" s="40"/>
      <c r="CG212" s="40"/>
      <c r="CH212" s="40"/>
      <c r="CI212" s="40"/>
      <c r="CJ212" s="40"/>
      <c r="CK212" s="40"/>
      <c r="CL212" s="40"/>
      <c r="CM212" s="40"/>
      <c r="CN212" s="40"/>
      <c r="CO212" s="40"/>
      <c r="CP212" s="40"/>
      <c r="CQ212" s="40"/>
      <c r="CR212" s="40"/>
      <c r="CS212" s="40"/>
      <c r="CT212" s="40"/>
      <c r="CU212" s="40"/>
      <c r="CV212" s="40"/>
      <c r="CW212" s="40"/>
      <c r="CX212" s="40"/>
      <c r="CY212" s="40"/>
      <c r="CZ212" s="40"/>
      <c r="DA212" s="40"/>
      <c r="DB212" s="40"/>
      <c r="DC212" s="40"/>
      <c r="DD212" s="40"/>
      <c r="DE212" s="40"/>
      <c r="DF212" s="40"/>
      <c r="DG212" s="40"/>
      <c r="DH212" s="40"/>
      <c r="DI212" s="40"/>
      <c r="DJ212" s="51"/>
      <c r="DK212" s="51"/>
      <c r="DL212" s="51"/>
      <c r="DM212" s="51"/>
      <c r="DN212" s="51"/>
      <c r="DO212" s="51"/>
      <c r="DP212" s="51"/>
      <c r="DQ212" s="51"/>
      <c r="DR212" s="51"/>
      <c r="DS212" s="51"/>
      <c r="DT212" s="51"/>
      <c r="DU212" s="51"/>
      <c r="DV212" s="51"/>
      <c r="DW212" s="51"/>
      <c r="DX212" s="51"/>
      <c r="DY212" s="51"/>
      <c r="DZ212" s="51"/>
      <c r="EA212" s="51"/>
      <c r="EB212" s="51"/>
      <c r="EC212" s="51"/>
      <c r="ED212" s="51"/>
      <c r="EE212" s="51"/>
      <c r="EF212" s="51"/>
      <c r="EG212" s="51"/>
      <c r="EH212" s="51"/>
      <c r="EI212" s="51"/>
      <c r="EJ212" s="40"/>
      <c r="EK212" s="40"/>
      <c r="EL212" s="40"/>
      <c r="EM212" s="40"/>
      <c r="EN212" s="40"/>
      <c r="EO212" s="40"/>
      <c r="EP212" s="40"/>
      <c r="EQ212" s="40"/>
      <c r="ER212" s="40"/>
      <c r="ES212" s="40"/>
      <c r="ET212" s="40"/>
      <c r="EU212" s="40"/>
      <c r="EV212" s="40"/>
      <c r="EW212" s="40"/>
      <c r="EX212" s="40"/>
      <c r="EY212" s="40"/>
      <c r="EZ212" s="40"/>
      <c r="FA212" s="40"/>
      <c r="FB212" s="40"/>
      <c r="FC212" s="40"/>
      <c r="FD212" s="40"/>
      <c r="FE212" s="40"/>
      <c r="FF212" s="40"/>
      <c r="FG212" s="40"/>
      <c r="FH212" s="40"/>
      <c r="FI212" s="40"/>
      <c r="FJ212" s="40"/>
      <c r="FK212" s="40"/>
      <c r="FL212" s="40"/>
      <c r="FM212" s="40"/>
      <c r="FN212" s="40"/>
      <c r="FO212" s="40"/>
      <c r="FP212" s="40"/>
      <c r="FQ212" s="40"/>
      <c r="FR212" s="40"/>
      <c r="FS212" s="40"/>
    </row>
    <row r="213" spans="1:175" s="13" customFormat="1" ht="16.100000000000001" customHeight="1">
      <c r="A213" s="1976"/>
      <c r="B213" s="204"/>
      <c r="M213" s="1778"/>
      <c r="O213" s="111"/>
      <c r="P213" s="393"/>
      <c r="Q213" s="14">
        <v>1</v>
      </c>
      <c r="R213" s="7"/>
      <c r="S213" s="14"/>
      <c r="T213" s="7"/>
      <c r="U213" s="7"/>
      <c r="V213" s="63"/>
      <c r="W213" s="63"/>
      <c r="X213" s="64"/>
      <c r="Y213" s="63"/>
      <c r="Z213" s="63"/>
      <c r="AA213" s="63"/>
      <c r="AB213" s="63"/>
      <c r="AC213" s="63"/>
      <c r="AD213" s="63"/>
      <c r="AE213" s="63"/>
      <c r="AF213" s="7"/>
      <c r="AG213" s="7"/>
      <c r="AH213" s="7"/>
      <c r="AI213" s="7"/>
      <c r="AJ213" s="7"/>
      <c r="AK213" s="7"/>
      <c r="AL213" s="7"/>
      <c r="AM213" s="7"/>
      <c r="AN213" s="7"/>
      <c r="AO213" s="7"/>
      <c r="AP213" s="7"/>
      <c r="AQ213" s="7"/>
      <c r="AR213" s="7"/>
      <c r="AS213" s="7"/>
      <c r="AT213" s="7"/>
      <c r="AU213" s="7"/>
      <c r="AV213" s="7"/>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51"/>
      <c r="DK213" s="51"/>
      <c r="DL213" s="51"/>
      <c r="DM213" s="51"/>
      <c r="DN213" s="51"/>
      <c r="DO213" s="51"/>
      <c r="DP213" s="51"/>
      <c r="DQ213" s="51"/>
      <c r="DR213" s="51"/>
      <c r="DS213" s="51"/>
      <c r="DT213" s="51"/>
      <c r="DU213" s="51"/>
      <c r="DV213" s="51"/>
      <c r="DW213" s="51"/>
      <c r="DX213" s="51"/>
      <c r="DY213" s="51"/>
      <c r="DZ213" s="51"/>
      <c r="EA213" s="51"/>
      <c r="EB213" s="51"/>
      <c r="EC213" s="51"/>
      <c r="ED213" s="51"/>
      <c r="EE213" s="51"/>
      <c r="EF213" s="51"/>
      <c r="EG213" s="51"/>
      <c r="EH213" s="51"/>
      <c r="EI213" s="51"/>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row>
    <row r="214" spans="1:175" s="13" customFormat="1" ht="16.100000000000001" customHeight="1">
      <c r="A214" s="1976"/>
      <c r="B214" s="204"/>
      <c r="M214" s="1778"/>
      <c r="O214" s="111"/>
      <c r="P214" s="393"/>
      <c r="Q214" s="14">
        <v>1</v>
      </c>
      <c r="R214" s="7"/>
      <c r="S214" s="14"/>
      <c r="T214" s="7"/>
      <c r="U214" s="7"/>
      <c r="V214" s="63"/>
      <c r="W214" s="63"/>
      <c r="X214" s="64"/>
      <c r="Y214" s="63"/>
      <c r="Z214" s="63"/>
      <c r="AA214" s="63"/>
      <c r="AB214" s="63"/>
      <c r="AC214" s="63"/>
      <c r="AD214" s="63"/>
      <c r="AE214" s="63"/>
      <c r="AF214" s="7"/>
      <c r="AG214" s="7"/>
      <c r="AH214" s="7"/>
      <c r="AI214" s="7"/>
      <c r="AJ214" s="7"/>
      <c r="AK214" s="7"/>
      <c r="AL214" s="7"/>
      <c r="AM214" s="7"/>
      <c r="AN214" s="7"/>
      <c r="AO214" s="7"/>
      <c r="AP214" s="7"/>
      <c r="AQ214" s="7"/>
      <c r="AR214" s="7"/>
      <c r="AS214" s="7"/>
      <c r="AT214" s="7"/>
      <c r="AU214" s="7"/>
      <c r="AV214" s="7"/>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51"/>
      <c r="DK214" s="51"/>
      <c r="DL214" s="51"/>
      <c r="DM214" s="51"/>
      <c r="DN214" s="51"/>
      <c r="DO214" s="51"/>
      <c r="DP214" s="51"/>
      <c r="DQ214" s="51"/>
      <c r="DR214" s="51"/>
      <c r="DS214" s="51"/>
      <c r="DT214" s="51"/>
      <c r="DU214" s="51"/>
      <c r="DV214" s="51"/>
      <c r="DW214" s="51"/>
      <c r="DX214" s="51"/>
      <c r="DY214" s="51"/>
      <c r="DZ214" s="51"/>
      <c r="EA214" s="51"/>
      <c r="EB214" s="51"/>
      <c r="EC214" s="51"/>
      <c r="ED214" s="51"/>
      <c r="EE214" s="51"/>
      <c r="EF214" s="51"/>
      <c r="EG214" s="51"/>
      <c r="EH214" s="51"/>
      <c r="EI214" s="51"/>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row>
    <row r="215" spans="1:175" s="13" customFormat="1" ht="16.100000000000001" customHeight="1">
      <c r="A215" s="1976"/>
      <c r="B215" s="204"/>
      <c r="M215" s="1778"/>
      <c r="O215" s="111"/>
      <c r="P215" s="393"/>
      <c r="Q215" s="14">
        <v>1</v>
      </c>
      <c r="R215" s="7"/>
      <c r="S215" s="14"/>
      <c r="T215" s="7"/>
      <c r="U215" s="7"/>
      <c r="V215" s="63"/>
      <c r="W215" s="63"/>
      <c r="X215" s="64"/>
      <c r="Y215" s="63"/>
      <c r="Z215" s="63"/>
      <c r="AA215" s="63"/>
      <c r="AB215" s="63"/>
      <c r="AC215" s="63"/>
      <c r="AD215" s="63"/>
      <c r="AE215" s="63"/>
      <c r="AF215" s="7"/>
      <c r="AG215" s="7"/>
      <c r="AH215" s="7"/>
      <c r="AI215" s="7"/>
      <c r="AJ215" s="7"/>
      <c r="AK215" s="7"/>
      <c r="AL215" s="7"/>
      <c r="AM215" s="7"/>
      <c r="AN215" s="7"/>
      <c r="AO215" s="7"/>
      <c r="AP215" s="7"/>
      <c r="AQ215" s="7"/>
      <c r="AR215" s="7"/>
      <c r="AS215" s="7"/>
      <c r="AT215" s="7"/>
      <c r="AU215" s="7"/>
      <c r="AV215" s="7"/>
      <c r="AW215" s="40"/>
      <c r="AX215" s="40"/>
      <c r="AY215" s="40"/>
      <c r="AZ215" s="40"/>
      <c r="BA215" s="40"/>
      <c r="BB215" s="40"/>
      <c r="BC215" s="40"/>
      <c r="BD215" s="40"/>
      <c r="BE215" s="40"/>
      <c r="BF215" s="40"/>
      <c r="BG215" s="40"/>
      <c r="BH215" s="40"/>
      <c r="BI215" s="40"/>
      <c r="BJ215" s="40"/>
      <c r="BK215" s="40"/>
      <c r="BL215" s="40"/>
      <c r="BM215" s="40"/>
      <c r="BN215" s="40"/>
      <c r="BO215" s="40"/>
      <c r="BP215" s="40"/>
      <c r="BQ215" s="40"/>
      <c r="BR215" s="40"/>
      <c r="BS215" s="40"/>
      <c r="BT215" s="40"/>
      <c r="BU215" s="40"/>
      <c r="BV215" s="40"/>
      <c r="BW215" s="40"/>
      <c r="BX215" s="40"/>
      <c r="BY215" s="40"/>
      <c r="BZ215" s="40"/>
      <c r="CA215" s="40"/>
      <c r="CB215" s="40"/>
      <c r="CC215" s="40"/>
      <c r="CD215" s="40"/>
      <c r="CE215" s="40"/>
      <c r="CF215" s="40"/>
      <c r="CG215" s="40"/>
      <c r="CH215" s="40"/>
      <c r="CI215" s="40"/>
      <c r="CJ215" s="40"/>
      <c r="CK215" s="40"/>
      <c r="CL215" s="40"/>
      <c r="CM215" s="40"/>
      <c r="CN215" s="40"/>
      <c r="CO215" s="40"/>
      <c r="CP215" s="40"/>
      <c r="CQ215" s="40"/>
      <c r="CR215" s="40"/>
      <c r="CS215" s="40"/>
      <c r="CT215" s="40"/>
      <c r="CU215" s="40"/>
      <c r="CV215" s="40"/>
      <c r="CW215" s="40"/>
      <c r="CX215" s="40"/>
      <c r="CY215" s="40"/>
      <c r="CZ215" s="40"/>
      <c r="DA215" s="40"/>
      <c r="DB215" s="40"/>
      <c r="DC215" s="40"/>
      <c r="DD215" s="40"/>
      <c r="DE215" s="40"/>
      <c r="DF215" s="40"/>
      <c r="DG215" s="40"/>
      <c r="DH215" s="40"/>
      <c r="DI215" s="40"/>
      <c r="DJ215" s="51"/>
      <c r="DK215" s="51"/>
      <c r="DL215" s="51"/>
      <c r="DM215" s="51"/>
      <c r="DN215" s="51"/>
      <c r="DO215" s="51"/>
      <c r="DP215" s="51"/>
      <c r="DQ215" s="51"/>
      <c r="DR215" s="51"/>
      <c r="DS215" s="51"/>
      <c r="DT215" s="51"/>
      <c r="DU215" s="51"/>
      <c r="DV215" s="51"/>
      <c r="DW215" s="51"/>
      <c r="DX215" s="51"/>
      <c r="DY215" s="51"/>
      <c r="DZ215" s="51"/>
      <c r="EA215" s="51"/>
      <c r="EB215" s="51"/>
      <c r="EC215" s="51"/>
      <c r="ED215" s="51"/>
      <c r="EE215" s="51"/>
      <c r="EF215" s="51"/>
      <c r="EG215" s="51"/>
      <c r="EH215" s="51"/>
      <c r="EI215" s="51"/>
      <c r="EJ215" s="40"/>
      <c r="EK215" s="40"/>
      <c r="EL215" s="40"/>
      <c r="EM215" s="40"/>
      <c r="EN215" s="40"/>
      <c r="EO215" s="40"/>
      <c r="EP215" s="40"/>
      <c r="EQ215" s="40"/>
      <c r="ER215" s="40"/>
      <c r="ES215" s="40"/>
      <c r="ET215" s="40"/>
      <c r="EU215" s="40"/>
      <c r="EV215" s="40"/>
      <c r="EW215" s="40"/>
      <c r="EX215" s="40"/>
      <c r="EY215" s="40"/>
      <c r="EZ215" s="40"/>
      <c r="FA215" s="40"/>
      <c r="FB215" s="40"/>
      <c r="FC215" s="40"/>
      <c r="FD215" s="40"/>
      <c r="FE215" s="40"/>
      <c r="FF215" s="40"/>
      <c r="FG215" s="40"/>
      <c r="FH215" s="40"/>
      <c r="FI215" s="40"/>
      <c r="FJ215" s="40"/>
      <c r="FK215" s="40"/>
      <c r="FL215" s="40"/>
      <c r="FM215" s="40"/>
      <c r="FN215" s="40"/>
      <c r="FO215" s="40"/>
      <c r="FP215" s="40"/>
      <c r="FQ215" s="40"/>
      <c r="FR215" s="40"/>
      <c r="FS215" s="40"/>
    </row>
    <row r="216" spans="1:175" s="13" customFormat="1" ht="16.100000000000001" customHeight="1">
      <c r="A216" s="1976"/>
      <c r="B216" s="204"/>
      <c r="M216" s="1778"/>
      <c r="O216" s="111"/>
      <c r="P216" s="393"/>
      <c r="Q216" s="14">
        <v>1</v>
      </c>
      <c r="R216" s="7"/>
      <c r="S216" s="14"/>
      <c r="T216" s="7"/>
      <c r="U216" s="7"/>
      <c r="V216" s="63"/>
      <c r="W216" s="63"/>
      <c r="X216" s="64"/>
      <c r="Y216" s="63"/>
      <c r="Z216" s="63"/>
      <c r="AA216" s="63"/>
      <c r="AB216" s="63"/>
      <c r="AC216" s="63"/>
      <c r="AD216" s="63"/>
      <c r="AE216" s="63"/>
      <c r="AF216" s="7"/>
      <c r="AG216" s="7"/>
      <c r="AH216" s="7"/>
      <c r="AI216" s="7"/>
      <c r="AJ216" s="7"/>
      <c r="AK216" s="7"/>
      <c r="AL216" s="7"/>
      <c r="AM216" s="7"/>
      <c r="AN216" s="7"/>
      <c r="AO216" s="7"/>
      <c r="AP216" s="7"/>
      <c r="AQ216" s="7"/>
      <c r="AR216" s="7"/>
      <c r="AS216" s="7"/>
      <c r="AT216" s="7"/>
      <c r="AU216" s="7"/>
      <c r="AV216" s="7"/>
      <c r="AW216" s="40"/>
      <c r="AX216" s="40"/>
      <c r="AY216" s="40"/>
      <c r="AZ216" s="40"/>
      <c r="BA216" s="40"/>
      <c r="BB216" s="40"/>
      <c r="BC216" s="40"/>
      <c r="BD216" s="40"/>
      <c r="BE216" s="40"/>
      <c r="BF216" s="40"/>
      <c r="BG216" s="40"/>
      <c r="BH216" s="40"/>
      <c r="BI216" s="40"/>
      <c r="BJ216" s="40"/>
      <c r="BK216" s="40"/>
      <c r="BL216" s="40"/>
      <c r="BM216" s="40"/>
      <c r="BN216" s="40"/>
      <c r="BO216" s="40"/>
      <c r="BP216" s="40"/>
      <c r="BQ216" s="40"/>
      <c r="BR216" s="40"/>
      <c r="BS216" s="40"/>
      <c r="BT216" s="40"/>
      <c r="BU216" s="40"/>
      <c r="BV216" s="40"/>
      <c r="BW216" s="40"/>
      <c r="BX216" s="40"/>
      <c r="BY216" s="40"/>
      <c r="BZ216" s="40"/>
      <c r="CA216" s="40"/>
      <c r="CB216" s="40"/>
      <c r="CC216" s="40"/>
      <c r="CD216" s="40"/>
      <c r="CE216" s="40"/>
      <c r="CF216" s="40"/>
      <c r="CG216" s="40"/>
      <c r="CH216" s="40"/>
      <c r="CI216" s="40"/>
      <c r="CJ216" s="40"/>
      <c r="CK216" s="40"/>
      <c r="CL216" s="40"/>
      <c r="CM216" s="40"/>
      <c r="CN216" s="40"/>
      <c r="CO216" s="40"/>
      <c r="CP216" s="40"/>
      <c r="CQ216" s="40"/>
      <c r="CR216" s="40"/>
      <c r="CS216" s="40"/>
      <c r="CT216" s="40"/>
      <c r="CU216" s="40"/>
      <c r="CV216" s="40"/>
      <c r="CW216" s="40"/>
      <c r="CX216" s="40"/>
      <c r="CY216" s="40"/>
      <c r="CZ216" s="40"/>
      <c r="DA216" s="40"/>
      <c r="DB216" s="40"/>
      <c r="DC216" s="40"/>
      <c r="DD216" s="40"/>
      <c r="DE216" s="40"/>
      <c r="DF216" s="40"/>
      <c r="DG216" s="40"/>
      <c r="DH216" s="40"/>
      <c r="DI216" s="40"/>
      <c r="DJ216" s="51"/>
      <c r="DK216" s="51"/>
      <c r="DL216" s="51"/>
      <c r="DM216" s="51"/>
      <c r="DN216" s="51"/>
      <c r="DO216" s="51"/>
      <c r="DP216" s="51"/>
      <c r="DQ216" s="51"/>
      <c r="DR216" s="51"/>
      <c r="DS216" s="51"/>
      <c r="DT216" s="51"/>
      <c r="DU216" s="51"/>
      <c r="DV216" s="51"/>
      <c r="DW216" s="51"/>
      <c r="DX216" s="51"/>
      <c r="DY216" s="51"/>
      <c r="DZ216" s="51"/>
      <c r="EA216" s="51"/>
      <c r="EB216" s="51"/>
      <c r="EC216" s="51"/>
      <c r="ED216" s="51"/>
      <c r="EE216" s="51"/>
      <c r="EF216" s="51"/>
      <c r="EG216" s="51"/>
      <c r="EH216" s="51"/>
      <c r="EI216" s="51"/>
      <c r="EJ216" s="40"/>
      <c r="EK216" s="40"/>
      <c r="EL216" s="40"/>
      <c r="EM216" s="40"/>
      <c r="EN216" s="40"/>
      <c r="EO216" s="40"/>
      <c r="EP216" s="40"/>
      <c r="EQ216" s="40"/>
      <c r="ER216" s="40"/>
      <c r="ES216" s="40"/>
      <c r="ET216" s="40"/>
      <c r="EU216" s="40"/>
      <c r="EV216" s="40"/>
      <c r="EW216" s="40"/>
      <c r="EX216" s="40"/>
      <c r="EY216" s="40"/>
      <c r="EZ216" s="40"/>
      <c r="FA216" s="40"/>
      <c r="FB216" s="40"/>
      <c r="FC216" s="40"/>
      <c r="FD216" s="40"/>
      <c r="FE216" s="40"/>
      <c r="FF216" s="40"/>
      <c r="FG216" s="40"/>
      <c r="FH216" s="40"/>
      <c r="FI216" s="40"/>
      <c r="FJ216" s="40"/>
      <c r="FK216" s="40"/>
      <c r="FL216" s="40"/>
      <c r="FM216" s="40"/>
      <c r="FN216" s="40"/>
      <c r="FO216" s="40"/>
      <c r="FP216" s="40"/>
      <c r="FQ216" s="40"/>
      <c r="FR216" s="40"/>
      <c r="FS216" s="40"/>
    </row>
    <row r="217" spans="1:175" s="13" customFormat="1" ht="16.100000000000001" customHeight="1">
      <c r="A217" s="1976"/>
      <c r="B217" s="204"/>
      <c r="M217" s="1778"/>
      <c r="O217" s="111"/>
      <c r="P217" s="393"/>
      <c r="Q217" s="14">
        <v>1</v>
      </c>
      <c r="R217" s="7"/>
      <c r="S217" s="14"/>
      <c r="T217" s="7"/>
      <c r="U217" s="7"/>
      <c r="V217" s="63"/>
      <c r="W217" s="63"/>
      <c r="X217" s="64"/>
      <c r="Y217" s="63"/>
      <c r="Z217" s="63"/>
      <c r="AA217" s="63"/>
      <c r="AB217" s="63"/>
      <c r="AC217" s="63"/>
      <c r="AD217" s="63"/>
      <c r="AE217" s="63"/>
      <c r="AF217" s="7"/>
      <c r="AG217" s="7"/>
      <c r="AH217" s="7"/>
      <c r="AI217" s="7"/>
      <c r="AJ217" s="7"/>
      <c r="AK217" s="7"/>
      <c r="AL217" s="7"/>
      <c r="AM217" s="7"/>
      <c r="AN217" s="7"/>
      <c r="AO217" s="7"/>
      <c r="AP217" s="7"/>
      <c r="AQ217" s="7"/>
      <c r="AR217" s="7"/>
      <c r="AS217" s="7"/>
      <c r="AT217" s="7"/>
      <c r="AU217" s="7"/>
      <c r="AV217" s="7"/>
      <c r="AW217" s="40"/>
      <c r="AX217" s="40"/>
      <c r="AY217" s="40"/>
      <c r="AZ217" s="40"/>
      <c r="BA217" s="40"/>
      <c r="BB217" s="40"/>
      <c r="BC217" s="40"/>
      <c r="BD217" s="40"/>
      <c r="BE217" s="40"/>
      <c r="BF217" s="40"/>
      <c r="BG217" s="40"/>
      <c r="BH217" s="40"/>
      <c r="BI217" s="40"/>
      <c r="BJ217" s="40"/>
      <c r="BK217" s="40"/>
      <c r="BL217" s="40"/>
      <c r="BM217" s="40"/>
      <c r="BN217" s="40"/>
      <c r="BO217" s="40"/>
      <c r="BP217" s="40"/>
      <c r="BQ217" s="40"/>
      <c r="BR217" s="40"/>
      <c r="BS217" s="40"/>
      <c r="BT217" s="40"/>
      <c r="BU217" s="40"/>
      <c r="BV217" s="40"/>
      <c r="BW217" s="40"/>
      <c r="BX217" s="40"/>
      <c r="BY217" s="40"/>
      <c r="BZ217" s="40"/>
      <c r="CA217" s="40"/>
      <c r="CB217" s="40"/>
      <c r="CC217" s="40"/>
      <c r="CD217" s="40"/>
      <c r="CE217" s="40"/>
      <c r="CF217" s="40"/>
      <c r="CG217" s="40"/>
      <c r="CH217" s="40"/>
      <c r="CI217" s="40"/>
      <c r="CJ217" s="40"/>
      <c r="CK217" s="40"/>
      <c r="CL217" s="40"/>
      <c r="CM217" s="40"/>
      <c r="CN217" s="40"/>
      <c r="CO217" s="40"/>
      <c r="CP217" s="40"/>
      <c r="CQ217" s="40"/>
      <c r="CR217" s="40"/>
      <c r="CS217" s="40"/>
      <c r="CT217" s="40"/>
      <c r="CU217" s="40"/>
      <c r="CV217" s="40"/>
      <c r="CW217" s="40"/>
      <c r="CX217" s="40"/>
      <c r="CY217" s="40"/>
      <c r="CZ217" s="40"/>
      <c r="DA217" s="40"/>
      <c r="DB217" s="40"/>
      <c r="DC217" s="40"/>
      <c r="DD217" s="40"/>
      <c r="DE217" s="40"/>
      <c r="DF217" s="40"/>
      <c r="DG217" s="40"/>
      <c r="DH217" s="40"/>
      <c r="DI217" s="40"/>
      <c r="DJ217" s="51"/>
      <c r="DK217" s="51"/>
      <c r="DL217" s="51"/>
      <c r="DM217" s="51"/>
      <c r="DN217" s="51"/>
      <c r="DO217" s="51"/>
      <c r="DP217" s="51"/>
      <c r="DQ217" s="51"/>
      <c r="DR217" s="51"/>
      <c r="DS217" s="51"/>
      <c r="DT217" s="51"/>
      <c r="DU217" s="51"/>
      <c r="DV217" s="51"/>
      <c r="DW217" s="51"/>
      <c r="DX217" s="51"/>
      <c r="DY217" s="51"/>
      <c r="DZ217" s="51"/>
      <c r="EA217" s="51"/>
      <c r="EB217" s="51"/>
      <c r="EC217" s="51"/>
      <c r="ED217" s="51"/>
      <c r="EE217" s="51"/>
      <c r="EF217" s="51"/>
      <c r="EG217" s="51"/>
      <c r="EH217" s="51"/>
      <c r="EI217" s="51"/>
      <c r="EJ217" s="40"/>
      <c r="EK217" s="40"/>
      <c r="EL217" s="40"/>
      <c r="EM217" s="40"/>
      <c r="EN217" s="40"/>
      <c r="EO217" s="40"/>
      <c r="EP217" s="40"/>
      <c r="EQ217" s="40"/>
      <c r="ER217" s="40"/>
      <c r="ES217" s="40"/>
      <c r="ET217" s="40"/>
      <c r="EU217" s="40"/>
      <c r="EV217" s="40"/>
      <c r="EW217" s="40"/>
      <c r="EX217" s="40"/>
      <c r="EY217" s="40"/>
      <c r="EZ217" s="40"/>
      <c r="FA217" s="40"/>
      <c r="FB217" s="40"/>
      <c r="FC217" s="40"/>
      <c r="FD217" s="40"/>
      <c r="FE217" s="40"/>
      <c r="FF217" s="40"/>
      <c r="FG217" s="40"/>
      <c r="FH217" s="40"/>
      <c r="FI217" s="40"/>
      <c r="FJ217" s="40"/>
      <c r="FK217" s="40"/>
      <c r="FL217" s="40"/>
      <c r="FM217" s="40"/>
      <c r="FN217" s="40"/>
      <c r="FO217" s="40"/>
      <c r="FP217" s="40"/>
      <c r="FQ217" s="40"/>
      <c r="FR217" s="40"/>
      <c r="FS217" s="40"/>
    </row>
    <row r="218" spans="1:175" s="13" customFormat="1" ht="16.100000000000001" customHeight="1">
      <c r="A218" s="1976"/>
      <c r="B218" s="204"/>
      <c r="M218" s="1778"/>
      <c r="O218" s="111"/>
      <c r="P218" s="393"/>
      <c r="Q218" s="14">
        <v>1</v>
      </c>
      <c r="R218" s="7"/>
      <c r="S218" s="14"/>
      <c r="T218" s="7"/>
      <c r="U218" s="7"/>
      <c r="V218" s="63"/>
      <c r="W218" s="63"/>
      <c r="X218" s="64"/>
      <c r="Y218" s="63"/>
      <c r="Z218" s="63"/>
      <c r="AA218" s="63"/>
      <c r="AB218" s="63"/>
      <c r="AC218" s="63"/>
      <c r="AD218" s="63"/>
      <c r="AE218" s="63"/>
      <c r="AF218" s="7"/>
      <c r="AG218" s="7"/>
      <c r="AH218" s="7"/>
      <c r="AI218" s="7"/>
      <c r="AJ218" s="7"/>
      <c r="AK218" s="7"/>
      <c r="AL218" s="7"/>
      <c r="AM218" s="7"/>
      <c r="AN218" s="7"/>
      <c r="AO218" s="7"/>
      <c r="AP218" s="7"/>
      <c r="AQ218" s="7"/>
      <c r="AR218" s="7"/>
      <c r="AS218" s="7"/>
      <c r="AT218" s="7"/>
      <c r="AU218" s="7"/>
      <c r="AV218" s="7"/>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51"/>
      <c r="DK218" s="51"/>
      <c r="DL218" s="51"/>
      <c r="DM218" s="51"/>
      <c r="DN218" s="51"/>
      <c r="DO218" s="51"/>
      <c r="DP218" s="51"/>
      <c r="DQ218" s="51"/>
      <c r="DR218" s="51"/>
      <c r="DS218" s="51"/>
      <c r="DT218" s="51"/>
      <c r="DU218" s="51"/>
      <c r="DV218" s="51"/>
      <c r="DW218" s="51"/>
      <c r="DX218" s="51"/>
      <c r="DY218" s="51"/>
      <c r="DZ218" s="51"/>
      <c r="EA218" s="51"/>
      <c r="EB218" s="51"/>
      <c r="EC218" s="51"/>
      <c r="ED218" s="51"/>
      <c r="EE218" s="51"/>
      <c r="EF218" s="51"/>
      <c r="EG218" s="51"/>
      <c r="EH218" s="51"/>
      <c r="EI218" s="51"/>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row>
    <row r="219" spans="1:175" s="13" customFormat="1" ht="16.100000000000001" customHeight="1">
      <c r="A219" s="1976"/>
      <c r="B219" s="204"/>
      <c r="M219" s="1778"/>
      <c r="O219" s="111"/>
      <c r="P219" s="393"/>
      <c r="Q219" s="14">
        <v>1</v>
      </c>
      <c r="R219" s="7"/>
      <c r="S219" s="14"/>
      <c r="T219" s="7"/>
      <c r="U219" s="7"/>
      <c r="V219" s="63"/>
      <c r="W219" s="63"/>
      <c r="X219" s="64"/>
      <c r="Y219" s="63"/>
      <c r="Z219" s="63"/>
      <c r="AA219" s="63"/>
      <c r="AB219" s="63"/>
      <c r="AC219" s="63"/>
      <c r="AD219" s="63"/>
      <c r="AE219" s="63"/>
      <c r="AF219" s="7"/>
      <c r="AG219" s="7"/>
      <c r="AH219" s="7"/>
      <c r="AI219" s="7"/>
      <c r="AJ219" s="7"/>
      <c r="AK219" s="7"/>
      <c r="AL219" s="7"/>
      <c r="AM219" s="7"/>
      <c r="AN219" s="7"/>
      <c r="AO219" s="7"/>
      <c r="AP219" s="7"/>
      <c r="AQ219" s="7"/>
      <c r="AR219" s="7"/>
      <c r="AS219" s="7"/>
      <c r="AT219" s="7"/>
      <c r="AU219" s="7"/>
      <c r="AV219" s="7"/>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51"/>
      <c r="DK219" s="51"/>
      <c r="DL219" s="51"/>
      <c r="DM219" s="51"/>
      <c r="DN219" s="51"/>
      <c r="DO219" s="51"/>
      <c r="DP219" s="51"/>
      <c r="DQ219" s="51"/>
      <c r="DR219" s="51"/>
      <c r="DS219" s="51"/>
      <c r="DT219" s="51"/>
      <c r="DU219" s="51"/>
      <c r="DV219" s="51"/>
      <c r="DW219" s="51"/>
      <c r="DX219" s="51"/>
      <c r="DY219" s="51"/>
      <c r="DZ219" s="51"/>
      <c r="EA219" s="51"/>
      <c r="EB219" s="51"/>
      <c r="EC219" s="51"/>
      <c r="ED219" s="51"/>
      <c r="EE219" s="51"/>
      <c r="EF219" s="51"/>
      <c r="EG219" s="51"/>
      <c r="EH219" s="51"/>
      <c r="EI219" s="51"/>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row>
    <row r="220" spans="1:175" s="13" customFormat="1" ht="16.100000000000001" customHeight="1">
      <c r="A220" s="1976"/>
      <c r="B220" s="204"/>
      <c r="M220" s="1778"/>
      <c r="O220" s="111"/>
      <c r="P220" s="393"/>
      <c r="Q220" s="14">
        <v>1</v>
      </c>
      <c r="R220" s="7"/>
      <c r="S220" s="14"/>
      <c r="T220" s="7"/>
      <c r="U220" s="7"/>
      <c r="V220" s="63"/>
      <c r="W220" s="63"/>
      <c r="X220" s="64"/>
      <c r="Y220" s="63"/>
      <c r="Z220" s="63"/>
      <c r="AA220" s="63"/>
      <c r="AB220" s="63"/>
      <c r="AC220" s="63"/>
      <c r="AD220" s="63"/>
      <c r="AE220" s="63"/>
      <c r="AF220" s="7"/>
      <c r="AG220" s="7"/>
      <c r="AH220" s="7"/>
      <c r="AI220" s="7"/>
      <c r="AJ220" s="7"/>
      <c r="AK220" s="7"/>
      <c r="AL220" s="7"/>
      <c r="AM220" s="7"/>
      <c r="AN220" s="7"/>
      <c r="AO220" s="7"/>
      <c r="AP220" s="7"/>
      <c r="AQ220" s="7"/>
      <c r="AR220" s="7"/>
      <c r="AS220" s="7"/>
      <c r="AT220" s="7"/>
      <c r="AU220" s="7"/>
      <c r="AV220" s="7"/>
      <c r="AW220" s="40"/>
      <c r="AX220" s="40"/>
      <c r="AY220" s="40"/>
      <c r="AZ220" s="40"/>
      <c r="BA220" s="40"/>
      <c r="BB220" s="40"/>
      <c r="BC220" s="40"/>
      <c r="BD220" s="40"/>
      <c r="BE220" s="40"/>
      <c r="BF220" s="40"/>
      <c r="BG220" s="40"/>
      <c r="BH220" s="40"/>
      <c r="BI220" s="40"/>
      <c r="BJ220" s="40"/>
      <c r="BK220" s="40"/>
      <c r="BL220" s="40"/>
      <c r="BM220" s="40"/>
      <c r="BN220" s="40"/>
      <c r="BO220" s="40"/>
      <c r="BP220" s="40"/>
      <c r="BQ220" s="40"/>
      <c r="BR220" s="40"/>
      <c r="BS220" s="40"/>
      <c r="BT220" s="40"/>
      <c r="BU220" s="40"/>
      <c r="BV220" s="40"/>
      <c r="BW220" s="40"/>
      <c r="BX220" s="40"/>
      <c r="BY220" s="40"/>
      <c r="BZ220" s="40"/>
      <c r="CA220" s="40"/>
      <c r="CB220" s="40"/>
      <c r="CC220" s="40"/>
      <c r="CD220" s="40"/>
      <c r="CE220" s="40"/>
      <c r="CF220" s="40"/>
      <c r="CG220" s="40"/>
      <c r="CH220" s="40"/>
      <c r="CI220" s="40"/>
      <c r="CJ220" s="40"/>
      <c r="CK220" s="40"/>
      <c r="CL220" s="40"/>
      <c r="CM220" s="40"/>
      <c r="CN220" s="40"/>
      <c r="CO220" s="40"/>
      <c r="CP220" s="40"/>
      <c r="CQ220" s="40"/>
      <c r="CR220" s="40"/>
      <c r="CS220" s="40"/>
      <c r="CT220" s="40"/>
      <c r="CU220" s="40"/>
      <c r="CV220" s="40"/>
      <c r="CW220" s="40"/>
      <c r="CX220" s="40"/>
      <c r="CY220" s="40"/>
      <c r="CZ220" s="40"/>
      <c r="DA220" s="40"/>
      <c r="DB220" s="40"/>
      <c r="DC220" s="40"/>
      <c r="DD220" s="40"/>
      <c r="DE220" s="40"/>
      <c r="DF220" s="40"/>
      <c r="DG220" s="40"/>
      <c r="DH220" s="40"/>
      <c r="DI220" s="40"/>
      <c r="DJ220" s="51"/>
      <c r="DK220" s="51"/>
      <c r="DL220" s="51"/>
      <c r="DM220" s="51"/>
      <c r="DN220" s="51"/>
      <c r="DO220" s="51"/>
      <c r="DP220" s="51"/>
      <c r="DQ220" s="51"/>
      <c r="DR220" s="51"/>
      <c r="DS220" s="51"/>
      <c r="DT220" s="51"/>
      <c r="DU220" s="51"/>
      <c r="DV220" s="51"/>
      <c r="DW220" s="51"/>
      <c r="DX220" s="51"/>
      <c r="DY220" s="51"/>
      <c r="DZ220" s="51"/>
      <c r="EA220" s="51"/>
      <c r="EB220" s="51"/>
      <c r="EC220" s="51"/>
      <c r="ED220" s="51"/>
      <c r="EE220" s="51"/>
      <c r="EF220" s="51"/>
      <c r="EG220" s="51"/>
      <c r="EH220" s="51"/>
      <c r="EI220" s="51"/>
      <c r="EJ220" s="40"/>
      <c r="EK220" s="40"/>
      <c r="EL220" s="40"/>
      <c r="EM220" s="40"/>
      <c r="EN220" s="40"/>
      <c r="EO220" s="40"/>
      <c r="EP220" s="40"/>
      <c r="EQ220" s="40"/>
      <c r="ER220" s="40"/>
      <c r="ES220" s="40"/>
      <c r="ET220" s="40"/>
      <c r="EU220" s="40"/>
      <c r="EV220" s="40"/>
      <c r="EW220" s="40"/>
      <c r="EX220" s="40"/>
      <c r="EY220" s="40"/>
      <c r="EZ220" s="40"/>
      <c r="FA220" s="40"/>
      <c r="FB220" s="40"/>
      <c r="FC220" s="40"/>
      <c r="FD220" s="40"/>
      <c r="FE220" s="40"/>
      <c r="FF220" s="40"/>
      <c r="FG220" s="40"/>
      <c r="FH220" s="40"/>
      <c r="FI220" s="40"/>
      <c r="FJ220" s="40"/>
      <c r="FK220" s="40"/>
      <c r="FL220" s="40"/>
      <c r="FM220" s="40"/>
      <c r="FN220" s="40"/>
      <c r="FO220" s="40"/>
      <c r="FP220" s="40"/>
      <c r="FQ220" s="40"/>
      <c r="FR220" s="40"/>
      <c r="FS220" s="40"/>
    </row>
    <row r="221" spans="1:175" s="13" customFormat="1" ht="16.100000000000001" customHeight="1">
      <c r="A221" s="1976"/>
      <c r="B221" s="204"/>
      <c r="M221" s="1778"/>
      <c r="O221" s="111"/>
      <c r="P221" s="393"/>
      <c r="Q221" s="14">
        <v>1</v>
      </c>
      <c r="R221" s="7"/>
      <c r="S221" s="14"/>
      <c r="T221" s="7"/>
      <c r="U221" s="7"/>
      <c r="V221" s="63"/>
      <c r="W221" s="63"/>
      <c r="X221" s="64"/>
      <c r="Y221" s="63"/>
      <c r="Z221" s="63"/>
      <c r="AA221" s="63"/>
      <c r="AB221" s="63"/>
      <c r="AC221" s="63"/>
      <c r="AD221" s="63"/>
      <c r="AE221" s="63"/>
      <c r="AF221" s="7"/>
      <c r="AG221" s="7"/>
      <c r="AH221" s="7"/>
      <c r="AI221" s="7"/>
      <c r="AJ221" s="7"/>
      <c r="AK221" s="7"/>
      <c r="AL221" s="7"/>
      <c r="AM221" s="7"/>
      <c r="AN221" s="7"/>
      <c r="AO221" s="7"/>
      <c r="AP221" s="7"/>
      <c r="AQ221" s="7"/>
      <c r="AR221" s="7"/>
      <c r="AS221" s="7"/>
      <c r="AT221" s="7"/>
      <c r="AU221" s="7"/>
      <c r="AV221" s="7"/>
      <c r="AW221" s="40"/>
      <c r="AX221" s="40"/>
      <c r="AY221" s="40"/>
      <c r="AZ221" s="40"/>
      <c r="BA221" s="40"/>
      <c r="BB221" s="40"/>
      <c r="BC221" s="40"/>
      <c r="BD221" s="40"/>
      <c r="BE221" s="40"/>
      <c r="BF221" s="40"/>
      <c r="BG221" s="40"/>
      <c r="BH221" s="40"/>
      <c r="BI221" s="40"/>
      <c r="BJ221" s="40"/>
      <c r="BK221" s="40"/>
      <c r="BL221" s="40"/>
      <c r="BM221" s="40"/>
      <c r="BN221" s="40"/>
      <c r="BO221" s="40"/>
      <c r="BP221" s="40"/>
      <c r="BQ221" s="40"/>
      <c r="BR221" s="40"/>
      <c r="BS221" s="40"/>
      <c r="BT221" s="40"/>
      <c r="BU221" s="40"/>
      <c r="BV221" s="40"/>
      <c r="BW221" s="40"/>
      <c r="BX221" s="40"/>
      <c r="BY221" s="40"/>
      <c r="BZ221" s="40"/>
      <c r="CA221" s="40"/>
      <c r="CB221" s="40"/>
      <c r="CC221" s="40"/>
      <c r="CD221" s="40"/>
      <c r="CE221" s="40"/>
      <c r="CF221" s="40"/>
      <c r="CG221" s="40"/>
      <c r="CH221" s="40"/>
      <c r="CI221" s="40"/>
      <c r="CJ221" s="40"/>
      <c r="CK221" s="40"/>
      <c r="CL221" s="40"/>
      <c r="CM221" s="40"/>
      <c r="CN221" s="40"/>
      <c r="CO221" s="40"/>
      <c r="CP221" s="40"/>
      <c r="CQ221" s="40"/>
      <c r="CR221" s="40"/>
      <c r="CS221" s="40"/>
      <c r="CT221" s="40"/>
      <c r="CU221" s="40"/>
      <c r="CV221" s="40"/>
      <c r="CW221" s="40"/>
      <c r="CX221" s="40"/>
      <c r="CY221" s="40"/>
      <c r="CZ221" s="40"/>
      <c r="DA221" s="40"/>
      <c r="DB221" s="40"/>
      <c r="DC221" s="40"/>
      <c r="DD221" s="40"/>
      <c r="DE221" s="40"/>
      <c r="DF221" s="40"/>
      <c r="DG221" s="40"/>
      <c r="DH221" s="40"/>
      <c r="DI221" s="40"/>
      <c r="DJ221" s="51"/>
      <c r="DK221" s="51"/>
      <c r="DL221" s="51"/>
      <c r="DM221" s="51"/>
      <c r="DN221" s="51"/>
      <c r="DO221" s="51"/>
      <c r="DP221" s="51"/>
      <c r="DQ221" s="51"/>
      <c r="DR221" s="51"/>
      <c r="DS221" s="51"/>
      <c r="DT221" s="51"/>
      <c r="DU221" s="51"/>
      <c r="DV221" s="51"/>
      <c r="DW221" s="51"/>
      <c r="DX221" s="51"/>
      <c r="DY221" s="51"/>
      <c r="DZ221" s="51"/>
      <c r="EA221" s="51"/>
      <c r="EB221" s="51"/>
      <c r="EC221" s="51"/>
      <c r="ED221" s="51"/>
      <c r="EE221" s="51"/>
      <c r="EF221" s="51"/>
      <c r="EG221" s="51"/>
      <c r="EH221" s="51"/>
      <c r="EI221" s="51"/>
      <c r="EJ221" s="40"/>
      <c r="EK221" s="40"/>
      <c r="EL221" s="40"/>
      <c r="EM221" s="40"/>
      <c r="EN221" s="40"/>
      <c r="EO221" s="40"/>
      <c r="EP221" s="40"/>
      <c r="EQ221" s="40"/>
      <c r="ER221" s="40"/>
      <c r="ES221" s="40"/>
      <c r="ET221" s="40"/>
      <c r="EU221" s="40"/>
      <c r="EV221" s="40"/>
      <c r="EW221" s="40"/>
      <c r="EX221" s="40"/>
      <c r="EY221" s="40"/>
      <c r="EZ221" s="40"/>
      <c r="FA221" s="40"/>
      <c r="FB221" s="40"/>
      <c r="FC221" s="40"/>
      <c r="FD221" s="40"/>
      <c r="FE221" s="40"/>
      <c r="FF221" s="40"/>
      <c r="FG221" s="40"/>
      <c r="FH221" s="40"/>
      <c r="FI221" s="40"/>
      <c r="FJ221" s="40"/>
      <c r="FK221" s="40"/>
      <c r="FL221" s="40"/>
      <c r="FM221" s="40"/>
      <c r="FN221" s="40"/>
      <c r="FO221" s="40"/>
      <c r="FP221" s="40"/>
      <c r="FQ221" s="40"/>
      <c r="FR221" s="40"/>
      <c r="FS221" s="40"/>
    </row>
    <row r="222" spans="1:175" s="13" customFormat="1" ht="16.100000000000001" customHeight="1">
      <c r="A222" s="1976"/>
      <c r="B222" s="204"/>
      <c r="M222" s="1778"/>
      <c r="O222" s="111"/>
      <c r="P222" s="393"/>
      <c r="Q222" s="14">
        <v>1</v>
      </c>
      <c r="R222" s="7"/>
      <c r="S222" s="14"/>
      <c r="T222" s="7"/>
      <c r="U222" s="7"/>
      <c r="V222" s="63"/>
      <c r="W222" s="63"/>
      <c r="X222" s="64"/>
      <c r="Y222" s="63"/>
      <c r="Z222" s="63"/>
      <c r="AA222" s="63"/>
      <c r="AB222" s="63"/>
      <c r="AC222" s="63"/>
      <c r="AD222" s="63"/>
      <c r="AE222" s="63"/>
      <c r="AF222" s="7"/>
      <c r="AG222" s="7"/>
      <c r="AH222" s="7"/>
      <c r="AI222" s="7"/>
      <c r="AJ222" s="7"/>
      <c r="AK222" s="7"/>
      <c r="AL222" s="7"/>
      <c r="AM222" s="7"/>
      <c r="AN222" s="7"/>
      <c r="AO222" s="7"/>
      <c r="AP222" s="7"/>
      <c r="AQ222" s="7"/>
      <c r="AR222" s="7"/>
      <c r="AS222" s="7"/>
      <c r="AT222" s="7"/>
      <c r="AU222" s="7"/>
      <c r="AV222" s="7"/>
      <c r="AW222" s="40"/>
      <c r="AX222" s="40"/>
      <c r="AY222" s="40"/>
      <c r="AZ222" s="40"/>
      <c r="BA222" s="40"/>
      <c r="BB222" s="40"/>
      <c r="BC222" s="40"/>
      <c r="BD222" s="40"/>
      <c r="BE222" s="40"/>
      <c r="BF222" s="40"/>
      <c r="BG222" s="40"/>
      <c r="BH222" s="40"/>
      <c r="BI222" s="40"/>
      <c r="BJ222" s="40"/>
      <c r="BK222" s="40"/>
      <c r="BL222" s="40"/>
      <c r="BM222" s="40"/>
      <c r="BN222" s="40"/>
      <c r="BO222" s="40"/>
      <c r="BP222" s="40"/>
      <c r="BQ222" s="40"/>
      <c r="BR222" s="40"/>
      <c r="BS222" s="40"/>
      <c r="BT222" s="40"/>
      <c r="BU222" s="40"/>
      <c r="BV222" s="40"/>
      <c r="BW222" s="40"/>
      <c r="BX222" s="40"/>
      <c r="BY222" s="40"/>
      <c r="BZ222" s="40"/>
      <c r="CA222" s="40"/>
      <c r="CB222" s="40"/>
      <c r="CC222" s="40"/>
      <c r="CD222" s="40"/>
      <c r="CE222" s="40"/>
      <c r="CF222" s="40"/>
      <c r="CG222" s="40"/>
      <c r="CH222" s="40"/>
      <c r="CI222" s="40"/>
      <c r="CJ222" s="40"/>
      <c r="CK222" s="40"/>
      <c r="CL222" s="40"/>
      <c r="CM222" s="40"/>
      <c r="CN222" s="40"/>
      <c r="CO222" s="40"/>
      <c r="CP222" s="40"/>
      <c r="CQ222" s="40"/>
      <c r="CR222" s="40"/>
      <c r="CS222" s="40"/>
      <c r="CT222" s="40"/>
      <c r="CU222" s="40"/>
      <c r="CV222" s="40"/>
      <c r="CW222" s="40"/>
      <c r="CX222" s="40"/>
      <c r="CY222" s="40"/>
      <c r="CZ222" s="40"/>
      <c r="DA222" s="40"/>
      <c r="DB222" s="40"/>
      <c r="DC222" s="40"/>
      <c r="DD222" s="40"/>
      <c r="DE222" s="40"/>
      <c r="DF222" s="40"/>
      <c r="DG222" s="40"/>
      <c r="DH222" s="40"/>
      <c r="DI222" s="40"/>
      <c r="DJ222" s="51"/>
      <c r="DK222" s="51"/>
      <c r="DL222" s="51"/>
      <c r="DM222" s="51"/>
      <c r="DN222" s="51"/>
      <c r="DO222" s="51"/>
      <c r="DP222" s="51"/>
      <c r="DQ222" s="51"/>
      <c r="DR222" s="51"/>
      <c r="DS222" s="51"/>
      <c r="DT222" s="51"/>
      <c r="DU222" s="51"/>
      <c r="DV222" s="51"/>
      <c r="DW222" s="51"/>
      <c r="DX222" s="51"/>
      <c r="DY222" s="51"/>
      <c r="DZ222" s="51"/>
      <c r="EA222" s="51"/>
      <c r="EB222" s="51"/>
      <c r="EC222" s="51"/>
      <c r="ED222" s="51"/>
      <c r="EE222" s="51"/>
      <c r="EF222" s="51"/>
      <c r="EG222" s="51"/>
      <c r="EH222" s="51"/>
      <c r="EI222" s="51"/>
      <c r="EJ222" s="40"/>
      <c r="EK222" s="40"/>
      <c r="EL222" s="40"/>
      <c r="EM222" s="40"/>
      <c r="EN222" s="40"/>
      <c r="EO222" s="40"/>
      <c r="EP222" s="40"/>
      <c r="EQ222" s="40"/>
      <c r="ER222" s="40"/>
      <c r="ES222" s="40"/>
      <c r="ET222" s="40"/>
      <c r="EU222" s="40"/>
      <c r="EV222" s="40"/>
      <c r="EW222" s="40"/>
      <c r="EX222" s="40"/>
      <c r="EY222" s="40"/>
      <c r="EZ222" s="40"/>
      <c r="FA222" s="40"/>
      <c r="FB222" s="40"/>
      <c r="FC222" s="40"/>
      <c r="FD222" s="40"/>
      <c r="FE222" s="40"/>
      <c r="FF222" s="40"/>
      <c r="FG222" s="40"/>
      <c r="FH222" s="40"/>
      <c r="FI222" s="40"/>
      <c r="FJ222" s="40"/>
      <c r="FK222" s="40"/>
      <c r="FL222" s="40"/>
      <c r="FM222" s="40"/>
      <c r="FN222" s="40"/>
      <c r="FO222" s="40"/>
      <c r="FP222" s="40"/>
      <c r="FQ222" s="40"/>
      <c r="FR222" s="40"/>
      <c r="FS222" s="40"/>
    </row>
    <row r="223" spans="1:175" s="13" customFormat="1" ht="16.100000000000001" customHeight="1">
      <c r="A223" s="1976"/>
      <c r="B223" s="204"/>
      <c r="M223" s="1778"/>
      <c r="O223" s="111"/>
      <c r="P223" s="393"/>
      <c r="Q223" s="14">
        <v>1</v>
      </c>
      <c r="R223" s="7"/>
      <c r="S223" s="14"/>
      <c r="T223" s="7"/>
      <c r="U223" s="7"/>
      <c r="V223" s="63"/>
      <c r="W223" s="63"/>
      <c r="X223" s="64"/>
      <c r="Y223" s="63"/>
      <c r="Z223" s="63"/>
      <c r="AA223" s="63"/>
      <c r="AB223" s="63"/>
      <c r="AC223" s="63"/>
      <c r="AD223" s="63"/>
      <c r="AE223" s="63"/>
      <c r="AF223" s="7"/>
      <c r="AG223" s="7"/>
      <c r="AH223" s="7"/>
      <c r="AI223" s="7"/>
      <c r="AJ223" s="7"/>
      <c r="AK223" s="7"/>
      <c r="AL223" s="7"/>
      <c r="AM223" s="7"/>
      <c r="AN223" s="7"/>
      <c r="AO223" s="7"/>
      <c r="AP223" s="7"/>
      <c r="AQ223" s="7"/>
      <c r="AR223" s="7"/>
      <c r="AS223" s="7"/>
      <c r="AT223" s="7"/>
      <c r="AU223" s="7"/>
      <c r="AV223" s="7"/>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51"/>
      <c r="DK223" s="51"/>
      <c r="DL223" s="51"/>
      <c r="DM223" s="51"/>
      <c r="DN223" s="51"/>
      <c r="DO223" s="51"/>
      <c r="DP223" s="51"/>
      <c r="DQ223" s="51"/>
      <c r="DR223" s="51"/>
      <c r="DS223" s="51"/>
      <c r="DT223" s="51"/>
      <c r="DU223" s="51"/>
      <c r="DV223" s="51"/>
      <c r="DW223" s="51"/>
      <c r="DX223" s="51"/>
      <c r="DY223" s="51"/>
      <c r="DZ223" s="51"/>
      <c r="EA223" s="51"/>
      <c r="EB223" s="51"/>
      <c r="EC223" s="51"/>
      <c r="ED223" s="51"/>
      <c r="EE223" s="51"/>
      <c r="EF223" s="51"/>
      <c r="EG223" s="51"/>
      <c r="EH223" s="51"/>
      <c r="EI223" s="51"/>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row>
    <row r="224" spans="1:175" s="13" customFormat="1" ht="16.100000000000001" customHeight="1">
      <c r="A224" s="1976"/>
      <c r="B224" s="204"/>
      <c r="M224" s="1778"/>
      <c r="O224" s="111"/>
      <c r="P224" s="393"/>
      <c r="Q224" s="14">
        <v>1</v>
      </c>
      <c r="R224" s="7"/>
      <c r="S224" s="14"/>
      <c r="T224" s="7"/>
      <c r="U224" s="7"/>
      <c r="V224" s="63"/>
      <c r="W224" s="63"/>
      <c r="X224" s="64"/>
      <c r="Y224" s="63"/>
      <c r="Z224" s="63"/>
      <c r="AA224" s="63"/>
      <c r="AB224" s="63"/>
      <c r="AC224" s="63"/>
      <c r="AD224" s="63"/>
      <c r="AE224" s="63"/>
      <c r="AF224" s="7"/>
      <c r="AG224" s="7"/>
      <c r="AH224" s="7"/>
      <c r="AI224" s="7"/>
      <c r="AJ224" s="7"/>
      <c r="AK224" s="7"/>
      <c r="AL224" s="7"/>
      <c r="AM224" s="7"/>
      <c r="AN224" s="7"/>
      <c r="AO224" s="7"/>
      <c r="AP224" s="7"/>
      <c r="AQ224" s="7"/>
      <c r="AR224" s="7"/>
      <c r="AS224" s="7"/>
      <c r="AT224" s="7"/>
      <c r="AU224" s="7"/>
      <c r="AV224" s="7"/>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51"/>
      <c r="DK224" s="51"/>
      <c r="DL224" s="51"/>
      <c r="DM224" s="51"/>
      <c r="DN224" s="51"/>
      <c r="DO224" s="51"/>
      <c r="DP224" s="51"/>
      <c r="DQ224" s="51"/>
      <c r="DR224" s="51"/>
      <c r="DS224" s="51"/>
      <c r="DT224" s="51"/>
      <c r="DU224" s="51"/>
      <c r="DV224" s="51"/>
      <c r="DW224" s="51"/>
      <c r="DX224" s="51"/>
      <c r="DY224" s="51"/>
      <c r="DZ224" s="51"/>
      <c r="EA224" s="51"/>
      <c r="EB224" s="51"/>
      <c r="EC224" s="51"/>
      <c r="ED224" s="51"/>
      <c r="EE224" s="51"/>
      <c r="EF224" s="51"/>
      <c r="EG224" s="51"/>
      <c r="EH224" s="51"/>
      <c r="EI224" s="51"/>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row>
    <row r="225" spans="1:175" s="13" customFormat="1" ht="16.100000000000001" customHeight="1">
      <c r="A225" s="1976"/>
      <c r="B225" s="204"/>
      <c r="M225" s="1778"/>
      <c r="O225" s="111"/>
      <c r="P225" s="393"/>
      <c r="Q225" s="14">
        <v>1</v>
      </c>
      <c r="R225" s="7"/>
      <c r="S225" s="14"/>
      <c r="T225" s="7"/>
      <c r="U225" s="7"/>
      <c r="V225" s="63"/>
      <c r="W225" s="63"/>
      <c r="X225" s="64"/>
      <c r="Y225" s="63"/>
      <c r="Z225" s="63"/>
      <c r="AA225" s="63"/>
      <c r="AB225" s="63"/>
      <c r="AC225" s="63"/>
      <c r="AD225" s="63"/>
      <c r="AE225" s="63"/>
      <c r="AF225" s="7"/>
      <c r="AG225" s="7"/>
      <c r="AH225" s="7"/>
      <c r="AI225" s="7"/>
      <c r="AJ225" s="7"/>
      <c r="AK225" s="7"/>
      <c r="AL225" s="7"/>
      <c r="AM225" s="7"/>
      <c r="AN225" s="7"/>
      <c r="AO225" s="7"/>
      <c r="AP225" s="7"/>
      <c r="AQ225" s="7"/>
      <c r="AR225" s="7"/>
      <c r="AS225" s="7"/>
      <c r="AT225" s="7"/>
      <c r="AU225" s="7"/>
      <c r="AV225" s="7"/>
      <c r="AW225" s="40"/>
      <c r="AX225" s="40"/>
      <c r="AY225" s="40"/>
      <c r="AZ225" s="40"/>
      <c r="BA225" s="40"/>
      <c r="BB225" s="40"/>
      <c r="BC225" s="40"/>
      <c r="BD225" s="40"/>
      <c r="BE225" s="40"/>
      <c r="BF225" s="40"/>
      <c r="BG225" s="40"/>
      <c r="BH225" s="40"/>
      <c r="BI225" s="40"/>
      <c r="BJ225" s="40"/>
      <c r="BK225" s="40"/>
      <c r="BL225" s="40"/>
      <c r="BM225" s="40"/>
      <c r="BN225" s="40"/>
      <c r="BO225" s="40"/>
      <c r="BP225" s="40"/>
      <c r="BQ225" s="40"/>
      <c r="BR225" s="40"/>
      <c r="BS225" s="40"/>
      <c r="BT225" s="40"/>
      <c r="BU225" s="40"/>
      <c r="BV225" s="40"/>
      <c r="BW225" s="40"/>
      <c r="BX225" s="40"/>
      <c r="BY225" s="40"/>
      <c r="BZ225" s="40"/>
      <c r="CA225" s="40"/>
      <c r="CB225" s="40"/>
      <c r="CC225" s="40"/>
      <c r="CD225" s="40"/>
      <c r="CE225" s="40"/>
      <c r="CF225" s="40"/>
      <c r="CG225" s="40"/>
      <c r="CH225" s="40"/>
      <c r="CI225" s="40"/>
      <c r="CJ225" s="40"/>
      <c r="CK225" s="40"/>
      <c r="CL225" s="40"/>
      <c r="CM225" s="40"/>
      <c r="CN225" s="40"/>
      <c r="CO225" s="40"/>
      <c r="CP225" s="40"/>
      <c r="CQ225" s="40"/>
      <c r="CR225" s="40"/>
      <c r="CS225" s="40"/>
      <c r="CT225" s="40"/>
      <c r="CU225" s="40"/>
      <c r="CV225" s="40"/>
      <c r="CW225" s="40"/>
      <c r="CX225" s="40"/>
      <c r="CY225" s="40"/>
      <c r="CZ225" s="40"/>
      <c r="DA225" s="40"/>
      <c r="DB225" s="40"/>
      <c r="DC225" s="40"/>
      <c r="DD225" s="40"/>
      <c r="DE225" s="40"/>
      <c r="DF225" s="40"/>
      <c r="DG225" s="40"/>
      <c r="DH225" s="40"/>
      <c r="DI225" s="40"/>
      <c r="DJ225" s="51"/>
      <c r="DK225" s="51"/>
      <c r="DL225" s="51"/>
      <c r="DM225" s="51"/>
      <c r="DN225" s="51"/>
      <c r="DO225" s="51"/>
      <c r="DP225" s="51"/>
      <c r="DQ225" s="51"/>
      <c r="DR225" s="51"/>
      <c r="DS225" s="51"/>
      <c r="DT225" s="51"/>
      <c r="DU225" s="51"/>
      <c r="DV225" s="51"/>
      <c r="DW225" s="51"/>
      <c r="DX225" s="51"/>
      <c r="DY225" s="51"/>
      <c r="DZ225" s="51"/>
      <c r="EA225" s="51"/>
      <c r="EB225" s="51"/>
      <c r="EC225" s="51"/>
      <c r="ED225" s="51"/>
      <c r="EE225" s="51"/>
      <c r="EF225" s="51"/>
      <c r="EG225" s="51"/>
      <c r="EH225" s="51"/>
      <c r="EI225" s="51"/>
      <c r="EJ225" s="40"/>
      <c r="EK225" s="40"/>
      <c r="EL225" s="40"/>
      <c r="EM225" s="40"/>
      <c r="EN225" s="40"/>
      <c r="EO225" s="40"/>
      <c r="EP225" s="40"/>
      <c r="EQ225" s="40"/>
      <c r="ER225" s="40"/>
      <c r="ES225" s="40"/>
      <c r="ET225" s="40"/>
      <c r="EU225" s="40"/>
      <c r="EV225" s="40"/>
      <c r="EW225" s="40"/>
      <c r="EX225" s="40"/>
      <c r="EY225" s="40"/>
      <c r="EZ225" s="40"/>
      <c r="FA225" s="40"/>
      <c r="FB225" s="40"/>
      <c r="FC225" s="40"/>
      <c r="FD225" s="40"/>
      <c r="FE225" s="40"/>
      <c r="FF225" s="40"/>
      <c r="FG225" s="40"/>
      <c r="FH225" s="40"/>
      <c r="FI225" s="40"/>
      <c r="FJ225" s="40"/>
      <c r="FK225" s="40"/>
      <c r="FL225" s="40"/>
      <c r="FM225" s="40"/>
      <c r="FN225" s="40"/>
      <c r="FO225" s="40"/>
      <c r="FP225" s="40"/>
      <c r="FQ225" s="40"/>
      <c r="FR225" s="40"/>
      <c r="FS225" s="40"/>
    </row>
    <row r="226" spans="1:175" s="13" customFormat="1" ht="13.5" customHeight="1">
      <c r="A226" s="1976"/>
      <c r="B226" s="204"/>
      <c r="M226" s="1778"/>
      <c r="O226" s="111"/>
      <c r="P226" s="393"/>
      <c r="Q226" s="14">
        <v>1</v>
      </c>
      <c r="R226" s="7"/>
      <c r="S226" s="14"/>
      <c r="T226" s="7"/>
      <c r="U226" s="7"/>
      <c r="V226" s="63"/>
      <c r="W226" s="63"/>
      <c r="X226" s="64"/>
      <c r="Y226" s="63"/>
      <c r="Z226" s="63"/>
      <c r="AA226" s="63"/>
      <c r="AB226" s="63"/>
      <c r="AC226" s="63"/>
      <c r="AD226" s="63"/>
      <c r="AE226" s="63"/>
      <c r="AF226" s="7"/>
      <c r="AG226" s="7"/>
      <c r="AH226" s="7"/>
      <c r="AI226" s="7"/>
      <c r="AJ226" s="7"/>
      <c r="AK226" s="7"/>
      <c r="AL226" s="7"/>
      <c r="AM226" s="7"/>
      <c r="AN226" s="7"/>
      <c r="AO226" s="7"/>
      <c r="AP226" s="7"/>
      <c r="AQ226" s="7"/>
      <c r="AR226" s="7"/>
      <c r="AS226" s="7"/>
      <c r="AT226" s="7"/>
      <c r="AU226" s="7"/>
      <c r="AV226" s="7"/>
      <c r="AW226" s="40"/>
      <c r="AX226" s="40"/>
      <c r="AY226" s="40"/>
      <c r="AZ226" s="40"/>
      <c r="BA226" s="40"/>
      <c r="BB226" s="40"/>
      <c r="BC226" s="40"/>
      <c r="BD226" s="40"/>
      <c r="BE226" s="40"/>
      <c r="BF226" s="40"/>
      <c r="BG226" s="40"/>
      <c r="BH226" s="40"/>
      <c r="BI226" s="40"/>
      <c r="BJ226" s="40"/>
      <c r="BK226" s="40"/>
      <c r="BL226" s="40"/>
      <c r="BM226" s="40"/>
      <c r="BN226" s="40"/>
      <c r="BO226" s="40"/>
      <c r="BP226" s="40"/>
      <c r="BQ226" s="40"/>
      <c r="BR226" s="40"/>
      <c r="BS226" s="40"/>
      <c r="BT226" s="40"/>
      <c r="BU226" s="40"/>
      <c r="BV226" s="40"/>
      <c r="BW226" s="40"/>
      <c r="BX226" s="40"/>
      <c r="BY226" s="40"/>
      <c r="BZ226" s="40"/>
      <c r="CA226" s="40"/>
      <c r="CB226" s="40"/>
      <c r="CC226" s="40"/>
      <c r="CD226" s="40"/>
      <c r="CE226" s="40"/>
      <c r="CF226" s="40"/>
      <c r="CG226" s="40"/>
      <c r="CH226" s="40"/>
      <c r="CI226" s="40"/>
      <c r="CJ226" s="40"/>
      <c r="CK226" s="40"/>
      <c r="CL226" s="40"/>
      <c r="CM226" s="40"/>
      <c r="CN226" s="40"/>
      <c r="CO226" s="40"/>
      <c r="CP226" s="40"/>
      <c r="CQ226" s="40"/>
      <c r="CR226" s="40"/>
      <c r="CS226" s="40"/>
      <c r="CT226" s="40"/>
      <c r="CU226" s="40"/>
      <c r="CV226" s="40"/>
      <c r="CW226" s="40"/>
      <c r="CX226" s="40"/>
      <c r="CY226" s="40"/>
      <c r="CZ226" s="40"/>
      <c r="DA226" s="40"/>
      <c r="DB226" s="40"/>
      <c r="DC226" s="40"/>
      <c r="DD226" s="40"/>
      <c r="DE226" s="40"/>
      <c r="DF226" s="40"/>
      <c r="DG226" s="40"/>
      <c r="DH226" s="40"/>
      <c r="DI226" s="40"/>
      <c r="DJ226" s="51"/>
      <c r="DK226" s="51"/>
      <c r="DL226" s="51"/>
      <c r="DM226" s="51"/>
      <c r="DN226" s="51"/>
      <c r="DO226" s="51"/>
      <c r="DP226" s="51"/>
      <c r="DQ226" s="51"/>
      <c r="DR226" s="51"/>
      <c r="DS226" s="51"/>
      <c r="DT226" s="51"/>
      <c r="DU226" s="51"/>
      <c r="DV226" s="51"/>
      <c r="DW226" s="51"/>
      <c r="DX226" s="51"/>
      <c r="DY226" s="51"/>
      <c r="DZ226" s="51"/>
      <c r="EA226" s="51"/>
      <c r="EB226" s="51"/>
      <c r="EC226" s="51"/>
      <c r="ED226" s="51"/>
      <c r="EE226" s="51"/>
      <c r="EF226" s="51"/>
      <c r="EG226" s="51"/>
      <c r="EH226" s="51"/>
      <c r="EI226" s="51"/>
      <c r="EJ226" s="40"/>
      <c r="EK226" s="40"/>
      <c r="EL226" s="40"/>
      <c r="EM226" s="40"/>
      <c r="EN226" s="40"/>
      <c r="EO226" s="40"/>
      <c r="EP226" s="40"/>
      <c r="EQ226" s="40"/>
      <c r="ER226" s="40"/>
      <c r="ES226" s="40"/>
      <c r="ET226" s="40"/>
      <c r="EU226" s="40"/>
      <c r="EV226" s="40"/>
      <c r="EW226" s="40"/>
      <c r="EX226" s="40"/>
      <c r="EY226" s="40"/>
      <c r="EZ226" s="40"/>
      <c r="FA226" s="40"/>
      <c r="FB226" s="40"/>
      <c r="FC226" s="40"/>
      <c r="FD226" s="40"/>
      <c r="FE226" s="40"/>
      <c r="FF226" s="40"/>
      <c r="FG226" s="40"/>
      <c r="FH226" s="40"/>
      <c r="FI226" s="40"/>
      <c r="FJ226" s="40"/>
      <c r="FK226" s="40"/>
      <c r="FL226" s="40"/>
      <c r="FM226" s="40"/>
      <c r="FN226" s="40"/>
      <c r="FO226" s="40"/>
      <c r="FP226" s="40"/>
      <c r="FQ226" s="40"/>
      <c r="FR226" s="40"/>
      <c r="FS226" s="40"/>
    </row>
    <row r="227" spans="1:175" s="13" customFormat="1" ht="5.25" customHeight="1">
      <c r="A227" s="1977"/>
      <c r="B227" s="204"/>
      <c r="M227" s="1778"/>
      <c r="O227" s="111"/>
      <c r="P227" s="393"/>
      <c r="Q227" s="14">
        <v>1</v>
      </c>
      <c r="R227" s="7"/>
      <c r="S227" s="14"/>
      <c r="T227" s="7"/>
      <c r="U227" s="7"/>
      <c r="V227" s="63"/>
      <c r="W227" s="63"/>
      <c r="X227" s="64"/>
      <c r="Y227" s="63"/>
      <c r="Z227" s="63"/>
      <c r="AA227" s="63"/>
      <c r="AB227" s="63"/>
      <c r="AC227" s="63"/>
      <c r="AD227" s="63"/>
      <c r="AE227" s="63"/>
      <c r="AF227" s="7"/>
      <c r="AG227" s="7"/>
      <c r="AH227" s="7"/>
      <c r="AI227" s="7"/>
      <c r="AJ227" s="7"/>
      <c r="AK227" s="7"/>
      <c r="AL227" s="7"/>
      <c r="AM227" s="7"/>
      <c r="AN227" s="7"/>
      <c r="AO227" s="7"/>
      <c r="AP227" s="7"/>
      <c r="AQ227" s="7"/>
      <c r="AR227" s="7"/>
      <c r="AS227" s="7"/>
      <c r="AT227" s="7"/>
      <c r="AU227" s="7"/>
      <c r="AV227" s="7"/>
      <c r="AW227" s="40"/>
      <c r="AX227" s="40"/>
      <c r="AY227" s="40"/>
      <c r="AZ227" s="40"/>
      <c r="BA227" s="40"/>
      <c r="BB227" s="40"/>
      <c r="BC227" s="40"/>
      <c r="BD227" s="40"/>
      <c r="BE227" s="40"/>
      <c r="BF227" s="40"/>
      <c r="BG227" s="40"/>
      <c r="BH227" s="40"/>
      <c r="BI227" s="40"/>
      <c r="BJ227" s="40"/>
      <c r="BK227" s="40"/>
      <c r="BL227" s="40"/>
      <c r="BM227" s="40"/>
      <c r="BN227" s="40"/>
      <c r="BO227" s="40"/>
      <c r="BP227" s="40"/>
      <c r="BQ227" s="40"/>
      <c r="BR227" s="40"/>
      <c r="BS227" s="40"/>
      <c r="BT227" s="40"/>
      <c r="BU227" s="40"/>
      <c r="BV227" s="40"/>
      <c r="BW227" s="40"/>
      <c r="BX227" s="40"/>
      <c r="BY227" s="40"/>
      <c r="BZ227" s="40"/>
      <c r="CA227" s="40"/>
      <c r="CB227" s="40"/>
      <c r="CC227" s="40"/>
      <c r="CD227" s="40"/>
      <c r="CE227" s="40"/>
      <c r="CF227" s="40"/>
      <c r="CG227" s="40"/>
      <c r="CH227" s="40"/>
      <c r="CI227" s="40"/>
      <c r="CJ227" s="40"/>
      <c r="CK227" s="40"/>
      <c r="CL227" s="40"/>
      <c r="CM227" s="40"/>
      <c r="CN227" s="40"/>
      <c r="CO227" s="40"/>
      <c r="CP227" s="40"/>
      <c r="CQ227" s="40"/>
      <c r="CR227" s="40"/>
      <c r="CS227" s="40"/>
      <c r="CT227" s="40"/>
      <c r="CU227" s="40"/>
      <c r="CV227" s="40"/>
      <c r="CW227" s="40"/>
      <c r="CX227" s="40"/>
      <c r="CY227" s="40"/>
      <c r="CZ227" s="40"/>
      <c r="DA227" s="40"/>
      <c r="DB227" s="40"/>
      <c r="DC227" s="40"/>
      <c r="DD227" s="40"/>
      <c r="DE227" s="40"/>
      <c r="DF227" s="40"/>
      <c r="DG227" s="40"/>
      <c r="DH227" s="40"/>
      <c r="DI227" s="40"/>
      <c r="DJ227" s="51"/>
      <c r="DK227" s="51"/>
      <c r="DL227" s="51"/>
      <c r="DM227" s="51"/>
      <c r="DN227" s="51"/>
      <c r="DO227" s="51"/>
      <c r="DP227" s="51"/>
      <c r="DQ227" s="51"/>
      <c r="DR227" s="51"/>
      <c r="DS227" s="51"/>
      <c r="DT227" s="51"/>
      <c r="DU227" s="51"/>
      <c r="DV227" s="51"/>
      <c r="DW227" s="51"/>
      <c r="DX227" s="51"/>
      <c r="DY227" s="51"/>
      <c r="DZ227" s="51"/>
      <c r="EA227" s="51"/>
      <c r="EB227" s="51"/>
      <c r="EC227" s="51"/>
      <c r="ED227" s="51"/>
      <c r="EE227" s="51"/>
      <c r="EF227" s="51"/>
      <c r="EG227" s="51"/>
      <c r="EH227" s="51"/>
      <c r="EI227" s="51"/>
      <c r="EJ227" s="40"/>
      <c r="EK227" s="40"/>
      <c r="EL227" s="40"/>
      <c r="EM227" s="40"/>
      <c r="EN227" s="40"/>
      <c r="EO227" s="40"/>
      <c r="EP227" s="40"/>
      <c r="EQ227" s="40"/>
      <c r="ER227" s="40"/>
      <c r="ES227" s="40"/>
      <c r="ET227" s="40"/>
      <c r="EU227" s="40"/>
      <c r="EV227" s="40"/>
      <c r="EW227" s="40"/>
      <c r="EX227" s="40"/>
      <c r="EY227" s="40"/>
      <c r="EZ227" s="40"/>
      <c r="FA227" s="40"/>
      <c r="FB227" s="40"/>
      <c r="FC227" s="40"/>
      <c r="FD227" s="40"/>
      <c r="FE227" s="40"/>
      <c r="FF227" s="40"/>
      <c r="FG227" s="40"/>
      <c r="FH227" s="40"/>
      <c r="FI227" s="40"/>
      <c r="FJ227" s="40"/>
      <c r="FK227" s="40"/>
      <c r="FL227" s="40"/>
      <c r="FM227" s="40"/>
      <c r="FN227" s="40"/>
      <c r="FO227" s="40"/>
      <c r="FP227" s="40"/>
      <c r="FQ227" s="40"/>
      <c r="FR227" s="40"/>
      <c r="FS227" s="40"/>
    </row>
    <row r="228" spans="1:175" s="13" customFormat="1" ht="2.25" customHeight="1">
      <c r="A228" s="113"/>
      <c r="B228" s="495"/>
      <c r="C228" s="114"/>
      <c r="D228" s="114"/>
      <c r="E228" s="114"/>
      <c r="F228" s="114"/>
      <c r="G228" s="114"/>
      <c r="H228" s="114"/>
      <c r="I228" s="115"/>
      <c r="J228" s="114"/>
      <c r="K228" s="114"/>
      <c r="L228" s="116"/>
      <c r="M228" s="1748"/>
      <c r="N228" s="1733"/>
      <c r="O228" s="452"/>
      <c r="P228" s="393"/>
      <c r="Q228" s="393">
        <v>1</v>
      </c>
      <c r="R228" s="7"/>
      <c r="S228" s="14"/>
      <c r="T228" s="7"/>
      <c r="U228" s="7"/>
      <c r="V228" s="63"/>
      <c r="W228" s="63"/>
      <c r="X228" s="64"/>
      <c r="Y228" s="63"/>
      <c r="Z228" s="63"/>
      <c r="AA228" s="63"/>
      <c r="AB228" s="63"/>
      <c r="AC228" s="63"/>
      <c r="AD228" s="63"/>
      <c r="AE228" s="63"/>
      <c r="AF228" s="7"/>
      <c r="AG228" s="7"/>
      <c r="AH228" s="7"/>
      <c r="AI228" s="7"/>
      <c r="AJ228" s="7"/>
      <c r="AK228" s="7"/>
      <c r="AL228" s="7"/>
      <c r="AM228" s="7"/>
      <c r="AN228" s="7"/>
      <c r="AO228" s="7"/>
      <c r="AP228" s="7"/>
      <c r="AQ228" s="7"/>
      <c r="AR228" s="7"/>
      <c r="AS228" s="7"/>
      <c r="AT228" s="7"/>
      <c r="AU228" s="7"/>
      <c r="AV228" s="7"/>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51"/>
      <c r="DK228" s="51"/>
      <c r="DL228" s="51"/>
      <c r="DM228" s="51"/>
      <c r="DN228" s="51"/>
      <c r="DO228" s="51"/>
      <c r="DP228" s="51"/>
      <c r="DQ228" s="51"/>
      <c r="DR228" s="51"/>
      <c r="DS228" s="51"/>
      <c r="DT228" s="51"/>
      <c r="DU228" s="51"/>
      <c r="DV228" s="51"/>
      <c r="DW228" s="51"/>
      <c r="DX228" s="51"/>
      <c r="DY228" s="51"/>
      <c r="DZ228" s="51"/>
      <c r="EA228" s="51"/>
      <c r="EB228" s="51"/>
      <c r="EC228" s="51"/>
      <c r="ED228" s="51"/>
      <c r="EE228" s="51"/>
      <c r="EF228" s="51"/>
      <c r="EG228" s="51"/>
      <c r="EH228" s="51"/>
      <c r="EI228" s="51"/>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row>
    <row r="229" spans="1:175" s="13" customFormat="1" ht="16.100000000000001" customHeight="1">
      <c r="A229" s="1978" t="str">
        <f>Begriffe!F232</f>
        <v>Kommentare</v>
      </c>
      <c r="B229" s="204"/>
      <c r="C229" s="243"/>
      <c r="D229" s="243"/>
      <c r="E229" s="243"/>
      <c r="F229" s="243"/>
      <c r="G229" s="14"/>
      <c r="H229" s="14"/>
      <c r="I229" s="243"/>
      <c r="J229" s="243"/>
      <c r="K229" s="243"/>
      <c r="L229" s="10"/>
      <c r="M229" s="1779"/>
      <c r="N229" s="14"/>
      <c r="O229" s="703"/>
      <c r="P229" s="393"/>
      <c r="Q229" s="392">
        <v>1</v>
      </c>
      <c r="R229" s="65"/>
      <c r="S229" s="243"/>
      <c r="T229" s="65"/>
      <c r="U229" s="65"/>
      <c r="V229" s="65"/>
      <c r="W229" s="63"/>
      <c r="X229" s="64"/>
      <c r="Y229" s="64"/>
      <c r="Z229" s="64"/>
      <c r="AA229" s="64"/>
      <c r="AB229" s="64"/>
      <c r="AC229" s="64"/>
      <c r="AD229" s="64"/>
      <c r="AE229" s="64"/>
      <c r="AF229" s="65"/>
      <c r="AG229" s="65"/>
      <c r="AH229" s="65"/>
      <c r="AI229" s="65"/>
      <c r="AJ229" s="65"/>
      <c r="AK229" s="65"/>
      <c r="AL229" s="65"/>
      <c r="AM229" s="65"/>
      <c r="AN229" s="65"/>
      <c r="AO229" s="65"/>
      <c r="AP229" s="65"/>
      <c r="AQ229" s="65"/>
      <c r="AR229" s="65"/>
      <c r="AS229" s="66"/>
      <c r="AT229" s="66"/>
      <c r="AU229" s="66"/>
      <c r="AV229" s="66"/>
      <c r="AW229" s="41"/>
      <c r="AX229" s="41"/>
      <c r="AY229" s="41"/>
      <c r="AZ229" s="41"/>
      <c r="BA229" s="41"/>
      <c r="BB229" s="41"/>
      <c r="BC229" s="41"/>
      <c r="BD229" s="41"/>
      <c r="BE229" s="41"/>
      <c r="BF229" s="41"/>
      <c r="BG229" s="41"/>
      <c r="BH229" s="41"/>
      <c r="BI229" s="41"/>
      <c r="BJ229" s="41"/>
      <c r="BK229" s="41"/>
      <c r="BL229" s="41"/>
      <c r="BM229" s="41"/>
      <c r="BN229" s="41"/>
      <c r="BO229" s="41"/>
      <c r="BP229" s="41"/>
      <c r="BQ229" s="41"/>
      <c r="BR229" s="41"/>
      <c r="BS229" s="41"/>
      <c r="BT229" s="41"/>
      <c r="BU229" s="41"/>
      <c r="BV229" s="41"/>
      <c r="BW229" s="41"/>
      <c r="BX229" s="41"/>
      <c r="BY229" s="41"/>
      <c r="BZ229" s="41"/>
      <c r="CA229" s="41"/>
      <c r="CB229" s="41"/>
      <c r="CC229" s="41"/>
      <c r="CD229" s="41"/>
      <c r="CE229" s="41"/>
      <c r="CF229" s="41"/>
      <c r="CG229" s="41"/>
      <c r="CH229" s="41"/>
      <c r="CI229" s="41"/>
      <c r="CJ229" s="41"/>
      <c r="CK229" s="41"/>
      <c r="CL229" s="41"/>
      <c r="CM229" s="41"/>
      <c r="CN229" s="41"/>
      <c r="CO229" s="41"/>
      <c r="CP229" s="41"/>
      <c r="CQ229" s="41"/>
      <c r="CR229" s="41"/>
      <c r="CS229" s="41"/>
      <c r="CT229" s="41"/>
      <c r="CU229" s="41"/>
      <c r="CV229" s="41"/>
      <c r="CW229" s="41"/>
      <c r="CX229" s="41"/>
      <c r="CY229" s="41"/>
      <c r="CZ229" s="41"/>
      <c r="DA229" s="51"/>
      <c r="DB229" s="51"/>
      <c r="DC229" s="51"/>
      <c r="DD229" s="51"/>
      <c r="DE229" s="51"/>
      <c r="DF229" s="51"/>
      <c r="DG229" s="51"/>
      <c r="DH229" s="51"/>
      <c r="DI229" s="51"/>
      <c r="DJ229" s="51"/>
      <c r="DK229" s="51"/>
      <c r="DL229" s="51"/>
      <c r="DM229" s="51"/>
      <c r="DN229" s="51"/>
      <c r="DO229" s="51"/>
      <c r="DP229" s="51"/>
      <c r="DQ229" s="51"/>
      <c r="DR229" s="51"/>
      <c r="DS229" s="51"/>
      <c r="DT229" s="51"/>
      <c r="DU229" s="51"/>
      <c r="DV229" s="51"/>
      <c r="DW229" s="51"/>
      <c r="DX229" s="51"/>
      <c r="DY229" s="51"/>
      <c r="DZ229" s="51"/>
      <c r="EA229" s="51"/>
      <c r="EB229" s="51"/>
      <c r="EC229" s="51"/>
      <c r="ED229" s="51"/>
      <c r="EE229" s="51"/>
      <c r="EF229" s="51"/>
      <c r="EG229" s="51"/>
      <c r="EH229" s="51"/>
      <c r="EI229" s="51"/>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row>
    <row r="230" spans="1:175" s="13" customFormat="1" ht="16.100000000000001" customHeight="1">
      <c r="A230" s="1976"/>
      <c r="B230" s="204" t="s">
        <v>142</v>
      </c>
      <c r="C230" s="243" t="str">
        <f>IF(INDEX(Eingabedaten!$GM$9:$GV$53,nutzid,MATCH($B230,Eingabedaten!$GM$6:$HQ$6,0))=0,"",INDEX(Eingabedaten!$GM$9:$GV$53,nutzid,MATCH($B230,Eingabedaten!$GM$6:$HQ$6,0)))</f>
        <v>- Im Schlafzimmer erhöhter Schallschutz</v>
      </c>
      <c r="D230" s="243"/>
      <c r="E230" s="243"/>
      <c r="F230" s="243"/>
      <c r="G230" s="14"/>
      <c r="H230" s="14"/>
      <c r="I230" s="243"/>
      <c r="J230" s="243"/>
      <c r="K230" s="243"/>
      <c r="L230" s="10"/>
      <c r="M230" s="1779"/>
      <c r="N230" s="14"/>
      <c r="O230" s="704"/>
      <c r="P230" s="393"/>
      <c r="Q230" s="392">
        <v>1</v>
      </c>
      <c r="R230" s="65"/>
      <c r="S230" s="243"/>
      <c r="T230" s="65"/>
      <c r="U230" s="65"/>
      <c r="V230" s="65"/>
      <c r="W230" s="63"/>
      <c r="X230" s="64"/>
      <c r="Y230" s="64"/>
      <c r="Z230" s="64"/>
      <c r="AA230" s="64"/>
      <c r="AB230" s="64"/>
      <c r="AC230" s="64"/>
      <c r="AD230" s="64"/>
      <c r="AE230" s="64"/>
      <c r="AF230" s="65"/>
      <c r="AG230" s="65"/>
      <c r="AH230" s="65"/>
      <c r="AI230" s="65"/>
      <c r="AJ230" s="65"/>
      <c r="AK230" s="65"/>
      <c r="AL230" s="65"/>
      <c r="AM230" s="65"/>
      <c r="AN230" s="65"/>
      <c r="AO230" s="65"/>
      <c r="AP230" s="65"/>
      <c r="AQ230" s="65"/>
      <c r="AR230" s="65"/>
      <c r="AS230" s="66"/>
      <c r="AT230" s="66"/>
      <c r="AU230" s="66"/>
      <c r="AV230" s="66"/>
      <c r="AW230" s="41"/>
      <c r="AX230" s="41"/>
      <c r="AY230" s="41"/>
      <c r="AZ230" s="41"/>
      <c r="BA230" s="41"/>
      <c r="BB230" s="41"/>
      <c r="BC230" s="41"/>
      <c r="BD230" s="41"/>
      <c r="BE230" s="41"/>
      <c r="BF230" s="41"/>
      <c r="BG230" s="41"/>
      <c r="BH230" s="41"/>
      <c r="BI230" s="41"/>
      <c r="BJ230" s="41"/>
      <c r="BK230" s="41"/>
      <c r="BL230" s="41"/>
      <c r="BM230" s="41"/>
      <c r="BN230" s="41"/>
      <c r="BO230" s="41"/>
      <c r="BP230" s="41"/>
      <c r="BQ230" s="41"/>
      <c r="BR230" s="41"/>
      <c r="BS230" s="41"/>
      <c r="BT230" s="41"/>
      <c r="BU230" s="41"/>
      <c r="BV230" s="41"/>
      <c r="BW230" s="41"/>
      <c r="BX230" s="41"/>
      <c r="BY230" s="41"/>
      <c r="BZ230" s="41"/>
      <c r="CA230" s="41"/>
      <c r="CB230" s="41"/>
      <c r="CC230" s="41"/>
      <c r="CD230" s="41"/>
      <c r="CE230" s="41"/>
      <c r="CF230" s="41"/>
      <c r="CG230" s="41"/>
      <c r="CH230" s="41"/>
      <c r="CI230" s="41"/>
      <c r="CJ230" s="41"/>
      <c r="CK230" s="41"/>
      <c r="CL230" s="41"/>
      <c r="CM230" s="41"/>
      <c r="CN230" s="41"/>
      <c r="CO230" s="41"/>
      <c r="CP230" s="41"/>
      <c r="CQ230" s="41"/>
      <c r="CR230" s="41"/>
      <c r="CS230" s="41"/>
      <c r="CT230" s="41"/>
      <c r="CU230" s="41"/>
      <c r="CV230" s="41"/>
      <c r="CW230" s="41"/>
      <c r="CX230" s="41"/>
      <c r="CY230" s="41"/>
      <c r="CZ230" s="41"/>
      <c r="DA230" s="51"/>
      <c r="DB230" s="51"/>
      <c r="DC230" s="51"/>
      <c r="DD230" s="51"/>
      <c r="DE230" s="51"/>
      <c r="DF230" s="51"/>
      <c r="DG230" s="51"/>
      <c r="DH230" s="51"/>
      <c r="DI230" s="51"/>
      <c r="DJ230" s="51"/>
      <c r="DK230" s="51"/>
      <c r="DL230" s="51"/>
      <c r="DM230" s="51"/>
      <c r="DN230" s="51"/>
      <c r="DO230" s="51"/>
      <c r="DP230" s="51"/>
      <c r="DQ230" s="51"/>
      <c r="DR230" s="51"/>
      <c r="DS230" s="51"/>
      <c r="DT230" s="51"/>
      <c r="DU230" s="51"/>
      <c r="DV230" s="51"/>
      <c r="DW230" s="51"/>
      <c r="DX230" s="51"/>
      <c r="DY230" s="51"/>
      <c r="DZ230" s="51"/>
      <c r="EA230" s="51"/>
      <c r="EB230" s="51"/>
      <c r="EC230" s="51"/>
      <c r="ED230" s="51"/>
      <c r="EE230" s="51"/>
      <c r="EF230" s="51"/>
      <c r="EG230" s="51"/>
      <c r="EH230" s="51"/>
      <c r="EI230" s="51"/>
      <c r="EJ230" s="40"/>
      <c r="EK230" s="40"/>
      <c r="EL230" s="40"/>
      <c r="EM230" s="40"/>
      <c r="EN230" s="40"/>
      <c r="EO230" s="40"/>
      <c r="EP230" s="40"/>
      <c r="EQ230" s="40"/>
      <c r="ER230" s="40"/>
      <c r="ES230" s="40"/>
      <c r="ET230" s="40"/>
      <c r="EU230" s="40"/>
      <c r="EV230" s="40"/>
      <c r="EW230" s="40"/>
      <c r="EX230" s="40"/>
      <c r="EY230" s="40"/>
      <c r="EZ230" s="40"/>
      <c r="FA230" s="40"/>
      <c r="FB230" s="40"/>
      <c r="FC230" s="40"/>
      <c r="FD230" s="40"/>
      <c r="FE230" s="40"/>
      <c r="FF230" s="40"/>
      <c r="FG230" s="40"/>
      <c r="FH230" s="40"/>
      <c r="FI230" s="40"/>
      <c r="FJ230" s="40"/>
      <c r="FK230" s="40"/>
      <c r="FL230" s="40"/>
      <c r="FM230" s="40"/>
      <c r="FN230" s="40"/>
      <c r="FO230" s="40"/>
      <c r="FP230" s="40"/>
      <c r="FQ230" s="40"/>
      <c r="FR230" s="40"/>
      <c r="FS230" s="40"/>
    </row>
    <row r="231" spans="1:175" s="13" customFormat="1" ht="5.25" customHeight="1">
      <c r="A231" s="1976"/>
      <c r="B231" s="204"/>
      <c r="C231" s="243"/>
      <c r="D231" s="243"/>
      <c r="E231" s="243"/>
      <c r="F231" s="243"/>
      <c r="G231" s="14"/>
      <c r="H231" s="14"/>
      <c r="I231" s="243"/>
      <c r="J231" s="243"/>
      <c r="K231" s="243"/>
      <c r="L231" s="10"/>
      <c r="M231" s="1779"/>
      <c r="N231" s="14"/>
      <c r="O231" s="704"/>
      <c r="P231" s="393"/>
      <c r="Q231" s="392">
        <v>1</v>
      </c>
      <c r="R231" s="65"/>
      <c r="S231" s="243"/>
      <c r="T231" s="65"/>
      <c r="U231" s="65"/>
      <c r="V231" s="65"/>
      <c r="W231" s="63"/>
      <c r="X231" s="64"/>
      <c r="Y231" s="64"/>
      <c r="Z231" s="64"/>
      <c r="AA231" s="64"/>
      <c r="AB231" s="64"/>
      <c r="AC231" s="64"/>
      <c r="AD231" s="64"/>
      <c r="AE231" s="64"/>
      <c r="AF231" s="65"/>
      <c r="AG231" s="65"/>
      <c r="AH231" s="65"/>
      <c r="AI231" s="65"/>
      <c r="AJ231" s="65"/>
      <c r="AK231" s="65"/>
      <c r="AL231" s="65"/>
      <c r="AM231" s="65"/>
      <c r="AN231" s="65"/>
      <c r="AO231" s="65"/>
      <c r="AP231" s="65"/>
      <c r="AQ231" s="65"/>
      <c r="AR231" s="65"/>
      <c r="AS231" s="66"/>
      <c r="AT231" s="66"/>
      <c r="AU231" s="66"/>
      <c r="AV231" s="66"/>
      <c r="AW231" s="41"/>
      <c r="AX231" s="41"/>
      <c r="AY231" s="41"/>
      <c r="AZ231" s="41"/>
      <c r="BA231" s="41"/>
      <c r="BB231" s="41"/>
      <c r="BC231" s="41"/>
      <c r="BD231" s="41"/>
      <c r="BE231" s="41"/>
      <c r="BF231" s="41"/>
      <c r="BG231" s="41"/>
      <c r="BH231" s="41"/>
      <c r="BI231" s="41"/>
      <c r="BJ231" s="41"/>
      <c r="BK231" s="41"/>
      <c r="BL231" s="41"/>
      <c r="BM231" s="41"/>
      <c r="BN231" s="41"/>
      <c r="BO231" s="41"/>
      <c r="BP231" s="41"/>
      <c r="BQ231" s="41"/>
      <c r="BR231" s="41"/>
      <c r="BS231" s="41"/>
      <c r="BT231" s="41"/>
      <c r="BU231" s="41"/>
      <c r="BV231" s="41"/>
      <c r="BW231" s="41"/>
      <c r="BX231" s="41"/>
      <c r="BY231" s="41"/>
      <c r="BZ231" s="41"/>
      <c r="CA231" s="41"/>
      <c r="CB231" s="41"/>
      <c r="CC231" s="41"/>
      <c r="CD231" s="41"/>
      <c r="CE231" s="41"/>
      <c r="CF231" s="41"/>
      <c r="CG231" s="41"/>
      <c r="CH231" s="41"/>
      <c r="CI231" s="41"/>
      <c r="CJ231" s="41"/>
      <c r="CK231" s="41"/>
      <c r="CL231" s="41"/>
      <c r="CM231" s="41"/>
      <c r="CN231" s="41"/>
      <c r="CO231" s="41"/>
      <c r="CP231" s="41"/>
      <c r="CQ231" s="41"/>
      <c r="CR231" s="41"/>
      <c r="CS231" s="41"/>
      <c r="CT231" s="41"/>
      <c r="CU231" s="41"/>
      <c r="CV231" s="41"/>
      <c r="CW231" s="41"/>
      <c r="CX231" s="41"/>
      <c r="CY231" s="41"/>
      <c r="CZ231" s="41"/>
      <c r="DA231" s="51"/>
      <c r="DB231" s="51"/>
      <c r="DC231" s="51"/>
      <c r="DD231" s="51"/>
      <c r="DE231" s="51"/>
      <c r="DF231" s="51"/>
      <c r="DG231" s="51"/>
      <c r="DH231" s="51"/>
      <c r="DI231" s="51"/>
      <c r="DJ231" s="51"/>
      <c r="DK231" s="51"/>
      <c r="DL231" s="51"/>
      <c r="DM231" s="51"/>
      <c r="DN231" s="51"/>
      <c r="DO231" s="51"/>
      <c r="DP231" s="51"/>
      <c r="DQ231" s="51"/>
      <c r="DR231" s="51"/>
      <c r="DS231" s="51"/>
      <c r="DT231" s="51"/>
      <c r="DU231" s="51"/>
      <c r="DV231" s="51"/>
      <c r="DW231" s="51"/>
      <c r="DX231" s="51"/>
      <c r="DY231" s="51"/>
      <c r="DZ231" s="51"/>
      <c r="EA231" s="51"/>
      <c r="EB231" s="51"/>
      <c r="EC231" s="51"/>
      <c r="ED231" s="51"/>
      <c r="EE231" s="51"/>
      <c r="EF231" s="51"/>
      <c r="EG231" s="51"/>
      <c r="EH231" s="51"/>
      <c r="EI231" s="51"/>
      <c r="EJ231" s="40"/>
      <c r="EK231" s="40"/>
      <c r="EL231" s="40"/>
      <c r="EM231" s="40"/>
      <c r="EN231" s="40"/>
      <c r="EO231" s="40"/>
      <c r="EP231" s="40"/>
      <c r="EQ231" s="40"/>
      <c r="ER231" s="40"/>
      <c r="ES231" s="40"/>
      <c r="ET231" s="40"/>
      <c r="EU231" s="40"/>
      <c r="EV231" s="40"/>
      <c r="EW231" s="40"/>
      <c r="EX231" s="40"/>
      <c r="EY231" s="40"/>
      <c r="EZ231" s="40"/>
      <c r="FA231" s="40"/>
      <c r="FB231" s="40"/>
      <c r="FC231" s="40"/>
      <c r="FD231" s="40"/>
      <c r="FE231" s="40"/>
      <c r="FF231" s="40"/>
      <c r="FG231" s="40"/>
      <c r="FH231" s="40"/>
      <c r="FI231" s="40"/>
      <c r="FJ231" s="40"/>
      <c r="FK231" s="40"/>
      <c r="FL231" s="40"/>
      <c r="FM231" s="40"/>
      <c r="FN231" s="40"/>
      <c r="FO231" s="40"/>
      <c r="FP231" s="40"/>
      <c r="FQ231" s="40"/>
      <c r="FR231" s="40"/>
      <c r="FS231" s="40"/>
    </row>
    <row r="232" spans="1:175" s="13" customFormat="1" ht="16.100000000000001" customHeight="1">
      <c r="A232" s="1976"/>
      <c r="B232" s="204" t="s">
        <v>143</v>
      </c>
      <c r="C232" s="243" t="str">
        <f>IF(INDEX(Eingabedaten!$GM$9:$GV$53,nutzid,MATCH($B232,Eingabedaten!$GM$6:$HQ$6,0))=0,"",INDEX(Eingabedaten!$GM$9:$GV$53,nutzid,MATCH($B232,Eingabedaten!$GM$6:$HQ$6,0)))</f>
        <v/>
      </c>
      <c r="D232" s="243"/>
      <c r="E232" s="243"/>
      <c r="F232" s="243"/>
      <c r="G232" s="14"/>
      <c r="H232" s="14"/>
      <c r="I232" s="243"/>
      <c r="J232" s="243"/>
      <c r="K232" s="243"/>
      <c r="L232" s="10"/>
      <c r="M232" s="1779"/>
      <c r="N232" s="14"/>
      <c r="O232" s="704"/>
      <c r="P232" s="393"/>
      <c r="Q232" s="392">
        <v>1</v>
      </c>
      <c r="R232" s="65"/>
      <c r="S232" s="243"/>
      <c r="T232" s="65"/>
      <c r="U232" s="65"/>
      <c r="V232" s="65"/>
      <c r="W232" s="63"/>
      <c r="X232" s="64"/>
      <c r="Y232" s="64"/>
      <c r="Z232" s="64"/>
      <c r="AA232" s="64"/>
      <c r="AB232" s="64"/>
      <c r="AC232" s="64"/>
      <c r="AD232" s="64"/>
      <c r="AE232" s="64"/>
      <c r="AF232" s="65"/>
      <c r="AG232" s="65"/>
      <c r="AH232" s="65"/>
      <c r="AI232" s="65"/>
      <c r="AJ232" s="65"/>
      <c r="AK232" s="65"/>
      <c r="AL232" s="65"/>
      <c r="AM232" s="65"/>
      <c r="AN232" s="65"/>
      <c r="AO232" s="65"/>
      <c r="AP232" s="65"/>
      <c r="AQ232" s="65"/>
      <c r="AR232" s="65"/>
      <c r="AS232" s="66"/>
      <c r="AT232" s="66"/>
      <c r="AU232" s="66"/>
      <c r="AV232" s="66"/>
      <c r="AW232" s="41"/>
      <c r="AX232" s="41"/>
      <c r="AY232" s="41"/>
      <c r="AZ232" s="41"/>
      <c r="BA232" s="41"/>
      <c r="BB232" s="41"/>
      <c r="BC232" s="41"/>
      <c r="BD232" s="41"/>
      <c r="BE232" s="41"/>
      <c r="BF232" s="41"/>
      <c r="BG232" s="41"/>
      <c r="BH232" s="41"/>
      <c r="BI232" s="41"/>
      <c r="BJ232" s="41"/>
      <c r="BK232" s="41"/>
      <c r="BL232" s="41"/>
      <c r="BM232" s="41"/>
      <c r="BN232" s="41"/>
      <c r="BO232" s="41"/>
      <c r="BP232" s="41"/>
      <c r="BQ232" s="41"/>
      <c r="BR232" s="41"/>
      <c r="BS232" s="41"/>
      <c r="BT232" s="41"/>
      <c r="BU232" s="41"/>
      <c r="BV232" s="41"/>
      <c r="BW232" s="41"/>
      <c r="BX232" s="41"/>
      <c r="BY232" s="41"/>
      <c r="BZ232" s="41"/>
      <c r="CA232" s="41"/>
      <c r="CB232" s="41"/>
      <c r="CC232" s="41"/>
      <c r="CD232" s="41"/>
      <c r="CE232" s="41"/>
      <c r="CF232" s="41"/>
      <c r="CG232" s="41"/>
      <c r="CH232" s="41"/>
      <c r="CI232" s="41"/>
      <c r="CJ232" s="41"/>
      <c r="CK232" s="41"/>
      <c r="CL232" s="41"/>
      <c r="CM232" s="41"/>
      <c r="CN232" s="41"/>
      <c r="CO232" s="41"/>
      <c r="CP232" s="41"/>
      <c r="CQ232" s="41"/>
      <c r="CR232" s="41"/>
      <c r="CS232" s="41"/>
      <c r="CT232" s="41"/>
      <c r="CU232" s="41"/>
      <c r="CV232" s="41"/>
      <c r="CW232" s="41"/>
      <c r="CX232" s="41"/>
      <c r="CY232" s="41"/>
      <c r="CZ232" s="41"/>
      <c r="DA232" s="51"/>
      <c r="DB232" s="51"/>
      <c r="DC232" s="51"/>
      <c r="DD232" s="51"/>
      <c r="DE232" s="51"/>
      <c r="DF232" s="51"/>
      <c r="DG232" s="51"/>
      <c r="DH232" s="51"/>
      <c r="DI232" s="51"/>
      <c r="DJ232" s="51"/>
      <c r="DK232" s="51"/>
      <c r="DL232" s="51"/>
      <c r="DM232" s="51"/>
      <c r="DN232" s="51"/>
      <c r="DO232" s="51"/>
      <c r="DP232" s="51"/>
      <c r="DQ232" s="51"/>
      <c r="DR232" s="51"/>
      <c r="DS232" s="51"/>
      <c r="DT232" s="51"/>
      <c r="DU232" s="51"/>
      <c r="DV232" s="51"/>
      <c r="DW232" s="51"/>
      <c r="DX232" s="51"/>
      <c r="DY232" s="51"/>
      <c r="DZ232" s="51"/>
      <c r="EA232" s="51"/>
      <c r="EB232" s="51"/>
      <c r="EC232" s="51"/>
      <c r="ED232" s="51"/>
      <c r="EE232" s="51"/>
      <c r="EF232" s="51"/>
      <c r="EG232" s="51"/>
      <c r="EH232" s="51"/>
      <c r="EI232" s="51"/>
      <c r="EJ232" s="40"/>
      <c r="EK232" s="40"/>
      <c r="EL232" s="40"/>
      <c r="EM232" s="40"/>
      <c r="EN232" s="40"/>
      <c r="EO232" s="40"/>
      <c r="EP232" s="40"/>
      <c r="EQ232" s="40"/>
      <c r="ER232" s="40"/>
      <c r="ES232" s="40"/>
      <c r="ET232" s="40"/>
      <c r="EU232" s="40"/>
      <c r="EV232" s="40"/>
      <c r="EW232" s="40"/>
      <c r="EX232" s="40"/>
      <c r="EY232" s="40"/>
      <c r="EZ232" s="40"/>
      <c r="FA232" s="40"/>
      <c r="FB232" s="40"/>
      <c r="FC232" s="40"/>
      <c r="FD232" s="40"/>
      <c r="FE232" s="40"/>
      <c r="FF232" s="40"/>
      <c r="FG232" s="40"/>
      <c r="FH232" s="40"/>
      <c r="FI232" s="40"/>
      <c r="FJ232" s="40"/>
      <c r="FK232" s="40"/>
      <c r="FL232" s="40"/>
      <c r="FM232" s="40"/>
      <c r="FN232" s="40"/>
      <c r="FO232" s="40"/>
      <c r="FP232" s="40"/>
      <c r="FQ232" s="40"/>
      <c r="FR232" s="40"/>
      <c r="FS232" s="40"/>
    </row>
    <row r="233" spans="1:175" s="13" customFormat="1" ht="5.25" customHeight="1">
      <c r="A233" s="1976"/>
      <c r="B233" s="204"/>
      <c r="C233" s="243"/>
      <c r="D233" s="243"/>
      <c r="E233" s="243"/>
      <c r="F233" s="243"/>
      <c r="G233" s="14"/>
      <c r="H233" s="14"/>
      <c r="I233" s="243"/>
      <c r="J233" s="243"/>
      <c r="K233" s="243"/>
      <c r="L233" s="10"/>
      <c r="M233" s="1779"/>
      <c r="N233" s="14"/>
      <c r="O233" s="704"/>
      <c r="P233" s="393"/>
      <c r="Q233" s="392">
        <v>1</v>
      </c>
      <c r="R233" s="65"/>
      <c r="S233" s="243"/>
      <c r="T233" s="65"/>
      <c r="U233" s="65"/>
      <c r="V233" s="65"/>
      <c r="W233" s="63"/>
      <c r="X233" s="64"/>
      <c r="Y233" s="64"/>
      <c r="Z233" s="64"/>
      <c r="AA233" s="64"/>
      <c r="AB233" s="64"/>
      <c r="AC233" s="64"/>
      <c r="AD233" s="64"/>
      <c r="AE233" s="64"/>
      <c r="AF233" s="65"/>
      <c r="AG233" s="65"/>
      <c r="AH233" s="65"/>
      <c r="AI233" s="65"/>
      <c r="AJ233" s="65"/>
      <c r="AK233" s="65"/>
      <c r="AL233" s="65"/>
      <c r="AM233" s="65"/>
      <c r="AN233" s="65"/>
      <c r="AO233" s="65"/>
      <c r="AP233" s="65"/>
      <c r="AQ233" s="65"/>
      <c r="AR233" s="65"/>
      <c r="AS233" s="66"/>
      <c r="AT233" s="66"/>
      <c r="AU233" s="66"/>
      <c r="AV233" s="66"/>
      <c r="AW233" s="41"/>
      <c r="AX233" s="41"/>
      <c r="AY233" s="41"/>
      <c r="AZ233" s="41"/>
      <c r="BA233" s="41"/>
      <c r="BB233" s="41"/>
      <c r="BC233" s="41"/>
      <c r="BD233" s="41"/>
      <c r="BE233" s="41"/>
      <c r="BF233" s="41"/>
      <c r="BG233" s="41"/>
      <c r="BH233" s="41"/>
      <c r="BI233" s="41"/>
      <c r="BJ233" s="41"/>
      <c r="BK233" s="41"/>
      <c r="BL233" s="41"/>
      <c r="BM233" s="41"/>
      <c r="BN233" s="41"/>
      <c r="BO233" s="41"/>
      <c r="BP233" s="41"/>
      <c r="BQ233" s="41"/>
      <c r="BR233" s="41"/>
      <c r="BS233" s="41"/>
      <c r="BT233" s="41"/>
      <c r="BU233" s="41"/>
      <c r="BV233" s="41"/>
      <c r="BW233" s="41"/>
      <c r="BX233" s="41"/>
      <c r="BY233" s="41"/>
      <c r="BZ233" s="41"/>
      <c r="CA233" s="41"/>
      <c r="CB233" s="41"/>
      <c r="CC233" s="41"/>
      <c r="CD233" s="41"/>
      <c r="CE233" s="41"/>
      <c r="CF233" s="41"/>
      <c r="CG233" s="41"/>
      <c r="CH233" s="41"/>
      <c r="CI233" s="41"/>
      <c r="CJ233" s="41"/>
      <c r="CK233" s="41"/>
      <c r="CL233" s="41"/>
      <c r="CM233" s="41"/>
      <c r="CN233" s="41"/>
      <c r="CO233" s="41"/>
      <c r="CP233" s="41"/>
      <c r="CQ233" s="41"/>
      <c r="CR233" s="41"/>
      <c r="CS233" s="41"/>
      <c r="CT233" s="41"/>
      <c r="CU233" s="41"/>
      <c r="CV233" s="41"/>
      <c r="CW233" s="41"/>
      <c r="CX233" s="41"/>
      <c r="CY233" s="41"/>
      <c r="CZ233" s="41"/>
      <c r="DA233" s="51"/>
      <c r="DB233" s="51"/>
      <c r="DC233" s="51"/>
      <c r="DD233" s="51"/>
      <c r="DE233" s="51"/>
      <c r="DF233" s="51"/>
      <c r="DG233" s="51"/>
      <c r="DH233" s="51"/>
      <c r="DI233" s="51"/>
      <c r="DJ233" s="51"/>
      <c r="DK233" s="51"/>
      <c r="DL233" s="51"/>
      <c r="DM233" s="51"/>
      <c r="DN233" s="51"/>
      <c r="DO233" s="51"/>
      <c r="DP233" s="51"/>
      <c r="DQ233" s="51"/>
      <c r="DR233" s="51"/>
      <c r="DS233" s="51"/>
      <c r="DT233" s="51"/>
      <c r="DU233" s="51"/>
      <c r="DV233" s="51"/>
      <c r="DW233" s="51"/>
      <c r="DX233" s="51"/>
      <c r="DY233" s="51"/>
      <c r="DZ233" s="51"/>
      <c r="EA233" s="51"/>
      <c r="EB233" s="51"/>
      <c r="EC233" s="51"/>
      <c r="ED233" s="51"/>
      <c r="EE233" s="51"/>
      <c r="EF233" s="51"/>
      <c r="EG233" s="51"/>
      <c r="EH233" s="51"/>
      <c r="EI233" s="51"/>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row>
    <row r="234" spans="1:175" s="13" customFormat="1" ht="16.100000000000001" customHeight="1">
      <c r="A234" s="1976"/>
      <c r="B234" s="204" t="s">
        <v>144</v>
      </c>
      <c r="C234" s="243" t="str">
        <f>IF(INDEX(Eingabedaten!$GM$9:$GV$53,nutzid,MATCH($B234,Eingabedaten!$GM$6:$HQ$6,0))=0,"",INDEX(Eingabedaten!$GM$9:$GV$53,nutzid,MATCH($B234,Eingabedaten!$GM$6:$HQ$6,0)))</f>
        <v>- Keine Lüftungsanlage im Bestand</v>
      </c>
      <c r="D234" s="243"/>
      <c r="E234" s="243"/>
      <c r="F234" s="243"/>
      <c r="G234" s="14"/>
      <c r="H234" s="14"/>
      <c r="I234" s="243"/>
      <c r="J234" s="243"/>
      <c r="K234" s="243"/>
      <c r="L234" s="10"/>
      <c r="M234" s="1779"/>
      <c r="N234" s="14"/>
      <c r="O234" s="704"/>
      <c r="P234" s="393"/>
      <c r="Q234" s="392">
        <v>1</v>
      </c>
      <c r="R234" s="65"/>
      <c r="S234" s="243"/>
      <c r="T234" s="65"/>
      <c r="U234" s="65"/>
      <c r="V234" s="65"/>
      <c r="W234" s="63"/>
      <c r="X234" s="64"/>
      <c r="Y234" s="64"/>
      <c r="Z234" s="64"/>
      <c r="AA234" s="64"/>
      <c r="AB234" s="64"/>
      <c r="AC234" s="64"/>
      <c r="AD234" s="64"/>
      <c r="AE234" s="64"/>
      <c r="AF234" s="65"/>
      <c r="AG234" s="65"/>
      <c r="AH234" s="65"/>
      <c r="AI234" s="65"/>
      <c r="AJ234" s="65"/>
      <c r="AK234" s="65"/>
      <c r="AL234" s="65"/>
      <c r="AM234" s="65"/>
      <c r="AN234" s="65"/>
      <c r="AO234" s="65"/>
      <c r="AP234" s="65"/>
      <c r="AQ234" s="65"/>
      <c r="AR234" s="65"/>
      <c r="AS234" s="66"/>
      <c r="AT234" s="66"/>
      <c r="AU234" s="66"/>
      <c r="AV234" s="66"/>
      <c r="AW234" s="41"/>
      <c r="AX234" s="41"/>
      <c r="AY234" s="41"/>
      <c r="AZ234" s="41"/>
      <c r="BA234" s="41"/>
      <c r="BB234" s="41"/>
      <c r="BC234" s="41"/>
      <c r="BD234" s="41"/>
      <c r="BE234" s="41"/>
      <c r="BF234" s="41"/>
      <c r="BG234" s="41"/>
      <c r="BH234" s="41"/>
      <c r="BI234" s="41"/>
      <c r="BJ234" s="41"/>
      <c r="BK234" s="41"/>
      <c r="BL234" s="41"/>
      <c r="BM234" s="41"/>
      <c r="BN234" s="41"/>
      <c r="BO234" s="41"/>
      <c r="BP234" s="41"/>
      <c r="BQ234" s="41"/>
      <c r="BR234" s="41"/>
      <c r="BS234" s="41"/>
      <c r="BT234" s="41"/>
      <c r="BU234" s="41"/>
      <c r="BV234" s="41"/>
      <c r="BW234" s="41"/>
      <c r="BX234" s="41"/>
      <c r="BY234" s="41"/>
      <c r="BZ234" s="41"/>
      <c r="CA234" s="41"/>
      <c r="CB234" s="41"/>
      <c r="CC234" s="41"/>
      <c r="CD234" s="41"/>
      <c r="CE234" s="41"/>
      <c r="CF234" s="41"/>
      <c r="CG234" s="41"/>
      <c r="CH234" s="41"/>
      <c r="CI234" s="41"/>
      <c r="CJ234" s="41"/>
      <c r="CK234" s="41"/>
      <c r="CL234" s="41"/>
      <c r="CM234" s="41"/>
      <c r="CN234" s="41"/>
      <c r="CO234" s="41"/>
      <c r="CP234" s="41"/>
      <c r="CQ234" s="41"/>
      <c r="CR234" s="41"/>
      <c r="CS234" s="41"/>
      <c r="CT234" s="41"/>
      <c r="CU234" s="41"/>
      <c r="CV234" s="41"/>
      <c r="CW234" s="41"/>
      <c r="CX234" s="41"/>
      <c r="CY234" s="41"/>
      <c r="CZ234" s="41"/>
      <c r="DA234" s="51"/>
      <c r="DB234" s="51"/>
      <c r="DC234" s="51"/>
      <c r="DD234" s="51"/>
      <c r="DE234" s="51"/>
      <c r="DF234" s="51"/>
      <c r="DG234" s="51"/>
      <c r="DH234" s="51"/>
      <c r="DI234" s="51"/>
      <c r="DJ234" s="51"/>
      <c r="DK234" s="51"/>
      <c r="DL234" s="51"/>
      <c r="DM234" s="51"/>
      <c r="DN234" s="51"/>
      <c r="DO234" s="51"/>
      <c r="DP234" s="51"/>
      <c r="DQ234" s="51"/>
      <c r="DR234" s="51"/>
      <c r="DS234" s="51"/>
      <c r="DT234" s="51"/>
      <c r="DU234" s="51"/>
      <c r="DV234" s="51"/>
      <c r="DW234" s="51"/>
      <c r="DX234" s="51"/>
      <c r="DY234" s="51"/>
      <c r="DZ234" s="51"/>
      <c r="EA234" s="51"/>
      <c r="EB234" s="51"/>
      <c r="EC234" s="51"/>
      <c r="ED234" s="51"/>
      <c r="EE234" s="51"/>
      <c r="EF234" s="51"/>
      <c r="EG234" s="51"/>
      <c r="EH234" s="51"/>
      <c r="EI234" s="51"/>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row>
    <row r="235" spans="1:175" s="13" customFormat="1" ht="5.25" customHeight="1">
      <c r="A235" s="1976"/>
      <c r="B235" s="204"/>
      <c r="C235" s="243"/>
      <c r="D235" s="243"/>
      <c r="E235" s="243"/>
      <c r="F235" s="243"/>
      <c r="G235" s="14"/>
      <c r="H235" s="14"/>
      <c r="I235" s="243"/>
      <c r="J235" s="243"/>
      <c r="K235" s="243"/>
      <c r="L235" s="10"/>
      <c r="M235" s="1779"/>
      <c r="N235" s="14"/>
      <c r="O235" s="704"/>
      <c r="P235" s="393"/>
      <c r="Q235" s="392">
        <v>1</v>
      </c>
      <c r="R235" s="65"/>
      <c r="S235" s="243"/>
      <c r="T235" s="65"/>
      <c r="U235" s="65"/>
      <c r="V235" s="65"/>
      <c r="W235" s="63"/>
      <c r="X235" s="64"/>
      <c r="Y235" s="64"/>
      <c r="Z235" s="64"/>
      <c r="AA235" s="64"/>
      <c r="AB235" s="64"/>
      <c r="AC235" s="64"/>
      <c r="AD235" s="64"/>
      <c r="AE235" s="64"/>
      <c r="AF235" s="65"/>
      <c r="AG235" s="65"/>
      <c r="AH235" s="65"/>
      <c r="AI235" s="65"/>
      <c r="AJ235" s="65"/>
      <c r="AK235" s="65"/>
      <c r="AL235" s="65"/>
      <c r="AM235" s="65"/>
      <c r="AN235" s="65"/>
      <c r="AO235" s="65"/>
      <c r="AP235" s="65"/>
      <c r="AQ235" s="65"/>
      <c r="AR235" s="65"/>
      <c r="AS235" s="66"/>
      <c r="AT235" s="66"/>
      <c r="AU235" s="66"/>
      <c r="AV235" s="66"/>
      <c r="AW235" s="41"/>
      <c r="AX235" s="41"/>
      <c r="AY235" s="41"/>
      <c r="AZ235" s="41"/>
      <c r="BA235" s="41"/>
      <c r="BB235" s="41"/>
      <c r="BC235" s="41"/>
      <c r="BD235" s="41"/>
      <c r="BE235" s="41"/>
      <c r="BF235" s="41"/>
      <c r="BG235" s="41"/>
      <c r="BH235" s="41"/>
      <c r="BI235" s="41"/>
      <c r="BJ235" s="41"/>
      <c r="BK235" s="41"/>
      <c r="BL235" s="41"/>
      <c r="BM235" s="41"/>
      <c r="BN235" s="41"/>
      <c r="BO235" s="41"/>
      <c r="BP235" s="41"/>
      <c r="BQ235" s="41"/>
      <c r="BR235" s="41"/>
      <c r="BS235" s="41"/>
      <c r="BT235" s="41"/>
      <c r="BU235" s="41"/>
      <c r="BV235" s="41"/>
      <c r="BW235" s="41"/>
      <c r="BX235" s="41"/>
      <c r="BY235" s="41"/>
      <c r="BZ235" s="41"/>
      <c r="CA235" s="41"/>
      <c r="CB235" s="41"/>
      <c r="CC235" s="41"/>
      <c r="CD235" s="41"/>
      <c r="CE235" s="41"/>
      <c r="CF235" s="41"/>
      <c r="CG235" s="41"/>
      <c r="CH235" s="41"/>
      <c r="CI235" s="41"/>
      <c r="CJ235" s="41"/>
      <c r="CK235" s="41"/>
      <c r="CL235" s="41"/>
      <c r="CM235" s="41"/>
      <c r="CN235" s="41"/>
      <c r="CO235" s="41"/>
      <c r="CP235" s="41"/>
      <c r="CQ235" s="41"/>
      <c r="CR235" s="41"/>
      <c r="CS235" s="41"/>
      <c r="CT235" s="41"/>
      <c r="CU235" s="41"/>
      <c r="CV235" s="41"/>
      <c r="CW235" s="41"/>
      <c r="CX235" s="41"/>
      <c r="CY235" s="41"/>
      <c r="CZ235" s="41"/>
      <c r="DA235" s="51"/>
      <c r="DB235" s="51"/>
      <c r="DC235" s="51"/>
      <c r="DD235" s="51"/>
      <c r="DE235" s="51"/>
      <c r="DF235" s="51"/>
      <c r="DG235" s="51"/>
      <c r="DH235" s="51"/>
      <c r="DI235" s="51"/>
      <c r="DJ235" s="51"/>
      <c r="DK235" s="51"/>
      <c r="DL235" s="51"/>
      <c r="DM235" s="51"/>
      <c r="DN235" s="51"/>
      <c r="DO235" s="51"/>
      <c r="DP235" s="51"/>
      <c r="DQ235" s="51"/>
      <c r="DR235" s="51"/>
      <c r="DS235" s="51"/>
      <c r="DT235" s="51"/>
      <c r="DU235" s="51"/>
      <c r="DV235" s="51"/>
      <c r="DW235" s="51"/>
      <c r="DX235" s="51"/>
      <c r="DY235" s="51"/>
      <c r="DZ235" s="51"/>
      <c r="EA235" s="51"/>
      <c r="EB235" s="51"/>
      <c r="EC235" s="51"/>
      <c r="ED235" s="51"/>
      <c r="EE235" s="51"/>
      <c r="EF235" s="51"/>
      <c r="EG235" s="51"/>
      <c r="EH235" s="51"/>
      <c r="EI235" s="51"/>
      <c r="EJ235" s="40"/>
      <c r="EK235" s="40"/>
      <c r="EL235" s="40"/>
      <c r="EM235" s="40"/>
      <c r="EN235" s="40"/>
      <c r="EO235" s="40"/>
      <c r="EP235" s="40"/>
      <c r="EQ235" s="40"/>
      <c r="ER235" s="40"/>
      <c r="ES235" s="40"/>
      <c r="ET235" s="40"/>
      <c r="EU235" s="40"/>
      <c r="EV235" s="40"/>
      <c r="EW235" s="40"/>
      <c r="EX235" s="40"/>
      <c r="EY235" s="40"/>
      <c r="EZ235" s="40"/>
      <c r="FA235" s="40"/>
      <c r="FB235" s="40"/>
      <c r="FC235" s="40"/>
      <c r="FD235" s="40"/>
      <c r="FE235" s="40"/>
      <c r="FF235" s="40"/>
      <c r="FG235" s="40"/>
      <c r="FH235" s="40"/>
      <c r="FI235" s="40"/>
      <c r="FJ235" s="40"/>
      <c r="FK235" s="40"/>
      <c r="FL235" s="40"/>
      <c r="FM235" s="40"/>
      <c r="FN235" s="40"/>
      <c r="FO235" s="40"/>
      <c r="FP235" s="40"/>
      <c r="FQ235" s="40"/>
      <c r="FR235" s="40"/>
      <c r="FS235" s="40"/>
    </row>
    <row r="236" spans="1:175" s="13" customFormat="1" ht="16.100000000000001" customHeight="1">
      <c r="A236" s="1976"/>
      <c r="B236" s="204" t="s">
        <v>145</v>
      </c>
      <c r="C236" s="243" t="str">
        <f>IF(INDEX(Eingabedaten!$GM$9:$GV$53,nutzid,MATCH($B236,Eingabedaten!$GM$6:$HQ$6,0))=0,"",INDEX(Eingabedaten!$GM$9:$GV$53,nutzid,MATCH($B236,Eingabedaten!$GM$6:$HQ$6,0)))</f>
        <v>- Der Klimakälteleistungsbedarf und der jährliche Klimakältebedarf gelten für Räume ohne unterstützende Fensterlüftung</v>
      </c>
      <c r="D236" s="243"/>
      <c r="E236" s="243"/>
      <c r="F236" s="243"/>
      <c r="G236" s="14"/>
      <c r="H236" s="14"/>
      <c r="I236" s="243"/>
      <c r="J236" s="243"/>
      <c r="K236" s="243"/>
      <c r="L236" s="10"/>
      <c r="M236" s="1779"/>
      <c r="N236" s="14"/>
      <c r="O236" s="704"/>
      <c r="P236" s="393"/>
      <c r="Q236" s="392">
        <v>1</v>
      </c>
      <c r="R236" s="65"/>
      <c r="S236" s="243"/>
      <c r="T236" s="65"/>
      <c r="U236" s="65"/>
      <c r="V236" s="65"/>
      <c r="W236" s="63"/>
      <c r="X236" s="64"/>
      <c r="Y236" s="64"/>
      <c r="Z236" s="64"/>
      <c r="AA236" s="64"/>
      <c r="AB236" s="64"/>
      <c r="AC236" s="64"/>
      <c r="AD236" s="64"/>
      <c r="AE236" s="64"/>
      <c r="AF236" s="65"/>
      <c r="AG236" s="65"/>
      <c r="AH236" s="65"/>
      <c r="AI236" s="65"/>
      <c r="AJ236" s="65"/>
      <c r="AK236" s="65"/>
      <c r="AL236" s="65"/>
      <c r="AM236" s="65"/>
      <c r="AN236" s="65"/>
      <c r="AO236" s="65"/>
      <c r="AP236" s="65"/>
      <c r="AQ236" s="65"/>
      <c r="AR236" s="65"/>
      <c r="AS236" s="66"/>
      <c r="AT236" s="66"/>
      <c r="AU236" s="66"/>
      <c r="AV236" s="66"/>
      <c r="AW236" s="41"/>
      <c r="AX236" s="41"/>
      <c r="AY236" s="41"/>
      <c r="AZ236" s="41"/>
      <c r="BA236" s="41"/>
      <c r="BB236" s="41"/>
      <c r="BC236" s="41"/>
      <c r="BD236" s="41"/>
      <c r="BE236" s="41"/>
      <c r="BF236" s="41"/>
      <c r="BG236" s="41"/>
      <c r="BH236" s="41"/>
      <c r="BI236" s="41"/>
      <c r="BJ236" s="41"/>
      <c r="BK236" s="41"/>
      <c r="BL236" s="41"/>
      <c r="BM236" s="41"/>
      <c r="BN236" s="41"/>
      <c r="BO236" s="41"/>
      <c r="BP236" s="41"/>
      <c r="BQ236" s="41"/>
      <c r="BR236" s="41"/>
      <c r="BS236" s="41"/>
      <c r="BT236" s="41"/>
      <c r="BU236" s="41"/>
      <c r="BV236" s="41"/>
      <c r="BW236" s="41"/>
      <c r="BX236" s="41"/>
      <c r="BY236" s="41"/>
      <c r="BZ236" s="41"/>
      <c r="CA236" s="41"/>
      <c r="CB236" s="41"/>
      <c r="CC236" s="41"/>
      <c r="CD236" s="41"/>
      <c r="CE236" s="41"/>
      <c r="CF236" s="41"/>
      <c r="CG236" s="41"/>
      <c r="CH236" s="41"/>
      <c r="CI236" s="41"/>
      <c r="CJ236" s="41"/>
      <c r="CK236" s="41"/>
      <c r="CL236" s="41"/>
      <c r="CM236" s="41"/>
      <c r="CN236" s="41"/>
      <c r="CO236" s="41"/>
      <c r="CP236" s="41"/>
      <c r="CQ236" s="41"/>
      <c r="CR236" s="41"/>
      <c r="CS236" s="41"/>
      <c r="CT236" s="41"/>
      <c r="CU236" s="41"/>
      <c r="CV236" s="41"/>
      <c r="CW236" s="41"/>
      <c r="CX236" s="41"/>
      <c r="CY236" s="41"/>
      <c r="CZ236" s="41"/>
      <c r="DA236" s="51"/>
      <c r="DB236" s="51"/>
      <c r="DC236" s="51"/>
      <c r="DD236" s="51"/>
      <c r="DE236" s="51"/>
      <c r="DF236" s="51"/>
      <c r="DG236" s="51"/>
      <c r="DH236" s="51"/>
      <c r="DI236" s="51"/>
      <c r="DJ236" s="51"/>
      <c r="DK236" s="51"/>
      <c r="DL236" s="51"/>
      <c r="DM236" s="51"/>
      <c r="DN236" s="51"/>
      <c r="DO236" s="51"/>
      <c r="DP236" s="51"/>
      <c r="DQ236" s="51"/>
      <c r="DR236" s="51"/>
      <c r="DS236" s="51"/>
      <c r="DT236" s="51"/>
      <c r="DU236" s="51"/>
      <c r="DV236" s="51"/>
      <c r="DW236" s="51"/>
      <c r="DX236" s="51"/>
      <c r="DY236" s="51"/>
      <c r="DZ236" s="51"/>
      <c r="EA236" s="51"/>
      <c r="EB236" s="51"/>
      <c r="EC236" s="51"/>
      <c r="ED236" s="51"/>
      <c r="EE236" s="51"/>
      <c r="EF236" s="51"/>
      <c r="EG236" s="51"/>
      <c r="EH236" s="51"/>
      <c r="EI236" s="51"/>
      <c r="EJ236" s="40"/>
      <c r="EK236" s="40"/>
      <c r="EL236" s="40"/>
      <c r="EM236" s="40"/>
      <c r="EN236" s="40"/>
      <c r="EO236" s="40"/>
      <c r="EP236" s="40"/>
      <c r="EQ236" s="40"/>
      <c r="ER236" s="40"/>
      <c r="ES236" s="40"/>
      <c r="ET236" s="40"/>
      <c r="EU236" s="40"/>
      <c r="EV236" s="40"/>
      <c r="EW236" s="40"/>
      <c r="EX236" s="40"/>
      <c r="EY236" s="40"/>
      <c r="EZ236" s="40"/>
      <c r="FA236" s="40"/>
      <c r="FB236" s="40"/>
      <c r="FC236" s="40"/>
      <c r="FD236" s="40"/>
      <c r="FE236" s="40"/>
      <c r="FF236" s="40"/>
      <c r="FG236" s="40"/>
      <c r="FH236" s="40"/>
      <c r="FI236" s="40"/>
      <c r="FJ236" s="40"/>
      <c r="FK236" s="40"/>
      <c r="FL236" s="40"/>
      <c r="FM236" s="40"/>
      <c r="FN236" s="40"/>
      <c r="FO236" s="40"/>
      <c r="FP236" s="40"/>
      <c r="FQ236" s="40"/>
      <c r="FR236" s="40"/>
      <c r="FS236" s="40"/>
    </row>
    <row r="237" spans="1:175" s="13" customFormat="1" ht="5.25" customHeight="1">
      <c r="A237" s="1976"/>
      <c r="B237" s="204"/>
      <c r="C237" s="243"/>
      <c r="D237" s="243"/>
      <c r="E237" s="243"/>
      <c r="F237" s="243"/>
      <c r="G237" s="14"/>
      <c r="H237" s="14"/>
      <c r="I237" s="243"/>
      <c r="J237" s="243"/>
      <c r="K237" s="243"/>
      <c r="L237" s="10"/>
      <c r="M237" s="1779"/>
      <c r="N237" s="14"/>
      <c r="O237" s="704"/>
      <c r="P237" s="393"/>
      <c r="Q237" s="392">
        <v>1</v>
      </c>
      <c r="R237" s="65"/>
      <c r="S237" s="243"/>
      <c r="T237" s="65"/>
      <c r="U237" s="65"/>
      <c r="V237" s="65"/>
      <c r="W237" s="63"/>
      <c r="X237" s="64"/>
      <c r="Y237" s="64"/>
      <c r="Z237" s="64"/>
      <c r="AA237" s="64"/>
      <c r="AB237" s="64"/>
      <c r="AC237" s="64"/>
      <c r="AD237" s="64"/>
      <c r="AE237" s="64"/>
      <c r="AF237" s="65"/>
      <c r="AG237" s="65"/>
      <c r="AH237" s="65"/>
      <c r="AI237" s="65"/>
      <c r="AJ237" s="65"/>
      <c r="AK237" s="65"/>
      <c r="AL237" s="65"/>
      <c r="AM237" s="65"/>
      <c r="AN237" s="65"/>
      <c r="AO237" s="65"/>
      <c r="AP237" s="65"/>
      <c r="AQ237" s="65"/>
      <c r="AR237" s="65"/>
      <c r="AS237" s="66"/>
      <c r="AT237" s="66"/>
      <c r="AU237" s="66"/>
      <c r="AV237" s="66"/>
      <c r="AW237" s="41"/>
      <c r="AX237" s="41"/>
      <c r="AY237" s="41"/>
      <c r="AZ237" s="41"/>
      <c r="BA237" s="41"/>
      <c r="BB237" s="41"/>
      <c r="BC237" s="41"/>
      <c r="BD237" s="41"/>
      <c r="BE237" s="41"/>
      <c r="BF237" s="41"/>
      <c r="BG237" s="41"/>
      <c r="BH237" s="41"/>
      <c r="BI237" s="41"/>
      <c r="BJ237" s="41"/>
      <c r="BK237" s="41"/>
      <c r="BL237" s="41"/>
      <c r="BM237" s="41"/>
      <c r="BN237" s="41"/>
      <c r="BO237" s="41"/>
      <c r="BP237" s="41"/>
      <c r="BQ237" s="41"/>
      <c r="BR237" s="41"/>
      <c r="BS237" s="41"/>
      <c r="BT237" s="41"/>
      <c r="BU237" s="41"/>
      <c r="BV237" s="41"/>
      <c r="BW237" s="41"/>
      <c r="BX237" s="41"/>
      <c r="BY237" s="41"/>
      <c r="BZ237" s="41"/>
      <c r="CA237" s="41"/>
      <c r="CB237" s="41"/>
      <c r="CC237" s="41"/>
      <c r="CD237" s="41"/>
      <c r="CE237" s="41"/>
      <c r="CF237" s="41"/>
      <c r="CG237" s="41"/>
      <c r="CH237" s="41"/>
      <c r="CI237" s="41"/>
      <c r="CJ237" s="41"/>
      <c r="CK237" s="41"/>
      <c r="CL237" s="41"/>
      <c r="CM237" s="41"/>
      <c r="CN237" s="41"/>
      <c r="CO237" s="41"/>
      <c r="CP237" s="41"/>
      <c r="CQ237" s="41"/>
      <c r="CR237" s="41"/>
      <c r="CS237" s="41"/>
      <c r="CT237" s="41"/>
      <c r="CU237" s="41"/>
      <c r="CV237" s="41"/>
      <c r="CW237" s="41"/>
      <c r="CX237" s="41"/>
      <c r="CY237" s="41"/>
      <c r="CZ237" s="41"/>
      <c r="DA237" s="51"/>
      <c r="DB237" s="51"/>
      <c r="DC237" s="51"/>
      <c r="DD237" s="51"/>
      <c r="DE237" s="51"/>
      <c r="DF237" s="51"/>
      <c r="DG237" s="51"/>
      <c r="DH237" s="51"/>
      <c r="DI237" s="51"/>
      <c r="DJ237" s="51"/>
      <c r="DK237" s="51"/>
      <c r="DL237" s="51"/>
      <c r="DM237" s="51"/>
      <c r="DN237" s="51"/>
      <c r="DO237" s="51"/>
      <c r="DP237" s="51"/>
      <c r="DQ237" s="51"/>
      <c r="DR237" s="51"/>
      <c r="DS237" s="51"/>
      <c r="DT237" s="51"/>
      <c r="DU237" s="51"/>
      <c r="DV237" s="51"/>
      <c r="DW237" s="51"/>
      <c r="DX237" s="51"/>
      <c r="DY237" s="51"/>
      <c r="DZ237" s="51"/>
      <c r="EA237" s="51"/>
      <c r="EB237" s="51"/>
      <c r="EC237" s="51"/>
      <c r="ED237" s="51"/>
      <c r="EE237" s="51"/>
      <c r="EF237" s="51"/>
      <c r="EG237" s="51"/>
      <c r="EH237" s="51"/>
      <c r="EI237" s="51"/>
      <c r="EJ237" s="40"/>
      <c r="EK237" s="40"/>
      <c r="EL237" s="40"/>
      <c r="EM237" s="40"/>
      <c r="EN237" s="40"/>
      <c r="EO237" s="40"/>
      <c r="EP237" s="40"/>
      <c r="EQ237" s="40"/>
      <c r="ER237" s="40"/>
      <c r="ES237" s="40"/>
      <c r="ET237" s="40"/>
      <c r="EU237" s="40"/>
      <c r="EV237" s="40"/>
      <c r="EW237" s="40"/>
      <c r="EX237" s="40"/>
      <c r="EY237" s="40"/>
      <c r="EZ237" s="40"/>
      <c r="FA237" s="40"/>
      <c r="FB237" s="40"/>
      <c r="FC237" s="40"/>
      <c r="FD237" s="40"/>
      <c r="FE237" s="40"/>
      <c r="FF237" s="40"/>
      <c r="FG237" s="40"/>
      <c r="FH237" s="40"/>
      <c r="FI237" s="40"/>
      <c r="FJ237" s="40"/>
      <c r="FK237" s="40"/>
      <c r="FL237" s="40"/>
      <c r="FM237" s="40"/>
      <c r="FN237" s="40"/>
      <c r="FO237" s="40"/>
      <c r="FP237" s="40"/>
      <c r="FQ237" s="40"/>
      <c r="FR237" s="40"/>
      <c r="FS237" s="40"/>
    </row>
    <row r="238" spans="1:175" s="13" customFormat="1" ht="16.100000000000001" customHeight="1">
      <c r="A238" s="1976"/>
      <c r="B238" s="204" t="s">
        <v>146</v>
      </c>
      <c r="C238" s="243" t="str">
        <f>IF(INDEX(Eingabedaten!$GM$9:$GV$53,nutzid,MATCH($B238,Eingabedaten!$GM$6:$HQ$6,0))=0,"",INDEX(Eingabedaten!$GM$9:$GV$53,nutzid,MATCH($B238,Eingabedaten!$GM$6:$HQ$6,0)))</f>
        <v/>
      </c>
      <c r="D238" s="243"/>
      <c r="E238" s="243"/>
      <c r="F238" s="243"/>
      <c r="G238" s="14"/>
      <c r="H238" s="14"/>
      <c r="I238" s="243"/>
      <c r="J238" s="243"/>
      <c r="K238" s="243"/>
      <c r="L238" s="10"/>
      <c r="M238" s="1779"/>
      <c r="N238" s="14"/>
      <c r="O238" s="704"/>
      <c r="P238" s="393"/>
      <c r="Q238" s="392">
        <v>1</v>
      </c>
      <c r="R238" s="65"/>
      <c r="S238" s="243"/>
      <c r="T238" s="65"/>
      <c r="U238" s="65"/>
      <c r="V238" s="65"/>
      <c r="W238" s="63"/>
      <c r="X238" s="64"/>
      <c r="Y238" s="64"/>
      <c r="Z238" s="64"/>
      <c r="AA238" s="64"/>
      <c r="AB238" s="64"/>
      <c r="AC238" s="64"/>
      <c r="AD238" s="64"/>
      <c r="AE238" s="64"/>
      <c r="AF238" s="65"/>
      <c r="AG238" s="65"/>
      <c r="AH238" s="65"/>
      <c r="AI238" s="65"/>
      <c r="AJ238" s="65"/>
      <c r="AK238" s="65"/>
      <c r="AL238" s="65"/>
      <c r="AM238" s="65"/>
      <c r="AN238" s="65"/>
      <c r="AO238" s="65"/>
      <c r="AP238" s="65"/>
      <c r="AQ238" s="65"/>
      <c r="AR238" s="65"/>
      <c r="AS238" s="66"/>
      <c r="AT238" s="66"/>
      <c r="AU238" s="66"/>
      <c r="AV238" s="66"/>
      <c r="AW238" s="41"/>
      <c r="AX238" s="41"/>
      <c r="AY238" s="41"/>
      <c r="AZ238" s="41"/>
      <c r="BA238" s="41"/>
      <c r="BB238" s="41"/>
      <c r="BC238" s="41"/>
      <c r="BD238" s="41"/>
      <c r="BE238" s="41"/>
      <c r="BF238" s="41"/>
      <c r="BG238" s="41"/>
      <c r="BH238" s="41"/>
      <c r="BI238" s="41"/>
      <c r="BJ238" s="41"/>
      <c r="BK238" s="41"/>
      <c r="BL238" s="41"/>
      <c r="BM238" s="41"/>
      <c r="BN238" s="41"/>
      <c r="BO238" s="41"/>
      <c r="BP238" s="41"/>
      <c r="BQ238" s="41"/>
      <c r="BR238" s="41"/>
      <c r="BS238" s="41"/>
      <c r="BT238" s="41"/>
      <c r="BU238" s="41"/>
      <c r="BV238" s="41"/>
      <c r="BW238" s="41"/>
      <c r="BX238" s="41"/>
      <c r="BY238" s="41"/>
      <c r="BZ238" s="41"/>
      <c r="CA238" s="41"/>
      <c r="CB238" s="41"/>
      <c r="CC238" s="41"/>
      <c r="CD238" s="41"/>
      <c r="CE238" s="41"/>
      <c r="CF238" s="41"/>
      <c r="CG238" s="41"/>
      <c r="CH238" s="41"/>
      <c r="CI238" s="41"/>
      <c r="CJ238" s="41"/>
      <c r="CK238" s="41"/>
      <c r="CL238" s="41"/>
      <c r="CM238" s="41"/>
      <c r="CN238" s="41"/>
      <c r="CO238" s="41"/>
      <c r="CP238" s="41"/>
      <c r="CQ238" s="41"/>
      <c r="CR238" s="41"/>
      <c r="CS238" s="41"/>
      <c r="CT238" s="41"/>
      <c r="CU238" s="41"/>
      <c r="CV238" s="41"/>
      <c r="CW238" s="41"/>
      <c r="CX238" s="41"/>
      <c r="CY238" s="41"/>
      <c r="CZ238" s="41"/>
      <c r="DA238" s="51"/>
      <c r="DB238" s="51"/>
      <c r="DC238" s="51"/>
      <c r="DD238" s="51"/>
      <c r="DE238" s="51"/>
      <c r="DF238" s="51"/>
      <c r="DG238" s="51"/>
      <c r="DH238" s="51"/>
      <c r="DI238" s="51"/>
      <c r="DJ238" s="51"/>
      <c r="DK238" s="51"/>
      <c r="DL238" s="51"/>
      <c r="DM238" s="51"/>
      <c r="DN238" s="51"/>
      <c r="DO238" s="51"/>
      <c r="DP238" s="51"/>
      <c r="DQ238" s="51"/>
      <c r="DR238" s="51"/>
      <c r="DS238" s="51"/>
      <c r="DT238" s="51"/>
      <c r="DU238" s="51"/>
      <c r="DV238" s="51"/>
      <c r="DW238" s="51"/>
      <c r="DX238" s="51"/>
      <c r="DY238" s="51"/>
      <c r="DZ238" s="51"/>
      <c r="EA238" s="51"/>
      <c r="EB238" s="51"/>
      <c r="EC238" s="51"/>
      <c r="ED238" s="51"/>
      <c r="EE238" s="51"/>
      <c r="EF238" s="51"/>
      <c r="EG238" s="51"/>
      <c r="EH238" s="51"/>
      <c r="EI238" s="51"/>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row>
    <row r="239" spans="1:175" s="13" customFormat="1" ht="5.25" customHeight="1">
      <c r="A239" s="1976"/>
      <c r="B239" s="204"/>
      <c r="C239" s="243"/>
      <c r="D239" s="243"/>
      <c r="E239" s="243"/>
      <c r="F239" s="243"/>
      <c r="G239" s="14"/>
      <c r="H239" s="14"/>
      <c r="I239" s="243"/>
      <c r="J239" s="243"/>
      <c r="K239" s="243"/>
      <c r="L239" s="10"/>
      <c r="M239" s="1779"/>
      <c r="N239" s="14"/>
      <c r="O239" s="704"/>
      <c r="P239" s="393"/>
      <c r="Q239" s="392">
        <v>1</v>
      </c>
      <c r="R239" s="65"/>
      <c r="S239" s="243"/>
      <c r="T239" s="65"/>
      <c r="U239" s="65"/>
      <c r="V239" s="65"/>
      <c r="W239" s="63"/>
      <c r="X239" s="64"/>
      <c r="Y239" s="64"/>
      <c r="Z239" s="64"/>
      <c r="AA239" s="64"/>
      <c r="AB239" s="64"/>
      <c r="AC239" s="64"/>
      <c r="AD239" s="64"/>
      <c r="AE239" s="64"/>
      <c r="AF239" s="65"/>
      <c r="AG239" s="65"/>
      <c r="AH239" s="65"/>
      <c r="AI239" s="65"/>
      <c r="AJ239" s="65"/>
      <c r="AK239" s="65"/>
      <c r="AL239" s="65"/>
      <c r="AM239" s="65"/>
      <c r="AN239" s="65"/>
      <c r="AO239" s="65"/>
      <c r="AP239" s="65"/>
      <c r="AQ239" s="65"/>
      <c r="AR239" s="65"/>
      <c r="AS239" s="66"/>
      <c r="AT239" s="66"/>
      <c r="AU239" s="66"/>
      <c r="AV239" s="66"/>
      <c r="AW239" s="41"/>
      <c r="AX239" s="41"/>
      <c r="AY239" s="41"/>
      <c r="AZ239" s="41"/>
      <c r="BA239" s="41"/>
      <c r="BB239" s="41"/>
      <c r="BC239" s="41"/>
      <c r="BD239" s="41"/>
      <c r="BE239" s="41"/>
      <c r="BF239" s="41"/>
      <c r="BG239" s="41"/>
      <c r="BH239" s="41"/>
      <c r="BI239" s="41"/>
      <c r="BJ239" s="41"/>
      <c r="BK239" s="41"/>
      <c r="BL239" s="41"/>
      <c r="BM239" s="41"/>
      <c r="BN239" s="41"/>
      <c r="BO239" s="41"/>
      <c r="BP239" s="41"/>
      <c r="BQ239" s="41"/>
      <c r="BR239" s="41"/>
      <c r="BS239" s="41"/>
      <c r="BT239" s="41"/>
      <c r="BU239" s="41"/>
      <c r="BV239" s="41"/>
      <c r="BW239" s="41"/>
      <c r="BX239" s="41"/>
      <c r="BY239" s="41"/>
      <c r="BZ239" s="41"/>
      <c r="CA239" s="41"/>
      <c r="CB239" s="41"/>
      <c r="CC239" s="41"/>
      <c r="CD239" s="41"/>
      <c r="CE239" s="41"/>
      <c r="CF239" s="41"/>
      <c r="CG239" s="41"/>
      <c r="CH239" s="41"/>
      <c r="CI239" s="41"/>
      <c r="CJ239" s="41"/>
      <c r="CK239" s="41"/>
      <c r="CL239" s="41"/>
      <c r="CM239" s="41"/>
      <c r="CN239" s="41"/>
      <c r="CO239" s="41"/>
      <c r="CP239" s="41"/>
      <c r="CQ239" s="41"/>
      <c r="CR239" s="41"/>
      <c r="CS239" s="41"/>
      <c r="CT239" s="41"/>
      <c r="CU239" s="41"/>
      <c r="CV239" s="41"/>
      <c r="CW239" s="41"/>
      <c r="CX239" s="41"/>
      <c r="CY239" s="41"/>
      <c r="CZ239" s="41"/>
      <c r="DA239" s="51"/>
      <c r="DB239" s="51"/>
      <c r="DC239" s="51"/>
      <c r="DD239" s="51"/>
      <c r="DE239" s="51"/>
      <c r="DF239" s="51"/>
      <c r="DG239" s="51"/>
      <c r="DH239" s="51"/>
      <c r="DI239" s="51"/>
      <c r="DJ239" s="51"/>
      <c r="DK239" s="51"/>
      <c r="DL239" s="51"/>
      <c r="DM239" s="51"/>
      <c r="DN239" s="51"/>
      <c r="DO239" s="51"/>
      <c r="DP239" s="51"/>
      <c r="DQ239" s="51"/>
      <c r="DR239" s="51"/>
      <c r="DS239" s="51"/>
      <c r="DT239" s="51"/>
      <c r="DU239" s="51"/>
      <c r="DV239" s="51"/>
      <c r="DW239" s="51"/>
      <c r="DX239" s="51"/>
      <c r="DY239" s="51"/>
      <c r="DZ239" s="51"/>
      <c r="EA239" s="51"/>
      <c r="EB239" s="51"/>
      <c r="EC239" s="51"/>
      <c r="ED239" s="51"/>
      <c r="EE239" s="51"/>
      <c r="EF239" s="51"/>
      <c r="EG239" s="51"/>
      <c r="EH239" s="51"/>
      <c r="EI239" s="51"/>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row>
    <row r="240" spans="1:175" s="13" customFormat="1" ht="16.100000000000001" customHeight="1">
      <c r="A240" s="1976"/>
      <c r="B240" s="204" t="s">
        <v>147</v>
      </c>
      <c r="C240" s="243" t="str">
        <f>IF(INDEX(Eingabedaten!$GM$9:$GV$53,nutzid,MATCH($B240,Eingabedaten!$GM$6:$HQ$6,0))=0,"",INDEX(Eingabedaten!$GM$9:$GV$53,nutzid,MATCH($B240,Eingabedaten!$GM$6:$HQ$6,0)))</f>
        <v>- Wasser- und Warmwasserbedarf pro Person</v>
      </c>
      <c r="D240" s="243"/>
      <c r="E240" s="243"/>
      <c r="F240" s="243"/>
      <c r="G240" s="14"/>
      <c r="H240" s="14"/>
      <c r="I240" s="243"/>
      <c r="J240" s="243"/>
      <c r="K240" s="243"/>
      <c r="L240" s="10"/>
      <c r="M240" s="1779"/>
      <c r="N240" s="14"/>
      <c r="O240" s="704"/>
      <c r="P240" s="393"/>
      <c r="Q240" s="392">
        <v>1</v>
      </c>
      <c r="R240" s="65"/>
      <c r="S240" s="243"/>
      <c r="T240" s="65"/>
      <c r="U240" s="65"/>
      <c r="V240" s="65"/>
      <c r="W240" s="63"/>
      <c r="X240" s="64"/>
      <c r="Y240" s="64"/>
      <c r="Z240" s="64"/>
      <c r="AA240" s="64"/>
      <c r="AB240" s="64"/>
      <c r="AC240" s="64"/>
      <c r="AD240" s="64"/>
      <c r="AE240" s="64"/>
      <c r="AF240" s="65"/>
      <c r="AG240" s="65"/>
      <c r="AH240" s="65"/>
      <c r="AI240" s="65"/>
      <c r="AJ240" s="65"/>
      <c r="AK240" s="65"/>
      <c r="AL240" s="65"/>
      <c r="AM240" s="65"/>
      <c r="AN240" s="65"/>
      <c r="AO240" s="65"/>
      <c r="AP240" s="65"/>
      <c r="AQ240" s="65"/>
      <c r="AR240" s="65"/>
      <c r="AS240" s="66"/>
      <c r="AT240" s="66"/>
      <c r="AU240" s="66"/>
      <c r="AV240" s="66"/>
      <c r="AW240" s="41"/>
      <c r="AX240" s="41"/>
      <c r="AY240" s="41"/>
      <c r="AZ240" s="41"/>
      <c r="BA240" s="41"/>
      <c r="BB240" s="41"/>
      <c r="BC240" s="41"/>
      <c r="BD240" s="41"/>
      <c r="BE240" s="41"/>
      <c r="BF240" s="41"/>
      <c r="BG240" s="41"/>
      <c r="BH240" s="41"/>
      <c r="BI240" s="41"/>
      <c r="BJ240" s="41"/>
      <c r="BK240" s="41"/>
      <c r="BL240" s="41"/>
      <c r="BM240" s="41"/>
      <c r="BN240" s="41"/>
      <c r="BO240" s="41"/>
      <c r="BP240" s="41"/>
      <c r="BQ240" s="41"/>
      <c r="BR240" s="41"/>
      <c r="BS240" s="41"/>
      <c r="BT240" s="41"/>
      <c r="BU240" s="41"/>
      <c r="BV240" s="41"/>
      <c r="BW240" s="41"/>
      <c r="BX240" s="41"/>
      <c r="BY240" s="41"/>
      <c r="BZ240" s="41"/>
      <c r="CA240" s="41"/>
      <c r="CB240" s="41"/>
      <c r="CC240" s="41"/>
      <c r="CD240" s="41"/>
      <c r="CE240" s="41"/>
      <c r="CF240" s="41"/>
      <c r="CG240" s="41"/>
      <c r="CH240" s="41"/>
      <c r="CI240" s="41"/>
      <c r="CJ240" s="41"/>
      <c r="CK240" s="41"/>
      <c r="CL240" s="41"/>
      <c r="CM240" s="41"/>
      <c r="CN240" s="41"/>
      <c r="CO240" s="41"/>
      <c r="CP240" s="41"/>
      <c r="CQ240" s="41"/>
      <c r="CR240" s="41"/>
      <c r="CS240" s="41"/>
      <c r="CT240" s="41"/>
      <c r="CU240" s="41"/>
      <c r="CV240" s="41"/>
      <c r="CW240" s="41"/>
      <c r="CX240" s="41"/>
      <c r="CY240" s="41"/>
      <c r="CZ240" s="41"/>
      <c r="DA240" s="51"/>
      <c r="DB240" s="51"/>
      <c r="DC240" s="51"/>
      <c r="DD240" s="51"/>
      <c r="DE240" s="51"/>
      <c r="DF240" s="51"/>
      <c r="DG240" s="51"/>
      <c r="DH240" s="51"/>
      <c r="DI240" s="51"/>
      <c r="DJ240" s="51"/>
      <c r="DK240" s="51"/>
      <c r="DL240" s="51"/>
      <c r="DM240" s="51"/>
      <c r="DN240" s="51"/>
      <c r="DO240" s="51"/>
      <c r="DP240" s="51"/>
      <c r="DQ240" s="51"/>
      <c r="DR240" s="51"/>
      <c r="DS240" s="51"/>
      <c r="DT240" s="51"/>
      <c r="DU240" s="51"/>
      <c r="DV240" s="51"/>
      <c r="DW240" s="51"/>
      <c r="DX240" s="51"/>
      <c r="DY240" s="51"/>
      <c r="DZ240" s="51"/>
      <c r="EA240" s="51"/>
      <c r="EB240" s="51"/>
      <c r="EC240" s="51"/>
      <c r="ED240" s="51"/>
      <c r="EE240" s="51"/>
      <c r="EF240" s="51"/>
      <c r="EG240" s="51"/>
      <c r="EH240" s="51"/>
      <c r="EI240" s="51"/>
      <c r="EJ240" s="40"/>
      <c r="EK240" s="40"/>
      <c r="EL240" s="40"/>
      <c r="EM240" s="40"/>
      <c r="EN240" s="40"/>
      <c r="EO240" s="40"/>
      <c r="EP240" s="40"/>
      <c r="EQ240" s="40"/>
      <c r="ER240" s="40"/>
      <c r="ES240" s="40"/>
      <c r="ET240" s="40"/>
      <c r="EU240" s="40"/>
      <c r="EV240" s="40"/>
      <c r="EW240" s="40"/>
      <c r="EX240" s="40"/>
      <c r="EY240" s="40"/>
      <c r="EZ240" s="40"/>
      <c r="FA240" s="40"/>
      <c r="FB240" s="40"/>
      <c r="FC240" s="40"/>
      <c r="FD240" s="40"/>
      <c r="FE240" s="40"/>
      <c r="FF240" s="40"/>
      <c r="FG240" s="40"/>
      <c r="FH240" s="40"/>
      <c r="FI240" s="40"/>
      <c r="FJ240" s="40"/>
      <c r="FK240" s="40"/>
      <c r="FL240" s="40"/>
      <c r="FM240" s="40"/>
      <c r="FN240" s="40"/>
      <c r="FO240" s="40"/>
      <c r="FP240" s="40"/>
      <c r="FQ240" s="40"/>
      <c r="FR240" s="40"/>
      <c r="FS240" s="40"/>
    </row>
    <row r="241" spans="1:175" s="13" customFormat="1" ht="5.25" customHeight="1">
      <c r="A241" s="92"/>
      <c r="B241" s="204"/>
      <c r="C241" s="243"/>
      <c r="D241" s="243"/>
      <c r="E241" s="243"/>
      <c r="F241" s="243"/>
      <c r="G241" s="14"/>
      <c r="H241" s="14"/>
      <c r="I241" s="243"/>
      <c r="J241" s="243"/>
      <c r="K241" s="243"/>
      <c r="L241" s="10"/>
      <c r="M241" s="1779"/>
      <c r="N241" s="14"/>
      <c r="O241" s="705"/>
      <c r="P241" s="393"/>
      <c r="Q241" s="392">
        <v>1</v>
      </c>
      <c r="R241" s="65"/>
      <c r="S241" s="243"/>
      <c r="T241" s="65"/>
      <c r="U241" s="65"/>
      <c r="V241" s="65"/>
      <c r="W241" s="63"/>
      <c r="X241" s="64"/>
      <c r="Y241" s="64"/>
      <c r="Z241" s="64"/>
      <c r="AA241" s="64"/>
      <c r="AB241" s="64"/>
      <c r="AC241" s="64"/>
      <c r="AD241" s="64"/>
      <c r="AE241" s="64"/>
      <c r="AF241" s="65"/>
      <c r="AG241" s="65"/>
      <c r="AH241" s="65"/>
      <c r="AI241" s="65"/>
      <c r="AJ241" s="65"/>
      <c r="AK241" s="65"/>
      <c r="AL241" s="65"/>
      <c r="AM241" s="65"/>
      <c r="AN241" s="65"/>
      <c r="AO241" s="65"/>
      <c r="AP241" s="65"/>
      <c r="AQ241" s="65"/>
      <c r="AR241" s="65"/>
      <c r="AS241" s="66"/>
      <c r="AT241" s="66"/>
      <c r="AU241" s="66"/>
      <c r="AV241" s="66"/>
      <c r="AW241" s="41"/>
      <c r="AX241" s="41"/>
      <c r="AY241" s="41"/>
      <c r="AZ241" s="41"/>
      <c r="BA241" s="41"/>
      <c r="BB241" s="41"/>
      <c r="BC241" s="41"/>
      <c r="BD241" s="41"/>
      <c r="BE241" s="41"/>
      <c r="BF241" s="41"/>
      <c r="BG241" s="41"/>
      <c r="BH241" s="41"/>
      <c r="BI241" s="41"/>
      <c r="BJ241" s="41"/>
      <c r="BK241" s="41"/>
      <c r="BL241" s="41"/>
      <c r="BM241" s="41"/>
      <c r="BN241" s="41"/>
      <c r="BO241" s="41"/>
      <c r="BP241" s="41"/>
      <c r="BQ241" s="41"/>
      <c r="BR241" s="41"/>
      <c r="BS241" s="41"/>
      <c r="BT241" s="41"/>
      <c r="BU241" s="41"/>
      <c r="BV241" s="41"/>
      <c r="BW241" s="41"/>
      <c r="BX241" s="41"/>
      <c r="BY241" s="41"/>
      <c r="BZ241" s="41"/>
      <c r="CA241" s="41"/>
      <c r="CB241" s="41"/>
      <c r="CC241" s="41"/>
      <c r="CD241" s="41"/>
      <c r="CE241" s="41"/>
      <c r="CF241" s="41"/>
      <c r="CG241" s="41"/>
      <c r="CH241" s="41"/>
      <c r="CI241" s="41"/>
      <c r="CJ241" s="41"/>
      <c r="CK241" s="41"/>
      <c r="CL241" s="41"/>
      <c r="CM241" s="41"/>
      <c r="CN241" s="41"/>
      <c r="CO241" s="41"/>
      <c r="CP241" s="41"/>
      <c r="CQ241" s="41"/>
      <c r="CR241" s="41"/>
      <c r="CS241" s="41"/>
      <c r="CT241" s="41"/>
      <c r="CU241" s="41"/>
      <c r="CV241" s="41"/>
      <c r="CW241" s="41"/>
      <c r="CX241" s="41"/>
      <c r="CY241" s="41"/>
      <c r="CZ241" s="41"/>
      <c r="DA241" s="51"/>
      <c r="DB241" s="51"/>
      <c r="DC241" s="51"/>
      <c r="DD241" s="51"/>
      <c r="DE241" s="51"/>
      <c r="DF241" s="51"/>
      <c r="DG241" s="51"/>
      <c r="DH241" s="51"/>
      <c r="DI241" s="51"/>
      <c r="DJ241" s="51"/>
      <c r="DK241" s="51"/>
      <c r="DL241" s="51"/>
      <c r="DM241" s="51"/>
      <c r="DN241" s="51"/>
      <c r="DO241" s="51"/>
      <c r="DP241" s="51"/>
      <c r="DQ241" s="51"/>
      <c r="DR241" s="51"/>
      <c r="DS241" s="51"/>
      <c r="DT241" s="51"/>
      <c r="DU241" s="51"/>
      <c r="DV241" s="51"/>
      <c r="DW241" s="51"/>
      <c r="DX241" s="51"/>
      <c r="DY241" s="51"/>
      <c r="DZ241" s="51"/>
      <c r="EA241" s="51"/>
      <c r="EB241" s="51"/>
      <c r="EC241" s="51"/>
      <c r="ED241" s="51"/>
      <c r="EE241" s="51"/>
      <c r="EF241" s="51"/>
      <c r="EG241" s="51"/>
      <c r="EH241" s="51"/>
      <c r="EI241" s="51"/>
      <c r="EJ241" s="40"/>
      <c r="EK241" s="40"/>
      <c r="EL241" s="40"/>
      <c r="EM241" s="40"/>
      <c r="EN241" s="40"/>
      <c r="EO241" s="40"/>
      <c r="EP241" s="40"/>
      <c r="EQ241" s="40"/>
      <c r="ER241" s="40"/>
      <c r="ES241" s="40"/>
      <c r="ET241" s="40"/>
      <c r="EU241" s="40"/>
      <c r="EV241" s="40"/>
      <c r="EW241" s="40"/>
      <c r="EX241" s="40"/>
      <c r="EY241" s="40"/>
      <c r="EZ241" s="40"/>
      <c r="FA241" s="40"/>
      <c r="FB241" s="40"/>
      <c r="FC241" s="40"/>
      <c r="FD241" s="40"/>
      <c r="FE241" s="40"/>
      <c r="FF241" s="40"/>
      <c r="FG241" s="40"/>
      <c r="FH241" s="40"/>
      <c r="FI241" s="40"/>
      <c r="FJ241" s="40"/>
      <c r="FK241" s="40"/>
      <c r="FL241" s="40"/>
      <c r="FM241" s="40"/>
      <c r="FN241" s="40"/>
      <c r="FO241" s="40"/>
      <c r="FP241" s="40"/>
      <c r="FQ241" s="40"/>
      <c r="FR241" s="40"/>
      <c r="FS241" s="40"/>
    </row>
    <row r="242" spans="1:175" s="13" customFormat="1" ht="2.25" customHeight="1">
      <c r="A242" s="113"/>
      <c r="B242" s="495" t="s">
        <v>22</v>
      </c>
      <c r="C242" s="136" t="s">
        <v>22</v>
      </c>
      <c r="D242" s="114"/>
      <c r="E242" s="114"/>
      <c r="F242" s="114"/>
      <c r="G242" s="114"/>
      <c r="H242" s="114"/>
      <c r="I242" s="115"/>
      <c r="J242" s="114"/>
      <c r="K242" s="114"/>
      <c r="L242" s="116"/>
      <c r="M242" s="116"/>
      <c r="N242" s="136"/>
      <c r="O242" s="452"/>
      <c r="P242" s="14"/>
      <c r="Q242" s="243"/>
      <c r="R242" s="65"/>
      <c r="S242" s="243"/>
      <c r="T242" s="65"/>
      <c r="U242" s="65"/>
      <c r="V242" s="65"/>
      <c r="W242" s="63"/>
      <c r="X242" s="64"/>
      <c r="Y242" s="64"/>
      <c r="Z242" s="64"/>
      <c r="AA242" s="64"/>
      <c r="AB242" s="64"/>
      <c r="AC242" s="64"/>
      <c r="AD242" s="64"/>
      <c r="AE242" s="64"/>
      <c r="AF242" s="65"/>
      <c r="AG242" s="65"/>
      <c r="AH242" s="65"/>
      <c r="AI242" s="65"/>
      <c r="AJ242" s="65"/>
      <c r="AK242" s="65"/>
      <c r="AL242" s="65"/>
      <c r="AM242" s="65"/>
      <c r="AN242" s="65"/>
      <c r="AO242" s="65"/>
      <c r="AP242" s="65"/>
      <c r="AQ242" s="65"/>
      <c r="AR242" s="65"/>
      <c r="AS242" s="66"/>
      <c r="AT242" s="66"/>
      <c r="AU242" s="66"/>
      <c r="AV242" s="66"/>
      <c r="AW242" s="41"/>
      <c r="AX242" s="41"/>
      <c r="AY242" s="41"/>
      <c r="AZ242" s="41"/>
      <c r="BA242" s="41"/>
      <c r="BB242" s="41"/>
      <c r="BC242" s="41"/>
      <c r="BD242" s="41"/>
      <c r="BE242" s="41"/>
      <c r="BF242" s="41"/>
      <c r="BG242" s="41"/>
      <c r="BH242" s="41"/>
      <c r="BI242" s="41"/>
      <c r="BJ242" s="41"/>
      <c r="BK242" s="41"/>
      <c r="BL242" s="41"/>
      <c r="BM242" s="41"/>
      <c r="BN242" s="41"/>
      <c r="BO242" s="41"/>
      <c r="BP242" s="41"/>
      <c r="BQ242" s="41"/>
      <c r="BR242" s="41"/>
      <c r="BS242" s="41"/>
      <c r="BT242" s="41"/>
      <c r="BU242" s="41"/>
      <c r="BV242" s="41"/>
      <c r="BW242" s="41"/>
      <c r="BX242" s="41"/>
      <c r="BY242" s="41"/>
      <c r="BZ242" s="41"/>
      <c r="CA242" s="41"/>
      <c r="CB242" s="41"/>
      <c r="CC242" s="41"/>
      <c r="CD242" s="41"/>
      <c r="CE242" s="41"/>
      <c r="CF242" s="41"/>
      <c r="CG242" s="41"/>
      <c r="CH242" s="41"/>
      <c r="CI242" s="41"/>
      <c r="CJ242" s="41"/>
      <c r="CK242" s="41"/>
      <c r="CL242" s="41"/>
      <c r="CM242" s="41"/>
      <c r="CN242" s="41"/>
      <c r="CO242" s="41"/>
      <c r="CP242" s="41"/>
      <c r="CQ242" s="41"/>
      <c r="CR242" s="41"/>
      <c r="CS242" s="41"/>
      <c r="CT242" s="41"/>
      <c r="CU242" s="41"/>
      <c r="CV242" s="41"/>
      <c r="CW242" s="41"/>
      <c r="CX242" s="41"/>
      <c r="CY242" s="41"/>
      <c r="CZ242" s="41"/>
      <c r="DA242" s="51"/>
      <c r="DB242" s="51"/>
      <c r="DC242" s="51"/>
      <c r="DD242" s="51"/>
      <c r="DE242" s="51"/>
      <c r="DF242" s="51"/>
      <c r="DG242" s="51"/>
      <c r="DH242" s="51"/>
      <c r="DI242" s="51"/>
      <c r="DJ242" s="51"/>
      <c r="DK242" s="51"/>
      <c r="DL242" s="51"/>
      <c r="DM242" s="51"/>
      <c r="DN242" s="51"/>
      <c r="DO242" s="51"/>
      <c r="DP242" s="51"/>
      <c r="DQ242" s="51"/>
      <c r="DR242" s="51"/>
      <c r="DS242" s="51"/>
      <c r="DT242" s="51"/>
      <c r="DU242" s="51"/>
      <c r="DV242" s="51"/>
      <c r="DW242" s="51"/>
      <c r="DX242" s="51"/>
      <c r="DY242" s="51"/>
      <c r="DZ242" s="51"/>
      <c r="EA242" s="51"/>
      <c r="EB242" s="51"/>
      <c r="EC242" s="51"/>
      <c r="ED242" s="51"/>
      <c r="EE242" s="51"/>
      <c r="EF242" s="51"/>
      <c r="EG242" s="51"/>
      <c r="EH242" s="51"/>
      <c r="EI242" s="51"/>
      <c r="EJ242" s="40"/>
      <c r="EK242" s="40"/>
      <c r="EL242" s="40"/>
      <c r="EM242" s="40"/>
      <c r="EN242" s="40"/>
      <c r="EO242" s="40"/>
      <c r="EP242" s="40"/>
      <c r="EQ242" s="40"/>
      <c r="ER242" s="40"/>
      <c r="ES242" s="40"/>
      <c r="ET242" s="40"/>
      <c r="EU242" s="40"/>
      <c r="EV242" s="40"/>
      <c r="EW242" s="40"/>
      <c r="EX242" s="40"/>
      <c r="EY242" s="40"/>
      <c r="EZ242" s="40"/>
      <c r="FA242" s="40"/>
      <c r="FB242" s="40"/>
      <c r="FC242" s="40"/>
      <c r="FD242" s="40"/>
      <c r="FE242" s="40"/>
      <c r="FF242" s="40"/>
      <c r="FG242" s="40"/>
      <c r="FH242" s="40"/>
      <c r="FI242" s="40"/>
      <c r="FJ242" s="40"/>
      <c r="FK242" s="40"/>
      <c r="FL242" s="40"/>
      <c r="FM242" s="40"/>
      <c r="FN242" s="40"/>
      <c r="FO242" s="40"/>
      <c r="FP242" s="40"/>
      <c r="FQ242" s="40"/>
      <c r="FR242" s="40"/>
      <c r="FS242" s="40"/>
    </row>
    <row r="243" spans="1:175" s="13" customFormat="1" ht="9.75" customHeight="1">
      <c r="A243" s="145"/>
      <c r="B243" s="497"/>
      <c r="C243" s="140" t="s">
        <v>22</v>
      </c>
      <c r="D243" s="140" t="s">
        <v>22</v>
      </c>
      <c r="E243" s="140" t="s">
        <v>22</v>
      </c>
      <c r="F243" s="140" t="s">
        <v>22</v>
      </c>
      <c r="G243" s="140" t="s">
        <v>22</v>
      </c>
      <c r="H243" s="140" t="s">
        <v>22</v>
      </c>
      <c r="I243" s="142" t="s">
        <v>22</v>
      </c>
      <c r="J243" s="140" t="s">
        <v>22</v>
      </c>
      <c r="K243" s="140"/>
      <c r="L243" s="143" t="s">
        <v>22</v>
      </c>
      <c r="M243" s="143" t="s">
        <v>22</v>
      </c>
      <c r="N243" s="144" t="s">
        <v>22</v>
      </c>
      <c r="O243" s="144" t="s">
        <v>22</v>
      </c>
      <c r="P243" s="14"/>
      <c r="Q243" s="243"/>
      <c r="R243" s="65"/>
      <c r="S243" s="243"/>
      <c r="T243" s="65"/>
      <c r="U243" s="65"/>
      <c r="V243" s="65"/>
      <c r="W243" s="63"/>
      <c r="X243" s="64"/>
      <c r="Y243" s="64"/>
      <c r="Z243" s="64"/>
      <c r="AA243" s="64"/>
      <c r="AB243" s="64"/>
      <c r="AC243" s="64"/>
      <c r="AD243" s="64"/>
      <c r="AE243" s="64"/>
      <c r="AF243" s="65"/>
      <c r="AG243" s="65"/>
      <c r="AH243" s="65"/>
      <c r="AI243" s="65"/>
      <c r="AJ243" s="65"/>
      <c r="AK243" s="65"/>
      <c r="AL243" s="65"/>
      <c r="AM243" s="65"/>
      <c r="AN243" s="65"/>
      <c r="AO243" s="65"/>
      <c r="AP243" s="65"/>
      <c r="AQ243" s="65"/>
      <c r="AR243" s="65"/>
      <c r="AS243" s="66"/>
      <c r="AT243" s="66"/>
      <c r="AU243" s="66"/>
      <c r="AV243" s="66"/>
      <c r="AW243" s="41"/>
      <c r="AX243" s="41"/>
      <c r="AY243" s="41"/>
      <c r="AZ243" s="41"/>
      <c r="BA243" s="41"/>
      <c r="BB243" s="41"/>
      <c r="BC243" s="41"/>
      <c r="BD243" s="41"/>
      <c r="BE243" s="41"/>
      <c r="BF243" s="41"/>
      <c r="BG243" s="41"/>
      <c r="BH243" s="41"/>
      <c r="BI243" s="41"/>
      <c r="BJ243" s="41"/>
      <c r="BK243" s="41"/>
      <c r="BL243" s="41"/>
      <c r="BM243" s="41"/>
      <c r="BN243" s="41"/>
      <c r="BO243" s="41"/>
      <c r="BP243" s="41"/>
      <c r="BQ243" s="41"/>
      <c r="BR243" s="41"/>
      <c r="BS243" s="41"/>
      <c r="BT243" s="41"/>
      <c r="BU243" s="41"/>
      <c r="BV243" s="41"/>
      <c r="BW243" s="41"/>
      <c r="BX243" s="41"/>
      <c r="BY243" s="41"/>
      <c r="BZ243" s="41"/>
      <c r="CA243" s="41"/>
      <c r="CB243" s="41"/>
      <c r="CC243" s="41"/>
      <c r="CD243" s="41"/>
      <c r="CE243" s="41"/>
      <c r="CF243" s="41"/>
      <c r="CG243" s="41"/>
      <c r="CH243" s="41"/>
      <c r="CI243" s="41"/>
      <c r="CJ243" s="41"/>
      <c r="CK243" s="41"/>
      <c r="CL243" s="41"/>
      <c r="CM243" s="41"/>
      <c r="CN243" s="41"/>
      <c r="CO243" s="41"/>
      <c r="CP243" s="41"/>
      <c r="CQ243" s="41"/>
      <c r="CR243" s="41"/>
      <c r="CS243" s="41"/>
      <c r="CT243" s="41"/>
      <c r="CU243" s="41"/>
      <c r="CV243" s="41"/>
      <c r="CW243" s="41"/>
      <c r="CX243" s="41"/>
      <c r="CY243" s="41"/>
      <c r="CZ243" s="41"/>
      <c r="DA243" s="51"/>
      <c r="DB243" s="51"/>
      <c r="DC243" s="51"/>
      <c r="DD243" s="51"/>
      <c r="DE243" s="51"/>
      <c r="DF243" s="51"/>
      <c r="DG243" s="51"/>
      <c r="DH243" s="51"/>
      <c r="DI243" s="51"/>
      <c r="DJ243" s="51"/>
      <c r="DK243" s="51"/>
      <c r="DL243" s="51"/>
      <c r="DM243" s="51"/>
      <c r="DN243" s="51"/>
      <c r="DO243" s="51"/>
      <c r="DP243" s="51"/>
      <c r="DQ243" s="51"/>
      <c r="DR243" s="51"/>
      <c r="DS243" s="51"/>
      <c r="DT243" s="51"/>
      <c r="DU243" s="51"/>
      <c r="DV243" s="51"/>
      <c r="DW243" s="51"/>
      <c r="DX243" s="51"/>
      <c r="DY243" s="51"/>
      <c r="DZ243" s="51"/>
      <c r="EA243" s="51"/>
      <c r="EB243" s="51"/>
      <c r="EC243" s="51"/>
      <c r="ED243" s="51"/>
      <c r="EE243" s="51"/>
      <c r="EF243" s="51"/>
      <c r="EG243" s="51"/>
      <c r="EH243" s="51"/>
      <c r="EI243" s="51"/>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row>
    <row r="244" spans="1:175" s="13" customFormat="1" ht="9.75" customHeight="1">
      <c r="A244" s="139"/>
      <c r="B244" s="497"/>
      <c r="C244" s="140"/>
      <c r="D244" s="141"/>
      <c r="E244" s="141"/>
      <c r="F244" s="141"/>
      <c r="G244" s="141"/>
      <c r="H244" s="141"/>
      <c r="I244" s="142"/>
      <c r="J244" s="141"/>
      <c r="K244" s="141"/>
      <c r="L244" s="143"/>
      <c r="M244" s="143"/>
      <c r="N244" s="144"/>
      <c r="O244" s="144"/>
      <c r="P244" s="14"/>
      <c r="Q244" s="243"/>
      <c r="R244" s="65"/>
      <c r="S244" s="243"/>
      <c r="T244" s="65"/>
      <c r="U244" s="65"/>
      <c r="V244" s="65"/>
      <c r="W244" s="63"/>
      <c r="X244" s="64"/>
      <c r="Y244" s="64"/>
      <c r="Z244" s="64"/>
      <c r="AA244" s="64"/>
      <c r="AB244" s="64"/>
      <c r="AC244" s="64"/>
      <c r="AD244" s="64"/>
      <c r="AE244" s="64"/>
      <c r="AF244" s="65"/>
      <c r="AG244" s="65"/>
      <c r="AH244" s="65"/>
      <c r="AI244" s="65"/>
      <c r="AJ244" s="65"/>
      <c r="AK244" s="65"/>
      <c r="AL244" s="65"/>
      <c r="AM244" s="65"/>
      <c r="AN244" s="65"/>
      <c r="AO244" s="65"/>
      <c r="AP244" s="65"/>
      <c r="AQ244" s="65"/>
      <c r="AR244" s="65"/>
      <c r="AS244" s="66"/>
      <c r="AT244" s="66"/>
      <c r="AU244" s="66"/>
      <c r="AV244" s="66"/>
      <c r="AW244" s="41"/>
      <c r="AX244" s="41"/>
      <c r="AY244" s="41"/>
      <c r="AZ244" s="41"/>
      <c r="BA244" s="41"/>
      <c r="BB244" s="41"/>
      <c r="BC244" s="41"/>
      <c r="BD244" s="41"/>
      <c r="BE244" s="41"/>
      <c r="BF244" s="41"/>
      <c r="BG244" s="41"/>
      <c r="BH244" s="41"/>
      <c r="BI244" s="41"/>
      <c r="BJ244" s="41"/>
      <c r="BK244" s="41"/>
      <c r="BL244" s="41"/>
      <c r="BM244" s="41"/>
      <c r="BN244" s="41"/>
      <c r="BO244" s="41"/>
      <c r="BP244" s="41"/>
      <c r="BQ244" s="41"/>
      <c r="BR244" s="41"/>
      <c r="BS244" s="41"/>
      <c r="BT244" s="41"/>
      <c r="BU244" s="41"/>
      <c r="BV244" s="41"/>
      <c r="BW244" s="41"/>
      <c r="BX244" s="41"/>
      <c r="BY244" s="41"/>
      <c r="BZ244" s="41"/>
      <c r="CA244" s="41"/>
      <c r="CB244" s="41"/>
      <c r="CC244" s="41"/>
      <c r="CD244" s="41"/>
      <c r="CE244" s="41"/>
      <c r="CF244" s="41"/>
      <c r="CG244" s="41"/>
      <c r="CH244" s="41"/>
      <c r="CI244" s="41"/>
      <c r="CJ244" s="41"/>
      <c r="CK244" s="41"/>
      <c r="CL244" s="41"/>
      <c r="CM244" s="41"/>
      <c r="CN244" s="41"/>
      <c r="CO244" s="41"/>
      <c r="CP244" s="41"/>
      <c r="CQ244" s="41"/>
      <c r="CR244" s="41"/>
      <c r="CS244" s="41"/>
      <c r="CT244" s="41"/>
      <c r="CU244" s="41"/>
      <c r="CV244" s="41"/>
      <c r="CW244" s="41"/>
      <c r="CX244" s="41"/>
      <c r="CY244" s="41"/>
      <c r="CZ244" s="41"/>
      <c r="DA244" s="51"/>
      <c r="DB244" s="51"/>
      <c r="DC244" s="51"/>
      <c r="DD244" s="51"/>
      <c r="DE244" s="51"/>
      <c r="DF244" s="51"/>
      <c r="DG244" s="51"/>
      <c r="DH244" s="51"/>
      <c r="DI244" s="51"/>
      <c r="DJ244" s="51"/>
      <c r="DK244" s="51"/>
      <c r="DL244" s="51"/>
      <c r="DM244" s="51"/>
      <c r="DN244" s="51"/>
      <c r="DO244" s="51"/>
      <c r="DP244" s="51"/>
      <c r="DQ244" s="51"/>
      <c r="DR244" s="51"/>
      <c r="DS244" s="51"/>
      <c r="DT244" s="51"/>
      <c r="DU244" s="51"/>
      <c r="DV244" s="51"/>
      <c r="DW244" s="51"/>
      <c r="DX244" s="51"/>
      <c r="DY244" s="51"/>
      <c r="DZ244" s="51"/>
      <c r="EA244" s="51"/>
      <c r="EB244" s="51"/>
      <c r="EC244" s="51"/>
      <c r="ED244" s="51"/>
      <c r="EE244" s="51"/>
      <c r="EF244" s="51"/>
      <c r="EG244" s="51"/>
      <c r="EH244" s="51"/>
      <c r="EI244" s="51"/>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row>
    <row r="245" spans="1:175" s="13" customFormat="1" ht="9.75" hidden="1" customHeight="1">
      <c r="A245" s="139"/>
      <c r="B245" s="497"/>
      <c r="C245" s="140"/>
      <c r="D245" s="141"/>
      <c r="E245" s="141"/>
      <c r="F245" s="141"/>
      <c r="G245" s="141"/>
      <c r="H245" s="141"/>
      <c r="I245" s="142"/>
      <c r="J245" s="141"/>
      <c r="K245" s="141"/>
      <c r="L245" s="143"/>
      <c r="M245" s="143"/>
      <c r="N245" s="144"/>
      <c r="O245" s="144"/>
      <c r="P245" s="14"/>
      <c r="Q245" s="243"/>
      <c r="R245" s="65"/>
      <c r="S245" s="243"/>
      <c r="T245" s="65"/>
      <c r="U245" s="65"/>
      <c r="V245" s="65"/>
      <c r="W245" s="63"/>
      <c r="X245" s="64"/>
      <c r="Y245" s="64"/>
      <c r="Z245" s="64"/>
      <c r="AA245" s="64"/>
      <c r="AB245" s="64"/>
      <c r="AC245" s="64"/>
      <c r="AD245" s="64"/>
      <c r="AE245" s="64"/>
      <c r="AF245" s="65"/>
      <c r="AG245" s="65"/>
      <c r="AH245" s="65"/>
      <c r="AI245" s="65"/>
      <c r="AJ245" s="65"/>
      <c r="AK245" s="65"/>
      <c r="AL245" s="65"/>
      <c r="AM245" s="65"/>
      <c r="AN245" s="65"/>
      <c r="AO245" s="65"/>
      <c r="AP245" s="65"/>
      <c r="AQ245" s="65"/>
      <c r="AR245" s="65"/>
      <c r="AS245" s="66"/>
      <c r="AT245" s="66"/>
      <c r="AU245" s="66"/>
      <c r="AV245" s="66"/>
      <c r="AW245" s="41"/>
      <c r="AX245" s="41"/>
      <c r="AY245" s="41"/>
      <c r="AZ245" s="41"/>
      <c r="BA245" s="41"/>
      <c r="BB245" s="41"/>
      <c r="BC245" s="41"/>
      <c r="BD245" s="41"/>
      <c r="BE245" s="41"/>
      <c r="BF245" s="41"/>
      <c r="BG245" s="41"/>
      <c r="BH245" s="41"/>
      <c r="BI245" s="41"/>
      <c r="BJ245" s="41"/>
      <c r="BK245" s="41"/>
      <c r="BL245" s="41"/>
      <c r="BM245" s="41"/>
      <c r="BN245" s="41"/>
      <c r="BO245" s="41"/>
      <c r="BP245" s="41"/>
      <c r="BQ245" s="41"/>
      <c r="BR245" s="41"/>
      <c r="BS245" s="41"/>
      <c r="BT245" s="41"/>
      <c r="BU245" s="41"/>
      <c r="BV245" s="41"/>
      <c r="BW245" s="41"/>
      <c r="BX245" s="41"/>
      <c r="BY245" s="41"/>
      <c r="BZ245" s="41"/>
      <c r="CA245" s="41"/>
      <c r="CB245" s="41"/>
      <c r="CC245" s="41"/>
      <c r="CD245" s="41"/>
      <c r="CE245" s="41"/>
      <c r="CF245" s="41"/>
      <c r="CG245" s="41"/>
      <c r="CH245" s="41"/>
      <c r="CI245" s="41"/>
      <c r="CJ245" s="41"/>
      <c r="CK245" s="41"/>
      <c r="CL245" s="41"/>
      <c r="CM245" s="41"/>
      <c r="CN245" s="41"/>
      <c r="CO245" s="41"/>
      <c r="CP245" s="41"/>
      <c r="CQ245" s="41"/>
      <c r="CR245" s="41"/>
      <c r="CS245" s="41"/>
      <c r="CT245" s="41"/>
      <c r="CU245" s="41"/>
      <c r="CV245" s="41"/>
      <c r="CW245" s="41"/>
      <c r="CX245" s="41"/>
      <c r="CY245" s="41"/>
      <c r="CZ245" s="41"/>
      <c r="DA245" s="51"/>
      <c r="DB245" s="51"/>
      <c r="DC245" s="51"/>
      <c r="DD245" s="51"/>
      <c r="DE245" s="51"/>
      <c r="DF245" s="51"/>
      <c r="DG245" s="51"/>
      <c r="DH245" s="51"/>
      <c r="DI245" s="51"/>
      <c r="DJ245" s="51"/>
      <c r="DK245" s="51"/>
      <c r="DL245" s="51"/>
      <c r="DM245" s="51"/>
      <c r="DN245" s="51"/>
      <c r="DO245" s="51"/>
      <c r="DP245" s="51"/>
      <c r="DQ245" s="51"/>
      <c r="DR245" s="51"/>
      <c r="DS245" s="51"/>
      <c r="DT245" s="51"/>
      <c r="DU245" s="51"/>
      <c r="DV245" s="51"/>
      <c r="DW245" s="51"/>
      <c r="DX245" s="51"/>
      <c r="DY245" s="51"/>
      <c r="DZ245" s="51"/>
      <c r="EA245" s="51"/>
      <c r="EB245" s="51"/>
      <c r="EC245" s="51"/>
      <c r="ED245" s="51"/>
      <c r="EE245" s="51"/>
      <c r="EF245" s="51"/>
      <c r="EG245" s="51"/>
      <c r="EH245" s="51"/>
      <c r="EI245" s="51"/>
      <c r="EJ245" s="40"/>
      <c r="EK245" s="40"/>
      <c r="EL245" s="40"/>
      <c r="EM245" s="40"/>
      <c r="EN245" s="40"/>
      <c r="EO245" s="40"/>
      <c r="EP245" s="40"/>
      <c r="EQ245" s="40"/>
      <c r="ER245" s="40"/>
      <c r="ES245" s="40"/>
      <c r="ET245" s="40"/>
      <c r="EU245" s="40"/>
      <c r="EV245" s="40"/>
      <c r="EW245" s="40"/>
      <c r="EX245" s="40"/>
      <c r="EY245" s="40"/>
      <c r="EZ245" s="40"/>
      <c r="FA245" s="40"/>
      <c r="FB245" s="40"/>
      <c r="FC245" s="40"/>
      <c r="FD245" s="40"/>
      <c r="FE245" s="40"/>
      <c r="FF245" s="40"/>
      <c r="FG245" s="40"/>
      <c r="FH245" s="40"/>
      <c r="FI245" s="40"/>
      <c r="FJ245" s="40"/>
      <c r="FK245" s="40"/>
      <c r="FL245" s="40"/>
      <c r="FM245" s="40"/>
      <c r="FN245" s="40"/>
      <c r="FO245" s="40"/>
      <c r="FP245" s="40"/>
      <c r="FQ245" s="40"/>
      <c r="FR245" s="40"/>
      <c r="FS245" s="40"/>
    </row>
    <row r="246" spans="1:175" s="13" customFormat="1" ht="9.75" hidden="1" customHeight="1">
      <c r="A246" s="139"/>
      <c r="B246" s="497"/>
      <c r="C246" s="140"/>
      <c r="D246" s="141"/>
      <c r="E246" s="141"/>
      <c r="F246" s="141"/>
      <c r="G246" s="141"/>
      <c r="H246" s="141"/>
      <c r="I246" s="142"/>
      <c r="J246" s="141"/>
      <c r="K246" s="141"/>
      <c r="L246" s="143"/>
      <c r="M246" s="143"/>
      <c r="N246" s="144"/>
      <c r="O246" s="144"/>
      <c r="P246" s="14"/>
      <c r="Q246" s="243"/>
      <c r="R246" s="65"/>
      <c r="S246" s="243"/>
      <c r="T246" s="65"/>
      <c r="U246" s="65"/>
      <c r="V246" s="65"/>
      <c r="W246" s="63"/>
      <c r="X246" s="64"/>
      <c r="Y246" s="64"/>
      <c r="Z246" s="64"/>
      <c r="AA246" s="64"/>
      <c r="AB246" s="64"/>
      <c r="AC246" s="64"/>
      <c r="AD246" s="64"/>
      <c r="AE246" s="64"/>
      <c r="AF246" s="65"/>
      <c r="AG246" s="65"/>
      <c r="AH246" s="65"/>
      <c r="AI246" s="65"/>
      <c r="AJ246" s="65"/>
      <c r="AK246" s="65"/>
      <c r="AL246" s="65"/>
      <c r="AM246" s="65"/>
      <c r="AN246" s="65"/>
      <c r="AO246" s="65"/>
      <c r="AP246" s="65"/>
      <c r="AQ246" s="65"/>
      <c r="AR246" s="65"/>
      <c r="AS246" s="66"/>
      <c r="AT246" s="66"/>
      <c r="AU246" s="66"/>
      <c r="AV246" s="66"/>
      <c r="AW246" s="41"/>
      <c r="AX246" s="41"/>
      <c r="AY246" s="41"/>
      <c r="AZ246" s="41"/>
      <c r="BA246" s="41"/>
      <c r="BB246" s="41"/>
      <c r="BC246" s="41"/>
      <c r="BD246" s="41"/>
      <c r="BE246" s="41"/>
      <c r="BF246" s="41"/>
      <c r="BG246" s="41"/>
      <c r="BH246" s="41"/>
      <c r="BI246" s="41"/>
      <c r="BJ246" s="41"/>
      <c r="BK246" s="41"/>
      <c r="BL246" s="41"/>
      <c r="BM246" s="41"/>
      <c r="BN246" s="41"/>
      <c r="BO246" s="41"/>
      <c r="BP246" s="41"/>
      <c r="BQ246" s="41"/>
      <c r="BR246" s="41"/>
      <c r="BS246" s="41"/>
      <c r="BT246" s="41"/>
      <c r="BU246" s="41"/>
      <c r="BV246" s="41"/>
      <c r="BW246" s="41"/>
      <c r="BX246" s="41"/>
      <c r="BY246" s="41"/>
      <c r="BZ246" s="41"/>
      <c r="CA246" s="41"/>
      <c r="CB246" s="41"/>
      <c r="CC246" s="41"/>
      <c r="CD246" s="41"/>
      <c r="CE246" s="41"/>
      <c r="CF246" s="41"/>
      <c r="CG246" s="41"/>
      <c r="CH246" s="41"/>
      <c r="CI246" s="41"/>
      <c r="CJ246" s="41"/>
      <c r="CK246" s="41"/>
      <c r="CL246" s="41"/>
      <c r="CM246" s="41"/>
      <c r="CN246" s="41"/>
      <c r="CO246" s="41"/>
      <c r="CP246" s="41"/>
      <c r="CQ246" s="41"/>
      <c r="CR246" s="41"/>
      <c r="CS246" s="41"/>
      <c r="CT246" s="41"/>
      <c r="CU246" s="41"/>
      <c r="CV246" s="41"/>
      <c r="CW246" s="41"/>
      <c r="CX246" s="41"/>
      <c r="CY246" s="41"/>
      <c r="CZ246" s="41"/>
      <c r="DA246" s="51"/>
      <c r="DB246" s="51"/>
      <c r="DC246" s="51"/>
      <c r="DD246" s="51"/>
      <c r="DE246" s="51"/>
      <c r="DF246" s="51"/>
      <c r="DG246" s="51"/>
      <c r="DH246" s="51"/>
      <c r="DI246" s="51"/>
      <c r="DJ246" s="51"/>
      <c r="DK246" s="51"/>
      <c r="DL246" s="51"/>
      <c r="DM246" s="51"/>
      <c r="DN246" s="51"/>
      <c r="DO246" s="51"/>
      <c r="DP246" s="51"/>
      <c r="DQ246" s="51"/>
      <c r="DR246" s="51"/>
      <c r="DS246" s="51"/>
      <c r="DT246" s="51"/>
      <c r="DU246" s="51"/>
      <c r="DV246" s="51"/>
      <c r="DW246" s="51"/>
      <c r="DX246" s="51"/>
      <c r="DY246" s="51"/>
      <c r="DZ246" s="51"/>
      <c r="EA246" s="51"/>
      <c r="EB246" s="51"/>
      <c r="EC246" s="51"/>
      <c r="ED246" s="51"/>
      <c r="EE246" s="51"/>
      <c r="EF246" s="51"/>
      <c r="EG246" s="51"/>
      <c r="EH246" s="51"/>
      <c r="EI246" s="51"/>
      <c r="EJ246" s="40"/>
      <c r="EK246" s="40"/>
      <c r="EL246" s="40"/>
      <c r="EM246" s="40"/>
      <c r="EN246" s="40"/>
      <c r="EO246" s="40"/>
      <c r="EP246" s="40"/>
      <c r="EQ246" s="40"/>
      <c r="ER246" s="40"/>
      <c r="ES246" s="40"/>
      <c r="ET246" s="40"/>
      <c r="EU246" s="40"/>
      <c r="EV246" s="40"/>
      <c r="EW246" s="40"/>
      <c r="EX246" s="40"/>
      <c r="EY246" s="40"/>
      <c r="EZ246" s="40"/>
      <c r="FA246" s="40"/>
      <c r="FB246" s="40"/>
      <c r="FC246" s="40"/>
      <c r="FD246" s="40"/>
      <c r="FE246" s="40"/>
      <c r="FF246" s="40"/>
      <c r="FG246" s="40"/>
      <c r="FH246" s="40"/>
      <c r="FI246" s="40"/>
      <c r="FJ246" s="40"/>
      <c r="FK246" s="40"/>
      <c r="FL246" s="40"/>
      <c r="FM246" s="40"/>
      <c r="FN246" s="40"/>
      <c r="FO246" s="40"/>
      <c r="FP246" s="40"/>
      <c r="FQ246" s="40"/>
      <c r="FR246" s="40"/>
      <c r="FS246" s="40"/>
    </row>
    <row r="247" spans="1:175" s="13" customFormat="1" ht="9.75" hidden="1" customHeight="1">
      <c r="A247" s="139"/>
      <c r="B247" s="497"/>
      <c r="C247" s="140"/>
      <c r="D247" s="141"/>
      <c r="E247" s="141"/>
      <c r="F247" s="141"/>
      <c r="G247" s="141"/>
      <c r="H247" s="141"/>
      <c r="I247" s="142"/>
      <c r="J247" s="141"/>
      <c r="K247" s="141"/>
      <c r="L247" s="143"/>
      <c r="M247" s="143"/>
      <c r="N247" s="144"/>
      <c r="O247" s="144"/>
      <c r="P247" s="14"/>
      <c r="Q247" s="243"/>
      <c r="R247" s="65"/>
      <c r="S247" s="243"/>
      <c r="T247" s="65"/>
      <c r="U247" s="65"/>
      <c r="V247" s="65"/>
      <c r="W247" s="63"/>
      <c r="X247" s="64"/>
      <c r="Y247" s="64"/>
      <c r="Z247" s="64"/>
      <c r="AA247" s="64"/>
      <c r="AB247" s="64"/>
      <c r="AC247" s="64"/>
      <c r="AD247" s="64"/>
      <c r="AE247" s="64"/>
      <c r="AF247" s="65"/>
      <c r="AG247" s="65"/>
      <c r="AH247" s="65"/>
      <c r="AI247" s="65"/>
      <c r="AJ247" s="65"/>
      <c r="AK247" s="65"/>
      <c r="AL247" s="65"/>
      <c r="AM247" s="65"/>
      <c r="AN247" s="65"/>
      <c r="AO247" s="65"/>
      <c r="AP247" s="65"/>
      <c r="AQ247" s="65"/>
      <c r="AR247" s="65"/>
      <c r="AS247" s="66"/>
      <c r="AT247" s="66"/>
      <c r="AU247" s="66"/>
      <c r="AV247" s="66"/>
      <c r="AW247" s="41"/>
      <c r="AX247" s="41"/>
      <c r="AY247" s="41"/>
      <c r="AZ247" s="41"/>
      <c r="BA247" s="41"/>
      <c r="BB247" s="41"/>
      <c r="BC247" s="41"/>
      <c r="BD247" s="41"/>
      <c r="BE247" s="41"/>
      <c r="BF247" s="41"/>
      <c r="BG247" s="41"/>
      <c r="BH247" s="41"/>
      <c r="BI247" s="41"/>
      <c r="BJ247" s="41"/>
      <c r="BK247" s="41"/>
      <c r="BL247" s="41"/>
      <c r="BM247" s="41"/>
      <c r="BN247" s="41"/>
      <c r="BO247" s="41"/>
      <c r="BP247" s="41"/>
      <c r="BQ247" s="41"/>
      <c r="BR247" s="41"/>
      <c r="BS247" s="41"/>
      <c r="BT247" s="41"/>
      <c r="BU247" s="41"/>
      <c r="BV247" s="41"/>
      <c r="BW247" s="41"/>
      <c r="BX247" s="41"/>
      <c r="BY247" s="41"/>
      <c r="BZ247" s="41"/>
      <c r="CA247" s="41"/>
      <c r="CB247" s="41"/>
      <c r="CC247" s="41"/>
      <c r="CD247" s="41"/>
      <c r="CE247" s="41"/>
      <c r="CF247" s="41"/>
      <c r="CG247" s="41"/>
      <c r="CH247" s="41"/>
      <c r="CI247" s="41"/>
      <c r="CJ247" s="41"/>
      <c r="CK247" s="41"/>
      <c r="CL247" s="41"/>
      <c r="CM247" s="41"/>
      <c r="CN247" s="41"/>
      <c r="CO247" s="41"/>
      <c r="CP247" s="41"/>
      <c r="CQ247" s="41"/>
      <c r="CR247" s="41"/>
      <c r="CS247" s="41"/>
      <c r="CT247" s="41"/>
      <c r="CU247" s="41"/>
      <c r="CV247" s="41"/>
      <c r="CW247" s="41"/>
      <c r="CX247" s="41"/>
      <c r="CY247" s="41"/>
      <c r="CZ247" s="41"/>
      <c r="DA247" s="51"/>
      <c r="DB247" s="51"/>
      <c r="DC247" s="51"/>
      <c r="DD247" s="51"/>
      <c r="DE247" s="51"/>
      <c r="DF247" s="51"/>
      <c r="DG247" s="51"/>
      <c r="DH247" s="51"/>
      <c r="DI247" s="51"/>
      <c r="DJ247" s="51"/>
      <c r="DK247" s="51"/>
      <c r="DL247" s="51"/>
      <c r="DM247" s="51"/>
      <c r="DN247" s="51"/>
      <c r="DO247" s="51"/>
      <c r="DP247" s="51"/>
      <c r="DQ247" s="51"/>
      <c r="DR247" s="51"/>
      <c r="DS247" s="51"/>
      <c r="DT247" s="51"/>
      <c r="DU247" s="51"/>
      <c r="DV247" s="51"/>
      <c r="DW247" s="51"/>
      <c r="DX247" s="51"/>
      <c r="DY247" s="51"/>
      <c r="DZ247" s="51"/>
      <c r="EA247" s="51"/>
      <c r="EB247" s="51"/>
      <c r="EC247" s="51"/>
      <c r="ED247" s="51"/>
      <c r="EE247" s="51"/>
      <c r="EF247" s="51"/>
      <c r="EG247" s="51"/>
      <c r="EH247" s="51"/>
      <c r="EI247" s="51"/>
      <c r="EJ247" s="40"/>
      <c r="EK247" s="40"/>
      <c r="EL247" s="40"/>
      <c r="EM247" s="40"/>
      <c r="EN247" s="40"/>
      <c r="EO247" s="40"/>
      <c r="EP247" s="40"/>
      <c r="EQ247" s="40"/>
      <c r="ER247" s="40"/>
      <c r="ES247" s="40"/>
      <c r="ET247" s="40"/>
      <c r="EU247" s="40"/>
      <c r="EV247" s="40"/>
      <c r="EW247" s="40"/>
      <c r="EX247" s="40"/>
      <c r="EY247" s="40"/>
      <c r="EZ247" s="40"/>
      <c r="FA247" s="40"/>
      <c r="FB247" s="40"/>
      <c r="FC247" s="40"/>
      <c r="FD247" s="40"/>
      <c r="FE247" s="40"/>
      <c r="FF247" s="40"/>
      <c r="FG247" s="40"/>
      <c r="FH247" s="40"/>
      <c r="FI247" s="40"/>
      <c r="FJ247" s="40"/>
      <c r="FK247" s="40"/>
      <c r="FL247" s="40"/>
      <c r="FM247" s="40"/>
      <c r="FN247" s="40"/>
      <c r="FO247" s="40"/>
      <c r="FP247" s="40"/>
      <c r="FQ247" s="40"/>
      <c r="FR247" s="40"/>
      <c r="FS247" s="40"/>
    </row>
    <row r="248" spans="1:175" s="13" customFormat="1" ht="9.75" hidden="1" customHeight="1">
      <c r="A248" s="139"/>
      <c r="B248" s="497"/>
      <c r="C248" s="140"/>
      <c r="D248" s="141"/>
      <c r="E248" s="141"/>
      <c r="F248" s="141"/>
      <c r="G248" s="141"/>
      <c r="H248" s="141"/>
      <c r="I248" s="142"/>
      <c r="J248" s="141"/>
      <c r="K248" s="141"/>
      <c r="L248" s="143"/>
      <c r="M248" s="143"/>
      <c r="N248" s="144"/>
      <c r="O248" s="144"/>
      <c r="P248" s="14"/>
      <c r="Q248" s="243"/>
      <c r="R248" s="65"/>
      <c r="S248" s="243"/>
      <c r="T248" s="65"/>
      <c r="U248" s="65"/>
      <c r="V248" s="65"/>
      <c r="W248" s="63"/>
      <c r="X248" s="64"/>
      <c r="Y248" s="64"/>
      <c r="Z248" s="64"/>
      <c r="AA248" s="64"/>
      <c r="AB248" s="64"/>
      <c r="AC248" s="64"/>
      <c r="AD248" s="64"/>
      <c r="AE248" s="64"/>
      <c r="AF248" s="65"/>
      <c r="AG248" s="65"/>
      <c r="AH248" s="65"/>
      <c r="AI248" s="65"/>
      <c r="AJ248" s="65"/>
      <c r="AK248" s="65"/>
      <c r="AL248" s="65"/>
      <c r="AM248" s="65"/>
      <c r="AN248" s="65"/>
      <c r="AO248" s="65"/>
      <c r="AP248" s="65"/>
      <c r="AQ248" s="65"/>
      <c r="AR248" s="65"/>
      <c r="AS248" s="66"/>
      <c r="AT248" s="66"/>
      <c r="AU248" s="66"/>
      <c r="AV248" s="66"/>
      <c r="AW248" s="41"/>
      <c r="AX248" s="41"/>
      <c r="AY248" s="41"/>
      <c r="AZ248" s="41"/>
      <c r="BA248" s="41"/>
      <c r="BB248" s="41"/>
      <c r="BC248" s="41"/>
      <c r="BD248" s="41"/>
      <c r="BE248" s="41"/>
      <c r="BF248" s="41"/>
      <c r="BG248" s="41"/>
      <c r="BH248" s="41"/>
      <c r="BI248" s="41"/>
      <c r="BJ248" s="41"/>
      <c r="BK248" s="41"/>
      <c r="BL248" s="41"/>
      <c r="BM248" s="41"/>
      <c r="BN248" s="41"/>
      <c r="BO248" s="41"/>
      <c r="BP248" s="41"/>
      <c r="BQ248" s="41"/>
      <c r="BR248" s="41"/>
      <c r="BS248" s="41"/>
      <c r="BT248" s="41"/>
      <c r="BU248" s="41"/>
      <c r="BV248" s="41"/>
      <c r="BW248" s="41"/>
      <c r="BX248" s="41"/>
      <c r="BY248" s="41"/>
      <c r="BZ248" s="41"/>
      <c r="CA248" s="41"/>
      <c r="CB248" s="41"/>
      <c r="CC248" s="41"/>
      <c r="CD248" s="41"/>
      <c r="CE248" s="41"/>
      <c r="CF248" s="41"/>
      <c r="CG248" s="41"/>
      <c r="CH248" s="41"/>
      <c r="CI248" s="41"/>
      <c r="CJ248" s="41"/>
      <c r="CK248" s="41"/>
      <c r="CL248" s="41"/>
      <c r="CM248" s="41"/>
      <c r="CN248" s="41"/>
      <c r="CO248" s="41"/>
      <c r="CP248" s="41"/>
      <c r="CQ248" s="41"/>
      <c r="CR248" s="41"/>
      <c r="CS248" s="41"/>
      <c r="CT248" s="41"/>
      <c r="CU248" s="41"/>
      <c r="CV248" s="41"/>
      <c r="CW248" s="41"/>
      <c r="CX248" s="41"/>
      <c r="CY248" s="41"/>
      <c r="CZ248" s="41"/>
      <c r="DA248" s="51"/>
      <c r="DB248" s="51"/>
      <c r="DC248" s="51"/>
      <c r="DD248" s="51"/>
      <c r="DE248" s="51"/>
      <c r="DF248" s="51"/>
      <c r="DG248" s="51"/>
      <c r="DH248" s="51"/>
      <c r="DI248" s="51"/>
      <c r="DJ248" s="51"/>
      <c r="DK248" s="51"/>
      <c r="DL248" s="51"/>
      <c r="DM248" s="51"/>
      <c r="DN248" s="51"/>
      <c r="DO248" s="51"/>
      <c r="DP248" s="51"/>
      <c r="DQ248" s="51"/>
      <c r="DR248" s="51"/>
      <c r="DS248" s="51"/>
      <c r="DT248" s="51"/>
      <c r="DU248" s="51"/>
      <c r="DV248" s="51"/>
      <c r="DW248" s="51"/>
      <c r="DX248" s="51"/>
      <c r="DY248" s="51"/>
      <c r="DZ248" s="51"/>
      <c r="EA248" s="51"/>
      <c r="EB248" s="51"/>
      <c r="EC248" s="51"/>
      <c r="ED248" s="51"/>
      <c r="EE248" s="51"/>
      <c r="EF248" s="51"/>
      <c r="EG248" s="51"/>
      <c r="EH248" s="51"/>
      <c r="EI248" s="51"/>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row>
    <row r="249" spans="1:175" s="13" customFormat="1" ht="9.75" hidden="1" customHeight="1">
      <c r="A249" s="139"/>
      <c r="B249" s="497"/>
      <c r="C249" s="140"/>
      <c r="D249" s="141"/>
      <c r="E249" s="141"/>
      <c r="F249" s="141"/>
      <c r="G249" s="141"/>
      <c r="H249" s="141"/>
      <c r="I249" s="142"/>
      <c r="J249" s="141"/>
      <c r="K249" s="141"/>
      <c r="L249" s="143"/>
      <c r="M249" s="143"/>
      <c r="N249" s="144"/>
      <c r="O249" s="144"/>
      <c r="P249" s="14"/>
      <c r="Q249" s="243"/>
      <c r="R249" s="65"/>
      <c r="S249" s="243"/>
      <c r="T249" s="65"/>
      <c r="U249" s="65"/>
      <c r="V249" s="65"/>
      <c r="W249" s="63"/>
      <c r="X249" s="64"/>
      <c r="Y249" s="64"/>
      <c r="Z249" s="64"/>
      <c r="AA249" s="64"/>
      <c r="AB249" s="64"/>
      <c r="AC249" s="64"/>
      <c r="AD249" s="64"/>
      <c r="AE249" s="64"/>
      <c r="AF249" s="65"/>
      <c r="AG249" s="65"/>
      <c r="AH249" s="65"/>
      <c r="AI249" s="65"/>
      <c r="AJ249" s="65"/>
      <c r="AK249" s="65"/>
      <c r="AL249" s="65"/>
      <c r="AM249" s="65"/>
      <c r="AN249" s="65"/>
      <c r="AO249" s="65"/>
      <c r="AP249" s="65"/>
      <c r="AQ249" s="65"/>
      <c r="AR249" s="65"/>
      <c r="AS249" s="66"/>
      <c r="AT249" s="66"/>
      <c r="AU249" s="66"/>
      <c r="AV249" s="66"/>
      <c r="AW249" s="41"/>
      <c r="AX249" s="41"/>
      <c r="AY249" s="41"/>
      <c r="AZ249" s="41"/>
      <c r="BA249" s="41"/>
      <c r="BB249" s="41"/>
      <c r="BC249" s="41"/>
      <c r="BD249" s="41"/>
      <c r="BE249" s="41"/>
      <c r="BF249" s="41"/>
      <c r="BG249" s="41"/>
      <c r="BH249" s="41"/>
      <c r="BI249" s="41"/>
      <c r="BJ249" s="41"/>
      <c r="BK249" s="41"/>
      <c r="BL249" s="41"/>
      <c r="BM249" s="41"/>
      <c r="BN249" s="41"/>
      <c r="BO249" s="41"/>
      <c r="BP249" s="41"/>
      <c r="BQ249" s="41"/>
      <c r="BR249" s="41"/>
      <c r="BS249" s="41"/>
      <c r="BT249" s="41"/>
      <c r="BU249" s="41"/>
      <c r="BV249" s="41"/>
      <c r="BW249" s="41"/>
      <c r="BX249" s="41"/>
      <c r="BY249" s="41"/>
      <c r="BZ249" s="41"/>
      <c r="CA249" s="41"/>
      <c r="CB249" s="41"/>
      <c r="CC249" s="41"/>
      <c r="CD249" s="41"/>
      <c r="CE249" s="41"/>
      <c r="CF249" s="41"/>
      <c r="CG249" s="41"/>
      <c r="CH249" s="41"/>
      <c r="CI249" s="41"/>
      <c r="CJ249" s="41"/>
      <c r="CK249" s="41"/>
      <c r="CL249" s="41"/>
      <c r="CM249" s="41"/>
      <c r="CN249" s="41"/>
      <c r="CO249" s="41"/>
      <c r="CP249" s="41"/>
      <c r="CQ249" s="41"/>
      <c r="CR249" s="41"/>
      <c r="CS249" s="41"/>
      <c r="CT249" s="41"/>
      <c r="CU249" s="41"/>
      <c r="CV249" s="41"/>
      <c r="CW249" s="41"/>
      <c r="CX249" s="41"/>
      <c r="CY249" s="41"/>
      <c r="CZ249" s="41"/>
      <c r="DA249" s="51"/>
      <c r="DB249" s="51"/>
      <c r="DC249" s="51"/>
      <c r="DD249" s="51"/>
      <c r="DE249" s="51"/>
      <c r="DF249" s="51"/>
      <c r="DG249" s="51"/>
      <c r="DH249" s="51"/>
      <c r="DI249" s="51"/>
      <c r="DJ249" s="51"/>
      <c r="DK249" s="51"/>
      <c r="DL249" s="51"/>
      <c r="DM249" s="51"/>
      <c r="DN249" s="51"/>
      <c r="DO249" s="51"/>
      <c r="DP249" s="51"/>
      <c r="DQ249" s="51"/>
      <c r="DR249" s="51"/>
      <c r="DS249" s="51"/>
      <c r="DT249" s="51"/>
      <c r="DU249" s="51"/>
      <c r="DV249" s="51"/>
      <c r="DW249" s="51"/>
      <c r="DX249" s="51"/>
      <c r="DY249" s="51"/>
      <c r="DZ249" s="51"/>
      <c r="EA249" s="51"/>
      <c r="EB249" s="51"/>
      <c r="EC249" s="51"/>
      <c r="ED249" s="51"/>
      <c r="EE249" s="51"/>
      <c r="EF249" s="51"/>
      <c r="EG249" s="51"/>
      <c r="EH249" s="51"/>
      <c r="EI249" s="51"/>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row>
    <row r="250" spans="1:175" s="13" customFormat="1" ht="9.75" hidden="1" customHeight="1">
      <c r="A250" s="139"/>
      <c r="B250" s="497"/>
      <c r="C250" s="140"/>
      <c r="D250" s="141"/>
      <c r="E250" s="141"/>
      <c r="F250" s="141"/>
      <c r="G250" s="141"/>
      <c r="H250" s="141"/>
      <c r="I250" s="142"/>
      <c r="J250" s="141"/>
      <c r="K250" s="141"/>
      <c r="L250" s="143"/>
      <c r="M250" s="143"/>
      <c r="N250" s="144"/>
      <c r="O250" s="144"/>
      <c r="P250" s="14"/>
      <c r="Q250" s="243"/>
      <c r="R250" s="65"/>
      <c r="S250" s="243"/>
      <c r="T250" s="65"/>
      <c r="U250" s="65"/>
      <c r="V250" s="65"/>
      <c r="W250" s="63"/>
      <c r="X250" s="64"/>
      <c r="Y250" s="64"/>
      <c r="Z250" s="64"/>
      <c r="AA250" s="64"/>
      <c r="AB250" s="64"/>
      <c r="AC250" s="64"/>
      <c r="AD250" s="64"/>
      <c r="AE250" s="64"/>
      <c r="AF250" s="65"/>
      <c r="AG250" s="65"/>
      <c r="AH250" s="65"/>
      <c r="AI250" s="65"/>
      <c r="AJ250" s="65"/>
      <c r="AK250" s="65"/>
      <c r="AL250" s="65"/>
      <c r="AM250" s="65"/>
      <c r="AN250" s="65"/>
      <c r="AO250" s="65"/>
      <c r="AP250" s="65"/>
      <c r="AQ250" s="65"/>
      <c r="AR250" s="65"/>
      <c r="AS250" s="66"/>
      <c r="AT250" s="66"/>
      <c r="AU250" s="66"/>
      <c r="AV250" s="66"/>
      <c r="AW250" s="41"/>
      <c r="AX250" s="41"/>
      <c r="AY250" s="41"/>
      <c r="AZ250" s="41"/>
      <c r="BA250" s="41"/>
      <c r="BB250" s="41"/>
      <c r="BC250" s="41"/>
      <c r="BD250" s="41"/>
      <c r="BE250" s="41"/>
      <c r="BF250" s="41"/>
      <c r="BG250" s="41"/>
      <c r="BH250" s="41"/>
      <c r="BI250" s="41"/>
      <c r="BJ250" s="41"/>
      <c r="BK250" s="41"/>
      <c r="BL250" s="41"/>
      <c r="BM250" s="41"/>
      <c r="BN250" s="41"/>
      <c r="BO250" s="41"/>
      <c r="BP250" s="41"/>
      <c r="BQ250" s="41"/>
      <c r="BR250" s="41"/>
      <c r="BS250" s="41"/>
      <c r="BT250" s="41"/>
      <c r="BU250" s="41"/>
      <c r="BV250" s="41"/>
      <c r="BW250" s="41"/>
      <c r="BX250" s="41"/>
      <c r="BY250" s="41"/>
      <c r="BZ250" s="41"/>
      <c r="CA250" s="41"/>
      <c r="CB250" s="41"/>
      <c r="CC250" s="41"/>
      <c r="CD250" s="41"/>
      <c r="CE250" s="41"/>
      <c r="CF250" s="41"/>
      <c r="CG250" s="41"/>
      <c r="CH250" s="41"/>
      <c r="CI250" s="41"/>
      <c r="CJ250" s="41"/>
      <c r="CK250" s="41"/>
      <c r="CL250" s="41"/>
      <c r="CM250" s="41"/>
      <c r="CN250" s="41"/>
      <c r="CO250" s="41"/>
      <c r="CP250" s="41"/>
      <c r="CQ250" s="41"/>
      <c r="CR250" s="41"/>
      <c r="CS250" s="41"/>
      <c r="CT250" s="41"/>
      <c r="CU250" s="41"/>
      <c r="CV250" s="41"/>
      <c r="CW250" s="41"/>
      <c r="CX250" s="41"/>
      <c r="CY250" s="41"/>
      <c r="CZ250" s="41"/>
      <c r="DA250" s="51"/>
      <c r="DB250" s="51"/>
      <c r="DC250" s="51"/>
      <c r="DD250" s="51"/>
      <c r="DE250" s="51"/>
      <c r="DF250" s="51"/>
      <c r="DG250" s="51"/>
      <c r="DH250" s="51"/>
      <c r="DI250" s="51"/>
      <c r="DJ250" s="51"/>
      <c r="DK250" s="51"/>
      <c r="DL250" s="51"/>
      <c r="DM250" s="51"/>
      <c r="DN250" s="51"/>
      <c r="DO250" s="51"/>
      <c r="DP250" s="51"/>
      <c r="DQ250" s="51"/>
      <c r="DR250" s="51"/>
      <c r="DS250" s="51"/>
      <c r="DT250" s="51"/>
      <c r="DU250" s="51"/>
      <c r="DV250" s="51"/>
      <c r="DW250" s="51"/>
      <c r="DX250" s="51"/>
      <c r="DY250" s="51"/>
      <c r="DZ250" s="51"/>
      <c r="EA250" s="51"/>
      <c r="EB250" s="51"/>
      <c r="EC250" s="51"/>
      <c r="ED250" s="51"/>
      <c r="EE250" s="51"/>
      <c r="EF250" s="51"/>
      <c r="EG250" s="51"/>
      <c r="EH250" s="51"/>
      <c r="EI250" s="51"/>
      <c r="EJ250" s="40"/>
      <c r="EK250" s="40"/>
      <c r="EL250" s="40"/>
      <c r="EM250" s="40"/>
      <c r="EN250" s="40"/>
      <c r="EO250" s="40"/>
      <c r="EP250" s="40"/>
      <c r="EQ250" s="40"/>
      <c r="ER250" s="40"/>
      <c r="ES250" s="40"/>
      <c r="ET250" s="40"/>
      <c r="EU250" s="40"/>
      <c r="EV250" s="40"/>
      <c r="EW250" s="40"/>
      <c r="EX250" s="40"/>
      <c r="EY250" s="40"/>
      <c r="EZ250" s="40"/>
      <c r="FA250" s="40"/>
      <c r="FB250" s="40"/>
      <c r="FC250" s="40"/>
      <c r="FD250" s="40"/>
      <c r="FE250" s="40"/>
      <c r="FF250" s="40"/>
      <c r="FG250" s="40"/>
      <c r="FH250" s="40"/>
      <c r="FI250" s="40"/>
      <c r="FJ250" s="40"/>
      <c r="FK250" s="40"/>
      <c r="FL250" s="40"/>
      <c r="FM250" s="40"/>
      <c r="FN250" s="40"/>
      <c r="FO250" s="40"/>
      <c r="FP250" s="40"/>
      <c r="FQ250" s="40"/>
      <c r="FR250" s="40"/>
      <c r="FS250" s="40"/>
    </row>
    <row r="251" spans="1:175" s="13" customFormat="1" ht="9.75" hidden="1" customHeight="1">
      <c r="A251" s="139"/>
      <c r="B251" s="497"/>
      <c r="C251" s="140"/>
      <c r="D251" s="141"/>
      <c r="E251" s="141"/>
      <c r="F251" s="141"/>
      <c r="G251" s="141"/>
      <c r="H251" s="141"/>
      <c r="I251" s="142"/>
      <c r="J251" s="141"/>
      <c r="K251" s="141"/>
      <c r="L251" s="143"/>
      <c r="M251" s="143"/>
      <c r="N251" s="144"/>
      <c r="O251" s="144"/>
      <c r="P251" s="14"/>
      <c r="Q251" s="243"/>
      <c r="R251" s="65"/>
      <c r="S251" s="243"/>
      <c r="T251" s="65"/>
      <c r="U251" s="65"/>
      <c r="V251" s="65"/>
      <c r="W251" s="63"/>
      <c r="X251" s="64"/>
      <c r="Y251" s="64"/>
      <c r="Z251" s="64"/>
      <c r="AA251" s="64"/>
      <c r="AB251" s="64"/>
      <c r="AC251" s="64"/>
      <c r="AD251" s="64"/>
      <c r="AE251" s="64"/>
      <c r="AF251" s="65"/>
      <c r="AG251" s="65"/>
      <c r="AH251" s="65"/>
      <c r="AI251" s="65"/>
      <c r="AJ251" s="65"/>
      <c r="AK251" s="65"/>
      <c r="AL251" s="65"/>
      <c r="AM251" s="65"/>
      <c r="AN251" s="65"/>
      <c r="AO251" s="65"/>
      <c r="AP251" s="65"/>
      <c r="AQ251" s="65"/>
      <c r="AR251" s="65"/>
      <c r="AS251" s="66"/>
      <c r="AT251" s="66"/>
      <c r="AU251" s="66"/>
      <c r="AV251" s="66"/>
      <c r="AW251" s="41"/>
      <c r="AX251" s="41"/>
      <c r="AY251" s="41"/>
      <c r="AZ251" s="41"/>
      <c r="BA251" s="41"/>
      <c r="BB251" s="41"/>
      <c r="BC251" s="41"/>
      <c r="BD251" s="41"/>
      <c r="BE251" s="41"/>
      <c r="BF251" s="41"/>
      <c r="BG251" s="41"/>
      <c r="BH251" s="41"/>
      <c r="BI251" s="41"/>
      <c r="BJ251" s="41"/>
      <c r="BK251" s="41"/>
      <c r="BL251" s="41"/>
      <c r="BM251" s="41"/>
      <c r="BN251" s="41"/>
      <c r="BO251" s="41"/>
      <c r="BP251" s="41"/>
      <c r="BQ251" s="41"/>
      <c r="BR251" s="41"/>
      <c r="BS251" s="41"/>
      <c r="BT251" s="41"/>
      <c r="BU251" s="41"/>
      <c r="BV251" s="41"/>
      <c r="BW251" s="41"/>
      <c r="BX251" s="41"/>
      <c r="BY251" s="41"/>
      <c r="BZ251" s="41"/>
      <c r="CA251" s="41"/>
      <c r="CB251" s="41"/>
      <c r="CC251" s="41"/>
      <c r="CD251" s="41"/>
      <c r="CE251" s="41"/>
      <c r="CF251" s="41"/>
      <c r="CG251" s="41"/>
      <c r="CH251" s="41"/>
      <c r="CI251" s="41"/>
      <c r="CJ251" s="41"/>
      <c r="CK251" s="41"/>
      <c r="CL251" s="41"/>
      <c r="CM251" s="41"/>
      <c r="CN251" s="41"/>
      <c r="CO251" s="41"/>
      <c r="CP251" s="41"/>
      <c r="CQ251" s="41"/>
      <c r="CR251" s="41"/>
      <c r="CS251" s="41"/>
      <c r="CT251" s="41"/>
      <c r="CU251" s="41"/>
      <c r="CV251" s="41"/>
      <c r="CW251" s="41"/>
      <c r="CX251" s="41"/>
      <c r="CY251" s="41"/>
      <c r="CZ251" s="41"/>
      <c r="DA251" s="51"/>
      <c r="DB251" s="51"/>
      <c r="DC251" s="51"/>
      <c r="DD251" s="51"/>
      <c r="DE251" s="51"/>
      <c r="DF251" s="51"/>
      <c r="DG251" s="51"/>
      <c r="DH251" s="51"/>
      <c r="DI251" s="51"/>
      <c r="DJ251" s="51"/>
      <c r="DK251" s="51"/>
      <c r="DL251" s="51"/>
      <c r="DM251" s="51"/>
      <c r="DN251" s="51"/>
      <c r="DO251" s="51"/>
      <c r="DP251" s="51"/>
      <c r="DQ251" s="51"/>
      <c r="DR251" s="51"/>
      <c r="DS251" s="51"/>
      <c r="DT251" s="51"/>
      <c r="DU251" s="51"/>
      <c r="DV251" s="51"/>
      <c r="DW251" s="51"/>
      <c r="DX251" s="51"/>
      <c r="DY251" s="51"/>
      <c r="DZ251" s="51"/>
      <c r="EA251" s="51"/>
      <c r="EB251" s="51"/>
      <c r="EC251" s="51"/>
      <c r="ED251" s="51"/>
      <c r="EE251" s="51"/>
      <c r="EF251" s="51"/>
      <c r="EG251" s="51"/>
      <c r="EH251" s="51"/>
      <c r="EI251" s="51"/>
      <c r="EJ251" s="40"/>
      <c r="EK251" s="40"/>
      <c r="EL251" s="40"/>
      <c r="EM251" s="40"/>
      <c r="EN251" s="40"/>
      <c r="EO251" s="40"/>
      <c r="EP251" s="40"/>
      <c r="EQ251" s="40"/>
      <c r="ER251" s="40"/>
      <c r="ES251" s="40"/>
      <c r="ET251" s="40"/>
      <c r="EU251" s="40"/>
      <c r="EV251" s="40"/>
      <c r="EW251" s="40"/>
      <c r="EX251" s="40"/>
      <c r="EY251" s="40"/>
      <c r="EZ251" s="40"/>
      <c r="FA251" s="40"/>
      <c r="FB251" s="40"/>
      <c r="FC251" s="40"/>
      <c r="FD251" s="40"/>
      <c r="FE251" s="40"/>
      <c r="FF251" s="40"/>
      <c r="FG251" s="40"/>
      <c r="FH251" s="40"/>
      <c r="FI251" s="40"/>
      <c r="FJ251" s="40"/>
      <c r="FK251" s="40"/>
      <c r="FL251" s="40"/>
      <c r="FM251" s="40"/>
      <c r="FN251" s="40"/>
      <c r="FO251" s="40"/>
      <c r="FP251" s="40"/>
      <c r="FQ251" s="40"/>
      <c r="FR251" s="40"/>
      <c r="FS251" s="40"/>
    </row>
    <row r="252" spans="1:175" s="13" customFormat="1" ht="9.75" hidden="1" customHeight="1">
      <c r="A252" s="139"/>
      <c r="B252" s="497"/>
      <c r="C252" s="140"/>
      <c r="D252" s="141"/>
      <c r="E252" s="141"/>
      <c r="F252" s="141"/>
      <c r="G252" s="141"/>
      <c r="H252" s="141"/>
      <c r="I252" s="142"/>
      <c r="J252" s="141"/>
      <c r="K252" s="141"/>
      <c r="L252" s="143"/>
      <c r="M252" s="143"/>
      <c r="N252" s="144"/>
      <c r="O252" s="144"/>
      <c r="P252" s="14"/>
      <c r="Q252" s="243"/>
      <c r="R252" s="65"/>
      <c r="S252" s="243"/>
      <c r="T252" s="65"/>
      <c r="U252" s="65"/>
      <c r="V252" s="65"/>
      <c r="W252" s="63"/>
      <c r="X252" s="64"/>
      <c r="Y252" s="64"/>
      <c r="Z252" s="64"/>
      <c r="AA252" s="64"/>
      <c r="AB252" s="64"/>
      <c r="AC252" s="64"/>
      <c r="AD252" s="64"/>
      <c r="AE252" s="64"/>
      <c r="AF252" s="65"/>
      <c r="AG252" s="65"/>
      <c r="AH252" s="65"/>
      <c r="AI252" s="65"/>
      <c r="AJ252" s="65"/>
      <c r="AK252" s="65"/>
      <c r="AL252" s="65"/>
      <c r="AM252" s="65"/>
      <c r="AN252" s="65"/>
      <c r="AO252" s="65"/>
      <c r="AP252" s="65"/>
      <c r="AQ252" s="65"/>
      <c r="AR252" s="65"/>
      <c r="AS252" s="66"/>
      <c r="AT252" s="66"/>
      <c r="AU252" s="66"/>
      <c r="AV252" s="66"/>
      <c r="AW252" s="41"/>
      <c r="AX252" s="41"/>
      <c r="AY252" s="41"/>
      <c r="AZ252" s="41"/>
      <c r="BA252" s="41"/>
      <c r="BB252" s="41"/>
      <c r="BC252" s="41"/>
      <c r="BD252" s="41"/>
      <c r="BE252" s="41"/>
      <c r="BF252" s="41"/>
      <c r="BG252" s="41"/>
      <c r="BH252" s="41"/>
      <c r="BI252" s="41"/>
      <c r="BJ252" s="41"/>
      <c r="BK252" s="41"/>
      <c r="BL252" s="41"/>
      <c r="BM252" s="41"/>
      <c r="BN252" s="41"/>
      <c r="BO252" s="41"/>
      <c r="BP252" s="41"/>
      <c r="BQ252" s="41"/>
      <c r="BR252" s="41"/>
      <c r="BS252" s="41"/>
      <c r="BT252" s="41"/>
      <c r="BU252" s="41"/>
      <c r="BV252" s="41"/>
      <c r="BW252" s="41"/>
      <c r="BX252" s="41"/>
      <c r="BY252" s="41"/>
      <c r="BZ252" s="41"/>
      <c r="CA252" s="41"/>
      <c r="CB252" s="41"/>
      <c r="CC252" s="41"/>
      <c r="CD252" s="41"/>
      <c r="CE252" s="41"/>
      <c r="CF252" s="41"/>
      <c r="CG252" s="41"/>
      <c r="CH252" s="41"/>
      <c r="CI252" s="41"/>
      <c r="CJ252" s="41"/>
      <c r="CK252" s="41"/>
      <c r="CL252" s="41"/>
      <c r="CM252" s="41"/>
      <c r="CN252" s="41"/>
      <c r="CO252" s="41"/>
      <c r="CP252" s="41"/>
      <c r="CQ252" s="41"/>
      <c r="CR252" s="41"/>
      <c r="CS252" s="41"/>
      <c r="CT252" s="41"/>
      <c r="CU252" s="41"/>
      <c r="CV252" s="41"/>
      <c r="CW252" s="41"/>
      <c r="CX252" s="41"/>
      <c r="CY252" s="41"/>
      <c r="CZ252" s="41"/>
      <c r="DA252" s="51"/>
      <c r="DB252" s="51"/>
      <c r="DC252" s="51"/>
      <c r="DD252" s="51"/>
      <c r="DE252" s="51"/>
      <c r="DF252" s="51"/>
      <c r="DG252" s="51"/>
      <c r="DH252" s="51"/>
      <c r="DI252" s="51"/>
      <c r="DJ252" s="51"/>
      <c r="DK252" s="51"/>
      <c r="DL252" s="51"/>
      <c r="DM252" s="51"/>
      <c r="DN252" s="51"/>
      <c r="DO252" s="51"/>
      <c r="DP252" s="51"/>
      <c r="DQ252" s="51"/>
      <c r="DR252" s="51"/>
      <c r="DS252" s="51"/>
      <c r="DT252" s="51"/>
      <c r="DU252" s="51"/>
      <c r="DV252" s="51"/>
      <c r="DW252" s="51"/>
      <c r="DX252" s="51"/>
      <c r="DY252" s="51"/>
      <c r="DZ252" s="51"/>
      <c r="EA252" s="51"/>
      <c r="EB252" s="51"/>
      <c r="EC252" s="51"/>
      <c r="ED252" s="51"/>
      <c r="EE252" s="51"/>
      <c r="EF252" s="51"/>
      <c r="EG252" s="51"/>
      <c r="EH252" s="51"/>
      <c r="EI252" s="51"/>
      <c r="EJ252" s="40"/>
      <c r="EK252" s="40"/>
      <c r="EL252" s="40"/>
      <c r="EM252" s="40"/>
      <c r="EN252" s="40"/>
      <c r="EO252" s="40"/>
      <c r="EP252" s="40"/>
      <c r="EQ252" s="40"/>
      <c r="ER252" s="40"/>
      <c r="ES252" s="40"/>
      <c r="ET252" s="40"/>
      <c r="EU252" s="40"/>
      <c r="EV252" s="40"/>
      <c r="EW252" s="40"/>
      <c r="EX252" s="40"/>
      <c r="EY252" s="40"/>
      <c r="EZ252" s="40"/>
      <c r="FA252" s="40"/>
      <c r="FB252" s="40"/>
      <c r="FC252" s="40"/>
      <c r="FD252" s="40"/>
      <c r="FE252" s="40"/>
      <c r="FF252" s="40"/>
      <c r="FG252" s="40"/>
      <c r="FH252" s="40"/>
      <c r="FI252" s="40"/>
      <c r="FJ252" s="40"/>
      <c r="FK252" s="40"/>
      <c r="FL252" s="40"/>
      <c r="FM252" s="40"/>
      <c r="FN252" s="40"/>
      <c r="FO252" s="40"/>
      <c r="FP252" s="40"/>
      <c r="FQ252" s="40"/>
      <c r="FR252" s="40"/>
      <c r="FS252" s="40"/>
    </row>
    <row r="253" spans="1:175" s="13" customFormat="1" ht="9.75" hidden="1" customHeight="1">
      <c r="A253" s="139"/>
      <c r="B253" s="497"/>
      <c r="C253" s="140"/>
      <c r="D253" s="141"/>
      <c r="E253" s="141"/>
      <c r="F253" s="141"/>
      <c r="G253" s="141"/>
      <c r="H253" s="141"/>
      <c r="I253" s="142"/>
      <c r="J253" s="141"/>
      <c r="K253" s="141"/>
      <c r="L253" s="143"/>
      <c r="M253" s="143"/>
      <c r="N253" s="144"/>
      <c r="O253" s="144"/>
      <c r="P253" s="14"/>
      <c r="Q253" s="243"/>
      <c r="R253" s="65"/>
      <c r="S253" s="243"/>
      <c r="T253" s="65"/>
      <c r="U253" s="65"/>
      <c r="V253" s="65"/>
      <c r="W253" s="63"/>
      <c r="X253" s="64"/>
      <c r="Y253" s="64"/>
      <c r="Z253" s="64"/>
      <c r="AA253" s="64"/>
      <c r="AB253" s="64"/>
      <c r="AC253" s="64"/>
      <c r="AD253" s="64"/>
      <c r="AE253" s="64"/>
      <c r="AF253" s="65"/>
      <c r="AG253" s="65"/>
      <c r="AH253" s="65"/>
      <c r="AI253" s="65"/>
      <c r="AJ253" s="65"/>
      <c r="AK253" s="65"/>
      <c r="AL253" s="65"/>
      <c r="AM253" s="65"/>
      <c r="AN253" s="65"/>
      <c r="AO253" s="65"/>
      <c r="AP253" s="65"/>
      <c r="AQ253" s="65"/>
      <c r="AR253" s="65"/>
      <c r="AS253" s="66"/>
      <c r="AT253" s="66"/>
      <c r="AU253" s="66"/>
      <c r="AV253" s="66"/>
      <c r="AW253" s="41"/>
      <c r="AX253" s="41"/>
      <c r="AY253" s="41"/>
      <c r="AZ253" s="41"/>
      <c r="BA253" s="41"/>
      <c r="BB253" s="41"/>
      <c r="BC253" s="41"/>
      <c r="BD253" s="41"/>
      <c r="BE253" s="41"/>
      <c r="BF253" s="41"/>
      <c r="BG253" s="41"/>
      <c r="BH253" s="41"/>
      <c r="BI253" s="41"/>
      <c r="BJ253" s="41"/>
      <c r="BK253" s="41"/>
      <c r="BL253" s="41"/>
      <c r="BM253" s="41"/>
      <c r="BN253" s="41"/>
      <c r="BO253" s="41"/>
      <c r="BP253" s="41"/>
      <c r="BQ253" s="41"/>
      <c r="BR253" s="41"/>
      <c r="BS253" s="41"/>
      <c r="BT253" s="41"/>
      <c r="BU253" s="41"/>
      <c r="BV253" s="41"/>
      <c r="BW253" s="41"/>
      <c r="BX253" s="41"/>
      <c r="BY253" s="41"/>
      <c r="BZ253" s="41"/>
      <c r="CA253" s="41"/>
      <c r="CB253" s="41"/>
      <c r="CC253" s="41"/>
      <c r="CD253" s="41"/>
      <c r="CE253" s="41"/>
      <c r="CF253" s="41"/>
      <c r="CG253" s="41"/>
      <c r="CH253" s="41"/>
      <c r="CI253" s="41"/>
      <c r="CJ253" s="41"/>
      <c r="CK253" s="41"/>
      <c r="CL253" s="41"/>
      <c r="CM253" s="41"/>
      <c r="CN253" s="41"/>
      <c r="CO253" s="41"/>
      <c r="CP253" s="41"/>
      <c r="CQ253" s="41"/>
      <c r="CR253" s="41"/>
      <c r="CS253" s="41"/>
      <c r="CT253" s="41"/>
      <c r="CU253" s="41"/>
      <c r="CV253" s="41"/>
      <c r="CW253" s="41"/>
      <c r="CX253" s="41"/>
      <c r="CY253" s="41"/>
      <c r="CZ253" s="41"/>
      <c r="DA253" s="51"/>
      <c r="DB253" s="51"/>
      <c r="DC253" s="51"/>
      <c r="DD253" s="51"/>
      <c r="DE253" s="51"/>
      <c r="DF253" s="51"/>
      <c r="DG253" s="51"/>
      <c r="DH253" s="51"/>
      <c r="DI253" s="51"/>
      <c r="DJ253" s="51"/>
      <c r="DK253" s="51"/>
      <c r="DL253" s="51"/>
      <c r="DM253" s="51"/>
      <c r="DN253" s="51"/>
      <c r="DO253" s="51"/>
      <c r="DP253" s="51"/>
      <c r="DQ253" s="51"/>
      <c r="DR253" s="51"/>
      <c r="DS253" s="51"/>
      <c r="DT253" s="51"/>
      <c r="DU253" s="51"/>
      <c r="DV253" s="51"/>
      <c r="DW253" s="51"/>
      <c r="DX253" s="51"/>
      <c r="DY253" s="51"/>
      <c r="DZ253" s="51"/>
      <c r="EA253" s="51"/>
      <c r="EB253" s="51"/>
      <c r="EC253" s="51"/>
      <c r="ED253" s="51"/>
      <c r="EE253" s="51"/>
      <c r="EF253" s="51"/>
      <c r="EG253" s="51"/>
      <c r="EH253" s="51"/>
      <c r="EI253" s="51"/>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row>
    <row r="254" spans="1:175" s="13" customFormat="1" ht="9.75" hidden="1" customHeight="1">
      <c r="A254" s="139"/>
      <c r="B254" s="497"/>
      <c r="C254" s="140"/>
      <c r="D254" s="141"/>
      <c r="E254" s="141"/>
      <c r="F254" s="141"/>
      <c r="G254" s="141"/>
      <c r="H254" s="141"/>
      <c r="I254" s="142"/>
      <c r="J254" s="141"/>
      <c r="K254" s="141"/>
      <c r="L254" s="143"/>
      <c r="M254" s="143"/>
      <c r="N254" s="144"/>
      <c r="O254" s="144"/>
      <c r="P254" s="14"/>
      <c r="Q254" s="243"/>
      <c r="R254" s="65"/>
      <c r="S254" s="243"/>
      <c r="T254" s="65"/>
      <c r="U254" s="65"/>
      <c r="V254" s="65"/>
      <c r="W254" s="63"/>
      <c r="X254" s="64"/>
      <c r="Y254" s="64"/>
      <c r="Z254" s="64"/>
      <c r="AA254" s="64"/>
      <c r="AB254" s="64"/>
      <c r="AC254" s="64"/>
      <c r="AD254" s="64"/>
      <c r="AE254" s="64"/>
      <c r="AF254" s="65"/>
      <c r="AG254" s="65"/>
      <c r="AH254" s="65"/>
      <c r="AI254" s="65"/>
      <c r="AJ254" s="65"/>
      <c r="AK254" s="65"/>
      <c r="AL254" s="65"/>
      <c r="AM254" s="65"/>
      <c r="AN254" s="65"/>
      <c r="AO254" s="65"/>
      <c r="AP254" s="65"/>
      <c r="AQ254" s="65"/>
      <c r="AR254" s="65"/>
      <c r="AS254" s="66"/>
      <c r="AT254" s="66"/>
      <c r="AU254" s="66"/>
      <c r="AV254" s="66"/>
      <c r="AW254" s="41"/>
      <c r="AX254" s="41"/>
      <c r="AY254" s="41"/>
      <c r="AZ254" s="41"/>
      <c r="BA254" s="41"/>
      <c r="BB254" s="41"/>
      <c r="BC254" s="41"/>
      <c r="BD254" s="41"/>
      <c r="BE254" s="41"/>
      <c r="BF254" s="41"/>
      <c r="BG254" s="41"/>
      <c r="BH254" s="41"/>
      <c r="BI254" s="41"/>
      <c r="BJ254" s="41"/>
      <c r="BK254" s="41"/>
      <c r="BL254" s="41"/>
      <c r="BM254" s="41"/>
      <c r="BN254" s="41"/>
      <c r="BO254" s="41"/>
      <c r="BP254" s="41"/>
      <c r="BQ254" s="41"/>
      <c r="BR254" s="41"/>
      <c r="BS254" s="41"/>
      <c r="BT254" s="41"/>
      <c r="BU254" s="41"/>
      <c r="BV254" s="41"/>
      <c r="BW254" s="41"/>
      <c r="BX254" s="41"/>
      <c r="BY254" s="41"/>
      <c r="BZ254" s="41"/>
      <c r="CA254" s="41"/>
      <c r="CB254" s="41"/>
      <c r="CC254" s="41"/>
      <c r="CD254" s="41"/>
      <c r="CE254" s="41"/>
      <c r="CF254" s="41"/>
      <c r="CG254" s="41"/>
      <c r="CH254" s="41"/>
      <c r="CI254" s="41"/>
      <c r="CJ254" s="41"/>
      <c r="CK254" s="41"/>
      <c r="CL254" s="41"/>
      <c r="CM254" s="41"/>
      <c r="CN254" s="41"/>
      <c r="CO254" s="41"/>
      <c r="CP254" s="41"/>
      <c r="CQ254" s="41"/>
      <c r="CR254" s="41"/>
      <c r="CS254" s="41"/>
      <c r="CT254" s="41"/>
      <c r="CU254" s="41"/>
      <c r="CV254" s="41"/>
      <c r="CW254" s="41"/>
      <c r="CX254" s="41"/>
      <c r="CY254" s="41"/>
      <c r="CZ254" s="41"/>
      <c r="DA254" s="51"/>
      <c r="DB254" s="51"/>
      <c r="DC254" s="51"/>
      <c r="DD254" s="51"/>
      <c r="DE254" s="51"/>
      <c r="DF254" s="51"/>
      <c r="DG254" s="51"/>
      <c r="DH254" s="51"/>
      <c r="DI254" s="51"/>
      <c r="DJ254" s="51"/>
      <c r="DK254" s="51"/>
      <c r="DL254" s="51"/>
      <c r="DM254" s="51"/>
      <c r="DN254" s="51"/>
      <c r="DO254" s="51"/>
      <c r="DP254" s="51"/>
      <c r="DQ254" s="51"/>
      <c r="DR254" s="51"/>
      <c r="DS254" s="51"/>
      <c r="DT254" s="51"/>
      <c r="DU254" s="51"/>
      <c r="DV254" s="51"/>
      <c r="DW254" s="51"/>
      <c r="DX254" s="51"/>
      <c r="DY254" s="51"/>
      <c r="DZ254" s="51"/>
      <c r="EA254" s="51"/>
      <c r="EB254" s="51"/>
      <c r="EC254" s="51"/>
      <c r="ED254" s="51"/>
      <c r="EE254" s="51"/>
      <c r="EF254" s="51"/>
      <c r="EG254" s="51"/>
      <c r="EH254" s="51"/>
      <c r="EI254" s="51"/>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row>
    <row r="255" spans="1:175" s="13" customFormat="1" ht="9.75" hidden="1" customHeight="1">
      <c r="A255" s="139"/>
      <c r="B255" s="497"/>
      <c r="C255" s="140"/>
      <c r="D255" s="141"/>
      <c r="E255" s="141"/>
      <c r="F255" s="141"/>
      <c r="G255" s="141"/>
      <c r="H255" s="141"/>
      <c r="I255" s="142"/>
      <c r="J255" s="141"/>
      <c r="K255" s="141"/>
      <c r="L255" s="143"/>
      <c r="M255" s="143"/>
      <c r="N255" s="144"/>
      <c r="O255" s="144"/>
      <c r="P255" s="14"/>
      <c r="Q255" s="243"/>
      <c r="R255" s="65"/>
      <c r="S255" s="243"/>
      <c r="T255" s="65"/>
      <c r="U255" s="65"/>
      <c r="V255" s="65"/>
      <c r="W255" s="63"/>
      <c r="X255" s="64"/>
      <c r="Y255" s="64"/>
      <c r="Z255" s="64"/>
      <c r="AA255" s="64"/>
      <c r="AB255" s="64"/>
      <c r="AC255" s="64"/>
      <c r="AD255" s="64"/>
      <c r="AE255" s="64"/>
      <c r="AF255" s="65"/>
      <c r="AG255" s="65"/>
      <c r="AH255" s="65"/>
      <c r="AI255" s="65"/>
      <c r="AJ255" s="65"/>
      <c r="AK255" s="65"/>
      <c r="AL255" s="65"/>
      <c r="AM255" s="65"/>
      <c r="AN255" s="65"/>
      <c r="AO255" s="65"/>
      <c r="AP255" s="65"/>
      <c r="AQ255" s="65"/>
      <c r="AR255" s="65"/>
      <c r="AS255" s="66"/>
      <c r="AT255" s="66"/>
      <c r="AU255" s="66"/>
      <c r="AV255" s="66"/>
      <c r="AW255" s="41"/>
      <c r="AX255" s="41"/>
      <c r="AY255" s="41"/>
      <c r="AZ255" s="41"/>
      <c r="BA255" s="41"/>
      <c r="BB255" s="41"/>
      <c r="BC255" s="41"/>
      <c r="BD255" s="41"/>
      <c r="BE255" s="41"/>
      <c r="BF255" s="41"/>
      <c r="BG255" s="41"/>
      <c r="BH255" s="41"/>
      <c r="BI255" s="41"/>
      <c r="BJ255" s="41"/>
      <c r="BK255" s="41"/>
      <c r="BL255" s="41"/>
      <c r="BM255" s="41"/>
      <c r="BN255" s="41"/>
      <c r="BO255" s="41"/>
      <c r="BP255" s="41"/>
      <c r="BQ255" s="41"/>
      <c r="BR255" s="41"/>
      <c r="BS255" s="41"/>
      <c r="BT255" s="41"/>
      <c r="BU255" s="41"/>
      <c r="BV255" s="41"/>
      <c r="BW255" s="41"/>
      <c r="BX255" s="41"/>
      <c r="BY255" s="41"/>
      <c r="BZ255" s="41"/>
      <c r="CA255" s="41"/>
      <c r="CB255" s="41"/>
      <c r="CC255" s="41"/>
      <c r="CD255" s="41"/>
      <c r="CE255" s="41"/>
      <c r="CF255" s="41"/>
      <c r="CG255" s="41"/>
      <c r="CH255" s="41"/>
      <c r="CI255" s="41"/>
      <c r="CJ255" s="41"/>
      <c r="CK255" s="41"/>
      <c r="CL255" s="41"/>
      <c r="CM255" s="41"/>
      <c r="CN255" s="41"/>
      <c r="CO255" s="41"/>
      <c r="CP255" s="41"/>
      <c r="CQ255" s="41"/>
      <c r="CR255" s="41"/>
      <c r="CS255" s="41"/>
      <c r="CT255" s="41"/>
      <c r="CU255" s="41"/>
      <c r="CV255" s="41"/>
      <c r="CW255" s="41"/>
      <c r="CX255" s="41"/>
      <c r="CY255" s="41"/>
      <c r="CZ255" s="41"/>
      <c r="DA255" s="51"/>
      <c r="DB255" s="51"/>
      <c r="DC255" s="51"/>
      <c r="DD255" s="51"/>
      <c r="DE255" s="51"/>
      <c r="DF255" s="51"/>
      <c r="DG255" s="51"/>
      <c r="DH255" s="51"/>
      <c r="DI255" s="51"/>
      <c r="DJ255" s="51"/>
      <c r="DK255" s="51"/>
      <c r="DL255" s="51"/>
      <c r="DM255" s="51"/>
      <c r="DN255" s="51"/>
      <c r="DO255" s="51"/>
      <c r="DP255" s="51"/>
      <c r="DQ255" s="51"/>
      <c r="DR255" s="51"/>
      <c r="DS255" s="51"/>
      <c r="DT255" s="51"/>
      <c r="DU255" s="51"/>
      <c r="DV255" s="51"/>
      <c r="DW255" s="51"/>
      <c r="DX255" s="51"/>
      <c r="DY255" s="51"/>
      <c r="DZ255" s="51"/>
      <c r="EA255" s="51"/>
      <c r="EB255" s="51"/>
      <c r="EC255" s="51"/>
      <c r="ED255" s="51"/>
      <c r="EE255" s="51"/>
      <c r="EF255" s="51"/>
      <c r="EG255" s="51"/>
      <c r="EH255" s="51"/>
      <c r="EI255" s="51"/>
      <c r="EJ255" s="40"/>
      <c r="EK255" s="40"/>
      <c r="EL255" s="40"/>
      <c r="EM255" s="40"/>
      <c r="EN255" s="40"/>
      <c r="EO255" s="40"/>
      <c r="EP255" s="40"/>
      <c r="EQ255" s="40"/>
      <c r="ER255" s="40"/>
      <c r="ES255" s="40"/>
      <c r="ET255" s="40"/>
      <c r="EU255" s="40"/>
      <c r="EV255" s="40"/>
      <c r="EW255" s="40"/>
      <c r="EX255" s="40"/>
      <c r="EY255" s="40"/>
      <c r="EZ255" s="40"/>
      <c r="FA255" s="40"/>
      <c r="FB255" s="40"/>
      <c r="FC255" s="40"/>
      <c r="FD255" s="40"/>
      <c r="FE255" s="40"/>
      <c r="FF255" s="40"/>
      <c r="FG255" s="40"/>
      <c r="FH255" s="40"/>
      <c r="FI255" s="40"/>
      <c r="FJ255" s="40"/>
      <c r="FK255" s="40"/>
      <c r="FL255" s="40"/>
      <c r="FM255" s="40"/>
      <c r="FN255" s="40"/>
      <c r="FO255" s="40"/>
      <c r="FP255" s="40"/>
      <c r="FQ255" s="40"/>
      <c r="FR255" s="40"/>
      <c r="FS255" s="40"/>
    </row>
    <row r="256" spans="1:175" s="13" customFormat="1" ht="9.75" hidden="1" customHeight="1">
      <c r="A256" s="139"/>
      <c r="B256" s="497"/>
      <c r="C256" s="140"/>
      <c r="D256" s="141"/>
      <c r="E256" s="141"/>
      <c r="F256" s="141"/>
      <c r="G256" s="141"/>
      <c r="H256" s="141"/>
      <c r="I256" s="142"/>
      <c r="J256" s="141"/>
      <c r="K256" s="141"/>
      <c r="L256" s="143"/>
      <c r="M256" s="143"/>
      <c r="N256" s="144"/>
      <c r="O256" s="144"/>
      <c r="P256" s="14"/>
      <c r="Q256" s="243"/>
      <c r="R256" s="65"/>
      <c r="S256" s="243"/>
      <c r="T256" s="65"/>
      <c r="U256" s="65"/>
      <c r="V256" s="65"/>
      <c r="W256" s="63"/>
      <c r="X256" s="64"/>
      <c r="Y256" s="64"/>
      <c r="Z256" s="64"/>
      <c r="AA256" s="64"/>
      <c r="AB256" s="64"/>
      <c r="AC256" s="64"/>
      <c r="AD256" s="64"/>
      <c r="AE256" s="64"/>
      <c r="AF256" s="65"/>
      <c r="AG256" s="65"/>
      <c r="AH256" s="65"/>
      <c r="AI256" s="65"/>
      <c r="AJ256" s="65"/>
      <c r="AK256" s="65"/>
      <c r="AL256" s="65"/>
      <c r="AM256" s="65"/>
      <c r="AN256" s="65"/>
      <c r="AO256" s="65"/>
      <c r="AP256" s="65"/>
      <c r="AQ256" s="65"/>
      <c r="AR256" s="65"/>
      <c r="AS256" s="66"/>
      <c r="AT256" s="66"/>
      <c r="AU256" s="66"/>
      <c r="AV256" s="66"/>
      <c r="AW256" s="41"/>
      <c r="AX256" s="41"/>
      <c r="AY256" s="41"/>
      <c r="AZ256" s="41"/>
      <c r="BA256" s="41"/>
      <c r="BB256" s="41"/>
      <c r="BC256" s="41"/>
      <c r="BD256" s="41"/>
      <c r="BE256" s="41"/>
      <c r="BF256" s="41"/>
      <c r="BG256" s="41"/>
      <c r="BH256" s="41"/>
      <c r="BI256" s="41"/>
      <c r="BJ256" s="41"/>
      <c r="BK256" s="41"/>
      <c r="BL256" s="41"/>
      <c r="BM256" s="41"/>
      <c r="BN256" s="41"/>
      <c r="BO256" s="41"/>
      <c r="BP256" s="41"/>
      <c r="BQ256" s="41"/>
      <c r="BR256" s="41"/>
      <c r="BS256" s="41"/>
      <c r="BT256" s="41"/>
      <c r="BU256" s="41"/>
      <c r="BV256" s="41"/>
      <c r="BW256" s="41"/>
      <c r="BX256" s="41"/>
      <c r="BY256" s="41"/>
      <c r="BZ256" s="41"/>
      <c r="CA256" s="41"/>
      <c r="CB256" s="41"/>
      <c r="CC256" s="41"/>
      <c r="CD256" s="41"/>
      <c r="CE256" s="41"/>
      <c r="CF256" s="41"/>
      <c r="CG256" s="41"/>
      <c r="CH256" s="41"/>
      <c r="CI256" s="41"/>
      <c r="CJ256" s="41"/>
      <c r="CK256" s="41"/>
      <c r="CL256" s="41"/>
      <c r="CM256" s="41"/>
      <c r="CN256" s="41"/>
      <c r="CO256" s="41"/>
      <c r="CP256" s="41"/>
      <c r="CQ256" s="41"/>
      <c r="CR256" s="41"/>
      <c r="CS256" s="41"/>
      <c r="CT256" s="41"/>
      <c r="CU256" s="41"/>
      <c r="CV256" s="41"/>
      <c r="CW256" s="41"/>
      <c r="CX256" s="41"/>
      <c r="CY256" s="41"/>
      <c r="CZ256" s="41"/>
      <c r="DA256" s="51"/>
      <c r="DB256" s="51"/>
      <c r="DC256" s="51"/>
      <c r="DD256" s="51"/>
      <c r="DE256" s="51"/>
      <c r="DF256" s="51"/>
      <c r="DG256" s="51"/>
      <c r="DH256" s="51"/>
      <c r="DI256" s="51"/>
      <c r="DJ256" s="51"/>
      <c r="DK256" s="51"/>
      <c r="DL256" s="51"/>
      <c r="DM256" s="51"/>
      <c r="DN256" s="51"/>
      <c r="DO256" s="51"/>
      <c r="DP256" s="51"/>
      <c r="DQ256" s="51"/>
      <c r="DR256" s="51"/>
      <c r="DS256" s="51"/>
      <c r="DT256" s="51"/>
      <c r="DU256" s="51"/>
      <c r="DV256" s="51"/>
      <c r="DW256" s="51"/>
      <c r="DX256" s="51"/>
      <c r="DY256" s="51"/>
      <c r="DZ256" s="51"/>
      <c r="EA256" s="51"/>
      <c r="EB256" s="51"/>
      <c r="EC256" s="51"/>
      <c r="ED256" s="51"/>
      <c r="EE256" s="51"/>
      <c r="EF256" s="51"/>
      <c r="EG256" s="51"/>
      <c r="EH256" s="51"/>
      <c r="EI256" s="51"/>
      <c r="EJ256" s="40"/>
      <c r="EK256" s="40"/>
      <c r="EL256" s="40"/>
      <c r="EM256" s="40"/>
      <c r="EN256" s="40"/>
      <c r="EO256" s="40"/>
      <c r="EP256" s="40"/>
      <c r="EQ256" s="40"/>
      <c r="ER256" s="40"/>
      <c r="ES256" s="40"/>
      <c r="ET256" s="40"/>
      <c r="EU256" s="40"/>
      <c r="EV256" s="40"/>
      <c r="EW256" s="40"/>
      <c r="EX256" s="40"/>
      <c r="EY256" s="40"/>
      <c r="EZ256" s="40"/>
      <c r="FA256" s="40"/>
      <c r="FB256" s="40"/>
      <c r="FC256" s="40"/>
      <c r="FD256" s="40"/>
      <c r="FE256" s="40"/>
      <c r="FF256" s="40"/>
      <c r="FG256" s="40"/>
      <c r="FH256" s="40"/>
      <c r="FI256" s="40"/>
      <c r="FJ256" s="40"/>
      <c r="FK256" s="40"/>
      <c r="FL256" s="40"/>
      <c r="FM256" s="40"/>
      <c r="FN256" s="40"/>
      <c r="FO256" s="40"/>
      <c r="FP256" s="40"/>
      <c r="FQ256" s="40"/>
      <c r="FR256" s="40"/>
      <c r="FS256" s="40"/>
    </row>
    <row r="257" spans="1:175" s="13" customFormat="1" ht="9.75" hidden="1" customHeight="1">
      <c r="A257" s="139"/>
      <c r="B257" s="497"/>
      <c r="C257" s="140"/>
      <c r="D257" s="141"/>
      <c r="E257" s="141"/>
      <c r="F257" s="141"/>
      <c r="G257" s="141"/>
      <c r="H257" s="141"/>
      <c r="I257" s="142"/>
      <c r="J257" s="141"/>
      <c r="K257" s="141"/>
      <c r="L257" s="143"/>
      <c r="M257" s="143"/>
      <c r="N257" s="144"/>
      <c r="O257" s="144"/>
      <c r="P257" s="14"/>
      <c r="Q257" s="243"/>
      <c r="R257" s="65"/>
      <c r="S257" s="243"/>
      <c r="T257" s="65"/>
      <c r="U257" s="65"/>
      <c r="V257" s="65"/>
      <c r="W257" s="63"/>
      <c r="X257" s="64"/>
      <c r="Y257" s="64"/>
      <c r="Z257" s="64"/>
      <c r="AA257" s="64"/>
      <c r="AB257" s="64"/>
      <c r="AC257" s="64"/>
      <c r="AD257" s="64"/>
      <c r="AE257" s="64"/>
      <c r="AF257" s="65"/>
      <c r="AG257" s="65"/>
      <c r="AH257" s="65"/>
      <c r="AI257" s="65"/>
      <c r="AJ257" s="65"/>
      <c r="AK257" s="65"/>
      <c r="AL257" s="65"/>
      <c r="AM257" s="65"/>
      <c r="AN257" s="65"/>
      <c r="AO257" s="65"/>
      <c r="AP257" s="65"/>
      <c r="AQ257" s="65"/>
      <c r="AR257" s="65"/>
      <c r="AS257" s="66"/>
      <c r="AT257" s="66"/>
      <c r="AU257" s="66"/>
      <c r="AV257" s="66"/>
      <c r="AW257" s="41"/>
      <c r="AX257" s="41"/>
      <c r="AY257" s="41"/>
      <c r="AZ257" s="41"/>
      <c r="BA257" s="41"/>
      <c r="BB257" s="41"/>
      <c r="BC257" s="41"/>
      <c r="BD257" s="41"/>
      <c r="BE257" s="41"/>
      <c r="BF257" s="41"/>
      <c r="BG257" s="41"/>
      <c r="BH257" s="41"/>
      <c r="BI257" s="41"/>
      <c r="BJ257" s="41"/>
      <c r="BK257" s="41"/>
      <c r="BL257" s="41"/>
      <c r="BM257" s="41"/>
      <c r="BN257" s="41"/>
      <c r="BO257" s="41"/>
      <c r="BP257" s="41"/>
      <c r="BQ257" s="41"/>
      <c r="BR257" s="41"/>
      <c r="BS257" s="41"/>
      <c r="BT257" s="41"/>
      <c r="BU257" s="41"/>
      <c r="BV257" s="41"/>
      <c r="BW257" s="41"/>
      <c r="BX257" s="41"/>
      <c r="BY257" s="41"/>
      <c r="BZ257" s="41"/>
      <c r="CA257" s="41"/>
      <c r="CB257" s="41"/>
      <c r="CC257" s="41"/>
      <c r="CD257" s="41"/>
      <c r="CE257" s="41"/>
      <c r="CF257" s="41"/>
      <c r="CG257" s="41"/>
      <c r="CH257" s="41"/>
      <c r="CI257" s="41"/>
      <c r="CJ257" s="41"/>
      <c r="CK257" s="41"/>
      <c r="CL257" s="41"/>
      <c r="CM257" s="41"/>
      <c r="CN257" s="41"/>
      <c r="CO257" s="41"/>
      <c r="CP257" s="41"/>
      <c r="CQ257" s="41"/>
      <c r="CR257" s="41"/>
      <c r="CS257" s="41"/>
      <c r="CT257" s="41"/>
      <c r="CU257" s="41"/>
      <c r="CV257" s="41"/>
      <c r="CW257" s="41"/>
      <c r="CX257" s="41"/>
      <c r="CY257" s="41"/>
      <c r="CZ257" s="41"/>
      <c r="DA257" s="51"/>
      <c r="DB257" s="51"/>
      <c r="DC257" s="51"/>
      <c r="DD257" s="51"/>
      <c r="DE257" s="51"/>
      <c r="DF257" s="51"/>
      <c r="DG257" s="51"/>
      <c r="DH257" s="51"/>
      <c r="DI257" s="51"/>
      <c r="DJ257" s="51"/>
      <c r="DK257" s="51"/>
      <c r="DL257" s="51"/>
      <c r="DM257" s="51"/>
      <c r="DN257" s="51"/>
      <c r="DO257" s="51"/>
      <c r="DP257" s="51"/>
      <c r="DQ257" s="51"/>
      <c r="DR257" s="51"/>
      <c r="DS257" s="51"/>
      <c r="DT257" s="51"/>
      <c r="DU257" s="51"/>
      <c r="DV257" s="51"/>
      <c r="DW257" s="51"/>
      <c r="DX257" s="51"/>
      <c r="DY257" s="51"/>
      <c r="DZ257" s="51"/>
      <c r="EA257" s="51"/>
      <c r="EB257" s="51"/>
      <c r="EC257" s="51"/>
      <c r="ED257" s="51"/>
      <c r="EE257" s="51"/>
      <c r="EF257" s="51"/>
      <c r="EG257" s="51"/>
      <c r="EH257" s="51"/>
      <c r="EI257" s="51"/>
      <c r="EJ257" s="40"/>
      <c r="EK257" s="40"/>
      <c r="EL257" s="40"/>
      <c r="EM257" s="40"/>
      <c r="EN257" s="40"/>
      <c r="EO257" s="40"/>
      <c r="EP257" s="40"/>
      <c r="EQ257" s="40"/>
      <c r="ER257" s="40"/>
      <c r="ES257" s="40"/>
      <c r="ET257" s="40"/>
      <c r="EU257" s="40"/>
      <c r="EV257" s="40"/>
      <c r="EW257" s="40"/>
      <c r="EX257" s="40"/>
      <c r="EY257" s="40"/>
      <c r="EZ257" s="40"/>
      <c r="FA257" s="40"/>
      <c r="FB257" s="40"/>
      <c r="FC257" s="40"/>
      <c r="FD257" s="40"/>
      <c r="FE257" s="40"/>
      <c r="FF257" s="40"/>
      <c r="FG257" s="40"/>
      <c r="FH257" s="40"/>
      <c r="FI257" s="40"/>
      <c r="FJ257" s="40"/>
      <c r="FK257" s="40"/>
      <c r="FL257" s="40"/>
      <c r="FM257" s="40"/>
      <c r="FN257" s="40"/>
      <c r="FO257" s="40"/>
      <c r="FP257" s="40"/>
      <c r="FQ257" s="40"/>
      <c r="FR257" s="40"/>
      <c r="FS257" s="40"/>
    </row>
    <row r="258" spans="1:175" s="13" customFormat="1" ht="9.75" hidden="1" customHeight="1">
      <c r="A258" s="139"/>
      <c r="B258" s="497"/>
      <c r="C258" s="140"/>
      <c r="D258" s="141"/>
      <c r="E258" s="141"/>
      <c r="F258" s="141"/>
      <c r="G258" s="141"/>
      <c r="H258" s="141"/>
      <c r="I258" s="142"/>
      <c r="J258" s="141"/>
      <c r="K258" s="141"/>
      <c r="L258" s="143"/>
      <c r="M258" s="143"/>
      <c r="N258" s="144"/>
      <c r="O258" s="144"/>
      <c r="P258" s="14"/>
      <c r="Q258" s="243"/>
      <c r="R258" s="65"/>
      <c r="S258" s="243"/>
      <c r="T258" s="65"/>
      <c r="U258" s="65"/>
      <c r="V258" s="65"/>
      <c r="W258" s="63"/>
      <c r="X258" s="64"/>
      <c r="Y258" s="64"/>
      <c r="Z258" s="64"/>
      <c r="AA258" s="64"/>
      <c r="AB258" s="64"/>
      <c r="AC258" s="64"/>
      <c r="AD258" s="64"/>
      <c r="AE258" s="64"/>
      <c r="AF258" s="65"/>
      <c r="AG258" s="65"/>
      <c r="AH258" s="65"/>
      <c r="AI258" s="65"/>
      <c r="AJ258" s="65"/>
      <c r="AK258" s="65"/>
      <c r="AL258" s="65"/>
      <c r="AM258" s="65"/>
      <c r="AN258" s="65"/>
      <c r="AO258" s="65"/>
      <c r="AP258" s="65"/>
      <c r="AQ258" s="65"/>
      <c r="AR258" s="65"/>
      <c r="AS258" s="66"/>
      <c r="AT258" s="66"/>
      <c r="AU258" s="66"/>
      <c r="AV258" s="66"/>
      <c r="AW258" s="41"/>
      <c r="AX258" s="41"/>
      <c r="AY258" s="41"/>
      <c r="AZ258" s="41"/>
      <c r="BA258" s="41"/>
      <c r="BB258" s="41"/>
      <c r="BC258" s="41"/>
      <c r="BD258" s="41"/>
      <c r="BE258" s="41"/>
      <c r="BF258" s="41"/>
      <c r="BG258" s="41"/>
      <c r="BH258" s="41"/>
      <c r="BI258" s="41"/>
      <c r="BJ258" s="41"/>
      <c r="BK258" s="41"/>
      <c r="BL258" s="41"/>
      <c r="BM258" s="41"/>
      <c r="BN258" s="41"/>
      <c r="BO258" s="41"/>
      <c r="BP258" s="41"/>
      <c r="BQ258" s="41"/>
      <c r="BR258" s="41"/>
      <c r="BS258" s="41"/>
      <c r="BT258" s="41"/>
      <c r="BU258" s="41"/>
      <c r="BV258" s="41"/>
      <c r="BW258" s="41"/>
      <c r="BX258" s="41"/>
      <c r="BY258" s="41"/>
      <c r="BZ258" s="41"/>
      <c r="CA258" s="41"/>
      <c r="CB258" s="41"/>
      <c r="CC258" s="41"/>
      <c r="CD258" s="41"/>
      <c r="CE258" s="41"/>
      <c r="CF258" s="41"/>
      <c r="CG258" s="41"/>
      <c r="CH258" s="41"/>
      <c r="CI258" s="41"/>
      <c r="CJ258" s="41"/>
      <c r="CK258" s="41"/>
      <c r="CL258" s="41"/>
      <c r="CM258" s="41"/>
      <c r="CN258" s="41"/>
      <c r="CO258" s="41"/>
      <c r="CP258" s="41"/>
      <c r="CQ258" s="41"/>
      <c r="CR258" s="41"/>
      <c r="CS258" s="41"/>
      <c r="CT258" s="41"/>
      <c r="CU258" s="41"/>
      <c r="CV258" s="41"/>
      <c r="CW258" s="41"/>
      <c r="CX258" s="41"/>
      <c r="CY258" s="41"/>
      <c r="CZ258" s="41"/>
      <c r="DA258" s="51"/>
      <c r="DB258" s="51"/>
      <c r="DC258" s="51"/>
      <c r="DD258" s="51"/>
      <c r="DE258" s="51"/>
      <c r="DF258" s="51"/>
      <c r="DG258" s="51"/>
      <c r="DH258" s="51"/>
      <c r="DI258" s="51"/>
      <c r="DJ258" s="51"/>
      <c r="DK258" s="51"/>
      <c r="DL258" s="51"/>
      <c r="DM258" s="51"/>
      <c r="DN258" s="51"/>
      <c r="DO258" s="51"/>
      <c r="DP258" s="51"/>
      <c r="DQ258" s="51"/>
      <c r="DR258" s="51"/>
      <c r="DS258" s="51"/>
      <c r="DT258" s="51"/>
      <c r="DU258" s="51"/>
      <c r="DV258" s="51"/>
      <c r="DW258" s="51"/>
      <c r="DX258" s="51"/>
      <c r="DY258" s="51"/>
      <c r="DZ258" s="51"/>
      <c r="EA258" s="51"/>
      <c r="EB258" s="51"/>
      <c r="EC258" s="51"/>
      <c r="ED258" s="51"/>
      <c r="EE258" s="51"/>
      <c r="EF258" s="51"/>
      <c r="EG258" s="51"/>
      <c r="EH258" s="51"/>
      <c r="EI258" s="51"/>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row>
    <row r="259" spans="1:175" s="13" customFormat="1" ht="9.75" hidden="1" customHeight="1">
      <c r="A259" s="139"/>
      <c r="B259" s="497"/>
      <c r="C259" s="140"/>
      <c r="D259" s="141"/>
      <c r="E259" s="141"/>
      <c r="F259" s="141"/>
      <c r="G259" s="141"/>
      <c r="H259" s="141"/>
      <c r="I259" s="142"/>
      <c r="J259" s="141"/>
      <c r="K259" s="141"/>
      <c r="L259" s="143"/>
      <c r="M259" s="143"/>
      <c r="N259" s="144"/>
      <c r="O259" s="144"/>
      <c r="P259" s="14"/>
      <c r="Q259" s="243"/>
      <c r="R259" s="65"/>
      <c r="S259" s="243"/>
      <c r="T259" s="65"/>
      <c r="U259" s="65"/>
      <c r="V259" s="65"/>
      <c r="W259" s="63"/>
      <c r="X259" s="64"/>
      <c r="Y259" s="64"/>
      <c r="Z259" s="64"/>
      <c r="AA259" s="64"/>
      <c r="AB259" s="64"/>
      <c r="AC259" s="64"/>
      <c r="AD259" s="64"/>
      <c r="AE259" s="64"/>
      <c r="AF259" s="65"/>
      <c r="AG259" s="65"/>
      <c r="AH259" s="65"/>
      <c r="AI259" s="65"/>
      <c r="AJ259" s="65"/>
      <c r="AK259" s="65"/>
      <c r="AL259" s="65"/>
      <c r="AM259" s="65"/>
      <c r="AN259" s="65"/>
      <c r="AO259" s="65"/>
      <c r="AP259" s="65"/>
      <c r="AQ259" s="65"/>
      <c r="AR259" s="65"/>
      <c r="AS259" s="66"/>
      <c r="AT259" s="66"/>
      <c r="AU259" s="66"/>
      <c r="AV259" s="66"/>
      <c r="AW259" s="41"/>
      <c r="AX259" s="41"/>
      <c r="AY259" s="41"/>
      <c r="AZ259" s="41"/>
      <c r="BA259" s="41"/>
      <c r="BB259" s="41"/>
      <c r="BC259" s="41"/>
      <c r="BD259" s="41"/>
      <c r="BE259" s="41"/>
      <c r="BF259" s="41"/>
      <c r="BG259" s="41"/>
      <c r="BH259" s="41"/>
      <c r="BI259" s="41"/>
      <c r="BJ259" s="41"/>
      <c r="BK259" s="41"/>
      <c r="BL259" s="41"/>
      <c r="BM259" s="41"/>
      <c r="BN259" s="41"/>
      <c r="BO259" s="41"/>
      <c r="BP259" s="41"/>
      <c r="BQ259" s="41"/>
      <c r="BR259" s="41"/>
      <c r="BS259" s="41"/>
      <c r="BT259" s="41"/>
      <c r="BU259" s="41"/>
      <c r="BV259" s="41"/>
      <c r="BW259" s="41"/>
      <c r="BX259" s="41"/>
      <c r="BY259" s="41"/>
      <c r="BZ259" s="41"/>
      <c r="CA259" s="41"/>
      <c r="CB259" s="41"/>
      <c r="CC259" s="41"/>
      <c r="CD259" s="41"/>
      <c r="CE259" s="41"/>
      <c r="CF259" s="41"/>
      <c r="CG259" s="41"/>
      <c r="CH259" s="41"/>
      <c r="CI259" s="41"/>
      <c r="CJ259" s="41"/>
      <c r="CK259" s="41"/>
      <c r="CL259" s="41"/>
      <c r="CM259" s="41"/>
      <c r="CN259" s="41"/>
      <c r="CO259" s="41"/>
      <c r="CP259" s="41"/>
      <c r="CQ259" s="41"/>
      <c r="CR259" s="41"/>
      <c r="CS259" s="41"/>
      <c r="CT259" s="41"/>
      <c r="CU259" s="41"/>
      <c r="CV259" s="41"/>
      <c r="CW259" s="41"/>
      <c r="CX259" s="41"/>
      <c r="CY259" s="41"/>
      <c r="CZ259" s="41"/>
      <c r="DA259" s="51"/>
      <c r="DB259" s="51"/>
      <c r="DC259" s="51"/>
      <c r="DD259" s="51"/>
      <c r="DE259" s="51"/>
      <c r="DF259" s="51"/>
      <c r="DG259" s="51"/>
      <c r="DH259" s="51"/>
      <c r="DI259" s="51"/>
      <c r="DJ259" s="51"/>
      <c r="DK259" s="51"/>
      <c r="DL259" s="51"/>
      <c r="DM259" s="51"/>
      <c r="DN259" s="51"/>
      <c r="DO259" s="51"/>
      <c r="DP259" s="51"/>
      <c r="DQ259" s="51"/>
      <c r="DR259" s="51"/>
      <c r="DS259" s="51"/>
      <c r="DT259" s="51"/>
      <c r="DU259" s="51"/>
      <c r="DV259" s="51"/>
      <c r="DW259" s="51"/>
      <c r="DX259" s="51"/>
      <c r="DY259" s="51"/>
      <c r="DZ259" s="51"/>
      <c r="EA259" s="51"/>
      <c r="EB259" s="51"/>
      <c r="EC259" s="51"/>
      <c r="ED259" s="51"/>
      <c r="EE259" s="51"/>
      <c r="EF259" s="51"/>
      <c r="EG259" s="51"/>
      <c r="EH259" s="51"/>
      <c r="EI259" s="51"/>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row>
    <row r="260" spans="1:175" s="13" customFormat="1" ht="26.25" hidden="1" customHeight="1">
      <c r="A260" s="62"/>
      <c r="B260" s="14"/>
      <c r="P260" s="14"/>
      <c r="Q260" s="243"/>
      <c r="R260" s="65"/>
      <c r="S260" s="243"/>
      <c r="T260" s="65"/>
      <c r="U260" s="65"/>
      <c r="V260" s="65"/>
      <c r="W260" s="63"/>
      <c r="X260" s="64"/>
      <c r="Y260" s="64"/>
      <c r="Z260" s="64"/>
      <c r="AA260" s="64"/>
      <c r="AB260" s="64"/>
      <c r="AC260" s="64"/>
      <c r="AD260" s="64"/>
      <c r="AE260" s="64"/>
      <c r="AF260" s="65"/>
      <c r="AG260" s="65"/>
      <c r="AH260" s="65"/>
      <c r="AI260" s="65"/>
      <c r="AJ260" s="65"/>
      <c r="AK260" s="65"/>
      <c r="AL260" s="65"/>
      <c r="AM260" s="65"/>
      <c r="AN260" s="65"/>
      <c r="AO260" s="65"/>
      <c r="AP260" s="65"/>
      <c r="AQ260" s="65"/>
      <c r="AR260" s="65"/>
      <c r="AS260" s="66"/>
      <c r="AT260" s="66"/>
      <c r="AU260" s="66"/>
      <c r="AV260" s="66"/>
      <c r="AW260" s="41"/>
      <c r="AX260" s="41"/>
      <c r="AY260" s="41"/>
      <c r="AZ260" s="41"/>
      <c r="BA260" s="41"/>
      <c r="BB260" s="41"/>
      <c r="BC260" s="41"/>
      <c r="BD260" s="41"/>
      <c r="BE260" s="41"/>
      <c r="BF260" s="41"/>
      <c r="BG260" s="41"/>
      <c r="BH260" s="41"/>
      <c r="BI260" s="41"/>
      <c r="BJ260" s="41"/>
      <c r="BK260" s="41"/>
      <c r="BL260" s="41"/>
      <c r="BM260" s="41"/>
      <c r="BN260" s="41"/>
      <c r="BO260" s="41"/>
      <c r="BP260" s="41"/>
      <c r="BQ260" s="41"/>
      <c r="BR260" s="41"/>
      <c r="BS260" s="41"/>
      <c r="BT260" s="41"/>
      <c r="BU260" s="41"/>
      <c r="BV260" s="41"/>
      <c r="BW260" s="41"/>
      <c r="BX260" s="41"/>
      <c r="BY260" s="41"/>
      <c r="BZ260" s="41"/>
      <c r="CA260" s="41"/>
      <c r="CB260" s="41"/>
      <c r="CC260" s="41"/>
      <c r="CD260" s="41"/>
      <c r="CE260" s="41"/>
      <c r="CF260" s="41"/>
      <c r="CG260" s="41"/>
      <c r="CH260" s="41"/>
      <c r="CI260" s="41"/>
      <c r="CJ260" s="41"/>
      <c r="CK260" s="41"/>
      <c r="CL260" s="41"/>
      <c r="CM260" s="41"/>
      <c r="CN260" s="41"/>
      <c r="CO260" s="41"/>
      <c r="CP260" s="41"/>
      <c r="CQ260" s="41"/>
      <c r="CR260" s="41"/>
      <c r="CS260" s="41"/>
      <c r="CT260" s="41"/>
      <c r="CU260" s="41"/>
      <c r="CV260" s="41"/>
      <c r="CW260" s="41"/>
      <c r="CX260" s="41"/>
      <c r="CY260" s="41"/>
      <c r="CZ260" s="41"/>
      <c r="DA260" s="51"/>
      <c r="DB260" s="51"/>
      <c r="DC260" s="51"/>
      <c r="DD260" s="51"/>
      <c r="DE260" s="51"/>
      <c r="DF260" s="51"/>
      <c r="DG260" s="51"/>
      <c r="DH260" s="51"/>
      <c r="DI260" s="51"/>
      <c r="DJ260" s="51"/>
      <c r="DK260" s="51"/>
      <c r="DL260" s="51"/>
      <c r="DM260" s="51"/>
      <c r="DN260" s="51"/>
      <c r="DO260" s="51"/>
      <c r="DP260" s="51"/>
      <c r="DQ260" s="51"/>
      <c r="DR260" s="51"/>
      <c r="DS260" s="51"/>
      <c r="DT260" s="51"/>
      <c r="DU260" s="51"/>
      <c r="DV260" s="51"/>
      <c r="DW260" s="51"/>
      <c r="DX260" s="51"/>
      <c r="DY260" s="51"/>
      <c r="DZ260" s="51"/>
      <c r="EA260" s="51"/>
      <c r="EB260" s="51"/>
      <c r="EC260" s="51"/>
      <c r="ED260" s="51"/>
      <c r="EE260" s="51"/>
      <c r="EF260" s="51"/>
      <c r="EG260" s="51"/>
      <c r="EH260" s="51"/>
      <c r="EI260" s="51"/>
      <c r="EJ260" s="40"/>
      <c r="EK260" s="40"/>
      <c r="EL260" s="40"/>
      <c r="EM260" s="40"/>
      <c r="EN260" s="40"/>
      <c r="EO260" s="40"/>
      <c r="EP260" s="40"/>
      <c r="EQ260" s="40"/>
      <c r="ER260" s="40"/>
      <c r="ES260" s="40"/>
      <c r="ET260" s="40"/>
      <c r="EU260" s="40"/>
      <c r="EV260" s="40"/>
      <c r="EW260" s="40"/>
      <c r="EX260" s="40"/>
      <c r="EY260" s="40"/>
      <c r="EZ260" s="40"/>
      <c r="FA260" s="40"/>
      <c r="FB260" s="40"/>
      <c r="FC260" s="40"/>
      <c r="FD260" s="40"/>
      <c r="FE260" s="40"/>
      <c r="FF260" s="40"/>
      <c r="FG260" s="40"/>
      <c r="FH260" s="40"/>
      <c r="FI260" s="40"/>
      <c r="FJ260" s="40"/>
      <c r="FK260" s="40"/>
      <c r="FL260" s="40"/>
      <c r="FM260" s="40"/>
      <c r="FN260" s="40"/>
      <c r="FO260" s="40"/>
      <c r="FP260" s="40"/>
      <c r="FQ260" s="40"/>
      <c r="FR260" s="40"/>
      <c r="FS260" s="40"/>
    </row>
    <row r="261" spans="1:175" s="13" customFormat="1" ht="16.100000000000001" hidden="1" customHeight="1">
      <c r="A261" s="62"/>
      <c r="B261" s="14"/>
      <c r="P261" s="14"/>
      <c r="Q261" s="243"/>
      <c r="R261" s="65"/>
      <c r="S261" s="243"/>
      <c r="T261" s="65"/>
      <c r="U261" s="65"/>
      <c r="V261" s="65"/>
      <c r="W261" s="63"/>
      <c r="X261" s="64"/>
      <c r="Y261" s="64"/>
      <c r="Z261" s="64"/>
      <c r="AA261" s="64"/>
      <c r="AB261" s="64"/>
      <c r="AC261" s="64"/>
      <c r="AD261" s="64"/>
      <c r="AE261" s="64"/>
      <c r="AF261" s="65"/>
      <c r="AG261" s="65"/>
      <c r="AH261" s="65"/>
      <c r="AI261" s="65"/>
      <c r="AJ261" s="65"/>
      <c r="AK261" s="65"/>
      <c r="AL261" s="65"/>
      <c r="AM261" s="65"/>
      <c r="AN261" s="65"/>
      <c r="AO261" s="65"/>
      <c r="AP261" s="65"/>
      <c r="AQ261" s="65"/>
      <c r="AR261" s="65"/>
      <c r="AS261" s="66"/>
      <c r="AT261" s="66"/>
      <c r="AU261" s="66"/>
      <c r="AV261" s="66"/>
      <c r="AW261" s="41"/>
      <c r="AX261" s="41"/>
      <c r="AY261" s="41"/>
      <c r="AZ261" s="41"/>
      <c r="BA261" s="41"/>
      <c r="BB261" s="41"/>
      <c r="BC261" s="41"/>
      <c r="BD261" s="41"/>
      <c r="BE261" s="41"/>
      <c r="BF261" s="41"/>
      <c r="BG261" s="41"/>
      <c r="BH261" s="41"/>
      <c r="BI261" s="41"/>
      <c r="BJ261" s="41"/>
      <c r="BK261" s="41"/>
      <c r="BL261" s="41"/>
      <c r="BM261" s="41"/>
      <c r="BN261" s="41"/>
      <c r="BO261" s="41"/>
      <c r="BP261" s="41"/>
      <c r="BQ261" s="41"/>
      <c r="BR261" s="41"/>
      <c r="BS261" s="41"/>
      <c r="BT261" s="41"/>
      <c r="BU261" s="41"/>
      <c r="BV261" s="41"/>
      <c r="BW261" s="41"/>
      <c r="BX261" s="41"/>
      <c r="BY261" s="41"/>
      <c r="BZ261" s="41"/>
      <c r="CA261" s="41"/>
      <c r="CB261" s="41"/>
      <c r="CC261" s="41"/>
      <c r="CD261" s="41"/>
      <c r="CE261" s="41"/>
      <c r="CF261" s="41"/>
      <c r="CG261" s="41"/>
      <c r="CH261" s="41"/>
      <c r="CI261" s="41"/>
      <c r="CJ261" s="41"/>
      <c r="CK261" s="41"/>
      <c r="CL261" s="41"/>
      <c r="CM261" s="41"/>
      <c r="CN261" s="41"/>
      <c r="CO261" s="41"/>
      <c r="CP261" s="41"/>
      <c r="CQ261" s="41"/>
      <c r="CR261" s="41"/>
      <c r="CS261" s="41"/>
      <c r="CT261" s="41"/>
      <c r="CU261" s="41"/>
      <c r="CV261" s="41"/>
      <c r="CW261" s="41"/>
      <c r="CX261" s="41"/>
      <c r="CY261" s="41"/>
      <c r="CZ261" s="41"/>
      <c r="DA261" s="51"/>
      <c r="DB261" s="51"/>
      <c r="DC261" s="51"/>
      <c r="DD261" s="51"/>
      <c r="DE261" s="51"/>
      <c r="DF261" s="51"/>
      <c r="DG261" s="51"/>
      <c r="DH261" s="51"/>
      <c r="DI261" s="51"/>
      <c r="DJ261" s="51"/>
      <c r="DK261" s="51"/>
      <c r="DL261" s="51"/>
      <c r="DM261" s="51"/>
      <c r="DN261" s="51"/>
      <c r="DO261" s="51"/>
      <c r="DP261" s="51"/>
      <c r="DQ261" s="51"/>
      <c r="DR261" s="51"/>
      <c r="DS261" s="51"/>
      <c r="DT261" s="51"/>
      <c r="DU261" s="51"/>
      <c r="DV261" s="51"/>
      <c r="DW261" s="51"/>
      <c r="DX261" s="51"/>
      <c r="DY261" s="51"/>
      <c r="DZ261" s="51"/>
      <c r="EA261" s="51"/>
      <c r="EB261" s="51"/>
      <c r="EC261" s="51"/>
      <c r="ED261" s="51"/>
      <c r="EE261" s="51"/>
      <c r="EF261" s="51"/>
      <c r="EG261" s="51"/>
      <c r="EH261" s="51"/>
      <c r="EI261" s="51"/>
      <c r="EJ261" s="40"/>
      <c r="EK261" s="40"/>
      <c r="EL261" s="40"/>
      <c r="EM261" s="40"/>
      <c r="EN261" s="40"/>
      <c r="EO261" s="40"/>
      <c r="EP261" s="40"/>
      <c r="EQ261" s="40"/>
      <c r="ER261" s="40"/>
      <c r="ES261" s="40"/>
      <c r="ET261" s="40"/>
      <c r="EU261" s="40"/>
      <c r="EV261" s="40"/>
      <c r="EW261" s="40"/>
      <c r="EX261" s="40"/>
      <c r="EY261" s="40"/>
      <c r="EZ261" s="40"/>
      <c r="FA261" s="40"/>
      <c r="FB261" s="40"/>
      <c r="FC261" s="40"/>
      <c r="FD261" s="40"/>
      <c r="FE261" s="40"/>
      <c r="FF261" s="40"/>
      <c r="FG261" s="40"/>
      <c r="FH261" s="40"/>
      <c r="FI261" s="40"/>
      <c r="FJ261" s="40"/>
      <c r="FK261" s="40"/>
      <c r="FL261" s="40"/>
      <c r="FM261" s="40"/>
      <c r="FN261" s="40"/>
      <c r="FO261" s="40"/>
      <c r="FP261" s="40"/>
      <c r="FQ261" s="40"/>
      <c r="FR261" s="40"/>
      <c r="FS261" s="40"/>
    </row>
    <row r="262" spans="1:175" s="13" customFormat="1" ht="16.100000000000001" hidden="1" customHeight="1">
      <c r="A262" s="62"/>
      <c r="B262" s="14"/>
      <c r="P262" s="14"/>
      <c r="Q262" s="243"/>
      <c r="R262" s="65"/>
      <c r="S262" s="243"/>
      <c r="T262" s="65"/>
      <c r="U262" s="65"/>
      <c r="V262" s="65"/>
      <c r="W262" s="63"/>
      <c r="X262" s="64"/>
      <c r="Y262" s="64"/>
      <c r="Z262" s="64"/>
      <c r="AA262" s="64"/>
      <c r="AB262" s="64"/>
      <c r="AC262" s="64"/>
      <c r="AD262" s="64"/>
      <c r="AE262" s="64"/>
      <c r="AF262" s="65"/>
      <c r="AG262" s="65"/>
      <c r="AH262" s="65"/>
      <c r="AI262" s="65"/>
      <c r="AJ262" s="65"/>
      <c r="AK262" s="65"/>
      <c r="AL262" s="65"/>
      <c r="AM262" s="65"/>
      <c r="AN262" s="65"/>
      <c r="AO262" s="65"/>
      <c r="AP262" s="65"/>
      <c r="AQ262" s="65"/>
      <c r="AR262" s="65"/>
      <c r="AS262" s="66"/>
      <c r="AT262" s="66"/>
      <c r="AU262" s="66"/>
      <c r="AV262" s="66"/>
      <c r="AW262" s="41"/>
      <c r="AX262" s="41"/>
      <c r="AY262" s="41"/>
      <c r="AZ262" s="41"/>
      <c r="BA262" s="41"/>
      <c r="BB262" s="41"/>
      <c r="BC262" s="41"/>
      <c r="BD262" s="41"/>
      <c r="BE262" s="41"/>
      <c r="BF262" s="41"/>
      <c r="BG262" s="41"/>
      <c r="BH262" s="41"/>
      <c r="BI262" s="41"/>
      <c r="BJ262" s="41"/>
      <c r="BK262" s="41"/>
      <c r="BL262" s="41"/>
      <c r="BM262" s="41"/>
      <c r="BN262" s="41"/>
      <c r="BO262" s="41"/>
      <c r="BP262" s="41"/>
      <c r="BQ262" s="41"/>
      <c r="BR262" s="41"/>
      <c r="BS262" s="41"/>
      <c r="BT262" s="41"/>
      <c r="BU262" s="41"/>
      <c r="BV262" s="41"/>
      <c r="BW262" s="41"/>
      <c r="BX262" s="41"/>
      <c r="BY262" s="41"/>
      <c r="BZ262" s="41"/>
      <c r="CA262" s="41"/>
      <c r="CB262" s="41"/>
      <c r="CC262" s="41"/>
      <c r="CD262" s="41"/>
      <c r="CE262" s="41"/>
      <c r="CF262" s="41"/>
      <c r="CG262" s="41"/>
      <c r="CH262" s="41"/>
      <c r="CI262" s="41"/>
      <c r="CJ262" s="41"/>
      <c r="CK262" s="41"/>
      <c r="CL262" s="41"/>
      <c r="CM262" s="41"/>
      <c r="CN262" s="41"/>
      <c r="CO262" s="41"/>
      <c r="CP262" s="41"/>
      <c r="CQ262" s="41"/>
      <c r="CR262" s="41"/>
      <c r="CS262" s="41"/>
      <c r="CT262" s="41"/>
      <c r="CU262" s="41"/>
      <c r="CV262" s="41"/>
      <c r="CW262" s="41"/>
      <c r="CX262" s="41"/>
      <c r="CY262" s="41"/>
      <c r="CZ262" s="41"/>
      <c r="DA262" s="51"/>
      <c r="DB262" s="51"/>
      <c r="DC262" s="51"/>
      <c r="DD262" s="51"/>
      <c r="DE262" s="51"/>
      <c r="DF262" s="51"/>
      <c r="DG262" s="51"/>
      <c r="DH262" s="51"/>
      <c r="DI262" s="51"/>
      <c r="DJ262" s="51"/>
      <c r="DK262" s="51"/>
      <c r="DL262" s="51"/>
      <c r="DM262" s="51"/>
      <c r="DN262" s="51"/>
      <c r="DO262" s="51"/>
      <c r="DP262" s="51"/>
      <c r="DQ262" s="51"/>
      <c r="DR262" s="51"/>
      <c r="DS262" s="51"/>
      <c r="DT262" s="51"/>
      <c r="DU262" s="51"/>
      <c r="DV262" s="51"/>
      <c r="DW262" s="51"/>
      <c r="DX262" s="51"/>
      <c r="DY262" s="51"/>
      <c r="DZ262" s="51"/>
      <c r="EA262" s="51"/>
      <c r="EB262" s="51"/>
      <c r="EC262" s="51"/>
      <c r="ED262" s="51"/>
      <c r="EE262" s="51"/>
      <c r="EF262" s="51"/>
      <c r="EG262" s="51"/>
      <c r="EH262" s="51"/>
      <c r="EI262" s="51"/>
      <c r="EJ262" s="40"/>
      <c r="EK262" s="40"/>
      <c r="EL262" s="40"/>
      <c r="EM262" s="40"/>
      <c r="EN262" s="40"/>
      <c r="EO262" s="40"/>
      <c r="EP262" s="40"/>
      <c r="EQ262" s="40"/>
      <c r="ER262" s="40"/>
      <c r="ES262" s="40"/>
      <c r="ET262" s="40"/>
      <c r="EU262" s="40"/>
      <c r="EV262" s="40"/>
      <c r="EW262" s="40"/>
      <c r="EX262" s="40"/>
      <c r="EY262" s="40"/>
      <c r="EZ262" s="40"/>
      <c r="FA262" s="40"/>
      <c r="FB262" s="40"/>
      <c r="FC262" s="40"/>
      <c r="FD262" s="40"/>
      <c r="FE262" s="40"/>
      <c r="FF262" s="40"/>
      <c r="FG262" s="40"/>
      <c r="FH262" s="40"/>
      <c r="FI262" s="40"/>
      <c r="FJ262" s="40"/>
      <c r="FK262" s="40"/>
      <c r="FL262" s="40"/>
      <c r="FM262" s="40"/>
      <c r="FN262" s="40"/>
      <c r="FO262" s="40"/>
      <c r="FP262" s="40"/>
      <c r="FQ262" s="40"/>
      <c r="FR262" s="40"/>
      <c r="FS262" s="40"/>
    </row>
    <row r="263" spans="1:175" s="13" customFormat="1" ht="16.100000000000001" hidden="1" customHeight="1">
      <c r="A263" s="62"/>
      <c r="B263" s="14"/>
      <c r="C263" s="10"/>
      <c r="D263" s="10"/>
      <c r="E263" s="10"/>
      <c r="F263" s="10"/>
      <c r="I263" s="10"/>
      <c r="J263" s="10"/>
      <c r="K263" s="10"/>
      <c r="L263" s="10"/>
      <c r="M263" s="10"/>
      <c r="P263" s="14"/>
      <c r="Q263" s="243"/>
      <c r="R263" s="65"/>
      <c r="S263" s="243"/>
      <c r="T263" s="65"/>
      <c r="U263" s="65"/>
      <c r="V263" s="65"/>
      <c r="W263" s="63"/>
      <c r="X263" s="64"/>
      <c r="Y263" s="64"/>
      <c r="Z263" s="64"/>
      <c r="AA263" s="64"/>
      <c r="AB263" s="64"/>
      <c r="AC263" s="64"/>
      <c r="AD263" s="64"/>
      <c r="AE263" s="64"/>
      <c r="AF263" s="65"/>
      <c r="AG263" s="65"/>
      <c r="AH263" s="65"/>
      <c r="AI263" s="65"/>
      <c r="AJ263" s="65"/>
      <c r="AK263" s="65"/>
      <c r="AL263" s="65"/>
      <c r="AM263" s="65"/>
      <c r="AN263" s="65"/>
      <c r="AO263" s="65"/>
      <c r="AP263" s="65"/>
      <c r="AQ263" s="65"/>
      <c r="AR263" s="65"/>
      <c r="AS263" s="66"/>
      <c r="AT263" s="66"/>
      <c r="AU263" s="66"/>
      <c r="AV263" s="66"/>
      <c r="AW263" s="41"/>
      <c r="AX263" s="41"/>
      <c r="AY263" s="41"/>
      <c r="AZ263" s="41"/>
      <c r="BA263" s="41"/>
      <c r="BB263" s="41"/>
      <c r="BC263" s="41"/>
      <c r="BD263" s="41"/>
      <c r="BE263" s="41"/>
      <c r="BF263" s="41"/>
      <c r="BG263" s="41"/>
      <c r="BH263" s="41"/>
      <c r="BI263" s="41"/>
      <c r="BJ263" s="41"/>
      <c r="BK263" s="41"/>
      <c r="BL263" s="41"/>
      <c r="BM263" s="41"/>
      <c r="BN263" s="41"/>
      <c r="BO263" s="41"/>
      <c r="BP263" s="41"/>
      <c r="BQ263" s="41"/>
      <c r="BR263" s="41"/>
      <c r="BS263" s="41"/>
      <c r="BT263" s="41"/>
      <c r="BU263" s="41"/>
      <c r="BV263" s="41"/>
      <c r="BW263" s="41"/>
      <c r="BX263" s="41"/>
      <c r="BY263" s="41"/>
      <c r="BZ263" s="41"/>
      <c r="CA263" s="41"/>
      <c r="CB263" s="41"/>
      <c r="CC263" s="41"/>
      <c r="CD263" s="41"/>
      <c r="CE263" s="41"/>
      <c r="CF263" s="41"/>
      <c r="CG263" s="41"/>
      <c r="CH263" s="41"/>
      <c r="CI263" s="41"/>
      <c r="CJ263" s="41"/>
      <c r="CK263" s="41"/>
      <c r="CL263" s="41"/>
      <c r="CM263" s="41"/>
      <c r="CN263" s="41"/>
      <c r="CO263" s="41"/>
      <c r="CP263" s="41"/>
      <c r="CQ263" s="41"/>
      <c r="CR263" s="41"/>
      <c r="CS263" s="41"/>
      <c r="CT263" s="41"/>
      <c r="CU263" s="41"/>
      <c r="CV263" s="41"/>
      <c r="CW263" s="41"/>
      <c r="CX263" s="41"/>
      <c r="CY263" s="41"/>
      <c r="CZ263" s="41"/>
      <c r="DA263" s="51"/>
      <c r="DB263" s="51"/>
      <c r="DC263" s="51"/>
      <c r="DD263" s="51"/>
      <c r="DE263" s="51"/>
      <c r="DF263" s="51"/>
      <c r="DG263" s="51"/>
      <c r="DH263" s="51"/>
      <c r="DI263" s="51"/>
      <c r="DJ263" s="51"/>
      <c r="DK263" s="51"/>
      <c r="DL263" s="51"/>
      <c r="DM263" s="51"/>
      <c r="DN263" s="51"/>
      <c r="DO263" s="51"/>
      <c r="DP263" s="51"/>
      <c r="DQ263" s="51"/>
      <c r="DR263" s="51"/>
      <c r="DS263" s="51"/>
      <c r="DT263" s="51"/>
      <c r="DU263" s="51"/>
      <c r="DV263" s="51"/>
      <c r="DW263" s="51"/>
      <c r="DX263" s="51"/>
      <c r="DY263" s="51"/>
      <c r="DZ263" s="51"/>
      <c r="EA263" s="51"/>
      <c r="EB263" s="51"/>
      <c r="EC263" s="51"/>
      <c r="ED263" s="51"/>
      <c r="EE263" s="51"/>
      <c r="EF263" s="51"/>
      <c r="EG263" s="51"/>
      <c r="EH263" s="51"/>
      <c r="EI263" s="51"/>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row>
    <row r="264" spans="1:175" s="13" customFormat="1" ht="16.100000000000001" hidden="1" customHeight="1">
      <c r="A264" s="62"/>
      <c r="B264" s="14"/>
      <c r="C264" s="10"/>
      <c r="D264" s="10"/>
      <c r="E264" s="10"/>
      <c r="H264" s="10"/>
      <c r="I264" s="10"/>
      <c r="J264" s="10"/>
      <c r="K264" s="10"/>
      <c r="L264" s="10"/>
      <c r="O264" s="63"/>
      <c r="P264" s="243"/>
      <c r="Q264" s="243"/>
      <c r="R264" s="65"/>
      <c r="S264" s="243"/>
      <c r="T264" s="65"/>
      <c r="U264" s="65"/>
      <c r="V264" s="63"/>
      <c r="W264" s="64"/>
      <c r="X264" s="64"/>
      <c r="Y264" s="64"/>
      <c r="Z264" s="64"/>
      <c r="AA264" s="64"/>
      <c r="AB264" s="64"/>
      <c r="AC264" s="64"/>
      <c r="AD264" s="64"/>
      <c r="AE264" s="65"/>
      <c r="AF264" s="65"/>
      <c r="AG264" s="65"/>
      <c r="AH264" s="65"/>
      <c r="AI264" s="65"/>
      <c r="AJ264" s="65"/>
      <c r="AK264" s="65"/>
      <c r="AL264" s="65"/>
      <c r="AM264" s="65"/>
      <c r="AN264" s="65"/>
      <c r="AO264" s="65"/>
      <c r="AP264" s="65"/>
      <c r="AQ264" s="65"/>
      <c r="AR264" s="66"/>
      <c r="AS264" s="66"/>
      <c r="AT264" s="66"/>
      <c r="AU264" s="66"/>
      <c r="AV264" s="41"/>
      <c r="AW264" s="41"/>
      <c r="AX264" s="41"/>
      <c r="AY264" s="41"/>
      <c r="AZ264" s="41"/>
      <c r="BA264" s="41"/>
      <c r="BB264" s="41"/>
      <c r="BC264" s="41"/>
      <c r="BD264" s="41"/>
      <c r="BE264" s="41"/>
      <c r="BF264" s="41"/>
      <c r="BG264" s="41"/>
      <c r="BH264" s="41"/>
      <c r="BI264" s="41"/>
      <c r="BJ264" s="41"/>
      <c r="BK264" s="41"/>
      <c r="BL264" s="41"/>
      <c r="BM264" s="41"/>
      <c r="BN264" s="41"/>
      <c r="BO264" s="41"/>
      <c r="BP264" s="41"/>
      <c r="BQ264" s="41"/>
      <c r="BR264" s="41"/>
      <c r="BS264" s="41"/>
      <c r="BT264" s="41"/>
      <c r="BU264" s="41"/>
      <c r="BV264" s="41"/>
      <c r="BW264" s="41"/>
      <c r="BX264" s="41"/>
      <c r="BY264" s="41"/>
      <c r="BZ264" s="41"/>
      <c r="CA264" s="41"/>
      <c r="CB264" s="41"/>
      <c r="CC264" s="41"/>
      <c r="CD264" s="41"/>
      <c r="CE264" s="41"/>
      <c r="CF264" s="41"/>
      <c r="CG264" s="41"/>
      <c r="CH264" s="41"/>
      <c r="CI264" s="41"/>
      <c r="CJ264" s="41"/>
      <c r="CK264" s="41"/>
      <c r="CL264" s="41"/>
      <c r="CM264" s="41"/>
      <c r="CN264" s="41"/>
      <c r="CO264" s="41"/>
      <c r="CP264" s="41"/>
      <c r="CQ264" s="41"/>
      <c r="CR264" s="41"/>
      <c r="CS264" s="41"/>
      <c r="CT264" s="41"/>
      <c r="CU264" s="41"/>
      <c r="CV264" s="41"/>
      <c r="CW264" s="41"/>
      <c r="CX264" s="41"/>
      <c r="CY264" s="41"/>
      <c r="CZ264" s="51"/>
      <c r="DA264" s="51"/>
      <c r="DB264" s="51"/>
      <c r="DC264" s="51"/>
      <c r="DD264" s="51"/>
      <c r="DE264" s="51"/>
      <c r="DF264" s="51"/>
      <c r="DG264" s="51"/>
      <c r="DH264" s="51"/>
      <c r="DI264" s="51"/>
      <c r="DJ264" s="51"/>
      <c r="DK264" s="51"/>
      <c r="DL264" s="51"/>
      <c r="DM264" s="51"/>
      <c r="DN264" s="51"/>
      <c r="DO264" s="51"/>
      <c r="DP264" s="51"/>
      <c r="DQ264" s="51"/>
      <c r="DR264" s="51"/>
      <c r="DS264" s="51"/>
      <c r="DT264" s="51"/>
      <c r="DU264" s="51"/>
      <c r="DV264" s="51"/>
      <c r="DW264" s="51"/>
      <c r="DX264" s="51"/>
      <c r="DY264" s="51"/>
      <c r="DZ264" s="51"/>
      <c r="EA264" s="51"/>
      <c r="EB264" s="51"/>
      <c r="EC264" s="51"/>
      <c r="ED264" s="51"/>
      <c r="EE264" s="51"/>
      <c r="EF264" s="51"/>
      <c r="EG264" s="51"/>
      <c r="EH264" s="51"/>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row>
    <row r="265" spans="1:175" s="13" customFormat="1" ht="16.100000000000001" hidden="1" customHeight="1">
      <c r="B265" s="14"/>
      <c r="C265" s="7"/>
      <c r="D265" s="10"/>
      <c r="E265" s="10"/>
      <c r="F265" s="10"/>
      <c r="G265" s="10"/>
      <c r="J265" s="10"/>
      <c r="K265" s="10"/>
      <c r="L265" s="10"/>
      <c r="M265" s="10"/>
      <c r="N265" s="10"/>
      <c r="O265" s="7"/>
      <c r="P265" s="14"/>
      <c r="Q265" s="448"/>
      <c r="R265" s="63"/>
      <c r="S265" s="243"/>
      <c r="T265" s="65"/>
      <c r="U265" s="65"/>
      <c r="V265" s="65"/>
      <c r="W265" s="65"/>
      <c r="X265" s="63"/>
      <c r="Y265" s="64"/>
      <c r="Z265" s="64"/>
      <c r="AA265" s="64"/>
      <c r="AB265" s="64"/>
      <c r="AC265" s="64"/>
      <c r="AD265" s="64"/>
      <c r="AE265" s="65"/>
      <c r="AF265" s="65"/>
      <c r="AG265" s="65"/>
      <c r="AH265" s="65"/>
      <c r="AI265" s="65"/>
      <c r="AJ265" s="65"/>
      <c r="AK265" s="65"/>
      <c r="AL265" s="65"/>
      <c r="AM265" s="65"/>
      <c r="AN265" s="65"/>
      <c r="AO265" s="65"/>
      <c r="AP265" s="65"/>
      <c r="AQ265" s="65"/>
      <c r="AR265" s="66"/>
      <c r="AS265" s="66"/>
      <c r="AT265" s="66"/>
      <c r="AU265" s="66"/>
      <c r="AV265" s="41"/>
      <c r="AW265" s="41"/>
      <c r="AX265" s="41"/>
      <c r="AY265" s="41"/>
      <c r="AZ265" s="41"/>
      <c r="BA265" s="41"/>
      <c r="BB265" s="41"/>
      <c r="BC265" s="41"/>
      <c r="BD265" s="41"/>
      <c r="BE265" s="41"/>
      <c r="BF265" s="41"/>
      <c r="BG265" s="41"/>
      <c r="BH265" s="41"/>
      <c r="BI265" s="41"/>
      <c r="BJ265" s="41"/>
      <c r="BK265" s="41"/>
      <c r="BL265" s="41"/>
      <c r="BM265" s="41"/>
      <c r="BN265" s="41"/>
      <c r="BO265" s="41"/>
      <c r="BP265" s="41"/>
      <c r="BQ265" s="41"/>
      <c r="BR265" s="41"/>
      <c r="BS265" s="41"/>
      <c r="BT265" s="41"/>
      <c r="BU265" s="41"/>
      <c r="BV265" s="41"/>
      <c r="BW265" s="41"/>
      <c r="BX265" s="41"/>
      <c r="BY265" s="41"/>
      <c r="BZ265" s="41"/>
      <c r="CA265" s="41"/>
      <c r="CB265" s="41"/>
      <c r="CC265" s="41"/>
      <c r="CD265" s="41"/>
      <c r="CE265" s="41"/>
      <c r="CF265" s="41"/>
      <c r="CG265" s="41"/>
      <c r="CH265" s="41"/>
      <c r="CI265" s="41"/>
      <c r="CJ265" s="41"/>
      <c r="CK265" s="41"/>
      <c r="CL265" s="41"/>
      <c r="CM265" s="41"/>
      <c r="CN265" s="41"/>
      <c r="CO265" s="41"/>
      <c r="CP265" s="41"/>
      <c r="CQ265" s="41"/>
      <c r="CR265" s="41"/>
      <c r="CS265" s="41"/>
      <c r="CT265" s="41"/>
      <c r="CU265" s="41"/>
      <c r="CV265" s="41"/>
      <c r="CW265" s="41"/>
      <c r="CX265" s="41"/>
      <c r="CY265" s="41"/>
      <c r="CZ265" s="51"/>
      <c r="DA265" s="51"/>
      <c r="DB265" s="51"/>
      <c r="DC265" s="51"/>
      <c r="DD265" s="51"/>
      <c r="DE265" s="51"/>
      <c r="DF265" s="51"/>
      <c r="DG265" s="51"/>
      <c r="DH265" s="51"/>
      <c r="DI265" s="51"/>
      <c r="DJ265" s="51"/>
      <c r="DK265" s="51"/>
      <c r="DL265" s="51"/>
      <c r="DM265" s="51"/>
      <c r="DN265" s="51"/>
      <c r="DO265" s="51"/>
      <c r="DP265" s="51"/>
      <c r="DQ265" s="51"/>
      <c r="DR265" s="51"/>
      <c r="DS265" s="51"/>
      <c r="DT265" s="51"/>
      <c r="DU265" s="51"/>
      <c r="DV265" s="51"/>
      <c r="DW265" s="51"/>
      <c r="DX265" s="51"/>
      <c r="DY265" s="51"/>
      <c r="DZ265" s="51"/>
      <c r="EA265" s="51"/>
      <c r="EB265" s="51"/>
      <c r="EC265" s="51"/>
      <c r="ED265" s="51"/>
      <c r="EE265" s="51"/>
      <c r="EF265" s="51"/>
      <c r="EG265" s="51"/>
      <c r="EH265" s="51"/>
      <c r="EI265" s="40"/>
      <c r="EJ265" s="40"/>
      <c r="EK265" s="40"/>
      <c r="EL265" s="40"/>
      <c r="EM265" s="40"/>
      <c r="EN265" s="40"/>
      <c r="EO265" s="40"/>
      <c r="EP265" s="40"/>
      <c r="EQ265" s="40"/>
      <c r="ER265" s="40"/>
      <c r="ES265" s="40"/>
      <c r="ET265" s="40"/>
      <c r="EU265" s="40"/>
      <c r="EV265" s="40"/>
      <c r="EW265" s="40"/>
      <c r="EX265" s="40"/>
      <c r="EY265" s="40"/>
      <c r="EZ265" s="40"/>
      <c r="FA265" s="40"/>
      <c r="FB265" s="40"/>
      <c r="FC265" s="40"/>
      <c r="FD265" s="40"/>
      <c r="FE265" s="40"/>
      <c r="FF265" s="40"/>
      <c r="FG265" s="40"/>
      <c r="FH265" s="40"/>
      <c r="FI265" s="40"/>
      <c r="FJ265" s="40"/>
      <c r="FK265" s="40"/>
      <c r="FL265" s="40"/>
      <c r="FM265" s="40"/>
      <c r="FN265" s="40"/>
      <c r="FO265" s="40"/>
      <c r="FP265" s="40"/>
      <c r="FQ265" s="40"/>
      <c r="FR265" s="40"/>
    </row>
    <row r="266" spans="1:175" s="13" customFormat="1" ht="16.100000000000001" hidden="1" customHeight="1">
      <c r="A266" s="75"/>
      <c r="B266" s="68"/>
      <c r="C266" s="26" t="str">
        <f>Begriffe!F343</f>
        <v>Energie- und Leistungsbedarf</v>
      </c>
      <c r="D266" s="70"/>
      <c r="E266" s="70"/>
      <c r="F266" s="70"/>
      <c r="G266" s="70"/>
      <c r="H266" s="71"/>
      <c r="I266" s="71"/>
      <c r="J266" s="72"/>
      <c r="K266" s="72"/>
      <c r="L266" s="73"/>
      <c r="M266" s="137"/>
      <c r="N266" s="150"/>
      <c r="P266" s="14"/>
      <c r="Q266" s="14"/>
      <c r="R266" s="63"/>
      <c r="S266" s="448"/>
      <c r="T266" s="65"/>
      <c r="U266" s="65"/>
      <c r="V266" s="65"/>
      <c r="W266" s="65"/>
      <c r="X266" s="65"/>
      <c r="Y266" s="63"/>
      <c r="Z266" s="64"/>
      <c r="AA266" s="64"/>
      <c r="AB266" s="64"/>
      <c r="AC266" s="64"/>
      <c r="AD266" s="64"/>
      <c r="AE266" s="64"/>
      <c r="AF266" s="65"/>
      <c r="AG266" s="65"/>
      <c r="AH266" s="65"/>
      <c r="AI266" s="65"/>
      <c r="AJ266" s="65"/>
      <c r="AK266" s="65"/>
      <c r="AL266" s="65"/>
      <c r="AM266" s="65"/>
      <c r="AN266" s="65"/>
      <c r="AO266" s="65"/>
      <c r="AP266" s="65"/>
      <c r="AQ266" s="65"/>
      <c r="AR266" s="65"/>
      <c r="AS266" s="66"/>
      <c r="AT266" s="66"/>
      <c r="AU266" s="66"/>
      <c r="AV266" s="66"/>
      <c r="AW266" s="41"/>
      <c r="AX266" s="41"/>
      <c r="AY266" s="41"/>
      <c r="AZ266" s="41"/>
      <c r="BA266" s="41"/>
      <c r="BB266" s="41"/>
      <c r="BC266" s="41"/>
      <c r="BD266" s="41"/>
      <c r="BE266" s="41"/>
      <c r="BF266" s="41"/>
      <c r="BG266" s="41"/>
      <c r="BH266" s="41"/>
      <c r="BI266" s="41"/>
      <c r="BJ266" s="41"/>
      <c r="BK266" s="41"/>
      <c r="BL266" s="41"/>
      <c r="BM266" s="41"/>
      <c r="BN266" s="41"/>
      <c r="BO266" s="41"/>
      <c r="BP266" s="41"/>
      <c r="BQ266" s="41"/>
      <c r="BR266" s="41"/>
      <c r="BS266" s="41"/>
      <c r="BT266" s="41"/>
      <c r="BU266" s="41"/>
      <c r="BV266" s="41"/>
      <c r="BW266" s="41"/>
      <c r="BX266" s="41"/>
      <c r="BY266" s="41"/>
      <c r="BZ266" s="41"/>
      <c r="CA266" s="41"/>
      <c r="CB266" s="41"/>
      <c r="CC266" s="41"/>
      <c r="CD266" s="41"/>
      <c r="CE266" s="41"/>
      <c r="CF266" s="41"/>
      <c r="CG266" s="41"/>
      <c r="CH266" s="41"/>
      <c r="CI266" s="41"/>
      <c r="CJ266" s="41"/>
      <c r="CK266" s="41"/>
      <c r="CL266" s="41"/>
      <c r="CM266" s="41"/>
      <c r="CN266" s="41"/>
      <c r="CO266" s="41"/>
      <c r="CP266" s="41"/>
      <c r="CQ266" s="41"/>
      <c r="CR266" s="41"/>
      <c r="CS266" s="41"/>
      <c r="CT266" s="41"/>
      <c r="CU266" s="41"/>
      <c r="CV266" s="41"/>
      <c r="CW266" s="41"/>
      <c r="CX266" s="41"/>
      <c r="CY266" s="41"/>
      <c r="CZ266" s="41"/>
      <c r="DA266" s="51"/>
      <c r="DB266" s="51"/>
      <c r="DC266" s="51"/>
      <c r="DD266" s="51"/>
      <c r="DE266" s="51"/>
      <c r="DF266" s="51"/>
      <c r="DG266" s="51"/>
      <c r="DH266" s="51"/>
      <c r="DI266" s="51"/>
      <c r="DJ266" s="51"/>
      <c r="DK266" s="51"/>
      <c r="DL266" s="51"/>
      <c r="DM266" s="51"/>
      <c r="DN266" s="51"/>
      <c r="DO266" s="51"/>
      <c r="DP266" s="51"/>
      <c r="DQ266" s="51"/>
      <c r="DR266" s="51"/>
      <c r="DS266" s="51"/>
      <c r="DT266" s="51"/>
      <c r="DU266" s="51"/>
      <c r="DV266" s="51"/>
      <c r="DW266" s="51"/>
      <c r="DX266" s="51"/>
      <c r="DY266" s="51"/>
      <c r="DZ266" s="51"/>
      <c r="EA266" s="51"/>
      <c r="EB266" s="51"/>
      <c r="EC266" s="51"/>
      <c r="ED266" s="51"/>
      <c r="EE266" s="51"/>
      <c r="EF266" s="51"/>
      <c r="EG266" s="51"/>
      <c r="EH266" s="51"/>
      <c r="EI266" s="51"/>
      <c r="EJ266" s="40"/>
      <c r="EK266" s="40"/>
      <c r="EL266" s="40"/>
      <c r="EM266" s="40"/>
      <c r="EN266" s="40"/>
      <c r="EO266" s="40"/>
      <c r="EP266" s="40"/>
      <c r="EQ266" s="40"/>
      <c r="ER266" s="40"/>
      <c r="ES266" s="40"/>
      <c r="ET266" s="40"/>
      <c r="EU266" s="40"/>
      <c r="EV266" s="40"/>
      <c r="EW266" s="40"/>
      <c r="EX266" s="40"/>
      <c r="EY266" s="40"/>
      <c r="EZ266" s="40"/>
      <c r="FA266" s="40"/>
      <c r="FB266" s="40"/>
      <c r="FC266" s="40"/>
      <c r="FD266" s="40"/>
      <c r="FE266" s="40"/>
      <c r="FF266" s="40"/>
      <c r="FG266" s="40"/>
      <c r="FH266" s="40"/>
      <c r="FI266" s="40"/>
      <c r="FJ266" s="40"/>
      <c r="FK266" s="40"/>
      <c r="FL266" s="40"/>
      <c r="FM266" s="40"/>
      <c r="FN266" s="40"/>
      <c r="FO266" s="40"/>
      <c r="FP266" s="40"/>
      <c r="FQ266" s="40"/>
      <c r="FR266" s="40"/>
      <c r="FS266" s="40"/>
    </row>
    <row r="267" spans="1:175" s="13" customFormat="1" ht="12.45" hidden="1">
      <c r="A267" s="4"/>
      <c r="B267" s="267"/>
      <c r="C267" s="60" t="str">
        <f>Begriffe!F377</f>
        <v>Leistungsbedarf, W/m2</v>
      </c>
      <c r="D267" s="61"/>
      <c r="E267" s="267" t="str">
        <f>Begriffe!F405</f>
        <v>Geräte</v>
      </c>
      <c r="F267" s="13" t="str">
        <f>Begriffe!F406</f>
        <v>Prozessanlagen</v>
      </c>
      <c r="G267" s="61" t="str">
        <f>Begriffe!F206</f>
        <v>Beleuchtung</v>
      </c>
      <c r="H267" s="61" t="str">
        <f>Begriffe!F220</f>
        <v>Raumkühlung</v>
      </c>
      <c r="I267" s="267" t="str">
        <f>Begriffe!F222</f>
        <v>Raumheizung</v>
      </c>
      <c r="J267" s="267" t="str">
        <f>Begriffe!F224</f>
        <v>Warmwasser</v>
      </c>
      <c r="K267" s="267" t="str">
        <f>Begriffe!F224</f>
        <v>Warmwasser</v>
      </c>
      <c r="N267" s="13" t="str">
        <f>Begriffe!F219</f>
        <v>Lüftung</v>
      </c>
      <c r="P267" s="14"/>
      <c r="Q267" s="14"/>
      <c r="R267" s="63"/>
      <c r="S267" s="448"/>
      <c r="T267" s="65"/>
      <c r="U267" s="65"/>
      <c r="V267" s="65"/>
      <c r="W267" s="65"/>
      <c r="X267" s="65"/>
      <c r="Y267" s="63"/>
      <c r="Z267" s="64"/>
      <c r="AA267" s="64"/>
      <c r="AB267" s="64"/>
      <c r="AC267" s="64"/>
      <c r="AD267" s="64"/>
      <c r="AE267" s="64"/>
      <c r="AF267" s="65"/>
      <c r="AG267" s="65"/>
      <c r="AH267" s="65"/>
      <c r="AI267" s="65"/>
      <c r="AJ267" s="65"/>
      <c r="AK267" s="65"/>
      <c r="AL267" s="65"/>
      <c r="AM267" s="65"/>
      <c r="AN267" s="65"/>
      <c r="AO267" s="65"/>
      <c r="AP267" s="65"/>
      <c r="AQ267" s="65"/>
      <c r="AR267" s="65"/>
      <c r="AS267" s="66"/>
      <c r="AT267" s="66"/>
      <c r="AU267" s="66"/>
      <c r="AV267" s="66"/>
      <c r="AW267" s="41"/>
      <c r="AX267" s="41"/>
      <c r="AY267" s="41"/>
      <c r="AZ267" s="41"/>
      <c r="BA267" s="41"/>
      <c r="BB267" s="41"/>
      <c r="BC267" s="41"/>
      <c r="BD267" s="41"/>
      <c r="BE267" s="41"/>
      <c r="BF267" s="41"/>
      <c r="BG267" s="41"/>
      <c r="BH267" s="41"/>
      <c r="BI267" s="41"/>
      <c r="BJ267" s="41"/>
      <c r="BK267" s="41"/>
      <c r="BL267" s="41"/>
      <c r="BM267" s="41"/>
      <c r="BN267" s="41"/>
      <c r="BO267" s="41"/>
      <c r="BP267" s="41"/>
      <c r="BQ267" s="41"/>
      <c r="BR267" s="41"/>
      <c r="BS267" s="41"/>
      <c r="BT267" s="41"/>
      <c r="BU267" s="41"/>
      <c r="BV267" s="41"/>
      <c r="BW267" s="41"/>
      <c r="BX267" s="41"/>
      <c r="BY267" s="41"/>
      <c r="BZ267" s="41"/>
      <c r="CA267" s="41"/>
      <c r="CB267" s="41"/>
      <c r="CC267" s="41"/>
      <c r="CD267" s="41"/>
      <c r="CE267" s="41"/>
      <c r="CF267" s="41"/>
      <c r="CG267" s="41"/>
      <c r="CH267" s="41"/>
      <c r="CI267" s="41"/>
      <c r="CJ267" s="41"/>
      <c r="CK267" s="41"/>
      <c r="CL267" s="41"/>
      <c r="CM267" s="41"/>
      <c r="CN267" s="41"/>
      <c r="CO267" s="41"/>
      <c r="CP267" s="41"/>
      <c r="CQ267" s="41"/>
      <c r="CR267" s="41"/>
      <c r="CS267" s="41"/>
      <c r="CT267" s="41"/>
      <c r="CU267" s="41"/>
      <c r="CV267" s="41"/>
      <c r="CW267" s="41"/>
      <c r="CX267" s="41"/>
      <c r="CY267" s="41"/>
      <c r="CZ267" s="41"/>
      <c r="DA267" s="51"/>
      <c r="DB267" s="51"/>
      <c r="DC267" s="51"/>
      <c r="DD267" s="51"/>
      <c r="DE267" s="51"/>
      <c r="DF267" s="51"/>
      <c r="DG267" s="51"/>
      <c r="DH267" s="51"/>
      <c r="DI267" s="51"/>
      <c r="DJ267" s="51"/>
      <c r="DK267" s="51"/>
      <c r="DL267" s="51"/>
      <c r="DM267" s="51"/>
      <c r="DN267" s="51"/>
      <c r="DO267" s="51"/>
      <c r="DP267" s="51"/>
      <c r="DQ267" s="51"/>
      <c r="DR267" s="51"/>
      <c r="DS267" s="51"/>
      <c r="DT267" s="51"/>
      <c r="DU267" s="51"/>
      <c r="DV267" s="51"/>
      <c r="DW267" s="51"/>
      <c r="DX267" s="51"/>
      <c r="DY267" s="51"/>
      <c r="DZ267" s="51"/>
      <c r="EA267" s="51"/>
      <c r="EB267" s="51"/>
      <c r="EC267" s="51"/>
      <c r="ED267" s="51"/>
      <c r="EE267" s="51"/>
      <c r="EF267" s="51"/>
      <c r="EG267" s="51"/>
      <c r="EH267" s="51"/>
      <c r="EI267" s="51"/>
      <c r="EJ267" s="40"/>
      <c r="EK267" s="40"/>
      <c r="EL267" s="40"/>
      <c r="EM267" s="40"/>
      <c r="EN267" s="40"/>
      <c r="EO267" s="40"/>
      <c r="EP267" s="40"/>
      <c r="EQ267" s="40"/>
      <c r="ER267" s="40"/>
      <c r="ES267" s="40"/>
      <c r="ET267" s="40"/>
      <c r="EU267" s="40"/>
      <c r="EV267" s="40"/>
      <c r="EW267" s="40"/>
      <c r="EX267" s="40"/>
      <c r="EY267" s="40"/>
      <c r="EZ267" s="40"/>
      <c r="FA267" s="40"/>
      <c r="FB267" s="40"/>
      <c r="FC267" s="40"/>
      <c r="FD267" s="40"/>
      <c r="FE267" s="40"/>
      <c r="FF267" s="40"/>
      <c r="FG267" s="40"/>
      <c r="FH267" s="40"/>
      <c r="FI267" s="40"/>
      <c r="FJ267" s="40"/>
      <c r="FK267" s="40"/>
      <c r="FL267" s="40"/>
      <c r="FM267" s="40"/>
      <c r="FN267" s="40"/>
      <c r="FO267" s="40"/>
      <c r="FP267" s="40"/>
      <c r="FQ267" s="40"/>
      <c r="FR267" s="40"/>
      <c r="FS267" s="40"/>
    </row>
    <row r="268" spans="1:175" s="13" customFormat="1" ht="16.100000000000001" hidden="1" customHeight="1">
      <c r="A268" s="4"/>
      <c r="B268" s="265"/>
      <c r="C268" s="265" t="str">
        <f>Begriffe!F237</f>
        <v>Bestand</v>
      </c>
      <c r="D268" s="69" t="s">
        <v>52</v>
      </c>
      <c r="E268" s="69">
        <f>O77</f>
        <v>12</v>
      </c>
      <c r="F268" s="69">
        <f>O78</f>
        <v>0</v>
      </c>
      <c r="G268" s="69">
        <f>O121</f>
        <v>3.8303571428571437</v>
      </c>
      <c r="H268" s="69">
        <f>O158</f>
        <v>32.898191596638654</v>
      </c>
      <c r="I268" s="69">
        <f>O182</f>
        <v>58.607529411764709</v>
      </c>
      <c r="J268" s="69"/>
      <c r="K268" s="69"/>
      <c r="P268" s="14"/>
      <c r="Q268" s="14"/>
      <c r="R268" s="63"/>
      <c r="S268" s="448"/>
      <c r="T268" s="65"/>
      <c r="U268" s="65"/>
      <c r="V268" s="65"/>
      <c r="W268" s="65"/>
      <c r="X268" s="65"/>
      <c r="Y268" s="63"/>
      <c r="Z268" s="64"/>
      <c r="AA268" s="64"/>
      <c r="AB268" s="64"/>
      <c r="AC268" s="64"/>
      <c r="AD268" s="64"/>
      <c r="AE268" s="64"/>
      <c r="AF268" s="65"/>
      <c r="AG268" s="65"/>
      <c r="AH268" s="65"/>
      <c r="AI268" s="65"/>
      <c r="AJ268" s="65"/>
      <c r="AK268" s="65"/>
      <c r="AL268" s="65"/>
      <c r="AM268" s="65"/>
      <c r="AN268" s="65"/>
      <c r="AO268" s="65"/>
      <c r="AP268" s="65"/>
      <c r="AQ268" s="65"/>
      <c r="AR268" s="65"/>
      <c r="AS268" s="66"/>
      <c r="AT268" s="66"/>
      <c r="AU268" s="66"/>
      <c r="AV268" s="66"/>
      <c r="AW268" s="41"/>
      <c r="AX268" s="41"/>
      <c r="AY268" s="41"/>
      <c r="AZ268" s="41"/>
      <c r="BA268" s="41"/>
      <c r="BB268" s="41"/>
      <c r="BC268" s="41"/>
      <c r="BD268" s="41"/>
      <c r="BE268" s="41"/>
      <c r="BF268" s="41"/>
      <c r="BG268" s="41"/>
      <c r="BH268" s="41"/>
      <c r="BI268" s="41"/>
      <c r="BJ268" s="41"/>
      <c r="BK268" s="41"/>
      <c r="BL268" s="41"/>
      <c r="BM268" s="41"/>
      <c r="BN268" s="41"/>
      <c r="BO268" s="41"/>
      <c r="BP268" s="41"/>
      <c r="BQ268" s="41"/>
      <c r="BR268" s="41"/>
      <c r="BS268" s="41"/>
      <c r="BT268" s="41"/>
      <c r="BU268" s="41"/>
      <c r="BV268" s="41"/>
      <c r="BW268" s="41"/>
      <c r="BX268" s="41"/>
      <c r="BY268" s="41"/>
      <c r="BZ268" s="41"/>
      <c r="CA268" s="41"/>
      <c r="CB268" s="41"/>
      <c r="CC268" s="41"/>
      <c r="CD268" s="41"/>
      <c r="CE268" s="41"/>
      <c r="CF268" s="41"/>
      <c r="CG268" s="41"/>
      <c r="CH268" s="41"/>
      <c r="CI268" s="41"/>
      <c r="CJ268" s="41"/>
      <c r="CK268" s="41"/>
      <c r="CL268" s="41"/>
      <c r="CM268" s="41"/>
      <c r="CN268" s="41"/>
      <c r="CO268" s="41"/>
      <c r="CP268" s="41"/>
      <c r="CQ268" s="41"/>
      <c r="CR268" s="41"/>
      <c r="CS268" s="41"/>
      <c r="CT268" s="41"/>
      <c r="CU268" s="41"/>
      <c r="CV268" s="41"/>
      <c r="CW268" s="41"/>
      <c r="CX268" s="41"/>
      <c r="CY268" s="41"/>
      <c r="CZ268" s="41"/>
      <c r="DA268" s="51"/>
      <c r="DB268" s="51"/>
      <c r="DC268" s="51"/>
      <c r="DD268" s="51"/>
      <c r="DE268" s="51"/>
      <c r="DF268" s="51"/>
      <c r="DG268" s="51"/>
      <c r="DH268" s="51"/>
      <c r="DI268" s="51"/>
      <c r="DJ268" s="51"/>
      <c r="DK268" s="51"/>
      <c r="DL268" s="51"/>
      <c r="DM268" s="51"/>
      <c r="DN268" s="51"/>
      <c r="DO268" s="51"/>
      <c r="DP268" s="51"/>
      <c r="DQ268" s="51"/>
      <c r="DR268" s="51"/>
      <c r="DS268" s="51"/>
      <c r="DT268" s="51"/>
      <c r="DU268" s="51"/>
      <c r="DV268" s="51"/>
      <c r="DW268" s="51"/>
      <c r="DX268" s="51"/>
      <c r="DY268" s="51"/>
      <c r="DZ268" s="51"/>
      <c r="EA268" s="51"/>
      <c r="EB268" s="51"/>
      <c r="EC268" s="51"/>
      <c r="ED268" s="51"/>
      <c r="EE268" s="51"/>
      <c r="EF268" s="51"/>
      <c r="EG268" s="51"/>
      <c r="EH268" s="51"/>
      <c r="EI268" s="51"/>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row>
    <row r="269" spans="1:175" s="13" customFormat="1" ht="16.100000000000001" hidden="1" customHeight="1">
      <c r="A269" s="4"/>
      <c r="B269" s="265"/>
      <c r="C269" s="265" t="str">
        <f>Begriffe!F236</f>
        <v>Zielwert</v>
      </c>
      <c r="D269" s="69" t="s">
        <v>52</v>
      </c>
      <c r="E269" s="69">
        <f>N77</f>
        <v>5</v>
      </c>
      <c r="F269" s="1094">
        <f>N78</f>
        <v>0</v>
      </c>
      <c r="G269" s="69">
        <f>N121</f>
        <v>1.9097222222222221</v>
      </c>
      <c r="H269" s="69">
        <f>N158</f>
        <v>14.240663435563025</v>
      </c>
      <c r="I269" s="69">
        <f>N182</f>
        <v>12.691058823529412</v>
      </c>
      <c r="J269" s="69"/>
      <c r="K269" s="69"/>
      <c r="N269" s="207">
        <f>N143</f>
        <v>0.28171428571428575</v>
      </c>
      <c r="P269" s="14"/>
      <c r="Q269" s="14"/>
      <c r="R269" s="63"/>
      <c r="S269" s="448"/>
      <c r="T269" s="65"/>
      <c r="U269" s="65"/>
      <c r="V269" s="65"/>
      <c r="W269" s="65"/>
      <c r="X269" s="65"/>
      <c r="Y269" s="63"/>
      <c r="Z269" s="64"/>
      <c r="AA269" s="64"/>
      <c r="AB269" s="64"/>
      <c r="AC269" s="64"/>
      <c r="AD269" s="64"/>
      <c r="AE269" s="64"/>
      <c r="AF269" s="65"/>
      <c r="AG269" s="65"/>
      <c r="AH269" s="65"/>
      <c r="AI269" s="65"/>
      <c r="AJ269" s="65"/>
      <c r="AK269" s="65"/>
      <c r="AL269" s="65"/>
      <c r="AM269" s="65"/>
      <c r="AN269" s="65"/>
      <c r="AO269" s="65"/>
      <c r="AP269" s="65"/>
      <c r="AQ269" s="65"/>
      <c r="AR269" s="65"/>
      <c r="AS269" s="66"/>
      <c r="AT269" s="66"/>
      <c r="AU269" s="66"/>
      <c r="AV269" s="66"/>
      <c r="AW269" s="41"/>
      <c r="AX269" s="41"/>
      <c r="AY269" s="41"/>
      <c r="AZ269" s="41"/>
      <c r="BA269" s="41"/>
      <c r="BB269" s="41"/>
      <c r="BC269" s="41"/>
      <c r="BD269" s="41"/>
      <c r="BE269" s="41"/>
      <c r="BF269" s="41"/>
      <c r="BG269" s="41"/>
      <c r="BH269" s="41"/>
      <c r="BI269" s="41"/>
      <c r="BJ269" s="41"/>
      <c r="BK269" s="41"/>
      <c r="BL269" s="41"/>
      <c r="BM269" s="41"/>
      <c r="BN269" s="41"/>
      <c r="BO269" s="41"/>
      <c r="BP269" s="41"/>
      <c r="BQ269" s="41"/>
      <c r="BR269" s="41"/>
      <c r="BS269" s="41"/>
      <c r="BT269" s="41"/>
      <c r="BU269" s="41"/>
      <c r="BV269" s="41"/>
      <c r="BW269" s="41"/>
      <c r="BX269" s="41"/>
      <c r="BY269" s="41"/>
      <c r="BZ269" s="41"/>
      <c r="CA269" s="41"/>
      <c r="CB269" s="41"/>
      <c r="CC269" s="41"/>
      <c r="CD269" s="41"/>
      <c r="CE269" s="41"/>
      <c r="CF269" s="41"/>
      <c r="CG269" s="41"/>
      <c r="CH269" s="41"/>
      <c r="CI269" s="41"/>
      <c r="CJ269" s="41"/>
      <c r="CK269" s="41"/>
      <c r="CL269" s="41"/>
      <c r="CM269" s="41"/>
      <c r="CN269" s="41"/>
      <c r="CO269" s="41"/>
      <c r="CP269" s="41"/>
      <c r="CQ269" s="41"/>
      <c r="CR269" s="41"/>
      <c r="CS269" s="41"/>
      <c r="CT269" s="41"/>
      <c r="CU269" s="41"/>
      <c r="CV269" s="41"/>
      <c r="CW269" s="41"/>
      <c r="CX269" s="41"/>
      <c r="CY269" s="41"/>
      <c r="CZ269" s="41"/>
      <c r="DA269" s="51"/>
      <c r="DB269" s="51"/>
      <c r="DC269" s="51"/>
      <c r="DD269" s="51"/>
      <c r="DE269" s="51"/>
      <c r="DF269" s="51"/>
      <c r="DG269" s="51"/>
      <c r="DH269" s="51"/>
      <c r="DI269" s="51"/>
      <c r="DJ269" s="51"/>
      <c r="DK269" s="51"/>
      <c r="DL269" s="51"/>
      <c r="DM269" s="51"/>
      <c r="DN269" s="51"/>
      <c r="DO269" s="51"/>
      <c r="DP269" s="51"/>
      <c r="DQ269" s="51"/>
      <c r="DR269" s="51"/>
      <c r="DS269" s="51"/>
      <c r="DT269" s="51"/>
      <c r="DU269" s="51"/>
      <c r="DV269" s="51"/>
      <c r="DW269" s="51"/>
      <c r="DX269" s="51"/>
      <c r="DY269" s="51"/>
      <c r="DZ269" s="51"/>
      <c r="EA269" s="51"/>
      <c r="EB269" s="51"/>
      <c r="EC269" s="51"/>
      <c r="ED269" s="51"/>
      <c r="EE269" s="51"/>
      <c r="EF269" s="51"/>
      <c r="EG269" s="51"/>
      <c r="EH269" s="51"/>
      <c r="EI269" s="51"/>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row>
    <row r="270" spans="1:175" s="13" customFormat="1" ht="16.100000000000001" hidden="1" customHeight="1">
      <c r="A270" s="4"/>
      <c r="B270" s="265"/>
      <c r="C270" s="265" t="str">
        <f>Begriffe!F235</f>
        <v>Standard</v>
      </c>
      <c r="D270" s="69" t="s">
        <v>52</v>
      </c>
      <c r="E270" s="69">
        <f>M77</f>
        <v>10</v>
      </c>
      <c r="F270" s="1094">
        <f>M78</f>
        <v>0</v>
      </c>
      <c r="G270" s="69">
        <f>M121</f>
        <v>2.9791666666666674</v>
      </c>
      <c r="H270" s="69">
        <f>M158</f>
        <v>20.553281394957988</v>
      </c>
      <c r="I270" s="69">
        <f>M182</f>
        <v>16.964394117647061</v>
      </c>
      <c r="J270" s="69"/>
      <c r="K270" s="69"/>
      <c r="N270" s="207">
        <f>M143</f>
        <v>0.46400000000000008</v>
      </c>
      <c r="P270" s="14"/>
      <c r="Q270" s="14"/>
      <c r="R270" s="63"/>
      <c r="S270" s="448"/>
      <c r="T270" s="65"/>
      <c r="U270" s="65"/>
      <c r="V270" s="65"/>
      <c r="W270" s="65"/>
      <c r="X270" s="65"/>
      <c r="Y270" s="63"/>
      <c r="Z270" s="64"/>
      <c r="AA270" s="64"/>
      <c r="AB270" s="64"/>
      <c r="AC270" s="64"/>
      <c r="AD270" s="64"/>
      <c r="AE270" s="64"/>
      <c r="AF270" s="65"/>
      <c r="AG270" s="65"/>
      <c r="AH270" s="65"/>
      <c r="AI270" s="65"/>
      <c r="AJ270" s="65"/>
      <c r="AK270" s="65"/>
      <c r="AL270" s="65"/>
      <c r="AM270" s="65"/>
      <c r="AN270" s="65"/>
      <c r="AO270" s="65"/>
      <c r="AP270" s="65"/>
      <c r="AQ270" s="65"/>
      <c r="AR270" s="65"/>
      <c r="AS270" s="66"/>
      <c r="AT270" s="66"/>
      <c r="AU270" s="66"/>
      <c r="AV270" s="66"/>
      <c r="AW270" s="41"/>
      <c r="AX270" s="41"/>
      <c r="AY270" s="41"/>
      <c r="AZ270" s="41"/>
      <c r="BA270" s="41"/>
      <c r="BB270" s="41"/>
      <c r="BC270" s="41"/>
      <c r="BD270" s="41"/>
      <c r="BE270" s="41"/>
      <c r="BF270" s="41"/>
      <c r="BG270" s="41"/>
      <c r="BH270" s="41"/>
      <c r="BI270" s="41"/>
      <c r="BJ270" s="41"/>
      <c r="BK270" s="41"/>
      <c r="BL270" s="41"/>
      <c r="BM270" s="41"/>
      <c r="BN270" s="41"/>
      <c r="BO270" s="41"/>
      <c r="BP270" s="41"/>
      <c r="BQ270" s="41"/>
      <c r="BR270" s="41"/>
      <c r="BS270" s="41"/>
      <c r="BT270" s="41"/>
      <c r="BU270" s="41"/>
      <c r="BV270" s="41"/>
      <c r="BW270" s="41"/>
      <c r="BX270" s="41"/>
      <c r="BY270" s="41"/>
      <c r="BZ270" s="41"/>
      <c r="CA270" s="41"/>
      <c r="CB270" s="41"/>
      <c r="CC270" s="41"/>
      <c r="CD270" s="41"/>
      <c r="CE270" s="41"/>
      <c r="CF270" s="41"/>
      <c r="CG270" s="41"/>
      <c r="CH270" s="41"/>
      <c r="CI270" s="41"/>
      <c r="CJ270" s="41"/>
      <c r="CK270" s="41"/>
      <c r="CL270" s="41"/>
      <c r="CM270" s="41"/>
      <c r="CN270" s="41"/>
      <c r="CO270" s="41"/>
      <c r="CP270" s="41"/>
      <c r="CQ270" s="41"/>
      <c r="CR270" s="41"/>
      <c r="CS270" s="41"/>
      <c r="CT270" s="41"/>
      <c r="CU270" s="41"/>
      <c r="CV270" s="41"/>
      <c r="CW270" s="41"/>
      <c r="CX270" s="41"/>
      <c r="CY270" s="41"/>
      <c r="CZ270" s="41"/>
      <c r="DA270" s="51"/>
      <c r="DB270" s="51"/>
      <c r="DC270" s="51"/>
      <c r="DD270" s="51"/>
      <c r="DE270" s="51"/>
      <c r="DF270" s="51"/>
      <c r="DG270" s="51"/>
      <c r="DH270" s="51"/>
      <c r="DI270" s="51"/>
      <c r="DJ270" s="51"/>
      <c r="DK270" s="51"/>
      <c r="DL270" s="51"/>
      <c r="DM270" s="51"/>
      <c r="DN270" s="51"/>
      <c r="DO270" s="51"/>
      <c r="DP270" s="51"/>
      <c r="DQ270" s="51"/>
      <c r="DR270" s="51"/>
      <c r="DS270" s="51"/>
      <c r="DT270" s="51"/>
      <c r="DU270" s="51"/>
      <c r="DV270" s="51"/>
      <c r="DW270" s="51"/>
      <c r="DX270" s="51"/>
      <c r="DY270" s="51"/>
      <c r="DZ270" s="51"/>
      <c r="EA270" s="51"/>
      <c r="EB270" s="51"/>
      <c r="EC270" s="51"/>
      <c r="ED270" s="51"/>
      <c r="EE270" s="51"/>
      <c r="EF270" s="51"/>
      <c r="EG270" s="51"/>
      <c r="EH270" s="51"/>
      <c r="EI270" s="51"/>
      <c r="EJ270" s="40"/>
      <c r="EK270" s="40"/>
      <c r="EL270" s="40"/>
      <c r="EM270" s="40"/>
      <c r="EN270" s="40"/>
      <c r="EO270" s="40"/>
      <c r="EP270" s="40"/>
      <c r="EQ270" s="40"/>
      <c r="ER270" s="40"/>
      <c r="ES270" s="40"/>
      <c r="ET270" s="40"/>
      <c r="EU270" s="40"/>
      <c r="EV270" s="40"/>
      <c r="EW270" s="40"/>
      <c r="EX270" s="40"/>
      <c r="EY270" s="40"/>
      <c r="EZ270" s="40"/>
      <c r="FA270" s="40"/>
      <c r="FB270" s="40"/>
      <c r="FC270" s="40"/>
      <c r="FD270" s="40"/>
      <c r="FE270" s="40"/>
      <c r="FF270" s="40"/>
      <c r="FG270" s="40"/>
      <c r="FH270" s="40"/>
      <c r="FI270" s="40"/>
      <c r="FJ270" s="40"/>
      <c r="FK270" s="40"/>
      <c r="FL270" s="40"/>
      <c r="FM270" s="40"/>
      <c r="FN270" s="40"/>
      <c r="FO270" s="40"/>
      <c r="FP270" s="40"/>
      <c r="FQ270" s="40"/>
      <c r="FR270" s="40"/>
      <c r="FS270" s="40"/>
    </row>
    <row r="271" spans="1:175" s="13" customFormat="1" ht="16.100000000000001" hidden="1" customHeight="1">
      <c r="A271" s="4"/>
      <c r="B271" s="267"/>
      <c r="C271" s="60"/>
      <c r="D271" s="4"/>
      <c r="E271" s="60"/>
      <c r="G271" s="69"/>
      <c r="H271" s="69"/>
      <c r="I271" s="69"/>
      <c r="J271" s="69"/>
      <c r="K271" s="69"/>
      <c r="L271" s="69"/>
      <c r="P271" s="14"/>
      <c r="Q271" s="14"/>
      <c r="R271" s="63"/>
      <c r="S271" s="448"/>
      <c r="T271" s="65"/>
      <c r="U271" s="65"/>
      <c r="V271" s="65"/>
      <c r="W271" s="65"/>
      <c r="X271" s="65"/>
      <c r="Y271" s="63"/>
      <c r="Z271" s="64"/>
      <c r="AA271" s="64"/>
      <c r="AB271" s="64"/>
      <c r="AC271" s="64"/>
      <c r="AD271" s="64"/>
      <c r="AE271" s="64"/>
      <c r="AF271" s="65"/>
      <c r="AG271" s="65"/>
      <c r="AH271" s="65"/>
      <c r="AI271" s="65"/>
      <c r="AJ271" s="65"/>
      <c r="AK271" s="65"/>
      <c r="AL271" s="65"/>
      <c r="AM271" s="65"/>
      <c r="AN271" s="65"/>
      <c r="AO271" s="65"/>
      <c r="AP271" s="65"/>
      <c r="AQ271" s="65"/>
      <c r="AR271" s="65"/>
      <c r="AS271" s="66"/>
      <c r="AT271" s="66"/>
      <c r="AU271" s="66"/>
      <c r="AV271" s="66"/>
      <c r="AW271" s="41"/>
      <c r="AX271" s="41"/>
      <c r="AY271" s="41"/>
      <c r="AZ271" s="41"/>
      <c r="BA271" s="41"/>
      <c r="BB271" s="41"/>
      <c r="BC271" s="41"/>
      <c r="BD271" s="41"/>
      <c r="BE271" s="41"/>
      <c r="BF271" s="41"/>
      <c r="BG271" s="41"/>
      <c r="BH271" s="41"/>
      <c r="BI271" s="41"/>
      <c r="BJ271" s="41"/>
      <c r="BK271" s="41"/>
      <c r="BL271" s="41"/>
      <c r="BM271" s="41"/>
      <c r="BN271" s="41"/>
      <c r="BO271" s="41"/>
      <c r="BP271" s="41"/>
      <c r="BQ271" s="41"/>
      <c r="BR271" s="41"/>
      <c r="BS271" s="41"/>
      <c r="BT271" s="41"/>
      <c r="BU271" s="41"/>
      <c r="BV271" s="41"/>
      <c r="BW271" s="41"/>
      <c r="BX271" s="41"/>
      <c r="BY271" s="41"/>
      <c r="BZ271" s="41"/>
      <c r="CA271" s="41"/>
      <c r="CB271" s="41"/>
      <c r="CC271" s="41"/>
      <c r="CD271" s="41"/>
      <c r="CE271" s="41"/>
      <c r="CF271" s="41"/>
      <c r="CG271" s="41"/>
      <c r="CH271" s="41"/>
      <c r="CI271" s="41"/>
      <c r="CJ271" s="41"/>
      <c r="CK271" s="41"/>
      <c r="CL271" s="41"/>
      <c r="CM271" s="41"/>
      <c r="CN271" s="41"/>
      <c r="CO271" s="41"/>
      <c r="CP271" s="41"/>
      <c r="CQ271" s="41"/>
      <c r="CR271" s="41"/>
      <c r="CS271" s="41"/>
      <c r="CT271" s="41"/>
      <c r="CU271" s="41"/>
      <c r="CV271" s="41"/>
      <c r="CW271" s="41"/>
      <c r="CX271" s="41"/>
      <c r="CY271" s="41"/>
      <c r="CZ271" s="41"/>
      <c r="DA271" s="51"/>
      <c r="DB271" s="51"/>
      <c r="DC271" s="51"/>
      <c r="DD271" s="51"/>
      <c r="DE271" s="51"/>
      <c r="DF271" s="51"/>
      <c r="DG271" s="51"/>
      <c r="DH271" s="51"/>
      <c r="DI271" s="51"/>
      <c r="DJ271" s="51"/>
      <c r="DK271" s="51"/>
      <c r="DL271" s="51"/>
      <c r="DM271" s="51"/>
      <c r="DN271" s="51"/>
      <c r="DO271" s="51"/>
      <c r="DP271" s="51"/>
      <c r="DQ271" s="51"/>
      <c r="DR271" s="51"/>
      <c r="DS271" s="51"/>
      <c r="DT271" s="51"/>
      <c r="DU271" s="51"/>
      <c r="DV271" s="51"/>
      <c r="DW271" s="51"/>
      <c r="DX271" s="51"/>
      <c r="DY271" s="51"/>
      <c r="DZ271" s="51"/>
      <c r="EA271" s="51"/>
      <c r="EB271" s="51"/>
      <c r="EC271" s="51"/>
      <c r="ED271" s="51"/>
      <c r="EE271" s="51"/>
      <c r="EF271" s="51"/>
      <c r="EG271" s="51"/>
      <c r="EH271" s="51"/>
      <c r="EI271" s="51"/>
      <c r="EJ271" s="40"/>
      <c r="EK271" s="40"/>
      <c r="EL271" s="40"/>
      <c r="EM271" s="40"/>
      <c r="EN271" s="40"/>
      <c r="EO271" s="40"/>
      <c r="EP271" s="40"/>
      <c r="EQ271" s="40"/>
      <c r="ER271" s="40"/>
      <c r="ES271" s="40"/>
      <c r="ET271" s="40"/>
      <c r="EU271" s="40"/>
      <c r="EV271" s="40"/>
      <c r="EW271" s="40"/>
      <c r="EX271" s="40"/>
      <c r="EY271" s="40"/>
      <c r="EZ271" s="40"/>
      <c r="FA271" s="40"/>
      <c r="FB271" s="40"/>
      <c r="FC271" s="40"/>
      <c r="FD271" s="40"/>
      <c r="FE271" s="40"/>
      <c r="FF271" s="40"/>
      <c r="FG271" s="40"/>
      <c r="FH271" s="40"/>
      <c r="FI271" s="40"/>
      <c r="FJ271" s="40"/>
      <c r="FK271" s="40"/>
      <c r="FL271" s="40"/>
      <c r="FM271" s="40"/>
      <c r="FN271" s="40"/>
      <c r="FO271" s="40"/>
      <c r="FP271" s="40"/>
      <c r="FQ271" s="40"/>
      <c r="FR271" s="40"/>
      <c r="FS271" s="40"/>
    </row>
    <row r="272" spans="1:175" s="13" customFormat="1" ht="16.100000000000001" hidden="1" customHeight="1">
      <c r="A272" s="4"/>
      <c r="B272" s="267"/>
      <c r="C272" s="60" t="str">
        <f>Begriffe!F378</f>
        <v>Energiebedarf, kWh/m2</v>
      </c>
      <c r="D272" s="4"/>
      <c r="E272" s="60"/>
      <c r="G272" s="69"/>
      <c r="H272" s="69"/>
      <c r="I272" s="69"/>
      <c r="J272" s="69"/>
      <c r="K272" s="69"/>
      <c r="L272" s="69"/>
      <c r="P272" s="14"/>
      <c r="Q272" s="14"/>
      <c r="R272" s="63"/>
      <c r="S272" s="448"/>
      <c r="T272" s="65"/>
      <c r="U272" s="65"/>
      <c r="V272" s="65"/>
      <c r="W272" s="65"/>
      <c r="X272" s="65"/>
      <c r="Y272" s="63"/>
      <c r="Z272" s="64"/>
      <c r="AA272" s="64"/>
      <c r="AB272" s="64"/>
      <c r="AC272" s="64"/>
      <c r="AD272" s="64"/>
      <c r="AE272" s="64"/>
      <c r="AF272" s="65"/>
      <c r="AG272" s="65"/>
      <c r="AH272" s="65"/>
      <c r="AI272" s="65"/>
      <c r="AJ272" s="65"/>
      <c r="AK272" s="65"/>
      <c r="AL272" s="65"/>
      <c r="AM272" s="65"/>
      <c r="AN272" s="65"/>
      <c r="AO272" s="65"/>
      <c r="AP272" s="65"/>
      <c r="AQ272" s="65"/>
      <c r="AR272" s="65"/>
      <c r="AS272" s="66"/>
      <c r="AT272" s="66"/>
      <c r="AU272" s="66"/>
      <c r="AV272" s="66"/>
      <c r="AW272" s="41"/>
      <c r="AX272" s="41"/>
      <c r="AY272" s="41"/>
      <c r="AZ272" s="41"/>
      <c r="BA272" s="41"/>
      <c r="BB272" s="41"/>
      <c r="BC272" s="41"/>
      <c r="BD272" s="41"/>
      <c r="BE272" s="41"/>
      <c r="BF272" s="41"/>
      <c r="BG272" s="41"/>
      <c r="BH272" s="41"/>
      <c r="BI272" s="41"/>
      <c r="BJ272" s="41"/>
      <c r="BK272" s="41"/>
      <c r="BL272" s="41"/>
      <c r="BM272" s="41"/>
      <c r="BN272" s="41"/>
      <c r="BO272" s="41"/>
      <c r="BP272" s="41"/>
      <c r="BQ272" s="41"/>
      <c r="BR272" s="41"/>
      <c r="BS272" s="41"/>
      <c r="BT272" s="41"/>
      <c r="BU272" s="41"/>
      <c r="BV272" s="41"/>
      <c r="BW272" s="41"/>
      <c r="BX272" s="41"/>
      <c r="BY272" s="41"/>
      <c r="BZ272" s="41"/>
      <c r="CA272" s="41"/>
      <c r="CB272" s="41"/>
      <c r="CC272" s="41"/>
      <c r="CD272" s="41"/>
      <c r="CE272" s="41"/>
      <c r="CF272" s="41"/>
      <c r="CG272" s="41"/>
      <c r="CH272" s="41"/>
      <c r="CI272" s="41"/>
      <c r="CJ272" s="41"/>
      <c r="CK272" s="41"/>
      <c r="CL272" s="41"/>
      <c r="CM272" s="41"/>
      <c r="CN272" s="41"/>
      <c r="CO272" s="41"/>
      <c r="CP272" s="41"/>
      <c r="CQ272" s="41"/>
      <c r="CR272" s="41"/>
      <c r="CS272" s="41"/>
      <c r="CT272" s="41"/>
      <c r="CU272" s="41"/>
      <c r="CV272" s="41"/>
      <c r="CW272" s="41"/>
      <c r="CX272" s="41"/>
      <c r="CY272" s="41"/>
      <c r="CZ272" s="41"/>
      <c r="DA272" s="51"/>
      <c r="DB272" s="51"/>
      <c r="DC272" s="51"/>
      <c r="DD272" s="51"/>
      <c r="DE272" s="51"/>
      <c r="DF272" s="51"/>
      <c r="DG272" s="51"/>
      <c r="DH272" s="51"/>
      <c r="DI272" s="51"/>
      <c r="DJ272" s="51"/>
      <c r="DK272" s="51"/>
      <c r="DL272" s="51"/>
      <c r="DM272" s="51"/>
      <c r="DN272" s="51"/>
      <c r="DO272" s="51"/>
      <c r="DP272" s="51"/>
      <c r="DQ272" s="51"/>
      <c r="DR272" s="51"/>
      <c r="DS272" s="51"/>
      <c r="DT272" s="51"/>
      <c r="DU272" s="51"/>
      <c r="DV272" s="51"/>
      <c r="DW272" s="51"/>
      <c r="DX272" s="51"/>
      <c r="DY272" s="51"/>
      <c r="DZ272" s="51"/>
      <c r="EA272" s="51"/>
      <c r="EB272" s="51"/>
      <c r="EC272" s="51"/>
      <c r="ED272" s="51"/>
      <c r="EE272" s="51"/>
      <c r="EF272" s="51"/>
      <c r="EG272" s="51"/>
      <c r="EH272" s="51"/>
      <c r="EI272" s="51"/>
      <c r="EJ272" s="40"/>
      <c r="EK272" s="40"/>
      <c r="EL272" s="40"/>
      <c r="EM272" s="40"/>
      <c r="EN272" s="40"/>
      <c r="EO272" s="40"/>
      <c r="EP272" s="40"/>
      <c r="EQ272" s="40"/>
      <c r="ER272" s="40"/>
      <c r="ES272" s="40"/>
      <c r="ET272" s="40"/>
      <c r="EU272" s="40"/>
      <c r="EV272" s="40"/>
      <c r="EW272" s="40"/>
      <c r="EX272" s="40"/>
      <c r="EY272" s="40"/>
      <c r="EZ272" s="40"/>
      <c r="FA272" s="40"/>
      <c r="FB272" s="40"/>
      <c r="FC272" s="40"/>
      <c r="FD272" s="40"/>
      <c r="FE272" s="40"/>
      <c r="FF272" s="40"/>
      <c r="FG272" s="40"/>
      <c r="FH272" s="40"/>
      <c r="FI272" s="40"/>
      <c r="FJ272" s="40"/>
      <c r="FK272" s="40"/>
      <c r="FL272" s="40"/>
      <c r="FM272" s="40"/>
      <c r="FN272" s="40"/>
      <c r="FO272" s="40"/>
      <c r="FP272" s="40"/>
      <c r="FQ272" s="40"/>
      <c r="FR272" s="40"/>
      <c r="FS272" s="40"/>
    </row>
    <row r="273" spans="1:175" s="13" customFormat="1" ht="16.100000000000001" hidden="1" customHeight="1">
      <c r="A273" s="4"/>
      <c r="B273" s="74"/>
      <c r="C273" s="265" t="str">
        <f>Begriffe!F237</f>
        <v>Bestand</v>
      </c>
      <c r="D273" s="1266" t="s">
        <v>1520</v>
      </c>
      <c r="E273" s="69">
        <f>O84</f>
        <v>25.92</v>
      </c>
      <c r="F273" s="1094">
        <f>O85</f>
        <v>0</v>
      </c>
      <c r="G273" s="69">
        <f>O125</f>
        <v>3.2404821428571435</v>
      </c>
      <c r="H273" s="69">
        <f>O161</f>
        <v>0</v>
      </c>
      <c r="I273" s="61">
        <f>O188</f>
        <v>103.48468160361931</v>
      </c>
      <c r="J273" s="69">
        <f>M196</f>
        <v>16.936000000000003</v>
      </c>
      <c r="K273" s="69">
        <f>O196</f>
        <v>16.936000000000003</v>
      </c>
      <c r="P273" s="14"/>
      <c r="Q273" s="14"/>
      <c r="R273" s="63"/>
      <c r="S273" s="448"/>
      <c r="T273" s="65"/>
      <c r="U273" s="65"/>
      <c r="V273" s="65"/>
      <c r="W273" s="65"/>
      <c r="X273" s="65"/>
      <c r="Y273" s="63"/>
      <c r="Z273" s="64"/>
      <c r="AA273" s="64"/>
      <c r="AB273" s="64"/>
      <c r="AC273" s="64"/>
      <c r="AD273" s="64"/>
      <c r="AE273" s="64"/>
      <c r="AF273" s="65"/>
      <c r="AG273" s="65"/>
      <c r="AH273" s="65"/>
      <c r="AI273" s="65"/>
      <c r="AJ273" s="65"/>
      <c r="AK273" s="65"/>
      <c r="AL273" s="65"/>
      <c r="AM273" s="65"/>
      <c r="AN273" s="65"/>
      <c r="AO273" s="65"/>
      <c r="AP273" s="65"/>
      <c r="AQ273" s="65"/>
      <c r="AR273" s="65"/>
      <c r="AS273" s="66"/>
      <c r="AT273" s="66"/>
      <c r="AU273" s="66"/>
      <c r="AV273" s="66"/>
      <c r="AW273" s="41"/>
      <c r="AX273" s="41"/>
      <c r="AY273" s="41"/>
      <c r="AZ273" s="41"/>
      <c r="BA273" s="41"/>
      <c r="BB273" s="41"/>
      <c r="BC273" s="41"/>
      <c r="BD273" s="41"/>
      <c r="BE273" s="41"/>
      <c r="BF273" s="41"/>
      <c r="BG273" s="41"/>
      <c r="BH273" s="41"/>
      <c r="BI273" s="41"/>
      <c r="BJ273" s="41"/>
      <c r="BK273" s="41"/>
      <c r="BL273" s="41"/>
      <c r="BM273" s="41"/>
      <c r="BN273" s="41"/>
      <c r="BO273" s="41"/>
      <c r="BP273" s="41"/>
      <c r="BQ273" s="41"/>
      <c r="BR273" s="41"/>
      <c r="BS273" s="41"/>
      <c r="BT273" s="41"/>
      <c r="BU273" s="41"/>
      <c r="BV273" s="41"/>
      <c r="BW273" s="41"/>
      <c r="BX273" s="41"/>
      <c r="BY273" s="41"/>
      <c r="BZ273" s="41"/>
      <c r="CA273" s="41"/>
      <c r="CB273" s="41"/>
      <c r="CC273" s="41"/>
      <c r="CD273" s="41"/>
      <c r="CE273" s="41"/>
      <c r="CF273" s="41"/>
      <c r="CG273" s="41"/>
      <c r="CH273" s="41"/>
      <c r="CI273" s="41"/>
      <c r="CJ273" s="41"/>
      <c r="CK273" s="41"/>
      <c r="CL273" s="41"/>
      <c r="CM273" s="41"/>
      <c r="CN273" s="41"/>
      <c r="CO273" s="41"/>
      <c r="CP273" s="41"/>
      <c r="CQ273" s="41"/>
      <c r="CR273" s="41"/>
      <c r="CS273" s="41"/>
      <c r="CT273" s="41"/>
      <c r="CU273" s="41"/>
      <c r="CV273" s="41"/>
      <c r="CW273" s="41"/>
      <c r="CX273" s="41"/>
      <c r="CY273" s="41"/>
      <c r="CZ273" s="41"/>
      <c r="DA273" s="51"/>
      <c r="DB273" s="51"/>
      <c r="DC273" s="51"/>
      <c r="DD273" s="51"/>
      <c r="DE273" s="51"/>
      <c r="DF273" s="51"/>
      <c r="DG273" s="51"/>
      <c r="DH273" s="51"/>
      <c r="DI273" s="51"/>
      <c r="DJ273" s="51"/>
      <c r="DK273" s="51"/>
      <c r="DL273" s="51"/>
      <c r="DM273" s="51"/>
      <c r="DN273" s="51"/>
      <c r="DO273" s="51"/>
      <c r="DP273" s="51"/>
      <c r="DQ273" s="51"/>
      <c r="DR273" s="51"/>
      <c r="DS273" s="51"/>
      <c r="DT273" s="51"/>
      <c r="DU273" s="51"/>
      <c r="DV273" s="51"/>
      <c r="DW273" s="51"/>
      <c r="DX273" s="51"/>
      <c r="DY273" s="51"/>
      <c r="DZ273" s="51"/>
      <c r="EA273" s="51"/>
      <c r="EB273" s="51"/>
      <c r="EC273" s="51"/>
      <c r="ED273" s="51"/>
      <c r="EE273" s="51"/>
      <c r="EF273" s="51"/>
      <c r="EG273" s="51"/>
      <c r="EH273" s="51"/>
      <c r="EI273" s="51"/>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row>
    <row r="274" spans="1:175" s="13" customFormat="1" ht="16.100000000000001" hidden="1" customHeight="1">
      <c r="A274" s="75"/>
      <c r="B274" s="76"/>
      <c r="C274" s="265" t="str">
        <f>Begriffe!F236</f>
        <v>Zielwert</v>
      </c>
      <c r="D274" s="1266" t="s">
        <v>1520</v>
      </c>
      <c r="E274" s="69">
        <f>N84</f>
        <v>10.8</v>
      </c>
      <c r="F274" s="1094">
        <f>N85</f>
        <v>0</v>
      </c>
      <c r="G274" s="69">
        <f>N125</f>
        <v>1.1038194444444445</v>
      </c>
      <c r="H274" s="69">
        <f>$N161</f>
        <v>0</v>
      </c>
      <c r="I274" s="69">
        <f>$N188</f>
        <v>10.295092187550507</v>
      </c>
      <c r="J274" s="69">
        <f>N196</f>
        <v>16.936000000000003</v>
      </c>
      <c r="K274" s="69">
        <f>$N196</f>
        <v>16.936000000000003</v>
      </c>
      <c r="N274" s="10">
        <f>N145</f>
        <v>1.8142400000000003</v>
      </c>
      <c r="P274" s="14"/>
      <c r="Q274" s="14"/>
      <c r="R274" s="63"/>
      <c r="S274" s="448"/>
      <c r="T274" s="65"/>
      <c r="U274" s="65"/>
      <c r="V274" s="65"/>
      <c r="W274" s="65"/>
      <c r="X274" s="65"/>
      <c r="Y274" s="63"/>
      <c r="Z274" s="64"/>
      <c r="AA274" s="64"/>
      <c r="AB274" s="64"/>
      <c r="AC274" s="64"/>
      <c r="AD274" s="64"/>
      <c r="AE274" s="64"/>
      <c r="AF274" s="65"/>
      <c r="AG274" s="65"/>
      <c r="AH274" s="65"/>
      <c r="AI274" s="65"/>
      <c r="AJ274" s="65"/>
      <c r="AK274" s="65"/>
      <c r="AL274" s="65"/>
      <c r="AM274" s="65"/>
      <c r="AN274" s="65"/>
      <c r="AO274" s="65"/>
      <c r="AP274" s="65"/>
      <c r="AQ274" s="65"/>
      <c r="AR274" s="65"/>
      <c r="AS274" s="66"/>
      <c r="AT274" s="66"/>
      <c r="AU274" s="66"/>
      <c r="AV274" s="66"/>
      <c r="AW274" s="41"/>
      <c r="AX274" s="41"/>
      <c r="AY274" s="41"/>
      <c r="AZ274" s="41"/>
      <c r="BA274" s="41"/>
      <c r="BB274" s="41"/>
      <c r="BC274" s="41"/>
      <c r="BD274" s="41"/>
      <c r="BE274" s="41"/>
      <c r="BF274" s="41"/>
      <c r="BG274" s="41"/>
      <c r="BH274" s="41"/>
      <c r="BI274" s="41"/>
      <c r="BJ274" s="41"/>
      <c r="BK274" s="41"/>
      <c r="BL274" s="41"/>
      <c r="BM274" s="41"/>
      <c r="BN274" s="41"/>
      <c r="BO274" s="41"/>
      <c r="BP274" s="41"/>
      <c r="BQ274" s="41"/>
      <c r="BR274" s="41"/>
      <c r="BS274" s="41"/>
      <c r="BT274" s="41"/>
      <c r="BU274" s="41"/>
      <c r="BV274" s="41"/>
      <c r="BW274" s="41"/>
      <c r="BX274" s="41"/>
      <c r="BY274" s="41"/>
      <c r="BZ274" s="41"/>
      <c r="CA274" s="41"/>
      <c r="CB274" s="41"/>
      <c r="CC274" s="41"/>
      <c r="CD274" s="41"/>
      <c r="CE274" s="41"/>
      <c r="CF274" s="41"/>
      <c r="CG274" s="41"/>
      <c r="CH274" s="41"/>
      <c r="CI274" s="41"/>
      <c r="CJ274" s="41"/>
      <c r="CK274" s="41"/>
      <c r="CL274" s="41"/>
      <c r="CM274" s="41"/>
      <c r="CN274" s="41"/>
      <c r="CO274" s="41"/>
      <c r="CP274" s="41"/>
      <c r="CQ274" s="41"/>
      <c r="CR274" s="41"/>
      <c r="CS274" s="41"/>
      <c r="CT274" s="41"/>
      <c r="CU274" s="41"/>
      <c r="CV274" s="41"/>
      <c r="CW274" s="41"/>
      <c r="CX274" s="41"/>
      <c r="CY274" s="41"/>
      <c r="CZ274" s="41"/>
      <c r="DA274" s="51"/>
      <c r="DB274" s="51"/>
      <c r="DC274" s="51"/>
      <c r="DD274" s="51"/>
      <c r="DE274" s="51"/>
      <c r="DF274" s="51"/>
      <c r="DG274" s="51"/>
      <c r="DH274" s="51"/>
      <c r="DI274" s="51"/>
      <c r="DJ274" s="51"/>
      <c r="DK274" s="51"/>
      <c r="DL274" s="51"/>
      <c r="DM274" s="51"/>
      <c r="DN274" s="51"/>
      <c r="DO274" s="51"/>
      <c r="DP274" s="51"/>
      <c r="DQ274" s="51"/>
      <c r="DR274" s="51"/>
      <c r="DS274" s="51"/>
      <c r="DT274" s="51"/>
      <c r="DU274" s="51"/>
      <c r="DV274" s="51"/>
      <c r="DW274" s="51"/>
      <c r="DX274" s="51"/>
      <c r="DY274" s="51"/>
      <c r="DZ274" s="51"/>
      <c r="EA274" s="51"/>
      <c r="EB274" s="51"/>
      <c r="EC274" s="51"/>
      <c r="ED274" s="51"/>
      <c r="EE274" s="51"/>
      <c r="EF274" s="51"/>
      <c r="EG274" s="51"/>
      <c r="EH274" s="51"/>
      <c r="EI274" s="51"/>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row>
    <row r="275" spans="1:175" s="13" customFormat="1" ht="16.100000000000001" hidden="1" customHeight="1">
      <c r="A275" s="75"/>
      <c r="B275" s="76"/>
      <c r="C275" s="265" t="str">
        <f>Begriffe!F235</f>
        <v>Standard</v>
      </c>
      <c r="D275" s="1266" t="s">
        <v>1520</v>
      </c>
      <c r="E275" s="69">
        <f>M84</f>
        <v>21.6</v>
      </c>
      <c r="F275" s="1094">
        <f>M85</f>
        <v>0</v>
      </c>
      <c r="G275" s="69">
        <f>M125</f>
        <v>2.5203750000000005</v>
      </c>
      <c r="H275" s="69">
        <f>$M161</f>
        <v>0</v>
      </c>
      <c r="I275" s="69">
        <f>$M188</f>
        <v>14.042909215362824</v>
      </c>
      <c r="J275" s="69">
        <f>O196</f>
        <v>16.936000000000003</v>
      </c>
      <c r="K275" s="69">
        <f>$M196</f>
        <v>16.936000000000003</v>
      </c>
      <c r="N275" s="10">
        <f>$M145</f>
        <v>4.0646400000000007</v>
      </c>
      <c r="P275" s="14"/>
      <c r="Q275" s="14"/>
      <c r="R275" s="63"/>
      <c r="S275" s="448"/>
      <c r="T275" s="65"/>
      <c r="U275" s="63"/>
      <c r="V275" s="64"/>
      <c r="W275" s="64"/>
      <c r="X275" s="64"/>
      <c r="Y275" s="64"/>
      <c r="Z275" s="64"/>
      <c r="AA275" s="64"/>
      <c r="AB275" s="65"/>
      <c r="AC275" s="65"/>
      <c r="AD275" s="65"/>
      <c r="AE275" s="65"/>
      <c r="AF275" s="65"/>
      <c r="AG275" s="65"/>
      <c r="AH275" s="65"/>
      <c r="AI275" s="65"/>
      <c r="AJ275" s="65"/>
      <c r="AK275" s="65"/>
      <c r="AL275" s="65"/>
      <c r="AM275" s="65"/>
      <c r="AN275" s="65"/>
      <c r="AO275" s="66"/>
      <c r="AP275" s="66"/>
      <c r="AQ275" s="66"/>
      <c r="AR275" s="66"/>
      <c r="AS275" s="41"/>
      <c r="AT275" s="41"/>
      <c r="AU275" s="41"/>
      <c r="AV275" s="41"/>
      <c r="AW275" s="41"/>
      <c r="AX275" s="41"/>
      <c r="AY275" s="41"/>
      <c r="AZ275" s="41"/>
      <c r="BA275" s="41"/>
      <c r="BB275" s="41"/>
      <c r="BC275" s="41"/>
      <c r="BD275" s="41"/>
      <c r="BE275" s="41"/>
      <c r="BF275" s="41"/>
      <c r="BG275" s="41"/>
      <c r="BH275" s="41"/>
      <c r="BI275" s="41"/>
      <c r="BJ275" s="41"/>
      <c r="BK275" s="41"/>
      <c r="BL275" s="41"/>
      <c r="BM275" s="41"/>
      <c r="BN275" s="41"/>
      <c r="BO275" s="41"/>
      <c r="BP275" s="41"/>
      <c r="BQ275" s="41"/>
      <c r="BR275" s="41"/>
      <c r="BS275" s="41"/>
      <c r="BT275" s="41"/>
      <c r="BU275" s="41"/>
      <c r="BV275" s="41"/>
      <c r="BW275" s="41"/>
      <c r="BX275" s="41"/>
      <c r="BY275" s="41"/>
      <c r="BZ275" s="41"/>
      <c r="CA275" s="41"/>
      <c r="CB275" s="41"/>
      <c r="CC275" s="41"/>
      <c r="CD275" s="41"/>
      <c r="CE275" s="41"/>
      <c r="CF275" s="41"/>
      <c r="CG275" s="41"/>
      <c r="CH275" s="41"/>
      <c r="CI275" s="41"/>
      <c r="CJ275" s="41"/>
      <c r="CK275" s="41"/>
      <c r="CL275" s="41"/>
      <c r="CM275" s="41"/>
      <c r="CN275" s="41"/>
      <c r="CO275" s="41"/>
      <c r="CP275" s="41"/>
      <c r="CQ275" s="41"/>
      <c r="CR275" s="41"/>
      <c r="CS275" s="41"/>
      <c r="CT275" s="41"/>
      <c r="CU275" s="41"/>
      <c r="CV275" s="41"/>
      <c r="CW275" s="51"/>
      <c r="CX275" s="51"/>
      <c r="CY275" s="51"/>
      <c r="CZ275" s="51"/>
      <c r="DA275" s="51"/>
      <c r="DB275" s="51"/>
      <c r="DC275" s="51"/>
      <c r="DD275" s="51"/>
      <c r="DE275" s="51"/>
      <c r="DF275" s="51"/>
      <c r="DG275" s="51"/>
      <c r="DH275" s="51"/>
      <c r="DI275" s="51"/>
      <c r="DJ275" s="51"/>
      <c r="DK275" s="51"/>
      <c r="DL275" s="51"/>
      <c r="DM275" s="51"/>
      <c r="DN275" s="51"/>
      <c r="DO275" s="51"/>
      <c r="DP275" s="51"/>
      <c r="DQ275" s="51"/>
      <c r="DR275" s="51"/>
      <c r="DS275" s="51"/>
      <c r="DT275" s="51"/>
      <c r="DU275" s="51"/>
      <c r="DV275" s="51"/>
      <c r="DW275" s="51"/>
      <c r="DX275" s="51"/>
      <c r="DY275" s="51"/>
      <c r="DZ275" s="51"/>
      <c r="EA275" s="51"/>
      <c r="EB275" s="51"/>
      <c r="EC275" s="51"/>
      <c r="ED275" s="51"/>
      <c r="EE275" s="51"/>
      <c r="EF275" s="40"/>
      <c r="EG275" s="40"/>
      <c r="EH275" s="40"/>
      <c r="EI275" s="40"/>
      <c r="EJ275" s="40"/>
      <c r="EK275" s="40"/>
      <c r="EL275" s="40"/>
      <c r="EM275" s="40"/>
      <c r="EN275" s="40"/>
      <c r="EO275" s="40"/>
      <c r="EP275" s="40"/>
      <c r="EQ275" s="40"/>
      <c r="ER275" s="40"/>
      <c r="ES275" s="40"/>
      <c r="ET275" s="40"/>
      <c r="EU275" s="40"/>
      <c r="EV275" s="40"/>
      <c r="EW275" s="40"/>
      <c r="EX275" s="40"/>
      <c r="EY275" s="40"/>
      <c r="EZ275" s="40"/>
      <c r="FA275" s="40"/>
      <c r="FB275" s="40"/>
      <c r="FC275" s="40"/>
      <c r="FD275" s="40"/>
      <c r="FE275" s="40"/>
      <c r="FF275" s="40"/>
      <c r="FG275" s="40"/>
      <c r="FH275" s="40"/>
      <c r="FI275" s="40"/>
      <c r="FJ275" s="40"/>
      <c r="FK275" s="40"/>
      <c r="FL275" s="40"/>
      <c r="FM275" s="40"/>
      <c r="FN275" s="40"/>
      <c r="FO275" s="40"/>
    </row>
    <row r="276" spans="1:175" s="13" customFormat="1" ht="15.75" hidden="1" customHeight="1">
      <c r="A276" s="4"/>
      <c r="B276" s="77"/>
      <c r="C276" s="78"/>
      <c r="D276" s="78"/>
      <c r="E276" s="78"/>
      <c r="F276" s="78"/>
      <c r="G276" s="78"/>
      <c r="H276" s="79"/>
      <c r="I276" s="79"/>
      <c r="J276" s="78"/>
      <c r="K276" s="78"/>
      <c r="L276" s="78"/>
      <c r="M276" s="78"/>
      <c r="P276" s="14"/>
      <c r="Q276" s="243"/>
      <c r="R276" s="65"/>
      <c r="S276" s="243"/>
      <c r="T276" s="65"/>
      <c r="U276" s="64"/>
      <c r="V276" s="64"/>
      <c r="W276" s="64"/>
      <c r="X276" s="64"/>
      <c r="Y276" s="64"/>
      <c r="Z276" s="64"/>
      <c r="AA276" s="64"/>
      <c r="AB276" s="65"/>
      <c r="AC276" s="65"/>
      <c r="AD276" s="65"/>
      <c r="AE276" s="65"/>
      <c r="AF276" s="65"/>
      <c r="AG276" s="65"/>
      <c r="AH276" s="65"/>
      <c r="AI276" s="65"/>
      <c r="AJ276" s="65"/>
      <c r="AK276" s="65"/>
      <c r="AL276" s="65"/>
      <c r="AM276" s="65"/>
      <c r="AN276" s="65"/>
      <c r="AO276" s="66"/>
      <c r="AP276" s="66"/>
      <c r="AQ276" s="66"/>
      <c r="AR276" s="66"/>
      <c r="AS276" s="41"/>
      <c r="AT276" s="41"/>
      <c r="AU276" s="41"/>
      <c r="AV276" s="41"/>
      <c r="AW276" s="41"/>
      <c r="AX276" s="41"/>
      <c r="AY276" s="41"/>
      <c r="AZ276" s="41"/>
      <c r="BA276" s="41"/>
      <c r="BB276" s="41"/>
      <c r="BC276" s="41"/>
      <c r="BD276" s="41"/>
      <c r="BE276" s="41"/>
      <c r="BF276" s="41"/>
      <c r="BG276" s="41"/>
      <c r="BH276" s="41"/>
      <c r="BI276" s="41"/>
      <c r="BJ276" s="41"/>
      <c r="BK276" s="41"/>
      <c r="BL276" s="41"/>
      <c r="BM276" s="41"/>
      <c r="BN276" s="41"/>
      <c r="BO276" s="41"/>
      <c r="BP276" s="41"/>
      <c r="BQ276" s="41"/>
      <c r="BR276" s="41"/>
      <c r="BS276" s="41"/>
      <c r="BT276" s="41"/>
      <c r="BU276" s="41"/>
      <c r="BV276" s="41"/>
      <c r="BW276" s="41"/>
      <c r="BX276" s="41"/>
      <c r="BY276" s="41"/>
      <c r="BZ276" s="41"/>
      <c r="CA276" s="41"/>
      <c r="CB276" s="41"/>
      <c r="CC276" s="41"/>
      <c r="CD276" s="41"/>
      <c r="CE276" s="41"/>
      <c r="CF276" s="41"/>
      <c r="CG276" s="41"/>
      <c r="CH276" s="41"/>
      <c r="CI276" s="41"/>
      <c r="CJ276" s="41"/>
      <c r="CK276" s="41"/>
      <c r="CL276" s="41"/>
      <c r="CM276" s="41"/>
      <c r="CN276" s="41"/>
      <c r="CO276" s="41"/>
      <c r="CP276" s="41"/>
      <c r="CQ276" s="41"/>
      <c r="CR276" s="41"/>
      <c r="CS276" s="41"/>
      <c r="CT276" s="41"/>
      <c r="CU276" s="41"/>
      <c r="CV276" s="41"/>
      <c r="CW276" s="51"/>
      <c r="CX276" s="51"/>
      <c r="CY276" s="51"/>
      <c r="CZ276" s="51"/>
      <c r="DA276" s="51"/>
      <c r="DB276" s="51"/>
      <c r="DC276" s="51"/>
      <c r="DD276" s="51"/>
      <c r="DE276" s="51"/>
      <c r="DF276" s="51"/>
      <c r="DG276" s="51"/>
      <c r="DH276" s="51"/>
      <c r="DI276" s="51"/>
      <c r="DJ276" s="51"/>
      <c r="DK276" s="51"/>
      <c r="DL276" s="51"/>
      <c r="DM276" s="51"/>
      <c r="DN276" s="51"/>
      <c r="DO276" s="51"/>
      <c r="DP276" s="51"/>
      <c r="DQ276" s="51"/>
      <c r="DR276" s="51"/>
      <c r="DS276" s="51"/>
      <c r="DT276" s="51"/>
      <c r="DU276" s="51"/>
      <c r="DV276" s="51"/>
      <c r="DW276" s="51"/>
      <c r="DX276" s="51"/>
      <c r="DY276" s="51"/>
      <c r="DZ276" s="51"/>
      <c r="EA276" s="51"/>
      <c r="EB276" s="51"/>
      <c r="EC276" s="51"/>
      <c r="ED276" s="51"/>
      <c r="EE276" s="51"/>
      <c r="EF276" s="40"/>
      <c r="EG276" s="40"/>
      <c r="EH276" s="40"/>
      <c r="EI276" s="40"/>
      <c r="EJ276" s="40"/>
      <c r="EK276" s="40"/>
      <c r="EL276" s="40"/>
      <c r="EM276" s="40"/>
      <c r="EN276" s="40"/>
      <c r="EO276" s="40"/>
      <c r="EP276" s="40"/>
      <c r="EQ276" s="40"/>
      <c r="ER276" s="40"/>
      <c r="ES276" s="40"/>
      <c r="ET276" s="40"/>
      <c r="EU276" s="40"/>
      <c r="EV276" s="40"/>
      <c r="EW276" s="40"/>
      <c r="EX276" s="40"/>
      <c r="EY276" s="40"/>
      <c r="EZ276" s="40"/>
      <c r="FA276" s="40"/>
      <c r="FB276" s="40"/>
      <c r="FC276" s="40"/>
      <c r="FD276" s="40"/>
      <c r="FE276" s="40"/>
      <c r="FF276" s="40"/>
      <c r="FG276" s="40"/>
      <c r="FH276" s="40"/>
      <c r="FI276" s="40"/>
      <c r="FJ276" s="40"/>
      <c r="FK276" s="40"/>
      <c r="FL276" s="40"/>
      <c r="FM276" s="40"/>
      <c r="FN276" s="40"/>
      <c r="FO276" s="40"/>
    </row>
    <row r="277" spans="1:175" hidden="1"/>
    <row r="278" spans="1:175" hidden="1"/>
    <row r="279" spans="1:175" ht="15.45" hidden="1">
      <c r="C279" s="68"/>
      <c r="D279" s="76"/>
      <c r="E279" s="76"/>
      <c r="F279" s="76"/>
      <c r="G279" s="76"/>
      <c r="H279" s="867"/>
      <c r="I279" s="867"/>
      <c r="J279" s="868"/>
      <c r="K279" s="868"/>
      <c r="L279" s="869"/>
      <c r="M279" s="870"/>
      <c r="N279" s="871"/>
    </row>
    <row r="280" spans="1:175" ht="12.45" hidden="1">
      <c r="C280" s="699" t="str">
        <f>Begriffe!F371</f>
        <v>Elektrischer und thermischer Energiebedarf</v>
      </c>
      <c r="D280" s="671"/>
      <c r="E280" s="671"/>
      <c r="F280" s="671"/>
      <c r="G280" s="671"/>
      <c r="H280" s="671"/>
      <c r="I280" s="671" t="str">
        <f>Begriffe!F372</f>
        <v xml:space="preserve">Elektrischer und thermischer Leistungsbedarf </v>
      </c>
      <c r="J280" s="14"/>
      <c r="K280" s="14"/>
      <c r="L280" s="13"/>
      <c r="M280" s="14"/>
      <c r="N280" s="1661"/>
      <c r="O280" s="1661"/>
    </row>
    <row r="281" spans="1:175" ht="12.45" hidden="1">
      <c r="C281" s="13"/>
      <c r="D281" s="13"/>
      <c r="E281" s="13"/>
      <c r="F281" s="13"/>
      <c r="G281" s="13"/>
      <c r="H281" s="13"/>
      <c r="I281" s="13"/>
      <c r="J281" s="13"/>
      <c r="K281" s="13"/>
      <c r="L281" s="13"/>
      <c r="M281" s="13"/>
      <c r="N281" s="13"/>
      <c r="O281" s="13"/>
    </row>
    <row r="282" spans="1:175" ht="12.45" hidden="1">
      <c r="C282" s="13"/>
      <c r="D282" s="13"/>
      <c r="E282" s="13"/>
      <c r="F282" s="13"/>
      <c r="G282" s="13"/>
      <c r="H282" s="13"/>
      <c r="I282" s="13"/>
      <c r="J282" s="13"/>
      <c r="K282" s="13"/>
      <c r="L282" s="13"/>
      <c r="M282" s="13"/>
      <c r="N282" s="13"/>
      <c r="O282" s="13"/>
    </row>
    <row r="283" spans="1:175" ht="12.45" hidden="1">
      <c r="C283" s="1980" t="str">
        <f>C272</f>
        <v>Energiebedarf, kWh/m2</v>
      </c>
      <c r="D283" s="706" t="str">
        <f>Begriffe!F373</f>
        <v xml:space="preserve">Elektrischer Energiebedarf                              </v>
      </c>
      <c r="E283" s="706"/>
      <c r="F283" s="707" t="str">
        <f>Begriffe!F374</f>
        <v xml:space="preserve">Thermischer Energiebedarf                              </v>
      </c>
      <c r="G283" s="504"/>
      <c r="H283" s="503"/>
      <c r="I283" s="1980" t="str">
        <f>C267</f>
        <v>Leistungsbedarf, W/m2</v>
      </c>
      <c r="J283" s="706" t="str">
        <f>Begriffe!F375</f>
        <v xml:space="preserve">Elektrischer Leistungsbedarf                              </v>
      </c>
      <c r="K283" s="503"/>
      <c r="L283" s="503"/>
      <c r="M283" s="503"/>
      <c r="N283" s="1979" t="str">
        <f>Begriffe!F376</f>
        <v xml:space="preserve">Thermischer Leistungsbedarf                              </v>
      </c>
      <c r="O283" s="1979"/>
    </row>
    <row r="284" spans="1:175" ht="12.45" hidden="1">
      <c r="C284" s="1980"/>
      <c r="D284" s="13"/>
      <c r="E284" s="13"/>
      <c r="F284" s="13"/>
      <c r="G284" s="13"/>
      <c r="H284" s="13"/>
      <c r="I284" s="1980"/>
      <c r="J284" s="13"/>
      <c r="K284" s="13"/>
      <c r="L284" s="13"/>
      <c r="M284" s="13"/>
      <c r="N284" s="13"/>
      <c r="O284" s="13"/>
    </row>
    <row r="285" spans="1:175" hidden="1">
      <c r="C285" s="1980"/>
      <c r="D285" s="97"/>
      <c r="E285" s="97"/>
      <c r="F285" s="97"/>
      <c r="G285" s="97"/>
      <c r="H285" s="13"/>
      <c r="I285" s="1980"/>
      <c r="J285" s="13"/>
      <c r="K285" s="13"/>
      <c r="L285" s="13"/>
      <c r="M285" s="13"/>
      <c r="N285" s="13"/>
      <c r="O285" s="13"/>
    </row>
    <row r="286" spans="1:175" ht="12.45" hidden="1">
      <c r="C286" s="1980"/>
      <c r="D286" s="13"/>
      <c r="E286" s="13"/>
      <c r="F286" s="13"/>
      <c r="G286" s="13"/>
      <c r="H286" s="13"/>
      <c r="I286" s="1980"/>
      <c r="J286" s="13"/>
      <c r="K286" s="13"/>
      <c r="L286" s="13"/>
      <c r="M286" s="13"/>
      <c r="N286" s="13"/>
      <c r="O286" s="13"/>
    </row>
    <row r="287" spans="1:175" ht="12.45" hidden="1">
      <c r="C287" s="1980"/>
      <c r="D287" s="13"/>
      <c r="E287" s="13"/>
      <c r="F287" s="13"/>
      <c r="G287" s="13"/>
      <c r="H287" s="13"/>
      <c r="I287" s="1980"/>
      <c r="J287" s="13"/>
      <c r="K287" s="13"/>
      <c r="L287" s="13"/>
      <c r="M287" s="13"/>
      <c r="N287" s="13"/>
      <c r="O287" s="13"/>
    </row>
    <row r="288" spans="1:175" ht="12.45" hidden="1">
      <c r="C288" s="1980"/>
      <c r="D288" s="13"/>
      <c r="E288" s="13"/>
      <c r="F288" s="13"/>
      <c r="G288" s="13"/>
      <c r="H288" s="13"/>
      <c r="I288" s="1980"/>
      <c r="J288" s="13"/>
      <c r="K288" s="13"/>
      <c r="L288" s="13"/>
      <c r="M288" s="13"/>
      <c r="N288" s="13"/>
      <c r="O288" s="13"/>
    </row>
    <row r="289" spans="3:15" ht="12.45" hidden="1">
      <c r="C289" s="1980"/>
      <c r="D289" s="13"/>
      <c r="E289" s="13"/>
      <c r="F289" s="13"/>
      <c r="G289" s="13"/>
      <c r="H289" s="13"/>
      <c r="I289" s="1980"/>
      <c r="J289" s="13"/>
      <c r="K289" s="13"/>
      <c r="L289" s="13"/>
      <c r="M289" s="13"/>
      <c r="N289" s="13"/>
      <c r="O289" s="13"/>
    </row>
    <row r="290" spans="3:15" ht="12.45" hidden="1">
      <c r="C290" s="1980"/>
      <c r="D290" s="13"/>
      <c r="E290" s="13"/>
      <c r="F290" s="13"/>
      <c r="G290" s="13"/>
      <c r="H290" s="13"/>
      <c r="I290" s="1980"/>
      <c r="J290" s="13"/>
      <c r="K290" s="13"/>
      <c r="L290" s="13"/>
      <c r="M290" s="13"/>
      <c r="N290" s="13"/>
      <c r="O290" s="13"/>
    </row>
    <row r="291" spans="3:15" ht="12.45" hidden="1">
      <c r="C291" s="1980"/>
      <c r="D291" s="13"/>
      <c r="E291" s="13"/>
      <c r="F291" s="13"/>
      <c r="G291" s="13"/>
      <c r="H291" s="13"/>
      <c r="I291" s="1980"/>
      <c r="J291" s="13"/>
      <c r="K291" s="13"/>
      <c r="L291" s="13"/>
      <c r="M291" s="13"/>
      <c r="N291" s="13"/>
      <c r="O291" s="13"/>
    </row>
    <row r="292" spans="3:15" ht="12.45" hidden="1">
      <c r="C292" s="1980"/>
      <c r="D292" s="13"/>
      <c r="E292" s="13"/>
      <c r="F292" s="13"/>
      <c r="G292" s="13"/>
      <c r="H292" s="13"/>
      <c r="I292" s="1980"/>
      <c r="J292" s="13"/>
      <c r="K292" s="13"/>
      <c r="L292" s="13"/>
      <c r="M292" s="13"/>
      <c r="N292" s="13"/>
      <c r="O292" s="13"/>
    </row>
    <row r="293" spans="3:15" ht="12.45" hidden="1">
      <c r="C293" s="13"/>
      <c r="D293" s="13"/>
      <c r="E293" s="13"/>
      <c r="F293" s="13"/>
      <c r="G293" s="13"/>
      <c r="H293" s="13"/>
      <c r="I293" s="13"/>
      <c r="J293" s="13"/>
      <c r="K293" s="13"/>
      <c r="L293" s="13"/>
      <c r="M293" s="13"/>
      <c r="N293" s="13"/>
      <c r="O293" s="13"/>
    </row>
    <row r="294" spans="3:15" ht="12.45" hidden="1">
      <c r="C294" s="13"/>
      <c r="D294" s="13"/>
      <c r="E294" s="13"/>
      <c r="F294" s="13"/>
      <c r="G294" s="13"/>
      <c r="H294" s="13"/>
      <c r="I294" s="13"/>
      <c r="J294" s="13"/>
      <c r="K294" s="13"/>
      <c r="L294" s="13"/>
      <c r="M294" s="13"/>
      <c r="N294" s="13"/>
      <c r="O294" s="13"/>
    </row>
    <row r="295" spans="3:15" hidden="1"/>
    <row r="296" spans="3:15" hidden="1"/>
    <row r="297" spans="3:15" hidden="1"/>
    <row r="298" spans="3:15" hidden="1"/>
    <row r="299" spans="3:15" hidden="1"/>
  </sheetData>
  <sheetProtection algorithmName="SHA-512" hashValue="cbTurshQB6V5YEvloEfPyLsWo6NBRmfQ0KUSwid67RKlQgLuWYOsvdFDL1xQ2k/SkIN3SsxLGPyGLB4gNv7Ywg==" saltValue="DgQ0PpuU6lubSjfU3F4y/w==" spinCount="100000" sheet="1" objects="1" scenarios="1"/>
  <autoFilter ref="A4:Q227" xr:uid="{00000000-0009-0000-0000-000009000000}">
    <filterColumn colId="16">
      <filters>
        <filter val="1"/>
      </filters>
    </filterColumn>
  </autoFilter>
  <mergeCells count="21">
    <mergeCell ref="I46:I50"/>
    <mergeCell ref="C60:E60"/>
    <mergeCell ref="A147:A161"/>
    <mergeCell ref="A5:A43"/>
    <mergeCell ref="G28:H28"/>
    <mergeCell ref="A45:A68"/>
    <mergeCell ref="C46:C50"/>
    <mergeCell ref="A70:A85"/>
    <mergeCell ref="C70:C74"/>
    <mergeCell ref="A87:A125"/>
    <mergeCell ref="A130:A145"/>
    <mergeCell ref="X143:X145"/>
    <mergeCell ref="C283:C292"/>
    <mergeCell ref="I283:I292"/>
    <mergeCell ref="N283:O283"/>
    <mergeCell ref="A163:A171"/>
    <mergeCell ref="A173:A188"/>
    <mergeCell ref="A190:A196"/>
    <mergeCell ref="C196:E196"/>
    <mergeCell ref="A198:A227"/>
    <mergeCell ref="A229:A240"/>
  </mergeCells>
  <printOptions horizontalCentered="1"/>
  <pageMargins left="0.39370078740157483" right="0.39370078740157483" top="0.59055118110236227" bottom="0.39370078740157483" header="0" footer="0.39370078740157483"/>
  <pageSetup paperSize="9" scale="51" firstPageNumber="26" fitToHeight="2" orientation="portrait" useFirstPageNumber="1" horizontalDpi="4294967293" verticalDpi="2400" r:id="rId1"/>
  <headerFooter alignWithMargins="0">
    <oddHeader>&amp;CSIA 2024 Raum-Datenblätter</oddHeader>
    <oddFooter>&amp;CSIA 2024, Copyright © 2021 by SIA Zurich&amp;R&amp;12 &amp;P</oddFooter>
    <evenFooter>&amp;L &amp;P</evenFooter>
  </headerFooter>
  <rowBreaks count="1" manualBreakCount="1">
    <brk id="126"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Drop Down 1">
              <controlPr defaultSize="0" print="0" autoLine="0" autoPict="0">
                <anchor moveWithCells="1">
                  <from>
                    <xdr:col>1</xdr:col>
                    <xdr:colOff>0</xdr:colOff>
                    <xdr:row>0</xdr:row>
                    <xdr:rowOff>54429</xdr:rowOff>
                  </from>
                  <to>
                    <xdr:col>3</xdr:col>
                    <xdr:colOff>1812471</xdr:colOff>
                    <xdr:row>0</xdr:row>
                    <xdr:rowOff>283029</xdr:rowOff>
                  </to>
                </anchor>
              </controlPr>
            </control>
          </mc:Choice>
        </mc:AlternateContent>
        <mc:AlternateContent xmlns:mc="http://schemas.openxmlformats.org/markup-compatibility/2006">
          <mc:Choice Requires="x14">
            <control shapeId="295938" r:id="rId5" name="Spinner 2">
              <controlPr defaultSize="0" autoPict="0">
                <anchor moveWithCells="1" sizeWithCells="1">
                  <from>
                    <xdr:col>3</xdr:col>
                    <xdr:colOff>1540329</xdr:colOff>
                    <xdr:row>0</xdr:row>
                    <xdr:rowOff>59871</xdr:rowOff>
                  </from>
                  <to>
                    <xdr:col>3</xdr:col>
                    <xdr:colOff>1845129</xdr:colOff>
                    <xdr:row>0</xdr:row>
                    <xdr:rowOff>266700</xdr:rowOff>
                  </to>
                </anchor>
              </controlPr>
            </control>
          </mc:Choice>
        </mc:AlternateContent>
        <mc:AlternateContent xmlns:mc="http://schemas.openxmlformats.org/markup-compatibility/2006">
          <mc:Choice Requires="x14">
            <control shapeId="295939" r:id="rId6" name="Button 3">
              <controlPr locked="0" defaultSize="0" print="0" autoFill="0" autoPict="0" macro="[0]!DatenblattDruck" altText="Print data sheets">
                <anchor moveWithCells="1" sizeWithCells="1">
                  <from>
                    <xdr:col>9</xdr:col>
                    <xdr:colOff>549729</xdr:colOff>
                    <xdr:row>0</xdr:row>
                    <xdr:rowOff>16329</xdr:rowOff>
                  </from>
                  <to>
                    <xdr:col>11</xdr:col>
                    <xdr:colOff>778329</xdr:colOff>
                    <xdr:row>1</xdr:row>
                    <xdr:rowOff>16329</xdr:rowOff>
                  </to>
                </anchor>
              </controlPr>
            </control>
          </mc:Choice>
        </mc:AlternateContent>
        <mc:AlternateContent xmlns:mc="http://schemas.openxmlformats.org/markup-compatibility/2006">
          <mc:Choice Requires="x14">
            <control shapeId="295940" r:id="rId7" name="Button 4">
              <controlPr locked="0" defaultSize="0" print="0" autoFill="0" autoPict="0" macro="[0]!DatenblattSpeichern" altText="Save as PDF">
                <anchor moveWithCells="1" sizeWithCells="1">
                  <from>
                    <xdr:col>11</xdr:col>
                    <xdr:colOff>859971</xdr:colOff>
                    <xdr:row>0</xdr:row>
                    <xdr:rowOff>16329</xdr:rowOff>
                  </from>
                  <to>
                    <xdr:col>13</xdr:col>
                    <xdr:colOff>0</xdr:colOff>
                    <xdr:row>1</xdr:row>
                    <xdr:rowOff>16329</xdr:rowOff>
                  </to>
                </anchor>
              </controlPr>
            </control>
          </mc:Choice>
        </mc:AlternateContent>
        <mc:AlternateContent xmlns:mc="http://schemas.openxmlformats.org/markup-compatibility/2006">
          <mc:Choice Requires="x14">
            <control shapeId="295944" r:id="rId8" name="Drop Down 8">
              <controlPr locked="0" defaultSize="0" autoLine="0" autoPict="0">
                <anchor moveWithCells="1">
                  <from>
                    <xdr:col>5</xdr:col>
                    <xdr:colOff>326571</xdr:colOff>
                    <xdr:row>0</xdr:row>
                    <xdr:rowOff>38100</xdr:rowOff>
                  </from>
                  <to>
                    <xdr:col>7</xdr:col>
                    <xdr:colOff>402771</xdr:colOff>
                    <xdr:row>0</xdr:row>
                    <xdr:rowOff>283029</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F92F82F-870B-4185-AAE7-3D604D2AF1F0}">
          <x14:formula1>
            <xm:f>Begriffe!$F$248:$F$250</xm:f>
          </x14:formula1>
          <xm:sqref>L136:L137</xm:sqref>
        </x14:dataValidation>
        <x14:dataValidation type="list" allowBlank="1" showInputMessage="1" showErrorMessage="1" xr:uid="{F1A40D3F-599C-4BF4-B4D8-D88371960EA9}">
          <x14:formula1>
            <xm:f>Begriffe!$F$245:$F$247</xm:f>
          </x14:formula1>
          <xm:sqref>L40</xm:sqref>
        </x14:dataValidation>
        <x14:dataValidation type="list" allowBlank="1" showInputMessage="1" showErrorMessage="1" xr:uid="{BCABE82D-0C83-4876-8049-51BFEB52E40D}">
          <x14:formula1>
            <xm:f>Begriffe!$F$391:$F$402</xm:f>
          </x14:formula1>
          <xm:sqref>L212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blRes_Std">
    <tabColor theme="6" tint="0.59999389629810485"/>
    <pageSetUpPr fitToPage="1"/>
  </sheetPr>
  <dimension ref="A1:EV54"/>
  <sheetViews>
    <sheetView showGridLines="0" showRowColHeaders="0" zoomScaleNormal="100" zoomScaleSheetLayoutView="100" workbookViewId="0"/>
  </sheetViews>
  <sheetFormatPr baseColWidth="10" defaultColWidth="11.4609375" defaultRowHeight="12.45"/>
  <cols>
    <col min="1" max="1" width="6.53515625" style="1128" customWidth="1"/>
    <col min="2" max="2" width="34.23046875" style="1128" customWidth="1"/>
    <col min="3" max="3" width="6.4609375" style="1128" customWidth="1"/>
    <col min="4" max="4" width="7.23046875" style="1128" customWidth="1"/>
    <col min="5" max="6" width="6.53515625" style="1128" customWidth="1"/>
    <col min="7" max="7" width="5.4609375" style="1128" customWidth="1"/>
    <col min="8" max="8" width="4.4609375" style="1128" customWidth="1"/>
    <col min="9" max="9" width="5.23046875" style="1128" customWidth="1"/>
    <col min="10" max="10" width="5.23046875" style="1128" hidden="1" customWidth="1"/>
    <col min="11" max="11" width="7.23046875" style="1128" hidden="1" customWidth="1"/>
    <col min="12" max="12" width="5.765625" style="1128" customWidth="1"/>
    <col min="13" max="13" width="7.69140625" style="1128" hidden="1" customWidth="1"/>
    <col min="14" max="14" width="7.4609375" style="1128" customWidth="1"/>
    <col min="15" max="16" width="7" style="1128" hidden="1" customWidth="1"/>
    <col min="17" max="17" width="9.69140625" style="1128" customWidth="1"/>
    <col min="18" max="18" width="9.69140625" style="1128" hidden="1" customWidth="1"/>
    <col min="19" max="20" width="9.69140625" style="1128" customWidth="1"/>
    <col min="21" max="21" width="5.23046875" style="1128" customWidth="1"/>
    <col min="22" max="22" width="5.4609375" style="1128" customWidth="1"/>
    <col min="23" max="23" width="6.23046875" style="1128" customWidth="1"/>
    <col min="24" max="24" width="5.23046875" style="1128" customWidth="1"/>
    <col min="25" max="25" width="7" style="1128" customWidth="1"/>
    <col min="26" max="26" width="8.53515625" style="1128" customWidth="1"/>
    <col min="27" max="27" width="7.765625" style="1128" customWidth="1"/>
    <col min="28" max="28" width="6.765625" style="1128" customWidth="1"/>
    <col min="29" max="29" width="8.23046875" style="1128" customWidth="1"/>
    <col min="30" max="30" width="8.4609375" style="1128" customWidth="1"/>
    <col min="31" max="31" width="7.765625" style="1128" customWidth="1"/>
    <col min="32" max="32" width="6.765625" style="1128" hidden="1" customWidth="1"/>
    <col min="33" max="33" width="6.4609375" style="1128" hidden="1" customWidth="1"/>
    <col min="34" max="34" width="8.23046875" style="1128" hidden="1" customWidth="1"/>
    <col min="35" max="35" width="6.53515625" style="1128" customWidth="1"/>
    <col min="36" max="36" width="6.23046875" style="1128" customWidth="1"/>
    <col min="37" max="37" width="8.23046875" style="1128" customWidth="1"/>
    <col min="38" max="39" width="14.69140625" style="1128" customWidth="1"/>
    <col min="40" max="40" width="13.4609375" style="1128" customWidth="1"/>
    <col min="41" max="41" width="7.23046875" style="1128" hidden="1" customWidth="1"/>
    <col min="42" max="42" width="7.23046875" style="1128" customWidth="1"/>
    <col min="43" max="43" width="6.23046875" style="1128" hidden="1" customWidth="1"/>
    <col min="44" max="44" width="8.23046875" style="1128" customWidth="1"/>
    <col min="45" max="45" width="7.765625" style="1128" customWidth="1"/>
    <col min="46" max="46" width="7.765625" style="1128" hidden="1" customWidth="1"/>
    <col min="47" max="47" width="6" style="1128" customWidth="1"/>
    <col min="48" max="48" width="5.53515625" style="1128" bestFit="1" customWidth="1"/>
    <col min="49" max="49" width="5.53515625" style="1128" customWidth="1"/>
    <col min="50" max="50" width="5.765625" style="1128" customWidth="1"/>
    <col min="51" max="51" width="6.23046875" style="1128" customWidth="1"/>
    <col min="52" max="52" width="8.53515625" style="1128" bestFit="1" customWidth="1"/>
    <col min="53" max="53" width="7.765625" style="1128" customWidth="1"/>
    <col min="54" max="54" width="6" style="1128" customWidth="1"/>
    <col min="55" max="55" width="5.765625" style="1128" customWidth="1"/>
    <col min="56" max="56" width="7.765625" style="1128" customWidth="1"/>
    <col min="57" max="57" width="11.4609375" style="1128" customWidth="1"/>
    <col min="58" max="58" width="11.4609375" style="1128" hidden="1" customWidth="1"/>
    <col min="59" max="59" width="0" style="1128" hidden="1" customWidth="1"/>
    <col min="60" max="61" width="11.4609375" style="1128"/>
    <col min="62" max="62" width="7" style="1128" hidden="1" customWidth="1"/>
    <col min="63" max="63" width="6.4609375" style="1128" hidden="1" customWidth="1"/>
    <col min="64" max="108" width="7" style="1128" hidden="1" customWidth="1"/>
    <col min="109" max="110" width="8.53515625" style="1128" hidden="1" customWidth="1"/>
    <col min="111" max="114" width="7" style="1128" hidden="1" customWidth="1"/>
    <col min="115" max="115" width="8.53515625" style="1128" hidden="1" customWidth="1"/>
    <col min="116" max="140" width="7" style="1128" hidden="1" customWidth="1"/>
    <col min="141" max="141" width="9.765625" style="1128" hidden="1" customWidth="1"/>
    <col min="142" max="151" width="7" style="1128" hidden="1" customWidth="1"/>
    <col min="152" max="152" width="9.23046875" style="1128" hidden="1" customWidth="1"/>
    <col min="153" max="16384" width="11.4609375" style="1128"/>
  </cols>
  <sheetData>
    <row r="1" spans="1:152" ht="15.45">
      <c r="A1" s="77" t="str">
        <f>Begriffe!F423</f>
        <v>SIA 2024 - Resultate Standard</v>
      </c>
      <c r="B1" s="379"/>
      <c r="C1" s="379"/>
      <c r="D1" s="379"/>
      <c r="E1" s="379"/>
      <c r="AO1" s="1128" t="s">
        <v>1594</v>
      </c>
      <c r="AQ1" s="1128" t="s">
        <v>1457</v>
      </c>
      <c r="AT1" s="1128" t="s">
        <v>1457</v>
      </c>
      <c r="BJ1" s="1128" t="s">
        <v>896</v>
      </c>
    </row>
    <row r="2" spans="1:152" s="1129" customFormat="1">
      <c r="A2" s="540"/>
      <c r="B2" s="540"/>
      <c r="C2" s="540"/>
      <c r="D2" s="540"/>
      <c r="E2" s="540"/>
      <c r="J2" s="1129" t="s">
        <v>22</v>
      </c>
      <c r="K2" s="1129" t="s">
        <v>22</v>
      </c>
      <c r="M2" s="1129" t="s">
        <v>22</v>
      </c>
      <c r="O2" s="1129" t="s">
        <v>22</v>
      </c>
      <c r="P2" s="1129" t="s">
        <v>22</v>
      </c>
      <c r="R2" s="1129" t="s">
        <v>22</v>
      </c>
      <c r="AF2" s="1129" t="s">
        <v>22</v>
      </c>
      <c r="AG2" s="1129" t="s">
        <v>22</v>
      </c>
      <c r="AH2" s="1129" t="s">
        <v>22</v>
      </c>
      <c r="AO2" s="1129" t="s">
        <v>22</v>
      </c>
      <c r="AQ2" s="1129" t="s">
        <v>22</v>
      </c>
      <c r="AT2" s="1129" t="s">
        <v>22</v>
      </c>
      <c r="BF2" s="1129" t="s">
        <v>22</v>
      </c>
    </row>
    <row r="3" spans="1:152">
      <c r="A3" s="33" t="str">
        <f>Begriffe!F186</f>
        <v>Raumnutzung</v>
      </c>
      <c r="B3" s="651"/>
      <c r="C3" s="33" t="str">
        <f>Begriffe!F187</f>
        <v>Raum</v>
      </c>
      <c r="D3" s="156"/>
      <c r="E3" s="156"/>
      <c r="F3" s="253" t="str">
        <f>Begriffe!F204</f>
        <v>Personen</v>
      </c>
      <c r="G3" s="254"/>
      <c r="H3" s="254"/>
      <c r="I3" s="254"/>
      <c r="J3" s="254"/>
      <c r="K3" s="254"/>
      <c r="L3" s="254"/>
      <c r="M3" s="254"/>
      <c r="N3" s="652"/>
      <c r="O3" s="253" t="str">
        <f>Begriffe!F205</f>
        <v>Geräte und Prozessanlagen</v>
      </c>
      <c r="P3" s="254"/>
      <c r="Q3" s="254" t="str">
        <f>Begriffe!F205</f>
        <v>Geräte und Prozessanlagen</v>
      </c>
      <c r="R3" s="254"/>
      <c r="S3" s="380"/>
      <c r="T3" s="380"/>
      <c r="U3" s="253" t="str">
        <f>Begriffe!F206</f>
        <v>Beleuchtung</v>
      </c>
      <c r="V3" s="380"/>
      <c r="W3" s="380"/>
      <c r="X3" s="380"/>
      <c r="Y3" s="254"/>
      <c r="Z3" s="254"/>
      <c r="AA3" s="254"/>
      <c r="AB3" s="254"/>
      <c r="AC3" s="255"/>
      <c r="AD3" s="1692" t="str">
        <f>Begriffe!F219</f>
        <v>Lüftung</v>
      </c>
      <c r="AE3" s="1711"/>
      <c r="AF3" s="1223"/>
      <c r="AG3" s="1223"/>
      <c r="AH3" s="1224"/>
      <c r="AI3" s="253" t="str">
        <f>Begriffe!F220</f>
        <v>Raumkühlung</v>
      </c>
      <c r="AJ3" s="254"/>
      <c r="AK3" s="254"/>
      <c r="AL3" s="254"/>
      <c r="AM3" s="254"/>
      <c r="AN3" s="254"/>
      <c r="AO3" s="254"/>
      <c r="AP3" s="254"/>
      <c r="AQ3" s="254"/>
      <c r="AR3" s="254"/>
      <c r="AS3" s="255"/>
      <c r="AT3" s="255"/>
      <c r="AU3" s="254" t="str">
        <f>Begriffe!F222</f>
        <v>Raumheizung</v>
      </c>
      <c r="AV3" s="254"/>
      <c r="AW3" s="254"/>
      <c r="AX3" s="254"/>
      <c r="AY3" s="254"/>
      <c r="AZ3" s="254"/>
      <c r="BA3" s="255"/>
      <c r="BB3" s="254" t="str">
        <f>Begriffe!F223</f>
        <v>Wasser</v>
      </c>
      <c r="BC3" s="254"/>
      <c r="BD3" s="255"/>
      <c r="BF3" s="1225" t="s">
        <v>51</v>
      </c>
      <c r="BJ3" s="33" t="s">
        <v>0</v>
      </c>
      <c r="BK3" s="156"/>
      <c r="BL3" s="156"/>
      <c r="BM3" s="253" t="s">
        <v>10</v>
      </c>
      <c r="BN3" s="254"/>
      <c r="BO3" s="254"/>
      <c r="BP3" s="254"/>
      <c r="BQ3" s="254"/>
      <c r="BR3" s="254"/>
      <c r="BS3" s="652"/>
      <c r="BT3" s="253" t="s">
        <v>51</v>
      </c>
      <c r="BU3" s="254" t="s">
        <v>51</v>
      </c>
      <c r="BV3" s="380"/>
      <c r="BW3" s="253" t="s">
        <v>17</v>
      </c>
      <c r="BX3" s="380"/>
      <c r="BY3" s="380"/>
      <c r="BZ3" s="380"/>
      <c r="CA3" s="254"/>
      <c r="CB3" s="254"/>
      <c r="CC3" s="254"/>
      <c r="CD3" s="254"/>
      <c r="CE3" s="254"/>
      <c r="CF3" s="255"/>
      <c r="CG3" s="253" t="s">
        <v>19</v>
      </c>
      <c r="CH3" s="253" t="s">
        <v>19</v>
      </c>
      <c r="CI3" s="254"/>
      <c r="CJ3" s="255"/>
      <c r="CK3" s="253" t="s">
        <v>265</v>
      </c>
      <c r="CL3" s="254"/>
      <c r="CM3" s="254"/>
      <c r="CN3" s="254"/>
      <c r="CO3" s="254"/>
      <c r="CP3" s="254"/>
      <c r="CQ3" s="254"/>
      <c r="CR3" s="254"/>
      <c r="CS3" s="255"/>
      <c r="CT3" s="254" t="s">
        <v>266</v>
      </c>
      <c r="CU3" s="254"/>
      <c r="CV3" s="254"/>
      <c r="CW3" s="254"/>
      <c r="CX3" s="254"/>
      <c r="CY3" s="255"/>
      <c r="CZ3" s="254" t="s">
        <v>519</v>
      </c>
      <c r="DA3" s="254"/>
      <c r="DB3" s="255"/>
      <c r="DD3" s="33" t="s">
        <v>0</v>
      </c>
      <c r="DE3" s="156"/>
      <c r="DF3" s="156"/>
      <c r="DG3" s="253" t="s">
        <v>10</v>
      </c>
      <c r="DH3" s="254"/>
      <c r="DI3" s="254"/>
      <c r="DJ3" s="254"/>
      <c r="DK3" s="254"/>
      <c r="DL3" s="254"/>
      <c r="DM3" s="652"/>
      <c r="DN3" s="253" t="s">
        <v>51</v>
      </c>
      <c r="DO3" s="254" t="s">
        <v>51</v>
      </c>
      <c r="DP3" s="380"/>
      <c r="DQ3" s="253" t="s">
        <v>17</v>
      </c>
      <c r="DR3" s="380"/>
      <c r="DS3" s="380"/>
      <c r="DT3" s="380"/>
      <c r="DU3" s="254"/>
      <c r="DV3" s="254"/>
      <c r="DW3" s="254"/>
      <c r="DX3" s="254"/>
      <c r="DY3" s="254"/>
      <c r="DZ3" s="255"/>
      <c r="EA3" s="253" t="s">
        <v>19</v>
      </c>
      <c r="EB3" s="253" t="s">
        <v>19</v>
      </c>
      <c r="EC3" s="254"/>
      <c r="ED3" s="255"/>
      <c r="EE3" s="253" t="s">
        <v>265</v>
      </c>
      <c r="EF3" s="254"/>
      <c r="EG3" s="254"/>
      <c r="EH3" s="254"/>
      <c r="EI3" s="254"/>
      <c r="EJ3" s="254"/>
      <c r="EK3" s="254"/>
      <c r="EL3" s="254"/>
      <c r="EM3" s="255"/>
      <c r="EN3" s="254" t="s">
        <v>266</v>
      </c>
      <c r="EO3" s="254"/>
      <c r="EP3" s="254"/>
      <c r="EQ3" s="254"/>
      <c r="ER3" s="254"/>
      <c r="ES3" s="255"/>
      <c r="ET3" s="254" t="s">
        <v>519</v>
      </c>
      <c r="EU3" s="254"/>
      <c r="EV3" s="255"/>
    </row>
    <row r="4" spans="1:152" s="1226" customFormat="1" ht="167.25" customHeight="1">
      <c r="A4" s="381" t="s">
        <v>476</v>
      </c>
      <c r="B4" s="252" t="str">
        <f>Begriffe!F185</f>
        <v>Bezeichnung</v>
      </c>
      <c r="C4" s="251" t="str">
        <f>Begriffe!F192</f>
        <v>Nettogeschossfläche</v>
      </c>
      <c r="D4" s="250" t="str">
        <f>Begriffe!F77 &amp; " " &amp; Begriffe!F240</f>
        <v>Mittlere Luftgeschwindigkeit Kühlfall</v>
      </c>
      <c r="E4" s="250" t="str">
        <f>Begriffe!F77 &amp; " "&amp;
Begriffe!F241</f>
        <v>Mittlere Luftgeschwindigkeit Heizfall</v>
      </c>
      <c r="F4" s="251" t="str">
        <f>Begriffe!F83</f>
        <v>Nutzungsstunden pro Tag</v>
      </c>
      <c r="G4" s="250" t="str">
        <f>Begriffe!F113</f>
        <v>Volllaststunden pro Tag</v>
      </c>
      <c r="H4" s="250" t="str">
        <f>Begriffe!F85</f>
        <v>Nutzungstage pro Jahr</v>
      </c>
      <c r="I4" s="250" t="str">
        <f>Begriffe!F52</f>
        <v>Jahresgleichzeitigkeit</v>
      </c>
      <c r="J4" s="250" t="str">
        <f>Begriffe!F112</f>
        <v>Volllaststunden pro Jahr</v>
      </c>
      <c r="K4" s="250" t="str">
        <f>Begriffe!F87</f>
        <v>Personenfläche</v>
      </c>
      <c r="L4" s="250" t="str">
        <f>Begriffe!F101</f>
        <v>Sensible Wärmeeintragsleistung Personen</v>
      </c>
      <c r="M4" s="250" t="s">
        <v>1117</v>
      </c>
      <c r="N4" s="252" t="str">
        <f>Begriffe!F43</f>
        <v>Feuchteproduktion Personen</v>
      </c>
      <c r="O4" s="251" t="str">
        <f>Begriffe!F39</f>
        <v>Elektrische Leistung der Geräte</v>
      </c>
      <c r="P4" s="250" t="str">
        <f>Begriffe!F41</f>
        <v>Elektrische Leistung der Prozessanlagen</v>
      </c>
      <c r="Q4" s="250" t="str">
        <f>Begriffe!F56</f>
        <v>Jährliche Volllaststunden der Geräte und Prozessanlagen</v>
      </c>
      <c r="R4" s="250" t="str">
        <f>Begriffe!F51</f>
        <v>Interne Wärmeeinträge der Geräte pro Jahr</v>
      </c>
      <c r="S4" s="250" t="str">
        <f>Begriffe!F62</f>
        <v>Jährlicher Elektrizitätsbedarf der Geräte</v>
      </c>
      <c r="T4" s="250" t="str">
        <f>Begriffe!F64</f>
        <v>Jährlicher Elektrizitätsbedarf der Prozessanlagen</v>
      </c>
      <c r="U4" s="251" t="str">
        <f>Begriffe!F92</f>
        <v>Raumindex</v>
      </c>
      <c r="V4" s="250" t="str">
        <f>Begriffe!F74</f>
        <v>Leuchten-Lichtausbeute</v>
      </c>
      <c r="W4" s="250" t="str">
        <f>Begriffe!F94</f>
        <v>Raumwirkungsgrad</v>
      </c>
      <c r="X4" s="250" t="str">
        <f>Begriffe!F47</f>
        <v>Glasflächenzahl</v>
      </c>
      <c r="Y4" s="250" t="str">
        <f>Begriffe!F78</f>
        <v>Minimale Volllaststundenzahl</v>
      </c>
      <c r="Z4" s="250" t="str">
        <f>Begriffe!F115</f>
        <v>Volllaststunden pro 11h Tag</v>
      </c>
      <c r="AA4" s="250" t="str">
        <f>Begriffe!F38</f>
        <v>Elektrische Leistung der Beleuchtung</v>
      </c>
      <c r="AB4" s="250" t="str">
        <f>Begriffe!F55</f>
        <v xml:space="preserve">Jährliche Volllaststunden der Beleuchtung </v>
      </c>
      <c r="AC4" s="252" t="str">
        <f>Begriffe!F61</f>
        <v>Jährlicher Elektrizitätsbedarf Beleuchtung</v>
      </c>
      <c r="AD4" s="478" t="str">
        <f>Begriffe!F30</f>
        <v>Aussenluft-Volumenstrom</v>
      </c>
      <c r="AE4" s="1222" t="str">
        <f>Begriffe!F58</f>
        <v>Jährliche Volumenstrom-Volllaststunden</v>
      </c>
      <c r="AF4" s="1217" t="str">
        <f>Begriffe!F40</f>
        <v>Elektrische Leistung der Lüftung</v>
      </c>
      <c r="AG4" s="1217" t="str">
        <f>Begriffe!F57</f>
        <v>Jährliche Volllaststunden der Lüftung</v>
      </c>
      <c r="AH4" s="1222" t="str">
        <f>Begriffe!F63</f>
        <v>Jährlicher Elektrizitätsbedarf der Lüftung</v>
      </c>
      <c r="AI4" s="251" t="str">
        <f>Begriffe!F42</f>
        <v>Externe Wärmeeintragsleistung</v>
      </c>
      <c r="AJ4" s="250" t="str">
        <f>Begriffe!F50</f>
        <v>Interne Wärmeeintragsleistung</v>
      </c>
      <c r="AK4" s="250" t="str">
        <f>Begriffe!F49</f>
        <v>Interne Wärmeeinträge pro Tag</v>
      </c>
      <c r="AL4" s="250" t="str">
        <f>Begriffe!$F82 &amp; " " &amp; Begriffe!$F367</f>
        <v>Notwendigkeit einer Kühlung Mit unterstützender Fensterlüftung Tag und Nacht</v>
      </c>
      <c r="AM4" s="250" t="str">
        <f>Begriffe!$F82 &amp; " " &amp; Begriffe!$F368</f>
        <v>Notwendigkeit einer Kühlung Mit unterstützender Fensterlüftung bei Belegung</v>
      </c>
      <c r="AN4" s="250" t="str">
        <f>Begriffe!$F82 &amp; " " &amp; Begriffe!$F369</f>
        <v>Notwendigkeit einer Kühlung Ohne Fensterlüftung</v>
      </c>
      <c r="AO4" s="250" t="str">
        <f>Begriffe!F68</f>
        <v>Klimakälteleistungsbedarf</v>
      </c>
      <c r="AP4" s="250" t="str">
        <f>Begriffe!F68</f>
        <v>Klimakälteleistungsbedarf</v>
      </c>
      <c r="AQ4" s="250" t="str">
        <f>Begriffe!F68</f>
        <v>Klimakälteleistungsbedarf</v>
      </c>
      <c r="AR4" s="250" t="str">
        <f>Begriffe!F60</f>
        <v>Jährliche Volllaststunden der Raumkühlung</v>
      </c>
      <c r="AS4" s="252" t="str">
        <f>Begriffe!F66</f>
        <v>Jährlicher Klimakältebedarf</v>
      </c>
      <c r="AT4" s="252" t="str">
        <f>Begriffe!F66</f>
        <v>Jährlicher Klimakältebedarf</v>
      </c>
      <c r="AU4" s="250" t="str">
        <f>Begriffe!F124</f>
        <v>Wärmetransferkoeffizient</v>
      </c>
      <c r="AV4" s="250" t="str">
        <f>Begriffe!F127</f>
        <v>Zeitkonstante</v>
      </c>
      <c r="AW4" s="250" t="str">
        <f>Begriffe!F106</f>
        <v>Temperaturkorrektur</v>
      </c>
      <c r="AX4" s="250" t="str">
        <f>Begriffe!F81</f>
        <v>Norm-Heizlast</v>
      </c>
      <c r="AY4" s="250" t="str">
        <f>Begriffe!F59</f>
        <v>Jährliche Volllaststunden der Raumheizung</v>
      </c>
      <c r="AZ4" s="250" t="str">
        <f>Begriffe!F108</f>
        <v>Thermisch wirksamer Aussenluft-Volumenstrom</v>
      </c>
      <c r="BA4" s="252" t="str">
        <f>Begriffe!F65</f>
        <v xml:space="preserve">Jährlicher Heizwärmebedarf </v>
      </c>
      <c r="BB4" s="250" t="str">
        <f>Begriffe!F125</f>
        <v>Warmwasserbedarf pro Person</v>
      </c>
      <c r="BC4" s="250" t="str">
        <f>Begriffe!F126</f>
        <v>Wasserbedarf pro Person</v>
      </c>
      <c r="BD4" s="252" t="str">
        <f>Begriffe!F67</f>
        <v>Jährlicher Wärmebedarf für Warmwasser</v>
      </c>
      <c r="BF4" s="252" t="s">
        <v>872</v>
      </c>
      <c r="BG4" s="1226" t="s">
        <v>1530</v>
      </c>
      <c r="BJ4" s="251" t="s">
        <v>269</v>
      </c>
      <c r="BK4" s="250" t="s">
        <v>848</v>
      </c>
      <c r="BL4" s="250" t="s">
        <v>849</v>
      </c>
      <c r="BM4" s="251" t="s">
        <v>578</v>
      </c>
      <c r="BN4" s="250" t="s">
        <v>579</v>
      </c>
      <c r="BO4" s="250" t="s">
        <v>580</v>
      </c>
      <c r="BP4" s="250" t="s">
        <v>74</v>
      </c>
      <c r="BQ4" s="250" t="s">
        <v>102</v>
      </c>
      <c r="BR4" s="250" t="s">
        <v>488</v>
      </c>
      <c r="BS4" s="252" t="s">
        <v>507</v>
      </c>
      <c r="BT4" s="251" t="s">
        <v>643</v>
      </c>
      <c r="BU4" s="250" t="s">
        <v>803</v>
      </c>
      <c r="BV4" s="250" t="s">
        <v>660</v>
      </c>
      <c r="BW4" s="251" t="s">
        <v>490</v>
      </c>
      <c r="BX4" s="250" t="s">
        <v>491</v>
      </c>
      <c r="BY4" s="250" t="s">
        <v>492</v>
      </c>
      <c r="BZ4" s="250" t="s">
        <v>493</v>
      </c>
      <c r="CA4" s="250" t="s">
        <v>641</v>
      </c>
      <c r="CB4" s="250" t="s">
        <v>640</v>
      </c>
      <c r="CC4" s="250" t="s">
        <v>518</v>
      </c>
      <c r="CD4" s="250" t="s">
        <v>657</v>
      </c>
      <c r="CE4" s="250" t="s">
        <v>658</v>
      </c>
      <c r="CF4" s="252" t="s">
        <v>494</v>
      </c>
      <c r="CG4" s="251" t="s">
        <v>398</v>
      </c>
      <c r="CH4" s="250" t="s">
        <v>645</v>
      </c>
      <c r="CI4" s="250" t="s">
        <v>802</v>
      </c>
      <c r="CJ4" s="250" t="s">
        <v>661</v>
      </c>
      <c r="CK4" s="251" t="s">
        <v>556</v>
      </c>
      <c r="CL4" s="250" t="s">
        <v>557</v>
      </c>
      <c r="CM4" s="250" t="s">
        <v>495</v>
      </c>
      <c r="CN4" s="250" t="s">
        <v>850</v>
      </c>
      <c r="CO4" s="250" t="s">
        <v>851</v>
      </c>
      <c r="CP4" s="250" t="s">
        <v>852</v>
      </c>
      <c r="CQ4" s="250" t="s">
        <v>497</v>
      </c>
      <c r="CR4" s="250" t="s">
        <v>804</v>
      </c>
      <c r="CS4" s="252" t="s">
        <v>499</v>
      </c>
      <c r="CT4" s="250" t="s">
        <v>596</v>
      </c>
      <c r="CU4" s="250" t="s">
        <v>500</v>
      </c>
      <c r="CV4" s="250" t="s">
        <v>695</v>
      </c>
      <c r="CW4" s="250" t="s">
        <v>501</v>
      </c>
      <c r="CX4" s="250" t="s">
        <v>805</v>
      </c>
      <c r="CY4" s="252" t="s">
        <v>663</v>
      </c>
      <c r="CZ4" s="250" t="s">
        <v>543</v>
      </c>
      <c r="DA4" s="250" t="s">
        <v>542</v>
      </c>
      <c r="DB4" s="252" t="s">
        <v>502</v>
      </c>
      <c r="DD4" s="251" t="s">
        <v>269</v>
      </c>
      <c r="DE4" s="250" t="s">
        <v>848</v>
      </c>
      <c r="DF4" s="250" t="s">
        <v>849</v>
      </c>
      <c r="DG4" s="251" t="s">
        <v>578</v>
      </c>
      <c r="DH4" s="250" t="s">
        <v>579</v>
      </c>
      <c r="DI4" s="250" t="s">
        <v>580</v>
      </c>
      <c r="DJ4" s="250" t="s">
        <v>74</v>
      </c>
      <c r="DK4" s="250" t="s">
        <v>102</v>
      </c>
      <c r="DL4" s="250" t="s">
        <v>488</v>
      </c>
      <c r="DM4" s="252" t="s">
        <v>507</v>
      </c>
      <c r="DN4" s="251" t="s">
        <v>643</v>
      </c>
      <c r="DO4" s="250" t="s">
        <v>803</v>
      </c>
      <c r="DP4" s="250" t="s">
        <v>660</v>
      </c>
      <c r="DQ4" s="251" t="s">
        <v>490</v>
      </c>
      <c r="DR4" s="250" t="s">
        <v>491</v>
      </c>
      <c r="DS4" s="250" t="s">
        <v>492</v>
      </c>
      <c r="DT4" s="250" t="s">
        <v>493</v>
      </c>
      <c r="DU4" s="250" t="s">
        <v>641</v>
      </c>
      <c r="DV4" s="250" t="s">
        <v>640</v>
      </c>
      <c r="DW4" s="250" t="s">
        <v>518</v>
      </c>
      <c r="DX4" s="250" t="s">
        <v>657</v>
      </c>
      <c r="DY4" s="250" t="s">
        <v>658</v>
      </c>
      <c r="DZ4" s="252" t="s">
        <v>494</v>
      </c>
      <c r="EA4" s="251" t="s">
        <v>398</v>
      </c>
      <c r="EB4" s="250" t="s">
        <v>645</v>
      </c>
      <c r="EC4" s="250" t="s">
        <v>802</v>
      </c>
      <c r="ED4" s="250" t="s">
        <v>661</v>
      </c>
      <c r="EE4" s="251" t="s">
        <v>556</v>
      </c>
      <c r="EF4" s="250" t="s">
        <v>557</v>
      </c>
      <c r="EG4" s="250" t="s">
        <v>495</v>
      </c>
      <c r="EH4" s="250" t="s">
        <v>850</v>
      </c>
      <c r="EI4" s="250" t="s">
        <v>851</v>
      </c>
      <c r="EJ4" s="250" t="s">
        <v>852</v>
      </c>
      <c r="EK4" s="250" t="s">
        <v>497</v>
      </c>
      <c r="EL4" s="250" t="s">
        <v>804</v>
      </c>
      <c r="EM4" s="252" t="s">
        <v>499</v>
      </c>
      <c r="EN4" s="250" t="s">
        <v>596</v>
      </c>
      <c r="EO4" s="250" t="s">
        <v>500</v>
      </c>
      <c r="EP4" s="250" t="s">
        <v>695</v>
      </c>
      <c r="EQ4" s="250" t="s">
        <v>501</v>
      </c>
      <c r="ER4" s="250" t="s">
        <v>805</v>
      </c>
      <c r="ES4" s="252" t="s">
        <v>663</v>
      </c>
      <c r="ET4" s="250" t="s">
        <v>543</v>
      </c>
      <c r="EU4" s="250" t="s">
        <v>542</v>
      </c>
      <c r="EV4" s="252" t="s">
        <v>502</v>
      </c>
    </row>
    <row r="5" spans="1:152" s="1676" customFormat="1" ht="17.25" customHeight="1">
      <c r="A5" s="1662"/>
      <c r="B5" s="1663"/>
      <c r="C5" s="1664" t="s">
        <v>439</v>
      </c>
      <c r="D5" s="1665" t="s">
        <v>6</v>
      </c>
      <c r="E5" s="1665" t="s">
        <v>6</v>
      </c>
      <c r="F5" s="1664" t="s">
        <v>15</v>
      </c>
      <c r="G5" s="1665" t="s">
        <v>15</v>
      </c>
      <c r="H5" s="1665" t="s">
        <v>35</v>
      </c>
      <c r="I5" s="1665" t="s">
        <v>16</v>
      </c>
      <c r="J5" s="1665" t="s">
        <v>15</v>
      </c>
      <c r="K5" s="1665" t="s">
        <v>103</v>
      </c>
      <c r="L5" s="1665" t="s">
        <v>149</v>
      </c>
      <c r="M5" s="1666" t="s">
        <v>441</v>
      </c>
      <c r="N5" s="1667" t="s">
        <v>440</v>
      </c>
      <c r="O5" s="1668" t="s">
        <v>149</v>
      </c>
      <c r="P5" s="1669" t="s">
        <v>149</v>
      </c>
      <c r="Q5" s="1669" t="s">
        <v>15</v>
      </c>
      <c r="R5" s="1670" t="s">
        <v>441</v>
      </c>
      <c r="S5" s="1670" t="s">
        <v>441</v>
      </c>
      <c r="T5" s="1671" t="s">
        <v>441</v>
      </c>
      <c r="U5" s="1664" t="s">
        <v>16</v>
      </c>
      <c r="V5" s="1666" t="s">
        <v>70</v>
      </c>
      <c r="W5" s="1666" t="s">
        <v>16</v>
      </c>
      <c r="X5" s="1666" t="s">
        <v>16</v>
      </c>
      <c r="Y5" s="1666" t="s">
        <v>15</v>
      </c>
      <c r="Z5" s="1666" t="s">
        <v>15</v>
      </c>
      <c r="AA5" s="1666" t="s">
        <v>149</v>
      </c>
      <c r="AB5" s="1672" t="s">
        <v>15</v>
      </c>
      <c r="AC5" s="1673" t="s">
        <v>441</v>
      </c>
      <c r="AD5" s="1147" t="s">
        <v>619</v>
      </c>
      <c r="AE5" s="1674" t="s">
        <v>15</v>
      </c>
      <c r="AF5" s="1666" t="s">
        <v>149</v>
      </c>
      <c r="AG5" s="1672" t="s">
        <v>15</v>
      </c>
      <c r="AH5" s="1673" t="s">
        <v>441</v>
      </c>
      <c r="AI5" s="1675" t="s">
        <v>149</v>
      </c>
      <c r="AJ5" s="1666" t="s">
        <v>149</v>
      </c>
      <c r="AK5" s="1665" t="s">
        <v>470</v>
      </c>
      <c r="AL5" s="1665" t="s">
        <v>16</v>
      </c>
      <c r="AM5" s="1665" t="s">
        <v>16</v>
      </c>
      <c r="AN5" s="1665" t="s">
        <v>16</v>
      </c>
      <c r="AO5" s="1665" t="s">
        <v>149</v>
      </c>
      <c r="AP5" s="1665" t="s">
        <v>149</v>
      </c>
      <c r="AQ5" s="1665" t="s">
        <v>149</v>
      </c>
      <c r="AR5" s="1665" t="s">
        <v>15</v>
      </c>
      <c r="AS5" s="1673" t="s">
        <v>441</v>
      </c>
      <c r="AT5" s="1673" t="s">
        <v>441</v>
      </c>
      <c r="AU5" s="1666" t="s">
        <v>49</v>
      </c>
      <c r="AV5" s="1666" t="s">
        <v>15</v>
      </c>
      <c r="AW5" s="1666" t="s">
        <v>58</v>
      </c>
      <c r="AX5" s="1665" t="s">
        <v>149</v>
      </c>
      <c r="AY5" s="1669" t="s">
        <v>15</v>
      </c>
      <c r="AZ5" s="1235" t="s">
        <v>619</v>
      </c>
      <c r="BA5" s="1673" t="s">
        <v>441</v>
      </c>
      <c r="BB5" s="1678" t="s">
        <v>855</v>
      </c>
      <c r="BC5" s="1679" t="s">
        <v>855</v>
      </c>
      <c r="BD5" s="1673" t="s">
        <v>441</v>
      </c>
      <c r="BF5" s="1677" t="s">
        <v>591</v>
      </c>
      <c r="BG5" s="1676" t="s">
        <v>134</v>
      </c>
      <c r="BJ5" s="1664" t="s">
        <v>209</v>
      </c>
      <c r="BK5" s="1665" t="s">
        <v>6</v>
      </c>
      <c r="BL5" s="1665" t="s">
        <v>6</v>
      </c>
      <c r="BM5" s="1664" t="s">
        <v>15</v>
      </c>
      <c r="BN5" s="1665" t="s">
        <v>15</v>
      </c>
      <c r="BO5" s="1665" t="s">
        <v>35</v>
      </c>
      <c r="BP5" s="1665" t="s">
        <v>16</v>
      </c>
      <c r="BQ5" s="1665" t="s">
        <v>103</v>
      </c>
      <c r="BR5" s="1665" t="s">
        <v>24</v>
      </c>
      <c r="BS5" s="1667" t="s">
        <v>853</v>
      </c>
      <c r="BT5" s="1664" t="s">
        <v>24</v>
      </c>
      <c r="BU5" s="1665" t="s">
        <v>15</v>
      </c>
      <c r="BV5" s="1666" t="s">
        <v>134</v>
      </c>
      <c r="BW5" s="1664" t="s">
        <v>16</v>
      </c>
      <c r="BX5" s="1666" t="s">
        <v>16</v>
      </c>
      <c r="BY5" s="1666" t="s">
        <v>70</v>
      </c>
      <c r="BZ5" s="1666" t="s">
        <v>16</v>
      </c>
      <c r="CA5" s="1666" t="s">
        <v>24</v>
      </c>
      <c r="CB5" s="1666" t="s">
        <v>24</v>
      </c>
      <c r="CC5" s="1666" t="s">
        <v>24</v>
      </c>
      <c r="CD5" s="1672" t="s">
        <v>15</v>
      </c>
      <c r="CE5" s="1672" t="s">
        <v>15</v>
      </c>
      <c r="CF5" s="1673" t="s">
        <v>134</v>
      </c>
      <c r="CG5" s="1147" t="s">
        <v>854</v>
      </c>
      <c r="CH5" s="1666" t="s">
        <v>24</v>
      </c>
      <c r="CI5" s="1672" t="s">
        <v>15</v>
      </c>
      <c r="CJ5" s="1673" t="s">
        <v>134</v>
      </c>
      <c r="CK5" s="1675" t="s">
        <v>24</v>
      </c>
      <c r="CL5" s="1666" t="s">
        <v>24</v>
      </c>
      <c r="CM5" s="1665" t="s">
        <v>529</v>
      </c>
      <c r="CN5" s="1665" t="s">
        <v>16</v>
      </c>
      <c r="CO5" s="1665" t="s">
        <v>16</v>
      </c>
      <c r="CP5" s="1665" t="s">
        <v>16</v>
      </c>
      <c r="CQ5" s="1665" t="s">
        <v>24</v>
      </c>
      <c r="CR5" s="1665" t="s">
        <v>15</v>
      </c>
      <c r="CS5" s="1673" t="s">
        <v>134</v>
      </c>
      <c r="CT5" s="1666" t="s">
        <v>49</v>
      </c>
      <c r="CU5" s="1666" t="s">
        <v>15</v>
      </c>
      <c r="CV5" s="1666" t="s">
        <v>58</v>
      </c>
      <c r="CW5" s="1665" t="s">
        <v>24</v>
      </c>
      <c r="CX5" s="1665" t="s">
        <v>15</v>
      </c>
      <c r="CY5" s="1673" t="s">
        <v>134</v>
      </c>
      <c r="CZ5" s="1236" t="s">
        <v>855</v>
      </c>
      <c r="DA5" s="1665" t="s">
        <v>855</v>
      </c>
      <c r="DB5" s="1673" t="s">
        <v>134</v>
      </c>
      <c r="DD5" s="1664" t="s">
        <v>209</v>
      </c>
      <c r="DE5" s="1665" t="s">
        <v>6</v>
      </c>
      <c r="DF5" s="1665" t="s">
        <v>6</v>
      </c>
      <c r="DG5" s="1664" t="s">
        <v>15</v>
      </c>
      <c r="DH5" s="1665" t="s">
        <v>15</v>
      </c>
      <c r="DI5" s="1665" t="s">
        <v>35</v>
      </c>
      <c r="DJ5" s="1665" t="s">
        <v>16</v>
      </c>
      <c r="DK5" s="1665" t="s">
        <v>103</v>
      </c>
      <c r="DL5" s="1665" t="s">
        <v>24</v>
      </c>
      <c r="DM5" s="1667" t="s">
        <v>853</v>
      </c>
      <c r="DN5" s="1664" t="s">
        <v>24</v>
      </c>
      <c r="DO5" s="1665" t="s">
        <v>15</v>
      </c>
      <c r="DP5" s="1666" t="s">
        <v>134</v>
      </c>
      <c r="DQ5" s="1664" t="s">
        <v>16</v>
      </c>
      <c r="DR5" s="1666" t="s">
        <v>16</v>
      </c>
      <c r="DS5" s="1666" t="s">
        <v>70</v>
      </c>
      <c r="DT5" s="1666" t="s">
        <v>16</v>
      </c>
      <c r="DU5" s="1666" t="s">
        <v>24</v>
      </c>
      <c r="DV5" s="1666" t="s">
        <v>24</v>
      </c>
      <c r="DW5" s="1666" t="s">
        <v>24</v>
      </c>
      <c r="DX5" s="1672" t="s">
        <v>15</v>
      </c>
      <c r="DY5" s="1672" t="s">
        <v>15</v>
      </c>
      <c r="DZ5" s="1673" t="s">
        <v>134</v>
      </c>
      <c r="EA5" s="1147" t="s">
        <v>854</v>
      </c>
      <c r="EB5" s="1666" t="s">
        <v>24</v>
      </c>
      <c r="EC5" s="1672" t="s">
        <v>15</v>
      </c>
      <c r="ED5" s="1673" t="s">
        <v>134</v>
      </c>
      <c r="EE5" s="1675" t="s">
        <v>24</v>
      </c>
      <c r="EF5" s="1666" t="s">
        <v>24</v>
      </c>
      <c r="EG5" s="1665" t="s">
        <v>529</v>
      </c>
      <c r="EH5" s="1665" t="s">
        <v>16</v>
      </c>
      <c r="EI5" s="1665" t="s">
        <v>16</v>
      </c>
      <c r="EJ5" s="1665" t="s">
        <v>16</v>
      </c>
      <c r="EK5" s="1665" t="s">
        <v>24</v>
      </c>
      <c r="EL5" s="1665" t="s">
        <v>15</v>
      </c>
      <c r="EM5" s="1673" t="s">
        <v>134</v>
      </c>
      <c r="EN5" s="1666" t="s">
        <v>49</v>
      </c>
      <c r="EO5" s="1666" t="s">
        <v>15</v>
      </c>
      <c r="EP5" s="1666" t="s">
        <v>58</v>
      </c>
      <c r="EQ5" s="1665" t="s">
        <v>24</v>
      </c>
      <c r="ER5" s="1665" t="s">
        <v>15</v>
      </c>
      <c r="ES5" s="1673" t="s">
        <v>134</v>
      </c>
      <c r="ET5" s="1236" t="s">
        <v>855</v>
      </c>
      <c r="EU5" s="1665" t="s">
        <v>855</v>
      </c>
      <c r="EV5" s="1673" t="s">
        <v>134</v>
      </c>
    </row>
    <row r="6" spans="1:152">
      <c r="A6" s="656">
        <f>Eingabedaten!A9</f>
        <v>1.01</v>
      </c>
      <c r="B6" s="628" t="str">
        <f>Eingabedaten!C9</f>
        <v>Wohnen MFH</v>
      </c>
      <c r="C6" s="580">
        <v>20</v>
      </c>
      <c r="D6" s="390">
        <v>0.18</v>
      </c>
      <c r="E6" s="390">
        <v>0.125</v>
      </c>
      <c r="F6" s="1238">
        <v>17</v>
      </c>
      <c r="G6" s="1129">
        <v>14.000000000000002</v>
      </c>
      <c r="H6" s="1129">
        <v>365</v>
      </c>
      <c r="I6" s="1129">
        <v>0.80000000000000016</v>
      </c>
      <c r="J6" s="1129">
        <v>4090</v>
      </c>
      <c r="K6" s="1129">
        <v>35</v>
      </c>
      <c r="L6" s="1239">
        <v>2.4</v>
      </c>
      <c r="M6" s="1239">
        <v>9.8160000000000007</v>
      </c>
      <c r="N6" s="1243">
        <v>1.4571428571428571</v>
      </c>
      <c r="O6" s="1240">
        <v>10</v>
      </c>
      <c r="P6" s="1131">
        <v>0</v>
      </c>
      <c r="Q6" s="1129">
        <v>2160</v>
      </c>
      <c r="R6" s="1131">
        <v>21.6</v>
      </c>
      <c r="S6" s="1239">
        <v>21.6</v>
      </c>
      <c r="T6" s="1131">
        <v>0</v>
      </c>
      <c r="U6" s="1241">
        <v>1.2698412698412698</v>
      </c>
      <c r="V6" s="1131">
        <v>90</v>
      </c>
      <c r="W6" s="1242">
        <v>0.69930069930069916</v>
      </c>
      <c r="X6" s="1242">
        <v>0.17647058823529413</v>
      </c>
      <c r="Y6" s="1239">
        <v>7.6032000000000011</v>
      </c>
      <c r="Z6" s="1239">
        <v>7.693212488302148</v>
      </c>
      <c r="AA6" s="1239">
        <v>2.9791666666666674</v>
      </c>
      <c r="AB6" s="1131">
        <v>846</v>
      </c>
      <c r="AC6" s="1243">
        <v>2.5203750000000005</v>
      </c>
      <c r="AD6" s="1242">
        <v>0.82857142857142863</v>
      </c>
      <c r="AE6" s="1197">
        <v>8760</v>
      </c>
      <c r="AF6" s="1239">
        <v>0.46400000000000008</v>
      </c>
      <c r="AG6" s="1131">
        <v>8760</v>
      </c>
      <c r="AH6" s="1243">
        <v>4.0646400000000007</v>
      </c>
      <c r="AI6" s="1240">
        <v>18.611472605042021</v>
      </c>
      <c r="AJ6" s="1131">
        <v>15.379166666666668</v>
      </c>
      <c r="AK6" s="1131">
        <v>116.53749999999999</v>
      </c>
      <c r="AL6" s="1131" t="s">
        <v>16</v>
      </c>
      <c r="AM6" s="1131" t="s">
        <v>16</v>
      </c>
      <c r="AN6" s="1131" t="s">
        <v>16</v>
      </c>
      <c r="AO6" s="1131">
        <v>23.79344749019608</v>
      </c>
      <c r="AP6" s="1239">
        <v>20.553281394957988</v>
      </c>
      <c r="AQ6" s="1131">
        <v>20.553281394957988</v>
      </c>
      <c r="AR6" s="1131">
        <v>240</v>
      </c>
      <c r="AS6" s="1243">
        <v>4.9837705373583496</v>
      </c>
      <c r="AT6" s="1197">
        <v>0</v>
      </c>
      <c r="AU6" s="1131">
        <v>10.846470588235295</v>
      </c>
      <c r="AV6" s="1131">
        <v>221.27013395520362</v>
      </c>
      <c r="AW6" s="1242">
        <v>-8.0947990671945913E-2</v>
      </c>
      <c r="AX6" s="1239">
        <v>15.500120588235296</v>
      </c>
      <c r="AY6" s="1131">
        <v>960</v>
      </c>
      <c r="AZ6" s="1242">
        <v>0.35357142857142859</v>
      </c>
      <c r="BA6" s="1243">
        <v>14.853826963696013</v>
      </c>
      <c r="BB6" s="1129">
        <v>35</v>
      </c>
      <c r="BC6" s="1131">
        <v>140</v>
      </c>
      <c r="BD6" s="1243">
        <v>16.936000000000003</v>
      </c>
      <c r="BF6" s="1197">
        <f>Eingabedaten!AP9*'Resultate Standard'!S6</f>
        <v>756</v>
      </c>
      <c r="BG6" s="1244">
        <v>14.709094054991287</v>
      </c>
      <c r="BH6" s="1245"/>
      <c r="BI6" s="1246"/>
      <c r="BJ6" s="580">
        <v>20</v>
      </c>
      <c r="BK6" s="390">
        <v>0.18</v>
      </c>
      <c r="BL6" s="390">
        <v>0.125</v>
      </c>
      <c r="BM6" s="1238">
        <v>17</v>
      </c>
      <c r="BN6" s="1129">
        <v>14.000000000000002</v>
      </c>
      <c r="BO6" s="1129">
        <v>365</v>
      </c>
      <c r="BP6" s="1129">
        <v>0.80000000000000016</v>
      </c>
      <c r="BQ6" s="1129">
        <v>30</v>
      </c>
      <c r="BR6" s="1129">
        <v>2.2999999999999998</v>
      </c>
      <c r="BS6" s="1237">
        <v>2.5</v>
      </c>
      <c r="BT6" s="1240">
        <v>8</v>
      </c>
      <c r="BU6" s="1129">
        <v>1780</v>
      </c>
      <c r="BV6" s="1131">
        <v>14.24</v>
      </c>
      <c r="BW6" s="1241">
        <v>0.17647058823529413</v>
      </c>
      <c r="BX6" s="1239">
        <v>1.2698412698412698</v>
      </c>
      <c r="BY6" s="1131">
        <v>32.599999999999994</v>
      </c>
      <c r="BZ6" s="1239">
        <v>0.69930069930069916</v>
      </c>
      <c r="CA6" s="1239">
        <v>2.7415644171779152</v>
      </c>
      <c r="CB6" s="1239">
        <v>0</v>
      </c>
      <c r="CC6" s="1239">
        <v>2.7415644171779152</v>
      </c>
      <c r="CD6" s="1131">
        <v>1450</v>
      </c>
      <c r="CE6" s="1131">
        <v>0</v>
      </c>
      <c r="CF6" s="1197">
        <v>3.9752684049079772</v>
      </c>
      <c r="CG6" s="1239">
        <v>1</v>
      </c>
      <c r="CH6" s="1239">
        <v>0.28000000000000003</v>
      </c>
      <c r="CI6" s="1131">
        <v>6130</v>
      </c>
      <c r="CJ6" s="1197">
        <v>1.7164000000000001</v>
      </c>
      <c r="CK6" s="1240">
        <v>16.533705882352947</v>
      </c>
      <c r="CL6" s="1131">
        <v>13.041564417177916</v>
      </c>
      <c r="CM6" s="1131">
        <v>83.744092301475774</v>
      </c>
      <c r="CN6" s="1131" t="s">
        <v>16</v>
      </c>
      <c r="CO6" s="1131" t="s">
        <v>16</v>
      </c>
      <c r="CP6" s="1131" t="s">
        <v>16</v>
      </c>
      <c r="CQ6" s="1131">
        <v>12</v>
      </c>
      <c r="CR6" s="1131">
        <v>550</v>
      </c>
      <c r="CS6" s="1197">
        <v>6.6275000000000004</v>
      </c>
      <c r="CT6" s="1131">
        <v>13.161764705882355</v>
      </c>
      <c r="CU6" s="1131">
        <v>182.34636871508377</v>
      </c>
      <c r="CV6" s="1131">
        <v>-1</v>
      </c>
      <c r="CW6" s="1131">
        <v>19.742647058823533</v>
      </c>
      <c r="CX6" s="1131">
        <v>1000</v>
      </c>
      <c r="CY6" s="1197">
        <v>19.76276051708372</v>
      </c>
      <c r="CZ6" s="1129">
        <v>35</v>
      </c>
      <c r="DA6" s="1131">
        <v>140</v>
      </c>
      <c r="DB6" s="1197">
        <v>19.75866666666667</v>
      </c>
      <c r="DD6" s="580">
        <f t="shared" ref="DD6:DD50" si="0">C6-BJ6</f>
        <v>0</v>
      </c>
      <c r="DE6" s="390">
        <f t="shared" ref="DE6:DE50" si="1">D6-BK6</f>
        <v>0</v>
      </c>
      <c r="DF6" s="390">
        <f t="shared" ref="DF6:DF50" si="2">E6-BL6</f>
        <v>0</v>
      </c>
      <c r="DG6" s="1238">
        <f t="shared" ref="DG6:DG50" si="3">F6-BM6</f>
        <v>0</v>
      </c>
      <c r="DH6" s="1129">
        <f t="shared" ref="DH6:DH50" si="4">G6-BN6</f>
        <v>0</v>
      </c>
      <c r="DI6" s="1129">
        <f t="shared" ref="DI6:DI50" si="5">H6-BO6</f>
        <v>0</v>
      </c>
      <c r="DJ6" s="1129">
        <f t="shared" ref="DJ6:DJ50" si="6">I6-BP6</f>
        <v>0</v>
      </c>
      <c r="DK6" s="1129">
        <f t="shared" ref="DK6:DK50" si="7">K6-BQ6</f>
        <v>5</v>
      </c>
      <c r="DL6" s="1129">
        <f t="shared" ref="DL6:DL50" si="8">L6-BR6</f>
        <v>0.10000000000000009</v>
      </c>
      <c r="DM6" s="1237">
        <f t="shared" ref="DM6:DM50" si="9">N6-BS6</f>
        <v>-1.0428571428571429</v>
      </c>
      <c r="DN6" s="1240">
        <f t="shared" ref="DN6:DN50" si="10">O6-BT6</f>
        <v>2</v>
      </c>
      <c r="DO6" s="1129">
        <f t="shared" ref="DO6:DO50" si="11">Q6-BU6</f>
        <v>380</v>
      </c>
      <c r="DP6" s="1131">
        <f t="shared" ref="DP6:DP50" si="12">S6-BV6</f>
        <v>7.3600000000000012</v>
      </c>
      <c r="DQ6" s="1241">
        <f t="shared" ref="DQ6:DQ50" si="13">U6-BW6</f>
        <v>1.0933706816059756</v>
      </c>
      <c r="DR6" s="1239">
        <f t="shared" ref="DR6:DR50" si="14">V6-BX6</f>
        <v>88.730158730158735</v>
      </c>
      <c r="DS6" s="1131">
        <f t="shared" ref="DS6:DS50" si="15">W6-BY6</f>
        <v>-31.900699300699294</v>
      </c>
      <c r="DT6" s="1239">
        <f t="shared" ref="DT6:DT50" si="16">X6-BZ6</f>
        <v>-0.522830111065405</v>
      </c>
      <c r="DU6" s="1239">
        <f t="shared" ref="DU6:DU50" si="17">Y6-CA6</f>
        <v>4.8616355828220854</v>
      </c>
      <c r="DV6" s="1239">
        <f t="shared" ref="DV6:DV50" si="18">Z6-CB6</f>
        <v>7.693212488302148</v>
      </c>
      <c r="DW6" s="1239">
        <f t="shared" ref="DW6:DW50" si="19">AA6-CC6</f>
        <v>0.23760224948875219</v>
      </c>
      <c r="DX6" s="1131">
        <f t="shared" ref="DX6:DX50" si="20">AB6-CD6</f>
        <v>-604</v>
      </c>
      <c r="DY6" s="1131" t="e">
        <f>#REF!-CE6</f>
        <v>#REF!</v>
      </c>
      <c r="DZ6" s="1197">
        <f t="shared" ref="DZ6:DZ50" si="21">AC6-CF6</f>
        <v>-1.4548934049079767</v>
      </c>
      <c r="EA6" s="1239">
        <f t="shared" ref="EA6:EA50" si="22">AD6-CG6</f>
        <v>-0.17142857142857137</v>
      </c>
      <c r="EB6" s="1239">
        <f t="shared" ref="EB6:EB50" si="23">AF6-CH6</f>
        <v>0.18400000000000005</v>
      </c>
      <c r="EC6" s="1131">
        <f t="shared" ref="EC6:EC50" si="24">AG6-CI6</f>
        <v>2630</v>
      </c>
      <c r="ED6" s="1197">
        <f t="shared" ref="ED6:ED50" si="25">AH6-CJ6</f>
        <v>2.3482400000000005</v>
      </c>
      <c r="EE6" s="1240">
        <f t="shared" ref="EE6:EE50" si="26">AI6-CK6</f>
        <v>2.0777667226890735</v>
      </c>
      <c r="EF6" s="1131">
        <f t="shared" ref="EF6:EF50" si="27">AJ6-CL6</f>
        <v>2.3376022494887518</v>
      </c>
      <c r="EG6" s="1131">
        <f t="shared" ref="EG6:EG50" si="28">AK6-CM6</f>
        <v>32.79340769852422</v>
      </c>
      <c r="EH6" s="1131" t="e">
        <f t="shared" ref="EH6:EH50" si="29">AL6-CN6</f>
        <v>#VALUE!</v>
      </c>
      <c r="EI6" s="1131" t="e">
        <f t="shared" ref="EI6:EI50" si="30">AM6-CO6</f>
        <v>#VALUE!</v>
      </c>
      <c r="EJ6" s="1131" t="e">
        <f t="shared" ref="EJ6:EJ50" si="31">AN6-CP6</f>
        <v>#VALUE!</v>
      </c>
      <c r="EK6" s="1131">
        <f t="shared" ref="EK6:EK50" si="32">AQ6-CQ6</f>
        <v>8.5532813949579882</v>
      </c>
      <c r="EL6" s="1131">
        <f t="shared" ref="EL6:EL50" si="33">AR6-CR6</f>
        <v>-310</v>
      </c>
      <c r="EM6" s="1197">
        <f t="shared" ref="EM6:EM50" si="34">AT6-CS6</f>
        <v>-6.6275000000000004</v>
      </c>
      <c r="EN6" s="1131">
        <f t="shared" ref="EN6:EN50" si="35">AU6-CT6</f>
        <v>-2.3152941176470598</v>
      </c>
      <c r="EO6" s="1131">
        <f t="shared" ref="EO6:EO50" si="36">AV6-CU6</f>
        <v>38.923765240119849</v>
      </c>
      <c r="EP6" s="1131">
        <f t="shared" ref="EP6:EP50" si="37">AW6-CV6</f>
        <v>0.91905200932805409</v>
      </c>
      <c r="EQ6" s="1131">
        <f t="shared" ref="EQ6:EQ50" si="38">AX6-CW6</f>
        <v>-4.2425264705882366</v>
      </c>
      <c r="ER6" s="1131">
        <f t="shared" ref="ER6:ER50" si="39">AY6-CX6</f>
        <v>-40</v>
      </c>
      <c r="ES6" s="1197">
        <f t="shared" ref="ES6:ES50" si="40">BA6-CY6</f>
        <v>-4.9089335533877065</v>
      </c>
      <c r="ET6" s="1129">
        <f t="shared" ref="ET6:ET50" si="41">BB6-CZ6</f>
        <v>0</v>
      </c>
      <c r="EU6" s="1131">
        <f t="shared" ref="EU6:EU50" si="42">BC6-DA6</f>
        <v>0</v>
      </c>
      <c r="EV6" s="1197">
        <f t="shared" ref="EV6:EV50" si="43">BD6-DB6</f>
        <v>-2.8226666666666667</v>
      </c>
    </row>
    <row r="7" spans="1:152">
      <c r="A7" s="656">
        <f>Eingabedaten!A10</f>
        <v>1.02</v>
      </c>
      <c r="B7" s="628" t="str">
        <f>Eingabedaten!C10</f>
        <v>Wohnen EFH</v>
      </c>
      <c r="C7" s="580">
        <v>20</v>
      </c>
      <c r="D7" s="390">
        <v>0.18</v>
      </c>
      <c r="E7" s="390">
        <v>0.125</v>
      </c>
      <c r="F7" s="1238">
        <v>17</v>
      </c>
      <c r="G7" s="1129">
        <v>14.000000000000002</v>
      </c>
      <c r="H7" s="1129">
        <v>365</v>
      </c>
      <c r="I7" s="1129">
        <v>0.80000000000000016</v>
      </c>
      <c r="J7" s="1129">
        <v>4090</v>
      </c>
      <c r="K7" s="1129">
        <v>50</v>
      </c>
      <c r="L7" s="1239">
        <v>1.68</v>
      </c>
      <c r="M7" s="1239">
        <v>6.8712</v>
      </c>
      <c r="N7" s="1243">
        <v>1.02</v>
      </c>
      <c r="O7" s="1240">
        <v>10</v>
      </c>
      <c r="P7" s="1131">
        <v>0</v>
      </c>
      <c r="Q7" s="1129">
        <v>1780</v>
      </c>
      <c r="R7" s="1131">
        <v>17.8</v>
      </c>
      <c r="S7" s="1239">
        <v>17.8</v>
      </c>
      <c r="T7" s="1131">
        <v>0</v>
      </c>
      <c r="U7" s="1241">
        <v>1.2698412698412698</v>
      </c>
      <c r="V7" s="1131">
        <v>90</v>
      </c>
      <c r="W7" s="1242">
        <v>0.69930069930069916</v>
      </c>
      <c r="X7" s="1242">
        <v>0.17647058823529413</v>
      </c>
      <c r="Y7" s="1239">
        <v>7.6032000000000011</v>
      </c>
      <c r="Z7" s="1239">
        <v>7.693212488302148</v>
      </c>
      <c r="AA7" s="1239">
        <v>2.9791666666666674</v>
      </c>
      <c r="AB7" s="1131">
        <v>846</v>
      </c>
      <c r="AC7" s="1243">
        <v>2.5203750000000005</v>
      </c>
      <c r="AD7" s="1242">
        <v>0.57999999999999996</v>
      </c>
      <c r="AE7" s="1197">
        <v>8760</v>
      </c>
      <c r="AF7" s="1239">
        <v>0.23779999999999996</v>
      </c>
      <c r="AG7" s="1131">
        <v>8760</v>
      </c>
      <c r="AH7" s="1243">
        <v>2.0831279999999999</v>
      </c>
      <c r="AI7" s="1240">
        <v>19.142613176470594</v>
      </c>
      <c r="AJ7" s="1131">
        <v>14.659166666666668</v>
      </c>
      <c r="AK7" s="1131">
        <v>93.45750000000001</v>
      </c>
      <c r="AL7" s="1131" t="s">
        <v>16</v>
      </c>
      <c r="AM7" s="1131" t="s">
        <v>16</v>
      </c>
      <c r="AN7" s="1131" t="s">
        <v>16</v>
      </c>
      <c r="AO7" s="1131">
        <v>23.661245890196081</v>
      </c>
      <c r="AP7" s="1239">
        <v>20.075569623529418</v>
      </c>
      <c r="AQ7" s="1131">
        <v>20.075569623529418</v>
      </c>
      <c r="AR7" s="1131">
        <v>100</v>
      </c>
      <c r="AS7" s="1243">
        <v>1.9700502433015938</v>
      </c>
      <c r="AT7" s="1197">
        <v>0</v>
      </c>
      <c r="AU7" s="1131">
        <v>13.046470588235294</v>
      </c>
      <c r="AV7" s="1131">
        <v>183.95779791694846</v>
      </c>
      <c r="AW7" s="1242">
        <v>-0.64063303124577287</v>
      </c>
      <c r="AX7" s="1239">
        <v>19.009120588235294</v>
      </c>
      <c r="AY7" s="1131">
        <v>1270</v>
      </c>
      <c r="AZ7" s="1242">
        <v>0.27900000000000003</v>
      </c>
      <c r="BA7" s="1243">
        <v>24.217696734376666</v>
      </c>
      <c r="BB7" s="1129">
        <v>40</v>
      </c>
      <c r="BC7" s="1131">
        <v>160</v>
      </c>
      <c r="BD7" s="1243">
        <v>13.548800000000002</v>
      </c>
      <c r="BF7" s="1197">
        <f>Eingabedaten!AP10*'Resultate Standard'!S7</f>
        <v>890</v>
      </c>
      <c r="BG7" s="1244">
        <v>25.097859522443095</v>
      </c>
      <c r="BH7" s="1245"/>
      <c r="BI7" s="1246"/>
      <c r="BJ7" s="580">
        <v>20</v>
      </c>
      <c r="BK7" s="390">
        <v>0.18</v>
      </c>
      <c r="BL7" s="390">
        <v>0.125</v>
      </c>
      <c r="BM7" s="1238">
        <v>17</v>
      </c>
      <c r="BN7" s="1129">
        <v>14.000000000000002</v>
      </c>
      <c r="BO7" s="1129">
        <v>365</v>
      </c>
      <c r="BP7" s="1129">
        <v>0.80000000000000016</v>
      </c>
      <c r="BQ7" s="1129">
        <v>50</v>
      </c>
      <c r="BR7" s="1129">
        <v>1.4</v>
      </c>
      <c r="BS7" s="1237">
        <v>1.5</v>
      </c>
      <c r="BT7" s="1240">
        <v>8</v>
      </c>
      <c r="BU7" s="1129">
        <v>1780</v>
      </c>
      <c r="BV7" s="1131">
        <v>14.24</v>
      </c>
      <c r="BW7" s="1241">
        <v>0.17647058823529413</v>
      </c>
      <c r="BX7" s="1239">
        <v>1.2698412698412698</v>
      </c>
      <c r="BY7" s="1131">
        <v>32.599999999999994</v>
      </c>
      <c r="BZ7" s="1239">
        <v>0.69930069930069916</v>
      </c>
      <c r="CA7" s="1239">
        <v>2.7415644171779152</v>
      </c>
      <c r="CB7" s="1239">
        <v>0</v>
      </c>
      <c r="CC7" s="1239">
        <v>2.7415644171779152</v>
      </c>
      <c r="CD7" s="1131">
        <v>1450</v>
      </c>
      <c r="CE7" s="1131">
        <v>0</v>
      </c>
      <c r="CF7" s="1197">
        <v>3.9752684049079772</v>
      </c>
      <c r="CG7" s="1239">
        <v>0.6</v>
      </c>
      <c r="CH7" s="1239">
        <v>0.16800000000000001</v>
      </c>
      <c r="CI7" s="1131">
        <v>6130</v>
      </c>
      <c r="CJ7" s="1197">
        <v>1.0298400000000001</v>
      </c>
      <c r="CK7" s="1240">
        <v>16.963305882352948</v>
      </c>
      <c r="CL7" s="1131">
        <v>12.141564417177916</v>
      </c>
      <c r="CM7" s="1131">
        <v>71.144092301475752</v>
      </c>
      <c r="CN7" s="1131" t="s">
        <v>16</v>
      </c>
      <c r="CO7" s="1131" t="s">
        <v>16</v>
      </c>
      <c r="CP7" s="1131" t="s">
        <v>16</v>
      </c>
      <c r="CQ7" s="1131">
        <v>12</v>
      </c>
      <c r="CR7" s="1131">
        <v>470</v>
      </c>
      <c r="CS7" s="1197">
        <v>5.6455000000000002</v>
      </c>
      <c r="CT7" s="1131">
        <v>14.593764705882355</v>
      </c>
      <c r="CU7" s="1131">
        <v>164.4537957387119</v>
      </c>
      <c r="CV7" s="1131">
        <v>-1</v>
      </c>
      <c r="CW7" s="1131">
        <v>21.890647058823532</v>
      </c>
      <c r="CX7" s="1131">
        <v>1320</v>
      </c>
      <c r="CY7" s="1197">
        <v>28.927121767250235</v>
      </c>
      <c r="CZ7" s="1129">
        <v>40</v>
      </c>
      <c r="DA7" s="1131">
        <v>160</v>
      </c>
      <c r="DB7" s="1197">
        <v>13.548800000000002</v>
      </c>
      <c r="DD7" s="580">
        <f t="shared" si="0"/>
        <v>0</v>
      </c>
      <c r="DE7" s="390">
        <f t="shared" si="1"/>
        <v>0</v>
      </c>
      <c r="DF7" s="390">
        <f t="shared" si="2"/>
        <v>0</v>
      </c>
      <c r="DG7" s="1238">
        <f t="shared" si="3"/>
        <v>0</v>
      </c>
      <c r="DH7" s="1129">
        <f t="shared" si="4"/>
        <v>0</v>
      </c>
      <c r="DI7" s="1129">
        <f t="shared" si="5"/>
        <v>0</v>
      </c>
      <c r="DJ7" s="1129">
        <f t="shared" si="6"/>
        <v>0</v>
      </c>
      <c r="DK7" s="1129">
        <f t="shared" si="7"/>
        <v>0</v>
      </c>
      <c r="DL7" s="1129">
        <f t="shared" si="8"/>
        <v>0.28000000000000003</v>
      </c>
      <c r="DM7" s="1237">
        <f t="shared" si="9"/>
        <v>-0.48</v>
      </c>
      <c r="DN7" s="1240">
        <f t="shared" si="10"/>
        <v>2</v>
      </c>
      <c r="DO7" s="1129">
        <f t="shared" si="11"/>
        <v>0</v>
      </c>
      <c r="DP7" s="1131">
        <f t="shared" si="12"/>
        <v>3.5600000000000005</v>
      </c>
      <c r="DQ7" s="1241">
        <f t="shared" si="13"/>
        <v>1.0933706816059756</v>
      </c>
      <c r="DR7" s="1239">
        <f t="shared" si="14"/>
        <v>88.730158730158735</v>
      </c>
      <c r="DS7" s="1131">
        <f t="shared" si="15"/>
        <v>-31.900699300699294</v>
      </c>
      <c r="DT7" s="1239">
        <f t="shared" si="16"/>
        <v>-0.522830111065405</v>
      </c>
      <c r="DU7" s="1239">
        <f t="shared" si="17"/>
        <v>4.8616355828220854</v>
      </c>
      <c r="DV7" s="1239">
        <f t="shared" si="18"/>
        <v>7.693212488302148</v>
      </c>
      <c r="DW7" s="1239">
        <f t="shared" si="19"/>
        <v>0.23760224948875219</v>
      </c>
      <c r="DX7" s="1131">
        <f t="shared" si="20"/>
        <v>-604</v>
      </c>
      <c r="DY7" s="1131" t="e">
        <f>#REF!-CE7</f>
        <v>#REF!</v>
      </c>
      <c r="DZ7" s="1197">
        <f t="shared" si="21"/>
        <v>-1.4548934049079767</v>
      </c>
      <c r="EA7" s="1239">
        <f t="shared" si="22"/>
        <v>-2.0000000000000018E-2</v>
      </c>
      <c r="EB7" s="1239">
        <f t="shared" si="23"/>
        <v>6.9799999999999945E-2</v>
      </c>
      <c r="EC7" s="1131">
        <f t="shared" si="24"/>
        <v>2630</v>
      </c>
      <c r="ED7" s="1197">
        <f t="shared" si="25"/>
        <v>1.0532879999999998</v>
      </c>
      <c r="EE7" s="1240">
        <f t="shared" si="26"/>
        <v>2.1793072941176455</v>
      </c>
      <c r="EF7" s="1131">
        <f t="shared" si="27"/>
        <v>2.5176022494887516</v>
      </c>
      <c r="EG7" s="1131">
        <f t="shared" si="28"/>
        <v>22.313407698524259</v>
      </c>
      <c r="EH7" s="1131" t="e">
        <f t="shared" si="29"/>
        <v>#VALUE!</v>
      </c>
      <c r="EI7" s="1131" t="e">
        <f t="shared" si="30"/>
        <v>#VALUE!</v>
      </c>
      <c r="EJ7" s="1131" t="e">
        <f t="shared" si="31"/>
        <v>#VALUE!</v>
      </c>
      <c r="EK7" s="1131">
        <f t="shared" si="32"/>
        <v>8.0755696235294181</v>
      </c>
      <c r="EL7" s="1131">
        <f t="shared" si="33"/>
        <v>-370</v>
      </c>
      <c r="EM7" s="1197">
        <f t="shared" si="34"/>
        <v>-5.6455000000000002</v>
      </c>
      <c r="EN7" s="1131">
        <f t="shared" si="35"/>
        <v>-1.5472941176470609</v>
      </c>
      <c r="EO7" s="1131">
        <f t="shared" si="36"/>
        <v>19.504002178236561</v>
      </c>
      <c r="EP7" s="1131">
        <f t="shared" si="37"/>
        <v>0.35936696875422713</v>
      </c>
      <c r="EQ7" s="1131">
        <f t="shared" si="38"/>
        <v>-2.8815264705882377</v>
      </c>
      <c r="ER7" s="1131">
        <f t="shared" si="39"/>
        <v>-50</v>
      </c>
      <c r="ES7" s="1197">
        <f t="shared" si="40"/>
        <v>-4.7094250328735683</v>
      </c>
      <c r="ET7" s="1129">
        <f t="shared" si="41"/>
        <v>0</v>
      </c>
      <c r="EU7" s="1131">
        <f t="shared" si="42"/>
        <v>0</v>
      </c>
      <c r="EV7" s="1197">
        <f t="shared" si="43"/>
        <v>0</v>
      </c>
    </row>
    <row r="8" spans="1:152">
      <c r="A8" s="1299">
        <f>Eingabedaten!A11</f>
        <v>2.0099999999999998</v>
      </c>
      <c r="B8" s="566" t="str">
        <f>Eingabedaten!C11</f>
        <v xml:space="preserve">Hotelzimmer </v>
      </c>
      <c r="C8" s="568">
        <v>20</v>
      </c>
      <c r="D8" s="384">
        <v>0.18</v>
      </c>
      <c r="E8" s="384">
        <v>0.125</v>
      </c>
      <c r="F8" s="1247">
        <v>16</v>
      </c>
      <c r="G8" s="1248">
        <v>12.200000000000001</v>
      </c>
      <c r="H8" s="1248">
        <v>365</v>
      </c>
      <c r="I8" s="1248">
        <v>0.7</v>
      </c>
      <c r="J8" s="1248">
        <v>3120</v>
      </c>
      <c r="K8" s="1248">
        <v>15</v>
      </c>
      <c r="L8" s="1249">
        <v>5.6</v>
      </c>
      <c r="M8" s="1249">
        <v>17.472000000000001</v>
      </c>
      <c r="N8" s="1254">
        <v>3.4</v>
      </c>
      <c r="O8" s="1251">
        <v>12</v>
      </c>
      <c r="P8" s="1132">
        <v>0</v>
      </c>
      <c r="Q8" s="1248">
        <v>1840</v>
      </c>
      <c r="R8" s="1132">
        <v>22.08</v>
      </c>
      <c r="S8" s="1249">
        <v>22.08</v>
      </c>
      <c r="T8" s="1132">
        <v>0</v>
      </c>
      <c r="U8" s="1252">
        <v>1.2698412698412698</v>
      </c>
      <c r="V8" s="1132">
        <v>90</v>
      </c>
      <c r="W8" s="1253">
        <v>0.69930069930069916</v>
      </c>
      <c r="X8" s="1253">
        <v>0.17647058823529413</v>
      </c>
      <c r="Y8" s="1249">
        <v>7.6032000000000011</v>
      </c>
      <c r="Z8" s="1249">
        <v>8.4282049146136302</v>
      </c>
      <c r="AA8" s="1249">
        <v>5.9583333333333348</v>
      </c>
      <c r="AB8" s="1132">
        <v>677</v>
      </c>
      <c r="AC8" s="1254">
        <v>4.0337916666666676</v>
      </c>
      <c r="AD8" s="1253">
        <v>1.9333333333333333</v>
      </c>
      <c r="AE8" s="1198">
        <v>7300</v>
      </c>
      <c r="AF8" s="1249">
        <v>1.0633333333333335</v>
      </c>
      <c r="AG8" s="1132">
        <v>7300</v>
      </c>
      <c r="AH8" s="1254">
        <v>7.7623333333333342</v>
      </c>
      <c r="AI8" s="1251">
        <v>19.184181176470592</v>
      </c>
      <c r="AJ8" s="1132">
        <v>23.558333333333337</v>
      </c>
      <c r="AK8" s="1132">
        <v>172.595</v>
      </c>
      <c r="AL8" s="1132" t="s">
        <v>527</v>
      </c>
      <c r="AM8" s="1132" t="s">
        <v>528</v>
      </c>
      <c r="AN8" s="1132" t="s">
        <v>528</v>
      </c>
      <c r="AO8" s="1132">
        <v>29.919760156862747</v>
      </c>
      <c r="AP8" s="1249">
        <v>21.769929411764707</v>
      </c>
      <c r="AQ8" s="1132">
        <v>21.769929411764707</v>
      </c>
      <c r="AR8" s="1132">
        <v>280</v>
      </c>
      <c r="AS8" s="1254">
        <v>6.171230830811707</v>
      </c>
      <c r="AT8" s="1198">
        <v>0</v>
      </c>
      <c r="AU8" s="1132">
        <v>10.846470588235295</v>
      </c>
      <c r="AV8" s="1132">
        <v>221.27013395520362</v>
      </c>
      <c r="AW8" s="1253">
        <v>-8.0947990671945913E-2</v>
      </c>
      <c r="AX8" s="1249">
        <v>15.500120588235296</v>
      </c>
      <c r="AY8" s="1132">
        <v>1030</v>
      </c>
      <c r="AZ8" s="1253">
        <v>0.59583333333333344</v>
      </c>
      <c r="BA8" s="1254">
        <v>16.01682655712278</v>
      </c>
      <c r="BB8" s="1248">
        <v>40</v>
      </c>
      <c r="BC8" s="1132">
        <v>160</v>
      </c>
      <c r="BD8" s="1254">
        <v>39.517333333333333</v>
      </c>
      <c r="BF8" s="1198">
        <f>Eingabedaten!AP11*'Resultate Standard'!S8</f>
        <v>331.2</v>
      </c>
      <c r="BG8" s="1244">
        <v>15.770785142145556</v>
      </c>
      <c r="BH8" s="1245"/>
      <c r="BI8" s="1246"/>
      <c r="BJ8" s="568">
        <v>20</v>
      </c>
      <c r="BK8" s="384">
        <v>0.18</v>
      </c>
      <c r="BL8" s="384">
        <v>0.125</v>
      </c>
      <c r="BM8" s="1247">
        <v>16</v>
      </c>
      <c r="BN8" s="1248">
        <v>12.200000000000001</v>
      </c>
      <c r="BO8" s="1248">
        <v>365</v>
      </c>
      <c r="BP8" s="1248">
        <v>0.7</v>
      </c>
      <c r="BQ8" s="1248">
        <v>15</v>
      </c>
      <c r="BR8" s="1248">
        <v>4.7</v>
      </c>
      <c r="BS8" s="1250">
        <v>5.5</v>
      </c>
      <c r="BT8" s="1251">
        <v>8</v>
      </c>
      <c r="BU8" s="1248">
        <v>1530</v>
      </c>
      <c r="BV8" s="1132">
        <v>12.24</v>
      </c>
      <c r="BW8" s="1252">
        <v>0.17647058823529413</v>
      </c>
      <c r="BX8" s="1249">
        <v>1.2698412698412698</v>
      </c>
      <c r="BY8" s="1132">
        <v>32.599999999999994</v>
      </c>
      <c r="BZ8" s="1249">
        <v>0.69930069930069916</v>
      </c>
      <c r="CA8" s="1249">
        <v>2.7415644171779152</v>
      </c>
      <c r="CB8" s="1249">
        <v>0</v>
      </c>
      <c r="CC8" s="1249">
        <v>2.7415644171779152</v>
      </c>
      <c r="CD8" s="1132">
        <v>1150</v>
      </c>
      <c r="CE8" s="1132">
        <v>0</v>
      </c>
      <c r="CF8" s="1198">
        <v>3.1527990797546024</v>
      </c>
      <c r="CG8" s="1249">
        <v>2.4</v>
      </c>
      <c r="CH8" s="1249">
        <v>1.32</v>
      </c>
      <c r="CI8" s="1132">
        <v>4600</v>
      </c>
      <c r="CJ8" s="1198">
        <v>6.0720000000000001</v>
      </c>
      <c r="CK8" s="1251">
        <v>17.340105882352944</v>
      </c>
      <c r="CL8" s="1132">
        <v>15.441564417177915</v>
      </c>
      <c r="CM8" s="1132">
        <v>108.08367098742613</v>
      </c>
      <c r="CN8" s="1132" t="s">
        <v>574</v>
      </c>
      <c r="CO8" s="1132" t="s">
        <v>527</v>
      </c>
      <c r="CP8" s="1132" t="s">
        <v>527</v>
      </c>
      <c r="CQ8" s="1132">
        <v>13</v>
      </c>
      <c r="CR8" s="1132">
        <v>520</v>
      </c>
      <c r="CS8" s="1198">
        <v>6.72</v>
      </c>
      <c r="CT8" s="1132">
        <v>15.849764705882354</v>
      </c>
      <c r="CU8" s="1132">
        <v>151.42180622462385</v>
      </c>
      <c r="CV8" s="1132">
        <v>-1</v>
      </c>
      <c r="CW8" s="1132">
        <v>23.774647058823529</v>
      </c>
      <c r="CX8" s="1132">
        <v>880</v>
      </c>
      <c r="CY8" s="1198">
        <v>20.940936234207015</v>
      </c>
      <c r="CZ8" s="1248">
        <v>40</v>
      </c>
      <c r="DA8" s="1132">
        <v>160</v>
      </c>
      <c r="DB8" s="1198">
        <v>39.517333333333333</v>
      </c>
      <c r="DD8" s="568">
        <f t="shared" si="0"/>
        <v>0</v>
      </c>
      <c r="DE8" s="384">
        <f t="shared" si="1"/>
        <v>0</v>
      </c>
      <c r="DF8" s="384">
        <f t="shared" si="2"/>
        <v>0</v>
      </c>
      <c r="DG8" s="1247">
        <f t="shared" si="3"/>
        <v>0</v>
      </c>
      <c r="DH8" s="1248">
        <f t="shared" si="4"/>
        <v>0</v>
      </c>
      <c r="DI8" s="1248">
        <f t="shared" si="5"/>
        <v>0</v>
      </c>
      <c r="DJ8" s="1248">
        <f t="shared" si="6"/>
        <v>0</v>
      </c>
      <c r="DK8" s="1248">
        <f t="shared" si="7"/>
        <v>0</v>
      </c>
      <c r="DL8" s="1248">
        <f t="shared" si="8"/>
        <v>0.89999999999999947</v>
      </c>
      <c r="DM8" s="1250">
        <f t="shared" si="9"/>
        <v>-2.1</v>
      </c>
      <c r="DN8" s="1251">
        <f t="shared" si="10"/>
        <v>4</v>
      </c>
      <c r="DO8" s="1248">
        <f t="shared" si="11"/>
        <v>310</v>
      </c>
      <c r="DP8" s="1132">
        <f t="shared" si="12"/>
        <v>9.8399999999999981</v>
      </c>
      <c r="DQ8" s="1252">
        <f t="shared" si="13"/>
        <v>1.0933706816059756</v>
      </c>
      <c r="DR8" s="1249">
        <f t="shared" si="14"/>
        <v>88.730158730158735</v>
      </c>
      <c r="DS8" s="1132">
        <f t="shared" si="15"/>
        <v>-31.900699300699294</v>
      </c>
      <c r="DT8" s="1249">
        <f t="shared" si="16"/>
        <v>-0.522830111065405</v>
      </c>
      <c r="DU8" s="1249">
        <f t="shared" si="17"/>
        <v>4.8616355828220854</v>
      </c>
      <c r="DV8" s="1249">
        <f t="shared" si="18"/>
        <v>8.4282049146136302</v>
      </c>
      <c r="DW8" s="1249">
        <f t="shared" si="19"/>
        <v>3.2167689161554196</v>
      </c>
      <c r="DX8" s="1132">
        <f t="shared" si="20"/>
        <v>-473</v>
      </c>
      <c r="DY8" s="1132" t="e">
        <f>#REF!-CE8</f>
        <v>#REF!</v>
      </c>
      <c r="DZ8" s="1198">
        <f t="shared" si="21"/>
        <v>0.88099258691206517</v>
      </c>
      <c r="EA8" s="1249">
        <f t="shared" si="22"/>
        <v>-0.46666666666666656</v>
      </c>
      <c r="EB8" s="1249">
        <f t="shared" si="23"/>
        <v>-0.2566666666666666</v>
      </c>
      <c r="EC8" s="1132">
        <f t="shared" si="24"/>
        <v>2700</v>
      </c>
      <c r="ED8" s="1198">
        <f t="shared" si="25"/>
        <v>1.6903333333333341</v>
      </c>
      <c r="EE8" s="1251">
        <f t="shared" si="26"/>
        <v>1.8440752941176477</v>
      </c>
      <c r="EF8" s="1132">
        <f t="shared" si="27"/>
        <v>8.1167689161554222</v>
      </c>
      <c r="EG8" s="1132">
        <f t="shared" si="28"/>
        <v>64.511329012573867</v>
      </c>
      <c r="EH8" s="1132" t="e">
        <f t="shared" si="29"/>
        <v>#VALUE!</v>
      </c>
      <c r="EI8" s="1132" t="e">
        <f t="shared" si="30"/>
        <v>#VALUE!</v>
      </c>
      <c r="EJ8" s="1132" t="e">
        <f t="shared" si="31"/>
        <v>#VALUE!</v>
      </c>
      <c r="EK8" s="1132">
        <f t="shared" si="32"/>
        <v>8.7699294117647071</v>
      </c>
      <c r="EL8" s="1132">
        <f t="shared" si="33"/>
        <v>-240</v>
      </c>
      <c r="EM8" s="1198">
        <f t="shared" si="34"/>
        <v>-6.72</v>
      </c>
      <c r="EN8" s="1132">
        <f t="shared" si="35"/>
        <v>-5.0032941176470587</v>
      </c>
      <c r="EO8" s="1132">
        <f t="shared" si="36"/>
        <v>69.848327730579769</v>
      </c>
      <c r="EP8" s="1132">
        <f t="shared" si="37"/>
        <v>0.91905200932805409</v>
      </c>
      <c r="EQ8" s="1132">
        <f t="shared" si="38"/>
        <v>-8.2745264705882331</v>
      </c>
      <c r="ER8" s="1132">
        <f t="shared" si="39"/>
        <v>150</v>
      </c>
      <c r="ES8" s="1198">
        <f t="shared" si="40"/>
        <v>-4.9241096770842354</v>
      </c>
      <c r="ET8" s="1248">
        <f t="shared" si="41"/>
        <v>0</v>
      </c>
      <c r="EU8" s="1132">
        <f t="shared" si="42"/>
        <v>0</v>
      </c>
      <c r="EV8" s="1198">
        <f t="shared" si="43"/>
        <v>0</v>
      </c>
    </row>
    <row r="9" spans="1:152">
      <c r="A9" s="1300">
        <f>Eingabedaten!A12</f>
        <v>2.02</v>
      </c>
      <c r="B9" s="572" t="str">
        <f>Eingabedaten!C12</f>
        <v>Empfang, Lobby</v>
      </c>
      <c r="C9" s="574">
        <v>144</v>
      </c>
      <c r="D9" s="385">
        <v>0.18</v>
      </c>
      <c r="E9" s="385">
        <v>0.125</v>
      </c>
      <c r="F9" s="1227">
        <v>20</v>
      </c>
      <c r="G9" s="1130">
        <v>11.299999999999999</v>
      </c>
      <c r="H9" s="1130">
        <v>365</v>
      </c>
      <c r="I9" s="1130">
        <v>0.7</v>
      </c>
      <c r="J9" s="1130">
        <v>2890</v>
      </c>
      <c r="K9" s="1130">
        <v>5</v>
      </c>
      <c r="L9" s="1228">
        <v>16.8</v>
      </c>
      <c r="M9" s="1228">
        <v>48.552</v>
      </c>
      <c r="N9" s="1196">
        <v>10.199999999999999</v>
      </c>
      <c r="O9" s="1255">
        <v>7</v>
      </c>
      <c r="P9" s="1133">
        <v>0</v>
      </c>
      <c r="Q9" s="1130">
        <v>2990</v>
      </c>
      <c r="R9" s="1133">
        <v>20.93</v>
      </c>
      <c r="S9" s="1228">
        <v>20.93</v>
      </c>
      <c r="T9" s="1133">
        <v>0</v>
      </c>
      <c r="U9" s="1256">
        <v>1.8461538461538463</v>
      </c>
      <c r="V9" s="1133">
        <v>90</v>
      </c>
      <c r="W9" s="1257">
        <v>0.81081081081081086</v>
      </c>
      <c r="X9" s="1257">
        <v>0.19607843137254902</v>
      </c>
      <c r="Y9" s="1228">
        <v>6.3360000000000003</v>
      </c>
      <c r="Z9" s="1228">
        <v>7.0368033329355306</v>
      </c>
      <c r="AA9" s="1228">
        <v>5.1388888888888884</v>
      </c>
      <c r="AB9" s="1133">
        <v>4097</v>
      </c>
      <c r="AC9" s="1196">
        <v>21.054027777777776</v>
      </c>
      <c r="AD9" s="1257">
        <v>5.8</v>
      </c>
      <c r="AE9" s="1199">
        <v>6450</v>
      </c>
      <c r="AF9" s="1228">
        <v>3.19</v>
      </c>
      <c r="AG9" s="1133">
        <v>4340</v>
      </c>
      <c r="AH9" s="1196">
        <v>13.8446</v>
      </c>
      <c r="AI9" s="1255">
        <v>21.777756862745097</v>
      </c>
      <c r="AJ9" s="1133">
        <v>28.93888888888889</v>
      </c>
      <c r="AK9" s="1133">
        <v>287.15666666666681</v>
      </c>
      <c r="AL9" s="1133" t="s">
        <v>528</v>
      </c>
      <c r="AM9" s="1133" t="s">
        <v>528</v>
      </c>
      <c r="AN9" s="1133" t="s">
        <v>528</v>
      </c>
      <c r="AO9" s="1133">
        <v>35.501652026143788</v>
      </c>
      <c r="AP9" s="1228">
        <v>41.711546771241842</v>
      </c>
      <c r="AQ9" s="1133">
        <v>41.711546771241842</v>
      </c>
      <c r="AR9" s="1133">
        <v>490</v>
      </c>
      <c r="AS9" s="1196">
        <v>20.63311217112328</v>
      </c>
      <c r="AT9" s="1199">
        <v>0</v>
      </c>
      <c r="AU9" s="1133">
        <v>73.923764705882348</v>
      </c>
      <c r="AV9" s="1133">
        <v>197.9119983703402</v>
      </c>
      <c r="AW9" s="1257">
        <v>-0.43132002444489714</v>
      </c>
      <c r="AX9" s="1228">
        <v>14.852167320261438</v>
      </c>
      <c r="AY9" s="1133">
        <v>670</v>
      </c>
      <c r="AZ9" s="1257">
        <v>1.3980308219178081</v>
      </c>
      <c r="BA9" s="1196">
        <v>9.9544986308410159</v>
      </c>
      <c r="BB9" s="1130">
        <v>0</v>
      </c>
      <c r="BC9" s="1133">
        <v>0</v>
      </c>
      <c r="BD9" s="1196">
        <v>0</v>
      </c>
      <c r="BF9" s="1199">
        <f>Eingabedaten!AP12*'Resultate Standard'!S9</f>
        <v>104.65</v>
      </c>
      <c r="BG9" s="1244">
        <v>6.7299353642177904</v>
      </c>
      <c r="BH9" s="1245"/>
      <c r="BI9" s="1246"/>
      <c r="BJ9" s="574">
        <v>144</v>
      </c>
      <c r="BK9" s="385">
        <v>0.18</v>
      </c>
      <c r="BL9" s="385">
        <v>0.125</v>
      </c>
      <c r="BM9" s="1227">
        <v>20</v>
      </c>
      <c r="BN9" s="1130">
        <v>11.299999999999999</v>
      </c>
      <c r="BO9" s="1130">
        <v>365</v>
      </c>
      <c r="BP9" s="1130">
        <v>0.7</v>
      </c>
      <c r="BQ9" s="1130">
        <v>5</v>
      </c>
      <c r="BR9" s="1130">
        <v>14</v>
      </c>
      <c r="BS9" s="1229">
        <v>16</v>
      </c>
      <c r="BT9" s="1255">
        <v>7</v>
      </c>
      <c r="BU9" s="1130">
        <v>2990</v>
      </c>
      <c r="BV9" s="1133">
        <v>20.93</v>
      </c>
      <c r="BW9" s="1256">
        <v>0.19607843137254902</v>
      </c>
      <c r="BX9" s="1228">
        <v>1.8461538461538463</v>
      </c>
      <c r="BY9" s="1133">
        <v>45.1</v>
      </c>
      <c r="BZ9" s="1228">
        <v>0.81081081081081086</v>
      </c>
      <c r="CA9" s="1228">
        <v>10.254988913525498</v>
      </c>
      <c r="CB9" s="1228">
        <v>0</v>
      </c>
      <c r="CC9" s="1228">
        <v>10.254988913525498</v>
      </c>
      <c r="CD9" s="1133">
        <v>3900</v>
      </c>
      <c r="CE9" s="1133">
        <v>0</v>
      </c>
      <c r="CF9" s="1199">
        <v>39.994456762749444</v>
      </c>
      <c r="CG9" s="1228">
        <v>7.2</v>
      </c>
      <c r="CH9" s="1228">
        <v>3.9600000000000004</v>
      </c>
      <c r="CI9" s="1133">
        <v>2810</v>
      </c>
      <c r="CJ9" s="1199">
        <v>11.127600000000001</v>
      </c>
      <c r="CK9" s="1255">
        <v>21.075984313725492</v>
      </c>
      <c r="CL9" s="1133">
        <v>31.254988913525498</v>
      </c>
      <c r="CM9" s="1133">
        <v>331.91654660728619</v>
      </c>
      <c r="CN9" s="1133" t="s">
        <v>528</v>
      </c>
      <c r="CO9" s="1133" t="s">
        <v>528</v>
      </c>
      <c r="CP9" s="1133" t="s">
        <v>528</v>
      </c>
      <c r="CQ9" s="1133">
        <v>36</v>
      </c>
      <c r="CR9" s="1133">
        <v>710</v>
      </c>
      <c r="CS9" s="1199">
        <v>25.517569444444444</v>
      </c>
      <c r="CT9" s="1133">
        <v>170.21891764705884</v>
      </c>
      <c r="CU9" s="1133">
        <v>85.950493648041316</v>
      </c>
      <c r="CV9" s="1133">
        <v>-2</v>
      </c>
      <c r="CW9" s="1133">
        <v>36.644350326797387</v>
      </c>
      <c r="CX9" s="1133">
        <v>250</v>
      </c>
      <c r="CY9" s="1199">
        <v>9.0631779400766685</v>
      </c>
      <c r="CZ9" s="1130">
        <v>0</v>
      </c>
      <c r="DA9" s="1133">
        <v>0</v>
      </c>
      <c r="DB9" s="1199">
        <v>0</v>
      </c>
      <c r="DD9" s="574">
        <f t="shared" si="0"/>
        <v>0</v>
      </c>
      <c r="DE9" s="385">
        <f t="shared" si="1"/>
        <v>0</v>
      </c>
      <c r="DF9" s="385">
        <f t="shared" si="2"/>
        <v>0</v>
      </c>
      <c r="DG9" s="1227">
        <f t="shared" si="3"/>
        <v>0</v>
      </c>
      <c r="DH9" s="1130">
        <f t="shared" si="4"/>
        <v>0</v>
      </c>
      <c r="DI9" s="1130">
        <f t="shared" si="5"/>
        <v>0</v>
      </c>
      <c r="DJ9" s="1130">
        <f t="shared" si="6"/>
        <v>0</v>
      </c>
      <c r="DK9" s="1130">
        <f t="shared" si="7"/>
        <v>0</v>
      </c>
      <c r="DL9" s="1130">
        <f t="shared" si="8"/>
        <v>2.8000000000000007</v>
      </c>
      <c r="DM9" s="1229">
        <f t="shared" si="9"/>
        <v>-5.8000000000000007</v>
      </c>
      <c r="DN9" s="1255">
        <f t="shared" si="10"/>
        <v>0</v>
      </c>
      <c r="DO9" s="1130">
        <f t="shared" si="11"/>
        <v>0</v>
      </c>
      <c r="DP9" s="1133">
        <f t="shared" si="12"/>
        <v>0</v>
      </c>
      <c r="DQ9" s="1256">
        <f t="shared" si="13"/>
        <v>1.6500754147812973</v>
      </c>
      <c r="DR9" s="1228">
        <f t="shared" si="14"/>
        <v>88.15384615384616</v>
      </c>
      <c r="DS9" s="1133">
        <f t="shared" si="15"/>
        <v>-44.289189189189187</v>
      </c>
      <c r="DT9" s="1228">
        <f t="shared" si="16"/>
        <v>-0.61473237943826187</v>
      </c>
      <c r="DU9" s="1228">
        <f t="shared" si="17"/>
        <v>-3.9189889135254976</v>
      </c>
      <c r="DV9" s="1228">
        <f t="shared" si="18"/>
        <v>7.0368033329355306</v>
      </c>
      <c r="DW9" s="1228">
        <f t="shared" si="19"/>
        <v>-5.1161000246366095</v>
      </c>
      <c r="DX9" s="1133">
        <f t="shared" si="20"/>
        <v>197</v>
      </c>
      <c r="DY9" s="1133" t="e">
        <f>#REF!-CE9</f>
        <v>#REF!</v>
      </c>
      <c r="DZ9" s="1199">
        <f t="shared" si="21"/>
        <v>-18.940428984971668</v>
      </c>
      <c r="EA9" s="1228">
        <f t="shared" si="22"/>
        <v>-1.4000000000000004</v>
      </c>
      <c r="EB9" s="1228">
        <f t="shared" si="23"/>
        <v>-0.77000000000000046</v>
      </c>
      <c r="EC9" s="1133">
        <f t="shared" si="24"/>
        <v>1530</v>
      </c>
      <c r="ED9" s="1199">
        <f t="shared" si="25"/>
        <v>2.7169999999999987</v>
      </c>
      <c r="EE9" s="1255">
        <f t="shared" si="26"/>
        <v>0.70177254901960495</v>
      </c>
      <c r="EF9" s="1133">
        <f t="shared" si="27"/>
        <v>-2.3161000246366079</v>
      </c>
      <c r="EG9" s="1133">
        <f t="shared" si="28"/>
        <v>-44.759879940619385</v>
      </c>
      <c r="EH9" s="1133" t="e">
        <f t="shared" si="29"/>
        <v>#VALUE!</v>
      </c>
      <c r="EI9" s="1133" t="e">
        <f t="shared" si="30"/>
        <v>#VALUE!</v>
      </c>
      <c r="EJ9" s="1133" t="e">
        <f t="shared" si="31"/>
        <v>#VALUE!</v>
      </c>
      <c r="EK9" s="1133">
        <f t="shared" si="32"/>
        <v>5.7115467712418422</v>
      </c>
      <c r="EL9" s="1133">
        <f t="shared" si="33"/>
        <v>-220</v>
      </c>
      <c r="EM9" s="1199">
        <f t="shared" si="34"/>
        <v>-25.517569444444444</v>
      </c>
      <c r="EN9" s="1133">
        <f t="shared" si="35"/>
        <v>-96.295152941176497</v>
      </c>
      <c r="EO9" s="1133">
        <f t="shared" si="36"/>
        <v>111.96150472229888</v>
      </c>
      <c r="EP9" s="1133">
        <f t="shared" si="37"/>
        <v>1.5686799755551029</v>
      </c>
      <c r="EQ9" s="1133">
        <f t="shared" si="38"/>
        <v>-21.79218300653595</v>
      </c>
      <c r="ER9" s="1133">
        <f t="shared" si="39"/>
        <v>420</v>
      </c>
      <c r="ES9" s="1199">
        <f t="shared" si="40"/>
        <v>0.89132069076434739</v>
      </c>
      <c r="ET9" s="1130">
        <f t="shared" si="41"/>
        <v>0</v>
      </c>
      <c r="EU9" s="1133">
        <f t="shared" si="42"/>
        <v>0</v>
      </c>
      <c r="EV9" s="1199">
        <f t="shared" si="43"/>
        <v>0</v>
      </c>
    </row>
    <row r="10" spans="1:152">
      <c r="A10" s="1299">
        <f>Eingabedaten!A13</f>
        <v>3.01</v>
      </c>
      <c r="B10" s="566" t="str">
        <f>Eingabedaten!C13</f>
        <v>Einzel-, Gruppenbüro</v>
      </c>
      <c r="C10" s="568">
        <v>36</v>
      </c>
      <c r="D10" s="384">
        <v>0.18</v>
      </c>
      <c r="E10" s="384">
        <v>0.125</v>
      </c>
      <c r="F10" s="1247">
        <v>11</v>
      </c>
      <c r="G10" s="1248">
        <v>7.1999999999999993</v>
      </c>
      <c r="H10" s="1248">
        <v>261</v>
      </c>
      <c r="I10" s="1248">
        <v>0.80000000000000016</v>
      </c>
      <c r="J10" s="1248">
        <v>1500</v>
      </c>
      <c r="K10" s="1248">
        <v>14</v>
      </c>
      <c r="L10" s="1249">
        <v>6</v>
      </c>
      <c r="M10" s="1249">
        <v>9</v>
      </c>
      <c r="N10" s="1254">
        <v>3.6428571428571428</v>
      </c>
      <c r="O10" s="1251">
        <v>11</v>
      </c>
      <c r="P10" s="1132">
        <v>0</v>
      </c>
      <c r="Q10" s="1248">
        <v>2910</v>
      </c>
      <c r="R10" s="1132">
        <v>32.01</v>
      </c>
      <c r="S10" s="1249">
        <v>32.01</v>
      </c>
      <c r="T10" s="1132">
        <v>0</v>
      </c>
      <c r="U10" s="1252">
        <v>1.3333333333333333</v>
      </c>
      <c r="V10" s="1132">
        <v>90</v>
      </c>
      <c r="W10" s="1253">
        <v>0.71428571428571419</v>
      </c>
      <c r="X10" s="1253">
        <v>0.29411764705882354</v>
      </c>
      <c r="Y10" s="1249">
        <v>6.3360000000000003</v>
      </c>
      <c r="Z10" s="1249">
        <v>6.6247701284943536</v>
      </c>
      <c r="AA10" s="1249">
        <v>9.7222222222222232</v>
      </c>
      <c r="AB10" s="1132">
        <v>1383</v>
      </c>
      <c r="AC10" s="1254">
        <v>13.445833333333333</v>
      </c>
      <c r="AD10" s="1253">
        <v>2.0714285714285716</v>
      </c>
      <c r="AE10" s="1198">
        <v>3900</v>
      </c>
      <c r="AF10" s="1249">
        <v>1.1392857142857145</v>
      </c>
      <c r="AG10" s="1132">
        <v>3900</v>
      </c>
      <c r="AH10" s="1254">
        <v>4.4432142857142862</v>
      </c>
      <c r="AI10" s="1251">
        <v>30.030063865546222</v>
      </c>
      <c r="AJ10" s="1132">
        <v>26.722222222222221</v>
      </c>
      <c r="AK10" s="1132">
        <v>165.29999999999998</v>
      </c>
      <c r="AL10" s="1132" t="s">
        <v>527</v>
      </c>
      <c r="AM10" s="1132" t="s">
        <v>528</v>
      </c>
      <c r="AN10" s="1132" t="s">
        <v>528</v>
      </c>
      <c r="AO10" s="1132">
        <v>39.726600261437902</v>
      </c>
      <c r="AP10" s="1249">
        <v>43.656469243697479</v>
      </c>
      <c r="AQ10" s="1132">
        <v>43.656469243697479</v>
      </c>
      <c r="AR10" s="1132">
        <v>330</v>
      </c>
      <c r="AS10" s="1254">
        <v>14.430134539350295</v>
      </c>
      <c r="AT10" s="1198">
        <v>0</v>
      </c>
      <c r="AU10" s="1132">
        <v>24.265411764705885</v>
      </c>
      <c r="AV10" s="1132">
        <v>166.01407959041191</v>
      </c>
      <c r="AW10" s="1253">
        <v>-0.90978880614382129</v>
      </c>
      <c r="AX10" s="1249">
        <v>19.82335098039216</v>
      </c>
      <c r="AY10" s="1132">
        <v>540</v>
      </c>
      <c r="AZ10" s="1253">
        <v>0.40662915851272019</v>
      </c>
      <c r="BA10" s="1254">
        <v>10.76159676840914</v>
      </c>
      <c r="BB10" s="1248">
        <v>3</v>
      </c>
      <c r="BC10" s="1132">
        <v>60</v>
      </c>
      <c r="BD10" s="1254">
        <v>2.5950857142857147</v>
      </c>
      <c r="BF10" s="1198">
        <f>Eingabedaten!AP13*'Resultate Standard'!S10</f>
        <v>448.14</v>
      </c>
      <c r="BG10" s="1244">
        <v>17.435480527688242</v>
      </c>
      <c r="BH10" s="1245"/>
      <c r="BI10" s="1246"/>
      <c r="BJ10" s="568">
        <v>36</v>
      </c>
      <c r="BK10" s="384">
        <v>0.18</v>
      </c>
      <c r="BL10" s="384">
        <v>0.125</v>
      </c>
      <c r="BM10" s="1247">
        <v>11</v>
      </c>
      <c r="BN10" s="1248">
        <v>7.1999999999999993</v>
      </c>
      <c r="BO10" s="1248">
        <v>261</v>
      </c>
      <c r="BP10" s="1248">
        <v>0.80000000000000016</v>
      </c>
      <c r="BQ10" s="1248">
        <v>14</v>
      </c>
      <c r="BR10" s="1248">
        <v>5</v>
      </c>
      <c r="BS10" s="1250">
        <v>5.5</v>
      </c>
      <c r="BT10" s="1251">
        <v>7</v>
      </c>
      <c r="BU10" s="1248">
        <v>1930</v>
      </c>
      <c r="BV10" s="1132">
        <v>13.51</v>
      </c>
      <c r="BW10" s="1252">
        <v>0.29411764705882354</v>
      </c>
      <c r="BX10" s="1249">
        <v>1.3333333333333333</v>
      </c>
      <c r="BY10" s="1132">
        <v>55.1</v>
      </c>
      <c r="BZ10" s="1249">
        <v>0.71428571428571419</v>
      </c>
      <c r="CA10" s="1249">
        <v>15.880217785843922</v>
      </c>
      <c r="CB10" s="1249">
        <v>0</v>
      </c>
      <c r="CC10" s="1249">
        <v>15.880217785843922</v>
      </c>
      <c r="CD10" s="1132">
        <v>1210</v>
      </c>
      <c r="CE10" s="1132">
        <v>0</v>
      </c>
      <c r="CF10" s="1198">
        <v>19.215063520871148</v>
      </c>
      <c r="CG10" s="1249">
        <v>2.5714285714285716</v>
      </c>
      <c r="CH10" s="1249">
        <v>1.4142857142857146</v>
      </c>
      <c r="CI10" s="1132">
        <v>2700</v>
      </c>
      <c r="CJ10" s="1198">
        <v>3.8185714285714294</v>
      </c>
      <c r="CK10" s="1251">
        <v>26.730319327731099</v>
      </c>
      <c r="CL10" s="1132">
        <v>27.880217785843922</v>
      </c>
      <c r="CM10" s="1132">
        <v>106.88184453194128</v>
      </c>
      <c r="CN10" s="1132" t="s">
        <v>574</v>
      </c>
      <c r="CO10" s="1132" t="s">
        <v>527</v>
      </c>
      <c r="CP10" s="1132" t="s">
        <v>527</v>
      </c>
      <c r="CQ10" s="1132">
        <v>27</v>
      </c>
      <c r="CR10" s="1132">
        <v>490</v>
      </c>
      <c r="CS10" s="1198">
        <v>13.349444444444444</v>
      </c>
      <c r="CT10" s="1132">
        <v>34.530151260504205</v>
      </c>
      <c r="CU10" s="1132">
        <v>116.66325958460855</v>
      </c>
      <c r="CV10" s="1132">
        <v>-1</v>
      </c>
      <c r="CW10" s="1132">
        <v>28.77512605042017</v>
      </c>
      <c r="CX10" s="1132">
        <v>1040</v>
      </c>
      <c r="CY10" s="1198">
        <v>29.897515592326332</v>
      </c>
      <c r="CZ10" s="1248">
        <v>3</v>
      </c>
      <c r="DA10" s="1132">
        <v>60</v>
      </c>
      <c r="DB10" s="1198">
        <v>2.5950857142857147</v>
      </c>
      <c r="DD10" s="568">
        <f t="shared" si="0"/>
        <v>0</v>
      </c>
      <c r="DE10" s="384">
        <f t="shared" si="1"/>
        <v>0</v>
      </c>
      <c r="DF10" s="384">
        <f t="shared" si="2"/>
        <v>0</v>
      </c>
      <c r="DG10" s="1247">
        <f t="shared" si="3"/>
        <v>0</v>
      </c>
      <c r="DH10" s="1248">
        <f t="shared" si="4"/>
        <v>0</v>
      </c>
      <c r="DI10" s="1248">
        <f t="shared" si="5"/>
        <v>0</v>
      </c>
      <c r="DJ10" s="1248">
        <f t="shared" si="6"/>
        <v>0</v>
      </c>
      <c r="DK10" s="1248">
        <f t="shared" si="7"/>
        <v>0</v>
      </c>
      <c r="DL10" s="1248">
        <f t="shared" si="8"/>
        <v>1</v>
      </c>
      <c r="DM10" s="1250">
        <f t="shared" si="9"/>
        <v>-1.8571428571428572</v>
      </c>
      <c r="DN10" s="1251">
        <f t="shared" si="10"/>
        <v>4</v>
      </c>
      <c r="DO10" s="1248">
        <f t="shared" si="11"/>
        <v>980</v>
      </c>
      <c r="DP10" s="1132">
        <f t="shared" si="12"/>
        <v>18.5</v>
      </c>
      <c r="DQ10" s="1252">
        <f t="shared" si="13"/>
        <v>1.0392156862745097</v>
      </c>
      <c r="DR10" s="1249">
        <f t="shared" si="14"/>
        <v>88.666666666666671</v>
      </c>
      <c r="DS10" s="1132">
        <f t="shared" si="15"/>
        <v>-54.385714285714286</v>
      </c>
      <c r="DT10" s="1249">
        <f t="shared" si="16"/>
        <v>-0.42016806722689065</v>
      </c>
      <c r="DU10" s="1249">
        <f t="shared" si="17"/>
        <v>-9.5442177858439212</v>
      </c>
      <c r="DV10" s="1249">
        <f t="shared" si="18"/>
        <v>6.6247701284943536</v>
      </c>
      <c r="DW10" s="1249">
        <f t="shared" si="19"/>
        <v>-6.1579955636216983</v>
      </c>
      <c r="DX10" s="1132">
        <f t="shared" si="20"/>
        <v>173</v>
      </c>
      <c r="DY10" s="1132" t="e">
        <f>#REF!-CE10</f>
        <v>#REF!</v>
      </c>
      <c r="DZ10" s="1198">
        <f t="shared" si="21"/>
        <v>-5.7692301875378149</v>
      </c>
      <c r="EA10" s="1249">
        <f t="shared" si="22"/>
        <v>-0.5</v>
      </c>
      <c r="EB10" s="1249">
        <f t="shared" si="23"/>
        <v>-0.27500000000000013</v>
      </c>
      <c r="EC10" s="1132">
        <f t="shared" si="24"/>
        <v>1200</v>
      </c>
      <c r="ED10" s="1198">
        <f t="shared" si="25"/>
        <v>0.62464285714285683</v>
      </c>
      <c r="EE10" s="1251">
        <f t="shared" si="26"/>
        <v>3.2997445378151227</v>
      </c>
      <c r="EF10" s="1132">
        <f t="shared" si="27"/>
        <v>-1.1579955636217001</v>
      </c>
      <c r="EG10" s="1132">
        <f t="shared" si="28"/>
        <v>58.4181554680587</v>
      </c>
      <c r="EH10" s="1132" t="e">
        <f t="shared" si="29"/>
        <v>#VALUE!</v>
      </c>
      <c r="EI10" s="1132" t="e">
        <f t="shared" si="30"/>
        <v>#VALUE!</v>
      </c>
      <c r="EJ10" s="1132" t="e">
        <f t="shared" si="31"/>
        <v>#VALUE!</v>
      </c>
      <c r="EK10" s="1132">
        <f t="shared" si="32"/>
        <v>16.656469243697479</v>
      </c>
      <c r="EL10" s="1132">
        <f t="shared" si="33"/>
        <v>-160</v>
      </c>
      <c r="EM10" s="1198">
        <f t="shared" si="34"/>
        <v>-13.349444444444444</v>
      </c>
      <c r="EN10" s="1132">
        <f t="shared" si="35"/>
        <v>-10.26473949579832</v>
      </c>
      <c r="EO10" s="1132">
        <f t="shared" si="36"/>
        <v>49.350820005803357</v>
      </c>
      <c r="EP10" s="1132">
        <f t="shared" si="37"/>
        <v>9.0211193856178706E-2</v>
      </c>
      <c r="EQ10" s="1132">
        <f t="shared" si="38"/>
        <v>-8.9517750700280097</v>
      </c>
      <c r="ER10" s="1132">
        <f t="shared" si="39"/>
        <v>-500</v>
      </c>
      <c r="ES10" s="1198">
        <f t="shared" si="40"/>
        <v>-19.135918823917194</v>
      </c>
      <c r="ET10" s="1248">
        <f t="shared" si="41"/>
        <v>0</v>
      </c>
      <c r="EU10" s="1132">
        <f t="shared" si="42"/>
        <v>0</v>
      </c>
      <c r="EV10" s="1198">
        <f t="shared" si="43"/>
        <v>0</v>
      </c>
    </row>
    <row r="11" spans="1:152">
      <c r="A11" s="633">
        <f>Eingabedaten!A14</f>
        <v>3.02</v>
      </c>
      <c r="B11" s="463" t="str">
        <f>Eingabedaten!C14</f>
        <v>Grossraumbüro</v>
      </c>
      <c r="C11" s="637">
        <v>144</v>
      </c>
      <c r="D11" s="379">
        <v>0.18</v>
      </c>
      <c r="E11" s="379">
        <v>0.125</v>
      </c>
      <c r="F11" s="1238">
        <v>11</v>
      </c>
      <c r="G11" s="1129">
        <v>7.1999999999999993</v>
      </c>
      <c r="H11" s="1129">
        <v>261</v>
      </c>
      <c r="I11" s="1129">
        <v>0.80000000000000016</v>
      </c>
      <c r="J11" s="1129">
        <v>1500</v>
      </c>
      <c r="K11" s="1129">
        <v>10</v>
      </c>
      <c r="L11" s="1239">
        <v>8.4</v>
      </c>
      <c r="M11" s="1239">
        <v>12.6</v>
      </c>
      <c r="N11" s="1243">
        <v>5.0999999999999996</v>
      </c>
      <c r="O11" s="1240">
        <v>15</v>
      </c>
      <c r="P11" s="1131">
        <v>0</v>
      </c>
      <c r="Q11" s="1129">
        <v>2910</v>
      </c>
      <c r="R11" s="1131">
        <v>43.65</v>
      </c>
      <c r="S11" s="1239">
        <v>43.65</v>
      </c>
      <c r="T11" s="1131">
        <v>0</v>
      </c>
      <c r="U11" s="1241">
        <v>2.6666666666666665</v>
      </c>
      <c r="V11" s="1131">
        <v>90</v>
      </c>
      <c r="W11" s="1242">
        <v>0.90909090909090917</v>
      </c>
      <c r="X11" s="1242">
        <v>0.14705882352941177</v>
      </c>
      <c r="Y11" s="1239">
        <v>6.3360000000000003</v>
      </c>
      <c r="Z11" s="1239">
        <v>9.2482637071404827</v>
      </c>
      <c r="AA11" s="1239">
        <v>7.6388888888888875</v>
      </c>
      <c r="AB11" s="1131">
        <v>1931</v>
      </c>
      <c r="AC11" s="1243">
        <v>14.750694444444441</v>
      </c>
      <c r="AD11" s="1242">
        <v>2.9</v>
      </c>
      <c r="AE11" s="1197">
        <v>3900</v>
      </c>
      <c r="AF11" s="1239">
        <v>1.595</v>
      </c>
      <c r="AG11" s="1131">
        <v>3900</v>
      </c>
      <c r="AH11" s="1243">
        <v>6.2205000000000004</v>
      </c>
      <c r="AI11" s="1240">
        <v>16.455477647058824</v>
      </c>
      <c r="AJ11" s="1131">
        <v>31.038888888888884</v>
      </c>
      <c r="AK11" s="1131">
        <v>226.98</v>
      </c>
      <c r="AL11" s="1131" t="s">
        <v>528</v>
      </c>
      <c r="AM11" s="1131" t="s">
        <v>528</v>
      </c>
      <c r="AN11" s="1131" t="s">
        <v>528</v>
      </c>
      <c r="AO11" s="1131">
        <v>33.246056575163394</v>
      </c>
      <c r="AP11" s="1239">
        <v>38.024635764705877</v>
      </c>
      <c r="AQ11" s="1131">
        <v>38.024635764705877</v>
      </c>
      <c r="AR11" s="1131">
        <v>590</v>
      </c>
      <c r="AS11" s="1243">
        <v>22.522730030268949</v>
      </c>
      <c r="AT11" s="1197">
        <v>0</v>
      </c>
      <c r="AU11" s="1131">
        <v>63.36282352941177</v>
      </c>
      <c r="AV11" s="1131">
        <v>224.30818590971882</v>
      </c>
      <c r="AW11" s="1242">
        <v>-3.5377211354217675E-2</v>
      </c>
      <c r="AX11" s="1239">
        <v>12.556125490196077</v>
      </c>
      <c r="AY11" s="1131">
        <v>150</v>
      </c>
      <c r="AZ11" s="1242">
        <v>0.51729452054794534</v>
      </c>
      <c r="BA11" s="1243">
        <v>1.8931654459333342</v>
      </c>
      <c r="BB11" s="1129">
        <v>3</v>
      </c>
      <c r="BC11" s="1131">
        <v>60</v>
      </c>
      <c r="BD11" s="1243">
        <v>3.6331200000000008</v>
      </c>
      <c r="BF11" s="1197">
        <f>Eingabedaten!AP14*'Resultate Standard'!S11</f>
        <v>436.5</v>
      </c>
      <c r="BG11" s="1244">
        <v>5.7844211865063873</v>
      </c>
      <c r="BH11" s="1245"/>
      <c r="BI11" s="1246"/>
      <c r="BJ11" s="637">
        <v>144</v>
      </c>
      <c r="BK11" s="379">
        <v>0.18</v>
      </c>
      <c r="BL11" s="379">
        <v>0.125</v>
      </c>
      <c r="BM11" s="1238">
        <v>11</v>
      </c>
      <c r="BN11" s="1129">
        <v>7.1999999999999993</v>
      </c>
      <c r="BO11" s="1129">
        <v>261</v>
      </c>
      <c r="BP11" s="1129">
        <v>0.80000000000000016</v>
      </c>
      <c r="BQ11" s="1129">
        <v>10</v>
      </c>
      <c r="BR11" s="1129">
        <v>7</v>
      </c>
      <c r="BS11" s="1237">
        <v>8</v>
      </c>
      <c r="BT11" s="1240">
        <v>10</v>
      </c>
      <c r="BU11" s="1129">
        <v>1930</v>
      </c>
      <c r="BV11" s="1131">
        <v>19.3</v>
      </c>
      <c r="BW11" s="1241">
        <v>0.14705882352941177</v>
      </c>
      <c r="BX11" s="1239">
        <v>2.6666666666666665</v>
      </c>
      <c r="BY11" s="1131">
        <v>55.1</v>
      </c>
      <c r="BZ11" s="1239">
        <v>0.90909090909090917</v>
      </c>
      <c r="CA11" s="1239">
        <v>12.477313974591651</v>
      </c>
      <c r="CB11" s="1239">
        <v>0</v>
      </c>
      <c r="CC11" s="1239">
        <v>12.477313974591651</v>
      </c>
      <c r="CD11" s="1131">
        <v>1860</v>
      </c>
      <c r="CE11" s="1131">
        <v>0</v>
      </c>
      <c r="CF11" s="1197">
        <v>23.20780399274047</v>
      </c>
      <c r="CG11" s="1239">
        <v>3.6</v>
      </c>
      <c r="CH11" s="1239">
        <v>1.9800000000000002</v>
      </c>
      <c r="CI11" s="1131">
        <v>2700</v>
      </c>
      <c r="CJ11" s="1197">
        <v>5.346000000000001</v>
      </c>
      <c r="CK11" s="1240">
        <v>15.17218823529412</v>
      </c>
      <c r="CL11" s="1131">
        <v>29.477313974591652</v>
      </c>
      <c r="CM11" s="1131">
        <v>234.68301296320766</v>
      </c>
      <c r="CN11" s="1131" t="s">
        <v>528</v>
      </c>
      <c r="CO11" s="1131" t="s">
        <v>528</v>
      </c>
      <c r="CP11" s="1131" t="s">
        <v>528</v>
      </c>
      <c r="CQ11" s="1131">
        <v>26</v>
      </c>
      <c r="CR11" s="1131">
        <v>790</v>
      </c>
      <c r="CS11" s="1197">
        <v>20.585625</v>
      </c>
      <c r="CT11" s="1131">
        <v>112.42898823529413</v>
      </c>
      <c r="CU11" s="1131">
        <v>126.41579563319654</v>
      </c>
      <c r="CV11" s="1131">
        <v>-1</v>
      </c>
      <c r="CW11" s="1131">
        <v>23.422705882352943</v>
      </c>
      <c r="CX11" s="1131">
        <v>690</v>
      </c>
      <c r="CY11" s="1197">
        <v>16.056793691822431</v>
      </c>
      <c r="CZ11" s="1129">
        <v>3</v>
      </c>
      <c r="DA11" s="1131">
        <v>60</v>
      </c>
      <c r="DB11" s="1197">
        <v>3.6331200000000008</v>
      </c>
      <c r="DD11" s="637">
        <f t="shared" si="0"/>
        <v>0</v>
      </c>
      <c r="DE11" s="379">
        <f t="shared" si="1"/>
        <v>0</v>
      </c>
      <c r="DF11" s="379">
        <f t="shared" si="2"/>
        <v>0</v>
      </c>
      <c r="DG11" s="1238">
        <f t="shared" si="3"/>
        <v>0</v>
      </c>
      <c r="DH11" s="1129">
        <f t="shared" si="4"/>
        <v>0</v>
      </c>
      <c r="DI11" s="1129">
        <f t="shared" si="5"/>
        <v>0</v>
      </c>
      <c r="DJ11" s="1129">
        <f t="shared" si="6"/>
        <v>0</v>
      </c>
      <c r="DK11" s="1129">
        <f t="shared" si="7"/>
        <v>0</v>
      </c>
      <c r="DL11" s="1129">
        <f t="shared" si="8"/>
        <v>1.4000000000000004</v>
      </c>
      <c r="DM11" s="1237">
        <f t="shared" si="9"/>
        <v>-2.9000000000000004</v>
      </c>
      <c r="DN11" s="1240">
        <f t="shared" si="10"/>
        <v>5</v>
      </c>
      <c r="DO11" s="1129">
        <f t="shared" si="11"/>
        <v>980</v>
      </c>
      <c r="DP11" s="1131">
        <f t="shared" si="12"/>
        <v>24.349999999999998</v>
      </c>
      <c r="DQ11" s="1241">
        <f t="shared" si="13"/>
        <v>2.5196078431372548</v>
      </c>
      <c r="DR11" s="1239">
        <f t="shared" si="14"/>
        <v>87.333333333333329</v>
      </c>
      <c r="DS11" s="1131">
        <f t="shared" si="15"/>
        <v>-54.190909090909095</v>
      </c>
      <c r="DT11" s="1239">
        <f t="shared" si="16"/>
        <v>-0.76203208556149737</v>
      </c>
      <c r="DU11" s="1239">
        <f t="shared" si="17"/>
        <v>-6.1413139745916503</v>
      </c>
      <c r="DV11" s="1239">
        <f t="shared" si="18"/>
        <v>9.2482637071404827</v>
      </c>
      <c r="DW11" s="1239">
        <f t="shared" si="19"/>
        <v>-4.8384250857027631</v>
      </c>
      <c r="DX11" s="1131">
        <f t="shared" si="20"/>
        <v>71</v>
      </c>
      <c r="DY11" s="1131" t="e">
        <f>#REF!-CE11</f>
        <v>#REF!</v>
      </c>
      <c r="DZ11" s="1197">
        <f t="shared" si="21"/>
        <v>-8.4571095482960281</v>
      </c>
      <c r="EA11" s="1239">
        <f t="shared" si="22"/>
        <v>-0.70000000000000018</v>
      </c>
      <c r="EB11" s="1239">
        <f t="shared" si="23"/>
        <v>-0.38500000000000023</v>
      </c>
      <c r="EC11" s="1131">
        <f t="shared" si="24"/>
        <v>1200</v>
      </c>
      <c r="ED11" s="1197">
        <f t="shared" si="25"/>
        <v>0.87449999999999939</v>
      </c>
      <c r="EE11" s="1240">
        <f t="shared" si="26"/>
        <v>1.283289411764704</v>
      </c>
      <c r="EF11" s="1131">
        <f t="shared" si="27"/>
        <v>1.5615749142972319</v>
      </c>
      <c r="EG11" s="1131">
        <f t="shared" si="28"/>
        <v>-7.7030129632076694</v>
      </c>
      <c r="EH11" s="1131" t="e">
        <f t="shared" si="29"/>
        <v>#VALUE!</v>
      </c>
      <c r="EI11" s="1131" t="e">
        <f t="shared" si="30"/>
        <v>#VALUE!</v>
      </c>
      <c r="EJ11" s="1131" t="e">
        <f t="shared" si="31"/>
        <v>#VALUE!</v>
      </c>
      <c r="EK11" s="1131">
        <f t="shared" si="32"/>
        <v>12.024635764705877</v>
      </c>
      <c r="EL11" s="1131">
        <f t="shared" si="33"/>
        <v>-200</v>
      </c>
      <c r="EM11" s="1197">
        <f t="shared" si="34"/>
        <v>-20.585625</v>
      </c>
      <c r="EN11" s="1131">
        <f t="shared" si="35"/>
        <v>-49.066164705882358</v>
      </c>
      <c r="EO11" s="1131">
        <f t="shared" si="36"/>
        <v>97.892390276522278</v>
      </c>
      <c r="EP11" s="1131">
        <f t="shared" si="37"/>
        <v>0.96462278864578233</v>
      </c>
      <c r="EQ11" s="1131">
        <f t="shared" si="38"/>
        <v>-10.866580392156866</v>
      </c>
      <c r="ER11" s="1131">
        <f t="shared" si="39"/>
        <v>-540</v>
      </c>
      <c r="ES11" s="1197">
        <f t="shared" si="40"/>
        <v>-14.163628245889097</v>
      </c>
      <c r="ET11" s="1129">
        <f t="shared" si="41"/>
        <v>0</v>
      </c>
      <c r="EU11" s="1131">
        <f t="shared" si="42"/>
        <v>0</v>
      </c>
      <c r="EV11" s="1197">
        <f t="shared" si="43"/>
        <v>0</v>
      </c>
    </row>
    <row r="12" spans="1:152">
      <c r="A12" s="633">
        <f>Eingabedaten!A15</f>
        <v>3.03</v>
      </c>
      <c r="B12" s="463" t="str">
        <f>Eingabedaten!C15</f>
        <v>Sitzungszimmer</v>
      </c>
      <c r="C12" s="637">
        <v>36</v>
      </c>
      <c r="D12" s="379">
        <v>0.18</v>
      </c>
      <c r="E12" s="379">
        <v>0.125</v>
      </c>
      <c r="F12" s="1238">
        <v>6</v>
      </c>
      <c r="G12" s="1129">
        <v>4</v>
      </c>
      <c r="H12" s="1129">
        <v>261</v>
      </c>
      <c r="I12" s="1129">
        <v>0.80000000000000016</v>
      </c>
      <c r="J12" s="1129">
        <v>840</v>
      </c>
      <c r="K12" s="1129">
        <v>3</v>
      </c>
      <c r="L12" s="1239">
        <v>28</v>
      </c>
      <c r="M12" s="1239">
        <v>23.52</v>
      </c>
      <c r="N12" s="1243">
        <v>17</v>
      </c>
      <c r="O12" s="1240">
        <v>8</v>
      </c>
      <c r="P12" s="1131">
        <v>0</v>
      </c>
      <c r="Q12" s="1129">
        <v>1410</v>
      </c>
      <c r="R12" s="1131">
        <v>11.28</v>
      </c>
      <c r="S12" s="1239">
        <v>11.28</v>
      </c>
      <c r="T12" s="1131">
        <v>0</v>
      </c>
      <c r="U12" s="1241">
        <v>1.3333333333333333</v>
      </c>
      <c r="V12" s="1131">
        <v>90</v>
      </c>
      <c r="W12" s="1242">
        <v>0.71428571428571419</v>
      </c>
      <c r="X12" s="1242">
        <v>0.29411764705882354</v>
      </c>
      <c r="Y12" s="1239">
        <v>6.3360000000000003</v>
      </c>
      <c r="Z12" s="1239">
        <v>6.6247701284943536</v>
      </c>
      <c r="AA12" s="1239">
        <v>9.7222222222222232</v>
      </c>
      <c r="AB12" s="1131">
        <v>755</v>
      </c>
      <c r="AC12" s="1243">
        <v>7.3402777777777777</v>
      </c>
      <c r="AD12" s="1242">
        <v>9.6666666666666661</v>
      </c>
      <c r="AE12" s="1197">
        <v>1430</v>
      </c>
      <c r="AF12" s="1239">
        <v>5.3166666666666664</v>
      </c>
      <c r="AG12" s="1131">
        <v>1090</v>
      </c>
      <c r="AH12" s="1243">
        <v>5.7951666666666659</v>
      </c>
      <c r="AI12" s="1240">
        <v>33.879115294117653</v>
      </c>
      <c r="AJ12" s="1131">
        <v>45.722222222222221</v>
      </c>
      <c r="AK12" s="1131">
        <v>158.39999999999998</v>
      </c>
      <c r="AL12" s="1131" t="s">
        <v>527</v>
      </c>
      <c r="AM12" s="1131" t="s">
        <v>528</v>
      </c>
      <c r="AN12" s="1131" t="s">
        <v>528</v>
      </c>
      <c r="AO12" s="1131">
        <v>55.720936261437906</v>
      </c>
      <c r="AP12" s="1239">
        <v>69.821311372549019</v>
      </c>
      <c r="AQ12" s="1131">
        <v>69.821311372549019</v>
      </c>
      <c r="AR12" s="1131">
        <v>110</v>
      </c>
      <c r="AS12" s="1243">
        <v>7.6126663130843584</v>
      </c>
      <c r="AT12" s="1197">
        <v>0</v>
      </c>
      <c r="AU12" s="1131">
        <v>24.265411764705885</v>
      </c>
      <c r="AV12" s="1131">
        <v>166.01407959041191</v>
      </c>
      <c r="AW12" s="1242">
        <v>-0.90978880614382129</v>
      </c>
      <c r="AX12" s="1239">
        <v>19.82335098039216</v>
      </c>
      <c r="AY12" s="1131">
        <v>930</v>
      </c>
      <c r="AZ12" s="1242">
        <v>0.61605593607305942</v>
      </c>
      <c r="BA12" s="1243">
        <v>18.41339519815179</v>
      </c>
      <c r="BB12" s="1129">
        <v>0</v>
      </c>
      <c r="BC12" s="1131">
        <v>0</v>
      </c>
      <c r="BD12" s="1243">
        <v>0</v>
      </c>
      <c r="BF12" s="1197">
        <f>Eingabedaten!AP15*'Resultate Standard'!S12</f>
        <v>33.839999999999996</v>
      </c>
      <c r="BG12" s="1244">
        <v>28.505439197556292</v>
      </c>
      <c r="BH12" s="1245"/>
      <c r="BI12" s="1246"/>
      <c r="BJ12" s="637">
        <v>36</v>
      </c>
      <c r="BK12" s="379">
        <v>0.18</v>
      </c>
      <c r="BL12" s="379">
        <v>0.125</v>
      </c>
      <c r="BM12" s="1238">
        <v>6</v>
      </c>
      <c r="BN12" s="1129">
        <v>4</v>
      </c>
      <c r="BO12" s="1129">
        <v>261</v>
      </c>
      <c r="BP12" s="1129">
        <v>0.80000000000000016</v>
      </c>
      <c r="BQ12" s="1129">
        <v>3</v>
      </c>
      <c r="BR12" s="1129">
        <v>23.3</v>
      </c>
      <c r="BS12" s="1237">
        <v>26.5</v>
      </c>
      <c r="BT12" s="1240">
        <v>2</v>
      </c>
      <c r="BU12" s="1129">
        <v>1410</v>
      </c>
      <c r="BV12" s="1131">
        <v>2.82</v>
      </c>
      <c r="BW12" s="1241">
        <v>0.29411764705882354</v>
      </c>
      <c r="BX12" s="1239">
        <v>1.3333333333333333</v>
      </c>
      <c r="BY12" s="1131">
        <v>55.1</v>
      </c>
      <c r="BZ12" s="1239">
        <v>0.71428571428571419</v>
      </c>
      <c r="CA12" s="1239">
        <v>15.880217785843922</v>
      </c>
      <c r="CB12" s="1239">
        <v>0</v>
      </c>
      <c r="CC12" s="1239">
        <v>15.880217785843922</v>
      </c>
      <c r="CD12" s="1131">
        <v>660</v>
      </c>
      <c r="CE12" s="1131">
        <v>0</v>
      </c>
      <c r="CF12" s="1197">
        <v>10.48094373865699</v>
      </c>
      <c r="CG12" s="1239">
        <v>12</v>
      </c>
      <c r="CH12" s="1239">
        <v>6.6000000000000005</v>
      </c>
      <c r="CI12" s="1131">
        <v>930</v>
      </c>
      <c r="CJ12" s="1197">
        <v>6.1380000000000008</v>
      </c>
      <c r="CK12" s="1240">
        <v>32.161176470588245</v>
      </c>
      <c r="CL12" s="1131">
        <v>41.180217785843922</v>
      </c>
      <c r="CM12" s="1131">
        <v>112.66575048119464</v>
      </c>
      <c r="CN12" s="1131" t="s">
        <v>574</v>
      </c>
      <c r="CO12" s="1131" t="s">
        <v>527</v>
      </c>
      <c r="CP12" s="1131" t="s">
        <v>527</v>
      </c>
      <c r="CQ12" s="1131">
        <v>42</v>
      </c>
      <c r="CR12" s="1131">
        <v>260</v>
      </c>
      <c r="CS12" s="1197">
        <v>10.724722222222223</v>
      </c>
      <c r="CT12" s="1131">
        <v>67.115294117647068</v>
      </c>
      <c r="CU12" s="1131">
        <v>60.022086663862005</v>
      </c>
      <c r="CV12" s="1131">
        <v>-2</v>
      </c>
      <c r="CW12" s="1131">
        <v>57.793725490196088</v>
      </c>
      <c r="CX12" s="1131">
        <v>640</v>
      </c>
      <c r="CY12" s="1197">
        <v>37.095293695693449</v>
      </c>
      <c r="CZ12" s="1129">
        <v>0</v>
      </c>
      <c r="DA12" s="1131">
        <v>0</v>
      </c>
      <c r="DB12" s="1197">
        <v>0</v>
      </c>
      <c r="DD12" s="637">
        <f t="shared" si="0"/>
        <v>0</v>
      </c>
      <c r="DE12" s="379">
        <f t="shared" si="1"/>
        <v>0</v>
      </c>
      <c r="DF12" s="379">
        <f t="shared" si="2"/>
        <v>0</v>
      </c>
      <c r="DG12" s="1238">
        <f t="shared" si="3"/>
        <v>0</v>
      </c>
      <c r="DH12" s="1129">
        <f t="shared" si="4"/>
        <v>0</v>
      </c>
      <c r="DI12" s="1129">
        <f t="shared" si="5"/>
        <v>0</v>
      </c>
      <c r="DJ12" s="1129">
        <f t="shared" si="6"/>
        <v>0</v>
      </c>
      <c r="DK12" s="1129">
        <f t="shared" si="7"/>
        <v>0</v>
      </c>
      <c r="DL12" s="1129">
        <f t="shared" si="8"/>
        <v>4.6999999999999993</v>
      </c>
      <c r="DM12" s="1237">
        <f t="shared" si="9"/>
        <v>-9.5</v>
      </c>
      <c r="DN12" s="1240">
        <f t="shared" si="10"/>
        <v>6</v>
      </c>
      <c r="DO12" s="1129">
        <f t="shared" si="11"/>
        <v>0</v>
      </c>
      <c r="DP12" s="1131">
        <f t="shared" si="12"/>
        <v>8.4599999999999991</v>
      </c>
      <c r="DQ12" s="1241">
        <f t="shared" si="13"/>
        <v>1.0392156862745097</v>
      </c>
      <c r="DR12" s="1239">
        <f t="shared" si="14"/>
        <v>88.666666666666671</v>
      </c>
      <c r="DS12" s="1131">
        <f t="shared" si="15"/>
        <v>-54.385714285714286</v>
      </c>
      <c r="DT12" s="1239">
        <f t="shared" si="16"/>
        <v>-0.42016806722689065</v>
      </c>
      <c r="DU12" s="1239">
        <f t="shared" si="17"/>
        <v>-9.5442177858439212</v>
      </c>
      <c r="DV12" s="1239">
        <f t="shared" si="18"/>
        <v>6.6247701284943536</v>
      </c>
      <c r="DW12" s="1239">
        <f t="shared" si="19"/>
        <v>-6.1579955636216983</v>
      </c>
      <c r="DX12" s="1131">
        <f t="shared" si="20"/>
        <v>95</v>
      </c>
      <c r="DY12" s="1131" t="e">
        <f>#REF!-CE12</f>
        <v>#REF!</v>
      </c>
      <c r="DZ12" s="1197">
        <f t="shared" si="21"/>
        <v>-3.140665960879212</v>
      </c>
      <c r="EA12" s="1239">
        <f t="shared" si="22"/>
        <v>-2.3333333333333339</v>
      </c>
      <c r="EB12" s="1239">
        <f t="shared" si="23"/>
        <v>-1.2833333333333341</v>
      </c>
      <c r="EC12" s="1131">
        <f t="shared" si="24"/>
        <v>160</v>
      </c>
      <c r="ED12" s="1197">
        <f t="shared" si="25"/>
        <v>-0.34283333333333488</v>
      </c>
      <c r="EE12" s="1240">
        <f t="shared" si="26"/>
        <v>1.7179388235294084</v>
      </c>
      <c r="EF12" s="1131">
        <f t="shared" si="27"/>
        <v>4.5420044363782992</v>
      </c>
      <c r="EG12" s="1131">
        <f t="shared" si="28"/>
        <v>45.734249518805342</v>
      </c>
      <c r="EH12" s="1131" t="e">
        <f t="shared" si="29"/>
        <v>#VALUE!</v>
      </c>
      <c r="EI12" s="1131" t="e">
        <f t="shared" si="30"/>
        <v>#VALUE!</v>
      </c>
      <c r="EJ12" s="1131" t="e">
        <f t="shared" si="31"/>
        <v>#VALUE!</v>
      </c>
      <c r="EK12" s="1131">
        <f t="shared" si="32"/>
        <v>27.821311372549019</v>
      </c>
      <c r="EL12" s="1131">
        <f t="shared" si="33"/>
        <v>-150</v>
      </c>
      <c r="EM12" s="1197">
        <f t="shared" si="34"/>
        <v>-10.724722222222223</v>
      </c>
      <c r="EN12" s="1131">
        <f t="shared" si="35"/>
        <v>-42.849882352941179</v>
      </c>
      <c r="EO12" s="1131">
        <f t="shared" si="36"/>
        <v>105.9919929265499</v>
      </c>
      <c r="EP12" s="1131">
        <f t="shared" si="37"/>
        <v>1.0902111938561787</v>
      </c>
      <c r="EQ12" s="1131">
        <f t="shared" si="38"/>
        <v>-37.970374509803932</v>
      </c>
      <c r="ER12" s="1131">
        <f t="shared" si="39"/>
        <v>290</v>
      </c>
      <c r="ES12" s="1197">
        <f t="shared" si="40"/>
        <v>-18.68189849754166</v>
      </c>
      <c r="ET12" s="1129">
        <f t="shared" si="41"/>
        <v>0</v>
      </c>
      <c r="EU12" s="1131">
        <f t="shared" si="42"/>
        <v>0</v>
      </c>
      <c r="EV12" s="1197">
        <f t="shared" si="43"/>
        <v>0</v>
      </c>
    </row>
    <row r="13" spans="1:152">
      <c r="A13" s="633">
        <f>Eingabedaten!A16</f>
        <v>3.04</v>
      </c>
      <c r="B13" s="463" t="str">
        <f>Eingabedaten!C16</f>
        <v>Schalterhalle, Empfang</v>
      </c>
      <c r="C13" s="637">
        <v>144</v>
      </c>
      <c r="D13" s="379">
        <v>0.18</v>
      </c>
      <c r="E13" s="379">
        <v>0.12</v>
      </c>
      <c r="F13" s="1238">
        <v>11</v>
      </c>
      <c r="G13" s="1129">
        <v>7.1999999999999993</v>
      </c>
      <c r="H13" s="1129">
        <v>261</v>
      </c>
      <c r="I13" s="1129">
        <v>0.80000000000000016</v>
      </c>
      <c r="J13" s="1129">
        <v>1500</v>
      </c>
      <c r="K13" s="1129">
        <v>12</v>
      </c>
      <c r="L13" s="1239">
        <v>7</v>
      </c>
      <c r="M13" s="1239">
        <v>10.5</v>
      </c>
      <c r="N13" s="1243">
        <v>4.25</v>
      </c>
      <c r="O13" s="1240">
        <v>4</v>
      </c>
      <c r="P13" s="1131">
        <v>0</v>
      </c>
      <c r="Q13" s="1129">
        <v>2910</v>
      </c>
      <c r="R13" s="1131">
        <v>11.64</v>
      </c>
      <c r="S13" s="1239">
        <v>11.64</v>
      </c>
      <c r="T13" s="1131">
        <v>0</v>
      </c>
      <c r="U13" s="1241">
        <v>1.5189873417721518</v>
      </c>
      <c r="V13" s="1131">
        <v>90</v>
      </c>
      <c r="W13" s="1242">
        <v>0.75376884422110546</v>
      </c>
      <c r="X13" s="1242">
        <v>0.19607843137254902</v>
      </c>
      <c r="Y13" s="1239">
        <v>6.3360000000000003</v>
      </c>
      <c r="Z13" s="1239">
        <v>7.0368033329355306</v>
      </c>
      <c r="AA13" s="1239">
        <v>5.5277777777777786</v>
      </c>
      <c r="AB13" s="1131">
        <v>1469</v>
      </c>
      <c r="AC13" s="1243">
        <v>8.1203055555555554</v>
      </c>
      <c r="AD13" s="1242">
        <v>2.4166666666666665</v>
      </c>
      <c r="AE13" s="1197">
        <v>3900</v>
      </c>
      <c r="AF13" s="1239">
        <v>1.3291666666666666</v>
      </c>
      <c r="AG13" s="1131">
        <v>3900</v>
      </c>
      <c r="AH13" s="1243">
        <v>5.1837499999999999</v>
      </c>
      <c r="AI13" s="1240">
        <v>20.6529568627451</v>
      </c>
      <c r="AJ13" s="1131">
        <v>16.527777777777779</v>
      </c>
      <c r="AK13" s="1131">
        <v>94.800000000000026</v>
      </c>
      <c r="AL13" s="1131" t="s">
        <v>1317</v>
      </c>
      <c r="AM13" s="1131" t="s">
        <v>1317</v>
      </c>
      <c r="AN13" s="1131" t="s">
        <v>527</v>
      </c>
      <c r="AO13" s="1131">
        <v>26.026514248366013</v>
      </c>
      <c r="AP13" s="1239">
        <v>29.388740915032681</v>
      </c>
      <c r="AQ13" s="1131">
        <v>29.388740915032681</v>
      </c>
      <c r="AR13" s="1131">
        <v>180</v>
      </c>
      <c r="AS13" s="1243">
        <v>5.4342964331961694</v>
      </c>
      <c r="AT13" s="1197">
        <v>0</v>
      </c>
      <c r="AU13" s="1131">
        <v>73.923764705882348</v>
      </c>
      <c r="AV13" s="1131">
        <v>197.9119983703402</v>
      </c>
      <c r="AW13" s="1242">
        <v>-0.43132002444489714</v>
      </c>
      <c r="AX13" s="1239">
        <v>14.338807843137255</v>
      </c>
      <c r="AY13" s="1131">
        <v>840</v>
      </c>
      <c r="AZ13" s="1242">
        <v>0.4527397260273972</v>
      </c>
      <c r="BA13" s="1243">
        <v>12.089743328874869</v>
      </c>
      <c r="BB13" s="1129">
        <v>0</v>
      </c>
      <c r="BC13" s="1131">
        <v>0</v>
      </c>
      <c r="BD13" s="1243">
        <v>0</v>
      </c>
      <c r="BF13" s="1197">
        <f>Eingabedaten!AP16*'Resultate Standard'!S13</f>
        <v>139.68</v>
      </c>
      <c r="BG13" s="1244">
        <v>15.092692178206725</v>
      </c>
      <c r="BH13" s="1245"/>
      <c r="BI13" s="1246"/>
      <c r="BJ13" s="637">
        <v>144</v>
      </c>
      <c r="BK13" s="379">
        <v>0.18</v>
      </c>
      <c r="BL13" s="379">
        <v>0.12</v>
      </c>
      <c r="BM13" s="1238">
        <v>11</v>
      </c>
      <c r="BN13" s="1129">
        <v>7.1999999999999993</v>
      </c>
      <c r="BO13" s="1129">
        <v>261</v>
      </c>
      <c r="BP13" s="1129">
        <v>0.80000000000000016</v>
      </c>
      <c r="BQ13" s="1129">
        <v>12</v>
      </c>
      <c r="BR13" s="1129">
        <v>5.8</v>
      </c>
      <c r="BS13" s="1237">
        <v>6.5</v>
      </c>
      <c r="BT13" s="1240">
        <v>4</v>
      </c>
      <c r="BU13" s="1129">
        <v>1930</v>
      </c>
      <c r="BV13" s="1131">
        <v>7.72</v>
      </c>
      <c r="BW13" s="1241">
        <v>0.19607843137254902</v>
      </c>
      <c r="BX13" s="1239">
        <v>1.5189873417721518</v>
      </c>
      <c r="BY13" s="1131">
        <v>45.1</v>
      </c>
      <c r="BZ13" s="1239">
        <v>0.75376884422110546</v>
      </c>
      <c r="CA13" s="1239">
        <v>11.031042128603106</v>
      </c>
      <c r="CB13" s="1239">
        <v>0</v>
      </c>
      <c r="CC13" s="1239">
        <v>11.031042128603106</v>
      </c>
      <c r="CD13" s="1131">
        <v>1310</v>
      </c>
      <c r="CE13" s="1131">
        <v>0</v>
      </c>
      <c r="CF13" s="1197">
        <v>14.450665188470071</v>
      </c>
      <c r="CG13" s="1239">
        <v>2.5</v>
      </c>
      <c r="CH13" s="1239">
        <v>1.375</v>
      </c>
      <c r="CI13" s="1131">
        <v>2700</v>
      </c>
      <c r="CJ13" s="1197">
        <v>3.7124999999999999</v>
      </c>
      <c r="CK13" s="1240">
        <v>18.368784313725492</v>
      </c>
      <c r="CL13" s="1131">
        <v>20.831042128603109</v>
      </c>
      <c r="CM13" s="1131">
        <v>96.507530909778069</v>
      </c>
      <c r="CN13" s="1131" t="s">
        <v>574</v>
      </c>
      <c r="CO13" s="1131" t="s">
        <v>574</v>
      </c>
      <c r="CP13" s="1131" t="s">
        <v>527</v>
      </c>
      <c r="CQ13" s="1131">
        <v>22</v>
      </c>
      <c r="CR13" s="1131">
        <v>590</v>
      </c>
      <c r="CS13" s="1197">
        <v>12.911875</v>
      </c>
      <c r="CT13" s="1131">
        <v>105.24611764705884</v>
      </c>
      <c r="CU13" s="1131">
        <v>139.01130347689224</v>
      </c>
      <c r="CV13" s="1131">
        <v>-1</v>
      </c>
      <c r="CW13" s="1131">
        <v>21.195398692810461</v>
      </c>
      <c r="CX13" s="1131">
        <v>840</v>
      </c>
      <c r="CY13" s="1197">
        <v>17.761103735147543</v>
      </c>
      <c r="CZ13" s="1129">
        <v>0</v>
      </c>
      <c r="DA13" s="1131">
        <v>0</v>
      </c>
      <c r="DB13" s="1197">
        <v>0</v>
      </c>
      <c r="DD13" s="637">
        <f t="shared" si="0"/>
        <v>0</v>
      </c>
      <c r="DE13" s="379">
        <f t="shared" si="1"/>
        <v>0</v>
      </c>
      <c r="DF13" s="379">
        <f t="shared" si="2"/>
        <v>0</v>
      </c>
      <c r="DG13" s="1238">
        <f t="shared" si="3"/>
        <v>0</v>
      </c>
      <c r="DH13" s="1129">
        <f t="shared" si="4"/>
        <v>0</v>
      </c>
      <c r="DI13" s="1129">
        <f t="shared" si="5"/>
        <v>0</v>
      </c>
      <c r="DJ13" s="1129">
        <f t="shared" si="6"/>
        <v>0</v>
      </c>
      <c r="DK13" s="1129">
        <f t="shared" si="7"/>
        <v>0</v>
      </c>
      <c r="DL13" s="1129">
        <f t="shared" si="8"/>
        <v>1.2000000000000002</v>
      </c>
      <c r="DM13" s="1237">
        <f t="shared" si="9"/>
        <v>-2.25</v>
      </c>
      <c r="DN13" s="1240">
        <f t="shared" si="10"/>
        <v>0</v>
      </c>
      <c r="DO13" s="1129">
        <f t="shared" si="11"/>
        <v>980</v>
      </c>
      <c r="DP13" s="1131">
        <f t="shared" si="12"/>
        <v>3.9200000000000008</v>
      </c>
      <c r="DQ13" s="1241">
        <f t="shared" si="13"/>
        <v>1.3229089103996028</v>
      </c>
      <c r="DR13" s="1239">
        <f t="shared" si="14"/>
        <v>88.481012658227854</v>
      </c>
      <c r="DS13" s="1131">
        <f t="shared" si="15"/>
        <v>-44.346231155778895</v>
      </c>
      <c r="DT13" s="1239">
        <f t="shared" si="16"/>
        <v>-0.55769041284855647</v>
      </c>
      <c r="DU13" s="1239">
        <f t="shared" si="17"/>
        <v>-4.6950421286031059</v>
      </c>
      <c r="DV13" s="1239">
        <f t="shared" si="18"/>
        <v>7.0368033329355306</v>
      </c>
      <c r="DW13" s="1239">
        <f t="shared" si="19"/>
        <v>-5.5032643508253276</v>
      </c>
      <c r="DX13" s="1131">
        <f t="shared" si="20"/>
        <v>159</v>
      </c>
      <c r="DY13" s="1131" t="e">
        <f>#REF!-CE13</f>
        <v>#REF!</v>
      </c>
      <c r="DZ13" s="1197">
        <f t="shared" si="21"/>
        <v>-6.3303596329145151</v>
      </c>
      <c r="EA13" s="1239">
        <f t="shared" si="22"/>
        <v>-8.3333333333333481E-2</v>
      </c>
      <c r="EB13" s="1239">
        <f t="shared" si="23"/>
        <v>-4.5833333333333393E-2</v>
      </c>
      <c r="EC13" s="1131">
        <f t="shared" si="24"/>
        <v>1200</v>
      </c>
      <c r="ED13" s="1197">
        <f t="shared" si="25"/>
        <v>1.4712499999999999</v>
      </c>
      <c r="EE13" s="1240">
        <f t="shared" si="26"/>
        <v>2.2841725490196083</v>
      </c>
      <c r="EF13" s="1131">
        <f t="shared" si="27"/>
        <v>-4.3032643508253301</v>
      </c>
      <c r="EG13" s="1131">
        <f t="shared" si="28"/>
        <v>-1.7075309097780433</v>
      </c>
      <c r="EH13" s="1131" t="e">
        <f t="shared" si="29"/>
        <v>#VALUE!</v>
      </c>
      <c r="EI13" s="1131" t="e">
        <f t="shared" si="30"/>
        <v>#VALUE!</v>
      </c>
      <c r="EJ13" s="1131" t="e">
        <f t="shared" si="31"/>
        <v>#VALUE!</v>
      </c>
      <c r="EK13" s="1131">
        <f t="shared" si="32"/>
        <v>7.388740915032681</v>
      </c>
      <c r="EL13" s="1131">
        <f t="shared" si="33"/>
        <v>-410</v>
      </c>
      <c r="EM13" s="1197">
        <f t="shared" si="34"/>
        <v>-12.911875</v>
      </c>
      <c r="EN13" s="1131">
        <f t="shared" si="35"/>
        <v>-31.32235294117649</v>
      </c>
      <c r="EO13" s="1131">
        <f t="shared" si="36"/>
        <v>58.900694893447962</v>
      </c>
      <c r="EP13" s="1131">
        <f t="shared" si="37"/>
        <v>0.56867997555510286</v>
      </c>
      <c r="EQ13" s="1131">
        <f t="shared" si="38"/>
        <v>-6.8565908496732053</v>
      </c>
      <c r="ER13" s="1131">
        <f t="shared" si="39"/>
        <v>0</v>
      </c>
      <c r="ES13" s="1197">
        <f t="shared" si="40"/>
        <v>-5.6713604062726741</v>
      </c>
      <c r="ET13" s="1129">
        <f t="shared" si="41"/>
        <v>0</v>
      </c>
      <c r="EU13" s="1131">
        <f t="shared" si="42"/>
        <v>0</v>
      </c>
      <c r="EV13" s="1197">
        <f t="shared" si="43"/>
        <v>0</v>
      </c>
    </row>
    <row r="14" spans="1:152">
      <c r="A14" s="1301">
        <f>Eingabedaten!A17</f>
        <v>4.01</v>
      </c>
      <c r="B14" s="388" t="str">
        <f>Eingabedaten!C17</f>
        <v>Schulzimmer</v>
      </c>
      <c r="C14" s="653">
        <v>70</v>
      </c>
      <c r="D14" s="386">
        <v>0.18</v>
      </c>
      <c r="E14" s="386">
        <v>0.125</v>
      </c>
      <c r="F14" s="1247">
        <v>11</v>
      </c>
      <c r="G14" s="1248">
        <v>7.6</v>
      </c>
      <c r="H14" s="1248">
        <v>261</v>
      </c>
      <c r="I14" s="1253">
        <v>0.69890410958904103</v>
      </c>
      <c r="J14" s="1132">
        <v>1390</v>
      </c>
      <c r="K14" s="1248">
        <v>4</v>
      </c>
      <c r="L14" s="1249">
        <v>21</v>
      </c>
      <c r="M14" s="1249">
        <v>29.19</v>
      </c>
      <c r="N14" s="1254">
        <v>12.75</v>
      </c>
      <c r="O14" s="1251">
        <v>8</v>
      </c>
      <c r="P14" s="1132">
        <v>0</v>
      </c>
      <c r="Q14" s="1248">
        <v>1770</v>
      </c>
      <c r="R14" s="1132">
        <v>14.16</v>
      </c>
      <c r="S14" s="1249">
        <v>14.16</v>
      </c>
      <c r="T14" s="1132">
        <v>0</v>
      </c>
      <c r="U14" s="1252">
        <v>1.8300653594771241</v>
      </c>
      <c r="V14" s="1132">
        <v>90</v>
      </c>
      <c r="W14" s="1253">
        <v>0.80831408775981517</v>
      </c>
      <c r="X14" s="1253">
        <v>0.25210084033613445</v>
      </c>
      <c r="Y14" s="1249">
        <v>6.3360000000000003</v>
      </c>
      <c r="Z14" s="1249">
        <v>7.1819621855551183</v>
      </c>
      <c r="AA14" s="1249">
        <v>8.5912698412698418</v>
      </c>
      <c r="AB14" s="1132">
        <v>1310</v>
      </c>
      <c r="AC14" s="1254">
        <v>11.254563492063493</v>
      </c>
      <c r="AD14" s="1253">
        <v>7.25</v>
      </c>
      <c r="AE14" s="1198">
        <v>2070</v>
      </c>
      <c r="AF14" s="1249">
        <v>2.4650000000000003</v>
      </c>
      <c r="AG14" s="1132">
        <v>1720</v>
      </c>
      <c r="AH14" s="1254">
        <v>4.2397999999999998</v>
      </c>
      <c r="AI14" s="1251">
        <v>28.610533109243697</v>
      </c>
      <c r="AJ14" s="1132">
        <v>37.591269841269842</v>
      </c>
      <c r="AK14" s="1132">
        <v>229.2</v>
      </c>
      <c r="AL14" s="1132" t="s">
        <v>528</v>
      </c>
      <c r="AM14" s="1132" t="s">
        <v>528</v>
      </c>
      <c r="AN14" s="1132" t="s">
        <v>528</v>
      </c>
      <c r="AO14" s="1132">
        <v>46.341262065359473</v>
      </c>
      <c r="AP14" s="1249">
        <v>54.796008739495797</v>
      </c>
      <c r="AQ14" s="1132">
        <v>54.796008739495797</v>
      </c>
      <c r="AR14" s="1132">
        <v>190</v>
      </c>
      <c r="AS14" s="1254">
        <v>10.331204735219744</v>
      </c>
      <c r="AT14" s="1198">
        <v>0</v>
      </c>
      <c r="AU14" s="1132">
        <v>46.022352941176479</v>
      </c>
      <c r="AV14" s="1132">
        <v>161.83440271990591</v>
      </c>
      <c r="AW14" s="1253">
        <v>-0.97248395920141117</v>
      </c>
      <c r="AX14" s="1249">
        <v>19.377043697478996</v>
      </c>
      <c r="AY14" s="1132">
        <v>820</v>
      </c>
      <c r="AZ14" s="1253">
        <v>0.65332191780821924</v>
      </c>
      <c r="BA14" s="1254">
        <v>15.912593796418303</v>
      </c>
      <c r="BB14" s="1248">
        <v>1.5</v>
      </c>
      <c r="BC14" s="1132">
        <v>30</v>
      </c>
      <c r="BD14" s="1254">
        <v>3.9675039041095888</v>
      </c>
      <c r="BF14" s="1198">
        <f>Eingabedaten!AP17*'Resultate Standard'!S14</f>
        <v>56.64</v>
      </c>
      <c r="BG14" s="1244">
        <v>23.687033064189404</v>
      </c>
      <c r="BH14" s="1245"/>
      <c r="BI14" s="1246"/>
      <c r="BJ14" s="653">
        <v>70</v>
      </c>
      <c r="BK14" s="386">
        <v>0.18</v>
      </c>
      <c r="BL14" s="386">
        <v>0.125</v>
      </c>
      <c r="BM14" s="1247">
        <v>11</v>
      </c>
      <c r="BN14" s="1248">
        <v>7.6</v>
      </c>
      <c r="BO14" s="1248">
        <v>261</v>
      </c>
      <c r="BP14" s="1253">
        <v>0.69890410958904103</v>
      </c>
      <c r="BQ14" s="1248">
        <v>3</v>
      </c>
      <c r="BR14" s="1248">
        <v>23.3</v>
      </c>
      <c r="BS14" s="1250">
        <v>26.5</v>
      </c>
      <c r="BT14" s="1251">
        <v>4</v>
      </c>
      <c r="BU14" s="1248">
        <v>1770</v>
      </c>
      <c r="BV14" s="1132">
        <v>7.08</v>
      </c>
      <c r="BW14" s="1252">
        <v>0.25210084033613445</v>
      </c>
      <c r="BX14" s="1249">
        <v>1.8300653594771241</v>
      </c>
      <c r="BY14" s="1132">
        <v>55.1</v>
      </c>
      <c r="BZ14" s="1249">
        <v>0.80831408775981517</v>
      </c>
      <c r="CA14" s="1249">
        <v>14.032927145449831</v>
      </c>
      <c r="CB14" s="1249">
        <v>0</v>
      </c>
      <c r="CC14" s="1249">
        <v>14.032927145449831</v>
      </c>
      <c r="CD14" s="1132">
        <v>1180</v>
      </c>
      <c r="CE14" s="1132">
        <v>0</v>
      </c>
      <c r="CF14" s="1198">
        <v>16.558854031630801</v>
      </c>
      <c r="CG14" s="1249">
        <v>8.3333333333333339</v>
      </c>
      <c r="CH14" s="1249">
        <v>4.5833333333333339</v>
      </c>
      <c r="CI14" s="1132">
        <v>1550</v>
      </c>
      <c r="CJ14" s="1198">
        <v>7.1041666666666679</v>
      </c>
      <c r="CK14" s="1251">
        <v>26.879294117647063</v>
      </c>
      <c r="CL14" s="1132">
        <v>41.33292714544983</v>
      </c>
      <c r="CM14" s="1132">
        <v>244.96902965911369</v>
      </c>
      <c r="CN14" s="1132" t="s">
        <v>528</v>
      </c>
      <c r="CO14" s="1132" t="s">
        <v>528</v>
      </c>
      <c r="CP14" s="1132" t="s">
        <v>528</v>
      </c>
      <c r="CQ14" s="1132">
        <v>36</v>
      </c>
      <c r="CR14" s="1132">
        <v>470</v>
      </c>
      <c r="CS14" s="1198">
        <v>16.868857142857141</v>
      </c>
      <c r="CT14" s="1132">
        <v>103.83882352941177</v>
      </c>
      <c r="CU14" s="1132">
        <v>71.726544531683714</v>
      </c>
      <c r="CV14" s="1132">
        <v>-2</v>
      </c>
      <c r="CW14" s="1132">
        <v>45.985764705882353</v>
      </c>
      <c r="CX14" s="1132">
        <v>820</v>
      </c>
      <c r="CY14" s="1198">
        <v>37.671386194334467</v>
      </c>
      <c r="CZ14" s="1248">
        <v>1.5</v>
      </c>
      <c r="DA14" s="1132">
        <v>30</v>
      </c>
      <c r="DB14" s="1198">
        <v>5.290005205479452</v>
      </c>
      <c r="DD14" s="653">
        <f t="shared" si="0"/>
        <v>0</v>
      </c>
      <c r="DE14" s="386">
        <f t="shared" si="1"/>
        <v>0</v>
      </c>
      <c r="DF14" s="386">
        <f t="shared" si="2"/>
        <v>0</v>
      </c>
      <c r="DG14" s="1247">
        <f t="shared" si="3"/>
        <v>0</v>
      </c>
      <c r="DH14" s="1248">
        <f t="shared" si="4"/>
        <v>0</v>
      </c>
      <c r="DI14" s="1248">
        <f t="shared" si="5"/>
        <v>0</v>
      </c>
      <c r="DJ14" s="1253">
        <f t="shared" si="6"/>
        <v>0</v>
      </c>
      <c r="DK14" s="1248">
        <f t="shared" si="7"/>
        <v>1</v>
      </c>
      <c r="DL14" s="1248">
        <f t="shared" si="8"/>
        <v>-2.3000000000000007</v>
      </c>
      <c r="DM14" s="1250">
        <f t="shared" si="9"/>
        <v>-13.75</v>
      </c>
      <c r="DN14" s="1251">
        <f t="shared" si="10"/>
        <v>4</v>
      </c>
      <c r="DO14" s="1248">
        <f t="shared" si="11"/>
        <v>0</v>
      </c>
      <c r="DP14" s="1132">
        <f t="shared" si="12"/>
        <v>7.08</v>
      </c>
      <c r="DQ14" s="1252">
        <f t="shared" si="13"/>
        <v>1.5779645191409897</v>
      </c>
      <c r="DR14" s="1249">
        <f t="shared" si="14"/>
        <v>88.169934640522882</v>
      </c>
      <c r="DS14" s="1132">
        <f t="shared" si="15"/>
        <v>-54.291685912240183</v>
      </c>
      <c r="DT14" s="1249">
        <f t="shared" si="16"/>
        <v>-0.55621324742368072</v>
      </c>
      <c r="DU14" s="1249">
        <f t="shared" si="17"/>
        <v>-7.6969271454498305</v>
      </c>
      <c r="DV14" s="1249">
        <f t="shared" si="18"/>
        <v>7.1819621855551183</v>
      </c>
      <c r="DW14" s="1249">
        <f t="shared" si="19"/>
        <v>-5.4416573041799889</v>
      </c>
      <c r="DX14" s="1132">
        <f t="shared" si="20"/>
        <v>130</v>
      </c>
      <c r="DY14" s="1132" t="e">
        <f>#REF!-CE14</f>
        <v>#REF!</v>
      </c>
      <c r="DZ14" s="1198">
        <f t="shared" si="21"/>
        <v>-5.3042905395673081</v>
      </c>
      <c r="EA14" s="1249">
        <f t="shared" si="22"/>
        <v>-1.0833333333333339</v>
      </c>
      <c r="EB14" s="1249">
        <f t="shared" si="23"/>
        <v>-2.1183333333333336</v>
      </c>
      <c r="EC14" s="1132">
        <f t="shared" si="24"/>
        <v>170</v>
      </c>
      <c r="ED14" s="1198">
        <f t="shared" si="25"/>
        <v>-2.8643666666666681</v>
      </c>
      <c r="EE14" s="1251">
        <f t="shared" si="26"/>
        <v>1.7312389915966335</v>
      </c>
      <c r="EF14" s="1132">
        <f t="shared" si="27"/>
        <v>-3.7416573041799879</v>
      </c>
      <c r="EG14" s="1132">
        <f t="shared" si="28"/>
        <v>-15.769029659113698</v>
      </c>
      <c r="EH14" s="1132" t="e">
        <f t="shared" si="29"/>
        <v>#VALUE!</v>
      </c>
      <c r="EI14" s="1132" t="e">
        <f t="shared" si="30"/>
        <v>#VALUE!</v>
      </c>
      <c r="EJ14" s="1132" t="e">
        <f t="shared" si="31"/>
        <v>#VALUE!</v>
      </c>
      <c r="EK14" s="1132">
        <f t="shared" si="32"/>
        <v>18.796008739495797</v>
      </c>
      <c r="EL14" s="1132">
        <f t="shared" si="33"/>
        <v>-280</v>
      </c>
      <c r="EM14" s="1198">
        <f t="shared" si="34"/>
        <v>-16.868857142857141</v>
      </c>
      <c r="EN14" s="1132">
        <f t="shared" si="35"/>
        <v>-57.816470588235291</v>
      </c>
      <c r="EO14" s="1132">
        <f t="shared" si="36"/>
        <v>90.107858188222195</v>
      </c>
      <c r="EP14" s="1132">
        <f t="shared" si="37"/>
        <v>1.0275160407985888</v>
      </c>
      <c r="EQ14" s="1132">
        <f t="shared" si="38"/>
        <v>-26.608721008403357</v>
      </c>
      <c r="ER14" s="1132">
        <f t="shared" si="39"/>
        <v>0</v>
      </c>
      <c r="ES14" s="1198">
        <f t="shared" si="40"/>
        <v>-21.758792397916164</v>
      </c>
      <c r="ET14" s="1248">
        <f t="shared" si="41"/>
        <v>0</v>
      </c>
      <c r="EU14" s="1132">
        <f t="shared" si="42"/>
        <v>0</v>
      </c>
      <c r="EV14" s="1198">
        <f t="shared" si="43"/>
        <v>-1.3225013013698632</v>
      </c>
    </row>
    <row r="15" spans="1:152">
      <c r="A15" s="633">
        <f>Eingabedaten!A18</f>
        <v>4.0199999999999996</v>
      </c>
      <c r="B15" s="463" t="str">
        <f>Eingabedaten!C18</f>
        <v>Lehrerzimmer</v>
      </c>
      <c r="C15" s="637">
        <v>36</v>
      </c>
      <c r="D15" s="379">
        <v>0.18</v>
      </c>
      <c r="E15" s="379">
        <v>0.125</v>
      </c>
      <c r="F15" s="1238">
        <v>11</v>
      </c>
      <c r="G15" s="1129">
        <v>6</v>
      </c>
      <c r="H15" s="1129">
        <v>261</v>
      </c>
      <c r="I15" s="1242">
        <v>0.69890410958904103</v>
      </c>
      <c r="J15" s="1131">
        <v>1090</v>
      </c>
      <c r="K15" s="1129">
        <v>4</v>
      </c>
      <c r="L15" s="1239">
        <v>21</v>
      </c>
      <c r="M15" s="1239">
        <v>22.89</v>
      </c>
      <c r="N15" s="1243">
        <v>12.75</v>
      </c>
      <c r="O15" s="1240">
        <v>4</v>
      </c>
      <c r="P15" s="1131">
        <v>0</v>
      </c>
      <c r="Q15" s="1129">
        <v>1510</v>
      </c>
      <c r="R15" s="1131">
        <v>6.04</v>
      </c>
      <c r="S15" s="1239">
        <v>6.04</v>
      </c>
      <c r="T15" s="1131">
        <v>0</v>
      </c>
      <c r="U15" s="1241">
        <v>1.3333333333333333</v>
      </c>
      <c r="V15" s="1131">
        <v>90</v>
      </c>
      <c r="W15" s="1242">
        <v>0.71428571428571419</v>
      </c>
      <c r="X15" s="1242">
        <v>0.29411764705882354</v>
      </c>
      <c r="Y15" s="1239">
        <v>6.3360000000000003</v>
      </c>
      <c r="Z15" s="1239">
        <v>6.3360000000000003</v>
      </c>
      <c r="AA15" s="1239">
        <v>5.8333333333333339</v>
      </c>
      <c r="AB15" s="1131">
        <v>1156</v>
      </c>
      <c r="AC15" s="1243">
        <v>6.7433333333333341</v>
      </c>
      <c r="AD15" s="1242">
        <v>7.25</v>
      </c>
      <c r="AE15" s="1197">
        <v>1670</v>
      </c>
      <c r="AF15" s="1239">
        <v>2.4650000000000003</v>
      </c>
      <c r="AG15" s="1131">
        <v>1200</v>
      </c>
      <c r="AH15" s="1243">
        <v>2.9580000000000006</v>
      </c>
      <c r="AI15" s="1240">
        <v>31.756075294117654</v>
      </c>
      <c r="AJ15" s="1131">
        <v>30.833333333333336</v>
      </c>
      <c r="AK15" s="1131">
        <v>155.19999999999999</v>
      </c>
      <c r="AL15" s="1131" t="s">
        <v>527</v>
      </c>
      <c r="AM15" s="1131" t="s">
        <v>528</v>
      </c>
      <c r="AN15" s="1131" t="s">
        <v>528</v>
      </c>
      <c r="AO15" s="1131">
        <v>43.812586039215695</v>
      </c>
      <c r="AP15" s="1239">
        <v>43.890511372549021</v>
      </c>
      <c r="AQ15" s="1131">
        <v>43.890511372549021</v>
      </c>
      <c r="AR15" s="1131">
        <v>100</v>
      </c>
      <c r="AS15" s="1243">
        <v>4.5705353286407115</v>
      </c>
      <c r="AT15" s="1197">
        <v>0</v>
      </c>
      <c r="AU15" s="1131">
        <v>28.225411764705882</v>
      </c>
      <c r="AV15" s="1131">
        <v>148.46196168659031</v>
      </c>
      <c r="AW15" s="1242">
        <v>-1.1730705747011454</v>
      </c>
      <c r="AX15" s="1239">
        <v>23.264850980392154</v>
      </c>
      <c r="AY15" s="1131">
        <v>1160</v>
      </c>
      <c r="AZ15" s="1242">
        <v>0.55606164383561651</v>
      </c>
      <c r="BA15" s="1243">
        <v>27.008858712198027</v>
      </c>
      <c r="BB15" s="1129">
        <v>0</v>
      </c>
      <c r="BC15" s="1131">
        <v>0</v>
      </c>
      <c r="BD15" s="1243">
        <v>0</v>
      </c>
      <c r="BF15" s="1197">
        <f>Eingabedaten!AP18*'Resultate Standard'!S15</f>
        <v>24.16</v>
      </c>
      <c r="BG15" s="1244">
        <v>36.506672146830695</v>
      </c>
      <c r="BH15" s="1245"/>
      <c r="BI15" s="1246"/>
      <c r="BJ15" s="637">
        <v>36</v>
      </c>
      <c r="BK15" s="379">
        <v>0.18</v>
      </c>
      <c r="BL15" s="379">
        <v>0.125</v>
      </c>
      <c r="BM15" s="1238">
        <v>11</v>
      </c>
      <c r="BN15" s="1129">
        <v>6</v>
      </c>
      <c r="BO15" s="1129">
        <v>261</v>
      </c>
      <c r="BP15" s="1242">
        <v>0.69890410958904103</v>
      </c>
      <c r="BQ15" s="1129">
        <v>3</v>
      </c>
      <c r="BR15" s="1129">
        <v>23.3</v>
      </c>
      <c r="BS15" s="1237">
        <v>26.5</v>
      </c>
      <c r="BT15" s="1240">
        <v>4</v>
      </c>
      <c r="BU15" s="1129">
        <v>1510</v>
      </c>
      <c r="BV15" s="1131">
        <v>6.04</v>
      </c>
      <c r="BW15" s="1241">
        <v>0.29411764705882354</v>
      </c>
      <c r="BX15" s="1239">
        <v>1.3333333333333333</v>
      </c>
      <c r="BY15" s="1131">
        <v>45.1</v>
      </c>
      <c r="BZ15" s="1239">
        <v>0.71428571428571419</v>
      </c>
      <c r="CA15" s="1239">
        <v>11.640798226164081</v>
      </c>
      <c r="CB15" s="1239">
        <v>0</v>
      </c>
      <c r="CC15" s="1239">
        <v>11.640798226164081</v>
      </c>
      <c r="CD15" s="1131">
        <v>1030</v>
      </c>
      <c r="CE15" s="1131">
        <v>0</v>
      </c>
      <c r="CF15" s="1197">
        <v>11.990022172949004</v>
      </c>
      <c r="CG15" s="1239">
        <v>12</v>
      </c>
      <c r="CH15" s="1239">
        <v>6.6000000000000005</v>
      </c>
      <c r="CI15" s="1131">
        <v>920</v>
      </c>
      <c r="CJ15" s="1197">
        <v>6.072000000000001</v>
      </c>
      <c r="CK15" s="1240">
        <v>32.821176470588242</v>
      </c>
      <c r="CL15" s="1131">
        <v>38.940798226164084</v>
      </c>
      <c r="CM15" s="1131">
        <v>174.3029936084738</v>
      </c>
      <c r="CN15" s="1131" t="s">
        <v>527</v>
      </c>
      <c r="CO15" s="1131" t="s">
        <v>528</v>
      </c>
      <c r="CP15" s="1131" t="s">
        <v>528</v>
      </c>
      <c r="CQ15" s="1131">
        <v>37</v>
      </c>
      <c r="CR15" s="1131">
        <v>270</v>
      </c>
      <c r="CS15" s="1197">
        <v>9.8886111111111106</v>
      </c>
      <c r="CT15" s="1131">
        <v>71.075294117647061</v>
      </c>
      <c r="CU15" s="1131">
        <v>58.95719535207072</v>
      </c>
      <c r="CV15" s="1131">
        <v>-2</v>
      </c>
      <c r="CW15" s="1131">
        <v>61.203725490196085</v>
      </c>
      <c r="CX15" s="1131">
        <v>800</v>
      </c>
      <c r="CY15" s="1197">
        <v>48.991307815681701</v>
      </c>
      <c r="CZ15" s="1129">
        <v>0</v>
      </c>
      <c r="DA15" s="1131">
        <v>0</v>
      </c>
      <c r="DB15" s="1197">
        <v>0</v>
      </c>
      <c r="DD15" s="637">
        <f t="shared" si="0"/>
        <v>0</v>
      </c>
      <c r="DE15" s="379">
        <f t="shared" si="1"/>
        <v>0</v>
      </c>
      <c r="DF15" s="379">
        <f t="shared" si="2"/>
        <v>0</v>
      </c>
      <c r="DG15" s="1238">
        <f t="shared" si="3"/>
        <v>0</v>
      </c>
      <c r="DH15" s="1129">
        <f t="shared" si="4"/>
        <v>0</v>
      </c>
      <c r="DI15" s="1129">
        <f t="shared" si="5"/>
        <v>0</v>
      </c>
      <c r="DJ15" s="1242">
        <f t="shared" si="6"/>
        <v>0</v>
      </c>
      <c r="DK15" s="1129">
        <f t="shared" si="7"/>
        <v>1</v>
      </c>
      <c r="DL15" s="1129">
        <f t="shared" si="8"/>
        <v>-2.3000000000000007</v>
      </c>
      <c r="DM15" s="1237">
        <f t="shared" si="9"/>
        <v>-13.75</v>
      </c>
      <c r="DN15" s="1240">
        <f t="shared" si="10"/>
        <v>0</v>
      </c>
      <c r="DO15" s="1129">
        <f t="shared" si="11"/>
        <v>0</v>
      </c>
      <c r="DP15" s="1131">
        <f t="shared" si="12"/>
        <v>0</v>
      </c>
      <c r="DQ15" s="1241">
        <f t="shared" si="13"/>
        <v>1.0392156862745097</v>
      </c>
      <c r="DR15" s="1239">
        <f t="shared" si="14"/>
        <v>88.666666666666671</v>
      </c>
      <c r="DS15" s="1131">
        <f t="shared" si="15"/>
        <v>-44.385714285714286</v>
      </c>
      <c r="DT15" s="1239">
        <f t="shared" si="16"/>
        <v>-0.42016806722689065</v>
      </c>
      <c r="DU15" s="1239">
        <f t="shared" si="17"/>
        <v>-5.3047982261640811</v>
      </c>
      <c r="DV15" s="1239">
        <f t="shared" si="18"/>
        <v>6.3360000000000003</v>
      </c>
      <c r="DW15" s="1239">
        <f t="shared" si="19"/>
        <v>-5.8074648928307475</v>
      </c>
      <c r="DX15" s="1131">
        <f t="shared" si="20"/>
        <v>126</v>
      </c>
      <c r="DY15" s="1131" t="e">
        <f>#REF!-CE15</f>
        <v>#REF!</v>
      </c>
      <c r="DZ15" s="1197">
        <f t="shared" si="21"/>
        <v>-5.2466888396156701</v>
      </c>
      <c r="EA15" s="1239">
        <f t="shared" si="22"/>
        <v>-4.75</v>
      </c>
      <c r="EB15" s="1239">
        <f t="shared" si="23"/>
        <v>-4.1349999999999998</v>
      </c>
      <c r="EC15" s="1131">
        <f t="shared" si="24"/>
        <v>280</v>
      </c>
      <c r="ED15" s="1197">
        <f t="shared" si="25"/>
        <v>-3.1140000000000003</v>
      </c>
      <c r="EE15" s="1240">
        <f t="shared" si="26"/>
        <v>-1.0651011764705878</v>
      </c>
      <c r="EF15" s="1131">
        <f t="shared" si="27"/>
        <v>-8.1074648928307482</v>
      </c>
      <c r="EG15" s="1131">
        <f t="shared" si="28"/>
        <v>-19.10299360847381</v>
      </c>
      <c r="EH15" s="1131" t="e">
        <f t="shared" si="29"/>
        <v>#VALUE!</v>
      </c>
      <c r="EI15" s="1131" t="e">
        <f t="shared" si="30"/>
        <v>#VALUE!</v>
      </c>
      <c r="EJ15" s="1131" t="e">
        <f t="shared" si="31"/>
        <v>#VALUE!</v>
      </c>
      <c r="EK15" s="1131">
        <f t="shared" si="32"/>
        <v>6.890511372549021</v>
      </c>
      <c r="EL15" s="1131">
        <f t="shared" si="33"/>
        <v>-170</v>
      </c>
      <c r="EM15" s="1197">
        <f t="shared" si="34"/>
        <v>-9.8886111111111106</v>
      </c>
      <c r="EN15" s="1131">
        <f t="shared" si="35"/>
        <v>-42.849882352941179</v>
      </c>
      <c r="EO15" s="1131">
        <f t="shared" si="36"/>
        <v>89.504766334519587</v>
      </c>
      <c r="EP15" s="1131">
        <f t="shared" si="37"/>
        <v>0.8269294252988546</v>
      </c>
      <c r="EQ15" s="1131">
        <f t="shared" si="38"/>
        <v>-37.938874509803931</v>
      </c>
      <c r="ER15" s="1131">
        <f t="shared" si="39"/>
        <v>360</v>
      </c>
      <c r="ES15" s="1197">
        <f t="shared" si="40"/>
        <v>-21.982449103483674</v>
      </c>
      <c r="ET15" s="1129">
        <f t="shared" si="41"/>
        <v>0</v>
      </c>
      <c r="EU15" s="1131">
        <f t="shared" si="42"/>
        <v>0</v>
      </c>
      <c r="EV15" s="1197">
        <f t="shared" si="43"/>
        <v>0</v>
      </c>
    </row>
    <row r="16" spans="1:152">
      <c r="A16" s="633">
        <f>Eingabedaten!A19</f>
        <v>4.03</v>
      </c>
      <c r="B16" s="463" t="str">
        <f>Eingabedaten!C19</f>
        <v>Bibliothek</v>
      </c>
      <c r="C16" s="637">
        <v>144</v>
      </c>
      <c r="D16" s="379">
        <v>0.18</v>
      </c>
      <c r="E16" s="379">
        <v>0.125</v>
      </c>
      <c r="F16" s="1238">
        <v>11</v>
      </c>
      <c r="G16" s="1129">
        <v>6</v>
      </c>
      <c r="H16" s="1129">
        <v>261</v>
      </c>
      <c r="I16" s="1242">
        <v>0.69890410958904103</v>
      </c>
      <c r="J16" s="1131">
        <v>1090</v>
      </c>
      <c r="K16" s="1129">
        <v>5</v>
      </c>
      <c r="L16" s="1239">
        <v>16.8</v>
      </c>
      <c r="M16" s="1239">
        <v>18.312000000000001</v>
      </c>
      <c r="N16" s="1243">
        <v>10.199999999999999</v>
      </c>
      <c r="O16" s="1240">
        <v>2</v>
      </c>
      <c r="P16" s="1131">
        <v>0</v>
      </c>
      <c r="Q16" s="1129">
        <v>1510</v>
      </c>
      <c r="R16" s="1131">
        <v>3.02</v>
      </c>
      <c r="S16" s="1239">
        <v>3.02</v>
      </c>
      <c r="T16" s="1131">
        <v>0</v>
      </c>
      <c r="U16" s="1241">
        <v>2.6666666666666665</v>
      </c>
      <c r="V16" s="1131">
        <v>90</v>
      </c>
      <c r="W16" s="1242">
        <v>0.90909090909090917</v>
      </c>
      <c r="X16" s="1242">
        <v>0.14705882352941177</v>
      </c>
      <c r="Y16" s="1239">
        <v>6.3360000000000003</v>
      </c>
      <c r="Z16" s="1239">
        <v>8.2314579927708156</v>
      </c>
      <c r="AA16" s="1239">
        <v>4.5833333333333321</v>
      </c>
      <c r="AB16" s="1131">
        <v>1502</v>
      </c>
      <c r="AC16" s="1243">
        <v>6.8841666666666654</v>
      </c>
      <c r="AD16" s="1242">
        <v>5.8</v>
      </c>
      <c r="AE16" s="1197">
        <v>2470</v>
      </c>
      <c r="AF16" s="1239">
        <v>1.972</v>
      </c>
      <c r="AG16" s="1131">
        <v>1450</v>
      </c>
      <c r="AH16" s="1243">
        <v>2.8593999999999999</v>
      </c>
      <c r="AI16" s="1240">
        <v>16.957599887058826</v>
      </c>
      <c r="AJ16" s="1131">
        <v>23.383333333333333</v>
      </c>
      <c r="AK16" s="1131">
        <v>115.40000000000002</v>
      </c>
      <c r="AL16" s="1131" t="s">
        <v>1317</v>
      </c>
      <c r="AM16" s="1131" t="s">
        <v>527</v>
      </c>
      <c r="AN16" s="1131" t="s">
        <v>527</v>
      </c>
      <c r="AO16" s="1131">
        <v>28.23865325427451</v>
      </c>
      <c r="AP16" s="1239">
        <v>26.962655529411769</v>
      </c>
      <c r="AQ16" s="1131">
        <v>26.962655529411769</v>
      </c>
      <c r="AR16" s="1131">
        <v>120</v>
      </c>
      <c r="AS16" s="1243">
        <v>3.1150122065978558</v>
      </c>
      <c r="AT16" s="1197">
        <v>0</v>
      </c>
      <c r="AU16" s="1131">
        <v>63.36282352941177</v>
      </c>
      <c r="AV16" s="1131">
        <v>224.30818590971882</v>
      </c>
      <c r="AW16" s="1242">
        <v>-3.5377211354217675E-2</v>
      </c>
      <c r="AX16" s="1239">
        <v>12.556125490196077</v>
      </c>
      <c r="AY16" s="1131">
        <v>1300</v>
      </c>
      <c r="AZ16" s="1242">
        <v>0.62792808219178087</v>
      </c>
      <c r="BA16" s="1243">
        <v>16.302303608778768</v>
      </c>
      <c r="BB16" s="1129">
        <v>0</v>
      </c>
      <c r="BC16" s="1131">
        <v>0</v>
      </c>
      <c r="BD16" s="1243">
        <v>0</v>
      </c>
      <c r="BF16" s="1197">
        <f>Eingabedaten!AP19*'Resultate Standard'!S16</f>
        <v>15.1</v>
      </c>
      <c r="BG16" s="1244">
        <v>19.186559082822907</v>
      </c>
      <c r="BH16" s="1245"/>
      <c r="BI16" s="1246"/>
      <c r="BJ16" s="637">
        <v>144</v>
      </c>
      <c r="BK16" s="379">
        <v>0.18</v>
      </c>
      <c r="BL16" s="379">
        <v>0.125</v>
      </c>
      <c r="BM16" s="1238">
        <v>11</v>
      </c>
      <c r="BN16" s="1129">
        <v>6</v>
      </c>
      <c r="BO16" s="1129">
        <v>261</v>
      </c>
      <c r="BP16" s="1242">
        <v>0.69890410958904103</v>
      </c>
      <c r="BQ16" s="1129">
        <v>5</v>
      </c>
      <c r="BR16" s="1129">
        <v>14</v>
      </c>
      <c r="BS16" s="1237">
        <v>16</v>
      </c>
      <c r="BT16" s="1240">
        <v>2</v>
      </c>
      <c r="BU16" s="1129">
        <v>1510</v>
      </c>
      <c r="BV16" s="1131">
        <v>3.02</v>
      </c>
      <c r="BW16" s="1241">
        <v>0.14705882352941177</v>
      </c>
      <c r="BX16" s="1239">
        <v>2.6666666666666665</v>
      </c>
      <c r="BY16" s="1131">
        <v>40.099999999999994</v>
      </c>
      <c r="BZ16" s="1239">
        <v>0.90909090909090917</v>
      </c>
      <c r="CA16" s="1239">
        <v>6.8578553615960098</v>
      </c>
      <c r="CB16" s="1239">
        <v>0</v>
      </c>
      <c r="CC16" s="1239">
        <v>6.8578553615960098</v>
      </c>
      <c r="CD16" s="1131">
        <v>1240</v>
      </c>
      <c r="CE16" s="1131">
        <v>0</v>
      </c>
      <c r="CF16" s="1197">
        <v>8.5037406483790523</v>
      </c>
      <c r="CG16" s="1239">
        <v>7.2</v>
      </c>
      <c r="CH16" s="1239">
        <v>3.9600000000000004</v>
      </c>
      <c r="CI16" s="1131">
        <v>960</v>
      </c>
      <c r="CJ16" s="1197">
        <v>3.8016000000000005</v>
      </c>
      <c r="CK16" s="1240">
        <v>17.245788235294121</v>
      </c>
      <c r="CL16" s="1131">
        <v>22.857855361596009</v>
      </c>
      <c r="CM16" s="1131">
        <v>120.25300780185464</v>
      </c>
      <c r="CN16" s="1131" t="s">
        <v>574</v>
      </c>
      <c r="CO16" s="1131" t="s">
        <v>527</v>
      </c>
      <c r="CP16" s="1131" t="s">
        <v>528</v>
      </c>
      <c r="CQ16" s="1131">
        <v>21</v>
      </c>
      <c r="CR16" s="1131">
        <v>390</v>
      </c>
      <c r="CS16" s="1197">
        <v>8.2642361111111118</v>
      </c>
      <c r="CT16" s="1131">
        <v>162.19538823529416</v>
      </c>
      <c r="CU16" s="1131">
        <v>87.627645610871056</v>
      </c>
      <c r="CV16" s="1131">
        <v>-2</v>
      </c>
      <c r="CW16" s="1131">
        <v>34.917062745098043</v>
      </c>
      <c r="CX16" s="1131">
        <v>740</v>
      </c>
      <c r="CY16" s="1197">
        <v>25.914254895506975</v>
      </c>
      <c r="CZ16" s="1129">
        <v>0</v>
      </c>
      <c r="DA16" s="1131">
        <v>0</v>
      </c>
      <c r="DB16" s="1197">
        <v>0</v>
      </c>
      <c r="DD16" s="637">
        <f t="shared" si="0"/>
        <v>0</v>
      </c>
      <c r="DE16" s="379">
        <f t="shared" si="1"/>
        <v>0</v>
      </c>
      <c r="DF16" s="379">
        <f t="shared" si="2"/>
        <v>0</v>
      </c>
      <c r="DG16" s="1238">
        <f t="shared" si="3"/>
        <v>0</v>
      </c>
      <c r="DH16" s="1129">
        <f t="shared" si="4"/>
        <v>0</v>
      </c>
      <c r="DI16" s="1129">
        <f t="shared" si="5"/>
        <v>0</v>
      </c>
      <c r="DJ16" s="1242">
        <f t="shared" si="6"/>
        <v>0</v>
      </c>
      <c r="DK16" s="1129">
        <f t="shared" si="7"/>
        <v>0</v>
      </c>
      <c r="DL16" s="1129">
        <f t="shared" si="8"/>
        <v>2.8000000000000007</v>
      </c>
      <c r="DM16" s="1237">
        <f t="shared" si="9"/>
        <v>-5.8000000000000007</v>
      </c>
      <c r="DN16" s="1240">
        <f t="shared" si="10"/>
        <v>0</v>
      </c>
      <c r="DO16" s="1129">
        <f t="shared" si="11"/>
        <v>0</v>
      </c>
      <c r="DP16" s="1131">
        <f t="shared" si="12"/>
        <v>0</v>
      </c>
      <c r="DQ16" s="1241">
        <f t="shared" si="13"/>
        <v>2.5196078431372548</v>
      </c>
      <c r="DR16" s="1239">
        <f t="shared" si="14"/>
        <v>87.333333333333329</v>
      </c>
      <c r="DS16" s="1131">
        <f t="shared" si="15"/>
        <v>-39.190909090909088</v>
      </c>
      <c r="DT16" s="1239">
        <f t="shared" si="16"/>
        <v>-0.76203208556149737</v>
      </c>
      <c r="DU16" s="1239">
        <f t="shared" si="17"/>
        <v>-0.52185536159600954</v>
      </c>
      <c r="DV16" s="1239">
        <f t="shared" si="18"/>
        <v>8.2314579927708156</v>
      </c>
      <c r="DW16" s="1239">
        <f t="shared" si="19"/>
        <v>-2.2745220282626777</v>
      </c>
      <c r="DX16" s="1131">
        <f t="shared" si="20"/>
        <v>262</v>
      </c>
      <c r="DY16" s="1131" t="e">
        <f>#REF!-CE16</f>
        <v>#REF!</v>
      </c>
      <c r="DZ16" s="1197">
        <f t="shared" si="21"/>
        <v>-1.6195739817123869</v>
      </c>
      <c r="EA16" s="1239">
        <f t="shared" si="22"/>
        <v>-1.4000000000000004</v>
      </c>
      <c r="EB16" s="1239">
        <f t="shared" si="23"/>
        <v>-1.9880000000000004</v>
      </c>
      <c r="EC16" s="1131">
        <f t="shared" si="24"/>
        <v>490</v>
      </c>
      <c r="ED16" s="1197">
        <f t="shared" si="25"/>
        <v>-0.94220000000000059</v>
      </c>
      <c r="EE16" s="1240">
        <f t="shared" si="26"/>
        <v>-0.28818834823529471</v>
      </c>
      <c r="EF16" s="1131">
        <f t="shared" si="27"/>
        <v>0.52547797173732391</v>
      </c>
      <c r="EG16" s="1131">
        <f t="shared" si="28"/>
        <v>-4.8530078018546163</v>
      </c>
      <c r="EH16" s="1131" t="e">
        <f t="shared" si="29"/>
        <v>#VALUE!</v>
      </c>
      <c r="EI16" s="1131" t="e">
        <f t="shared" si="30"/>
        <v>#VALUE!</v>
      </c>
      <c r="EJ16" s="1131" t="e">
        <f t="shared" si="31"/>
        <v>#VALUE!</v>
      </c>
      <c r="EK16" s="1131">
        <f t="shared" si="32"/>
        <v>5.9626555294117694</v>
      </c>
      <c r="EL16" s="1131">
        <f t="shared" si="33"/>
        <v>-270</v>
      </c>
      <c r="EM16" s="1197">
        <f t="shared" si="34"/>
        <v>-8.2642361111111118</v>
      </c>
      <c r="EN16" s="1131">
        <f t="shared" si="35"/>
        <v>-98.83256470588239</v>
      </c>
      <c r="EO16" s="1131">
        <f t="shared" si="36"/>
        <v>136.68054029884775</v>
      </c>
      <c r="EP16" s="1131">
        <f t="shared" si="37"/>
        <v>1.9646227886457823</v>
      </c>
      <c r="EQ16" s="1131">
        <f t="shared" si="38"/>
        <v>-22.360937254901966</v>
      </c>
      <c r="ER16" s="1131">
        <f t="shared" si="39"/>
        <v>560</v>
      </c>
      <c r="ES16" s="1197">
        <f t="shared" si="40"/>
        <v>-9.6119512867282069</v>
      </c>
      <c r="ET16" s="1129">
        <f t="shared" si="41"/>
        <v>0</v>
      </c>
      <c r="EU16" s="1131">
        <f t="shared" si="42"/>
        <v>0</v>
      </c>
      <c r="EV16" s="1197">
        <f t="shared" si="43"/>
        <v>0</v>
      </c>
    </row>
    <row r="17" spans="1:152">
      <c r="A17" s="633">
        <f>Eingabedaten!A20</f>
        <v>4.04</v>
      </c>
      <c r="B17" s="463" t="str">
        <f>Eingabedaten!C20</f>
        <v>Hörsaal</v>
      </c>
      <c r="C17" s="637">
        <v>144</v>
      </c>
      <c r="D17" s="379">
        <v>0.18</v>
      </c>
      <c r="E17" s="379">
        <v>0.125</v>
      </c>
      <c r="F17" s="1238">
        <v>11</v>
      </c>
      <c r="G17" s="1129">
        <v>7.6</v>
      </c>
      <c r="H17" s="1129">
        <v>261</v>
      </c>
      <c r="I17" s="1242">
        <v>0.69890410958904103</v>
      </c>
      <c r="J17" s="1131">
        <v>1390</v>
      </c>
      <c r="K17" s="1129">
        <v>3</v>
      </c>
      <c r="L17" s="1239">
        <v>28</v>
      </c>
      <c r="M17" s="1239">
        <v>38.92</v>
      </c>
      <c r="N17" s="1243">
        <v>17</v>
      </c>
      <c r="O17" s="1240">
        <v>20</v>
      </c>
      <c r="P17" s="1131">
        <v>0</v>
      </c>
      <c r="Q17" s="1129">
        <v>2180</v>
      </c>
      <c r="R17" s="1131">
        <v>43.6</v>
      </c>
      <c r="S17" s="1239">
        <v>43.6</v>
      </c>
      <c r="T17" s="1131">
        <v>0</v>
      </c>
      <c r="U17" s="1241">
        <v>2.6666666666666665</v>
      </c>
      <c r="V17" s="1131">
        <v>90</v>
      </c>
      <c r="W17" s="1242">
        <v>0.90909090909090917</v>
      </c>
      <c r="X17" s="1242">
        <v>0.14705882352941177</v>
      </c>
      <c r="Y17" s="1239">
        <v>6.3360000000000003</v>
      </c>
      <c r="Z17" s="1239">
        <v>9.2482637071404827</v>
      </c>
      <c r="AA17" s="1239">
        <v>7.6388888888888875</v>
      </c>
      <c r="AB17" s="1131">
        <v>1687</v>
      </c>
      <c r="AC17" s="1243">
        <v>12.886805555555554</v>
      </c>
      <c r="AD17" s="1242">
        <v>9.6666666666666661</v>
      </c>
      <c r="AE17" s="1197">
        <v>2070</v>
      </c>
      <c r="AF17" s="1239">
        <v>5.3166666666666664</v>
      </c>
      <c r="AG17" s="1131">
        <v>1720</v>
      </c>
      <c r="AH17" s="1243">
        <v>9.1446666666666658</v>
      </c>
      <c r="AI17" s="1240">
        <v>19.433397647058818</v>
      </c>
      <c r="AJ17" s="1131">
        <v>55.638888888888886</v>
      </c>
      <c r="AK17" s="1131">
        <v>412.8</v>
      </c>
      <c r="AL17" s="1131" t="s">
        <v>528</v>
      </c>
      <c r="AM17" s="1131" t="s">
        <v>528</v>
      </c>
      <c r="AN17" s="1131" t="s">
        <v>528</v>
      </c>
      <c r="AO17" s="1131">
        <v>52.550600575163394</v>
      </c>
      <c r="AP17" s="1239">
        <v>65.781691764705883</v>
      </c>
      <c r="AQ17" s="1131">
        <v>65.781691764705883</v>
      </c>
      <c r="AR17" s="1131">
        <v>480</v>
      </c>
      <c r="AS17" s="1243">
        <v>31.632011877622929</v>
      </c>
      <c r="AT17" s="1197">
        <v>0</v>
      </c>
      <c r="AU17" s="1131">
        <v>63.36282352941177</v>
      </c>
      <c r="AV17" s="1131">
        <v>224.30818590971882</v>
      </c>
      <c r="AW17" s="1242">
        <v>-3.5377211354217675E-2</v>
      </c>
      <c r="AX17" s="1239">
        <v>12.556125490196077</v>
      </c>
      <c r="AY17" s="1131">
        <v>120</v>
      </c>
      <c r="AZ17" s="1242">
        <v>0.82464041095890417</v>
      </c>
      <c r="BA17" s="1243">
        <v>1.5668089762001363</v>
      </c>
      <c r="BB17" s="1129">
        <v>1.5</v>
      </c>
      <c r="BC17" s="1131">
        <v>30</v>
      </c>
      <c r="BD17" s="1243">
        <v>5.290005205479452</v>
      </c>
      <c r="BF17" s="1197">
        <f>Eingabedaten!AP20*'Resultate Standard'!S17</f>
        <v>130.80000000000001</v>
      </c>
      <c r="BG17" s="1244">
        <v>6.7922805237497723</v>
      </c>
      <c r="BH17" s="1245"/>
      <c r="BI17" s="1246"/>
      <c r="BJ17" s="637">
        <v>144</v>
      </c>
      <c r="BK17" s="379">
        <v>0.18</v>
      </c>
      <c r="BL17" s="379">
        <v>0.125</v>
      </c>
      <c r="BM17" s="1238">
        <v>11</v>
      </c>
      <c r="BN17" s="1129">
        <v>7.6</v>
      </c>
      <c r="BO17" s="1129">
        <v>261</v>
      </c>
      <c r="BP17" s="1242">
        <v>0.69890410958904103</v>
      </c>
      <c r="BQ17" s="1129">
        <v>2</v>
      </c>
      <c r="BR17" s="1129">
        <v>35</v>
      </c>
      <c r="BS17" s="1237">
        <v>40</v>
      </c>
      <c r="BT17" s="1240">
        <v>4</v>
      </c>
      <c r="BU17" s="1129">
        <v>1770</v>
      </c>
      <c r="BV17" s="1131">
        <v>7.08</v>
      </c>
      <c r="BW17" s="1241">
        <v>0.14705882352941177</v>
      </c>
      <c r="BX17" s="1239">
        <v>2.6666666666666665</v>
      </c>
      <c r="BY17" s="1131">
        <v>55.1</v>
      </c>
      <c r="BZ17" s="1239">
        <v>0.90909090909090917</v>
      </c>
      <c r="CA17" s="1239">
        <v>12.477313974591651</v>
      </c>
      <c r="CB17" s="1239">
        <v>0</v>
      </c>
      <c r="CC17" s="1239">
        <v>12.477313974591651</v>
      </c>
      <c r="CD17" s="1131">
        <v>1630</v>
      </c>
      <c r="CE17" s="1131">
        <v>0</v>
      </c>
      <c r="CF17" s="1197">
        <v>20.338021778584391</v>
      </c>
      <c r="CG17" s="1239">
        <v>15</v>
      </c>
      <c r="CH17" s="1239">
        <v>8.25</v>
      </c>
      <c r="CI17" s="1131">
        <v>1340</v>
      </c>
      <c r="CJ17" s="1197">
        <v>11.055</v>
      </c>
      <c r="CK17" s="1240">
        <v>21.738588235294124</v>
      </c>
      <c r="CL17" s="1131">
        <v>51.477313974591652</v>
      </c>
      <c r="CM17" s="1131">
        <v>402.08301296320769</v>
      </c>
      <c r="CN17" s="1131" t="s">
        <v>528</v>
      </c>
      <c r="CO17" s="1131" t="s">
        <v>528</v>
      </c>
      <c r="CP17" s="1131" t="s">
        <v>528</v>
      </c>
      <c r="CQ17" s="1131">
        <v>48</v>
      </c>
      <c r="CR17" s="1131">
        <v>430</v>
      </c>
      <c r="CS17" s="1197">
        <v>20.477499999999999</v>
      </c>
      <c r="CT17" s="1131">
        <v>270.02258823529417</v>
      </c>
      <c r="CU17" s="1131">
        <v>52.63559649911641</v>
      </c>
      <c r="CV17" s="1131">
        <v>-2</v>
      </c>
      <c r="CW17" s="1131">
        <v>58.129862745098052</v>
      </c>
      <c r="CX17" s="1131">
        <v>450</v>
      </c>
      <c r="CY17" s="1197">
        <v>26.162694659925396</v>
      </c>
      <c r="CZ17" s="1129">
        <v>1.5</v>
      </c>
      <c r="DA17" s="1131">
        <v>30</v>
      </c>
      <c r="DB17" s="1197">
        <v>7.9350078082191775</v>
      </c>
      <c r="DD17" s="637">
        <f t="shared" si="0"/>
        <v>0</v>
      </c>
      <c r="DE17" s="379">
        <f t="shared" si="1"/>
        <v>0</v>
      </c>
      <c r="DF17" s="379">
        <f t="shared" si="2"/>
        <v>0</v>
      </c>
      <c r="DG17" s="1238">
        <f t="shared" si="3"/>
        <v>0</v>
      </c>
      <c r="DH17" s="1129">
        <f t="shared" si="4"/>
        <v>0</v>
      </c>
      <c r="DI17" s="1129">
        <f t="shared" si="5"/>
        <v>0</v>
      </c>
      <c r="DJ17" s="1242">
        <f t="shared" si="6"/>
        <v>0</v>
      </c>
      <c r="DK17" s="1129">
        <f t="shared" si="7"/>
        <v>1</v>
      </c>
      <c r="DL17" s="1129">
        <f t="shared" si="8"/>
        <v>-7</v>
      </c>
      <c r="DM17" s="1237">
        <f t="shared" si="9"/>
        <v>-23</v>
      </c>
      <c r="DN17" s="1240">
        <f t="shared" si="10"/>
        <v>16</v>
      </c>
      <c r="DO17" s="1129">
        <f t="shared" si="11"/>
        <v>410</v>
      </c>
      <c r="DP17" s="1131">
        <f t="shared" si="12"/>
        <v>36.520000000000003</v>
      </c>
      <c r="DQ17" s="1241">
        <f t="shared" si="13"/>
        <v>2.5196078431372548</v>
      </c>
      <c r="DR17" s="1239">
        <f t="shared" si="14"/>
        <v>87.333333333333329</v>
      </c>
      <c r="DS17" s="1131">
        <f t="shared" si="15"/>
        <v>-54.190909090909095</v>
      </c>
      <c r="DT17" s="1239">
        <f t="shared" si="16"/>
        <v>-0.76203208556149737</v>
      </c>
      <c r="DU17" s="1239">
        <f t="shared" si="17"/>
        <v>-6.1413139745916503</v>
      </c>
      <c r="DV17" s="1239">
        <f t="shared" si="18"/>
        <v>9.2482637071404827</v>
      </c>
      <c r="DW17" s="1239">
        <f t="shared" si="19"/>
        <v>-4.8384250857027631</v>
      </c>
      <c r="DX17" s="1131">
        <f t="shared" si="20"/>
        <v>57</v>
      </c>
      <c r="DY17" s="1131" t="e">
        <f>#REF!-CE17</f>
        <v>#REF!</v>
      </c>
      <c r="DZ17" s="1197">
        <f t="shared" si="21"/>
        <v>-7.4512162230288368</v>
      </c>
      <c r="EA17" s="1239">
        <f t="shared" si="22"/>
        <v>-5.3333333333333339</v>
      </c>
      <c r="EB17" s="1239">
        <f t="shared" si="23"/>
        <v>-2.9333333333333336</v>
      </c>
      <c r="EC17" s="1131">
        <f t="shared" si="24"/>
        <v>380</v>
      </c>
      <c r="ED17" s="1197">
        <f t="shared" si="25"/>
        <v>-1.9103333333333339</v>
      </c>
      <c r="EE17" s="1240">
        <f t="shared" si="26"/>
        <v>-2.3051905882353054</v>
      </c>
      <c r="EF17" s="1131">
        <f t="shared" si="27"/>
        <v>4.1615749142972334</v>
      </c>
      <c r="EG17" s="1131">
        <f t="shared" si="28"/>
        <v>10.716987036792318</v>
      </c>
      <c r="EH17" s="1131" t="e">
        <f t="shared" si="29"/>
        <v>#VALUE!</v>
      </c>
      <c r="EI17" s="1131" t="e">
        <f t="shared" si="30"/>
        <v>#VALUE!</v>
      </c>
      <c r="EJ17" s="1131" t="e">
        <f t="shared" si="31"/>
        <v>#VALUE!</v>
      </c>
      <c r="EK17" s="1131">
        <f t="shared" si="32"/>
        <v>17.781691764705883</v>
      </c>
      <c r="EL17" s="1131">
        <f t="shared" si="33"/>
        <v>50</v>
      </c>
      <c r="EM17" s="1197">
        <f t="shared" si="34"/>
        <v>-20.477499999999999</v>
      </c>
      <c r="EN17" s="1131">
        <f t="shared" si="35"/>
        <v>-206.6597647058824</v>
      </c>
      <c r="EO17" s="1131">
        <f t="shared" si="36"/>
        <v>171.6725894106024</v>
      </c>
      <c r="EP17" s="1131">
        <f t="shared" si="37"/>
        <v>1.9646227886457823</v>
      </c>
      <c r="EQ17" s="1131">
        <f t="shared" si="38"/>
        <v>-45.573737254901971</v>
      </c>
      <c r="ER17" s="1131">
        <f t="shared" si="39"/>
        <v>-330</v>
      </c>
      <c r="ES17" s="1197">
        <f t="shared" si="40"/>
        <v>-24.59588568372526</v>
      </c>
      <c r="ET17" s="1129">
        <f t="shared" si="41"/>
        <v>0</v>
      </c>
      <c r="EU17" s="1131">
        <f t="shared" si="42"/>
        <v>0</v>
      </c>
      <c r="EV17" s="1197">
        <f t="shared" si="43"/>
        <v>-2.6450026027397255</v>
      </c>
    </row>
    <row r="18" spans="1:152">
      <c r="A18" s="657">
        <f>Eingabedaten!A21</f>
        <v>4.05</v>
      </c>
      <c r="B18" s="592" t="str">
        <f>Eingabedaten!C21</f>
        <v>Schulfachraum (Spezialraum)</v>
      </c>
      <c r="C18" s="654">
        <v>70</v>
      </c>
      <c r="D18" s="387">
        <v>0.18</v>
      </c>
      <c r="E18" s="387">
        <v>0.125</v>
      </c>
      <c r="F18" s="1227">
        <v>11</v>
      </c>
      <c r="G18" s="1130">
        <v>7.6</v>
      </c>
      <c r="H18" s="1130">
        <v>261</v>
      </c>
      <c r="I18" s="1257">
        <v>0.69890410958904103</v>
      </c>
      <c r="J18" s="1133">
        <v>1390</v>
      </c>
      <c r="K18" s="1130">
        <v>5</v>
      </c>
      <c r="L18" s="1228">
        <v>16.8</v>
      </c>
      <c r="M18" s="1228">
        <v>23.352</v>
      </c>
      <c r="N18" s="1196">
        <v>10.199999999999999</v>
      </c>
      <c r="O18" s="1255">
        <v>4</v>
      </c>
      <c r="P18" s="1133">
        <v>0</v>
      </c>
      <c r="Q18" s="1130">
        <v>1770</v>
      </c>
      <c r="R18" s="1133">
        <v>7.08</v>
      </c>
      <c r="S18" s="1228">
        <v>7.08</v>
      </c>
      <c r="T18" s="1133">
        <v>0</v>
      </c>
      <c r="U18" s="1256">
        <v>1.8300653594771241</v>
      </c>
      <c r="V18" s="1133">
        <v>90</v>
      </c>
      <c r="W18" s="1257">
        <v>0.80831408775981517</v>
      </c>
      <c r="X18" s="1257">
        <v>0.25210084033613445</v>
      </c>
      <c r="Y18" s="1228">
        <v>6.3360000000000003</v>
      </c>
      <c r="Z18" s="1228">
        <v>7.1819621855551183</v>
      </c>
      <c r="AA18" s="1228">
        <v>8.5912698412698418</v>
      </c>
      <c r="AB18" s="1133">
        <v>1310</v>
      </c>
      <c r="AC18" s="1196">
        <v>11.254563492063493</v>
      </c>
      <c r="AD18" s="1257">
        <v>5.8</v>
      </c>
      <c r="AE18" s="1199">
        <v>3030</v>
      </c>
      <c r="AF18" s="1228">
        <v>1.972</v>
      </c>
      <c r="AG18" s="1133">
        <v>2520</v>
      </c>
      <c r="AH18" s="1196">
        <v>4.9694399999999996</v>
      </c>
      <c r="AI18" s="1255">
        <v>28.263493109243701</v>
      </c>
      <c r="AJ18" s="1133">
        <v>29.391269841269843</v>
      </c>
      <c r="AK18" s="1133">
        <v>162.47999999999999</v>
      </c>
      <c r="AL18" s="1133" t="s">
        <v>527</v>
      </c>
      <c r="AM18" s="1133" t="s">
        <v>528</v>
      </c>
      <c r="AN18" s="1133" t="s">
        <v>528</v>
      </c>
      <c r="AO18" s="1133">
        <v>40.358334065359479</v>
      </c>
      <c r="AP18" s="1228">
        <v>45.919496739495791</v>
      </c>
      <c r="AQ18" s="1133">
        <v>45.919496739495791</v>
      </c>
      <c r="AR18" s="1133">
        <v>130</v>
      </c>
      <c r="AS18" s="1196">
        <v>5.8079551317610028</v>
      </c>
      <c r="AT18" s="1199">
        <v>0</v>
      </c>
      <c r="AU18" s="1133">
        <v>46.022352941176479</v>
      </c>
      <c r="AV18" s="1133">
        <v>161.83440271990591</v>
      </c>
      <c r="AW18" s="1257">
        <v>-0.97248395920141117</v>
      </c>
      <c r="AX18" s="1228">
        <v>19.377043697478996</v>
      </c>
      <c r="AY18" s="1133">
        <v>1140</v>
      </c>
      <c r="AZ18" s="1257">
        <v>0.73628424657534253</v>
      </c>
      <c r="BA18" s="1196">
        <v>22.144183297781986</v>
      </c>
      <c r="BB18" s="1130">
        <v>1.5</v>
      </c>
      <c r="BC18" s="1133">
        <v>30</v>
      </c>
      <c r="BD18" s="1196">
        <v>3.1740031232876711</v>
      </c>
      <c r="BF18" s="1199">
        <f>Eingabedaten!AP21*'Resultate Standard'!S18</f>
        <v>35.4</v>
      </c>
      <c r="BG18" s="1244">
        <v>28.759491935886963</v>
      </c>
      <c r="BH18" s="1245"/>
      <c r="BI18" s="1246"/>
      <c r="BJ18" s="654">
        <v>70</v>
      </c>
      <c r="BK18" s="387">
        <v>0.18</v>
      </c>
      <c r="BL18" s="387">
        <v>0.125</v>
      </c>
      <c r="BM18" s="1227">
        <v>11</v>
      </c>
      <c r="BN18" s="1130">
        <v>7.6</v>
      </c>
      <c r="BO18" s="1130">
        <v>261</v>
      </c>
      <c r="BP18" s="1257">
        <v>0.69890410958904103</v>
      </c>
      <c r="BQ18" s="1130">
        <v>5</v>
      </c>
      <c r="BR18" s="1130">
        <v>14</v>
      </c>
      <c r="BS18" s="1229">
        <v>16</v>
      </c>
      <c r="BT18" s="1255">
        <v>4</v>
      </c>
      <c r="BU18" s="1130">
        <v>1770</v>
      </c>
      <c r="BV18" s="1133">
        <v>7.08</v>
      </c>
      <c r="BW18" s="1256">
        <v>0.25210084033613445</v>
      </c>
      <c r="BX18" s="1228">
        <v>1.8300653594771241</v>
      </c>
      <c r="BY18" s="1133">
        <v>55.1</v>
      </c>
      <c r="BZ18" s="1228">
        <v>0.80831408775981517</v>
      </c>
      <c r="CA18" s="1228">
        <v>14.032927145449831</v>
      </c>
      <c r="CB18" s="1228">
        <v>0</v>
      </c>
      <c r="CC18" s="1228">
        <v>14.032927145449831</v>
      </c>
      <c r="CD18" s="1133">
        <v>1180</v>
      </c>
      <c r="CE18" s="1133">
        <v>0</v>
      </c>
      <c r="CF18" s="1199">
        <v>16.558854031630801</v>
      </c>
      <c r="CG18" s="1228">
        <v>6</v>
      </c>
      <c r="CH18" s="1228">
        <v>3.3000000000000003</v>
      </c>
      <c r="CI18" s="1133">
        <v>1550</v>
      </c>
      <c r="CJ18" s="1199">
        <v>5.1150000000000002</v>
      </c>
      <c r="CK18" s="1255">
        <v>25.535294117647062</v>
      </c>
      <c r="CL18" s="1133">
        <v>32.032927145449833</v>
      </c>
      <c r="CM18" s="1133">
        <v>174.28902965911371</v>
      </c>
      <c r="CN18" s="1133" t="s">
        <v>527</v>
      </c>
      <c r="CO18" s="1133" t="s">
        <v>528</v>
      </c>
      <c r="CP18" s="1133" t="s">
        <v>528</v>
      </c>
      <c r="CQ18" s="1133">
        <v>34</v>
      </c>
      <c r="CR18" s="1133">
        <v>310</v>
      </c>
      <c r="CS18" s="1199">
        <v>10.626857142857142</v>
      </c>
      <c r="CT18" s="1133">
        <v>88.158823529411777</v>
      </c>
      <c r="CU18" s="1133">
        <v>84.483886034563284</v>
      </c>
      <c r="CV18" s="1133">
        <v>-2</v>
      </c>
      <c r="CW18" s="1133">
        <v>39.041764705882358</v>
      </c>
      <c r="CX18" s="1133">
        <v>940</v>
      </c>
      <c r="CY18" s="1199">
        <v>36.620444278145918</v>
      </c>
      <c r="CZ18" s="1130">
        <v>1.5</v>
      </c>
      <c r="DA18" s="1133">
        <v>30</v>
      </c>
      <c r="DB18" s="1199">
        <v>3.1740031232876711</v>
      </c>
      <c r="DD18" s="654">
        <f t="shared" si="0"/>
        <v>0</v>
      </c>
      <c r="DE18" s="387">
        <f t="shared" si="1"/>
        <v>0</v>
      </c>
      <c r="DF18" s="387">
        <f t="shared" si="2"/>
        <v>0</v>
      </c>
      <c r="DG18" s="1227">
        <f t="shared" si="3"/>
        <v>0</v>
      </c>
      <c r="DH18" s="1130">
        <f t="shared" si="4"/>
        <v>0</v>
      </c>
      <c r="DI18" s="1130">
        <f t="shared" si="5"/>
        <v>0</v>
      </c>
      <c r="DJ18" s="1257">
        <f t="shared" si="6"/>
        <v>0</v>
      </c>
      <c r="DK18" s="1130">
        <f t="shared" si="7"/>
        <v>0</v>
      </c>
      <c r="DL18" s="1130">
        <f t="shared" si="8"/>
        <v>2.8000000000000007</v>
      </c>
      <c r="DM18" s="1229">
        <f t="shared" si="9"/>
        <v>-5.8000000000000007</v>
      </c>
      <c r="DN18" s="1255">
        <f t="shared" si="10"/>
        <v>0</v>
      </c>
      <c r="DO18" s="1130">
        <f t="shared" si="11"/>
        <v>0</v>
      </c>
      <c r="DP18" s="1133">
        <f t="shared" si="12"/>
        <v>0</v>
      </c>
      <c r="DQ18" s="1256">
        <f t="shared" si="13"/>
        <v>1.5779645191409897</v>
      </c>
      <c r="DR18" s="1228">
        <f t="shared" si="14"/>
        <v>88.169934640522882</v>
      </c>
      <c r="DS18" s="1133">
        <f t="shared" si="15"/>
        <v>-54.291685912240183</v>
      </c>
      <c r="DT18" s="1228">
        <f t="shared" si="16"/>
        <v>-0.55621324742368072</v>
      </c>
      <c r="DU18" s="1228">
        <f t="shared" si="17"/>
        <v>-7.6969271454498305</v>
      </c>
      <c r="DV18" s="1228">
        <f t="shared" si="18"/>
        <v>7.1819621855551183</v>
      </c>
      <c r="DW18" s="1228">
        <f t="shared" si="19"/>
        <v>-5.4416573041799889</v>
      </c>
      <c r="DX18" s="1133">
        <f t="shared" si="20"/>
        <v>130</v>
      </c>
      <c r="DY18" s="1133" t="e">
        <f>#REF!-CE18</f>
        <v>#REF!</v>
      </c>
      <c r="DZ18" s="1199">
        <f t="shared" si="21"/>
        <v>-5.3042905395673081</v>
      </c>
      <c r="EA18" s="1228">
        <f t="shared" si="22"/>
        <v>-0.20000000000000018</v>
      </c>
      <c r="EB18" s="1228">
        <f t="shared" si="23"/>
        <v>-1.3280000000000003</v>
      </c>
      <c r="EC18" s="1133">
        <f t="shared" si="24"/>
        <v>970</v>
      </c>
      <c r="ED18" s="1199">
        <f t="shared" si="25"/>
        <v>-0.14556000000000058</v>
      </c>
      <c r="EE18" s="1255">
        <f t="shared" si="26"/>
        <v>2.7281989915966385</v>
      </c>
      <c r="EF18" s="1133">
        <f t="shared" si="27"/>
        <v>-2.64165730417999</v>
      </c>
      <c r="EG18" s="1133">
        <f t="shared" si="28"/>
        <v>-11.809029659113719</v>
      </c>
      <c r="EH18" s="1133" t="e">
        <f t="shared" si="29"/>
        <v>#VALUE!</v>
      </c>
      <c r="EI18" s="1133" t="e">
        <f t="shared" si="30"/>
        <v>#VALUE!</v>
      </c>
      <c r="EJ18" s="1133" t="e">
        <f t="shared" si="31"/>
        <v>#VALUE!</v>
      </c>
      <c r="EK18" s="1133">
        <f t="shared" si="32"/>
        <v>11.919496739495791</v>
      </c>
      <c r="EL18" s="1133">
        <f t="shared" si="33"/>
        <v>-180</v>
      </c>
      <c r="EM18" s="1199">
        <f t="shared" si="34"/>
        <v>-10.626857142857142</v>
      </c>
      <c r="EN18" s="1133">
        <f t="shared" si="35"/>
        <v>-42.136470588235298</v>
      </c>
      <c r="EO18" s="1133">
        <f t="shared" si="36"/>
        <v>77.350516685342626</v>
      </c>
      <c r="EP18" s="1133">
        <f t="shared" si="37"/>
        <v>1.0275160407985888</v>
      </c>
      <c r="EQ18" s="1133">
        <f t="shared" si="38"/>
        <v>-19.664721008403362</v>
      </c>
      <c r="ER18" s="1133">
        <f t="shared" si="39"/>
        <v>200</v>
      </c>
      <c r="ES18" s="1199">
        <f t="shared" si="40"/>
        <v>-14.476260980363932</v>
      </c>
      <c r="ET18" s="1130">
        <f t="shared" si="41"/>
        <v>0</v>
      </c>
      <c r="EU18" s="1133">
        <f t="shared" si="42"/>
        <v>0</v>
      </c>
      <c r="EV18" s="1199">
        <f t="shared" si="43"/>
        <v>0</v>
      </c>
    </row>
    <row r="19" spans="1:152">
      <c r="A19" s="1592">
        <f>Eingabedaten!A22</f>
        <v>5.01</v>
      </c>
      <c r="B19" s="655" t="str">
        <f>Eingabedaten!C22</f>
        <v>Lebensmittelverkauf</v>
      </c>
      <c r="C19" s="637">
        <v>400</v>
      </c>
      <c r="D19" s="379">
        <v>0.18</v>
      </c>
      <c r="E19" s="379">
        <v>0.12</v>
      </c>
      <c r="F19" s="1238">
        <v>16</v>
      </c>
      <c r="G19" s="1129">
        <v>8.8000000000000007</v>
      </c>
      <c r="H19" s="1129">
        <v>313</v>
      </c>
      <c r="I19" s="1129">
        <v>0.80000000000000016</v>
      </c>
      <c r="J19" s="1129">
        <v>2200</v>
      </c>
      <c r="K19" s="1129">
        <v>8</v>
      </c>
      <c r="L19" s="1239">
        <v>10.5</v>
      </c>
      <c r="M19" s="1239">
        <v>23.1</v>
      </c>
      <c r="N19" s="1254">
        <v>6.375</v>
      </c>
      <c r="O19" s="1240">
        <v>2</v>
      </c>
      <c r="P19" s="1131">
        <v>100</v>
      </c>
      <c r="Q19" s="1129">
        <v>4010</v>
      </c>
      <c r="R19" s="1131">
        <v>8.02</v>
      </c>
      <c r="S19" s="1249">
        <v>8.02</v>
      </c>
      <c r="T19" s="1198">
        <v>401</v>
      </c>
      <c r="U19" s="1242">
        <v>2.5316455696202533</v>
      </c>
      <c r="V19" s="1131">
        <v>90</v>
      </c>
      <c r="W19" s="1242">
        <v>0.89605734767025091</v>
      </c>
      <c r="X19" s="1242">
        <v>0</v>
      </c>
      <c r="Y19" s="1239">
        <v>6.3360000000000003</v>
      </c>
      <c r="Z19" s="1239">
        <v>11</v>
      </c>
      <c r="AA19" s="1239">
        <v>11.625</v>
      </c>
      <c r="AB19" s="1131">
        <v>4006</v>
      </c>
      <c r="AC19" s="1254">
        <v>46.569749999999999</v>
      </c>
      <c r="AD19" s="1242">
        <v>3.625</v>
      </c>
      <c r="AE19" s="1197">
        <v>4910</v>
      </c>
      <c r="AF19" s="1239">
        <v>1.9937500000000001</v>
      </c>
      <c r="AG19" s="1131">
        <v>3670</v>
      </c>
      <c r="AH19" s="1254">
        <v>7.3170625000000005</v>
      </c>
      <c r="AI19" s="1240">
        <v>3.2232000000000021</v>
      </c>
      <c r="AJ19" s="1131">
        <v>24.125</v>
      </c>
      <c r="AK19" s="1131">
        <v>308.79999999999995</v>
      </c>
      <c r="AL19" s="1131" t="s">
        <v>528</v>
      </c>
      <c r="AM19" s="1131" t="s">
        <v>528</v>
      </c>
      <c r="AN19" s="1131" t="s">
        <v>528</v>
      </c>
      <c r="AO19" s="1131">
        <v>19.143740000000001</v>
      </c>
      <c r="AP19" s="1239">
        <v>26.596120000000003</v>
      </c>
      <c r="AQ19" s="1131">
        <v>126.59612</v>
      </c>
      <c r="AR19" s="1131">
        <v>890</v>
      </c>
      <c r="AS19" s="1254">
        <v>23.643795487460274</v>
      </c>
      <c r="AT19" s="1198">
        <v>0</v>
      </c>
      <c r="AU19" s="1131">
        <v>121.60000000000002</v>
      </c>
      <c r="AV19" s="1131">
        <v>328.94736842105254</v>
      </c>
      <c r="AW19" s="1242">
        <v>0</v>
      </c>
      <c r="AX19" s="1239">
        <v>8.3600000000000012</v>
      </c>
      <c r="AY19" s="1131">
        <v>70</v>
      </c>
      <c r="AZ19" s="1242">
        <v>0.73432363013698643</v>
      </c>
      <c r="BA19" s="1254">
        <v>0.5825805913929244</v>
      </c>
      <c r="BB19" s="1129">
        <v>1.5</v>
      </c>
      <c r="BC19" s="1131">
        <v>30</v>
      </c>
      <c r="BD19" s="1254">
        <v>2.7231000000000005</v>
      </c>
      <c r="BF19" s="1197">
        <f>Eingabedaten!AP22*'Resultate Standard'!S19</f>
        <v>64.16</v>
      </c>
      <c r="BG19" s="1244">
        <v>1.4563589415631566</v>
      </c>
      <c r="BH19" s="1245"/>
      <c r="BI19" s="1246"/>
      <c r="BJ19" s="637">
        <v>400</v>
      </c>
      <c r="BK19" s="379">
        <v>0.18</v>
      </c>
      <c r="BL19" s="379">
        <v>0.12</v>
      </c>
      <c r="BM19" s="1238">
        <v>13</v>
      </c>
      <c r="BN19" s="1129">
        <v>6.6</v>
      </c>
      <c r="BO19" s="1129">
        <v>313</v>
      </c>
      <c r="BP19" s="1129">
        <v>0.80000000000000016</v>
      </c>
      <c r="BQ19" s="1129">
        <v>8</v>
      </c>
      <c r="BR19" s="1129">
        <v>8.8000000000000007</v>
      </c>
      <c r="BS19" s="1250">
        <v>10</v>
      </c>
      <c r="BT19" s="1240">
        <v>50</v>
      </c>
      <c r="BU19" s="1129">
        <v>3630</v>
      </c>
      <c r="BV19" s="1198">
        <v>181.5</v>
      </c>
      <c r="BW19" s="1242">
        <v>0.11764705882352942</v>
      </c>
      <c r="BX19" s="1239">
        <v>2.5316455696202533</v>
      </c>
      <c r="BY19" s="1131">
        <v>45.1</v>
      </c>
      <c r="BZ19" s="1239">
        <v>0.89605734767025091</v>
      </c>
      <c r="CA19" s="1239">
        <v>9.2793791574279378</v>
      </c>
      <c r="CB19" s="1239">
        <v>12</v>
      </c>
      <c r="CC19" s="1239">
        <v>21.27937915742794</v>
      </c>
      <c r="CD19" s="1131">
        <v>2670</v>
      </c>
      <c r="CE19" s="1131">
        <v>3260</v>
      </c>
      <c r="CF19" s="1198">
        <v>63.895942350332589</v>
      </c>
      <c r="CG19" s="1239">
        <v>3.75</v>
      </c>
      <c r="CH19" s="1239">
        <v>2.0625</v>
      </c>
      <c r="CI19" s="1131">
        <v>3760</v>
      </c>
      <c r="CJ19" s="1198">
        <v>7.7549999999999999</v>
      </c>
      <c r="CK19" s="1240">
        <v>12.960470588235296</v>
      </c>
      <c r="CL19" s="1131">
        <v>20.079379157427937</v>
      </c>
      <c r="CM19" s="1131">
        <v>143.21454428368259</v>
      </c>
      <c r="CN19" s="1131" t="s">
        <v>527</v>
      </c>
      <c r="CO19" s="1131" t="s">
        <v>528</v>
      </c>
      <c r="CP19" s="1131" t="s">
        <v>528</v>
      </c>
      <c r="CQ19" s="1131">
        <v>21</v>
      </c>
      <c r="CR19" s="1131">
        <v>840</v>
      </c>
      <c r="CS19" s="1198">
        <v>17.561299999999999</v>
      </c>
      <c r="CT19" s="1131">
        <v>304.69019607843143</v>
      </c>
      <c r="CU19" s="1131">
        <v>127.21118204283358</v>
      </c>
      <c r="CV19" s="1131">
        <v>-1</v>
      </c>
      <c r="CW19" s="1131">
        <v>22.090039215686279</v>
      </c>
      <c r="CX19" s="1131">
        <v>130</v>
      </c>
      <c r="CY19" s="1198">
        <v>2.9489096558496928</v>
      </c>
      <c r="CZ19" s="1129">
        <v>1.5</v>
      </c>
      <c r="DA19" s="1131">
        <v>30</v>
      </c>
      <c r="DB19" s="1198">
        <v>2.7231000000000005</v>
      </c>
      <c r="DD19" s="637">
        <f t="shared" si="0"/>
        <v>0</v>
      </c>
      <c r="DE19" s="379">
        <f t="shared" si="1"/>
        <v>0</v>
      </c>
      <c r="DF19" s="379">
        <f t="shared" si="2"/>
        <v>0</v>
      </c>
      <c r="DG19" s="1238">
        <f t="shared" si="3"/>
        <v>3</v>
      </c>
      <c r="DH19" s="1129">
        <f t="shared" si="4"/>
        <v>2.2000000000000011</v>
      </c>
      <c r="DI19" s="1129">
        <f t="shared" si="5"/>
        <v>0</v>
      </c>
      <c r="DJ19" s="1129">
        <f t="shared" si="6"/>
        <v>0</v>
      </c>
      <c r="DK19" s="1129">
        <f t="shared" si="7"/>
        <v>0</v>
      </c>
      <c r="DL19" s="1129">
        <f t="shared" si="8"/>
        <v>1.6999999999999993</v>
      </c>
      <c r="DM19" s="1250">
        <f t="shared" si="9"/>
        <v>-3.625</v>
      </c>
      <c r="DN19" s="1240">
        <f t="shared" si="10"/>
        <v>-48</v>
      </c>
      <c r="DO19" s="1129">
        <f t="shared" si="11"/>
        <v>380</v>
      </c>
      <c r="DP19" s="1198">
        <f t="shared" si="12"/>
        <v>-173.48</v>
      </c>
      <c r="DQ19" s="1242">
        <f t="shared" si="13"/>
        <v>2.4139985107967239</v>
      </c>
      <c r="DR19" s="1239">
        <f t="shared" si="14"/>
        <v>87.468354430379748</v>
      </c>
      <c r="DS19" s="1131">
        <f t="shared" si="15"/>
        <v>-44.203942652329751</v>
      </c>
      <c r="DT19" s="1239">
        <f t="shared" si="16"/>
        <v>-0.89605734767025091</v>
      </c>
      <c r="DU19" s="1239">
        <f t="shared" si="17"/>
        <v>-2.9433791574279375</v>
      </c>
      <c r="DV19" s="1239">
        <f t="shared" si="18"/>
        <v>-1</v>
      </c>
      <c r="DW19" s="1239">
        <f t="shared" si="19"/>
        <v>-9.6543791574279396</v>
      </c>
      <c r="DX19" s="1131">
        <f t="shared" si="20"/>
        <v>1336</v>
      </c>
      <c r="DY19" s="1131" t="e">
        <f>#REF!-CE19</f>
        <v>#REF!</v>
      </c>
      <c r="DZ19" s="1198">
        <f t="shared" si="21"/>
        <v>-17.32619235033259</v>
      </c>
      <c r="EA19" s="1239">
        <f t="shared" si="22"/>
        <v>-0.125</v>
      </c>
      <c r="EB19" s="1239">
        <f t="shared" si="23"/>
        <v>-6.8749999999999867E-2</v>
      </c>
      <c r="EC19" s="1131">
        <f t="shared" si="24"/>
        <v>-90</v>
      </c>
      <c r="ED19" s="1198">
        <f t="shared" si="25"/>
        <v>-0.43793749999999942</v>
      </c>
      <c r="EE19" s="1240">
        <f t="shared" si="26"/>
        <v>-9.7372705882352939</v>
      </c>
      <c r="EF19" s="1131">
        <f t="shared" si="27"/>
        <v>4.0456208425720632</v>
      </c>
      <c r="EG19" s="1131">
        <f t="shared" si="28"/>
        <v>165.58545571631737</v>
      </c>
      <c r="EH19" s="1131" t="e">
        <f t="shared" si="29"/>
        <v>#VALUE!</v>
      </c>
      <c r="EI19" s="1131" t="e">
        <f t="shared" si="30"/>
        <v>#VALUE!</v>
      </c>
      <c r="EJ19" s="1131" t="e">
        <f t="shared" si="31"/>
        <v>#VALUE!</v>
      </c>
      <c r="EK19" s="1131">
        <f t="shared" si="32"/>
        <v>105.59612</v>
      </c>
      <c r="EL19" s="1131">
        <f t="shared" si="33"/>
        <v>50</v>
      </c>
      <c r="EM19" s="1198">
        <f t="shared" si="34"/>
        <v>-17.561299999999999</v>
      </c>
      <c r="EN19" s="1131">
        <f t="shared" si="35"/>
        <v>-183.0901960784314</v>
      </c>
      <c r="EO19" s="1131">
        <f t="shared" si="36"/>
        <v>201.73618637821897</v>
      </c>
      <c r="EP19" s="1131">
        <f t="shared" si="37"/>
        <v>1</v>
      </c>
      <c r="EQ19" s="1131">
        <f t="shared" si="38"/>
        <v>-13.730039215686277</v>
      </c>
      <c r="ER19" s="1131">
        <f t="shared" si="39"/>
        <v>-60</v>
      </c>
      <c r="ES19" s="1198">
        <f t="shared" si="40"/>
        <v>-2.3663290644567683</v>
      </c>
      <c r="ET19" s="1129">
        <f t="shared" si="41"/>
        <v>0</v>
      </c>
      <c r="EU19" s="1131">
        <f t="shared" si="42"/>
        <v>0</v>
      </c>
      <c r="EV19" s="1198">
        <f t="shared" si="43"/>
        <v>0</v>
      </c>
    </row>
    <row r="20" spans="1:152">
      <c r="A20" s="633">
        <f>Eingabedaten!A23</f>
        <v>5.0199999999999996</v>
      </c>
      <c r="B20" s="463" t="str">
        <f>Eingabedaten!C23</f>
        <v>Fachgeschäft</v>
      </c>
      <c r="C20" s="637">
        <v>400</v>
      </c>
      <c r="D20" s="379">
        <v>0.18</v>
      </c>
      <c r="E20" s="379">
        <v>0.12</v>
      </c>
      <c r="F20" s="1238">
        <v>16</v>
      </c>
      <c r="G20" s="1129">
        <v>8.8000000000000007</v>
      </c>
      <c r="H20" s="1129">
        <v>313</v>
      </c>
      <c r="I20" s="1129">
        <v>0.80000000000000016</v>
      </c>
      <c r="J20" s="1129">
        <v>2200</v>
      </c>
      <c r="K20" s="1129">
        <v>8</v>
      </c>
      <c r="L20" s="1239">
        <v>10.5</v>
      </c>
      <c r="M20" s="1239">
        <v>23.1</v>
      </c>
      <c r="N20" s="1243">
        <v>6.375</v>
      </c>
      <c r="O20" s="1240">
        <v>2</v>
      </c>
      <c r="P20" s="1131">
        <v>0</v>
      </c>
      <c r="Q20" s="1129">
        <v>3630</v>
      </c>
      <c r="R20" s="1131">
        <v>7.26</v>
      </c>
      <c r="S20" s="1239">
        <v>7.26</v>
      </c>
      <c r="T20" s="1131">
        <v>0</v>
      </c>
      <c r="U20" s="1241">
        <v>2.5316455696202533</v>
      </c>
      <c r="V20" s="1131">
        <v>90</v>
      </c>
      <c r="W20" s="1242">
        <v>0.89605734767025091</v>
      </c>
      <c r="X20" s="1242">
        <v>0</v>
      </c>
      <c r="Y20" s="1239">
        <v>6.3360000000000003</v>
      </c>
      <c r="Z20" s="1239">
        <v>11</v>
      </c>
      <c r="AA20" s="1239">
        <v>11.625</v>
      </c>
      <c r="AB20" s="1131">
        <v>4006</v>
      </c>
      <c r="AC20" s="1243">
        <v>46.569749999999999</v>
      </c>
      <c r="AD20" s="1242">
        <v>3.625</v>
      </c>
      <c r="AE20" s="1197">
        <v>4910</v>
      </c>
      <c r="AF20" s="1239">
        <v>1.9937500000000001</v>
      </c>
      <c r="AG20" s="1131">
        <v>3670</v>
      </c>
      <c r="AH20" s="1243">
        <v>7.3170625000000005</v>
      </c>
      <c r="AI20" s="1240">
        <v>3.2232000000000021</v>
      </c>
      <c r="AJ20" s="1131">
        <v>24.125</v>
      </c>
      <c r="AK20" s="1131">
        <v>306.60000000000002</v>
      </c>
      <c r="AL20" s="1131" t="s">
        <v>528</v>
      </c>
      <c r="AM20" s="1131" t="s">
        <v>528</v>
      </c>
      <c r="AN20" s="1131" t="s">
        <v>528</v>
      </c>
      <c r="AO20" s="1131">
        <v>19.143740000000001</v>
      </c>
      <c r="AP20" s="1239">
        <v>26.596120000000003</v>
      </c>
      <c r="AQ20" s="1131">
        <v>26.596120000000003</v>
      </c>
      <c r="AR20" s="1131">
        <v>870</v>
      </c>
      <c r="AS20" s="1243">
        <v>23.071192747734237</v>
      </c>
      <c r="AT20" s="1197">
        <v>0</v>
      </c>
      <c r="AU20" s="1131">
        <v>121.60000000000002</v>
      </c>
      <c r="AV20" s="1131">
        <v>328.94736842105254</v>
      </c>
      <c r="AW20" s="1242">
        <v>0</v>
      </c>
      <c r="AX20" s="1239">
        <v>8.3600000000000012</v>
      </c>
      <c r="AY20" s="1131">
        <v>80</v>
      </c>
      <c r="AZ20" s="1242">
        <v>0.73432363013698643</v>
      </c>
      <c r="BA20" s="1243">
        <v>0.64363818642413462</v>
      </c>
      <c r="BB20" s="1129">
        <v>1.5</v>
      </c>
      <c r="BC20" s="1131">
        <v>30</v>
      </c>
      <c r="BD20" s="1243">
        <v>2.7231000000000005</v>
      </c>
      <c r="BF20" s="1197">
        <f>Eingabedaten!AP23*'Resultate Standard'!S20</f>
        <v>58.08</v>
      </c>
      <c r="BG20" s="1244">
        <v>1.5026603568231118</v>
      </c>
      <c r="BH20" s="1245"/>
      <c r="BI20" s="1246"/>
      <c r="BJ20" s="637">
        <v>400</v>
      </c>
      <c r="BK20" s="379">
        <v>0.18</v>
      </c>
      <c r="BL20" s="379">
        <v>0.12</v>
      </c>
      <c r="BM20" s="1238">
        <v>13</v>
      </c>
      <c r="BN20" s="1129">
        <v>6.6</v>
      </c>
      <c r="BO20" s="1129">
        <v>313</v>
      </c>
      <c r="BP20" s="1129">
        <v>0.80000000000000016</v>
      </c>
      <c r="BQ20" s="1129">
        <v>8</v>
      </c>
      <c r="BR20" s="1129">
        <v>8.8000000000000007</v>
      </c>
      <c r="BS20" s="1237">
        <v>10</v>
      </c>
      <c r="BT20" s="1240">
        <v>2</v>
      </c>
      <c r="BU20" s="1129">
        <v>3630</v>
      </c>
      <c r="BV20" s="1131">
        <v>7.26</v>
      </c>
      <c r="BW20" s="1241">
        <v>0.11764705882352942</v>
      </c>
      <c r="BX20" s="1239">
        <v>2.5316455696202533</v>
      </c>
      <c r="BY20" s="1131">
        <v>45.1</v>
      </c>
      <c r="BZ20" s="1239">
        <v>0.89605734767025091</v>
      </c>
      <c r="CA20" s="1239">
        <v>9.2793791574279378</v>
      </c>
      <c r="CB20" s="1239">
        <v>24</v>
      </c>
      <c r="CC20" s="1239">
        <v>33.27937915742794</v>
      </c>
      <c r="CD20" s="1131">
        <v>2670</v>
      </c>
      <c r="CE20" s="1131">
        <v>3260</v>
      </c>
      <c r="CF20" s="1197">
        <v>103.01594235033259</v>
      </c>
      <c r="CG20" s="1239">
        <v>3.75</v>
      </c>
      <c r="CH20" s="1239">
        <v>2.0625</v>
      </c>
      <c r="CI20" s="1131">
        <v>3760</v>
      </c>
      <c r="CJ20" s="1197">
        <v>7.7549999999999999</v>
      </c>
      <c r="CK20" s="1240">
        <v>12.960470588235296</v>
      </c>
      <c r="CL20" s="1131">
        <v>44.079379157427937</v>
      </c>
      <c r="CM20" s="1131">
        <v>468.41454428368252</v>
      </c>
      <c r="CN20" s="1131" t="s">
        <v>528</v>
      </c>
      <c r="CO20" s="1131" t="s">
        <v>528</v>
      </c>
      <c r="CP20" s="1131" t="s">
        <v>528</v>
      </c>
      <c r="CQ20" s="1131">
        <v>41</v>
      </c>
      <c r="CR20" s="1131">
        <v>2160</v>
      </c>
      <c r="CS20" s="1197">
        <v>88.573949999999996</v>
      </c>
      <c r="CT20" s="1131">
        <v>304.69019607843143</v>
      </c>
      <c r="CU20" s="1131">
        <v>127.21118204283358</v>
      </c>
      <c r="CV20" s="1131">
        <v>-1</v>
      </c>
      <c r="CW20" s="1131">
        <v>22.090039215686279</v>
      </c>
      <c r="CX20" s="1131">
        <v>350</v>
      </c>
      <c r="CY20" s="1197">
        <v>7.6608699042268507</v>
      </c>
      <c r="CZ20" s="1129">
        <v>1.5</v>
      </c>
      <c r="DA20" s="1131">
        <v>30</v>
      </c>
      <c r="DB20" s="1197">
        <v>2.7231000000000005</v>
      </c>
      <c r="DD20" s="637">
        <f t="shared" si="0"/>
        <v>0</v>
      </c>
      <c r="DE20" s="379">
        <f t="shared" si="1"/>
        <v>0</v>
      </c>
      <c r="DF20" s="379">
        <f t="shared" si="2"/>
        <v>0</v>
      </c>
      <c r="DG20" s="1238">
        <f t="shared" si="3"/>
        <v>3</v>
      </c>
      <c r="DH20" s="1129">
        <f t="shared" si="4"/>
        <v>2.2000000000000011</v>
      </c>
      <c r="DI20" s="1129">
        <f t="shared" si="5"/>
        <v>0</v>
      </c>
      <c r="DJ20" s="1129">
        <f t="shared" si="6"/>
        <v>0</v>
      </c>
      <c r="DK20" s="1129">
        <f t="shared" si="7"/>
        <v>0</v>
      </c>
      <c r="DL20" s="1129">
        <f t="shared" si="8"/>
        <v>1.6999999999999993</v>
      </c>
      <c r="DM20" s="1237">
        <f t="shared" si="9"/>
        <v>-3.625</v>
      </c>
      <c r="DN20" s="1240">
        <f t="shared" si="10"/>
        <v>0</v>
      </c>
      <c r="DO20" s="1129">
        <f t="shared" si="11"/>
        <v>0</v>
      </c>
      <c r="DP20" s="1131">
        <f t="shared" si="12"/>
        <v>0</v>
      </c>
      <c r="DQ20" s="1241">
        <f t="shared" si="13"/>
        <v>2.4139985107967239</v>
      </c>
      <c r="DR20" s="1239">
        <f t="shared" si="14"/>
        <v>87.468354430379748</v>
      </c>
      <c r="DS20" s="1131">
        <f t="shared" si="15"/>
        <v>-44.203942652329751</v>
      </c>
      <c r="DT20" s="1239">
        <f t="shared" si="16"/>
        <v>-0.89605734767025091</v>
      </c>
      <c r="DU20" s="1239">
        <f t="shared" si="17"/>
        <v>-2.9433791574279375</v>
      </c>
      <c r="DV20" s="1239">
        <f t="shared" si="18"/>
        <v>-13</v>
      </c>
      <c r="DW20" s="1239">
        <f t="shared" si="19"/>
        <v>-21.65437915742794</v>
      </c>
      <c r="DX20" s="1131">
        <f t="shared" si="20"/>
        <v>1336</v>
      </c>
      <c r="DY20" s="1131" t="e">
        <f>#REF!-CE20</f>
        <v>#REF!</v>
      </c>
      <c r="DZ20" s="1197">
        <f t="shared" si="21"/>
        <v>-56.446192350332595</v>
      </c>
      <c r="EA20" s="1239">
        <f t="shared" si="22"/>
        <v>-0.125</v>
      </c>
      <c r="EB20" s="1239">
        <f t="shared" si="23"/>
        <v>-6.8749999999999867E-2</v>
      </c>
      <c r="EC20" s="1131">
        <f t="shared" si="24"/>
        <v>-90</v>
      </c>
      <c r="ED20" s="1197">
        <f t="shared" si="25"/>
        <v>-0.43793749999999942</v>
      </c>
      <c r="EE20" s="1240">
        <f t="shared" si="26"/>
        <v>-9.7372705882352939</v>
      </c>
      <c r="EF20" s="1131">
        <f t="shared" si="27"/>
        <v>-19.954379157427937</v>
      </c>
      <c r="EG20" s="1131">
        <f t="shared" si="28"/>
        <v>-161.81454428368249</v>
      </c>
      <c r="EH20" s="1131" t="e">
        <f t="shared" si="29"/>
        <v>#VALUE!</v>
      </c>
      <c r="EI20" s="1131" t="e">
        <f t="shared" si="30"/>
        <v>#VALUE!</v>
      </c>
      <c r="EJ20" s="1131" t="e">
        <f t="shared" si="31"/>
        <v>#VALUE!</v>
      </c>
      <c r="EK20" s="1131">
        <f t="shared" si="32"/>
        <v>-14.403879999999997</v>
      </c>
      <c r="EL20" s="1131">
        <f t="shared" si="33"/>
        <v>-1290</v>
      </c>
      <c r="EM20" s="1197">
        <f t="shared" si="34"/>
        <v>-88.573949999999996</v>
      </c>
      <c r="EN20" s="1131">
        <f t="shared" si="35"/>
        <v>-183.0901960784314</v>
      </c>
      <c r="EO20" s="1131">
        <f t="shared" si="36"/>
        <v>201.73618637821897</v>
      </c>
      <c r="EP20" s="1131">
        <f t="shared" si="37"/>
        <v>1</v>
      </c>
      <c r="EQ20" s="1131">
        <f t="shared" si="38"/>
        <v>-13.730039215686277</v>
      </c>
      <c r="ER20" s="1131">
        <f t="shared" si="39"/>
        <v>-270</v>
      </c>
      <c r="ES20" s="1197">
        <f t="shared" si="40"/>
        <v>-7.0172317178027157</v>
      </c>
      <c r="ET20" s="1129">
        <f t="shared" si="41"/>
        <v>0</v>
      </c>
      <c r="EU20" s="1131">
        <f t="shared" si="42"/>
        <v>0</v>
      </c>
      <c r="EV20" s="1197">
        <f t="shared" si="43"/>
        <v>0</v>
      </c>
    </row>
    <row r="21" spans="1:152">
      <c r="A21" s="634">
        <f>Eingabedaten!A24</f>
        <v>5.03</v>
      </c>
      <c r="B21" s="463" t="str">
        <f>Eingabedaten!C24</f>
        <v>Verkauf Möbel, Bau, Garten</v>
      </c>
      <c r="C21" s="637">
        <v>400</v>
      </c>
      <c r="D21" s="379">
        <v>0.18</v>
      </c>
      <c r="E21" s="379">
        <v>0.12</v>
      </c>
      <c r="F21" s="1238">
        <v>16</v>
      </c>
      <c r="G21" s="1129">
        <v>8.8000000000000007</v>
      </c>
      <c r="H21" s="1129">
        <v>313</v>
      </c>
      <c r="I21" s="1129">
        <v>0.80000000000000016</v>
      </c>
      <c r="J21" s="1129">
        <v>2200</v>
      </c>
      <c r="K21" s="1129">
        <v>15</v>
      </c>
      <c r="L21" s="1239">
        <v>5.6</v>
      </c>
      <c r="M21" s="1239">
        <v>12.32</v>
      </c>
      <c r="N21" s="1243">
        <v>3.4</v>
      </c>
      <c r="O21" s="1240">
        <v>2</v>
      </c>
      <c r="P21" s="1131">
        <v>0</v>
      </c>
      <c r="Q21" s="1129">
        <v>3410</v>
      </c>
      <c r="R21" s="1131">
        <v>6.82</v>
      </c>
      <c r="S21" s="1239">
        <v>6.82</v>
      </c>
      <c r="T21" s="1131">
        <v>0</v>
      </c>
      <c r="U21" s="1241">
        <v>2.5316455696202533</v>
      </c>
      <c r="V21" s="1131">
        <v>90</v>
      </c>
      <c r="W21" s="1242">
        <v>0.89605734767025091</v>
      </c>
      <c r="X21" s="1242">
        <v>0</v>
      </c>
      <c r="Y21" s="1239">
        <v>6.3360000000000003</v>
      </c>
      <c r="Z21" s="1239">
        <v>11</v>
      </c>
      <c r="AA21" s="1239">
        <v>9.3000000000000007</v>
      </c>
      <c r="AB21" s="1131">
        <v>4006</v>
      </c>
      <c r="AC21" s="1243">
        <v>37.255800000000001</v>
      </c>
      <c r="AD21" s="1242">
        <v>1.9333333333333333</v>
      </c>
      <c r="AE21" s="1197">
        <v>6260</v>
      </c>
      <c r="AF21" s="1239">
        <v>1.0633333333333335</v>
      </c>
      <c r="AG21" s="1131">
        <v>6260</v>
      </c>
      <c r="AH21" s="1243">
        <v>6.6564666666666668</v>
      </c>
      <c r="AI21" s="1240">
        <v>2.3462400000000008</v>
      </c>
      <c r="AJ21" s="1131">
        <v>16.899999999999999</v>
      </c>
      <c r="AK21" s="1131">
        <v>224.48000000000002</v>
      </c>
      <c r="AL21" s="1131" t="s">
        <v>528</v>
      </c>
      <c r="AM21" s="1131" t="s">
        <v>528</v>
      </c>
      <c r="AN21" s="1131" t="s">
        <v>528</v>
      </c>
      <c r="AO21" s="1131">
        <v>13.472367999999999</v>
      </c>
      <c r="AP21" s="1239">
        <v>18.698784</v>
      </c>
      <c r="AQ21" s="1131">
        <v>18.698784</v>
      </c>
      <c r="AR21" s="1131">
        <v>740</v>
      </c>
      <c r="AS21" s="1243">
        <v>13.799540998208217</v>
      </c>
      <c r="AT21" s="1197">
        <v>0</v>
      </c>
      <c r="AU21" s="1131">
        <v>121.60000000000002</v>
      </c>
      <c r="AV21" s="1131">
        <v>328.94736842105254</v>
      </c>
      <c r="AW21" s="1242">
        <v>0</v>
      </c>
      <c r="AX21" s="1239">
        <v>8.3600000000000012</v>
      </c>
      <c r="AY21" s="1131">
        <v>210</v>
      </c>
      <c r="AZ21" s="1242">
        <v>0.53231735159817362</v>
      </c>
      <c r="BA21" s="1243">
        <v>1.7244472232910455</v>
      </c>
      <c r="BB21" s="1129">
        <v>1.5</v>
      </c>
      <c r="BC21" s="1131">
        <v>30</v>
      </c>
      <c r="BD21" s="1243">
        <v>1.4523200000000003</v>
      </c>
      <c r="BF21" s="1197">
        <f>Eingabedaten!AP24*'Resultate Standard'!S21</f>
        <v>102.30000000000001</v>
      </c>
      <c r="BG21" s="1244">
        <v>1.61212365504005</v>
      </c>
      <c r="BH21" s="1245"/>
      <c r="BI21" s="1246"/>
      <c r="BJ21" s="637">
        <v>400</v>
      </c>
      <c r="BK21" s="379">
        <v>0.18</v>
      </c>
      <c r="BL21" s="379">
        <v>0.12</v>
      </c>
      <c r="BM21" s="1238">
        <v>12</v>
      </c>
      <c r="BN21" s="1129">
        <v>6.1999999999999993</v>
      </c>
      <c r="BO21" s="1129">
        <v>313</v>
      </c>
      <c r="BP21" s="1129">
        <v>0.80000000000000016</v>
      </c>
      <c r="BQ21" s="1129">
        <v>15</v>
      </c>
      <c r="BR21" s="1129">
        <v>4.7</v>
      </c>
      <c r="BS21" s="1237">
        <v>5.5</v>
      </c>
      <c r="BT21" s="1240">
        <v>2</v>
      </c>
      <c r="BU21" s="1129">
        <v>3410</v>
      </c>
      <c r="BV21" s="1131">
        <v>6.82</v>
      </c>
      <c r="BW21" s="1241">
        <v>0.11764705882352942</v>
      </c>
      <c r="BX21" s="1239">
        <v>2.5316455696202533</v>
      </c>
      <c r="BY21" s="1131">
        <v>45.1</v>
      </c>
      <c r="BZ21" s="1239">
        <v>0.89605734767025091</v>
      </c>
      <c r="CA21" s="1239">
        <v>9.2793791574279378</v>
      </c>
      <c r="CB21" s="1239">
        <v>12</v>
      </c>
      <c r="CC21" s="1239">
        <v>21.27937915742794</v>
      </c>
      <c r="CD21" s="1131">
        <v>2420</v>
      </c>
      <c r="CE21" s="1131">
        <v>3000</v>
      </c>
      <c r="CF21" s="1197">
        <v>58.456097560975607</v>
      </c>
      <c r="CG21" s="1239">
        <v>2</v>
      </c>
      <c r="CH21" s="1239">
        <v>1.1000000000000001</v>
      </c>
      <c r="CI21" s="1131">
        <v>3510</v>
      </c>
      <c r="CJ21" s="1197">
        <v>3.8610000000000007</v>
      </c>
      <c r="CK21" s="1240">
        <v>11.952470588235297</v>
      </c>
      <c r="CL21" s="1131">
        <v>27.979379157427939</v>
      </c>
      <c r="CM21" s="1131">
        <v>269.67454428368251</v>
      </c>
      <c r="CN21" s="1131" t="s">
        <v>528</v>
      </c>
      <c r="CO21" s="1131" t="s">
        <v>528</v>
      </c>
      <c r="CP21" s="1131" t="s">
        <v>528</v>
      </c>
      <c r="CQ21" s="1131">
        <v>27</v>
      </c>
      <c r="CR21" s="1131">
        <v>1480</v>
      </c>
      <c r="CS21" s="1197">
        <v>39.898625000000003</v>
      </c>
      <c r="CT21" s="1131">
        <v>237.49019607843138</v>
      </c>
      <c r="CU21" s="1131">
        <v>163.20673712021136</v>
      </c>
      <c r="CV21" s="1131">
        <v>-1</v>
      </c>
      <c r="CW21" s="1131">
        <v>17.218039215686275</v>
      </c>
      <c r="CX21" s="1131">
        <v>450</v>
      </c>
      <c r="CY21" s="1197">
        <v>7.8264511495564228</v>
      </c>
      <c r="CZ21" s="1129">
        <v>1.5</v>
      </c>
      <c r="DA21" s="1131">
        <v>30</v>
      </c>
      <c r="DB21" s="1197">
        <v>1.4523200000000003</v>
      </c>
      <c r="DD21" s="637">
        <f t="shared" si="0"/>
        <v>0</v>
      </c>
      <c r="DE21" s="379">
        <f t="shared" si="1"/>
        <v>0</v>
      </c>
      <c r="DF21" s="379">
        <f t="shared" si="2"/>
        <v>0</v>
      </c>
      <c r="DG21" s="1238">
        <f t="shared" si="3"/>
        <v>4</v>
      </c>
      <c r="DH21" s="1129">
        <f t="shared" si="4"/>
        <v>2.6000000000000014</v>
      </c>
      <c r="DI21" s="1129">
        <f t="shared" si="5"/>
        <v>0</v>
      </c>
      <c r="DJ21" s="1129">
        <f t="shared" si="6"/>
        <v>0</v>
      </c>
      <c r="DK21" s="1129">
        <f t="shared" si="7"/>
        <v>0</v>
      </c>
      <c r="DL21" s="1129">
        <f t="shared" si="8"/>
        <v>0.89999999999999947</v>
      </c>
      <c r="DM21" s="1237">
        <f t="shared" si="9"/>
        <v>-2.1</v>
      </c>
      <c r="DN21" s="1240">
        <f t="shared" si="10"/>
        <v>0</v>
      </c>
      <c r="DO21" s="1129">
        <f t="shared" si="11"/>
        <v>0</v>
      </c>
      <c r="DP21" s="1131">
        <f t="shared" si="12"/>
        <v>0</v>
      </c>
      <c r="DQ21" s="1241">
        <f t="shared" si="13"/>
        <v>2.4139985107967239</v>
      </c>
      <c r="DR21" s="1239">
        <f t="shared" si="14"/>
        <v>87.468354430379748</v>
      </c>
      <c r="DS21" s="1131">
        <f t="shared" si="15"/>
        <v>-44.203942652329751</v>
      </c>
      <c r="DT21" s="1239">
        <f t="shared" si="16"/>
        <v>-0.89605734767025091</v>
      </c>
      <c r="DU21" s="1239">
        <f t="shared" si="17"/>
        <v>-2.9433791574279375</v>
      </c>
      <c r="DV21" s="1239">
        <f t="shared" si="18"/>
        <v>-1</v>
      </c>
      <c r="DW21" s="1239">
        <f t="shared" si="19"/>
        <v>-11.979379157427939</v>
      </c>
      <c r="DX21" s="1131">
        <f t="shared" si="20"/>
        <v>1586</v>
      </c>
      <c r="DY21" s="1131" t="e">
        <f>#REF!-CE21</f>
        <v>#REF!</v>
      </c>
      <c r="DZ21" s="1197">
        <f t="shared" si="21"/>
        <v>-21.200297560975606</v>
      </c>
      <c r="EA21" s="1239">
        <f t="shared" si="22"/>
        <v>-6.6666666666666652E-2</v>
      </c>
      <c r="EB21" s="1239">
        <f t="shared" si="23"/>
        <v>-3.6666666666666625E-2</v>
      </c>
      <c r="EC21" s="1131">
        <f t="shared" si="24"/>
        <v>2750</v>
      </c>
      <c r="ED21" s="1197">
        <f t="shared" si="25"/>
        <v>2.7954666666666661</v>
      </c>
      <c r="EE21" s="1240">
        <f t="shared" si="26"/>
        <v>-9.6062305882352952</v>
      </c>
      <c r="EF21" s="1131">
        <f t="shared" si="27"/>
        <v>-11.07937915742794</v>
      </c>
      <c r="EG21" s="1131">
        <f t="shared" si="28"/>
        <v>-45.19454428368249</v>
      </c>
      <c r="EH21" s="1131" t="e">
        <f t="shared" si="29"/>
        <v>#VALUE!</v>
      </c>
      <c r="EI21" s="1131" t="e">
        <f t="shared" si="30"/>
        <v>#VALUE!</v>
      </c>
      <c r="EJ21" s="1131" t="e">
        <f t="shared" si="31"/>
        <v>#VALUE!</v>
      </c>
      <c r="EK21" s="1131">
        <f t="shared" si="32"/>
        <v>-8.3012160000000002</v>
      </c>
      <c r="EL21" s="1131">
        <f t="shared" si="33"/>
        <v>-740</v>
      </c>
      <c r="EM21" s="1197">
        <f t="shared" si="34"/>
        <v>-39.898625000000003</v>
      </c>
      <c r="EN21" s="1131">
        <f t="shared" si="35"/>
        <v>-115.89019607843136</v>
      </c>
      <c r="EO21" s="1131">
        <f t="shared" si="36"/>
        <v>165.74063130084119</v>
      </c>
      <c r="EP21" s="1131">
        <f t="shared" si="37"/>
        <v>1</v>
      </c>
      <c r="EQ21" s="1131">
        <f t="shared" si="38"/>
        <v>-8.8580392156862739</v>
      </c>
      <c r="ER21" s="1131">
        <f t="shared" si="39"/>
        <v>-240</v>
      </c>
      <c r="ES21" s="1197">
        <f t="shared" si="40"/>
        <v>-6.1020039262653771</v>
      </c>
      <c r="ET21" s="1129">
        <f t="shared" si="41"/>
        <v>0</v>
      </c>
      <c r="EU21" s="1131">
        <f t="shared" si="42"/>
        <v>0</v>
      </c>
      <c r="EV21" s="1197">
        <f t="shared" si="43"/>
        <v>0</v>
      </c>
    </row>
    <row r="22" spans="1:152">
      <c r="A22" s="1472">
        <f>Eingabedaten!A25</f>
        <v>6.01</v>
      </c>
      <c r="B22" s="388" t="str">
        <f>Eingabedaten!C25</f>
        <v>Restaurant</v>
      </c>
      <c r="C22" s="653">
        <v>144</v>
      </c>
      <c r="D22" s="386">
        <v>0.18</v>
      </c>
      <c r="E22" s="386">
        <v>0.125</v>
      </c>
      <c r="F22" s="1247">
        <v>12</v>
      </c>
      <c r="G22" s="1248">
        <v>5.2000000000000011</v>
      </c>
      <c r="H22" s="1248">
        <v>313</v>
      </c>
      <c r="I22" s="1248">
        <v>0.80000000000000016</v>
      </c>
      <c r="J22" s="1248">
        <v>1300</v>
      </c>
      <c r="K22" s="1248">
        <v>2</v>
      </c>
      <c r="L22" s="1249">
        <v>42</v>
      </c>
      <c r="M22" s="1249">
        <v>54.6</v>
      </c>
      <c r="N22" s="1254">
        <v>25.5</v>
      </c>
      <c r="O22" s="1251">
        <v>2</v>
      </c>
      <c r="P22" s="1132">
        <v>0</v>
      </c>
      <c r="Q22" s="1248">
        <v>2250</v>
      </c>
      <c r="R22" s="1132">
        <v>4.5</v>
      </c>
      <c r="S22" s="1249">
        <v>4.5</v>
      </c>
      <c r="T22" s="1132">
        <v>0</v>
      </c>
      <c r="U22" s="1252">
        <v>2.6666666666666665</v>
      </c>
      <c r="V22" s="1132">
        <v>90</v>
      </c>
      <c r="W22" s="1253">
        <v>0.90909090909090917</v>
      </c>
      <c r="X22" s="1253">
        <v>0.14705882352941177</v>
      </c>
      <c r="Y22" s="1249">
        <v>6.3360000000000003</v>
      </c>
      <c r="Z22" s="1249">
        <v>8.2314579927708156</v>
      </c>
      <c r="AA22" s="1249">
        <v>4.5833333333333321</v>
      </c>
      <c r="AB22" s="1132">
        <v>2627</v>
      </c>
      <c r="AC22" s="1254">
        <v>12.040416666666664</v>
      </c>
      <c r="AD22" s="1253">
        <v>14.5</v>
      </c>
      <c r="AE22" s="1198">
        <v>2360</v>
      </c>
      <c r="AF22" s="1249">
        <v>7.9750000000000005</v>
      </c>
      <c r="AG22" s="1132">
        <v>1650</v>
      </c>
      <c r="AH22" s="1254">
        <v>13.15875</v>
      </c>
      <c r="AI22" s="1251">
        <v>19.67699764705883</v>
      </c>
      <c r="AJ22" s="1132">
        <v>48.583333333333329</v>
      </c>
      <c r="AK22" s="1132">
        <v>249.35</v>
      </c>
      <c r="AL22" s="1132" t="s">
        <v>528</v>
      </c>
      <c r="AM22" s="1132" t="s">
        <v>528</v>
      </c>
      <c r="AN22" s="1132" t="s">
        <v>528</v>
      </c>
      <c r="AO22" s="1132">
        <v>47.782231686274507</v>
      </c>
      <c r="AP22" s="1249">
        <v>55.066703529411768</v>
      </c>
      <c r="AQ22" s="1132">
        <v>55.066703529411768</v>
      </c>
      <c r="AR22" s="1132">
        <v>190</v>
      </c>
      <c r="AS22" s="1254">
        <v>10.57499040333151</v>
      </c>
      <c r="AT22" s="1198">
        <v>0</v>
      </c>
      <c r="AU22" s="1132">
        <v>71.282823529411772</v>
      </c>
      <c r="AV22" s="1132">
        <v>204.03232195199237</v>
      </c>
      <c r="AW22" s="1253">
        <v>-0.3395151707201145</v>
      </c>
      <c r="AX22" s="1249">
        <v>14.276125490196081</v>
      </c>
      <c r="AY22" s="1132">
        <v>1230</v>
      </c>
      <c r="AZ22" s="1253">
        <v>1.3097945205479453</v>
      </c>
      <c r="BA22" s="1254">
        <v>17.607994832464932</v>
      </c>
      <c r="BB22" s="1248">
        <v>15</v>
      </c>
      <c r="BC22" s="1132">
        <v>45</v>
      </c>
      <c r="BD22" s="1254">
        <v>108.92400000000002</v>
      </c>
      <c r="BF22" s="1198">
        <f>Eingabedaten!AP25*'Resultate Standard'!S22</f>
        <v>9</v>
      </c>
      <c r="BG22" s="1244">
        <v>21.51396401295553</v>
      </c>
      <c r="BH22" s="1245"/>
      <c r="BI22" s="1246"/>
      <c r="BJ22" s="653">
        <v>144</v>
      </c>
      <c r="BK22" s="386">
        <v>0.18</v>
      </c>
      <c r="BL22" s="386">
        <v>0.125</v>
      </c>
      <c r="BM22" s="1247">
        <v>12</v>
      </c>
      <c r="BN22" s="1248">
        <v>5.2000000000000011</v>
      </c>
      <c r="BO22" s="1248">
        <v>313</v>
      </c>
      <c r="BP22" s="1248">
        <v>0.80000000000000016</v>
      </c>
      <c r="BQ22" s="1248">
        <v>2</v>
      </c>
      <c r="BR22" s="1248">
        <v>35</v>
      </c>
      <c r="BS22" s="1250">
        <v>40</v>
      </c>
      <c r="BT22" s="1251">
        <v>2</v>
      </c>
      <c r="BU22" s="1248">
        <v>2250</v>
      </c>
      <c r="BV22" s="1132">
        <v>4.5</v>
      </c>
      <c r="BW22" s="1252">
        <v>0.14705882352941177</v>
      </c>
      <c r="BX22" s="1249">
        <v>2.6666666666666665</v>
      </c>
      <c r="BY22" s="1132">
        <v>40.099999999999994</v>
      </c>
      <c r="BZ22" s="1249">
        <v>0.90909090909090917</v>
      </c>
      <c r="CA22" s="1249">
        <v>6.8578553615960098</v>
      </c>
      <c r="CB22" s="1249">
        <v>0</v>
      </c>
      <c r="CC22" s="1249">
        <v>6.8578553615960098</v>
      </c>
      <c r="CD22" s="1132">
        <v>2430</v>
      </c>
      <c r="CE22" s="1132">
        <v>0</v>
      </c>
      <c r="CF22" s="1198">
        <v>16.664588528678305</v>
      </c>
      <c r="CG22" s="1249">
        <v>18</v>
      </c>
      <c r="CH22" s="1249">
        <v>9.9</v>
      </c>
      <c r="CI22" s="1132">
        <v>1550</v>
      </c>
      <c r="CJ22" s="1198">
        <v>15.345000000000001</v>
      </c>
      <c r="CK22" s="1251">
        <v>23.796588235294124</v>
      </c>
      <c r="CL22" s="1132">
        <v>43.857855361596009</v>
      </c>
      <c r="CM22" s="1132">
        <v>239.95634932444844</v>
      </c>
      <c r="CN22" s="1132" t="s">
        <v>528</v>
      </c>
      <c r="CO22" s="1132" t="s">
        <v>528</v>
      </c>
      <c r="CP22" s="1132" t="s">
        <v>528</v>
      </c>
      <c r="CQ22" s="1132">
        <v>36</v>
      </c>
      <c r="CR22" s="1132">
        <v>320</v>
      </c>
      <c r="CS22" s="1198">
        <v>11.386736111111111</v>
      </c>
      <c r="CT22" s="1132">
        <v>319.41458823529416</v>
      </c>
      <c r="CU22" s="1132">
        <v>45.533299153156648</v>
      </c>
      <c r="CV22" s="1132">
        <v>-3</v>
      </c>
      <c r="CW22" s="1132">
        <v>70.981019607843152</v>
      </c>
      <c r="CX22" s="1132">
        <v>610</v>
      </c>
      <c r="CY22" s="1198">
        <v>43.135352481550832</v>
      </c>
      <c r="CZ22" s="1248">
        <v>15</v>
      </c>
      <c r="DA22" s="1132">
        <v>45</v>
      </c>
      <c r="DB22" s="1198">
        <v>108.92400000000002</v>
      </c>
      <c r="DD22" s="653">
        <f t="shared" si="0"/>
        <v>0</v>
      </c>
      <c r="DE22" s="386">
        <f t="shared" si="1"/>
        <v>0</v>
      </c>
      <c r="DF22" s="386">
        <f t="shared" si="2"/>
        <v>0</v>
      </c>
      <c r="DG22" s="1247">
        <f t="shared" si="3"/>
        <v>0</v>
      </c>
      <c r="DH22" s="1248">
        <f t="shared" si="4"/>
        <v>0</v>
      </c>
      <c r="DI22" s="1248">
        <f t="shared" si="5"/>
        <v>0</v>
      </c>
      <c r="DJ22" s="1248">
        <f t="shared" si="6"/>
        <v>0</v>
      </c>
      <c r="DK22" s="1248">
        <f t="shared" si="7"/>
        <v>0</v>
      </c>
      <c r="DL22" s="1248">
        <f t="shared" si="8"/>
        <v>7</v>
      </c>
      <c r="DM22" s="1250">
        <f t="shared" si="9"/>
        <v>-14.5</v>
      </c>
      <c r="DN22" s="1251">
        <f t="shared" si="10"/>
        <v>0</v>
      </c>
      <c r="DO22" s="1248">
        <f t="shared" si="11"/>
        <v>0</v>
      </c>
      <c r="DP22" s="1132">
        <f t="shared" si="12"/>
        <v>0</v>
      </c>
      <c r="DQ22" s="1252">
        <f t="shared" si="13"/>
        <v>2.5196078431372548</v>
      </c>
      <c r="DR22" s="1249">
        <f t="shared" si="14"/>
        <v>87.333333333333329</v>
      </c>
      <c r="DS22" s="1132">
        <f t="shared" si="15"/>
        <v>-39.190909090909088</v>
      </c>
      <c r="DT22" s="1249">
        <f t="shared" si="16"/>
        <v>-0.76203208556149737</v>
      </c>
      <c r="DU22" s="1249">
        <f t="shared" si="17"/>
        <v>-0.52185536159600954</v>
      </c>
      <c r="DV22" s="1249">
        <f t="shared" si="18"/>
        <v>8.2314579927708156</v>
      </c>
      <c r="DW22" s="1249">
        <f t="shared" si="19"/>
        <v>-2.2745220282626777</v>
      </c>
      <c r="DX22" s="1132">
        <f t="shared" si="20"/>
        <v>197</v>
      </c>
      <c r="DY22" s="1132" t="e">
        <f>#REF!-CE22</f>
        <v>#REF!</v>
      </c>
      <c r="DZ22" s="1198">
        <f t="shared" si="21"/>
        <v>-4.6241718620116412</v>
      </c>
      <c r="EA22" s="1249">
        <f t="shared" si="22"/>
        <v>-3.5</v>
      </c>
      <c r="EB22" s="1249">
        <f t="shared" si="23"/>
        <v>-1.9249999999999998</v>
      </c>
      <c r="EC22" s="1132">
        <f t="shared" si="24"/>
        <v>100</v>
      </c>
      <c r="ED22" s="1198">
        <f t="shared" si="25"/>
        <v>-2.1862500000000011</v>
      </c>
      <c r="EE22" s="1251">
        <f t="shared" si="26"/>
        <v>-4.1195905882352939</v>
      </c>
      <c r="EF22" s="1132">
        <f t="shared" si="27"/>
        <v>4.7254779717373196</v>
      </c>
      <c r="EG22" s="1132">
        <f t="shared" si="28"/>
        <v>9.3936506755515552</v>
      </c>
      <c r="EH22" s="1132" t="e">
        <f t="shared" si="29"/>
        <v>#VALUE!</v>
      </c>
      <c r="EI22" s="1132" t="e">
        <f t="shared" si="30"/>
        <v>#VALUE!</v>
      </c>
      <c r="EJ22" s="1132" t="e">
        <f t="shared" si="31"/>
        <v>#VALUE!</v>
      </c>
      <c r="EK22" s="1132">
        <f t="shared" si="32"/>
        <v>19.066703529411768</v>
      </c>
      <c r="EL22" s="1132">
        <f t="shared" si="33"/>
        <v>-130</v>
      </c>
      <c r="EM22" s="1198">
        <f t="shared" si="34"/>
        <v>-11.386736111111111</v>
      </c>
      <c r="EN22" s="1132">
        <f t="shared" si="35"/>
        <v>-248.1317647058824</v>
      </c>
      <c r="EO22" s="1132">
        <f t="shared" si="36"/>
        <v>158.49902279883571</v>
      </c>
      <c r="EP22" s="1132">
        <f t="shared" si="37"/>
        <v>2.6604848292798855</v>
      </c>
      <c r="EQ22" s="1132">
        <f t="shared" si="38"/>
        <v>-56.704894117647072</v>
      </c>
      <c r="ER22" s="1132">
        <f t="shared" si="39"/>
        <v>620</v>
      </c>
      <c r="ES22" s="1198">
        <f t="shared" si="40"/>
        <v>-25.5273576490859</v>
      </c>
      <c r="ET22" s="1248">
        <f t="shared" si="41"/>
        <v>0</v>
      </c>
      <c r="EU22" s="1132">
        <f t="shared" si="42"/>
        <v>0</v>
      </c>
      <c r="EV22" s="1198">
        <f t="shared" si="43"/>
        <v>0</v>
      </c>
    </row>
    <row r="23" spans="1:152">
      <c r="A23" s="634">
        <f>Eingabedaten!A26</f>
        <v>6.02</v>
      </c>
      <c r="B23" s="463" t="str">
        <f>Eingabedaten!C26</f>
        <v>Selbstbedienungsrestaurant</v>
      </c>
      <c r="C23" s="637">
        <v>400</v>
      </c>
      <c r="D23" s="379">
        <v>0.18</v>
      </c>
      <c r="E23" s="379">
        <v>0.125</v>
      </c>
      <c r="F23" s="1238">
        <v>7</v>
      </c>
      <c r="G23" s="1129">
        <v>3</v>
      </c>
      <c r="H23" s="1129">
        <v>313</v>
      </c>
      <c r="I23" s="1129">
        <v>0.80000000000000016</v>
      </c>
      <c r="J23" s="1129">
        <v>750</v>
      </c>
      <c r="K23" s="1129">
        <v>2</v>
      </c>
      <c r="L23" s="1239">
        <v>42</v>
      </c>
      <c r="M23" s="1239">
        <v>31.5</v>
      </c>
      <c r="N23" s="1243">
        <v>25.5</v>
      </c>
      <c r="O23" s="1240">
        <v>2</v>
      </c>
      <c r="P23" s="1131">
        <v>0</v>
      </c>
      <c r="Q23" s="1129">
        <v>1750</v>
      </c>
      <c r="R23" s="1131">
        <v>3.5</v>
      </c>
      <c r="S23" s="1239">
        <v>3.5</v>
      </c>
      <c r="T23" s="1131">
        <v>0</v>
      </c>
      <c r="U23" s="1241">
        <v>4.4444444444444446</v>
      </c>
      <c r="V23" s="1131">
        <v>90</v>
      </c>
      <c r="W23" s="1242">
        <v>1.0204081632653061</v>
      </c>
      <c r="X23" s="1242">
        <v>8.8235294117647065E-2</v>
      </c>
      <c r="Y23" s="1239">
        <v>6.3360000000000003</v>
      </c>
      <c r="Z23" s="1239">
        <v>9.8172693524086636</v>
      </c>
      <c r="AA23" s="1239">
        <v>4.083333333333333</v>
      </c>
      <c r="AB23" s="1131">
        <v>1564</v>
      </c>
      <c r="AC23" s="1243">
        <v>6.386333333333333</v>
      </c>
      <c r="AD23" s="1242">
        <v>14.5</v>
      </c>
      <c r="AE23" s="1197">
        <v>1280</v>
      </c>
      <c r="AF23" s="1239">
        <v>7.9750000000000005</v>
      </c>
      <c r="AG23" s="1131">
        <v>860</v>
      </c>
      <c r="AH23" s="1243">
        <v>6.8585000000000012</v>
      </c>
      <c r="AI23" s="1240">
        <v>11.961718588235293</v>
      </c>
      <c r="AJ23" s="1131">
        <v>48.083333333333336</v>
      </c>
      <c r="AK23" s="1131">
        <v>139.19999999999999</v>
      </c>
      <c r="AL23" s="1131" t="s">
        <v>1317</v>
      </c>
      <c r="AM23" s="1131" t="s">
        <v>527</v>
      </c>
      <c r="AN23" s="1131" t="s">
        <v>528</v>
      </c>
      <c r="AO23" s="1131">
        <v>42.03153634509804</v>
      </c>
      <c r="AP23" s="1239">
        <v>52.47081882352942</v>
      </c>
      <c r="AQ23" s="1131">
        <v>52.47081882352942</v>
      </c>
      <c r="AR23" s="1131">
        <v>110</v>
      </c>
      <c r="AS23" s="1243">
        <v>5.871023497556167</v>
      </c>
      <c r="AT23" s="1197">
        <v>0</v>
      </c>
      <c r="AU23" s="1131">
        <v>134.16470588235296</v>
      </c>
      <c r="AV23" s="1131">
        <v>277.27113293581198</v>
      </c>
      <c r="AW23" s="1242">
        <v>0</v>
      </c>
      <c r="AX23" s="1239">
        <v>9.5592352941176486</v>
      </c>
      <c r="AY23" s="1131">
        <v>1100</v>
      </c>
      <c r="AZ23" s="1242">
        <v>0.77904109589041104</v>
      </c>
      <c r="BA23" s="1243">
        <v>10.528582397238287</v>
      </c>
      <c r="BB23" s="1131">
        <v>15</v>
      </c>
      <c r="BC23" s="1131">
        <v>45</v>
      </c>
      <c r="BD23" s="1243">
        <v>108.92400000000002</v>
      </c>
      <c r="BF23" s="1197">
        <f>Eingabedaten!AP26*'Resultate Standard'!S23</f>
        <v>7</v>
      </c>
      <c r="BG23" s="1244">
        <v>12.420956728860194</v>
      </c>
      <c r="BH23" s="1245"/>
      <c r="BI23" s="1246"/>
      <c r="BJ23" s="637">
        <v>400</v>
      </c>
      <c r="BK23" s="379">
        <v>0.18</v>
      </c>
      <c r="BL23" s="379">
        <v>0.125</v>
      </c>
      <c r="BM23" s="1238">
        <v>7</v>
      </c>
      <c r="BN23" s="1129">
        <v>3</v>
      </c>
      <c r="BO23" s="1129">
        <v>313</v>
      </c>
      <c r="BP23" s="1129">
        <v>0.80000000000000016</v>
      </c>
      <c r="BQ23" s="1129">
        <v>2</v>
      </c>
      <c r="BR23" s="1129">
        <v>35</v>
      </c>
      <c r="BS23" s="1237">
        <v>40</v>
      </c>
      <c r="BT23" s="1240">
        <v>2</v>
      </c>
      <c r="BU23" s="1129">
        <v>1750</v>
      </c>
      <c r="BV23" s="1131">
        <v>3.5</v>
      </c>
      <c r="BW23" s="1241">
        <v>8.8235294117647065E-2</v>
      </c>
      <c r="BX23" s="1239">
        <v>4.4444444444444446</v>
      </c>
      <c r="BY23" s="1131">
        <v>40.099999999999994</v>
      </c>
      <c r="BZ23" s="1239">
        <v>1.0204081632653061</v>
      </c>
      <c r="CA23" s="1239">
        <v>6.1097256857855369</v>
      </c>
      <c r="CB23" s="1239">
        <v>0</v>
      </c>
      <c r="CC23" s="1239">
        <v>6.1097256857855369</v>
      </c>
      <c r="CD23" s="1131">
        <v>1440</v>
      </c>
      <c r="CE23" s="1131">
        <v>0</v>
      </c>
      <c r="CF23" s="1197">
        <v>8.7980049875311721</v>
      </c>
      <c r="CG23" s="1239">
        <v>18</v>
      </c>
      <c r="CH23" s="1239">
        <v>9.9</v>
      </c>
      <c r="CI23" s="1131">
        <v>760</v>
      </c>
      <c r="CJ23" s="1197">
        <v>7.524</v>
      </c>
      <c r="CK23" s="1240">
        <v>18.540352941176472</v>
      </c>
      <c r="CL23" s="1131">
        <v>43.109725685785534</v>
      </c>
      <c r="CM23" s="1131">
        <v>153.93006721064222</v>
      </c>
      <c r="CN23" s="1131" t="s">
        <v>527</v>
      </c>
      <c r="CO23" s="1131" t="s">
        <v>528</v>
      </c>
      <c r="CP23" s="1131" t="s">
        <v>528</v>
      </c>
      <c r="CQ23" s="1131">
        <v>30</v>
      </c>
      <c r="CR23" s="1131">
        <v>280</v>
      </c>
      <c r="CS23" s="1197">
        <v>8.46875</v>
      </c>
      <c r="CT23" s="1131">
        <v>816.51764705882363</v>
      </c>
      <c r="CU23" s="1131">
        <v>45.55933375597948</v>
      </c>
      <c r="CV23" s="1131">
        <v>-3</v>
      </c>
      <c r="CW23" s="1131">
        <v>65.321411764705886</v>
      </c>
      <c r="CX23" s="1131">
        <v>340</v>
      </c>
      <c r="CY23" s="1197">
        <v>22.076239901649807</v>
      </c>
      <c r="CZ23" s="1131">
        <v>15</v>
      </c>
      <c r="DA23" s="1131">
        <v>45</v>
      </c>
      <c r="DB23" s="1197">
        <v>108.92400000000002</v>
      </c>
      <c r="DD23" s="637">
        <f t="shared" si="0"/>
        <v>0</v>
      </c>
      <c r="DE23" s="379">
        <f t="shared" si="1"/>
        <v>0</v>
      </c>
      <c r="DF23" s="379">
        <f t="shared" si="2"/>
        <v>0</v>
      </c>
      <c r="DG23" s="1238">
        <f t="shared" si="3"/>
        <v>0</v>
      </c>
      <c r="DH23" s="1129">
        <f t="shared" si="4"/>
        <v>0</v>
      </c>
      <c r="DI23" s="1129">
        <f t="shared" si="5"/>
        <v>0</v>
      </c>
      <c r="DJ23" s="1129">
        <f t="shared" si="6"/>
        <v>0</v>
      </c>
      <c r="DK23" s="1129">
        <f t="shared" si="7"/>
        <v>0</v>
      </c>
      <c r="DL23" s="1129">
        <f t="shared" si="8"/>
        <v>7</v>
      </c>
      <c r="DM23" s="1237">
        <f t="shared" si="9"/>
        <v>-14.5</v>
      </c>
      <c r="DN23" s="1240">
        <f t="shared" si="10"/>
        <v>0</v>
      </c>
      <c r="DO23" s="1129">
        <f t="shared" si="11"/>
        <v>0</v>
      </c>
      <c r="DP23" s="1131">
        <f t="shared" si="12"/>
        <v>0</v>
      </c>
      <c r="DQ23" s="1241">
        <f t="shared" si="13"/>
        <v>4.3562091503267979</v>
      </c>
      <c r="DR23" s="1239">
        <f t="shared" si="14"/>
        <v>85.555555555555557</v>
      </c>
      <c r="DS23" s="1131">
        <f t="shared" si="15"/>
        <v>-39.079591836734686</v>
      </c>
      <c r="DT23" s="1239">
        <f t="shared" si="16"/>
        <v>-0.93217286914765907</v>
      </c>
      <c r="DU23" s="1239">
        <f t="shared" si="17"/>
        <v>0.22627431421446342</v>
      </c>
      <c r="DV23" s="1239">
        <f t="shared" si="18"/>
        <v>9.8172693524086636</v>
      </c>
      <c r="DW23" s="1239">
        <f t="shared" si="19"/>
        <v>-2.0263923524522038</v>
      </c>
      <c r="DX23" s="1131">
        <f t="shared" si="20"/>
        <v>124</v>
      </c>
      <c r="DY23" s="1131" t="e">
        <f>#REF!-CE23</f>
        <v>#REF!</v>
      </c>
      <c r="DZ23" s="1197">
        <f t="shared" si="21"/>
        <v>-2.4116716541978391</v>
      </c>
      <c r="EA23" s="1239">
        <f t="shared" si="22"/>
        <v>-3.5</v>
      </c>
      <c r="EB23" s="1239">
        <f t="shared" si="23"/>
        <v>-1.9249999999999998</v>
      </c>
      <c r="EC23" s="1131">
        <f t="shared" si="24"/>
        <v>100</v>
      </c>
      <c r="ED23" s="1197">
        <f t="shared" si="25"/>
        <v>-0.66549999999999887</v>
      </c>
      <c r="EE23" s="1240">
        <f t="shared" si="26"/>
        <v>-6.5786343529411795</v>
      </c>
      <c r="EF23" s="1131">
        <f t="shared" si="27"/>
        <v>4.9736076475478015</v>
      </c>
      <c r="EG23" s="1131">
        <f t="shared" si="28"/>
        <v>-14.730067210642233</v>
      </c>
      <c r="EH23" s="1131" t="e">
        <f t="shared" si="29"/>
        <v>#VALUE!</v>
      </c>
      <c r="EI23" s="1131" t="e">
        <f t="shared" si="30"/>
        <v>#VALUE!</v>
      </c>
      <c r="EJ23" s="1131" t="e">
        <f t="shared" si="31"/>
        <v>#VALUE!</v>
      </c>
      <c r="EK23" s="1131">
        <f t="shared" si="32"/>
        <v>22.47081882352942</v>
      </c>
      <c r="EL23" s="1131">
        <f t="shared" si="33"/>
        <v>-170</v>
      </c>
      <c r="EM23" s="1197">
        <f t="shared" si="34"/>
        <v>-8.46875</v>
      </c>
      <c r="EN23" s="1131">
        <f t="shared" si="35"/>
        <v>-682.35294117647072</v>
      </c>
      <c r="EO23" s="1131">
        <f t="shared" si="36"/>
        <v>231.7117991798325</v>
      </c>
      <c r="EP23" s="1131">
        <f t="shared" si="37"/>
        <v>3</v>
      </c>
      <c r="EQ23" s="1131">
        <f t="shared" si="38"/>
        <v>-55.762176470588237</v>
      </c>
      <c r="ER23" s="1131">
        <f t="shared" si="39"/>
        <v>760</v>
      </c>
      <c r="ES23" s="1197">
        <f t="shared" si="40"/>
        <v>-11.54765750441152</v>
      </c>
      <c r="ET23" s="1131">
        <f t="shared" si="41"/>
        <v>0</v>
      </c>
      <c r="EU23" s="1131">
        <f t="shared" si="42"/>
        <v>0</v>
      </c>
      <c r="EV23" s="1197">
        <f t="shared" si="43"/>
        <v>0</v>
      </c>
    </row>
    <row r="24" spans="1:152">
      <c r="A24" s="634">
        <f>Eingabedaten!A27</f>
        <v>6.03</v>
      </c>
      <c r="B24" s="463" t="str">
        <f>Eingabedaten!C27</f>
        <v>Küche zu Restaurant</v>
      </c>
      <c r="C24" s="637">
        <v>36</v>
      </c>
      <c r="D24" s="379">
        <v>0.215</v>
      </c>
      <c r="E24" s="379">
        <v>0.12</v>
      </c>
      <c r="F24" s="1238">
        <v>13</v>
      </c>
      <c r="G24" s="1129">
        <v>8.6</v>
      </c>
      <c r="H24" s="1129">
        <v>313</v>
      </c>
      <c r="I24" s="1129">
        <v>0.80000000000000016</v>
      </c>
      <c r="J24" s="1129">
        <v>2150</v>
      </c>
      <c r="K24" s="1129">
        <v>5</v>
      </c>
      <c r="L24" s="1239">
        <v>10.199999999999999</v>
      </c>
      <c r="M24" s="1239">
        <v>21.93</v>
      </c>
      <c r="N24" s="1243">
        <v>21.2</v>
      </c>
      <c r="O24" s="1240">
        <v>10</v>
      </c>
      <c r="P24" s="1131">
        <v>190</v>
      </c>
      <c r="Q24" s="1129">
        <v>2530</v>
      </c>
      <c r="R24" s="1131">
        <v>25.3</v>
      </c>
      <c r="S24" s="1239">
        <v>25.3</v>
      </c>
      <c r="T24" s="1131">
        <v>480.7</v>
      </c>
      <c r="U24" s="1241">
        <v>1.3333333333333333</v>
      </c>
      <c r="V24" s="1131">
        <v>90</v>
      </c>
      <c r="W24" s="1242">
        <v>0.71428571428571419</v>
      </c>
      <c r="X24" s="1242">
        <v>0.29411764705882354</v>
      </c>
      <c r="Y24" s="1239">
        <v>6.3360000000000003</v>
      </c>
      <c r="Z24" s="1239">
        <v>6.6247701284943536</v>
      </c>
      <c r="AA24" s="1239">
        <v>9.7222222222222232</v>
      </c>
      <c r="AB24" s="1131">
        <v>2458</v>
      </c>
      <c r="AC24" s="1243">
        <v>23.897222222222222</v>
      </c>
      <c r="AD24" s="1242">
        <v>9.6666666666666679</v>
      </c>
      <c r="AE24" s="1197">
        <v>3180</v>
      </c>
      <c r="AF24" s="1239">
        <v>5.3166666666666673</v>
      </c>
      <c r="AG24" s="1131">
        <v>2580</v>
      </c>
      <c r="AH24" s="1243">
        <v>13.717000000000002</v>
      </c>
      <c r="AI24" s="1240">
        <v>32.97829019607844</v>
      </c>
      <c r="AJ24" s="1131">
        <v>29.922222222222224</v>
      </c>
      <c r="AK24" s="1131">
        <v>213.88666666666666</v>
      </c>
      <c r="AL24" s="1131" t="s">
        <v>528</v>
      </c>
      <c r="AM24" s="1131" t="s">
        <v>528</v>
      </c>
      <c r="AN24" s="1131" t="s">
        <v>528</v>
      </c>
      <c r="AO24" s="1131">
        <v>44.030358692810459</v>
      </c>
      <c r="AP24" s="1239">
        <v>37.90705098039215</v>
      </c>
      <c r="AQ24" s="1131">
        <v>227.90705098039214</v>
      </c>
      <c r="AR24" s="1131">
        <v>270</v>
      </c>
      <c r="AS24" s="1243">
        <v>10.260824133875831</v>
      </c>
      <c r="AT24" s="1197">
        <v>0</v>
      </c>
      <c r="AU24" s="1131">
        <v>28.225411764705882</v>
      </c>
      <c r="AV24" s="1131">
        <v>148.46196168659031</v>
      </c>
      <c r="AW24" s="1242">
        <v>-1.1730705747011454</v>
      </c>
      <c r="AX24" s="1239">
        <v>22.48081176470588</v>
      </c>
      <c r="AY24" s="1131">
        <v>1180</v>
      </c>
      <c r="AZ24" s="1242">
        <v>1.1864041095890414</v>
      </c>
      <c r="BA24" s="1243">
        <v>26.489435322074975</v>
      </c>
      <c r="BB24" s="1129">
        <v>0</v>
      </c>
      <c r="BC24" s="1131">
        <v>0</v>
      </c>
      <c r="BD24" s="1243">
        <v>0</v>
      </c>
      <c r="BF24" s="1197">
        <f>Eingabedaten!AP27*'Resultate Standard'!S24</f>
        <v>126.5</v>
      </c>
      <c r="BG24" s="1244">
        <v>28.237117570805307</v>
      </c>
      <c r="BH24" s="1245"/>
      <c r="BI24" s="1246"/>
      <c r="BJ24" s="637">
        <v>36</v>
      </c>
      <c r="BK24" s="379">
        <v>0.215</v>
      </c>
      <c r="BL24" s="379">
        <v>0.12</v>
      </c>
      <c r="BM24" s="1238">
        <v>13</v>
      </c>
      <c r="BN24" s="1129">
        <v>8.6</v>
      </c>
      <c r="BO24" s="1129">
        <v>313</v>
      </c>
      <c r="BP24" s="1129">
        <v>0.80000000000000016</v>
      </c>
      <c r="BQ24" s="1129">
        <v>5</v>
      </c>
      <c r="BR24" s="1129">
        <v>18</v>
      </c>
      <c r="BS24" s="1237">
        <v>34</v>
      </c>
      <c r="BT24" s="1240">
        <v>200</v>
      </c>
      <c r="BU24" s="1129">
        <v>2530</v>
      </c>
      <c r="BV24" s="1131">
        <v>506</v>
      </c>
      <c r="BW24" s="1241">
        <v>0.29411764705882354</v>
      </c>
      <c r="BX24" s="1239">
        <v>1.3333333333333333</v>
      </c>
      <c r="BY24" s="1131">
        <v>55.1</v>
      </c>
      <c r="BZ24" s="1239">
        <v>0.71428571428571419</v>
      </c>
      <c r="CA24" s="1239">
        <v>15.880217785843922</v>
      </c>
      <c r="CB24" s="1239">
        <v>0</v>
      </c>
      <c r="CC24" s="1239">
        <v>15.880217785843922</v>
      </c>
      <c r="CD24" s="1131">
        <v>2310</v>
      </c>
      <c r="CE24" s="1131">
        <v>0</v>
      </c>
      <c r="CF24" s="1197">
        <v>36.683303085299464</v>
      </c>
      <c r="CG24" s="1239">
        <v>20</v>
      </c>
      <c r="CH24" s="1239">
        <v>11</v>
      </c>
      <c r="CI24" s="1131">
        <v>2160</v>
      </c>
      <c r="CJ24" s="1197">
        <v>23.76</v>
      </c>
      <c r="CK24" s="1240">
        <v>31.944549019607848</v>
      </c>
      <c r="CL24" s="1131">
        <v>233.88021778584391</v>
      </c>
      <c r="CM24" s="1131">
        <v>2152.2728414590247</v>
      </c>
      <c r="CN24" s="1131" t="s">
        <v>528</v>
      </c>
      <c r="CO24" s="1131" t="s">
        <v>528</v>
      </c>
      <c r="CP24" s="1131" t="s">
        <v>528</v>
      </c>
      <c r="CQ24" s="1131">
        <v>169</v>
      </c>
      <c r="CR24" s="1131">
        <v>1900</v>
      </c>
      <c r="CS24" s="1197">
        <v>320.64583333333331</v>
      </c>
      <c r="CT24" s="1131">
        <v>98.723294117647072</v>
      </c>
      <c r="CU24" s="1131">
        <v>42.445909422414161</v>
      </c>
      <c r="CV24" s="1131">
        <v>-3</v>
      </c>
      <c r="CW24" s="1131">
        <v>85.011725490196085</v>
      </c>
      <c r="CX24" s="1131">
        <v>230</v>
      </c>
      <c r="CY24" s="1197">
        <v>19.934855885076434</v>
      </c>
      <c r="CZ24" s="1129">
        <v>0</v>
      </c>
      <c r="DA24" s="1131">
        <v>0</v>
      </c>
      <c r="DB24" s="1197">
        <v>0</v>
      </c>
      <c r="DD24" s="637">
        <f t="shared" si="0"/>
        <v>0</v>
      </c>
      <c r="DE24" s="379">
        <f t="shared" si="1"/>
        <v>0</v>
      </c>
      <c r="DF24" s="379">
        <f t="shared" si="2"/>
        <v>0</v>
      </c>
      <c r="DG24" s="1238">
        <f t="shared" si="3"/>
        <v>0</v>
      </c>
      <c r="DH24" s="1129">
        <f t="shared" si="4"/>
        <v>0</v>
      </c>
      <c r="DI24" s="1129">
        <f t="shared" si="5"/>
        <v>0</v>
      </c>
      <c r="DJ24" s="1129">
        <f t="shared" si="6"/>
        <v>0</v>
      </c>
      <c r="DK24" s="1129">
        <f t="shared" si="7"/>
        <v>0</v>
      </c>
      <c r="DL24" s="1129">
        <f t="shared" si="8"/>
        <v>-7.8000000000000007</v>
      </c>
      <c r="DM24" s="1237">
        <f t="shared" si="9"/>
        <v>-12.8</v>
      </c>
      <c r="DN24" s="1240">
        <f t="shared" si="10"/>
        <v>-190</v>
      </c>
      <c r="DO24" s="1129">
        <f t="shared" si="11"/>
        <v>0</v>
      </c>
      <c r="DP24" s="1131">
        <f t="shared" si="12"/>
        <v>-480.7</v>
      </c>
      <c r="DQ24" s="1241">
        <f t="shared" si="13"/>
        <v>1.0392156862745097</v>
      </c>
      <c r="DR24" s="1239">
        <f t="shared" si="14"/>
        <v>88.666666666666671</v>
      </c>
      <c r="DS24" s="1131">
        <f t="shared" si="15"/>
        <v>-54.385714285714286</v>
      </c>
      <c r="DT24" s="1239">
        <f t="shared" si="16"/>
        <v>-0.42016806722689065</v>
      </c>
      <c r="DU24" s="1239">
        <f t="shared" si="17"/>
        <v>-9.5442177858439212</v>
      </c>
      <c r="DV24" s="1239">
        <f t="shared" si="18"/>
        <v>6.6247701284943536</v>
      </c>
      <c r="DW24" s="1239">
        <f t="shared" si="19"/>
        <v>-6.1579955636216983</v>
      </c>
      <c r="DX24" s="1131">
        <f t="shared" si="20"/>
        <v>148</v>
      </c>
      <c r="DY24" s="1131" t="e">
        <f>#REF!-CE24</f>
        <v>#REF!</v>
      </c>
      <c r="DZ24" s="1197">
        <f t="shared" si="21"/>
        <v>-12.786080863077242</v>
      </c>
      <c r="EA24" s="1239">
        <f t="shared" si="22"/>
        <v>-10.333333333333332</v>
      </c>
      <c r="EB24" s="1239">
        <f t="shared" si="23"/>
        <v>-5.6833333333333327</v>
      </c>
      <c r="EC24" s="1131">
        <f t="shared" si="24"/>
        <v>420</v>
      </c>
      <c r="ED24" s="1197">
        <f t="shared" si="25"/>
        <v>-10.042999999999999</v>
      </c>
      <c r="EE24" s="1240">
        <f t="shared" si="26"/>
        <v>1.0337411764705919</v>
      </c>
      <c r="EF24" s="1131">
        <f t="shared" si="27"/>
        <v>-203.95799556362169</v>
      </c>
      <c r="EG24" s="1131">
        <f t="shared" si="28"/>
        <v>-1938.3861747923579</v>
      </c>
      <c r="EH24" s="1131" t="e">
        <f t="shared" si="29"/>
        <v>#VALUE!</v>
      </c>
      <c r="EI24" s="1131" t="e">
        <f t="shared" si="30"/>
        <v>#VALUE!</v>
      </c>
      <c r="EJ24" s="1131" t="e">
        <f t="shared" si="31"/>
        <v>#VALUE!</v>
      </c>
      <c r="EK24" s="1131">
        <f t="shared" si="32"/>
        <v>58.907050980392142</v>
      </c>
      <c r="EL24" s="1131">
        <f t="shared" si="33"/>
        <v>-1630</v>
      </c>
      <c r="EM24" s="1197">
        <f t="shared" si="34"/>
        <v>-320.64583333333331</v>
      </c>
      <c r="EN24" s="1131">
        <f t="shared" si="35"/>
        <v>-70.49788235294119</v>
      </c>
      <c r="EO24" s="1131">
        <f t="shared" si="36"/>
        <v>106.01605226417615</v>
      </c>
      <c r="EP24" s="1131">
        <f t="shared" si="37"/>
        <v>1.8269294252988546</v>
      </c>
      <c r="EQ24" s="1131">
        <f t="shared" si="38"/>
        <v>-62.530913725490208</v>
      </c>
      <c r="ER24" s="1131">
        <f t="shared" si="39"/>
        <v>950</v>
      </c>
      <c r="ES24" s="1197">
        <f t="shared" si="40"/>
        <v>6.5545794369985408</v>
      </c>
      <c r="ET24" s="1129">
        <f t="shared" si="41"/>
        <v>0</v>
      </c>
      <c r="EU24" s="1131">
        <f t="shared" si="42"/>
        <v>0</v>
      </c>
      <c r="EV24" s="1197">
        <f t="shared" si="43"/>
        <v>0</v>
      </c>
    </row>
    <row r="25" spans="1:152">
      <c r="A25" s="638">
        <f>Eingabedaten!A28</f>
        <v>6.04</v>
      </c>
      <c r="B25" s="592" t="str">
        <f>Eingabedaten!C28</f>
        <v>Küche zu Selbstbedienungsrest.</v>
      </c>
      <c r="C25" s="654">
        <v>144</v>
      </c>
      <c r="D25" s="387">
        <v>0.215</v>
      </c>
      <c r="E25" s="387">
        <v>0.12</v>
      </c>
      <c r="F25" s="1227">
        <v>9</v>
      </c>
      <c r="G25" s="1130">
        <v>5.0000000000000009</v>
      </c>
      <c r="H25" s="1130">
        <v>313</v>
      </c>
      <c r="I25" s="1130">
        <v>0.80000000000000016</v>
      </c>
      <c r="J25" s="1130">
        <v>1250</v>
      </c>
      <c r="K25" s="1130">
        <v>5</v>
      </c>
      <c r="L25" s="1228">
        <v>10.199999999999999</v>
      </c>
      <c r="M25" s="1228">
        <v>12.75</v>
      </c>
      <c r="N25" s="1196">
        <v>21.2</v>
      </c>
      <c r="O25" s="1255">
        <v>10</v>
      </c>
      <c r="P25" s="1133">
        <v>190</v>
      </c>
      <c r="Q25" s="1130">
        <v>1730</v>
      </c>
      <c r="R25" s="1133">
        <v>17.3</v>
      </c>
      <c r="S25" s="1228">
        <v>17.3</v>
      </c>
      <c r="T25" s="1133">
        <v>328.7</v>
      </c>
      <c r="U25" s="1256">
        <v>2.6666666666666665</v>
      </c>
      <c r="V25" s="1133">
        <v>90</v>
      </c>
      <c r="W25" s="1257">
        <v>0.90909090909090917</v>
      </c>
      <c r="X25" s="1257">
        <v>0.14705882352941177</v>
      </c>
      <c r="Y25" s="1228">
        <v>6.3360000000000003</v>
      </c>
      <c r="Z25" s="1228">
        <v>9.2482637071404827</v>
      </c>
      <c r="AA25" s="1228">
        <v>7.6388888888888875</v>
      </c>
      <c r="AB25" s="1133">
        <v>1895</v>
      </c>
      <c r="AC25" s="1196">
        <v>14.475694444444443</v>
      </c>
      <c r="AD25" s="1257">
        <v>9.6666666666666679</v>
      </c>
      <c r="AE25" s="1199">
        <v>1910</v>
      </c>
      <c r="AF25" s="1228">
        <v>5.3166666666666673</v>
      </c>
      <c r="AG25" s="1133">
        <v>1470</v>
      </c>
      <c r="AH25" s="1196">
        <v>7.815500000000001</v>
      </c>
      <c r="AI25" s="1255">
        <v>17.022478431372555</v>
      </c>
      <c r="AJ25" s="1133">
        <v>27.838888888888889</v>
      </c>
      <c r="AK25" s="1133">
        <v>116</v>
      </c>
      <c r="AL25" s="1133" t="s">
        <v>1317</v>
      </c>
      <c r="AM25" s="1133" t="s">
        <v>527</v>
      </c>
      <c r="AN25" s="1133" t="s">
        <v>527</v>
      </c>
      <c r="AO25" s="1133">
        <v>31.402957124183008</v>
      </c>
      <c r="AP25" s="1228">
        <v>29.36765882352941</v>
      </c>
      <c r="AQ25" s="1133">
        <v>219.36765882352938</v>
      </c>
      <c r="AR25" s="1133">
        <v>230</v>
      </c>
      <c r="AS25" s="1196">
        <v>6.7650230800620994</v>
      </c>
      <c r="AT25" s="1199">
        <v>0</v>
      </c>
      <c r="AU25" s="1133">
        <v>63.36282352941177</v>
      </c>
      <c r="AV25" s="1133">
        <v>224.30818590971882</v>
      </c>
      <c r="AW25" s="1257">
        <v>-3.5377211354217675E-2</v>
      </c>
      <c r="AX25" s="1228">
        <v>12.11610588235294</v>
      </c>
      <c r="AY25" s="1133">
        <v>1070</v>
      </c>
      <c r="AZ25" s="1257">
        <v>0.77249429223744315</v>
      </c>
      <c r="BA25" s="1196">
        <v>12.944734690411709</v>
      </c>
      <c r="BB25" s="1130">
        <v>0</v>
      </c>
      <c r="BC25" s="1133">
        <v>0</v>
      </c>
      <c r="BD25" s="1196">
        <v>0</v>
      </c>
      <c r="BF25" s="1199">
        <f>Eingabedaten!AP28*'Resultate Standard'!S25</f>
        <v>86.5</v>
      </c>
      <c r="BG25" s="1244">
        <v>11.623556287097598</v>
      </c>
      <c r="BH25" s="1245"/>
      <c r="BI25" s="1246"/>
      <c r="BJ25" s="654">
        <v>144</v>
      </c>
      <c r="BK25" s="387">
        <v>0.215</v>
      </c>
      <c r="BL25" s="387">
        <v>0.12</v>
      </c>
      <c r="BM25" s="1227">
        <v>9</v>
      </c>
      <c r="BN25" s="1130">
        <v>5.0000000000000009</v>
      </c>
      <c r="BO25" s="1130">
        <v>313</v>
      </c>
      <c r="BP25" s="1130">
        <v>0.80000000000000016</v>
      </c>
      <c r="BQ25" s="1130">
        <v>5</v>
      </c>
      <c r="BR25" s="1130">
        <v>18</v>
      </c>
      <c r="BS25" s="1229">
        <v>34</v>
      </c>
      <c r="BT25" s="1255">
        <v>200</v>
      </c>
      <c r="BU25" s="1130">
        <v>1730</v>
      </c>
      <c r="BV25" s="1133">
        <v>346</v>
      </c>
      <c r="BW25" s="1256">
        <v>0.14705882352941177</v>
      </c>
      <c r="BX25" s="1228">
        <v>2.6666666666666665</v>
      </c>
      <c r="BY25" s="1133">
        <v>55.1</v>
      </c>
      <c r="BZ25" s="1228">
        <v>0.90909090909090917</v>
      </c>
      <c r="CA25" s="1228">
        <v>12.477313974591651</v>
      </c>
      <c r="CB25" s="1228">
        <v>0</v>
      </c>
      <c r="CC25" s="1228">
        <v>12.477313974591651</v>
      </c>
      <c r="CD25" s="1133">
        <v>1830</v>
      </c>
      <c r="CE25" s="1133">
        <v>0</v>
      </c>
      <c r="CF25" s="1199">
        <v>22.833484573502719</v>
      </c>
      <c r="CG25" s="1228">
        <v>20</v>
      </c>
      <c r="CH25" s="1228">
        <v>11</v>
      </c>
      <c r="CI25" s="1133">
        <v>1240</v>
      </c>
      <c r="CJ25" s="1199">
        <v>13.64</v>
      </c>
      <c r="CK25" s="1255">
        <v>19.908274509803924</v>
      </c>
      <c r="CL25" s="1133">
        <v>230.47731397459165</v>
      </c>
      <c r="CM25" s="1133">
        <v>1475.7010109688676</v>
      </c>
      <c r="CN25" s="1133" t="s">
        <v>528</v>
      </c>
      <c r="CO25" s="1133" t="s">
        <v>528</v>
      </c>
      <c r="CP25" s="1133" t="s">
        <v>528</v>
      </c>
      <c r="CQ25" s="1133">
        <v>148</v>
      </c>
      <c r="CR25" s="1133">
        <v>1660</v>
      </c>
      <c r="CS25" s="1199">
        <v>245.41069444444443</v>
      </c>
      <c r="CT25" s="1133">
        <v>339.14258823529417</v>
      </c>
      <c r="CU25" s="1133">
        <v>41.908036598869394</v>
      </c>
      <c r="CV25" s="1133">
        <v>-3</v>
      </c>
      <c r="CW25" s="1133">
        <v>73.009862745098047</v>
      </c>
      <c r="CX25" s="1133">
        <v>130</v>
      </c>
      <c r="CY25" s="1199">
        <v>9.2911230389130726</v>
      </c>
      <c r="CZ25" s="1130">
        <v>0</v>
      </c>
      <c r="DA25" s="1133">
        <v>0</v>
      </c>
      <c r="DB25" s="1199">
        <v>0</v>
      </c>
      <c r="DD25" s="654">
        <f t="shared" si="0"/>
        <v>0</v>
      </c>
      <c r="DE25" s="387">
        <f t="shared" si="1"/>
        <v>0</v>
      </c>
      <c r="DF25" s="387">
        <f t="shared" si="2"/>
        <v>0</v>
      </c>
      <c r="DG25" s="1227">
        <f t="shared" si="3"/>
        <v>0</v>
      </c>
      <c r="DH25" s="1130">
        <f t="shared" si="4"/>
        <v>0</v>
      </c>
      <c r="DI25" s="1130">
        <f t="shared" si="5"/>
        <v>0</v>
      </c>
      <c r="DJ25" s="1130">
        <f t="shared" si="6"/>
        <v>0</v>
      </c>
      <c r="DK25" s="1130">
        <f t="shared" si="7"/>
        <v>0</v>
      </c>
      <c r="DL25" s="1130">
        <f t="shared" si="8"/>
        <v>-7.8000000000000007</v>
      </c>
      <c r="DM25" s="1229">
        <f t="shared" si="9"/>
        <v>-12.8</v>
      </c>
      <c r="DN25" s="1255">
        <f t="shared" si="10"/>
        <v>-190</v>
      </c>
      <c r="DO25" s="1130">
        <f t="shared" si="11"/>
        <v>0</v>
      </c>
      <c r="DP25" s="1133">
        <f t="shared" si="12"/>
        <v>-328.7</v>
      </c>
      <c r="DQ25" s="1256">
        <f t="shared" si="13"/>
        <v>2.5196078431372548</v>
      </c>
      <c r="DR25" s="1228">
        <f t="shared" si="14"/>
        <v>87.333333333333329</v>
      </c>
      <c r="DS25" s="1133">
        <f t="shared" si="15"/>
        <v>-54.190909090909095</v>
      </c>
      <c r="DT25" s="1228">
        <f t="shared" si="16"/>
        <v>-0.76203208556149737</v>
      </c>
      <c r="DU25" s="1228">
        <f t="shared" si="17"/>
        <v>-6.1413139745916503</v>
      </c>
      <c r="DV25" s="1228">
        <f t="shared" si="18"/>
        <v>9.2482637071404827</v>
      </c>
      <c r="DW25" s="1228">
        <f t="shared" si="19"/>
        <v>-4.8384250857027631</v>
      </c>
      <c r="DX25" s="1133">
        <f t="shared" si="20"/>
        <v>65</v>
      </c>
      <c r="DY25" s="1133" t="e">
        <f>#REF!-CE25</f>
        <v>#REF!</v>
      </c>
      <c r="DZ25" s="1199">
        <f t="shared" si="21"/>
        <v>-8.3577901290582766</v>
      </c>
      <c r="EA25" s="1228">
        <f t="shared" si="22"/>
        <v>-10.333333333333332</v>
      </c>
      <c r="EB25" s="1228">
        <f t="shared" si="23"/>
        <v>-5.6833333333333327</v>
      </c>
      <c r="EC25" s="1133">
        <f t="shared" si="24"/>
        <v>230</v>
      </c>
      <c r="ED25" s="1199">
        <f t="shared" si="25"/>
        <v>-5.8244999999999996</v>
      </c>
      <c r="EE25" s="1255">
        <f t="shared" si="26"/>
        <v>-2.885796078431369</v>
      </c>
      <c r="EF25" s="1133">
        <f t="shared" si="27"/>
        <v>-202.63842508570275</v>
      </c>
      <c r="EG25" s="1133">
        <f t="shared" si="28"/>
        <v>-1359.7010109688676</v>
      </c>
      <c r="EH25" s="1133" t="e">
        <f t="shared" si="29"/>
        <v>#VALUE!</v>
      </c>
      <c r="EI25" s="1133" t="e">
        <f t="shared" si="30"/>
        <v>#VALUE!</v>
      </c>
      <c r="EJ25" s="1133" t="e">
        <f t="shared" si="31"/>
        <v>#VALUE!</v>
      </c>
      <c r="EK25" s="1133">
        <f t="shared" si="32"/>
        <v>71.367658823529382</v>
      </c>
      <c r="EL25" s="1133">
        <f t="shared" si="33"/>
        <v>-1430</v>
      </c>
      <c r="EM25" s="1199">
        <f t="shared" si="34"/>
        <v>-245.41069444444443</v>
      </c>
      <c r="EN25" s="1133">
        <f t="shared" si="35"/>
        <v>-275.77976470588237</v>
      </c>
      <c r="EO25" s="1133">
        <f t="shared" si="36"/>
        <v>182.40014931084943</v>
      </c>
      <c r="EP25" s="1133">
        <f t="shared" si="37"/>
        <v>2.9646227886457823</v>
      </c>
      <c r="EQ25" s="1133">
        <f t="shared" si="38"/>
        <v>-60.893756862745107</v>
      </c>
      <c r="ER25" s="1133">
        <f t="shared" si="39"/>
        <v>940</v>
      </c>
      <c r="ES25" s="1199">
        <f t="shared" si="40"/>
        <v>3.6536116514986361</v>
      </c>
      <c r="ET25" s="1130">
        <f t="shared" si="41"/>
        <v>0</v>
      </c>
      <c r="EU25" s="1133">
        <f t="shared" si="42"/>
        <v>0</v>
      </c>
      <c r="EV25" s="1199">
        <f t="shared" si="43"/>
        <v>0</v>
      </c>
    </row>
    <row r="26" spans="1:152">
      <c r="A26" s="634">
        <f>Eingabedaten!A29</f>
        <v>7.01</v>
      </c>
      <c r="B26" s="463" t="str">
        <f>Eingabedaten!C29</f>
        <v>Vorstellungsraum</v>
      </c>
      <c r="C26" s="637">
        <v>400</v>
      </c>
      <c r="D26" s="379">
        <v>0.18</v>
      </c>
      <c r="E26" s="379">
        <v>0.125</v>
      </c>
      <c r="F26" s="1238">
        <v>12</v>
      </c>
      <c r="G26" s="1129">
        <v>7.6000000000000005</v>
      </c>
      <c r="H26" s="1129">
        <v>313</v>
      </c>
      <c r="I26" s="1129">
        <v>0.80000000000000016</v>
      </c>
      <c r="J26" s="1129">
        <v>1900</v>
      </c>
      <c r="K26" s="1129">
        <v>3</v>
      </c>
      <c r="L26" s="1239">
        <v>28</v>
      </c>
      <c r="M26" s="1239">
        <v>53.2</v>
      </c>
      <c r="N26" s="1243">
        <v>17</v>
      </c>
      <c r="O26" s="1240">
        <v>2</v>
      </c>
      <c r="P26" s="1131">
        <v>0</v>
      </c>
      <c r="Q26" s="1129">
        <v>2300</v>
      </c>
      <c r="R26" s="1131">
        <v>4.5999999999999996</v>
      </c>
      <c r="S26" s="1239">
        <v>4.5999999999999996</v>
      </c>
      <c r="T26" s="1131">
        <v>0</v>
      </c>
      <c r="U26" s="1241">
        <v>1.6</v>
      </c>
      <c r="V26" s="1131">
        <v>90</v>
      </c>
      <c r="W26" s="1242">
        <v>0.76923076923076927</v>
      </c>
      <c r="X26" s="1242">
        <v>0</v>
      </c>
      <c r="Y26" s="1239">
        <v>6.3360000000000003</v>
      </c>
      <c r="Z26" s="1239">
        <v>11</v>
      </c>
      <c r="AA26" s="1239">
        <v>5.4166666666666661</v>
      </c>
      <c r="AB26" s="1131">
        <v>3005</v>
      </c>
      <c r="AC26" s="1243">
        <v>16.27708333333333</v>
      </c>
      <c r="AD26" s="1242">
        <v>9.6666666666666661</v>
      </c>
      <c r="AE26" s="1197">
        <v>2720</v>
      </c>
      <c r="AF26" s="1239">
        <v>5.3166666666666664</v>
      </c>
      <c r="AG26" s="1131">
        <v>2190</v>
      </c>
      <c r="AH26" s="1243">
        <v>11.6435</v>
      </c>
      <c r="AI26" s="1240">
        <v>4.6807200000000027</v>
      </c>
      <c r="AJ26" s="1131">
        <v>35.416666666666664</v>
      </c>
      <c r="AK26" s="1131">
        <v>284.56666666666661</v>
      </c>
      <c r="AL26" s="1131" t="s">
        <v>528</v>
      </c>
      <c r="AM26" s="1131" t="s">
        <v>528</v>
      </c>
      <c r="AN26" s="1131" t="s">
        <v>528</v>
      </c>
      <c r="AO26" s="1131">
        <v>28.068170666666663</v>
      </c>
      <c r="AP26" s="1239">
        <v>38.451766666666664</v>
      </c>
      <c r="AQ26" s="1131">
        <v>38.451766666666664</v>
      </c>
      <c r="AR26" s="1131">
        <v>330</v>
      </c>
      <c r="AS26" s="1243">
        <v>12.785532108354348</v>
      </c>
      <c r="AT26" s="1197">
        <v>0</v>
      </c>
      <c r="AU26" s="1131">
        <v>182.00000000000003</v>
      </c>
      <c r="AV26" s="1131">
        <v>244.83516483516479</v>
      </c>
      <c r="AW26" s="1242">
        <v>0</v>
      </c>
      <c r="AX26" s="1239">
        <v>12.967500000000001</v>
      </c>
      <c r="AY26" s="1131">
        <v>620</v>
      </c>
      <c r="AZ26" s="1242">
        <v>1.0364840182648403</v>
      </c>
      <c r="BA26" s="1243">
        <v>8.016789706577752</v>
      </c>
      <c r="BB26" s="1129">
        <v>1.5</v>
      </c>
      <c r="BC26" s="1131">
        <v>30</v>
      </c>
      <c r="BD26" s="1243">
        <v>7.2616000000000014</v>
      </c>
      <c r="BF26" s="1197">
        <f>Eingabedaten!AP29*'Resultate Standard'!S26</f>
        <v>13.799999999999999</v>
      </c>
      <c r="BG26" s="1244">
        <v>10.244015502218909</v>
      </c>
      <c r="BH26" s="1245"/>
      <c r="BI26" s="1246"/>
      <c r="BJ26" s="637">
        <v>400</v>
      </c>
      <c r="BK26" s="379">
        <v>0.18</v>
      </c>
      <c r="BL26" s="379">
        <v>0.125</v>
      </c>
      <c r="BM26" s="1238">
        <v>12</v>
      </c>
      <c r="BN26" s="1129">
        <v>7.6000000000000005</v>
      </c>
      <c r="BO26" s="1129">
        <v>313</v>
      </c>
      <c r="BP26" s="1129">
        <v>0.80000000000000016</v>
      </c>
      <c r="BQ26" s="1129">
        <v>3</v>
      </c>
      <c r="BR26" s="1129">
        <v>23.3</v>
      </c>
      <c r="BS26" s="1237">
        <v>26.5</v>
      </c>
      <c r="BT26" s="1240">
        <v>2</v>
      </c>
      <c r="BU26" s="1129">
        <v>2300</v>
      </c>
      <c r="BV26" s="1131">
        <v>4.5999999999999996</v>
      </c>
      <c r="BW26" s="1241">
        <v>0</v>
      </c>
      <c r="BX26" s="1239">
        <v>1.6</v>
      </c>
      <c r="BY26" s="1131">
        <v>45.1</v>
      </c>
      <c r="BZ26" s="1239">
        <v>0.76923076923076927</v>
      </c>
      <c r="CA26" s="1239">
        <v>10.809312638580931</v>
      </c>
      <c r="CB26" s="1239">
        <v>0</v>
      </c>
      <c r="CC26" s="1239">
        <v>10.809312638580931</v>
      </c>
      <c r="CD26" s="1131">
        <v>3000</v>
      </c>
      <c r="CE26" s="1131">
        <v>0</v>
      </c>
      <c r="CF26" s="1197">
        <v>32.427937915742795</v>
      </c>
      <c r="CG26" s="1239">
        <v>12</v>
      </c>
      <c r="CH26" s="1239">
        <v>6.6000000000000005</v>
      </c>
      <c r="CI26" s="1131">
        <v>1820</v>
      </c>
      <c r="CJ26" s="1197">
        <v>12.012000000000002</v>
      </c>
      <c r="CK26" s="1240">
        <v>8.5860000000000021</v>
      </c>
      <c r="CL26" s="1131">
        <v>36.109312638580931</v>
      </c>
      <c r="CM26" s="1131">
        <v>324.39175166297116</v>
      </c>
      <c r="CN26" s="1131" t="s">
        <v>528</v>
      </c>
      <c r="CO26" s="1131" t="s">
        <v>528</v>
      </c>
      <c r="CP26" s="1131" t="s">
        <v>528</v>
      </c>
      <c r="CQ26" s="1131">
        <v>30</v>
      </c>
      <c r="CR26" s="1131">
        <v>480</v>
      </c>
      <c r="CS26" s="1197">
        <v>14.4162</v>
      </c>
      <c r="CT26" s="1131">
        <v>572.40000000000009</v>
      </c>
      <c r="CU26" s="1131">
        <v>77.847658979734433</v>
      </c>
      <c r="CV26" s="1131">
        <v>-2</v>
      </c>
      <c r="CW26" s="1131">
        <v>44.361000000000004</v>
      </c>
      <c r="CX26" s="1131">
        <v>530</v>
      </c>
      <c r="CY26" s="1197">
        <v>23.619913263750234</v>
      </c>
      <c r="CZ26" s="1129">
        <v>1.5</v>
      </c>
      <c r="DA26" s="1131">
        <v>30</v>
      </c>
      <c r="DB26" s="1197">
        <v>7.2616000000000014</v>
      </c>
      <c r="DD26" s="637">
        <f t="shared" si="0"/>
        <v>0</v>
      </c>
      <c r="DE26" s="379">
        <f t="shared" si="1"/>
        <v>0</v>
      </c>
      <c r="DF26" s="379">
        <f t="shared" si="2"/>
        <v>0</v>
      </c>
      <c r="DG26" s="1238">
        <f t="shared" si="3"/>
        <v>0</v>
      </c>
      <c r="DH26" s="1129">
        <f t="shared" si="4"/>
        <v>0</v>
      </c>
      <c r="DI26" s="1129">
        <f t="shared" si="5"/>
        <v>0</v>
      </c>
      <c r="DJ26" s="1129">
        <f t="shared" si="6"/>
        <v>0</v>
      </c>
      <c r="DK26" s="1129">
        <f t="shared" si="7"/>
        <v>0</v>
      </c>
      <c r="DL26" s="1129">
        <f t="shared" si="8"/>
        <v>4.6999999999999993</v>
      </c>
      <c r="DM26" s="1237">
        <f t="shared" si="9"/>
        <v>-9.5</v>
      </c>
      <c r="DN26" s="1240">
        <f t="shared" si="10"/>
        <v>0</v>
      </c>
      <c r="DO26" s="1129">
        <f t="shared" si="11"/>
        <v>0</v>
      </c>
      <c r="DP26" s="1131">
        <f t="shared" si="12"/>
        <v>0</v>
      </c>
      <c r="DQ26" s="1241">
        <f t="shared" si="13"/>
        <v>1.6</v>
      </c>
      <c r="DR26" s="1239">
        <f t="shared" si="14"/>
        <v>88.4</v>
      </c>
      <c r="DS26" s="1131">
        <f t="shared" si="15"/>
        <v>-44.330769230769235</v>
      </c>
      <c r="DT26" s="1239">
        <f t="shared" si="16"/>
        <v>-0.76923076923076927</v>
      </c>
      <c r="DU26" s="1239">
        <f t="shared" si="17"/>
        <v>-4.4733126385809303</v>
      </c>
      <c r="DV26" s="1239">
        <f t="shared" si="18"/>
        <v>11</v>
      </c>
      <c r="DW26" s="1239">
        <f t="shared" si="19"/>
        <v>-5.3926459719142645</v>
      </c>
      <c r="DX26" s="1131">
        <f t="shared" si="20"/>
        <v>5</v>
      </c>
      <c r="DY26" s="1131" t="e">
        <f>#REF!-CE26</f>
        <v>#REF!</v>
      </c>
      <c r="DZ26" s="1197">
        <f t="shared" si="21"/>
        <v>-16.150854582409465</v>
      </c>
      <c r="EA26" s="1239">
        <f t="shared" si="22"/>
        <v>-2.3333333333333339</v>
      </c>
      <c r="EB26" s="1239">
        <f t="shared" si="23"/>
        <v>-1.2833333333333341</v>
      </c>
      <c r="EC26" s="1131">
        <f t="shared" si="24"/>
        <v>370</v>
      </c>
      <c r="ED26" s="1197">
        <f t="shared" si="25"/>
        <v>-0.36850000000000271</v>
      </c>
      <c r="EE26" s="1240">
        <f t="shared" si="26"/>
        <v>-3.9052799999999994</v>
      </c>
      <c r="EF26" s="1131">
        <f t="shared" si="27"/>
        <v>-0.69264597191426702</v>
      </c>
      <c r="EG26" s="1131">
        <f t="shared" si="28"/>
        <v>-39.825084996304554</v>
      </c>
      <c r="EH26" s="1131" t="e">
        <f t="shared" si="29"/>
        <v>#VALUE!</v>
      </c>
      <c r="EI26" s="1131" t="e">
        <f t="shared" si="30"/>
        <v>#VALUE!</v>
      </c>
      <c r="EJ26" s="1131" t="e">
        <f t="shared" si="31"/>
        <v>#VALUE!</v>
      </c>
      <c r="EK26" s="1131">
        <f t="shared" si="32"/>
        <v>8.4517666666666642</v>
      </c>
      <c r="EL26" s="1131">
        <f t="shared" si="33"/>
        <v>-150</v>
      </c>
      <c r="EM26" s="1197">
        <f t="shared" si="34"/>
        <v>-14.4162</v>
      </c>
      <c r="EN26" s="1131">
        <f t="shared" si="35"/>
        <v>-390.40000000000009</v>
      </c>
      <c r="EO26" s="1131">
        <f t="shared" si="36"/>
        <v>166.98750585543036</v>
      </c>
      <c r="EP26" s="1131">
        <f t="shared" si="37"/>
        <v>2</v>
      </c>
      <c r="EQ26" s="1131">
        <f t="shared" si="38"/>
        <v>-31.393500000000003</v>
      </c>
      <c r="ER26" s="1131">
        <f t="shared" si="39"/>
        <v>90</v>
      </c>
      <c r="ES26" s="1197">
        <f t="shared" si="40"/>
        <v>-15.603123557172482</v>
      </c>
      <c r="ET26" s="1129">
        <f t="shared" si="41"/>
        <v>0</v>
      </c>
      <c r="EU26" s="1131">
        <f t="shared" si="42"/>
        <v>0</v>
      </c>
      <c r="EV26" s="1197">
        <f t="shared" si="43"/>
        <v>0</v>
      </c>
    </row>
    <row r="27" spans="1:152">
      <c r="A27" s="634">
        <f>Eingabedaten!A30</f>
        <v>7.02</v>
      </c>
      <c r="B27" s="463" t="str">
        <f>Eingabedaten!C30</f>
        <v>Mehrzweckhalle</v>
      </c>
      <c r="C27" s="637">
        <v>400</v>
      </c>
      <c r="D27" s="379">
        <v>0.18</v>
      </c>
      <c r="E27" s="379">
        <v>0.125</v>
      </c>
      <c r="F27" s="1238">
        <v>16</v>
      </c>
      <c r="G27" s="1129">
        <v>10.399999999999997</v>
      </c>
      <c r="H27" s="1129">
        <v>313</v>
      </c>
      <c r="I27" s="1129">
        <v>0.80000000000000016</v>
      </c>
      <c r="J27" s="1129">
        <v>2600</v>
      </c>
      <c r="K27" s="1129">
        <v>3</v>
      </c>
      <c r="L27" s="1239">
        <v>28</v>
      </c>
      <c r="M27" s="1239">
        <v>72.8</v>
      </c>
      <c r="N27" s="1243">
        <v>17</v>
      </c>
      <c r="O27" s="1240">
        <v>4</v>
      </c>
      <c r="P27" s="1131">
        <v>0</v>
      </c>
      <c r="Q27" s="1129">
        <v>2900</v>
      </c>
      <c r="R27" s="1131">
        <v>11.6</v>
      </c>
      <c r="S27" s="1239">
        <v>11.6</v>
      </c>
      <c r="T27" s="1131">
        <v>0</v>
      </c>
      <c r="U27" s="1241">
        <v>1.6</v>
      </c>
      <c r="V27" s="1131">
        <v>90</v>
      </c>
      <c r="W27" s="1242">
        <v>0.76923076923076927</v>
      </c>
      <c r="X27" s="1242">
        <v>0.20588235294117649</v>
      </c>
      <c r="Y27" s="1239">
        <v>6.3360000000000003</v>
      </c>
      <c r="Z27" s="1239">
        <v>6.8530117428551129</v>
      </c>
      <c r="AA27" s="1239">
        <v>5.4166666666666661</v>
      </c>
      <c r="AB27" s="1131">
        <v>2968</v>
      </c>
      <c r="AC27" s="1243">
        <v>16.076666666666664</v>
      </c>
      <c r="AD27" s="1242">
        <v>9.6666666666666661</v>
      </c>
      <c r="AE27" s="1197">
        <v>3630</v>
      </c>
      <c r="AF27" s="1239">
        <v>5.3166666666666664</v>
      </c>
      <c r="AG27" s="1131">
        <v>3060</v>
      </c>
      <c r="AH27" s="1243">
        <v>16.268999999999998</v>
      </c>
      <c r="AI27" s="1240">
        <v>25.299044705882352</v>
      </c>
      <c r="AJ27" s="1131">
        <v>37.416666666666664</v>
      </c>
      <c r="AK27" s="1131">
        <v>352.25000000000011</v>
      </c>
      <c r="AL27" s="1131" t="s">
        <v>528</v>
      </c>
      <c r="AM27" s="1131" t="s">
        <v>528</v>
      </c>
      <c r="AN27" s="1131" t="s">
        <v>528</v>
      </c>
      <c r="AO27" s="1131">
        <v>43.900997960784309</v>
      </c>
      <c r="AP27" s="1239">
        <v>54.986656470588237</v>
      </c>
      <c r="AQ27" s="1131">
        <v>54.986656470588237</v>
      </c>
      <c r="AR27" s="1131">
        <v>420</v>
      </c>
      <c r="AS27" s="1243">
        <v>22.885080033282183</v>
      </c>
      <c r="AT27" s="1197">
        <v>0</v>
      </c>
      <c r="AU27" s="1131">
        <v>282.25098039215692</v>
      </c>
      <c r="AV27" s="1131">
        <v>149.93747742240251</v>
      </c>
      <c r="AW27" s="1242">
        <v>-1.1509378386639622</v>
      </c>
      <c r="AX27" s="1239">
        <v>20.922515686274515</v>
      </c>
      <c r="AY27" s="1131">
        <v>530</v>
      </c>
      <c r="AZ27" s="1242">
        <v>1.3330650684931507</v>
      </c>
      <c r="BA27" s="1243">
        <v>11.119383032634344</v>
      </c>
      <c r="BB27" s="1129">
        <v>1.5</v>
      </c>
      <c r="BC27" s="1131">
        <v>30</v>
      </c>
      <c r="BD27" s="1243">
        <v>7.2616000000000014</v>
      </c>
      <c r="BF27" s="1197">
        <f>Eingabedaten!AP30*'Resultate Standard'!S27</f>
        <v>34.799999999999997</v>
      </c>
      <c r="BG27" s="1244">
        <v>19.668328923337285</v>
      </c>
      <c r="BH27" s="1245"/>
      <c r="BI27" s="1246"/>
      <c r="BJ27" s="637">
        <v>400</v>
      </c>
      <c r="BK27" s="379">
        <v>0.18</v>
      </c>
      <c r="BL27" s="379">
        <v>0.125</v>
      </c>
      <c r="BM27" s="1238">
        <v>16</v>
      </c>
      <c r="BN27" s="1129">
        <v>10.399999999999997</v>
      </c>
      <c r="BO27" s="1129">
        <v>313</v>
      </c>
      <c r="BP27" s="1129">
        <v>0.80000000000000016</v>
      </c>
      <c r="BQ27" s="1129">
        <v>3</v>
      </c>
      <c r="BR27" s="1129">
        <v>23.3</v>
      </c>
      <c r="BS27" s="1237">
        <v>26.5</v>
      </c>
      <c r="BT27" s="1240">
        <v>4</v>
      </c>
      <c r="BU27" s="1129">
        <v>2900</v>
      </c>
      <c r="BV27" s="1131">
        <v>11.6</v>
      </c>
      <c r="BW27" s="1241">
        <v>0.20588235294117649</v>
      </c>
      <c r="BX27" s="1239">
        <v>1.6</v>
      </c>
      <c r="BY27" s="1131">
        <v>45.1</v>
      </c>
      <c r="BZ27" s="1239">
        <v>0.76923076923076927</v>
      </c>
      <c r="CA27" s="1239">
        <v>10.809312638580931</v>
      </c>
      <c r="CB27" s="1239">
        <v>0</v>
      </c>
      <c r="CC27" s="1239">
        <v>10.809312638580931</v>
      </c>
      <c r="CD27" s="1131">
        <v>2770</v>
      </c>
      <c r="CE27" s="1131">
        <v>0</v>
      </c>
      <c r="CF27" s="1197">
        <v>29.941796008869179</v>
      </c>
      <c r="CG27" s="1239">
        <v>12</v>
      </c>
      <c r="CH27" s="1239">
        <v>6.6000000000000005</v>
      </c>
      <c r="CI27" s="1131">
        <v>2580</v>
      </c>
      <c r="CJ27" s="1197">
        <v>17.027999999999999</v>
      </c>
      <c r="CK27" s="1240">
        <v>25.134823529411772</v>
      </c>
      <c r="CL27" s="1131">
        <v>38.109312638580931</v>
      </c>
      <c r="CM27" s="1131">
        <v>335.12491912551997</v>
      </c>
      <c r="CN27" s="1131" t="s">
        <v>528</v>
      </c>
      <c r="CO27" s="1131" t="s">
        <v>528</v>
      </c>
      <c r="CP27" s="1131" t="s">
        <v>528</v>
      </c>
      <c r="CQ27" s="1131">
        <v>43</v>
      </c>
      <c r="CR27" s="1131">
        <v>540</v>
      </c>
      <c r="CS27" s="1197">
        <v>23.260974999999998</v>
      </c>
      <c r="CT27" s="1131">
        <v>696.80784313725496</v>
      </c>
      <c r="CU27" s="1131">
        <v>60.734103981180276</v>
      </c>
      <c r="CV27" s="1131">
        <v>-2</v>
      </c>
      <c r="CW27" s="1131">
        <v>54.002607843137255</v>
      </c>
      <c r="CX27" s="1131">
        <v>820</v>
      </c>
      <c r="CY27" s="1197">
        <v>44.032748084607078</v>
      </c>
      <c r="CZ27" s="1129">
        <v>1.5</v>
      </c>
      <c r="DA27" s="1131">
        <v>30</v>
      </c>
      <c r="DB27" s="1197">
        <v>7.2616000000000014</v>
      </c>
      <c r="DD27" s="637">
        <f t="shared" si="0"/>
        <v>0</v>
      </c>
      <c r="DE27" s="379">
        <f t="shared" si="1"/>
        <v>0</v>
      </c>
      <c r="DF27" s="379">
        <f t="shared" si="2"/>
        <v>0</v>
      </c>
      <c r="DG27" s="1238">
        <f t="shared" si="3"/>
        <v>0</v>
      </c>
      <c r="DH27" s="1129">
        <f t="shared" si="4"/>
        <v>0</v>
      </c>
      <c r="DI27" s="1129">
        <f t="shared" si="5"/>
        <v>0</v>
      </c>
      <c r="DJ27" s="1129">
        <f t="shared" si="6"/>
        <v>0</v>
      </c>
      <c r="DK27" s="1129">
        <f t="shared" si="7"/>
        <v>0</v>
      </c>
      <c r="DL27" s="1129">
        <f t="shared" si="8"/>
        <v>4.6999999999999993</v>
      </c>
      <c r="DM27" s="1237">
        <f t="shared" si="9"/>
        <v>-9.5</v>
      </c>
      <c r="DN27" s="1240">
        <f t="shared" si="10"/>
        <v>0</v>
      </c>
      <c r="DO27" s="1129">
        <f t="shared" si="11"/>
        <v>0</v>
      </c>
      <c r="DP27" s="1131">
        <f t="shared" si="12"/>
        <v>0</v>
      </c>
      <c r="DQ27" s="1241">
        <f t="shared" si="13"/>
        <v>1.3941176470588237</v>
      </c>
      <c r="DR27" s="1239">
        <f t="shared" si="14"/>
        <v>88.4</v>
      </c>
      <c r="DS27" s="1131">
        <f t="shared" si="15"/>
        <v>-44.330769230769235</v>
      </c>
      <c r="DT27" s="1239">
        <f t="shared" si="16"/>
        <v>-0.56334841628959276</v>
      </c>
      <c r="DU27" s="1239">
        <f t="shared" si="17"/>
        <v>-4.4733126385809303</v>
      </c>
      <c r="DV27" s="1239">
        <f t="shared" si="18"/>
        <v>6.8530117428551129</v>
      </c>
      <c r="DW27" s="1239">
        <f t="shared" si="19"/>
        <v>-5.3926459719142645</v>
      </c>
      <c r="DX27" s="1131">
        <f t="shared" si="20"/>
        <v>198</v>
      </c>
      <c r="DY27" s="1131" t="e">
        <f>#REF!-CE27</f>
        <v>#REF!</v>
      </c>
      <c r="DZ27" s="1197">
        <f t="shared" si="21"/>
        <v>-13.865129342202515</v>
      </c>
      <c r="EA27" s="1239">
        <f t="shared" si="22"/>
        <v>-2.3333333333333339</v>
      </c>
      <c r="EB27" s="1239">
        <f t="shared" si="23"/>
        <v>-1.2833333333333341</v>
      </c>
      <c r="EC27" s="1131">
        <f t="shared" si="24"/>
        <v>480</v>
      </c>
      <c r="ED27" s="1197">
        <f t="shared" si="25"/>
        <v>-0.75900000000000034</v>
      </c>
      <c r="EE27" s="1240">
        <f t="shared" si="26"/>
        <v>0.16422117647057988</v>
      </c>
      <c r="EF27" s="1131">
        <f t="shared" si="27"/>
        <v>-0.69264597191426702</v>
      </c>
      <c r="EG27" s="1131">
        <f t="shared" si="28"/>
        <v>17.125080874480147</v>
      </c>
      <c r="EH27" s="1131" t="e">
        <f t="shared" si="29"/>
        <v>#VALUE!</v>
      </c>
      <c r="EI27" s="1131" t="e">
        <f t="shared" si="30"/>
        <v>#VALUE!</v>
      </c>
      <c r="EJ27" s="1131" t="e">
        <f t="shared" si="31"/>
        <v>#VALUE!</v>
      </c>
      <c r="EK27" s="1131">
        <f t="shared" si="32"/>
        <v>11.986656470588237</v>
      </c>
      <c r="EL27" s="1131">
        <f t="shared" si="33"/>
        <v>-120</v>
      </c>
      <c r="EM27" s="1197">
        <f t="shared" si="34"/>
        <v>-23.260974999999998</v>
      </c>
      <c r="EN27" s="1131">
        <f t="shared" si="35"/>
        <v>-414.55686274509804</v>
      </c>
      <c r="EO27" s="1131">
        <f t="shared" si="36"/>
        <v>89.203373441222226</v>
      </c>
      <c r="EP27" s="1131">
        <f t="shared" si="37"/>
        <v>0.84906216133603785</v>
      </c>
      <c r="EQ27" s="1131">
        <f t="shared" si="38"/>
        <v>-33.08009215686274</v>
      </c>
      <c r="ER27" s="1131">
        <f t="shared" si="39"/>
        <v>-290</v>
      </c>
      <c r="ES27" s="1197">
        <f t="shared" si="40"/>
        <v>-32.913365051972733</v>
      </c>
      <c r="ET27" s="1129">
        <f t="shared" si="41"/>
        <v>0</v>
      </c>
      <c r="EU27" s="1131">
        <f t="shared" si="42"/>
        <v>0</v>
      </c>
      <c r="EV27" s="1197">
        <f t="shared" si="43"/>
        <v>0</v>
      </c>
    </row>
    <row r="28" spans="1:152">
      <c r="A28" s="634">
        <f>Eingabedaten!A31</f>
        <v>7.03</v>
      </c>
      <c r="B28" s="463" t="str">
        <f>Eingabedaten!C31</f>
        <v>Ausstellungshalle</v>
      </c>
      <c r="C28" s="637">
        <v>400</v>
      </c>
      <c r="D28" s="379">
        <v>0.18</v>
      </c>
      <c r="E28" s="379">
        <v>0.125</v>
      </c>
      <c r="F28" s="1238">
        <v>16</v>
      </c>
      <c r="G28" s="1129">
        <v>10.399999999999997</v>
      </c>
      <c r="H28" s="1129">
        <v>313</v>
      </c>
      <c r="I28" s="1129">
        <v>0.80000000000000016</v>
      </c>
      <c r="J28" s="1129">
        <v>2600</v>
      </c>
      <c r="K28" s="1129">
        <v>3</v>
      </c>
      <c r="L28" s="1239">
        <v>28</v>
      </c>
      <c r="M28" s="1239">
        <v>72.8</v>
      </c>
      <c r="N28" s="1243">
        <v>17</v>
      </c>
      <c r="O28" s="1240">
        <v>7</v>
      </c>
      <c r="P28" s="1131">
        <v>0</v>
      </c>
      <c r="Q28" s="1129">
        <v>2900</v>
      </c>
      <c r="R28" s="1131">
        <v>20.3</v>
      </c>
      <c r="S28" s="1239">
        <v>20.3</v>
      </c>
      <c r="T28" s="1131">
        <v>0</v>
      </c>
      <c r="U28" s="1241">
        <v>1.6</v>
      </c>
      <c r="V28" s="1131">
        <v>90</v>
      </c>
      <c r="W28" s="1242">
        <v>0.76923076923076927</v>
      </c>
      <c r="X28" s="1242">
        <v>0.20588235294117649</v>
      </c>
      <c r="Y28" s="1239">
        <v>6.3360000000000003</v>
      </c>
      <c r="Z28" s="1239">
        <v>8.5024885930043634</v>
      </c>
      <c r="AA28" s="1239">
        <v>10.833333333333332</v>
      </c>
      <c r="AB28" s="1131">
        <v>3381</v>
      </c>
      <c r="AC28" s="1243">
        <v>36.627499999999998</v>
      </c>
      <c r="AD28" s="1242">
        <v>9.6666666666666661</v>
      </c>
      <c r="AE28" s="1197">
        <v>3630</v>
      </c>
      <c r="AF28" s="1239">
        <v>5.3166666666666664</v>
      </c>
      <c r="AG28" s="1131">
        <v>3060</v>
      </c>
      <c r="AH28" s="1243">
        <v>16.268999999999998</v>
      </c>
      <c r="AI28" s="1240">
        <v>25.299044705882352</v>
      </c>
      <c r="AJ28" s="1131">
        <v>45.833333333333329</v>
      </c>
      <c r="AK28" s="1131">
        <v>402.10000000000014</v>
      </c>
      <c r="AL28" s="1131" t="s">
        <v>528</v>
      </c>
      <c r="AM28" s="1131" t="s">
        <v>528</v>
      </c>
      <c r="AN28" s="1131" t="s">
        <v>528</v>
      </c>
      <c r="AO28" s="1131">
        <v>49.792664627450975</v>
      </c>
      <c r="AP28" s="1239">
        <v>57.986656470588237</v>
      </c>
      <c r="AQ28" s="1131">
        <v>57.986656470588237</v>
      </c>
      <c r="AR28" s="1131">
        <v>660</v>
      </c>
      <c r="AS28" s="1243">
        <v>38.560539438369531</v>
      </c>
      <c r="AT28" s="1197">
        <v>0</v>
      </c>
      <c r="AU28" s="1131">
        <v>282.25098039215692</v>
      </c>
      <c r="AV28" s="1131">
        <v>149.93747742240251</v>
      </c>
      <c r="AW28" s="1242">
        <v>-1.1509378386639622</v>
      </c>
      <c r="AX28" s="1239">
        <v>20.922515686274515</v>
      </c>
      <c r="AY28" s="1131">
        <v>250</v>
      </c>
      <c r="AZ28" s="1242">
        <v>1.3330650684931507</v>
      </c>
      <c r="BA28" s="1243">
        <v>5.1494107675259686</v>
      </c>
      <c r="BB28" s="1129">
        <v>1.5</v>
      </c>
      <c r="BC28" s="1131">
        <v>30</v>
      </c>
      <c r="BD28" s="1243">
        <v>7.2616000000000014</v>
      </c>
      <c r="BF28" s="1197">
        <f>Eingabedaten!AP31*'Resultate Standard'!S28</f>
        <v>60.900000000000006</v>
      </c>
      <c r="BG28" s="1244">
        <v>13.552185414001771</v>
      </c>
      <c r="BH28" s="1245"/>
      <c r="BI28" s="1246"/>
      <c r="BJ28" s="637">
        <v>400</v>
      </c>
      <c r="BK28" s="379">
        <v>0.18</v>
      </c>
      <c r="BL28" s="379">
        <v>0.125</v>
      </c>
      <c r="BM28" s="1238">
        <v>16</v>
      </c>
      <c r="BN28" s="1129">
        <v>10.399999999999997</v>
      </c>
      <c r="BO28" s="1129">
        <v>313</v>
      </c>
      <c r="BP28" s="1129">
        <v>0.80000000000000016</v>
      </c>
      <c r="BQ28" s="1129">
        <v>3</v>
      </c>
      <c r="BR28" s="1129">
        <v>23.3</v>
      </c>
      <c r="BS28" s="1237">
        <v>26.5</v>
      </c>
      <c r="BT28" s="1240">
        <v>7</v>
      </c>
      <c r="BU28" s="1129">
        <v>2900</v>
      </c>
      <c r="BV28" s="1131">
        <v>20.3</v>
      </c>
      <c r="BW28" s="1241">
        <v>0.20588235294117649</v>
      </c>
      <c r="BX28" s="1239">
        <v>1.6</v>
      </c>
      <c r="BY28" s="1131">
        <v>45.1</v>
      </c>
      <c r="BZ28" s="1239">
        <v>0.76923076923076927</v>
      </c>
      <c r="CA28" s="1239">
        <v>10.809312638580931</v>
      </c>
      <c r="CB28" s="1239">
        <v>0</v>
      </c>
      <c r="CC28" s="1239">
        <v>10.809312638580931</v>
      </c>
      <c r="CD28" s="1131">
        <v>2770</v>
      </c>
      <c r="CE28" s="1131">
        <v>0</v>
      </c>
      <c r="CF28" s="1197">
        <v>29.941796008869179</v>
      </c>
      <c r="CG28" s="1239">
        <v>12</v>
      </c>
      <c r="CH28" s="1239">
        <v>6.6000000000000005</v>
      </c>
      <c r="CI28" s="1131">
        <v>2580</v>
      </c>
      <c r="CJ28" s="1197">
        <v>17.027999999999999</v>
      </c>
      <c r="CK28" s="1240">
        <v>25.134823529411772</v>
      </c>
      <c r="CL28" s="1131">
        <v>41.109312638580931</v>
      </c>
      <c r="CM28" s="1131">
        <v>368.72491912551993</v>
      </c>
      <c r="CN28" s="1131" t="s">
        <v>528</v>
      </c>
      <c r="CO28" s="1131" t="s">
        <v>528</v>
      </c>
      <c r="CP28" s="1131" t="s">
        <v>528</v>
      </c>
      <c r="CQ28" s="1131">
        <v>46</v>
      </c>
      <c r="CR28" s="1131">
        <v>580</v>
      </c>
      <c r="CS28" s="1197">
        <v>26.652925</v>
      </c>
      <c r="CT28" s="1131">
        <v>696.80784313725496</v>
      </c>
      <c r="CU28" s="1131">
        <v>60.734103981180276</v>
      </c>
      <c r="CV28" s="1131">
        <v>-2</v>
      </c>
      <c r="CW28" s="1131">
        <v>54.002607843137255</v>
      </c>
      <c r="CX28" s="1131">
        <v>780</v>
      </c>
      <c r="CY28" s="1197">
        <v>42.053894832667275</v>
      </c>
      <c r="CZ28" s="1129">
        <v>1.5</v>
      </c>
      <c r="DA28" s="1131">
        <v>30</v>
      </c>
      <c r="DB28" s="1197">
        <v>7.2616000000000014</v>
      </c>
      <c r="DD28" s="637">
        <f t="shared" si="0"/>
        <v>0</v>
      </c>
      <c r="DE28" s="379">
        <f t="shared" si="1"/>
        <v>0</v>
      </c>
      <c r="DF28" s="379">
        <f t="shared" si="2"/>
        <v>0</v>
      </c>
      <c r="DG28" s="1238">
        <f t="shared" si="3"/>
        <v>0</v>
      </c>
      <c r="DH28" s="1129">
        <f t="shared" si="4"/>
        <v>0</v>
      </c>
      <c r="DI28" s="1129">
        <f t="shared" si="5"/>
        <v>0</v>
      </c>
      <c r="DJ28" s="1129">
        <f t="shared" si="6"/>
        <v>0</v>
      </c>
      <c r="DK28" s="1129">
        <f t="shared" si="7"/>
        <v>0</v>
      </c>
      <c r="DL28" s="1129">
        <f t="shared" si="8"/>
        <v>4.6999999999999993</v>
      </c>
      <c r="DM28" s="1237">
        <f t="shared" si="9"/>
        <v>-9.5</v>
      </c>
      <c r="DN28" s="1240">
        <f t="shared" si="10"/>
        <v>0</v>
      </c>
      <c r="DO28" s="1129">
        <f t="shared" si="11"/>
        <v>0</v>
      </c>
      <c r="DP28" s="1131">
        <f t="shared" si="12"/>
        <v>0</v>
      </c>
      <c r="DQ28" s="1241">
        <f t="shared" si="13"/>
        <v>1.3941176470588237</v>
      </c>
      <c r="DR28" s="1239">
        <f t="shared" si="14"/>
        <v>88.4</v>
      </c>
      <c r="DS28" s="1131">
        <f t="shared" si="15"/>
        <v>-44.330769230769235</v>
      </c>
      <c r="DT28" s="1239">
        <f t="shared" si="16"/>
        <v>-0.56334841628959276</v>
      </c>
      <c r="DU28" s="1239">
        <f t="shared" si="17"/>
        <v>-4.4733126385809303</v>
      </c>
      <c r="DV28" s="1239">
        <f t="shared" si="18"/>
        <v>8.5024885930043634</v>
      </c>
      <c r="DW28" s="1239">
        <f t="shared" si="19"/>
        <v>2.4020694752401539E-2</v>
      </c>
      <c r="DX28" s="1131">
        <f t="shared" si="20"/>
        <v>611</v>
      </c>
      <c r="DY28" s="1131" t="e">
        <f>#REF!-CE28</f>
        <v>#REF!</v>
      </c>
      <c r="DZ28" s="1197">
        <f t="shared" si="21"/>
        <v>6.6857039911308185</v>
      </c>
      <c r="EA28" s="1239">
        <f t="shared" si="22"/>
        <v>-2.3333333333333339</v>
      </c>
      <c r="EB28" s="1239">
        <f t="shared" si="23"/>
        <v>-1.2833333333333341</v>
      </c>
      <c r="EC28" s="1131">
        <f t="shared" si="24"/>
        <v>480</v>
      </c>
      <c r="ED28" s="1197">
        <f t="shared" si="25"/>
        <v>-0.75900000000000034</v>
      </c>
      <c r="EE28" s="1240">
        <f t="shared" si="26"/>
        <v>0.16422117647057988</v>
      </c>
      <c r="EF28" s="1131">
        <f t="shared" si="27"/>
        <v>4.7240206947523973</v>
      </c>
      <c r="EG28" s="1131">
        <f t="shared" si="28"/>
        <v>33.375080874480204</v>
      </c>
      <c r="EH28" s="1131" t="e">
        <f t="shared" si="29"/>
        <v>#VALUE!</v>
      </c>
      <c r="EI28" s="1131" t="e">
        <f t="shared" si="30"/>
        <v>#VALUE!</v>
      </c>
      <c r="EJ28" s="1131" t="e">
        <f t="shared" si="31"/>
        <v>#VALUE!</v>
      </c>
      <c r="EK28" s="1131">
        <f t="shared" si="32"/>
        <v>11.986656470588237</v>
      </c>
      <c r="EL28" s="1131">
        <f t="shared" si="33"/>
        <v>80</v>
      </c>
      <c r="EM28" s="1197">
        <f t="shared" si="34"/>
        <v>-26.652925</v>
      </c>
      <c r="EN28" s="1131">
        <f t="shared" si="35"/>
        <v>-414.55686274509804</v>
      </c>
      <c r="EO28" s="1131">
        <f t="shared" si="36"/>
        <v>89.203373441222226</v>
      </c>
      <c r="EP28" s="1131">
        <f t="shared" si="37"/>
        <v>0.84906216133603785</v>
      </c>
      <c r="EQ28" s="1131">
        <f t="shared" si="38"/>
        <v>-33.08009215686274</v>
      </c>
      <c r="ER28" s="1131">
        <f t="shared" si="39"/>
        <v>-530</v>
      </c>
      <c r="ES28" s="1197">
        <f t="shared" si="40"/>
        <v>-36.904484065141304</v>
      </c>
      <c r="ET28" s="1129">
        <f t="shared" si="41"/>
        <v>0</v>
      </c>
      <c r="EU28" s="1131">
        <f t="shared" si="42"/>
        <v>0</v>
      </c>
      <c r="EV28" s="1197">
        <f t="shared" si="43"/>
        <v>0</v>
      </c>
    </row>
    <row r="29" spans="1:152">
      <c r="A29" s="1301">
        <f>Eingabedaten!A32</f>
        <v>8.01</v>
      </c>
      <c r="B29" s="388" t="str">
        <f>Eingabedaten!C32</f>
        <v xml:space="preserve">Bettenzimmer </v>
      </c>
      <c r="C29" s="653">
        <v>36</v>
      </c>
      <c r="D29" s="386">
        <v>0.18</v>
      </c>
      <c r="E29" s="386">
        <v>0.13</v>
      </c>
      <c r="F29" s="1247">
        <v>24</v>
      </c>
      <c r="G29" s="1248">
        <v>24</v>
      </c>
      <c r="H29" s="1248">
        <v>365</v>
      </c>
      <c r="I29" s="1248">
        <v>0.80000000000000016</v>
      </c>
      <c r="J29" s="1248">
        <v>7010</v>
      </c>
      <c r="K29" s="1248">
        <v>15</v>
      </c>
      <c r="L29" s="1249">
        <v>5.6</v>
      </c>
      <c r="M29" s="1249">
        <v>39.256</v>
      </c>
      <c r="N29" s="1254">
        <v>3.4</v>
      </c>
      <c r="O29" s="1251">
        <v>6</v>
      </c>
      <c r="P29" s="1132">
        <v>0</v>
      </c>
      <c r="Q29" s="1248">
        <v>1750</v>
      </c>
      <c r="R29" s="1132">
        <v>10.5</v>
      </c>
      <c r="S29" s="1249">
        <v>10.5</v>
      </c>
      <c r="T29" s="1132">
        <v>0</v>
      </c>
      <c r="U29" s="1252">
        <v>1.7142857142857142</v>
      </c>
      <c r="V29" s="1132">
        <v>90</v>
      </c>
      <c r="W29" s="1253">
        <v>0.78947368421052633</v>
      </c>
      <c r="X29" s="1253">
        <v>0.24509803921568629</v>
      </c>
      <c r="Y29" s="1249">
        <v>7.6032000000000011</v>
      </c>
      <c r="Z29" s="1249">
        <v>7.6404249839959864</v>
      </c>
      <c r="AA29" s="1249">
        <v>5.2777777777777777</v>
      </c>
      <c r="AB29" s="1132">
        <v>1554</v>
      </c>
      <c r="AC29" s="1254">
        <v>8.2016666666666662</v>
      </c>
      <c r="AD29" s="1253">
        <v>1.9333333333333333</v>
      </c>
      <c r="AE29" s="1198">
        <v>8760</v>
      </c>
      <c r="AF29" s="1249">
        <v>1.0633333333333335</v>
      </c>
      <c r="AG29" s="1132">
        <v>8760</v>
      </c>
      <c r="AH29" s="1254">
        <v>9.3148000000000017</v>
      </c>
      <c r="AI29" s="1251">
        <v>25.180436078431377</v>
      </c>
      <c r="AJ29" s="1132">
        <v>16.877777777777776</v>
      </c>
      <c r="AK29" s="1132">
        <v>186.23333333333329</v>
      </c>
      <c r="AL29" s="1132" t="s">
        <v>527</v>
      </c>
      <c r="AM29" s="1132" t="s">
        <v>528</v>
      </c>
      <c r="AN29" s="1132" t="s">
        <v>528</v>
      </c>
      <c r="AO29" s="1132">
        <v>29.440749699346402</v>
      </c>
      <c r="AP29" s="1249">
        <v>31.910762143790855</v>
      </c>
      <c r="AQ29" s="1132">
        <v>31.910762143790855</v>
      </c>
      <c r="AR29" s="1132">
        <v>430</v>
      </c>
      <c r="AS29" s="1254">
        <v>13.693829307923286</v>
      </c>
      <c r="AT29" s="1198">
        <v>0</v>
      </c>
      <c r="AU29" s="1132">
        <v>20.221176470588237</v>
      </c>
      <c r="AV29" s="1132">
        <v>189.95927391203165</v>
      </c>
      <c r="AW29" s="1253">
        <v>-0.55061089131952512</v>
      </c>
      <c r="AX29" s="1249">
        <v>16.879408496732026</v>
      </c>
      <c r="AY29" s="1132">
        <v>640</v>
      </c>
      <c r="AZ29" s="1253">
        <v>0.68500000000000016</v>
      </c>
      <c r="BA29" s="1254">
        <v>10.843158550297417</v>
      </c>
      <c r="BB29" s="1248">
        <v>60</v>
      </c>
      <c r="BC29" s="1132">
        <v>240</v>
      </c>
      <c r="BD29" s="1254">
        <v>67.744000000000014</v>
      </c>
      <c r="BF29" s="1198">
        <f>Eingabedaten!AP32*'Resultate Standard'!S29</f>
        <v>157.5</v>
      </c>
      <c r="BG29" s="1244">
        <v>10.798454557933084</v>
      </c>
      <c r="BH29" s="1245"/>
      <c r="BI29" s="1246"/>
      <c r="BJ29" s="653">
        <v>36</v>
      </c>
      <c r="BK29" s="386">
        <v>0.18</v>
      </c>
      <c r="BL29" s="386">
        <v>0.13</v>
      </c>
      <c r="BM29" s="1247">
        <v>24</v>
      </c>
      <c r="BN29" s="1248">
        <v>24</v>
      </c>
      <c r="BO29" s="1248">
        <v>365</v>
      </c>
      <c r="BP29" s="1248">
        <v>0.80000000000000016</v>
      </c>
      <c r="BQ29" s="1248">
        <v>15</v>
      </c>
      <c r="BR29" s="1248">
        <v>4.7</v>
      </c>
      <c r="BS29" s="1250">
        <v>5.5</v>
      </c>
      <c r="BT29" s="1251">
        <v>4</v>
      </c>
      <c r="BU29" s="1248">
        <v>1750</v>
      </c>
      <c r="BV29" s="1132">
        <v>7</v>
      </c>
      <c r="BW29" s="1252">
        <v>0.24509803921568629</v>
      </c>
      <c r="BX29" s="1249">
        <v>1.7142857142857142</v>
      </c>
      <c r="BY29" s="1132">
        <v>35.1</v>
      </c>
      <c r="BZ29" s="1249">
        <v>0.78947368421052633</v>
      </c>
      <c r="CA29" s="1249">
        <v>4.5109211775878437</v>
      </c>
      <c r="CB29" s="1249">
        <v>0</v>
      </c>
      <c r="CC29" s="1249">
        <v>4.5109211775878437</v>
      </c>
      <c r="CD29" s="1132">
        <v>3020</v>
      </c>
      <c r="CE29" s="1132">
        <v>0</v>
      </c>
      <c r="CF29" s="1198">
        <v>13.622981956315289</v>
      </c>
      <c r="CG29" s="1249">
        <v>2.4</v>
      </c>
      <c r="CH29" s="1249">
        <v>1.32</v>
      </c>
      <c r="CI29" s="1132">
        <v>7010</v>
      </c>
      <c r="CJ29" s="1198">
        <v>9.2532000000000014</v>
      </c>
      <c r="CK29" s="1251">
        <v>22.471380392156867</v>
      </c>
      <c r="CL29" s="1132">
        <v>13.210921177587842</v>
      </c>
      <c r="CM29" s="1132">
        <v>161.55810292900239</v>
      </c>
      <c r="CN29" s="1132" t="s">
        <v>527</v>
      </c>
      <c r="CO29" s="1132" t="s">
        <v>528</v>
      </c>
      <c r="CP29" s="1132" t="s">
        <v>528</v>
      </c>
      <c r="CQ29" s="1132">
        <v>23</v>
      </c>
      <c r="CR29" s="1132">
        <v>760</v>
      </c>
      <c r="CS29" s="1198">
        <v>17.403611111111111</v>
      </c>
      <c r="CT29" s="1132">
        <v>29.951811764705887</v>
      </c>
      <c r="CU29" s="1132">
        <v>128.24599827801833</v>
      </c>
      <c r="CV29" s="1132">
        <v>-1</v>
      </c>
      <c r="CW29" s="1132">
        <v>25.791837908496735</v>
      </c>
      <c r="CX29" s="1132">
        <v>810</v>
      </c>
      <c r="CY29" s="1198">
        <v>20.77848055055507</v>
      </c>
      <c r="CZ29" s="1248">
        <v>60</v>
      </c>
      <c r="DA29" s="1132">
        <v>240</v>
      </c>
      <c r="DB29" s="1198">
        <v>67.744000000000014</v>
      </c>
      <c r="DD29" s="653">
        <f t="shared" si="0"/>
        <v>0</v>
      </c>
      <c r="DE29" s="386">
        <f t="shared" si="1"/>
        <v>0</v>
      </c>
      <c r="DF29" s="386">
        <f t="shared" si="2"/>
        <v>0</v>
      </c>
      <c r="DG29" s="1247">
        <f t="shared" si="3"/>
        <v>0</v>
      </c>
      <c r="DH29" s="1248">
        <f t="shared" si="4"/>
        <v>0</v>
      </c>
      <c r="DI29" s="1248">
        <f t="shared" si="5"/>
        <v>0</v>
      </c>
      <c r="DJ29" s="1248">
        <f t="shared" si="6"/>
        <v>0</v>
      </c>
      <c r="DK29" s="1248">
        <f t="shared" si="7"/>
        <v>0</v>
      </c>
      <c r="DL29" s="1248">
        <f t="shared" si="8"/>
        <v>0.89999999999999947</v>
      </c>
      <c r="DM29" s="1250">
        <f t="shared" si="9"/>
        <v>-2.1</v>
      </c>
      <c r="DN29" s="1251">
        <f t="shared" si="10"/>
        <v>2</v>
      </c>
      <c r="DO29" s="1248">
        <f t="shared" si="11"/>
        <v>0</v>
      </c>
      <c r="DP29" s="1132">
        <f t="shared" si="12"/>
        <v>3.5</v>
      </c>
      <c r="DQ29" s="1252">
        <f t="shared" si="13"/>
        <v>1.4691876750700279</v>
      </c>
      <c r="DR29" s="1249">
        <f t="shared" si="14"/>
        <v>88.285714285714292</v>
      </c>
      <c r="DS29" s="1132">
        <f t="shared" si="15"/>
        <v>-34.310526315789474</v>
      </c>
      <c r="DT29" s="1249">
        <f t="shared" si="16"/>
        <v>-0.54437564499484004</v>
      </c>
      <c r="DU29" s="1249">
        <f t="shared" si="17"/>
        <v>3.0922788224121573</v>
      </c>
      <c r="DV29" s="1249">
        <f t="shared" si="18"/>
        <v>7.6404249839959864</v>
      </c>
      <c r="DW29" s="1249">
        <f t="shared" si="19"/>
        <v>0.76685660018993396</v>
      </c>
      <c r="DX29" s="1132">
        <f t="shared" si="20"/>
        <v>-1466</v>
      </c>
      <c r="DY29" s="1132" t="e">
        <f>#REF!-CE29</f>
        <v>#REF!</v>
      </c>
      <c r="DZ29" s="1198">
        <f t="shared" si="21"/>
        <v>-5.4213152896486232</v>
      </c>
      <c r="EA29" s="1249">
        <f t="shared" si="22"/>
        <v>-0.46666666666666656</v>
      </c>
      <c r="EB29" s="1249">
        <f t="shared" si="23"/>
        <v>-0.2566666666666666</v>
      </c>
      <c r="EC29" s="1132">
        <f t="shared" si="24"/>
        <v>1750</v>
      </c>
      <c r="ED29" s="1198">
        <f t="shared" si="25"/>
        <v>6.1600000000000321E-2</v>
      </c>
      <c r="EE29" s="1251">
        <f t="shared" si="26"/>
        <v>2.7090556862745103</v>
      </c>
      <c r="EF29" s="1132">
        <f t="shared" si="27"/>
        <v>3.6668566001899343</v>
      </c>
      <c r="EG29" s="1132">
        <f t="shared" si="28"/>
        <v>24.675230404330904</v>
      </c>
      <c r="EH29" s="1132" t="e">
        <f t="shared" si="29"/>
        <v>#VALUE!</v>
      </c>
      <c r="EI29" s="1132" t="e">
        <f t="shared" si="30"/>
        <v>#VALUE!</v>
      </c>
      <c r="EJ29" s="1132" t="e">
        <f t="shared" si="31"/>
        <v>#VALUE!</v>
      </c>
      <c r="EK29" s="1132">
        <f t="shared" si="32"/>
        <v>8.9107621437908549</v>
      </c>
      <c r="EL29" s="1132">
        <f t="shared" si="33"/>
        <v>-330</v>
      </c>
      <c r="EM29" s="1198">
        <f t="shared" si="34"/>
        <v>-17.403611111111111</v>
      </c>
      <c r="EN29" s="1132">
        <f t="shared" si="35"/>
        <v>-9.7306352941176506</v>
      </c>
      <c r="EO29" s="1132">
        <f t="shared" si="36"/>
        <v>61.713275634013314</v>
      </c>
      <c r="EP29" s="1132">
        <f t="shared" si="37"/>
        <v>0.44938910868047488</v>
      </c>
      <c r="EQ29" s="1132">
        <f t="shared" si="38"/>
        <v>-8.9124294117647089</v>
      </c>
      <c r="ER29" s="1132">
        <f t="shared" si="39"/>
        <v>-170</v>
      </c>
      <c r="ES29" s="1198">
        <f t="shared" si="40"/>
        <v>-9.9353220002576528</v>
      </c>
      <c r="ET29" s="1248">
        <f t="shared" si="41"/>
        <v>0</v>
      </c>
      <c r="EU29" s="1132">
        <f t="shared" si="42"/>
        <v>0</v>
      </c>
      <c r="EV29" s="1198">
        <f t="shared" si="43"/>
        <v>0</v>
      </c>
    </row>
    <row r="30" spans="1:152">
      <c r="A30" s="634">
        <f>Eingabedaten!A33</f>
        <v>8.02</v>
      </c>
      <c r="B30" s="463" t="str">
        <f>Eingabedaten!C33</f>
        <v xml:space="preserve">Stationszimmer </v>
      </c>
      <c r="C30" s="637">
        <v>36</v>
      </c>
      <c r="D30" s="379">
        <v>0.18</v>
      </c>
      <c r="E30" s="379">
        <v>0.125</v>
      </c>
      <c r="F30" s="1238">
        <v>24</v>
      </c>
      <c r="G30" s="1129">
        <v>10.799999999999995</v>
      </c>
      <c r="H30" s="1129">
        <v>365</v>
      </c>
      <c r="I30" s="1129">
        <v>0.80000000000000016</v>
      </c>
      <c r="J30" s="1129">
        <v>3150</v>
      </c>
      <c r="K30" s="1129">
        <v>3</v>
      </c>
      <c r="L30" s="1239">
        <v>28</v>
      </c>
      <c r="M30" s="1239">
        <v>88.2</v>
      </c>
      <c r="N30" s="1243">
        <v>17</v>
      </c>
      <c r="O30" s="1240">
        <v>10</v>
      </c>
      <c r="P30" s="1131">
        <v>0</v>
      </c>
      <c r="Q30" s="1129">
        <v>3150</v>
      </c>
      <c r="R30" s="1131">
        <v>31.5</v>
      </c>
      <c r="S30" s="1239">
        <v>31.5</v>
      </c>
      <c r="T30" s="1131">
        <v>0</v>
      </c>
      <c r="U30" s="1241">
        <v>1.3333333333333333</v>
      </c>
      <c r="V30" s="1131">
        <v>90</v>
      </c>
      <c r="W30" s="1242">
        <v>0.71428571428571419</v>
      </c>
      <c r="X30" s="1242">
        <v>0.29411764705882354</v>
      </c>
      <c r="Y30" s="1239">
        <v>6.3360000000000003</v>
      </c>
      <c r="Z30" s="1239">
        <v>6.6247701284943536</v>
      </c>
      <c r="AA30" s="1239">
        <v>9.7222222222222232</v>
      </c>
      <c r="AB30" s="1131">
        <v>5730</v>
      </c>
      <c r="AC30" s="1243">
        <v>55.708333333333336</v>
      </c>
      <c r="AD30" s="1242">
        <v>9.6666666666666661</v>
      </c>
      <c r="AE30" s="1197">
        <v>4140</v>
      </c>
      <c r="AF30" s="1239">
        <v>5.3166666666666664</v>
      </c>
      <c r="AG30" s="1131">
        <v>3140</v>
      </c>
      <c r="AH30" s="1243">
        <v>16.694333333333333</v>
      </c>
      <c r="AI30" s="1240">
        <v>32.070955294117653</v>
      </c>
      <c r="AJ30" s="1131">
        <v>47.722222222222221</v>
      </c>
      <c r="AK30" s="1131">
        <v>439.56666666666683</v>
      </c>
      <c r="AL30" s="1131" t="s">
        <v>528</v>
      </c>
      <c r="AM30" s="1131" t="s">
        <v>528</v>
      </c>
      <c r="AN30" s="1131" t="s">
        <v>528</v>
      </c>
      <c r="AO30" s="1131">
        <v>55.855224261437911</v>
      </c>
      <c r="AP30" s="1239">
        <v>64.635112156862746</v>
      </c>
      <c r="AQ30" s="1131">
        <v>64.635112156862746</v>
      </c>
      <c r="AR30" s="1131">
        <v>1130</v>
      </c>
      <c r="AS30" s="1243">
        <v>73.031712842168758</v>
      </c>
      <c r="AT30" s="1197">
        <v>0</v>
      </c>
      <c r="AU30" s="1131">
        <v>20.30541176470588</v>
      </c>
      <c r="AV30" s="1131">
        <v>190.41229228950849</v>
      </c>
      <c r="AW30" s="1242">
        <v>-0.54381561565737258</v>
      </c>
      <c r="AX30" s="1239">
        <v>16.381850980392155</v>
      </c>
      <c r="AY30" s="1131">
        <v>70</v>
      </c>
      <c r="AZ30" s="1242">
        <v>1.4992808219178082</v>
      </c>
      <c r="BA30" s="1243">
        <v>1.1928599041939563</v>
      </c>
      <c r="BB30" s="1129">
        <v>0</v>
      </c>
      <c r="BC30" s="1131">
        <v>0</v>
      </c>
      <c r="BD30" s="1243">
        <v>0</v>
      </c>
      <c r="BF30" s="1197">
        <f>Eingabedaten!AP33*'Resultate Standard'!S30</f>
        <v>94.5</v>
      </c>
      <c r="BG30" s="1244">
        <v>0.43781016290205799</v>
      </c>
      <c r="BH30" s="1245"/>
      <c r="BI30" s="1246"/>
      <c r="BJ30" s="637">
        <v>36</v>
      </c>
      <c r="BK30" s="379">
        <v>0.18</v>
      </c>
      <c r="BL30" s="379">
        <v>0.125</v>
      </c>
      <c r="BM30" s="1238">
        <v>24</v>
      </c>
      <c r="BN30" s="1129">
        <v>10.799999999999995</v>
      </c>
      <c r="BO30" s="1129">
        <v>365</v>
      </c>
      <c r="BP30" s="1129">
        <v>0.80000000000000016</v>
      </c>
      <c r="BQ30" s="1129">
        <v>3</v>
      </c>
      <c r="BR30" s="1129">
        <v>23.3</v>
      </c>
      <c r="BS30" s="1237">
        <v>26.5</v>
      </c>
      <c r="BT30" s="1240">
        <v>7</v>
      </c>
      <c r="BU30" s="1129">
        <v>3150</v>
      </c>
      <c r="BV30" s="1131">
        <v>22.05</v>
      </c>
      <c r="BW30" s="1241">
        <v>0.29411764705882354</v>
      </c>
      <c r="BX30" s="1239">
        <v>1.3333333333333333</v>
      </c>
      <c r="BY30" s="1131">
        <v>55.1</v>
      </c>
      <c r="BZ30" s="1239">
        <v>0.71428571428571419</v>
      </c>
      <c r="CA30" s="1239">
        <v>15.880217785843922</v>
      </c>
      <c r="CB30" s="1239">
        <v>0</v>
      </c>
      <c r="CC30" s="1239">
        <v>15.880217785843922</v>
      </c>
      <c r="CD30" s="1131">
        <v>5480</v>
      </c>
      <c r="CE30" s="1131">
        <v>0</v>
      </c>
      <c r="CF30" s="1197">
        <v>87.0235934664247</v>
      </c>
      <c r="CG30" s="1239">
        <v>12</v>
      </c>
      <c r="CH30" s="1239">
        <v>6.6000000000000005</v>
      </c>
      <c r="CI30" s="1131">
        <v>2920</v>
      </c>
      <c r="CJ30" s="1197">
        <v>19.271999999999998</v>
      </c>
      <c r="CK30" s="1240">
        <v>31.501176470588241</v>
      </c>
      <c r="CL30" s="1131">
        <v>46.180217785843922</v>
      </c>
      <c r="CM30" s="1131">
        <v>514.7042401762244</v>
      </c>
      <c r="CN30" s="1131" t="s">
        <v>528</v>
      </c>
      <c r="CO30" s="1131" t="s">
        <v>528</v>
      </c>
      <c r="CP30" s="1131" t="s">
        <v>528</v>
      </c>
      <c r="CQ30" s="1131">
        <v>49</v>
      </c>
      <c r="CR30" s="1131">
        <v>810</v>
      </c>
      <c r="CS30" s="1197">
        <v>39.685833333333335</v>
      </c>
      <c r="CT30" s="1131">
        <v>63.15529411764706</v>
      </c>
      <c r="CU30" s="1131">
        <v>61.220520844975972</v>
      </c>
      <c r="CV30" s="1131">
        <v>-2</v>
      </c>
      <c r="CW30" s="1131">
        <v>54.383725490196078</v>
      </c>
      <c r="CX30" s="1131">
        <v>170</v>
      </c>
      <c r="CY30" s="1197">
        <v>9.1321185174262549</v>
      </c>
      <c r="CZ30" s="1129">
        <v>0</v>
      </c>
      <c r="DA30" s="1131">
        <v>0</v>
      </c>
      <c r="DB30" s="1197">
        <v>0</v>
      </c>
      <c r="DD30" s="637">
        <f t="shared" si="0"/>
        <v>0</v>
      </c>
      <c r="DE30" s="379">
        <f t="shared" si="1"/>
        <v>0</v>
      </c>
      <c r="DF30" s="379">
        <f t="shared" si="2"/>
        <v>0</v>
      </c>
      <c r="DG30" s="1238">
        <f t="shared" si="3"/>
        <v>0</v>
      </c>
      <c r="DH30" s="1129">
        <f t="shared" si="4"/>
        <v>0</v>
      </c>
      <c r="DI30" s="1129">
        <f t="shared" si="5"/>
        <v>0</v>
      </c>
      <c r="DJ30" s="1129">
        <f t="shared" si="6"/>
        <v>0</v>
      </c>
      <c r="DK30" s="1129">
        <f t="shared" si="7"/>
        <v>0</v>
      </c>
      <c r="DL30" s="1129">
        <f t="shared" si="8"/>
        <v>4.6999999999999993</v>
      </c>
      <c r="DM30" s="1237">
        <f t="shared" si="9"/>
        <v>-9.5</v>
      </c>
      <c r="DN30" s="1240">
        <f t="shared" si="10"/>
        <v>3</v>
      </c>
      <c r="DO30" s="1129">
        <f t="shared" si="11"/>
        <v>0</v>
      </c>
      <c r="DP30" s="1131">
        <f t="shared" si="12"/>
        <v>9.4499999999999993</v>
      </c>
      <c r="DQ30" s="1241">
        <f t="shared" si="13"/>
        <v>1.0392156862745097</v>
      </c>
      <c r="DR30" s="1239">
        <f t="shared" si="14"/>
        <v>88.666666666666671</v>
      </c>
      <c r="DS30" s="1131">
        <f t="shared" si="15"/>
        <v>-54.385714285714286</v>
      </c>
      <c r="DT30" s="1239">
        <f t="shared" si="16"/>
        <v>-0.42016806722689065</v>
      </c>
      <c r="DU30" s="1239">
        <f t="shared" si="17"/>
        <v>-9.5442177858439212</v>
      </c>
      <c r="DV30" s="1239">
        <f t="shared" si="18"/>
        <v>6.6247701284943536</v>
      </c>
      <c r="DW30" s="1239">
        <f t="shared" si="19"/>
        <v>-6.1579955636216983</v>
      </c>
      <c r="DX30" s="1131">
        <f t="shared" si="20"/>
        <v>250</v>
      </c>
      <c r="DY30" s="1131" t="e">
        <f>#REF!-CE30</f>
        <v>#REF!</v>
      </c>
      <c r="DZ30" s="1197">
        <f t="shared" si="21"/>
        <v>-31.315260133091364</v>
      </c>
      <c r="EA30" s="1239">
        <f t="shared" si="22"/>
        <v>-2.3333333333333339</v>
      </c>
      <c r="EB30" s="1239">
        <f t="shared" si="23"/>
        <v>-1.2833333333333341</v>
      </c>
      <c r="EC30" s="1131">
        <f t="shared" si="24"/>
        <v>220</v>
      </c>
      <c r="ED30" s="1197">
        <f t="shared" si="25"/>
        <v>-2.5776666666666657</v>
      </c>
      <c r="EE30" s="1240">
        <f t="shared" si="26"/>
        <v>0.56977882352941123</v>
      </c>
      <c r="EF30" s="1131">
        <f t="shared" si="27"/>
        <v>1.5420044363782992</v>
      </c>
      <c r="EG30" s="1131">
        <f t="shared" si="28"/>
        <v>-75.137573509557569</v>
      </c>
      <c r="EH30" s="1131" t="e">
        <f t="shared" si="29"/>
        <v>#VALUE!</v>
      </c>
      <c r="EI30" s="1131" t="e">
        <f t="shared" si="30"/>
        <v>#VALUE!</v>
      </c>
      <c r="EJ30" s="1131" t="e">
        <f t="shared" si="31"/>
        <v>#VALUE!</v>
      </c>
      <c r="EK30" s="1131">
        <f t="shared" si="32"/>
        <v>15.635112156862746</v>
      </c>
      <c r="EL30" s="1131">
        <f t="shared" si="33"/>
        <v>320</v>
      </c>
      <c r="EM30" s="1197">
        <f t="shared" si="34"/>
        <v>-39.685833333333335</v>
      </c>
      <c r="EN30" s="1131">
        <f t="shared" si="35"/>
        <v>-42.849882352941179</v>
      </c>
      <c r="EO30" s="1131">
        <f t="shared" si="36"/>
        <v>129.19177144453252</v>
      </c>
      <c r="EP30" s="1131">
        <f t="shared" si="37"/>
        <v>1.4561843843426274</v>
      </c>
      <c r="EQ30" s="1131">
        <f t="shared" si="38"/>
        <v>-38.001874509803926</v>
      </c>
      <c r="ER30" s="1131">
        <f t="shared" si="39"/>
        <v>-100</v>
      </c>
      <c r="ES30" s="1197">
        <f t="shared" si="40"/>
        <v>-7.9392586132322984</v>
      </c>
      <c r="ET30" s="1129">
        <f t="shared" si="41"/>
        <v>0</v>
      </c>
      <c r="EU30" s="1131">
        <f t="shared" si="42"/>
        <v>0</v>
      </c>
      <c r="EV30" s="1197">
        <f t="shared" si="43"/>
        <v>0</v>
      </c>
    </row>
    <row r="31" spans="1:152">
      <c r="A31" s="638">
        <f>Eingabedaten!A34</f>
        <v>8.0299999999999994</v>
      </c>
      <c r="B31" s="592" t="str">
        <f>Eingabedaten!C34</f>
        <v>Behandlungsraum</v>
      </c>
      <c r="C31" s="654">
        <v>36</v>
      </c>
      <c r="D31" s="387">
        <v>0.18</v>
      </c>
      <c r="E31" s="387">
        <v>0.13</v>
      </c>
      <c r="F31" s="1227">
        <v>11</v>
      </c>
      <c r="G31" s="1130">
        <v>7.1999999999999993</v>
      </c>
      <c r="H31" s="1130">
        <v>313</v>
      </c>
      <c r="I31" s="1130">
        <v>0.80000000000000016</v>
      </c>
      <c r="J31" s="1130">
        <v>1800</v>
      </c>
      <c r="K31" s="1130">
        <v>5</v>
      </c>
      <c r="L31" s="1228">
        <v>16.8</v>
      </c>
      <c r="M31" s="1228">
        <v>30.24</v>
      </c>
      <c r="N31" s="1196">
        <v>10.199999999999999</v>
      </c>
      <c r="O31" s="1255">
        <v>15</v>
      </c>
      <c r="P31" s="1133">
        <v>15</v>
      </c>
      <c r="Q31" s="1130">
        <v>2180</v>
      </c>
      <c r="R31" s="1133">
        <v>32.700000000000003</v>
      </c>
      <c r="S31" s="1228">
        <v>32.700000000000003</v>
      </c>
      <c r="T31" s="1133">
        <v>32.700000000000003</v>
      </c>
      <c r="U31" s="1256">
        <v>1.3333333333333333</v>
      </c>
      <c r="V31" s="1133">
        <v>90</v>
      </c>
      <c r="W31" s="1257">
        <v>0.71428571428571419</v>
      </c>
      <c r="X31" s="1257">
        <v>0.29411764705882354</v>
      </c>
      <c r="Y31" s="1228">
        <v>6.3360000000000003</v>
      </c>
      <c r="Z31" s="1228">
        <v>7.6755366655352493</v>
      </c>
      <c r="AA31" s="1228">
        <v>14.583333333333334</v>
      </c>
      <c r="AB31" s="1133">
        <v>1922</v>
      </c>
      <c r="AC31" s="1196">
        <v>28.029166666666669</v>
      </c>
      <c r="AD31" s="1257">
        <v>5.8</v>
      </c>
      <c r="AE31" s="1199">
        <v>3970</v>
      </c>
      <c r="AF31" s="1228">
        <v>3.19</v>
      </c>
      <c r="AG31" s="1133">
        <v>3300</v>
      </c>
      <c r="AH31" s="1196">
        <v>10.526999999999999</v>
      </c>
      <c r="AI31" s="1255">
        <v>31.962955294117652</v>
      </c>
      <c r="AJ31" s="1133">
        <v>46.383333333333333</v>
      </c>
      <c r="AK31" s="1133">
        <v>245.45999999999998</v>
      </c>
      <c r="AL31" s="1133" t="s">
        <v>528</v>
      </c>
      <c r="AM31" s="1133" t="s">
        <v>528</v>
      </c>
      <c r="AN31" s="1133" t="s">
        <v>528</v>
      </c>
      <c r="AO31" s="1133">
        <v>54.842402039215692</v>
      </c>
      <c r="AP31" s="1228">
        <v>60.196071529411768</v>
      </c>
      <c r="AQ31" s="1133">
        <v>75.196071529411768</v>
      </c>
      <c r="AR31" s="1133">
        <v>410</v>
      </c>
      <c r="AS31" s="1196">
        <v>24.439366838652052</v>
      </c>
      <c r="AT31" s="1199">
        <v>0</v>
      </c>
      <c r="AU31" s="1133">
        <v>24.265411764705885</v>
      </c>
      <c r="AV31" s="1133">
        <v>166.01407959041191</v>
      </c>
      <c r="AW31" s="1257">
        <v>-0.90978880614382129</v>
      </c>
      <c r="AX31" s="1228">
        <v>20.497390196078435</v>
      </c>
      <c r="AY31" s="1133">
        <v>440</v>
      </c>
      <c r="AZ31" s="1257">
        <v>0.91816780821917821</v>
      </c>
      <c r="BA31" s="1196">
        <v>9.0281909308479538</v>
      </c>
      <c r="BB31" s="1130">
        <v>0</v>
      </c>
      <c r="BC31" s="1133">
        <v>0</v>
      </c>
      <c r="BD31" s="1196">
        <v>0</v>
      </c>
      <c r="BF31" s="1199">
        <f>Eingabedaten!AP34*'Resultate Standard'!S31</f>
        <v>163.5</v>
      </c>
      <c r="BG31" s="1244">
        <v>7.9796946870287764</v>
      </c>
      <c r="BH31" s="1245"/>
      <c r="BI31" s="1246"/>
      <c r="BJ31" s="654">
        <v>36</v>
      </c>
      <c r="BK31" s="387">
        <v>0.18</v>
      </c>
      <c r="BL31" s="387">
        <v>0.13</v>
      </c>
      <c r="BM31" s="1227">
        <v>11</v>
      </c>
      <c r="BN31" s="1130">
        <v>7.1999999999999993</v>
      </c>
      <c r="BO31" s="1130">
        <v>313</v>
      </c>
      <c r="BP31" s="1130">
        <v>0.80000000000000016</v>
      </c>
      <c r="BQ31" s="1130">
        <v>5</v>
      </c>
      <c r="BR31" s="1130">
        <v>14</v>
      </c>
      <c r="BS31" s="1229">
        <v>16</v>
      </c>
      <c r="BT31" s="1255">
        <v>20</v>
      </c>
      <c r="BU31" s="1130">
        <v>2180</v>
      </c>
      <c r="BV31" s="1133">
        <v>43.6</v>
      </c>
      <c r="BW31" s="1256">
        <v>0.29411764705882354</v>
      </c>
      <c r="BX31" s="1228">
        <v>1.3333333333333333</v>
      </c>
      <c r="BY31" s="1133">
        <v>55.1</v>
      </c>
      <c r="BZ31" s="1228">
        <v>0.71428571428571419</v>
      </c>
      <c r="CA31" s="1228">
        <v>15.880217785843922</v>
      </c>
      <c r="CB31" s="1228">
        <v>0</v>
      </c>
      <c r="CC31" s="1228">
        <v>15.880217785843922</v>
      </c>
      <c r="CD31" s="1133">
        <v>1450</v>
      </c>
      <c r="CE31" s="1133">
        <v>0</v>
      </c>
      <c r="CF31" s="1199">
        <v>23.026315789473689</v>
      </c>
      <c r="CG31" s="1228">
        <v>7.2</v>
      </c>
      <c r="CH31" s="1228">
        <v>3.9600000000000004</v>
      </c>
      <c r="CI31" s="1133">
        <v>1960</v>
      </c>
      <c r="CJ31" s="1199">
        <v>7.7616000000000005</v>
      </c>
      <c r="CK31" s="1255">
        <v>29.39637647058824</v>
      </c>
      <c r="CL31" s="1133">
        <v>49.880217785843925</v>
      </c>
      <c r="CM31" s="1133">
        <v>279.58184453194127</v>
      </c>
      <c r="CN31" s="1133" t="s">
        <v>528</v>
      </c>
      <c r="CO31" s="1133" t="s">
        <v>528</v>
      </c>
      <c r="CP31" s="1133" t="s">
        <v>528</v>
      </c>
      <c r="CQ31" s="1133">
        <v>44</v>
      </c>
      <c r="CR31" s="1133">
        <v>690</v>
      </c>
      <c r="CS31" s="1199">
        <v>30.210833333333333</v>
      </c>
      <c r="CT31" s="1133">
        <v>50.526494117647069</v>
      </c>
      <c r="CU31" s="1133">
        <v>79.728468605404913</v>
      </c>
      <c r="CV31" s="1133">
        <v>-2</v>
      </c>
      <c r="CW31" s="1133">
        <v>44.912439215686284</v>
      </c>
      <c r="CX31" s="1133">
        <v>250</v>
      </c>
      <c r="CY31" s="1199">
        <v>11.076484677102773</v>
      </c>
      <c r="CZ31" s="1130">
        <v>0</v>
      </c>
      <c r="DA31" s="1133">
        <v>0</v>
      </c>
      <c r="DB31" s="1199">
        <v>0</v>
      </c>
      <c r="DD31" s="654">
        <f t="shared" si="0"/>
        <v>0</v>
      </c>
      <c r="DE31" s="387">
        <f t="shared" si="1"/>
        <v>0</v>
      </c>
      <c r="DF31" s="387">
        <f t="shared" si="2"/>
        <v>0</v>
      </c>
      <c r="DG31" s="1227">
        <f t="shared" si="3"/>
        <v>0</v>
      </c>
      <c r="DH31" s="1130">
        <f t="shared" si="4"/>
        <v>0</v>
      </c>
      <c r="DI31" s="1130">
        <f t="shared" si="5"/>
        <v>0</v>
      </c>
      <c r="DJ31" s="1130">
        <f t="shared" si="6"/>
        <v>0</v>
      </c>
      <c r="DK31" s="1130">
        <f t="shared" si="7"/>
        <v>0</v>
      </c>
      <c r="DL31" s="1130">
        <f t="shared" si="8"/>
        <v>2.8000000000000007</v>
      </c>
      <c r="DM31" s="1229">
        <f t="shared" si="9"/>
        <v>-5.8000000000000007</v>
      </c>
      <c r="DN31" s="1255">
        <f t="shared" si="10"/>
        <v>-5</v>
      </c>
      <c r="DO31" s="1130">
        <f t="shared" si="11"/>
        <v>0</v>
      </c>
      <c r="DP31" s="1133">
        <f t="shared" si="12"/>
        <v>-10.899999999999999</v>
      </c>
      <c r="DQ31" s="1256">
        <f t="shared" si="13"/>
        <v>1.0392156862745097</v>
      </c>
      <c r="DR31" s="1228">
        <f t="shared" si="14"/>
        <v>88.666666666666671</v>
      </c>
      <c r="DS31" s="1133">
        <f t="shared" si="15"/>
        <v>-54.385714285714286</v>
      </c>
      <c r="DT31" s="1228">
        <f t="shared" si="16"/>
        <v>-0.42016806722689065</v>
      </c>
      <c r="DU31" s="1228">
        <f t="shared" si="17"/>
        <v>-9.5442177858439212</v>
      </c>
      <c r="DV31" s="1228">
        <f t="shared" si="18"/>
        <v>7.6755366655352493</v>
      </c>
      <c r="DW31" s="1228">
        <f t="shared" si="19"/>
        <v>-1.2968844525105876</v>
      </c>
      <c r="DX31" s="1133">
        <f t="shared" si="20"/>
        <v>472</v>
      </c>
      <c r="DY31" s="1133" t="e">
        <f>#REF!-CE31</f>
        <v>#REF!</v>
      </c>
      <c r="DZ31" s="1199">
        <f t="shared" si="21"/>
        <v>5.0028508771929801</v>
      </c>
      <c r="EA31" s="1228">
        <f t="shared" si="22"/>
        <v>-1.4000000000000004</v>
      </c>
      <c r="EB31" s="1228">
        <f t="shared" si="23"/>
        <v>-0.77000000000000046</v>
      </c>
      <c r="EC31" s="1133">
        <f t="shared" si="24"/>
        <v>1340</v>
      </c>
      <c r="ED31" s="1199">
        <f t="shared" si="25"/>
        <v>2.7653999999999987</v>
      </c>
      <c r="EE31" s="1255">
        <f t="shared" si="26"/>
        <v>2.5665788235294116</v>
      </c>
      <c r="EF31" s="1133">
        <f t="shared" si="27"/>
        <v>-3.4968844525105922</v>
      </c>
      <c r="EG31" s="1133">
        <f t="shared" si="28"/>
        <v>-34.121844531941292</v>
      </c>
      <c r="EH31" s="1133" t="e">
        <f t="shared" si="29"/>
        <v>#VALUE!</v>
      </c>
      <c r="EI31" s="1133" t="e">
        <f t="shared" si="30"/>
        <v>#VALUE!</v>
      </c>
      <c r="EJ31" s="1133" t="e">
        <f t="shared" si="31"/>
        <v>#VALUE!</v>
      </c>
      <c r="EK31" s="1133">
        <f t="shared" si="32"/>
        <v>31.196071529411768</v>
      </c>
      <c r="EL31" s="1133">
        <f t="shared" si="33"/>
        <v>-280</v>
      </c>
      <c r="EM31" s="1199">
        <f t="shared" si="34"/>
        <v>-30.210833333333333</v>
      </c>
      <c r="EN31" s="1133">
        <f t="shared" si="35"/>
        <v>-26.261082352941184</v>
      </c>
      <c r="EO31" s="1133">
        <f t="shared" si="36"/>
        <v>86.285610985006997</v>
      </c>
      <c r="EP31" s="1133">
        <f t="shared" si="37"/>
        <v>1.0902111938561787</v>
      </c>
      <c r="EQ31" s="1133">
        <f t="shared" si="38"/>
        <v>-24.415049019607849</v>
      </c>
      <c r="ER31" s="1133">
        <f t="shared" si="39"/>
        <v>190</v>
      </c>
      <c r="ES31" s="1199">
        <f t="shared" si="40"/>
        <v>-2.048293746254819</v>
      </c>
      <c r="ET31" s="1130">
        <f t="shared" si="41"/>
        <v>0</v>
      </c>
      <c r="EU31" s="1133">
        <f t="shared" si="42"/>
        <v>0</v>
      </c>
      <c r="EV31" s="1199">
        <f t="shared" si="43"/>
        <v>0</v>
      </c>
    </row>
    <row r="32" spans="1:152">
      <c r="A32" s="1472">
        <f>Eingabedaten!A35</f>
        <v>9.01</v>
      </c>
      <c r="B32" s="388" t="str">
        <f>Eingabedaten!C35</f>
        <v>Produktion (grobe Arbeit)</v>
      </c>
      <c r="C32" s="653">
        <v>400</v>
      </c>
      <c r="D32" s="386">
        <v>0.26</v>
      </c>
      <c r="E32" s="386">
        <v>0.115</v>
      </c>
      <c r="F32" s="1247">
        <v>24</v>
      </c>
      <c r="G32" s="1248">
        <v>14.2</v>
      </c>
      <c r="H32" s="1248">
        <v>261</v>
      </c>
      <c r="I32" s="1248">
        <v>0.80000000000000016</v>
      </c>
      <c r="J32" s="1248">
        <v>2960</v>
      </c>
      <c r="K32" s="1248">
        <v>15</v>
      </c>
      <c r="L32" s="1249">
        <v>1.9333333333333333</v>
      </c>
      <c r="M32" s="1249">
        <v>5.722666666666667</v>
      </c>
      <c r="N32" s="1254">
        <v>6.4</v>
      </c>
      <c r="O32" s="1251">
        <v>5</v>
      </c>
      <c r="P32" s="1132">
        <v>15</v>
      </c>
      <c r="Q32" s="1248">
        <v>3360</v>
      </c>
      <c r="R32" s="1132">
        <v>16.8</v>
      </c>
      <c r="S32" s="1249">
        <v>16.8</v>
      </c>
      <c r="T32" s="1132">
        <v>50.4</v>
      </c>
      <c r="U32" s="1252">
        <v>1.6</v>
      </c>
      <c r="V32" s="1132">
        <v>130</v>
      </c>
      <c r="W32" s="1253">
        <v>0.76923076923076927</v>
      </c>
      <c r="X32" s="1253">
        <v>0.20588235294117649</v>
      </c>
      <c r="Y32" s="1249">
        <v>6.3360000000000003</v>
      </c>
      <c r="Z32" s="1249">
        <v>6.8530117428551129</v>
      </c>
      <c r="AA32" s="1249">
        <v>3.75</v>
      </c>
      <c r="AB32" s="1132">
        <v>4145</v>
      </c>
      <c r="AC32" s="1254">
        <v>15.543749999999999</v>
      </c>
      <c r="AD32" s="1253">
        <v>3.2222222222222223</v>
      </c>
      <c r="AE32" s="1198">
        <v>5110</v>
      </c>
      <c r="AF32" s="1249">
        <v>1.7722222222222224</v>
      </c>
      <c r="AG32" s="1132">
        <v>4090</v>
      </c>
      <c r="AH32" s="1254">
        <v>7.2483888888888899</v>
      </c>
      <c r="AI32" s="1251">
        <v>20.653566013071899</v>
      </c>
      <c r="AJ32" s="1132">
        <v>10.683333333333334</v>
      </c>
      <c r="AK32" s="1132">
        <v>109.70333333333333</v>
      </c>
      <c r="AL32" s="1132" t="s">
        <v>1317</v>
      </c>
      <c r="AM32" s="1132" t="s">
        <v>527</v>
      </c>
      <c r="AN32" s="1132" t="s">
        <v>527</v>
      </c>
      <c r="AO32" s="1132">
        <v>21.93582954248366</v>
      </c>
      <c r="AP32" s="1249">
        <v>26.152069934640526</v>
      </c>
      <c r="AQ32" s="1132">
        <v>39.734955555555558</v>
      </c>
      <c r="AR32" s="1132">
        <v>190</v>
      </c>
      <c r="AS32" s="1254">
        <v>4.956276018563738</v>
      </c>
      <c r="AT32" s="1198">
        <v>0</v>
      </c>
      <c r="AU32" s="1132">
        <v>282.25098039215692</v>
      </c>
      <c r="AV32" s="1132">
        <v>149.93747742240251</v>
      </c>
      <c r="AW32" s="1253">
        <v>-1.1509378386639622</v>
      </c>
      <c r="AX32" s="1249">
        <v>18.805633333333336</v>
      </c>
      <c r="AY32" s="1132">
        <v>800</v>
      </c>
      <c r="AZ32" s="1253">
        <v>0.68763888888888902</v>
      </c>
      <c r="BA32" s="1254">
        <v>15.094722786649299</v>
      </c>
      <c r="BB32" s="1248">
        <v>3</v>
      </c>
      <c r="BC32" s="1132">
        <v>60</v>
      </c>
      <c r="BD32" s="1254">
        <v>2.4220800000000007</v>
      </c>
      <c r="BF32" s="1198">
        <f>Eingabedaten!AP35*'Resultate Standard'!S32</f>
        <v>252</v>
      </c>
      <c r="BG32" s="1244">
        <v>13.474300590835863</v>
      </c>
      <c r="BH32" s="1245"/>
      <c r="BI32" s="1246"/>
      <c r="BJ32" s="653">
        <v>400</v>
      </c>
      <c r="BK32" s="386">
        <v>0.26</v>
      </c>
      <c r="BL32" s="386">
        <v>0.115</v>
      </c>
      <c r="BM32" s="1247">
        <v>24</v>
      </c>
      <c r="BN32" s="1248">
        <v>14.2</v>
      </c>
      <c r="BO32" s="1248">
        <v>261</v>
      </c>
      <c r="BP32" s="1248">
        <v>0.80000000000000016</v>
      </c>
      <c r="BQ32" s="1248">
        <v>15</v>
      </c>
      <c r="BR32" s="1248">
        <v>6</v>
      </c>
      <c r="BS32" s="1250">
        <v>11.5</v>
      </c>
      <c r="BT32" s="1251">
        <v>10</v>
      </c>
      <c r="BU32" s="1248">
        <v>3360</v>
      </c>
      <c r="BV32" s="1132">
        <v>33.6</v>
      </c>
      <c r="BW32" s="1252">
        <v>0.20588235294117649</v>
      </c>
      <c r="BX32" s="1249">
        <v>1.6</v>
      </c>
      <c r="BY32" s="1132">
        <v>45.1</v>
      </c>
      <c r="BZ32" s="1249">
        <v>0.76923076923076927</v>
      </c>
      <c r="CA32" s="1249">
        <v>10.809312638580931</v>
      </c>
      <c r="CB32" s="1249">
        <v>0</v>
      </c>
      <c r="CC32" s="1249">
        <v>10.809312638580931</v>
      </c>
      <c r="CD32" s="1132">
        <v>3980</v>
      </c>
      <c r="CE32" s="1132">
        <v>0</v>
      </c>
      <c r="CF32" s="1198">
        <v>43.021064301552109</v>
      </c>
      <c r="CG32" s="1249">
        <v>10</v>
      </c>
      <c r="CH32" s="1249">
        <v>5.5</v>
      </c>
      <c r="CI32" s="1132">
        <v>3240</v>
      </c>
      <c r="CJ32" s="1198">
        <v>17.82</v>
      </c>
      <c r="CK32" s="1251">
        <v>17.782745098039221</v>
      </c>
      <c r="CL32" s="1132">
        <v>26.809312638580931</v>
      </c>
      <c r="CM32" s="1132">
        <v>361.67942023416742</v>
      </c>
      <c r="CN32" s="1132" t="s">
        <v>528</v>
      </c>
      <c r="CO32" s="1132" t="s">
        <v>528</v>
      </c>
      <c r="CP32" s="1132" t="s">
        <v>528</v>
      </c>
      <c r="CQ32" s="1132">
        <v>19</v>
      </c>
      <c r="CR32" s="1132">
        <v>180</v>
      </c>
      <c r="CS32" s="1198">
        <v>3.3576250000000001</v>
      </c>
      <c r="CT32" s="1132">
        <v>620.00784313725501</v>
      </c>
      <c r="CU32" s="1132">
        <v>68.25720104742507</v>
      </c>
      <c r="CV32" s="1132">
        <v>-2</v>
      </c>
      <c r="CW32" s="1132">
        <v>43.400549019607851</v>
      </c>
      <c r="CX32" s="1132">
        <v>640</v>
      </c>
      <c r="CY32" s="1198">
        <v>27.885573718745938</v>
      </c>
      <c r="CZ32" s="1248">
        <v>3</v>
      </c>
      <c r="DA32" s="1132">
        <v>60</v>
      </c>
      <c r="DB32" s="1198">
        <v>2.4220800000000007</v>
      </c>
      <c r="DD32" s="653">
        <f t="shared" si="0"/>
        <v>0</v>
      </c>
      <c r="DE32" s="386">
        <f t="shared" si="1"/>
        <v>0</v>
      </c>
      <c r="DF32" s="386">
        <f t="shared" si="2"/>
        <v>0</v>
      </c>
      <c r="DG32" s="1247">
        <f t="shared" si="3"/>
        <v>0</v>
      </c>
      <c r="DH32" s="1248">
        <f t="shared" si="4"/>
        <v>0</v>
      </c>
      <c r="DI32" s="1248">
        <f t="shared" si="5"/>
        <v>0</v>
      </c>
      <c r="DJ32" s="1248">
        <f t="shared" si="6"/>
        <v>0</v>
      </c>
      <c r="DK32" s="1248">
        <f t="shared" si="7"/>
        <v>0</v>
      </c>
      <c r="DL32" s="1248">
        <f t="shared" si="8"/>
        <v>-4.0666666666666664</v>
      </c>
      <c r="DM32" s="1250">
        <f t="shared" si="9"/>
        <v>-5.0999999999999996</v>
      </c>
      <c r="DN32" s="1251">
        <f t="shared" si="10"/>
        <v>-5</v>
      </c>
      <c r="DO32" s="1248">
        <f t="shared" si="11"/>
        <v>0</v>
      </c>
      <c r="DP32" s="1132">
        <f t="shared" si="12"/>
        <v>-16.8</v>
      </c>
      <c r="DQ32" s="1252">
        <f t="shared" si="13"/>
        <v>1.3941176470588237</v>
      </c>
      <c r="DR32" s="1249">
        <f t="shared" si="14"/>
        <v>128.4</v>
      </c>
      <c r="DS32" s="1132">
        <f t="shared" si="15"/>
        <v>-44.330769230769235</v>
      </c>
      <c r="DT32" s="1249">
        <f t="shared" si="16"/>
        <v>-0.56334841628959276</v>
      </c>
      <c r="DU32" s="1249">
        <f t="shared" si="17"/>
        <v>-4.4733126385809303</v>
      </c>
      <c r="DV32" s="1249">
        <f t="shared" si="18"/>
        <v>6.8530117428551129</v>
      </c>
      <c r="DW32" s="1249">
        <f t="shared" si="19"/>
        <v>-7.0593126385809306</v>
      </c>
      <c r="DX32" s="1132">
        <f t="shared" si="20"/>
        <v>165</v>
      </c>
      <c r="DY32" s="1132" t="e">
        <f>#REF!-CE32</f>
        <v>#REF!</v>
      </c>
      <c r="DZ32" s="1198">
        <f t="shared" si="21"/>
        <v>-27.477314301552109</v>
      </c>
      <c r="EA32" s="1249">
        <f t="shared" si="22"/>
        <v>-6.7777777777777777</v>
      </c>
      <c r="EB32" s="1249">
        <f t="shared" si="23"/>
        <v>-3.7277777777777779</v>
      </c>
      <c r="EC32" s="1132">
        <f t="shared" si="24"/>
        <v>850</v>
      </c>
      <c r="ED32" s="1198">
        <f t="shared" si="25"/>
        <v>-10.57161111111111</v>
      </c>
      <c r="EE32" s="1251">
        <f t="shared" si="26"/>
        <v>2.8708209150326773</v>
      </c>
      <c r="EF32" s="1132">
        <f t="shared" si="27"/>
        <v>-16.125979305247597</v>
      </c>
      <c r="EG32" s="1132">
        <f t="shared" si="28"/>
        <v>-251.9760869008341</v>
      </c>
      <c r="EH32" s="1132" t="e">
        <f t="shared" si="29"/>
        <v>#VALUE!</v>
      </c>
      <c r="EI32" s="1132" t="e">
        <f t="shared" si="30"/>
        <v>#VALUE!</v>
      </c>
      <c r="EJ32" s="1132" t="e">
        <f t="shared" si="31"/>
        <v>#VALUE!</v>
      </c>
      <c r="EK32" s="1132">
        <f t="shared" si="32"/>
        <v>20.734955555555558</v>
      </c>
      <c r="EL32" s="1132">
        <f t="shared" si="33"/>
        <v>10</v>
      </c>
      <c r="EM32" s="1198">
        <f t="shared" si="34"/>
        <v>-3.3576250000000001</v>
      </c>
      <c r="EN32" s="1132">
        <f t="shared" si="35"/>
        <v>-337.75686274509809</v>
      </c>
      <c r="EO32" s="1132">
        <f t="shared" si="36"/>
        <v>81.680276374977439</v>
      </c>
      <c r="EP32" s="1132">
        <f t="shared" si="37"/>
        <v>0.84906216133603785</v>
      </c>
      <c r="EQ32" s="1132">
        <f t="shared" si="38"/>
        <v>-24.594915686274515</v>
      </c>
      <c r="ER32" s="1132">
        <f t="shared" si="39"/>
        <v>160</v>
      </c>
      <c r="ES32" s="1198">
        <f t="shared" si="40"/>
        <v>-12.790850932096639</v>
      </c>
      <c r="ET32" s="1248">
        <f t="shared" si="41"/>
        <v>0</v>
      </c>
      <c r="EU32" s="1132">
        <f t="shared" si="42"/>
        <v>0</v>
      </c>
      <c r="EV32" s="1198">
        <f t="shared" si="43"/>
        <v>0</v>
      </c>
    </row>
    <row r="33" spans="1:152">
      <c r="A33" s="634">
        <f>Eingabedaten!A36</f>
        <v>9.02</v>
      </c>
      <c r="B33" s="463" t="str">
        <f>Eingabedaten!C36</f>
        <v>Produktion (feine Arbeit)</v>
      </c>
      <c r="C33" s="637">
        <v>400</v>
      </c>
      <c r="D33" s="379">
        <v>0.18</v>
      </c>
      <c r="E33" s="379">
        <v>0.125</v>
      </c>
      <c r="F33" s="1238">
        <v>11</v>
      </c>
      <c r="G33" s="1129">
        <v>7.1999999999999993</v>
      </c>
      <c r="H33" s="1129">
        <v>261</v>
      </c>
      <c r="I33" s="1129">
        <v>0.80000000000000016</v>
      </c>
      <c r="J33" s="1129">
        <v>1500</v>
      </c>
      <c r="K33" s="1129">
        <v>15</v>
      </c>
      <c r="L33" s="1239">
        <v>5.6</v>
      </c>
      <c r="M33" s="1239">
        <v>8.4</v>
      </c>
      <c r="N33" s="1243">
        <v>3.4</v>
      </c>
      <c r="O33" s="1240">
        <v>5</v>
      </c>
      <c r="P33" s="1131">
        <v>10</v>
      </c>
      <c r="Q33" s="1129">
        <v>2440</v>
      </c>
      <c r="R33" s="1131">
        <v>12.2</v>
      </c>
      <c r="S33" s="1239">
        <v>12.2</v>
      </c>
      <c r="T33" s="1131">
        <v>24.4</v>
      </c>
      <c r="U33" s="1241">
        <v>1.6</v>
      </c>
      <c r="V33" s="1131">
        <v>130</v>
      </c>
      <c r="W33" s="1242">
        <v>0.76923076923076927</v>
      </c>
      <c r="X33" s="1242">
        <v>0.20588235294117649</v>
      </c>
      <c r="Y33" s="1239">
        <v>6.3360000000000003</v>
      </c>
      <c r="Z33" s="1239">
        <v>8.0319195316203054</v>
      </c>
      <c r="AA33" s="1239">
        <v>6.25</v>
      </c>
      <c r="AB33" s="1131">
        <v>1677</v>
      </c>
      <c r="AC33" s="1243">
        <v>10.481250000000001</v>
      </c>
      <c r="AD33" s="1242">
        <v>1.9333333333333333</v>
      </c>
      <c r="AE33" s="1197">
        <v>3900</v>
      </c>
      <c r="AF33" s="1239">
        <v>1.0633333333333335</v>
      </c>
      <c r="AG33" s="1131">
        <v>3900</v>
      </c>
      <c r="AH33" s="1243">
        <v>4.1470000000000011</v>
      </c>
      <c r="AI33" s="1240">
        <v>21.820004705882358</v>
      </c>
      <c r="AJ33" s="1131">
        <v>16.850000000000001</v>
      </c>
      <c r="AK33" s="1131">
        <v>89.32</v>
      </c>
      <c r="AL33" s="1131" t="s">
        <v>1317</v>
      </c>
      <c r="AM33" s="1131" t="s">
        <v>1317</v>
      </c>
      <c r="AN33" s="1131" t="s">
        <v>527</v>
      </c>
      <c r="AO33" s="1131">
        <v>27.069003294117653</v>
      </c>
      <c r="AP33" s="1239">
        <v>30.230337960784318</v>
      </c>
      <c r="AQ33" s="1131">
        <v>39.978592470588239</v>
      </c>
      <c r="AR33" s="1131">
        <v>160</v>
      </c>
      <c r="AS33" s="1243">
        <v>4.732962097128123</v>
      </c>
      <c r="AT33" s="1197">
        <v>0</v>
      </c>
      <c r="AU33" s="1131">
        <v>282.25098039215692</v>
      </c>
      <c r="AV33" s="1131">
        <v>149.93747742240251</v>
      </c>
      <c r="AW33" s="1242">
        <v>-1.1509378386639622</v>
      </c>
      <c r="AX33" s="1239">
        <v>20.922515686274515</v>
      </c>
      <c r="AY33" s="1131">
        <v>600</v>
      </c>
      <c r="AZ33" s="1242">
        <v>0.38818493150684935</v>
      </c>
      <c r="BA33" s="1243">
        <v>12.552226055744933</v>
      </c>
      <c r="BB33" s="1129">
        <v>3</v>
      </c>
      <c r="BC33" s="1131">
        <v>60</v>
      </c>
      <c r="BD33" s="1243">
        <v>2.4220800000000007</v>
      </c>
      <c r="BF33" s="1197">
        <f>Eingabedaten!AP36*'Resultate Standard'!S33</f>
        <v>183</v>
      </c>
      <c r="BG33" s="1244">
        <v>14.467435304374431</v>
      </c>
      <c r="BH33" s="1245"/>
      <c r="BI33" s="1246"/>
      <c r="BJ33" s="637">
        <v>400</v>
      </c>
      <c r="BK33" s="379">
        <v>0.18</v>
      </c>
      <c r="BL33" s="379">
        <v>0.12</v>
      </c>
      <c r="BM33" s="1238">
        <v>11</v>
      </c>
      <c r="BN33" s="1129">
        <v>7.1999999999999993</v>
      </c>
      <c r="BO33" s="1129">
        <v>261</v>
      </c>
      <c r="BP33" s="1129">
        <v>0.80000000000000016</v>
      </c>
      <c r="BQ33" s="1129">
        <v>15</v>
      </c>
      <c r="BR33" s="1129">
        <v>4.7</v>
      </c>
      <c r="BS33" s="1237">
        <v>5.5</v>
      </c>
      <c r="BT33" s="1240">
        <v>10</v>
      </c>
      <c r="BU33" s="1129">
        <v>2440</v>
      </c>
      <c r="BV33" s="1131">
        <v>24.4</v>
      </c>
      <c r="BW33" s="1241">
        <v>0.20588235294117649</v>
      </c>
      <c r="BX33" s="1239">
        <v>1.6</v>
      </c>
      <c r="BY33" s="1131">
        <v>55.1</v>
      </c>
      <c r="BZ33" s="1239">
        <v>0.76923076923076927</v>
      </c>
      <c r="CA33" s="1239">
        <v>14.745916515426497</v>
      </c>
      <c r="CB33" s="1239">
        <v>0</v>
      </c>
      <c r="CC33" s="1239">
        <v>14.745916515426497</v>
      </c>
      <c r="CD33" s="1131">
        <v>1560</v>
      </c>
      <c r="CE33" s="1131">
        <v>0</v>
      </c>
      <c r="CF33" s="1197">
        <v>23.003629764065337</v>
      </c>
      <c r="CG33" s="1239">
        <v>10</v>
      </c>
      <c r="CH33" s="1239">
        <v>5.5</v>
      </c>
      <c r="CI33" s="1131">
        <v>1630</v>
      </c>
      <c r="CJ33" s="1197">
        <v>8.9649999999999999</v>
      </c>
      <c r="CK33" s="1240">
        <v>23.982823529411775</v>
      </c>
      <c r="CL33" s="1131">
        <v>29.445916515426497</v>
      </c>
      <c r="CM33" s="1131">
        <v>201.54466161921201</v>
      </c>
      <c r="CN33" s="1131" t="s">
        <v>528</v>
      </c>
      <c r="CO33" s="1131" t="s">
        <v>528</v>
      </c>
      <c r="CP33" s="1131" t="s">
        <v>528</v>
      </c>
      <c r="CQ33" s="1131">
        <v>31</v>
      </c>
      <c r="CR33" s="1131">
        <v>280</v>
      </c>
      <c r="CS33" s="1197">
        <v>8.7797999999999998</v>
      </c>
      <c r="CT33" s="1131">
        <v>620.00784313725501</v>
      </c>
      <c r="CU33" s="1131">
        <v>68.25720104742507</v>
      </c>
      <c r="CV33" s="1131">
        <v>-2</v>
      </c>
      <c r="CW33" s="1131">
        <v>46.500588235294124</v>
      </c>
      <c r="CX33" s="1131">
        <v>700</v>
      </c>
      <c r="CY33" s="1197">
        <v>32.56192183025383</v>
      </c>
      <c r="CZ33" s="1129">
        <v>3</v>
      </c>
      <c r="DA33" s="1131">
        <v>60</v>
      </c>
      <c r="DB33" s="1197">
        <v>2.4220800000000007</v>
      </c>
      <c r="DD33" s="637">
        <f t="shared" si="0"/>
        <v>0</v>
      </c>
      <c r="DE33" s="379">
        <f t="shared" si="1"/>
        <v>0</v>
      </c>
      <c r="DF33" s="379">
        <f t="shared" si="2"/>
        <v>5.0000000000000044E-3</v>
      </c>
      <c r="DG33" s="1238">
        <f t="shared" si="3"/>
        <v>0</v>
      </c>
      <c r="DH33" s="1129">
        <f t="shared" si="4"/>
        <v>0</v>
      </c>
      <c r="DI33" s="1129">
        <f t="shared" si="5"/>
        <v>0</v>
      </c>
      <c r="DJ33" s="1129">
        <f t="shared" si="6"/>
        <v>0</v>
      </c>
      <c r="DK33" s="1129">
        <f t="shared" si="7"/>
        <v>0</v>
      </c>
      <c r="DL33" s="1129">
        <f t="shared" si="8"/>
        <v>0.89999999999999947</v>
      </c>
      <c r="DM33" s="1237">
        <f t="shared" si="9"/>
        <v>-2.1</v>
      </c>
      <c r="DN33" s="1240">
        <f t="shared" si="10"/>
        <v>-5</v>
      </c>
      <c r="DO33" s="1129">
        <f t="shared" si="11"/>
        <v>0</v>
      </c>
      <c r="DP33" s="1131">
        <f t="shared" si="12"/>
        <v>-12.2</v>
      </c>
      <c r="DQ33" s="1241">
        <f t="shared" si="13"/>
        <v>1.3941176470588237</v>
      </c>
      <c r="DR33" s="1239">
        <f t="shared" si="14"/>
        <v>128.4</v>
      </c>
      <c r="DS33" s="1131">
        <f t="shared" si="15"/>
        <v>-54.330769230769235</v>
      </c>
      <c r="DT33" s="1239">
        <f t="shared" si="16"/>
        <v>-0.56334841628959276</v>
      </c>
      <c r="DU33" s="1239">
        <f t="shared" si="17"/>
        <v>-8.409916515426497</v>
      </c>
      <c r="DV33" s="1239">
        <f t="shared" si="18"/>
        <v>8.0319195316203054</v>
      </c>
      <c r="DW33" s="1239">
        <f t="shared" si="19"/>
        <v>-8.4959165154264973</v>
      </c>
      <c r="DX33" s="1131">
        <f t="shared" si="20"/>
        <v>117</v>
      </c>
      <c r="DY33" s="1131" t="e">
        <f>#REF!-CE33</f>
        <v>#REF!</v>
      </c>
      <c r="DZ33" s="1197">
        <f t="shared" si="21"/>
        <v>-12.522379764065336</v>
      </c>
      <c r="EA33" s="1239">
        <f t="shared" si="22"/>
        <v>-8.0666666666666664</v>
      </c>
      <c r="EB33" s="1239">
        <f t="shared" si="23"/>
        <v>-4.4366666666666665</v>
      </c>
      <c r="EC33" s="1131">
        <f t="shared" si="24"/>
        <v>2270</v>
      </c>
      <c r="ED33" s="1197">
        <f t="shared" si="25"/>
        <v>-4.8179999999999987</v>
      </c>
      <c r="EE33" s="1240">
        <f t="shared" si="26"/>
        <v>-2.1628188235294168</v>
      </c>
      <c r="EF33" s="1131">
        <f t="shared" si="27"/>
        <v>-12.595916515426495</v>
      </c>
      <c r="EG33" s="1131">
        <f t="shared" si="28"/>
        <v>-112.22466161921201</v>
      </c>
      <c r="EH33" s="1131" t="e">
        <f t="shared" si="29"/>
        <v>#VALUE!</v>
      </c>
      <c r="EI33" s="1131" t="e">
        <f t="shared" si="30"/>
        <v>#VALUE!</v>
      </c>
      <c r="EJ33" s="1131" t="e">
        <f t="shared" si="31"/>
        <v>#VALUE!</v>
      </c>
      <c r="EK33" s="1131">
        <f t="shared" si="32"/>
        <v>8.9785924705882394</v>
      </c>
      <c r="EL33" s="1131">
        <f t="shared" si="33"/>
        <v>-120</v>
      </c>
      <c r="EM33" s="1197">
        <f t="shared" si="34"/>
        <v>-8.7797999999999998</v>
      </c>
      <c r="EN33" s="1131">
        <f t="shared" si="35"/>
        <v>-337.75686274509809</v>
      </c>
      <c r="EO33" s="1131">
        <f t="shared" si="36"/>
        <v>81.680276374977439</v>
      </c>
      <c r="EP33" s="1131">
        <f t="shared" si="37"/>
        <v>0.84906216133603785</v>
      </c>
      <c r="EQ33" s="1131">
        <f t="shared" si="38"/>
        <v>-25.578072549019609</v>
      </c>
      <c r="ER33" s="1131">
        <f t="shared" si="39"/>
        <v>-100</v>
      </c>
      <c r="ES33" s="1197">
        <f t="shared" si="40"/>
        <v>-20.009695774508899</v>
      </c>
      <c r="ET33" s="1129">
        <f t="shared" si="41"/>
        <v>0</v>
      </c>
      <c r="EU33" s="1131">
        <f t="shared" si="42"/>
        <v>0</v>
      </c>
      <c r="EV33" s="1197">
        <f t="shared" si="43"/>
        <v>0</v>
      </c>
    </row>
    <row r="34" spans="1:152">
      <c r="A34" s="638">
        <f>Eingabedaten!A37</f>
        <v>9.0299999999999994</v>
      </c>
      <c r="B34" s="592" t="str">
        <f>Eingabedaten!C37</f>
        <v>Laborraum</v>
      </c>
      <c r="C34" s="654">
        <v>70</v>
      </c>
      <c r="D34" s="387">
        <v>0.18</v>
      </c>
      <c r="E34" s="387">
        <v>0.125</v>
      </c>
      <c r="F34" s="1227">
        <v>11</v>
      </c>
      <c r="G34" s="1130">
        <v>7.1999999999999993</v>
      </c>
      <c r="H34" s="1130">
        <v>261</v>
      </c>
      <c r="I34" s="1130">
        <v>0.80000000000000016</v>
      </c>
      <c r="J34" s="1130">
        <v>1500</v>
      </c>
      <c r="K34" s="1130">
        <v>15</v>
      </c>
      <c r="L34" s="1228">
        <v>5.6</v>
      </c>
      <c r="M34" s="1228">
        <v>8.4</v>
      </c>
      <c r="N34" s="1196">
        <v>3.4</v>
      </c>
      <c r="O34" s="1255">
        <v>5</v>
      </c>
      <c r="P34" s="1133">
        <v>15</v>
      </c>
      <c r="Q34" s="1130">
        <v>2440</v>
      </c>
      <c r="R34" s="1133">
        <v>12.2</v>
      </c>
      <c r="S34" s="1228">
        <v>12.2</v>
      </c>
      <c r="T34" s="1133">
        <v>36.6</v>
      </c>
      <c r="U34" s="1256">
        <v>1.2669683257918551</v>
      </c>
      <c r="V34" s="1133">
        <v>90</v>
      </c>
      <c r="W34" s="1257">
        <v>0.69860279441117767</v>
      </c>
      <c r="X34" s="1257">
        <v>0.33613445378151263</v>
      </c>
      <c r="Y34" s="1228">
        <v>6.3360000000000003</v>
      </c>
      <c r="Z34" s="1228">
        <v>6.3544829562679208</v>
      </c>
      <c r="AA34" s="1228">
        <v>9.9404761904761898</v>
      </c>
      <c r="AB34" s="1133">
        <v>1327</v>
      </c>
      <c r="AC34" s="1196">
        <v>13.191011904761904</v>
      </c>
      <c r="AD34" s="1257">
        <v>1.9333333333333333</v>
      </c>
      <c r="AE34" s="1199">
        <v>3900</v>
      </c>
      <c r="AF34" s="1228">
        <v>1.0633333333333335</v>
      </c>
      <c r="AG34" s="1133">
        <v>3900</v>
      </c>
      <c r="AH34" s="1196">
        <v>4.1470000000000011</v>
      </c>
      <c r="AI34" s="1255">
        <v>34.581937478991605</v>
      </c>
      <c r="AJ34" s="1133">
        <v>20.540476190476191</v>
      </c>
      <c r="AK34" s="1133">
        <v>89.32</v>
      </c>
      <c r="AL34" s="1133" t="s">
        <v>1317</v>
      </c>
      <c r="AM34" s="1133" t="s">
        <v>1317</v>
      </c>
      <c r="AN34" s="1133" t="s">
        <v>527</v>
      </c>
      <c r="AO34" s="1133">
        <v>38.585689568627458</v>
      </c>
      <c r="AP34" s="1228">
        <v>42.965571854341732</v>
      </c>
      <c r="AQ34" s="1133">
        <v>56.300214319327736</v>
      </c>
      <c r="AR34" s="1133">
        <v>120</v>
      </c>
      <c r="AS34" s="1196">
        <v>5.3191977705098026</v>
      </c>
      <c r="AT34" s="1199">
        <v>0</v>
      </c>
      <c r="AU34" s="1133">
        <v>61.363137254901964</v>
      </c>
      <c r="AV34" s="1133">
        <v>130.9581022009765</v>
      </c>
      <c r="AW34" s="1257">
        <v>-1.4356284669853525</v>
      </c>
      <c r="AX34" s="1228">
        <v>26.242058263305324</v>
      </c>
      <c r="AY34" s="1133">
        <v>780</v>
      </c>
      <c r="AZ34" s="1257">
        <v>0.38818493150684935</v>
      </c>
      <c r="BA34" s="1196">
        <v>20.439720165467186</v>
      </c>
      <c r="BB34" s="1130">
        <v>3</v>
      </c>
      <c r="BC34" s="1133">
        <v>60</v>
      </c>
      <c r="BD34" s="1196">
        <v>2.4220800000000007</v>
      </c>
      <c r="BF34" s="1199">
        <f>Eingabedaten!AP37*'Resultate Standard'!S34</f>
        <v>183</v>
      </c>
      <c r="BG34" s="1244">
        <v>27.894035174412537</v>
      </c>
      <c r="BH34" s="1245"/>
      <c r="BI34" s="1246"/>
      <c r="BJ34" s="654">
        <v>70</v>
      </c>
      <c r="BK34" s="387">
        <v>0.18</v>
      </c>
      <c r="BL34" s="387">
        <v>0.125</v>
      </c>
      <c r="BM34" s="1227">
        <v>11</v>
      </c>
      <c r="BN34" s="1130">
        <v>7.1999999999999993</v>
      </c>
      <c r="BO34" s="1130">
        <v>261</v>
      </c>
      <c r="BP34" s="1130">
        <v>0.80000000000000016</v>
      </c>
      <c r="BQ34" s="1130">
        <v>15</v>
      </c>
      <c r="BR34" s="1130">
        <v>4.7</v>
      </c>
      <c r="BS34" s="1229">
        <v>5.5</v>
      </c>
      <c r="BT34" s="1255">
        <v>20</v>
      </c>
      <c r="BU34" s="1130">
        <v>2440</v>
      </c>
      <c r="BV34" s="1133">
        <v>48.8</v>
      </c>
      <c r="BW34" s="1256">
        <v>0.33613445378151263</v>
      </c>
      <c r="BX34" s="1228">
        <v>1.2669683257918551</v>
      </c>
      <c r="BY34" s="1133">
        <v>55.1</v>
      </c>
      <c r="BZ34" s="1228">
        <v>0.69860279441117767</v>
      </c>
      <c r="CA34" s="1228">
        <v>16.236712470832252</v>
      </c>
      <c r="CB34" s="1228">
        <v>0</v>
      </c>
      <c r="CC34" s="1228">
        <v>16.236712470832252</v>
      </c>
      <c r="CD34" s="1133">
        <v>1140</v>
      </c>
      <c r="CE34" s="1133">
        <v>0</v>
      </c>
      <c r="CF34" s="1199">
        <v>18.509852216748769</v>
      </c>
      <c r="CG34" s="1228">
        <v>20</v>
      </c>
      <c r="CH34" s="1228">
        <v>11</v>
      </c>
      <c r="CI34" s="1133">
        <v>1470</v>
      </c>
      <c r="CJ34" s="1199">
        <v>16.170000000000002</v>
      </c>
      <c r="CK34" s="1255">
        <v>40.863058823529428</v>
      </c>
      <c r="CL34" s="1133">
        <v>40.936712470832248</v>
      </c>
      <c r="CM34" s="1133">
        <v>230.67647765971938</v>
      </c>
      <c r="CN34" s="1133" t="s">
        <v>528</v>
      </c>
      <c r="CO34" s="1133" t="s">
        <v>528</v>
      </c>
      <c r="CP34" s="1133" t="s">
        <v>528</v>
      </c>
      <c r="CQ34" s="1133">
        <v>48</v>
      </c>
      <c r="CR34" s="1133">
        <v>330</v>
      </c>
      <c r="CS34" s="1199">
        <v>15.816428571428572</v>
      </c>
      <c r="CT34" s="1133">
        <v>197.06509803921571</v>
      </c>
      <c r="CU34" s="1133">
        <v>40.778403075722956</v>
      </c>
      <c r="CV34" s="1133">
        <v>-3</v>
      </c>
      <c r="CW34" s="1133">
        <v>90.086901960784331</v>
      </c>
      <c r="CX34" s="1133">
        <v>690</v>
      </c>
      <c r="CY34" s="1199">
        <v>62.394370143279538</v>
      </c>
      <c r="CZ34" s="1130">
        <v>3</v>
      </c>
      <c r="DA34" s="1133">
        <v>60</v>
      </c>
      <c r="DB34" s="1199">
        <v>2.4220800000000007</v>
      </c>
      <c r="DD34" s="654">
        <f t="shared" si="0"/>
        <v>0</v>
      </c>
      <c r="DE34" s="387">
        <f t="shared" si="1"/>
        <v>0</v>
      </c>
      <c r="DF34" s="387">
        <f t="shared" si="2"/>
        <v>0</v>
      </c>
      <c r="DG34" s="1227">
        <f t="shared" si="3"/>
        <v>0</v>
      </c>
      <c r="DH34" s="1130">
        <f t="shared" si="4"/>
        <v>0</v>
      </c>
      <c r="DI34" s="1130">
        <f t="shared" si="5"/>
        <v>0</v>
      </c>
      <c r="DJ34" s="1130">
        <f t="shared" si="6"/>
        <v>0</v>
      </c>
      <c r="DK34" s="1130">
        <f t="shared" si="7"/>
        <v>0</v>
      </c>
      <c r="DL34" s="1130">
        <f t="shared" si="8"/>
        <v>0.89999999999999947</v>
      </c>
      <c r="DM34" s="1229">
        <f t="shared" si="9"/>
        <v>-2.1</v>
      </c>
      <c r="DN34" s="1255">
        <f t="shared" si="10"/>
        <v>-15</v>
      </c>
      <c r="DO34" s="1130">
        <f t="shared" si="11"/>
        <v>0</v>
      </c>
      <c r="DP34" s="1133">
        <f t="shared" si="12"/>
        <v>-36.599999999999994</v>
      </c>
      <c r="DQ34" s="1256">
        <f t="shared" si="13"/>
        <v>0.93083387201034251</v>
      </c>
      <c r="DR34" s="1228">
        <f t="shared" si="14"/>
        <v>88.733031674208149</v>
      </c>
      <c r="DS34" s="1133">
        <f t="shared" si="15"/>
        <v>-54.401397205588822</v>
      </c>
      <c r="DT34" s="1228">
        <f t="shared" si="16"/>
        <v>-0.36246834062966504</v>
      </c>
      <c r="DU34" s="1228">
        <f t="shared" si="17"/>
        <v>-9.9007124708322518</v>
      </c>
      <c r="DV34" s="1228">
        <f t="shared" si="18"/>
        <v>6.3544829562679208</v>
      </c>
      <c r="DW34" s="1228">
        <f t="shared" si="19"/>
        <v>-6.2962362803560623</v>
      </c>
      <c r="DX34" s="1133">
        <f t="shared" si="20"/>
        <v>187</v>
      </c>
      <c r="DY34" s="1133" t="e">
        <f>#REF!-CE34</f>
        <v>#REF!</v>
      </c>
      <c r="DZ34" s="1199">
        <f t="shared" si="21"/>
        <v>-5.3188403119868646</v>
      </c>
      <c r="EA34" s="1228">
        <f t="shared" si="22"/>
        <v>-18.066666666666666</v>
      </c>
      <c r="EB34" s="1228">
        <f t="shared" si="23"/>
        <v>-9.9366666666666674</v>
      </c>
      <c r="EC34" s="1133">
        <f t="shared" si="24"/>
        <v>2430</v>
      </c>
      <c r="ED34" s="1199">
        <f t="shared" si="25"/>
        <v>-12.023</v>
      </c>
      <c r="EE34" s="1255">
        <f t="shared" si="26"/>
        <v>-6.2811213445378229</v>
      </c>
      <c r="EF34" s="1133">
        <f t="shared" si="27"/>
        <v>-20.396236280356057</v>
      </c>
      <c r="EG34" s="1133">
        <f t="shared" si="28"/>
        <v>-141.35647765971939</v>
      </c>
      <c r="EH34" s="1133" t="e">
        <f t="shared" si="29"/>
        <v>#VALUE!</v>
      </c>
      <c r="EI34" s="1133" t="e">
        <f t="shared" si="30"/>
        <v>#VALUE!</v>
      </c>
      <c r="EJ34" s="1133" t="e">
        <f t="shared" si="31"/>
        <v>#VALUE!</v>
      </c>
      <c r="EK34" s="1133">
        <f t="shared" si="32"/>
        <v>8.3002143193277362</v>
      </c>
      <c r="EL34" s="1133">
        <f t="shared" si="33"/>
        <v>-210</v>
      </c>
      <c r="EM34" s="1199">
        <f t="shared" si="34"/>
        <v>-15.816428571428572</v>
      </c>
      <c r="EN34" s="1133">
        <f t="shared" si="35"/>
        <v>-135.70196078431374</v>
      </c>
      <c r="EO34" s="1133">
        <f t="shared" si="36"/>
        <v>90.179699125253535</v>
      </c>
      <c r="EP34" s="1133">
        <f t="shared" si="37"/>
        <v>1.5643715330146475</v>
      </c>
      <c r="EQ34" s="1133">
        <f t="shared" si="38"/>
        <v>-63.844843697479007</v>
      </c>
      <c r="ER34" s="1133">
        <f t="shared" si="39"/>
        <v>90</v>
      </c>
      <c r="ES34" s="1199">
        <f t="shared" si="40"/>
        <v>-41.954649977812352</v>
      </c>
      <c r="ET34" s="1130">
        <f t="shared" si="41"/>
        <v>0</v>
      </c>
      <c r="EU34" s="1133">
        <f t="shared" si="42"/>
        <v>0</v>
      </c>
      <c r="EV34" s="1199">
        <f t="shared" si="43"/>
        <v>0</v>
      </c>
    </row>
    <row r="35" spans="1:152">
      <c r="A35" s="634">
        <f>Eingabedaten!A38</f>
        <v>10.01</v>
      </c>
      <c r="B35" s="463" t="str">
        <f>Eingabedaten!C38</f>
        <v>Lagerhalle</v>
      </c>
      <c r="C35" s="637">
        <v>400</v>
      </c>
      <c r="D35" s="379">
        <v>0</v>
      </c>
      <c r="E35" s="379">
        <v>0.115</v>
      </c>
      <c r="F35" s="1238">
        <v>24</v>
      </c>
      <c r="G35" s="1129">
        <v>14.2</v>
      </c>
      <c r="H35" s="1129">
        <v>261</v>
      </c>
      <c r="I35" s="1129">
        <v>0.80000000000000016</v>
      </c>
      <c r="J35" s="1129">
        <v>2960</v>
      </c>
      <c r="K35" s="1129">
        <v>40</v>
      </c>
      <c r="L35" s="1239">
        <v>1.7749999999999999</v>
      </c>
      <c r="M35" s="1239">
        <v>5.2539999999999996</v>
      </c>
      <c r="N35" s="1243">
        <v>2.7250000000000001</v>
      </c>
      <c r="O35" s="1240">
        <v>2</v>
      </c>
      <c r="P35" s="1131">
        <v>0</v>
      </c>
      <c r="Q35" s="1129">
        <v>3160</v>
      </c>
      <c r="R35" s="1131">
        <v>6.32</v>
      </c>
      <c r="S35" s="1239">
        <v>6.32</v>
      </c>
      <c r="T35" s="1131">
        <v>0</v>
      </c>
      <c r="U35" s="1241">
        <v>1.4388489208633093</v>
      </c>
      <c r="V35" s="1131">
        <v>130</v>
      </c>
      <c r="W35" s="1242">
        <v>0.73746312684365778</v>
      </c>
      <c r="X35" s="1242">
        <v>0.20588235294117649</v>
      </c>
      <c r="Y35" s="1239">
        <v>6.3360000000000003</v>
      </c>
      <c r="Z35" s="1239">
        <v>6.8530117428551129</v>
      </c>
      <c r="AA35" s="1239">
        <v>3.9115384615384619</v>
      </c>
      <c r="AB35" s="1131">
        <v>4145</v>
      </c>
      <c r="AC35" s="1243">
        <v>16.213326923076924</v>
      </c>
      <c r="AD35" s="1242">
        <v>1.2083333333333335</v>
      </c>
      <c r="AE35" s="1197">
        <v>6240</v>
      </c>
      <c r="AF35" s="1239">
        <v>0.41083333333333344</v>
      </c>
      <c r="AG35" s="1131">
        <v>6240</v>
      </c>
      <c r="AH35" s="1243">
        <v>2.563600000000001</v>
      </c>
      <c r="AI35" s="1240">
        <v>22.078192156862752</v>
      </c>
      <c r="AJ35" s="1131">
        <v>7.6865384615384613</v>
      </c>
      <c r="AK35" s="1131">
        <v>65.339615384615385</v>
      </c>
      <c r="AL35" s="1131" t="s">
        <v>16</v>
      </c>
      <c r="AM35" s="1131" t="s">
        <v>16</v>
      </c>
      <c r="AN35" s="1131" t="s">
        <v>16</v>
      </c>
      <c r="AO35" s="1131">
        <v>0</v>
      </c>
      <c r="AP35" s="1131">
        <v>0</v>
      </c>
      <c r="AQ35" s="1131">
        <v>0</v>
      </c>
      <c r="AR35" s="1131">
        <v>0</v>
      </c>
      <c r="AS35" s="1197">
        <v>0</v>
      </c>
      <c r="AT35" s="1197">
        <v>0</v>
      </c>
      <c r="AU35" s="1131">
        <v>282.25098039215692</v>
      </c>
      <c r="AV35" s="1131">
        <v>149.93747742240251</v>
      </c>
      <c r="AW35" s="1242">
        <v>-1.1509378386639622</v>
      </c>
      <c r="AX35" s="1239">
        <v>18.805633333333336</v>
      </c>
      <c r="AY35" s="1131">
        <v>510</v>
      </c>
      <c r="AZ35" s="1242">
        <v>0.37616438356164394</v>
      </c>
      <c r="BA35" s="1243">
        <v>9.6329444067037233</v>
      </c>
      <c r="BB35" s="1129">
        <v>3</v>
      </c>
      <c r="BC35" s="1131">
        <v>60</v>
      </c>
      <c r="BD35" s="1243">
        <v>0.9082800000000002</v>
      </c>
      <c r="BF35" s="1197">
        <f>Eingabedaten!AP38*'Resultate Standard'!S35</f>
        <v>252.8</v>
      </c>
      <c r="BG35" s="1244">
        <v>8.8951288929052748</v>
      </c>
      <c r="BH35" s="1245"/>
      <c r="BI35" s="1246"/>
      <c r="BJ35" s="637">
        <v>400</v>
      </c>
      <c r="BK35" s="379" t="s">
        <v>193</v>
      </c>
      <c r="BL35" s="379">
        <v>0.115</v>
      </c>
      <c r="BM35" s="1238">
        <v>24</v>
      </c>
      <c r="BN35" s="1129">
        <v>14.2</v>
      </c>
      <c r="BO35" s="1129">
        <v>261</v>
      </c>
      <c r="BP35" s="1129">
        <v>0.80000000000000016</v>
      </c>
      <c r="BQ35" s="1129">
        <v>40</v>
      </c>
      <c r="BR35" s="1129">
        <v>2.2999999999999998</v>
      </c>
      <c r="BS35" s="1237">
        <v>4.5</v>
      </c>
      <c r="BT35" s="1240">
        <v>0</v>
      </c>
      <c r="BU35" s="1129">
        <v>3160</v>
      </c>
      <c r="BV35" s="1131">
        <v>0</v>
      </c>
      <c r="BW35" s="1241">
        <v>0.20588235294117649</v>
      </c>
      <c r="BX35" s="1239">
        <v>1.4388489208633093</v>
      </c>
      <c r="BY35" s="1131">
        <v>35.1</v>
      </c>
      <c r="BZ35" s="1239">
        <v>0.73746312684365778</v>
      </c>
      <c r="CA35" s="1239">
        <v>4.8290598290598297</v>
      </c>
      <c r="CB35" s="1239">
        <v>0</v>
      </c>
      <c r="CC35" s="1239">
        <v>4.8290598290598297</v>
      </c>
      <c r="CD35" s="1131">
        <v>3940</v>
      </c>
      <c r="CE35" s="1131">
        <v>0</v>
      </c>
      <c r="CF35" s="1197">
        <v>19.026495726495728</v>
      </c>
      <c r="CG35" s="1239">
        <v>1.5</v>
      </c>
      <c r="CH35" s="1239">
        <v>0.51</v>
      </c>
      <c r="CI35" s="1131">
        <v>4990</v>
      </c>
      <c r="CJ35" s="1197">
        <v>2.5449000000000002</v>
      </c>
      <c r="CK35" s="1240">
        <v>14.682705882352947</v>
      </c>
      <c r="CL35" s="1131">
        <v>7.1290598290598295</v>
      </c>
      <c r="CM35" s="1131">
        <v>90.450261256793098</v>
      </c>
      <c r="CN35" s="1131" t="s">
        <v>16</v>
      </c>
      <c r="CO35" s="1131" t="s">
        <v>16</v>
      </c>
      <c r="CP35" s="1131" t="s">
        <v>16</v>
      </c>
      <c r="CQ35" s="1131">
        <v>0</v>
      </c>
      <c r="CR35" s="1131">
        <v>0</v>
      </c>
      <c r="CS35" s="1197">
        <v>0</v>
      </c>
      <c r="CT35" s="1131">
        <v>293.60784313725492</v>
      </c>
      <c r="CU35" s="1131">
        <v>144.13783892079604</v>
      </c>
      <c r="CV35" s="1131">
        <v>-1</v>
      </c>
      <c r="CW35" s="1131">
        <v>19.818529411764708</v>
      </c>
      <c r="CX35" s="1131">
        <v>1000</v>
      </c>
      <c r="CY35" s="1197">
        <v>19.913440445353928</v>
      </c>
      <c r="CZ35" s="1129">
        <v>3</v>
      </c>
      <c r="DA35" s="1131">
        <v>60</v>
      </c>
      <c r="DB35" s="1197">
        <v>0.9082800000000002</v>
      </c>
      <c r="DD35" s="637">
        <f t="shared" si="0"/>
        <v>0</v>
      </c>
      <c r="DE35" s="379" t="e">
        <f t="shared" si="1"/>
        <v>#VALUE!</v>
      </c>
      <c r="DF35" s="379">
        <f t="shared" si="2"/>
        <v>0</v>
      </c>
      <c r="DG35" s="1238">
        <f t="shared" si="3"/>
        <v>0</v>
      </c>
      <c r="DH35" s="1129">
        <f t="shared" si="4"/>
        <v>0</v>
      </c>
      <c r="DI35" s="1129">
        <f t="shared" si="5"/>
        <v>0</v>
      </c>
      <c r="DJ35" s="1129">
        <f t="shared" si="6"/>
        <v>0</v>
      </c>
      <c r="DK35" s="1129">
        <f t="shared" si="7"/>
        <v>0</v>
      </c>
      <c r="DL35" s="1129">
        <f t="shared" si="8"/>
        <v>-0.52499999999999991</v>
      </c>
      <c r="DM35" s="1237">
        <f t="shared" si="9"/>
        <v>-1.7749999999999999</v>
      </c>
      <c r="DN35" s="1240">
        <f t="shared" si="10"/>
        <v>2</v>
      </c>
      <c r="DO35" s="1129">
        <f t="shared" si="11"/>
        <v>0</v>
      </c>
      <c r="DP35" s="1131">
        <f t="shared" si="12"/>
        <v>6.32</v>
      </c>
      <c r="DQ35" s="1241">
        <f t="shared" si="13"/>
        <v>1.2329665679221329</v>
      </c>
      <c r="DR35" s="1239">
        <f t="shared" si="14"/>
        <v>128.56115107913669</v>
      </c>
      <c r="DS35" s="1131">
        <f t="shared" si="15"/>
        <v>-34.362536873156344</v>
      </c>
      <c r="DT35" s="1239">
        <f t="shared" si="16"/>
        <v>-0.53158077390248126</v>
      </c>
      <c r="DU35" s="1239">
        <f t="shared" si="17"/>
        <v>1.5069401709401706</v>
      </c>
      <c r="DV35" s="1239">
        <f t="shared" si="18"/>
        <v>6.8530117428551129</v>
      </c>
      <c r="DW35" s="1239">
        <f t="shared" si="19"/>
        <v>-0.91752136752136781</v>
      </c>
      <c r="DX35" s="1131">
        <f t="shared" si="20"/>
        <v>205</v>
      </c>
      <c r="DY35" s="1131" t="e">
        <f>#REF!-CE35</f>
        <v>#REF!</v>
      </c>
      <c r="DZ35" s="1197">
        <f t="shared" si="21"/>
        <v>-2.8131688034188045</v>
      </c>
      <c r="EA35" s="1239">
        <f t="shared" si="22"/>
        <v>-0.29166666666666652</v>
      </c>
      <c r="EB35" s="1239">
        <f t="shared" si="23"/>
        <v>-9.916666666666657E-2</v>
      </c>
      <c r="EC35" s="1131">
        <f t="shared" si="24"/>
        <v>1250</v>
      </c>
      <c r="ED35" s="1197">
        <f t="shared" si="25"/>
        <v>1.8700000000000827E-2</v>
      </c>
      <c r="EE35" s="1240">
        <f t="shared" si="26"/>
        <v>7.3954862745098051</v>
      </c>
      <c r="EF35" s="1131">
        <f t="shared" si="27"/>
        <v>0.55747863247863183</v>
      </c>
      <c r="EG35" s="1131">
        <f t="shared" si="28"/>
        <v>-25.110645872177713</v>
      </c>
      <c r="EH35" s="1131" t="e">
        <f t="shared" si="29"/>
        <v>#VALUE!</v>
      </c>
      <c r="EI35" s="1131" t="e">
        <f t="shared" si="30"/>
        <v>#VALUE!</v>
      </c>
      <c r="EJ35" s="1131" t="e">
        <f t="shared" si="31"/>
        <v>#VALUE!</v>
      </c>
      <c r="EK35" s="1131">
        <f t="shared" si="32"/>
        <v>0</v>
      </c>
      <c r="EL35" s="1131">
        <f t="shared" si="33"/>
        <v>0</v>
      </c>
      <c r="EM35" s="1197">
        <f t="shared" si="34"/>
        <v>0</v>
      </c>
      <c r="EN35" s="1131">
        <f t="shared" si="35"/>
        <v>-11.356862745097999</v>
      </c>
      <c r="EO35" s="1131">
        <f t="shared" si="36"/>
        <v>5.7996385016064664</v>
      </c>
      <c r="EP35" s="1131">
        <f t="shared" si="37"/>
        <v>-0.15093783866396215</v>
      </c>
      <c r="EQ35" s="1131">
        <f t="shared" si="38"/>
        <v>-1.0128960784313712</v>
      </c>
      <c r="ER35" s="1131">
        <f t="shared" si="39"/>
        <v>-490</v>
      </c>
      <c r="ES35" s="1197">
        <f t="shared" si="40"/>
        <v>-10.280496038650204</v>
      </c>
      <c r="ET35" s="1129">
        <f t="shared" si="41"/>
        <v>0</v>
      </c>
      <c r="EU35" s="1131">
        <f t="shared" si="42"/>
        <v>0</v>
      </c>
      <c r="EV35" s="1197">
        <f t="shared" si="43"/>
        <v>0</v>
      </c>
    </row>
    <row r="36" spans="1:152">
      <c r="A36" s="1472">
        <f>Eingabedaten!A39</f>
        <v>11.01</v>
      </c>
      <c r="B36" s="388" t="str">
        <f>Eingabedaten!C39</f>
        <v>Turnhalle</v>
      </c>
      <c r="C36" s="653">
        <v>600</v>
      </c>
      <c r="D36" s="386">
        <v>0</v>
      </c>
      <c r="E36" s="386">
        <v>0.115</v>
      </c>
      <c r="F36" s="1247">
        <v>15</v>
      </c>
      <c r="G36" s="1248">
        <v>11.600000000000001</v>
      </c>
      <c r="H36" s="1248">
        <v>261</v>
      </c>
      <c r="I36" s="1253">
        <v>0.69890410958904103</v>
      </c>
      <c r="J36" s="1132">
        <v>2120</v>
      </c>
      <c r="K36" s="1248">
        <v>20</v>
      </c>
      <c r="L36" s="1249">
        <v>3.2</v>
      </c>
      <c r="M36" s="1249">
        <v>6.7839999999999998</v>
      </c>
      <c r="N36" s="1254">
        <v>8.75</v>
      </c>
      <c r="O36" s="1251">
        <v>1</v>
      </c>
      <c r="P36" s="1132">
        <v>0</v>
      </c>
      <c r="Q36" s="1248">
        <v>2590</v>
      </c>
      <c r="R36" s="1132">
        <v>2.59</v>
      </c>
      <c r="S36" s="1249">
        <v>2.59</v>
      </c>
      <c r="T36" s="1132">
        <v>0</v>
      </c>
      <c r="U36" s="1252">
        <v>1.7266187050359711</v>
      </c>
      <c r="V36" s="1132">
        <v>90</v>
      </c>
      <c r="W36" s="1253">
        <v>0.79155672823219003</v>
      </c>
      <c r="X36" s="1253">
        <v>0.20588235294117646</v>
      </c>
      <c r="Y36" s="1249">
        <v>6.3360000000000003</v>
      </c>
      <c r="Z36" s="1249">
        <v>8.0319195316203054</v>
      </c>
      <c r="AA36" s="1249">
        <v>8.773148148148147</v>
      </c>
      <c r="AB36" s="1132">
        <v>2244</v>
      </c>
      <c r="AC36" s="1254">
        <v>19.686944444444439</v>
      </c>
      <c r="AD36" s="1253">
        <v>3.625</v>
      </c>
      <c r="AE36" s="1198">
        <v>4060</v>
      </c>
      <c r="AF36" s="1249">
        <v>1.2325000000000002</v>
      </c>
      <c r="AG36" s="1132">
        <v>3410</v>
      </c>
      <c r="AH36" s="1254">
        <v>4.2028250000000007</v>
      </c>
      <c r="AI36" s="1251">
        <v>29.287725490196078</v>
      </c>
      <c r="AJ36" s="1132">
        <v>12.973148148148148</v>
      </c>
      <c r="AK36" s="1132">
        <v>76.63944444444445</v>
      </c>
      <c r="AL36" s="1132" t="s">
        <v>16</v>
      </c>
      <c r="AM36" s="1132" t="s">
        <v>16</v>
      </c>
      <c r="AN36" s="1132" t="s">
        <v>16</v>
      </c>
      <c r="AO36" s="1132">
        <v>0</v>
      </c>
      <c r="AP36" s="1132">
        <v>0</v>
      </c>
      <c r="AQ36" s="1132">
        <v>0</v>
      </c>
      <c r="AR36" s="1132">
        <v>0</v>
      </c>
      <c r="AS36" s="1198">
        <v>0</v>
      </c>
      <c r="AT36" s="1198">
        <v>0</v>
      </c>
      <c r="AU36" s="1132">
        <v>407.97647058823532</v>
      </c>
      <c r="AV36" s="1132">
        <v>148.83211257858008</v>
      </c>
      <c r="AW36" s="1253">
        <v>-1.1675183113212988</v>
      </c>
      <c r="AX36" s="1249">
        <v>18.132866666666665</v>
      </c>
      <c r="AY36" s="1132">
        <v>1620</v>
      </c>
      <c r="AZ36" s="1253">
        <v>1.7605593607305936</v>
      </c>
      <c r="BA36" s="1254">
        <v>29.411197237886949</v>
      </c>
      <c r="BB36" s="1248">
        <v>120</v>
      </c>
      <c r="BC36" s="1132">
        <v>360</v>
      </c>
      <c r="BD36" s="1254">
        <v>63.48006246575342</v>
      </c>
      <c r="BF36" s="1198">
        <f>Eingabedaten!AP39*'Resultate Standard'!S36</f>
        <v>51.8</v>
      </c>
      <c r="BG36" s="1244">
        <v>11.029921616359973</v>
      </c>
      <c r="BH36" s="1245"/>
      <c r="BI36" s="1246"/>
      <c r="BJ36" s="653">
        <v>600</v>
      </c>
      <c r="BK36" s="386" t="s">
        <v>193</v>
      </c>
      <c r="BL36" s="386">
        <v>0.115</v>
      </c>
      <c r="BM36" s="1247">
        <v>15</v>
      </c>
      <c r="BN36" s="1248">
        <v>11.600000000000001</v>
      </c>
      <c r="BO36" s="1248">
        <v>261</v>
      </c>
      <c r="BP36" s="1253">
        <v>0.69890410958904103</v>
      </c>
      <c r="BQ36" s="1248">
        <v>20</v>
      </c>
      <c r="BR36" s="1248">
        <v>6</v>
      </c>
      <c r="BS36" s="1250">
        <v>14</v>
      </c>
      <c r="BT36" s="1251">
        <v>0</v>
      </c>
      <c r="BU36" s="1248">
        <v>4270</v>
      </c>
      <c r="BV36" s="1132">
        <v>0</v>
      </c>
      <c r="BW36" s="1252">
        <v>0.20588235294117646</v>
      </c>
      <c r="BX36" s="1249">
        <v>1.7266187050359711</v>
      </c>
      <c r="BY36" s="1132">
        <v>45.1</v>
      </c>
      <c r="BZ36" s="1249">
        <v>0.79155672823219003</v>
      </c>
      <c r="CA36" s="1249">
        <v>10.504434589800443</v>
      </c>
      <c r="CB36" s="1249">
        <v>0</v>
      </c>
      <c r="CC36" s="1249">
        <v>10.504434589800443</v>
      </c>
      <c r="CD36" s="1132">
        <v>1920</v>
      </c>
      <c r="CE36" s="1132">
        <v>0</v>
      </c>
      <c r="CF36" s="1198">
        <v>20.168514412416851</v>
      </c>
      <c r="CG36" s="1249">
        <v>4.5</v>
      </c>
      <c r="CH36" s="1249">
        <v>1.53</v>
      </c>
      <c r="CI36" s="1132">
        <v>3300</v>
      </c>
      <c r="CJ36" s="1198">
        <v>5.0490000000000004</v>
      </c>
      <c r="CK36" s="1251">
        <v>14.682705882352943</v>
      </c>
      <c r="CL36" s="1132">
        <v>16.504434589800443</v>
      </c>
      <c r="CM36" s="1132">
        <v>115.08650111497667</v>
      </c>
      <c r="CN36" s="1132" t="s">
        <v>16</v>
      </c>
      <c r="CO36" s="1132" t="s">
        <v>16</v>
      </c>
      <c r="CP36" s="1132" t="s">
        <v>16</v>
      </c>
      <c r="CQ36" s="1132">
        <v>0</v>
      </c>
      <c r="CR36" s="1132">
        <v>0</v>
      </c>
      <c r="CS36" s="1198">
        <v>0</v>
      </c>
      <c r="CT36" s="1132">
        <v>597.8117647058823</v>
      </c>
      <c r="CU36" s="1132">
        <v>101.57043334514111</v>
      </c>
      <c r="CV36" s="1132">
        <v>-1</v>
      </c>
      <c r="CW36" s="1132">
        <v>26.901529411764706</v>
      </c>
      <c r="CX36" s="1132">
        <v>850</v>
      </c>
      <c r="CY36" s="1198">
        <v>22.844559272836566</v>
      </c>
      <c r="CZ36" s="1248">
        <v>100</v>
      </c>
      <c r="DA36" s="1132">
        <v>300</v>
      </c>
      <c r="DB36" s="1198">
        <v>52.900052054794521</v>
      </c>
      <c r="DD36" s="653">
        <f t="shared" si="0"/>
        <v>0</v>
      </c>
      <c r="DE36" s="386" t="e">
        <f t="shared" si="1"/>
        <v>#VALUE!</v>
      </c>
      <c r="DF36" s="386">
        <f t="shared" si="2"/>
        <v>0</v>
      </c>
      <c r="DG36" s="1247">
        <f t="shared" si="3"/>
        <v>0</v>
      </c>
      <c r="DH36" s="1248">
        <f t="shared" si="4"/>
        <v>0</v>
      </c>
      <c r="DI36" s="1248">
        <f t="shared" si="5"/>
        <v>0</v>
      </c>
      <c r="DJ36" s="1253">
        <f t="shared" si="6"/>
        <v>0</v>
      </c>
      <c r="DK36" s="1248">
        <f t="shared" si="7"/>
        <v>0</v>
      </c>
      <c r="DL36" s="1248">
        <f t="shared" si="8"/>
        <v>-2.8</v>
      </c>
      <c r="DM36" s="1250">
        <f t="shared" si="9"/>
        <v>-5.25</v>
      </c>
      <c r="DN36" s="1251">
        <f t="shared" si="10"/>
        <v>1</v>
      </c>
      <c r="DO36" s="1248">
        <f t="shared" si="11"/>
        <v>-1680</v>
      </c>
      <c r="DP36" s="1132">
        <f t="shared" si="12"/>
        <v>2.59</v>
      </c>
      <c r="DQ36" s="1252">
        <f t="shared" si="13"/>
        <v>1.5207363520947947</v>
      </c>
      <c r="DR36" s="1249">
        <f t="shared" si="14"/>
        <v>88.273381294964025</v>
      </c>
      <c r="DS36" s="1132">
        <f t="shared" si="15"/>
        <v>-44.308443271767814</v>
      </c>
      <c r="DT36" s="1249">
        <f t="shared" si="16"/>
        <v>-0.58567437529101363</v>
      </c>
      <c r="DU36" s="1249">
        <f t="shared" si="17"/>
        <v>-4.1684345898004427</v>
      </c>
      <c r="DV36" s="1249">
        <f t="shared" si="18"/>
        <v>8.0319195316203054</v>
      </c>
      <c r="DW36" s="1249">
        <f t="shared" si="19"/>
        <v>-1.7312864416522959</v>
      </c>
      <c r="DX36" s="1132">
        <f t="shared" si="20"/>
        <v>324</v>
      </c>
      <c r="DY36" s="1132" t="e">
        <f>#REF!-CE36</f>
        <v>#REF!</v>
      </c>
      <c r="DZ36" s="1198">
        <f t="shared" si="21"/>
        <v>-0.48156996797241192</v>
      </c>
      <c r="EA36" s="1249">
        <f t="shared" si="22"/>
        <v>-0.875</v>
      </c>
      <c r="EB36" s="1249">
        <f t="shared" si="23"/>
        <v>-0.29749999999999988</v>
      </c>
      <c r="EC36" s="1132">
        <f t="shared" si="24"/>
        <v>110</v>
      </c>
      <c r="ED36" s="1198">
        <f t="shared" si="25"/>
        <v>-0.84617499999999968</v>
      </c>
      <c r="EE36" s="1251">
        <f t="shared" si="26"/>
        <v>14.605019607843134</v>
      </c>
      <c r="EF36" s="1132">
        <f t="shared" si="27"/>
        <v>-3.5312864416522949</v>
      </c>
      <c r="EG36" s="1132">
        <f t="shared" si="28"/>
        <v>-38.44705667053222</v>
      </c>
      <c r="EH36" s="1132" t="e">
        <f t="shared" si="29"/>
        <v>#VALUE!</v>
      </c>
      <c r="EI36" s="1132" t="e">
        <f t="shared" si="30"/>
        <v>#VALUE!</v>
      </c>
      <c r="EJ36" s="1132" t="e">
        <f t="shared" si="31"/>
        <v>#VALUE!</v>
      </c>
      <c r="EK36" s="1132">
        <f t="shared" si="32"/>
        <v>0</v>
      </c>
      <c r="EL36" s="1132">
        <f t="shared" si="33"/>
        <v>0</v>
      </c>
      <c r="EM36" s="1198">
        <f t="shared" si="34"/>
        <v>0</v>
      </c>
      <c r="EN36" s="1132">
        <f t="shared" si="35"/>
        <v>-189.83529411764698</v>
      </c>
      <c r="EO36" s="1132">
        <f t="shared" si="36"/>
        <v>47.261679233438969</v>
      </c>
      <c r="EP36" s="1132">
        <f t="shared" si="37"/>
        <v>-0.1675183113212988</v>
      </c>
      <c r="EQ36" s="1132">
        <f t="shared" si="38"/>
        <v>-8.768662745098041</v>
      </c>
      <c r="ER36" s="1132">
        <f t="shared" si="39"/>
        <v>770</v>
      </c>
      <c r="ES36" s="1198">
        <f t="shared" si="40"/>
        <v>6.5666379650503828</v>
      </c>
      <c r="ET36" s="1248">
        <f t="shared" si="41"/>
        <v>20</v>
      </c>
      <c r="EU36" s="1132">
        <f t="shared" si="42"/>
        <v>60</v>
      </c>
      <c r="EV36" s="1198">
        <f t="shared" si="43"/>
        <v>10.580010410958899</v>
      </c>
    </row>
    <row r="37" spans="1:152">
      <c r="A37" s="634">
        <f>Eingabedaten!A40</f>
        <v>11.02</v>
      </c>
      <c r="B37" s="463" t="str">
        <f>Eingabedaten!C40</f>
        <v>Fitnessraum</v>
      </c>
      <c r="C37" s="637">
        <v>144</v>
      </c>
      <c r="D37" s="379">
        <v>0.18</v>
      </c>
      <c r="E37" s="379">
        <v>0.115</v>
      </c>
      <c r="F37" s="1238">
        <v>15</v>
      </c>
      <c r="G37" s="1129">
        <v>11.600000000000001</v>
      </c>
      <c r="H37" s="1129">
        <v>313</v>
      </c>
      <c r="I37" s="1129">
        <v>0.80000000000000016</v>
      </c>
      <c r="J37" s="1129">
        <v>2900</v>
      </c>
      <c r="K37" s="1129">
        <v>10</v>
      </c>
      <c r="L37" s="1239">
        <v>6.4</v>
      </c>
      <c r="M37" s="1239">
        <v>18.559999999999999</v>
      </c>
      <c r="N37" s="1243">
        <v>17.5</v>
      </c>
      <c r="O37" s="1240">
        <v>2</v>
      </c>
      <c r="P37" s="1131">
        <v>0</v>
      </c>
      <c r="Q37" s="1129">
        <v>3410</v>
      </c>
      <c r="R37" s="1131">
        <v>6.82</v>
      </c>
      <c r="S37" s="1239">
        <v>6.82</v>
      </c>
      <c r="T37" s="1131">
        <v>0</v>
      </c>
      <c r="U37" s="1241">
        <v>2.0338983050847452</v>
      </c>
      <c r="V37" s="1131">
        <v>90</v>
      </c>
      <c r="W37" s="1242">
        <v>0.83798882681564235</v>
      </c>
      <c r="X37" s="1242">
        <v>0.14705882352941177</v>
      </c>
      <c r="Y37" s="1239">
        <v>6.3360000000000003</v>
      </c>
      <c r="Z37" s="1239">
        <v>8.2314579927708156</v>
      </c>
      <c r="AA37" s="1239">
        <v>4.9722222222222223</v>
      </c>
      <c r="AB37" s="1131">
        <v>3126</v>
      </c>
      <c r="AC37" s="1243">
        <v>15.543166666666668</v>
      </c>
      <c r="AD37" s="1242">
        <v>7.25</v>
      </c>
      <c r="AE37" s="1197">
        <v>4020</v>
      </c>
      <c r="AF37" s="1239">
        <v>3.9875000000000003</v>
      </c>
      <c r="AG37" s="1131">
        <v>3460</v>
      </c>
      <c r="AH37" s="1243">
        <v>13.796750000000001</v>
      </c>
      <c r="AI37" s="1240">
        <v>18.643077647058824</v>
      </c>
      <c r="AJ37" s="1131">
        <v>13.372222222222224</v>
      </c>
      <c r="AK37" s="1131">
        <v>115.5566666666667</v>
      </c>
      <c r="AL37" s="1131" t="s">
        <v>1317</v>
      </c>
      <c r="AM37" s="1131" t="s">
        <v>527</v>
      </c>
      <c r="AN37" s="1131" t="s">
        <v>527</v>
      </c>
      <c r="AO37" s="1131">
        <v>22.410709908496734</v>
      </c>
      <c r="AP37" s="1239">
        <v>27.008675686274511</v>
      </c>
      <c r="AQ37" s="1131">
        <v>27.008675686274511</v>
      </c>
      <c r="AR37" s="1131">
        <v>140</v>
      </c>
      <c r="AS37" s="1243">
        <v>3.7457334694669875</v>
      </c>
      <c r="AT37" s="1197">
        <v>0</v>
      </c>
      <c r="AU37" s="1131">
        <v>63.36282352941177</v>
      </c>
      <c r="AV37" s="1131">
        <v>224.30818590971882</v>
      </c>
      <c r="AW37" s="1242">
        <v>-3.5377211354217675E-2</v>
      </c>
      <c r="AX37" s="1239">
        <v>11.236066666666666</v>
      </c>
      <c r="AY37" s="1131">
        <v>1060</v>
      </c>
      <c r="AZ37" s="1242">
        <v>1.1274657534246577</v>
      </c>
      <c r="BA37" s="1243">
        <v>11.86218645716934</v>
      </c>
      <c r="BB37" s="1129">
        <v>60</v>
      </c>
      <c r="BC37" s="1131">
        <v>180</v>
      </c>
      <c r="BD37" s="1243">
        <v>87.139200000000017</v>
      </c>
      <c r="BF37" s="1197">
        <f>Eingabedaten!AP40*'Resultate Standard'!S37</f>
        <v>68.2</v>
      </c>
      <c r="BG37" s="1244">
        <v>14.675268044885415</v>
      </c>
      <c r="BH37" s="1245"/>
      <c r="BI37" s="1246"/>
      <c r="BJ37" s="637">
        <v>144</v>
      </c>
      <c r="BK37" s="379">
        <v>0.18</v>
      </c>
      <c r="BL37" s="379">
        <v>0.115</v>
      </c>
      <c r="BM37" s="1238">
        <v>15</v>
      </c>
      <c r="BN37" s="1129">
        <v>11.600000000000001</v>
      </c>
      <c r="BO37" s="1129">
        <v>313</v>
      </c>
      <c r="BP37" s="1129">
        <v>0.80000000000000016</v>
      </c>
      <c r="BQ37" s="1129">
        <v>10</v>
      </c>
      <c r="BR37" s="1129">
        <v>12</v>
      </c>
      <c r="BS37" s="1237">
        <v>28</v>
      </c>
      <c r="BT37" s="1240">
        <v>2</v>
      </c>
      <c r="BU37" s="1129">
        <v>5710</v>
      </c>
      <c r="BV37" s="1131">
        <v>11.42</v>
      </c>
      <c r="BW37" s="1241">
        <v>0.14705882352941177</v>
      </c>
      <c r="BX37" s="1239">
        <v>2.0338983050847452</v>
      </c>
      <c r="BY37" s="1131">
        <v>45.1</v>
      </c>
      <c r="BZ37" s="1239">
        <v>0.83798882681564235</v>
      </c>
      <c r="CA37" s="1239">
        <v>9.9223946784922408</v>
      </c>
      <c r="CB37" s="1239">
        <v>0</v>
      </c>
      <c r="CC37" s="1239">
        <v>9.9223946784922408</v>
      </c>
      <c r="CD37" s="1131">
        <v>3000</v>
      </c>
      <c r="CE37" s="1131">
        <v>0</v>
      </c>
      <c r="CF37" s="1197">
        <v>29.767184035476724</v>
      </c>
      <c r="CG37" s="1239">
        <v>9</v>
      </c>
      <c r="CH37" s="1239">
        <v>4.95</v>
      </c>
      <c r="CI37" s="1131">
        <v>3370</v>
      </c>
      <c r="CJ37" s="1197">
        <v>16.6815</v>
      </c>
      <c r="CK37" s="1240">
        <v>18.282588235294121</v>
      </c>
      <c r="CL37" s="1131">
        <v>23.922394678492239</v>
      </c>
      <c r="CM37" s="1131">
        <v>262.15693266525739</v>
      </c>
      <c r="CN37" s="1131" t="s">
        <v>528</v>
      </c>
      <c r="CO37" s="1131" t="s">
        <v>528</v>
      </c>
      <c r="CP37" s="1131" t="s">
        <v>528</v>
      </c>
      <c r="CQ37" s="1131">
        <v>25</v>
      </c>
      <c r="CR37" s="1131">
        <v>340</v>
      </c>
      <c r="CS37" s="1197">
        <v>8.5770138888888887</v>
      </c>
      <c r="CT37" s="1131">
        <v>187.07858823529412</v>
      </c>
      <c r="CU37" s="1131">
        <v>75.972350091311114</v>
      </c>
      <c r="CV37" s="1131">
        <v>-2</v>
      </c>
      <c r="CW37" s="1131">
        <v>36.37639215686275</v>
      </c>
      <c r="CX37" s="1131">
        <v>610</v>
      </c>
      <c r="CY37" s="1197">
        <v>22.181230369573097</v>
      </c>
      <c r="CZ37" s="1129">
        <v>60</v>
      </c>
      <c r="DA37" s="1131">
        <v>180</v>
      </c>
      <c r="DB37" s="1197">
        <v>87.139200000000017</v>
      </c>
      <c r="DD37" s="637">
        <f t="shared" si="0"/>
        <v>0</v>
      </c>
      <c r="DE37" s="379">
        <f t="shared" si="1"/>
        <v>0</v>
      </c>
      <c r="DF37" s="379">
        <f t="shared" si="2"/>
        <v>0</v>
      </c>
      <c r="DG37" s="1238">
        <f t="shared" si="3"/>
        <v>0</v>
      </c>
      <c r="DH37" s="1129">
        <f t="shared" si="4"/>
        <v>0</v>
      </c>
      <c r="DI37" s="1129">
        <f t="shared" si="5"/>
        <v>0</v>
      </c>
      <c r="DJ37" s="1129">
        <f t="shared" si="6"/>
        <v>0</v>
      </c>
      <c r="DK37" s="1129">
        <f t="shared" si="7"/>
        <v>0</v>
      </c>
      <c r="DL37" s="1129">
        <f t="shared" si="8"/>
        <v>-5.6</v>
      </c>
      <c r="DM37" s="1237">
        <f t="shared" si="9"/>
        <v>-10.5</v>
      </c>
      <c r="DN37" s="1240">
        <f t="shared" si="10"/>
        <v>0</v>
      </c>
      <c r="DO37" s="1129">
        <f t="shared" si="11"/>
        <v>-2300</v>
      </c>
      <c r="DP37" s="1131">
        <f t="shared" si="12"/>
        <v>-4.5999999999999996</v>
      </c>
      <c r="DQ37" s="1241">
        <f t="shared" si="13"/>
        <v>1.8868394815553335</v>
      </c>
      <c r="DR37" s="1239">
        <f t="shared" si="14"/>
        <v>87.966101694915253</v>
      </c>
      <c r="DS37" s="1131">
        <f t="shared" si="15"/>
        <v>-44.262011173184362</v>
      </c>
      <c r="DT37" s="1239">
        <f t="shared" si="16"/>
        <v>-0.69093000328623055</v>
      </c>
      <c r="DU37" s="1239">
        <f t="shared" si="17"/>
        <v>-3.5863946784922405</v>
      </c>
      <c r="DV37" s="1239">
        <f t="shared" si="18"/>
        <v>8.2314579927708156</v>
      </c>
      <c r="DW37" s="1239">
        <f t="shared" si="19"/>
        <v>-4.9501724562700185</v>
      </c>
      <c r="DX37" s="1131">
        <f t="shared" si="20"/>
        <v>126</v>
      </c>
      <c r="DY37" s="1131" t="e">
        <f>#REF!-CE37</f>
        <v>#REF!</v>
      </c>
      <c r="DZ37" s="1197">
        <f t="shared" si="21"/>
        <v>-14.224017368810056</v>
      </c>
      <c r="EA37" s="1239">
        <f t="shared" si="22"/>
        <v>-1.75</v>
      </c>
      <c r="EB37" s="1239">
        <f t="shared" si="23"/>
        <v>-0.96249999999999991</v>
      </c>
      <c r="EC37" s="1131">
        <f t="shared" si="24"/>
        <v>90</v>
      </c>
      <c r="ED37" s="1197">
        <f t="shared" si="25"/>
        <v>-2.8847499999999986</v>
      </c>
      <c r="EE37" s="1240">
        <f t="shared" si="26"/>
        <v>0.3604894117647035</v>
      </c>
      <c r="EF37" s="1131">
        <f t="shared" si="27"/>
        <v>-10.550172456270015</v>
      </c>
      <c r="EG37" s="1131">
        <f t="shared" si="28"/>
        <v>-146.60026599859069</v>
      </c>
      <c r="EH37" s="1131" t="e">
        <f t="shared" si="29"/>
        <v>#VALUE!</v>
      </c>
      <c r="EI37" s="1131" t="e">
        <f t="shared" si="30"/>
        <v>#VALUE!</v>
      </c>
      <c r="EJ37" s="1131" t="e">
        <f t="shared" si="31"/>
        <v>#VALUE!</v>
      </c>
      <c r="EK37" s="1131">
        <f t="shared" si="32"/>
        <v>2.0086756862745112</v>
      </c>
      <c r="EL37" s="1131">
        <f t="shared" si="33"/>
        <v>-200</v>
      </c>
      <c r="EM37" s="1197">
        <f t="shared" si="34"/>
        <v>-8.5770138888888887</v>
      </c>
      <c r="EN37" s="1131">
        <f t="shared" si="35"/>
        <v>-123.71576470588235</v>
      </c>
      <c r="EO37" s="1131">
        <f t="shared" si="36"/>
        <v>148.3358358184077</v>
      </c>
      <c r="EP37" s="1131">
        <f t="shared" si="37"/>
        <v>1.9646227886457823</v>
      </c>
      <c r="EQ37" s="1131">
        <f t="shared" si="38"/>
        <v>-25.140325490196084</v>
      </c>
      <c r="ER37" s="1131">
        <f t="shared" si="39"/>
        <v>450</v>
      </c>
      <c r="ES37" s="1197">
        <f t="shared" si="40"/>
        <v>-10.319043912403757</v>
      </c>
      <c r="ET37" s="1129">
        <f t="shared" si="41"/>
        <v>0</v>
      </c>
      <c r="EU37" s="1131">
        <f t="shared" si="42"/>
        <v>0</v>
      </c>
      <c r="EV37" s="1197">
        <f t="shared" si="43"/>
        <v>0</v>
      </c>
    </row>
    <row r="38" spans="1:152">
      <c r="A38" s="638">
        <f>Eingabedaten!A41</f>
        <v>11.03</v>
      </c>
      <c r="B38" s="592" t="str">
        <f>Eingabedaten!C41</f>
        <v>Schwimmhalle</v>
      </c>
      <c r="C38" s="654">
        <v>400</v>
      </c>
      <c r="D38" s="387">
        <v>0</v>
      </c>
      <c r="E38" s="387">
        <v>0.15</v>
      </c>
      <c r="F38" s="1227">
        <v>15</v>
      </c>
      <c r="G38" s="1130">
        <v>11.600000000000001</v>
      </c>
      <c r="H38" s="1130">
        <v>313</v>
      </c>
      <c r="I38" s="1130">
        <v>0.80000000000000016</v>
      </c>
      <c r="J38" s="1130">
        <v>2900</v>
      </c>
      <c r="K38" s="1130">
        <v>10</v>
      </c>
      <c r="L38" s="1228">
        <v>7.1</v>
      </c>
      <c r="M38" s="1228">
        <v>20.59</v>
      </c>
      <c r="N38" s="1196">
        <v>10.9</v>
      </c>
      <c r="O38" s="1255">
        <v>3</v>
      </c>
      <c r="P38" s="1133">
        <v>100</v>
      </c>
      <c r="Q38" s="1130">
        <v>3410</v>
      </c>
      <c r="R38" s="1133">
        <v>10.23</v>
      </c>
      <c r="S38" s="1228">
        <v>10.23</v>
      </c>
      <c r="T38" s="1133">
        <v>341</v>
      </c>
      <c r="U38" s="1256">
        <v>1.4388489208633093</v>
      </c>
      <c r="V38" s="1133">
        <v>90</v>
      </c>
      <c r="W38" s="1257">
        <v>0.73746312684365778</v>
      </c>
      <c r="X38" s="1257">
        <v>0.20588235294117649</v>
      </c>
      <c r="Y38" s="1228">
        <v>6.3360000000000003</v>
      </c>
      <c r="Z38" s="1228">
        <v>6.8530117428551129</v>
      </c>
      <c r="AA38" s="1228">
        <v>5.65</v>
      </c>
      <c r="AB38" s="1133">
        <v>2812</v>
      </c>
      <c r="AC38" s="1196">
        <v>15.887800000000002</v>
      </c>
      <c r="AD38" s="1257">
        <v>4.8333333333333339</v>
      </c>
      <c r="AE38" s="1199">
        <v>5320</v>
      </c>
      <c r="AF38" s="1228">
        <v>2.6583333333333337</v>
      </c>
      <c r="AG38" s="1133">
        <v>4470</v>
      </c>
      <c r="AH38" s="1196">
        <v>11.882750000000001</v>
      </c>
      <c r="AI38" s="1255">
        <v>24.270592156862751</v>
      </c>
      <c r="AJ38" s="1133">
        <v>15.75</v>
      </c>
      <c r="AK38" s="1133">
        <v>138.90999999999997</v>
      </c>
      <c r="AL38" s="1133" t="s">
        <v>16</v>
      </c>
      <c r="AM38" s="1133" t="s">
        <v>16</v>
      </c>
      <c r="AN38" s="1133" t="s">
        <v>16</v>
      </c>
      <c r="AO38" s="1133">
        <v>0</v>
      </c>
      <c r="AP38" s="1133">
        <v>0</v>
      </c>
      <c r="AQ38" s="1133">
        <v>0</v>
      </c>
      <c r="AR38" s="1133">
        <v>0</v>
      </c>
      <c r="AS38" s="1199">
        <v>0</v>
      </c>
      <c r="AT38" s="1199">
        <v>0</v>
      </c>
      <c r="AU38" s="1133">
        <v>282.25098039215692</v>
      </c>
      <c r="AV38" s="1133">
        <v>149.93747742240251</v>
      </c>
      <c r="AW38" s="1257">
        <v>-1.1509378386639622</v>
      </c>
      <c r="AX38" s="1228">
        <v>23.039398039215691</v>
      </c>
      <c r="AY38" s="1133">
        <v>1900</v>
      </c>
      <c r="AZ38" s="1257">
        <v>1.0032648401826485</v>
      </c>
      <c r="BA38" s="1196">
        <v>43.74080469575118</v>
      </c>
      <c r="BB38" s="1130">
        <v>100</v>
      </c>
      <c r="BC38" s="1133">
        <v>300</v>
      </c>
      <c r="BD38" s="1196">
        <v>145.23200000000006</v>
      </c>
      <c r="BF38" s="1199">
        <f>Eingabedaten!AP41*'Resultate Standard'!S38</f>
        <v>102.30000000000001</v>
      </c>
      <c r="BG38" s="1244">
        <v>39.957295366352454</v>
      </c>
      <c r="BH38" s="1245"/>
      <c r="BI38" s="1246"/>
      <c r="BJ38" s="654">
        <v>400</v>
      </c>
      <c r="BK38" s="387">
        <v>0.26</v>
      </c>
      <c r="BL38" s="387">
        <v>0.15</v>
      </c>
      <c r="BM38" s="1227">
        <v>15</v>
      </c>
      <c r="BN38" s="1130">
        <v>11.600000000000001</v>
      </c>
      <c r="BO38" s="1130">
        <v>313</v>
      </c>
      <c r="BP38" s="1130">
        <v>0.80000000000000016</v>
      </c>
      <c r="BQ38" s="1130">
        <v>10</v>
      </c>
      <c r="BR38" s="1130">
        <v>7</v>
      </c>
      <c r="BS38" s="1229">
        <v>8</v>
      </c>
      <c r="BT38" s="1255">
        <v>2</v>
      </c>
      <c r="BU38" s="1130">
        <v>5710</v>
      </c>
      <c r="BV38" s="1133">
        <v>11.42</v>
      </c>
      <c r="BW38" s="1256">
        <v>0.20588235294117649</v>
      </c>
      <c r="BX38" s="1228">
        <v>1.4388489208633093</v>
      </c>
      <c r="BY38" s="1133">
        <v>45.1</v>
      </c>
      <c r="BZ38" s="1228">
        <v>0.73746312684365778</v>
      </c>
      <c r="CA38" s="1228">
        <v>11.274944567627495</v>
      </c>
      <c r="CB38" s="1228">
        <v>0</v>
      </c>
      <c r="CC38" s="1228">
        <v>11.274944567627495</v>
      </c>
      <c r="CD38" s="1133">
        <v>2630</v>
      </c>
      <c r="CE38" s="1133">
        <v>0</v>
      </c>
      <c r="CF38" s="1199">
        <v>29.653104212860313</v>
      </c>
      <c r="CG38" s="1228">
        <v>3.6</v>
      </c>
      <c r="CH38" s="1228">
        <v>1.9800000000000002</v>
      </c>
      <c r="CI38" s="1133">
        <v>4510</v>
      </c>
      <c r="CJ38" s="1199">
        <v>8.929800000000002</v>
      </c>
      <c r="CK38" s="1255">
        <v>16.553945098039222</v>
      </c>
      <c r="CL38" s="1133">
        <v>20.274944567627493</v>
      </c>
      <c r="CM38" s="1133">
        <v>174.82297797776386</v>
      </c>
      <c r="CN38" s="1133" t="s">
        <v>16</v>
      </c>
      <c r="CO38" s="1133" t="s">
        <v>16</v>
      </c>
      <c r="CP38" s="1133" t="s">
        <v>16</v>
      </c>
      <c r="CQ38" s="1133">
        <v>0</v>
      </c>
      <c r="CR38" s="1133">
        <v>0</v>
      </c>
      <c r="CS38" s="1199">
        <v>0.27065</v>
      </c>
      <c r="CT38" s="1133">
        <v>374.24784313725496</v>
      </c>
      <c r="CU38" s="1133">
        <v>113.08014401696683</v>
      </c>
      <c r="CV38" s="1133">
        <v>-1</v>
      </c>
      <c r="CW38" s="1133">
        <v>30.875447058823532</v>
      </c>
      <c r="CX38" s="1133">
        <v>1290</v>
      </c>
      <c r="CY38" s="1199">
        <v>39.752228146028507</v>
      </c>
      <c r="CZ38" s="1130">
        <v>120</v>
      </c>
      <c r="DA38" s="1133">
        <v>360</v>
      </c>
      <c r="DB38" s="1199">
        <v>174.27840000000003</v>
      </c>
      <c r="DD38" s="654">
        <f t="shared" si="0"/>
        <v>0</v>
      </c>
      <c r="DE38" s="387">
        <f t="shared" si="1"/>
        <v>-0.26</v>
      </c>
      <c r="DF38" s="387">
        <f t="shared" si="2"/>
        <v>0</v>
      </c>
      <c r="DG38" s="1227">
        <f t="shared" si="3"/>
        <v>0</v>
      </c>
      <c r="DH38" s="1130">
        <f t="shared" si="4"/>
        <v>0</v>
      </c>
      <c r="DI38" s="1130">
        <f t="shared" si="5"/>
        <v>0</v>
      </c>
      <c r="DJ38" s="1130">
        <f t="shared" si="6"/>
        <v>0</v>
      </c>
      <c r="DK38" s="1130">
        <f t="shared" si="7"/>
        <v>0</v>
      </c>
      <c r="DL38" s="1130">
        <f t="shared" si="8"/>
        <v>9.9999999999999645E-2</v>
      </c>
      <c r="DM38" s="1229">
        <f t="shared" si="9"/>
        <v>2.9000000000000004</v>
      </c>
      <c r="DN38" s="1255">
        <f t="shared" si="10"/>
        <v>1</v>
      </c>
      <c r="DO38" s="1130">
        <f t="shared" si="11"/>
        <v>-2300</v>
      </c>
      <c r="DP38" s="1133">
        <f t="shared" si="12"/>
        <v>-1.1899999999999995</v>
      </c>
      <c r="DQ38" s="1256">
        <f t="shared" si="13"/>
        <v>1.2329665679221329</v>
      </c>
      <c r="DR38" s="1228">
        <f t="shared" si="14"/>
        <v>88.561151079136692</v>
      </c>
      <c r="DS38" s="1133">
        <f t="shared" si="15"/>
        <v>-44.362536873156344</v>
      </c>
      <c r="DT38" s="1228">
        <f t="shared" si="16"/>
        <v>-0.53158077390248126</v>
      </c>
      <c r="DU38" s="1228">
        <f t="shared" si="17"/>
        <v>-4.9389445676274946</v>
      </c>
      <c r="DV38" s="1228">
        <f t="shared" si="18"/>
        <v>6.8530117428551129</v>
      </c>
      <c r="DW38" s="1228">
        <f t="shared" si="19"/>
        <v>-5.6249445676274945</v>
      </c>
      <c r="DX38" s="1133">
        <f t="shared" si="20"/>
        <v>182</v>
      </c>
      <c r="DY38" s="1133" t="e">
        <f>#REF!-CE38</f>
        <v>#REF!</v>
      </c>
      <c r="DZ38" s="1199">
        <f t="shared" si="21"/>
        <v>-13.765304212860311</v>
      </c>
      <c r="EA38" s="1228">
        <f t="shared" si="22"/>
        <v>1.2333333333333338</v>
      </c>
      <c r="EB38" s="1228">
        <f t="shared" si="23"/>
        <v>0.67833333333333345</v>
      </c>
      <c r="EC38" s="1133">
        <f t="shared" si="24"/>
        <v>-40</v>
      </c>
      <c r="ED38" s="1199">
        <f t="shared" si="25"/>
        <v>2.9529499999999995</v>
      </c>
      <c r="EE38" s="1255">
        <f t="shared" si="26"/>
        <v>7.7166470588235292</v>
      </c>
      <c r="EF38" s="1133">
        <f t="shared" si="27"/>
        <v>-4.5249445676274931</v>
      </c>
      <c r="EG38" s="1133">
        <f t="shared" si="28"/>
        <v>-35.912977977763887</v>
      </c>
      <c r="EH38" s="1133" t="e">
        <f t="shared" si="29"/>
        <v>#VALUE!</v>
      </c>
      <c r="EI38" s="1133" t="e">
        <f t="shared" si="30"/>
        <v>#VALUE!</v>
      </c>
      <c r="EJ38" s="1133" t="e">
        <f t="shared" si="31"/>
        <v>#VALUE!</v>
      </c>
      <c r="EK38" s="1133">
        <f t="shared" si="32"/>
        <v>0</v>
      </c>
      <c r="EL38" s="1133">
        <f t="shared" si="33"/>
        <v>0</v>
      </c>
      <c r="EM38" s="1199">
        <f t="shared" si="34"/>
        <v>-0.27065</v>
      </c>
      <c r="EN38" s="1133">
        <f t="shared" si="35"/>
        <v>-91.996862745098042</v>
      </c>
      <c r="EO38" s="1133">
        <f t="shared" si="36"/>
        <v>36.857333405435682</v>
      </c>
      <c r="EP38" s="1133">
        <f t="shared" si="37"/>
        <v>-0.15093783866396215</v>
      </c>
      <c r="EQ38" s="1133">
        <f t="shared" si="38"/>
        <v>-7.8360490196078416</v>
      </c>
      <c r="ER38" s="1133">
        <f t="shared" si="39"/>
        <v>610</v>
      </c>
      <c r="ES38" s="1199">
        <f t="shared" si="40"/>
        <v>3.9885765497226728</v>
      </c>
      <c r="ET38" s="1130">
        <f t="shared" si="41"/>
        <v>-20</v>
      </c>
      <c r="EU38" s="1133">
        <f t="shared" si="42"/>
        <v>-60</v>
      </c>
      <c r="EV38" s="1199">
        <f t="shared" si="43"/>
        <v>-29.046399999999977</v>
      </c>
    </row>
    <row r="39" spans="1:152">
      <c r="A39" s="1472">
        <f>Eingabedaten!A42</f>
        <v>12.01</v>
      </c>
      <c r="B39" s="388" t="str">
        <f>Eingabedaten!C42</f>
        <v>Verkehrsfläche</v>
      </c>
      <c r="C39" s="653">
        <v>20</v>
      </c>
      <c r="D39" s="386">
        <v>0</v>
      </c>
      <c r="E39" s="386">
        <v>0.125</v>
      </c>
      <c r="F39" s="1247">
        <v>13</v>
      </c>
      <c r="G39" s="1248">
        <v>4.8</v>
      </c>
      <c r="H39" s="1248">
        <v>365</v>
      </c>
      <c r="I39" s="1248">
        <v>0.80000000000000016</v>
      </c>
      <c r="J39" s="1248">
        <v>1400</v>
      </c>
      <c r="K39" s="1248">
        <v>0</v>
      </c>
      <c r="L39" s="1248">
        <v>0</v>
      </c>
      <c r="M39" s="1249">
        <v>0</v>
      </c>
      <c r="N39" s="1250">
        <v>0</v>
      </c>
      <c r="O39" s="1251">
        <v>0</v>
      </c>
      <c r="P39" s="1132">
        <v>0</v>
      </c>
      <c r="Q39" s="1248">
        <v>0</v>
      </c>
      <c r="R39" s="1132">
        <v>0</v>
      </c>
      <c r="S39" s="1249">
        <v>0</v>
      </c>
      <c r="T39" s="1132">
        <v>0</v>
      </c>
      <c r="U39" s="1252">
        <v>0.68027210884353739</v>
      </c>
      <c r="V39" s="1132">
        <v>90</v>
      </c>
      <c r="W39" s="1253">
        <v>0.50607287449392702</v>
      </c>
      <c r="X39" s="1253">
        <v>0.44117647058823534</v>
      </c>
      <c r="Y39" s="1249">
        <v>7.6032000000000011</v>
      </c>
      <c r="Z39" s="1249">
        <v>7.6032000000000011</v>
      </c>
      <c r="AA39" s="1249">
        <v>2.7444444444444454</v>
      </c>
      <c r="AB39" s="1132">
        <v>1402</v>
      </c>
      <c r="AC39" s="1254">
        <v>3.8477111111111122</v>
      </c>
      <c r="AD39" s="1253">
        <v>0.5</v>
      </c>
      <c r="AE39" s="1198">
        <v>4420</v>
      </c>
      <c r="AF39" s="1249">
        <v>0.27500000000000002</v>
      </c>
      <c r="AG39" s="1132">
        <v>4420</v>
      </c>
      <c r="AH39" s="1254">
        <v>1.2155</v>
      </c>
      <c r="AI39" s="1251">
        <v>42.582811764705887</v>
      </c>
      <c r="AJ39" s="1132">
        <v>2.7444444444444454</v>
      </c>
      <c r="AK39" s="1132">
        <v>0</v>
      </c>
      <c r="AL39" s="1132" t="s">
        <v>16</v>
      </c>
      <c r="AM39" s="1132" t="s">
        <v>16</v>
      </c>
      <c r="AN39" s="1132" t="s">
        <v>16</v>
      </c>
      <c r="AO39" s="1132">
        <v>0</v>
      </c>
      <c r="AP39" s="1132">
        <v>0</v>
      </c>
      <c r="AQ39" s="1132">
        <v>0</v>
      </c>
      <c r="AR39" s="1132">
        <v>0</v>
      </c>
      <c r="AS39" s="1198">
        <v>0</v>
      </c>
      <c r="AT39" s="1198">
        <v>0</v>
      </c>
      <c r="AU39" s="1132">
        <v>13.441176470588237</v>
      </c>
      <c r="AV39" s="1132">
        <v>187.18599562363235</v>
      </c>
      <c r="AW39" s="1253">
        <v>-0.59221006564551493</v>
      </c>
      <c r="AX39" s="1249">
        <v>19.551676470588237</v>
      </c>
      <c r="AY39" s="1132">
        <v>900</v>
      </c>
      <c r="AZ39" s="1253">
        <v>0.20297945205479451</v>
      </c>
      <c r="BA39" s="1254">
        <v>17.681625271928997</v>
      </c>
      <c r="BB39" s="1248">
        <v>0</v>
      </c>
      <c r="BC39" s="1132">
        <v>0</v>
      </c>
      <c r="BD39" s="1198">
        <v>0</v>
      </c>
      <c r="BF39" s="1198">
        <f>Eingabedaten!AP42*'Resultate Standard'!S39</f>
        <v>0</v>
      </c>
      <c r="BG39" s="1244">
        <v>6.1143005601258009</v>
      </c>
      <c r="BH39" s="1245"/>
      <c r="BI39" s="1246"/>
      <c r="BJ39" s="653">
        <v>20</v>
      </c>
      <c r="BK39" s="386" t="s">
        <v>193</v>
      </c>
      <c r="BL39" s="386">
        <v>0.115</v>
      </c>
      <c r="BM39" s="1247">
        <v>13</v>
      </c>
      <c r="BN39" s="1248">
        <v>4.8</v>
      </c>
      <c r="BO39" s="1248">
        <v>365</v>
      </c>
      <c r="BP39" s="1248">
        <v>0.80000000000000016</v>
      </c>
      <c r="BQ39" s="1248" t="s">
        <v>193</v>
      </c>
      <c r="BR39" s="1248">
        <v>0</v>
      </c>
      <c r="BS39" s="1250">
        <v>0</v>
      </c>
      <c r="BT39" s="1251">
        <v>0</v>
      </c>
      <c r="BU39" s="1248">
        <v>0</v>
      </c>
      <c r="BV39" s="1132">
        <v>0</v>
      </c>
      <c r="BW39" s="1252">
        <v>8.8235294117647065E-2</v>
      </c>
      <c r="BX39" s="1249">
        <v>0.68027210884353739</v>
      </c>
      <c r="BY39" s="1132">
        <v>35.1</v>
      </c>
      <c r="BZ39" s="1249">
        <v>0.50607287449392702</v>
      </c>
      <c r="CA39" s="1249">
        <v>7.0370370370370381</v>
      </c>
      <c r="CB39" s="1249">
        <v>0</v>
      </c>
      <c r="CC39" s="1249">
        <v>7.0370370370370381</v>
      </c>
      <c r="CD39" s="1132">
        <v>2970</v>
      </c>
      <c r="CE39" s="1132">
        <v>0</v>
      </c>
      <c r="CF39" s="1198">
        <v>20.900000000000002</v>
      </c>
      <c r="CG39" s="1249">
        <v>2</v>
      </c>
      <c r="CH39" s="1249">
        <v>1.1000000000000001</v>
      </c>
      <c r="CI39" s="1132">
        <v>3120</v>
      </c>
      <c r="CJ39" s="1198">
        <v>3.4320000000000004</v>
      </c>
      <c r="CK39" s="1251">
        <v>6.2925882352941196</v>
      </c>
      <c r="CL39" s="1132">
        <v>7.0370370370370381</v>
      </c>
      <c r="CM39" s="1132">
        <v>45.173709565444362</v>
      </c>
      <c r="CN39" s="1132" t="s">
        <v>16</v>
      </c>
      <c r="CO39" s="1132" t="s">
        <v>16</v>
      </c>
      <c r="CP39" s="1132" t="s">
        <v>16</v>
      </c>
      <c r="CQ39" s="1132">
        <v>0</v>
      </c>
      <c r="CR39" s="1132">
        <v>0</v>
      </c>
      <c r="CS39" s="1198">
        <v>0</v>
      </c>
      <c r="CT39" s="1132">
        <v>8.5658823529411769</v>
      </c>
      <c r="CU39" s="1132">
        <v>293.72338964427962</v>
      </c>
      <c r="CV39" s="1132">
        <v>0</v>
      </c>
      <c r="CW39" s="1132">
        <v>11.13564705882353</v>
      </c>
      <c r="CX39" s="1132">
        <v>460</v>
      </c>
      <c r="CY39" s="1198">
        <v>5.0903461322585564</v>
      </c>
      <c r="CZ39" s="1248">
        <v>0</v>
      </c>
      <c r="DA39" s="1132">
        <v>0</v>
      </c>
      <c r="DB39" s="1198">
        <v>0</v>
      </c>
      <c r="DD39" s="653">
        <f t="shared" si="0"/>
        <v>0</v>
      </c>
      <c r="DE39" s="386" t="e">
        <f t="shared" si="1"/>
        <v>#VALUE!</v>
      </c>
      <c r="DF39" s="386">
        <f t="shared" si="2"/>
        <v>9.999999999999995E-3</v>
      </c>
      <c r="DG39" s="1247">
        <f t="shared" si="3"/>
        <v>0</v>
      </c>
      <c r="DH39" s="1248">
        <f t="shared" si="4"/>
        <v>0</v>
      </c>
      <c r="DI39" s="1248">
        <f t="shared" si="5"/>
        <v>0</v>
      </c>
      <c r="DJ39" s="1248">
        <f t="shared" si="6"/>
        <v>0</v>
      </c>
      <c r="DK39" s="1248" t="e">
        <f t="shared" si="7"/>
        <v>#VALUE!</v>
      </c>
      <c r="DL39" s="1248">
        <f t="shared" si="8"/>
        <v>0</v>
      </c>
      <c r="DM39" s="1250">
        <f t="shared" si="9"/>
        <v>0</v>
      </c>
      <c r="DN39" s="1251">
        <f t="shared" si="10"/>
        <v>0</v>
      </c>
      <c r="DO39" s="1248">
        <f t="shared" si="11"/>
        <v>0</v>
      </c>
      <c r="DP39" s="1132">
        <f t="shared" si="12"/>
        <v>0</v>
      </c>
      <c r="DQ39" s="1252">
        <f t="shared" si="13"/>
        <v>0.59203681472589031</v>
      </c>
      <c r="DR39" s="1249">
        <f t="shared" si="14"/>
        <v>89.319727891156461</v>
      </c>
      <c r="DS39" s="1132">
        <f t="shared" si="15"/>
        <v>-34.593927125506077</v>
      </c>
      <c r="DT39" s="1249">
        <f t="shared" si="16"/>
        <v>-6.489640390569168E-2</v>
      </c>
      <c r="DU39" s="1249">
        <f t="shared" si="17"/>
        <v>0.56616296296296298</v>
      </c>
      <c r="DV39" s="1249">
        <f t="shared" si="18"/>
        <v>7.6032000000000011</v>
      </c>
      <c r="DW39" s="1249">
        <f t="shared" si="19"/>
        <v>-4.2925925925925927</v>
      </c>
      <c r="DX39" s="1132">
        <f t="shared" si="20"/>
        <v>-1568</v>
      </c>
      <c r="DY39" s="1132" t="e">
        <f>#REF!-CE39</f>
        <v>#REF!</v>
      </c>
      <c r="DZ39" s="1198">
        <f t="shared" si="21"/>
        <v>-17.052288888888889</v>
      </c>
      <c r="EA39" s="1249">
        <f t="shared" si="22"/>
        <v>-1.5</v>
      </c>
      <c r="EB39" s="1249">
        <f t="shared" si="23"/>
        <v>-0.82500000000000007</v>
      </c>
      <c r="EC39" s="1132">
        <f t="shared" si="24"/>
        <v>1300</v>
      </c>
      <c r="ED39" s="1198">
        <f t="shared" si="25"/>
        <v>-2.2165000000000004</v>
      </c>
      <c r="EE39" s="1251">
        <f t="shared" si="26"/>
        <v>36.290223529411769</v>
      </c>
      <c r="EF39" s="1132">
        <f t="shared" si="27"/>
        <v>-4.2925925925925927</v>
      </c>
      <c r="EG39" s="1132">
        <f t="shared" si="28"/>
        <v>-45.173709565444362</v>
      </c>
      <c r="EH39" s="1132" t="e">
        <f t="shared" si="29"/>
        <v>#VALUE!</v>
      </c>
      <c r="EI39" s="1132" t="e">
        <f t="shared" si="30"/>
        <v>#VALUE!</v>
      </c>
      <c r="EJ39" s="1132" t="e">
        <f t="shared" si="31"/>
        <v>#VALUE!</v>
      </c>
      <c r="EK39" s="1132">
        <f t="shared" si="32"/>
        <v>0</v>
      </c>
      <c r="EL39" s="1132">
        <f t="shared" si="33"/>
        <v>0</v>
      </c>
      <c r="EM39" s="1198">
        <f t="shared" si="34"/>
        <v>0</v>
      </c>
      <c r="EN39" s="1132">
        <f t="shared" si="35"/>
        <v>4.8752941176470603</v>
      </c>
      <c r="EO39" s="1132">
        <f t="shared" si="36"/>
        <v>-106.53739402064727</v>
      </c>
      <c r="EP39" s="1132">
        <f t="shared" si="37"/>
        <v>-0.59221006564551493</v>
      </c>
      <c r="EQ39" s="1132">
        <f t="shared" si="38"/>
        <v>8.4160294117647076</v>
      </c>
      <c r="ER39" s="1132">
        <f t="shared" si="39"/>
        <v>440</v>
      </c>
      <c r="ES39" s="1198">
        <f t="shared" si="40"/>
        <v>12.591279139670441</v>
      </c>
      <c r="ET39" s="1248">
        <f t="shared" si="41"/>
        <v>0</v>
      </c>
      <c r="EU39" s="1132">
        <f t="shared" si="42"/>
        <v>0</v>
      </c>
      <c r="EV39" s="1198">
        <f t="shared" si="43"/>
        <v>0</v>
      </c>
    </row>
    <row r="40" spans="1:152">
      <c r="A40" s="634">
        <f>Eingabedaten!A43</f>
        <v>12.02</v>
      </c>
      <c r="B40" s="463" t="str">
        <f>Eingabedaten!C43</f>
        <v>Verkehrsfläche 24 h</v>
      </c>
      <c r="C40" s="637">
        <v>20</v>
      </c>
      <c r="D40" s="379">
        <v>0.18</v>
      </c>
      <c r="E40" s="379">
        <v>0.125</v>
      </c>
      <c r="F40" s="1238">
        <v>24</v>
      </c>
      <c r="G40" s="1129">
        <v>7.0000000000000018</v>
      </c>
      <c r="H40" s="1129">
        <v>365</v>
      </c>
      <c r="I40" s="1129">
        <v>0.80000000000000016</v>
      </c>
      <c r="J40" s="1129">
        <v>2040</v>
      </c>
      <c r="K40" s="1129">
        <v>0</v>
      </c>
      <c r="L40" s="1129">
        <v>0</v>
      </c>
      <c r="M40" s="1239">
        <v>0</v>
      </c>
      <c r="N40" s="1237">
        <v>0</v>
      </c>
      <c r="O40" s="1240">
        <v>0</v>
      </c>
      <c r="P40" s="1131">
        <v>0</v>
      </c>
      <c r="Q40" s="1129">
        <v>0</v>
      </c>
      <c r="R40" s="1131">
        <v>0</v>
      </c>
      <c r="S40" s="1239">
        <v>0</v>
      </c>
      <c r="T40" s="1131">
        <v>0</v>
      </c>
      <c r="U40" s="1241">
        <v>0.68027210884353739</v>
      </c>
      <c r="V40" s="1131">
        <v>90</v>
      </c>
      <c r="W40" s="1242">
        <v>0.50607287449392702</v>
      </c>
      <c r="X40" s="1242">
        <v>0.44117647058823534</v>
      </c>
      <c r="Y40" s="1239">
        <v>7.6032000000000011</v>
      </c>
      <c r="Z40" s="1239">
        <v>7.6032000000000011</v>
      </c>
      <c r="AA40" s="1239">
        <v>5.4888888888888907</v>
      </c>
      <c r="AB40" s="1131">
        <v>3008</v>
      </c>
      <c r="AC40" s="1243">
        <v>16.510577777777783</v>
      </c>
      <c r="AD40" s="1242">
        <v>0.5</v>
      </c>
      <c r="AE40" s="1197">
        <v>6240</v>
      </c>
      <c r="AF40" s="1239">
        <v>0.27500000000000002</v>
      </c>
      <c r="AG40" s="1131">
        <v>6240</v>
      </c>
      <c r="AH40" s="1243">
        <v>1.7160000000000002</v>
      </c>
      <c r="AI40" s="1240">
        <v>41.899552941176474</v>
      </c>
      <c r="AJ40" s="1131">
        <v>5.4888888888888907</v>
      </c>
      <c r="AK40" s="1131">
        <v>54.888888888888914</v>
      </c>
      <c r="AL40" s="1131" t="s">
        <v>1317</v>
      </c>
      <c r="AM40" s="1131" t="s">
        <v>1317</v>
      </c>
      <c r="AN40" s="1131" t="s">
        <v>1317</v>
      </c>
      <c r="AO40" s="1131">
        <v>33.17190928104575</v>
      </c>
      <c r="AP40" s="1239">
        <v>41.831227058823536</v>
      </c>
      <c r="AQ40" s="1131">
        <v>41.831227058823536</v>
      </c>
      <c r="AR40" s="1131">
        <v>190</v>
      </c>
      <c r="AS40" s="1243">
        <v>7.8931048002870812</v>
      </c>
      <c r="AT40" s="1197">
        <v>0</v>
      </c>
      <c r="AU40" s="1131">
        <v>13.441176470588237</v>
      </c>
      <c r="AV40" s="1131">
        <v>187.18599562363235</v>
      </c>
      <c r="AW40" s="1242">
        <v>-0.59221006564551493</v>
      </c>
      <c r="AX40" s="1239">
        <v>19.551676470588237</v>
      </c>
      <c r="AY40" s="1131">
        <v>720</v>
      </c>
      <c r="AZ40" s="1242">
        <v>0.22479452054794519</v>
      </c>
      <c r="BA40" s="1243">
        <v>14.006695748053533</v>
      </c>
      <c r="BB40" s="1129">
        <v>0</v>
      </c>
      <c r="BC40" s="1131">
        <v>0</v>
      </c>
      <c r="BD40" s="1197">
        <v>0</v>
      </c>
      <c r="BF40" s="1197">
        <f>Eingabedaten!AP43*'Resultate Standard'!S40</f>
        <v>0</v>
      </c>
      <c r="BG40" s="1244">
        <v>2.013198745911144</v>
      </c>
      <c r="BH40" s="1245"/>
      <c r="BI40" s="1246"/>
      <c r="BJ40" s="637">
        <v>20</v>
      </c>
      <c r="BK40" s="379">
        <v>0.18</v>
      </c>
      <c r="BL40" s="379">
        <v>0.115</v>
      </c>
      <c r="BM40" s="1238">
        <v>24</v>
      </c>
      <c r="BN40" s="1129">
        <v>7.0000000000000018</v>
      </c>
      <c r="BO40" s="1129">
        <v>365</v>
      </c>
      <c r="BP40" s="1129">
        <v>0.80000000000000016</v>
      </c>
      <c r="BQ40" s="1129" t="s">
        <v>193</v>
      </c>
      <c r="BR40" s="1129">
        <v>0</v>
      </c>
      <c r="BS40" s="1237">
        <v>0</v>
      </c>
      <c r="BT40" s="1240">
        <v>0</v>
      </c>
      <c r="BU40" s="1129">
        <v>0</v>
      </c>
      <c r="BV40" s="1131">
        <v>0</v>
      </c>
      <c r="BW40" s="1241">
        <v>8.8235294117647065E-2</v>
      </c>
      <c r="BX40" s="1239">
        <v>0.68027210884353739</v>
      </c>
      <c r="BY40" s="1131">
        <v>40.099999999999994</v>
      </c>
      <c r="BZ40" s="1239">
        <v>0.50607287449392702</v>
      </c>
      <c r="CA40" s="1239">
        <v>12.319201995012474</v>
      </c>
      <c r="CB40" s="1239">
        <v>0</v>
      </c>
      <c r="CC40" s="1239">
        <v>12.319201995012474</v>
      </c>
      <c r="CD40" s="1131">
        <v>6440</v>
      </c>
      <c r="CE40" s="1131">
        <v>0</v>
      </c>
      <c r="CF40" s="1197">
        <v>79.335660847880334</v>
      </c>
      <c r="CG40" s="1239">
        <v>2</v>
      </c>
      <c r="CH40" s="1239">
        <v>1.1000000000000001</v>
      </c>
      <c r="CI40" s="1131">
        <v>4990</v>
      </c>
      <c r="CJ40" s="1197">
        <v>5.4889999999999999</v>
      </c>
      <c r="CK40" s="1240">
        <v>8.8623529411764732</v>
      </c>
      <c r="CL40" s="1131">
        <v>12.319201995012474</v>
      </c>
      <c r="CM40" s="1131">
        <v>239.57402993912567</v>
      </c>
      <c r="CN40" s="1131" t="s">
        <v>528</v>
      </c>
      <c r="CO40" s="1131" t="s">
        <v>528</v>
      </c>
      <c r="CP40" s="1131" t="s">
        <v>528</v>
      </c>
      <c r="CQ40" s="1131">
        <v>15</v>
      </c>
      <c r="CR40" s="1131">
        <v>2100</v>
      </c>
      <c r="CS40" s="1197">
        <v>31.49</v>
      </c>
      <c r="CT40" s="1131">
        <v>8.5658823529411769</v>
      </c>
      <c r="CU40" s="1131">
        <v>293.72338964427962</v>
      </c>
      <c r="CV40" s="1131">
        <v>0</v>
      </c>
      <c r="CW40" s="1131">
        <v>11.13564705882353</v>
      </c>
      <c r="CX40" s="1131">
        <v>70</v>
      </c>
      <c r="CY40" s="1197">
        <v>0.76200871010601556</v>
      </c>
      <c r="CZ40" s="1129">
        <v>0</v>
      </c>
      <c r="DA40" s="1131">
        <v>0</v>
      </c>
      <c r="DB40" s="1197">
        <v>0</v>
      </c>
      <c r="DD40" s="637">
        <f t="shared" si="0"/>
        <v>0</v>
      </c>
      <c r="DE40" s="379">
        <f t="shared" si="1"/>
        <v>0</v>
      </c>
      <c r="DF40" s="379">
        <f t="shared" si="2"/>
        <v>9.999999999999995E-3</v>
      </c>
      <c r="DG40" s="1238">
        <f t="shared" si="3"/>
        <v>0</v>
      </c>
      <c r="DH40" s="1129">
        <f t="shared" si="4"/>
        <v>0</v>
      </c>
      <c r="DI40" s="1129">
        <f t="shared" si="5"/>
        <v>0</v>
      </c>
      <c r="DJ40" s="1129">
        <f t="shared" si="6"/>
        <v>0</v>
      </c>
      <c r="DK40" s="1129" t="e">
        <f t="shared" si="7"/>
        <v>#VALUE!</v>
      </c>
      <c r="DL40" s="1129">
        <f t="shared" si="8"/>
        <v>0</v>
      </c>
      <c r="DM40" s="1237">
        <f t="shared" si="9"/>
        <v>0</v>
      </c>
      <c r="DN40" s="1240">
        <f t="shared" si="10"/>
        <v>0</v>
      </c>
      <c r="DO40" s="1129">
        <f t="shared" si="11"/>
        <v>0</v>
      </c>
      <c r="DP40" s="1131">
        <f t="shared" si="12"/>
        <v>0</v>
      </c>
      <c r="DQ40" s="1241">
        <f t="shared" si="13"/>
        <v>0.59203681472589031</v>
      </c>
      <c r="DR40" s="1239">
        <f t="shared" si="14"/>
        <v>89.319727891156461</v>
      </c>
      <c r="DS40" s="1131">
        <f t="shared" si="15"/>
        <v>-39.59392712550607</v>
      </c>
      <c r="DT40" s="1239">
        <f t="shared" si="16"/>
        <v>-6.489640390569168E-2</v>
      </c>
      <c r="DU40" s="1239">
        <f t="shared" si="17"/>
        <v>-4.7160019950124727</v>
      </c>
      <c r="DV40" s="1239">
        <f t="shared" si="18"/>
        <v>7.6032000000000011</v>
      </c>
      <c r="DW40" s="1239">
        <f t="shared" si="19"/>
        <v>-6.8303131061235831</v>
      </c>
      <c r="DX40" s="1131">
        <f t="shared" si="20"/>
        <v>-3432</v>
      </c>
      <c r="DY40" s="1131" t="e">
        <f>#REF!-CE40</f>
        <v>#REF!</v>
      </c>
      <c r="DZ40" s="1197">
        <f t="shared" si="21"/>
        <v>-62.825083070102551</v>
      </c>
      <c r="EA40" s="1239">
        <f t="shared" si="22"/>
        <v>-1.5</v>
      </c>
      <c r="EB40" s="1239">
        <f t="shared" si="23"/>
        <v>-0.82500000000000007</v>
      </c>
      <c r="EC40" s="1131">
        <f t="shared" si="24"/>
        <v>1250</v>
      </c>
      <c r="ED40" s="1197">
        <f t="shared" si="25"/>
        <v>-3.7729999999999997</v>
      </c>
      <c r="EE40" s="1240">
        <f t="shared" si="26"/>
        <v>33.037199999999999</v>
      </c>
      <c r="EF40" s="1131">
        <f t="shared" si="27"/>
        <v>-6.8303131061235831</v>
      </c>
      <c r="EG40" s="1131">
        <f t="shared" si="28"/>
        <v>-184.68514105023675</v>
      </c>
      <c r="EH40" s="1131" t="e">
        <f t="shared" si="29"/>
        <v>#VALUE!</v>
      </c>
      <c r="EI40" s="1131" t="e">
        <f t="shared" si="30"/>
        <v>#VALUE!</v>
      </c>
      <c r="EJ40" s="1131" t="e">
        <f t="shared" si="31"/>
        <v>#VALUE!</v>
      </c>
      <c r="EK40" s="1131">
        <f t="shared" si="32"/>
        <v>26.831227058823536</v>
      </c>
      <c r="EL40" s="1131">
        <f t="shared" si="33"/>
        <v>-1910</v>
      </c>
      <c r="EM40" s="1197">
        <f t="shared" si="34"/>
        <v>-31.49</v>
      </c>
      <c r="EN40" s="1131">
        <f t="shared" si="35"/>
        <v>4.8752941176470603</v>
      </c>
      <c r="EO40" s="1131">
        <f t="shared" si="36"/>
        <v>-106.53739402064727</v>
      </c>
      <c r="EP40" s="1131">
        <f t="shared" si="37"/>
        <v>-0.59221006564551493</v>
      </c>
      <c r="EQ40" s="1131">
        <f t="shared" si="38"/>
        <v>8.4160294117647076</v>
      </c>
      <c r="ER40" s="1131">
        <f t="shared" si="39"/>
        <v>650</v>
      </c>
      <c r="ES40" s="1197">
        <f t="shared" si="40"/>
        <v>13.244687037947518</v>
      </c>
      <c r="ET40" s="1129">
        <f t="shared" si="41"/>
        <v>0</v>
      </c>
      <c r="EU40" s="1131">
        <f t="shared" si="42"/>
        <v>0</v>
      </c>
      <c r="EV40" s="1197">
        <f t="shared" si="43"/>
        <v>0</v>
      </c>
    </row>
    <row r="41" spans="1:152">
      <c r="A41" s="634">
        <f>Eingabedaten!A44</f>
        <v>12.03</v>
      </c>
      <c r="B41" s="463" t="str">
        <f>Eingabedaten!C44</f>
        <v>Treppenhaus</v>
      </c>
      <c r="C41" s="637">
        <v>20</v>
      </c>
      <c r="D41" s="379">
        <v>0</v>
      </c>
      <c r="E41" s="379">
        <v>0.115</v>
      </c>
      <c r="F41" s="1238">
        <v>13</v>
      </c>
      <c r="G41" s="1129">
        <v>4.8</v>
      </c>
      <c r="H41" s="1129">
        <v>365</v>
      </c>
      <c r="I41" s="1129">
        <v>0.80000000000000016</v>
      </c>
      <c r="J41" s="1129">
        <v>1400</v>
      </c>
      <c r="K41" s="1129">
        <v>0</v>
      </c>
      <c r="L41" s="1129">
        <v>0</v>
      </c>
      <c r="M41" s="1239">
        <v>0</v>
      </c>
      <c r="N41" s="1237">
        <v>0</v>
      </c>
      <c r="O41" s="1240">
        <v>0</v>
      </c>
      <c r="P41" s="1131">
        <v>0</v>
      </c>
      <c r="Q41" s="1129">
        <v>0</v>
      </c>
      <c r="R41" s="1131">
        <v>0</v>
      </c>
      <c r="S41" s="1239">
        <v>0</v>
      </c>
      <c r="T41" s="1131">
        <v>0</v>
      </c>
      <c r="U41" s="1241">
        <v>0.68027210884353739</v>
      </c>
      <c r="V41" s="1131">
        <v>90</v>
      </c>
      <c r="W41" s="1242">
        <v>0.50607287449392702</v>
      </c>
      <c r="X41" s="1242">
        <v>0.44117647058823534</v>
      </c>
      <c r="Y41" s="1239">
        <v>7.6032000000000011</v>
      </c>
      <c r="Z41" s="1239">
        <v>7.6032000000000011</v>
      </c>
      <c r="AA41" s="1239">
        <v>2.7444444444444454</v>
      </c>
      <c r="AB41" s="1131">
        <v>1402</v>
      </c>
      <c r="AC41" s="1243">
        <v>3.8477111111111122</v>
      </c>
      <c r="AD41" s="1242">
        <v>0.5</v>
      </c>
      <c r="AE41" s="1197">
        <v>0</v>
      </c>
      <c r="AF41" s="1239">
        <v>0</v>
      </c>
      <c r="AG41" s="1131">
        <v>0</v>
      </c>
      <c r="AH41" s="1243">
        <v>0</v>
      </c>
      <c r="AI41" s="1240">
        <v>42.401371764705893</v>
      </c>
      <c r="AJ41" s="1131">
        <v>2.7444444444444454</v>
      </c>
      <c r="AK41" s="1131">
        <v>0</v>
      </c>
      <c r="AL41" s="1131" t="s">
        <v>16</v>
      </c>
      <c r="AM41" s="1131" t="s">
        <v>16</v>
      </c>
      <c r="AN41" s="1131" t="s">
        <v>16</v>
      </c>
      <c r="AO41" s="1131">
        <v>0</v>
      </c>
      <c r="AP41" s="1131">
        <v>0</v>
      </c>
      <c r="AQ41" s="1131">
        <v>0</v>
      </c>
      <c r="AR41" s="1131">
        <v>0</v>
      </c>
      <c r="AS41" s="1197">
        <v>0</v>
      </c>
      <c r="AT41" s="1197">
        <v>0</v>
      </c>
      <c r="AU41" s="1131">
        <v>13.441176470588237</v>
      </c>
      <c r="AV41" s="1131">
        <v>187.18599562363235</v>
      </c>
      <c r="AW41" s="1242">
        <v>-0.59221006564551493</v>
      </c>
      <c r="AX41" s="1239">
        <v>17.535500000000003</v>
      </c>
      <c r="AY41" s="1131">
        <v>770</v>
      </c>
      <c r="AZ41" s="1242">
        <v>0.1683390410958904</v>
      </c>
      <c r="BA41" s="1243">
        <v>13.479092103971391</v>
      </c>
      <c r="BB41" s="1129">
        <v>0</v>
      </c>
      <c r="BC41" s="1131">
        <v>0</v>
      </c>
      <c r="BD41" s="1197">
        <v>0</v>
      </c>
      <c r="BF41" s="1197">
        <f>Eingabedaten!AP44*'Resultate Standard'!S41</f>
        <v>0</v>
      </c>
      <c r="BG41" s="1244">
        <v>7.4796589209545052</v>
      </c>
      <c r="BH41" s="1245"/>
      <c r="BI41" s="1246"/>
      <c r="BJ41" s="637">
        <v>20</v>
      </c>
      <c r="BK41" s="379" t="s">
        <v>193</v>
      </c>
      <c r="BL41" s="379">
        <v>0.115</v>
      </c>
      <c r="BM41" s="1238">
        <v>13</v>
      </c>
      <c r="BN41" s="1129">
        <v>4.8</v>
      </c>
      <c r="BO41" s="1129">
        <v>365</v>
      </c>
      <c r="BP41" s="1129">
        <v>0.80000000000000016</v>
      </c>
      <c r="BQ41" s="1129" t="s">
        <v>193</v>
      </c>
      <c r="BR41" s="1129">
        <v>0</v>
      </c>
      <c r="BS41" s="1237">
        <v>0</v>
      </c>
      <c r="BT41" s="1240">
        <v>0</v>
      </c>
      <c r="BU41" s="1129">
        <v>0</v>
      </c>
      <c r="BV41" s="1131">
        <v>0</v>
      </c>
      <c r="BW41" s="1241">
        <v>8.8235294117647065E-2</v>
      </c>
      <c r="BX41" s="1239">
        <v>0.68027210884353739</v>
      </c>
      <c r="BY41" s="1131">
        <v>35.1</v>
      </c>
      <c r="BZ41" s="1239">
        <v>0.50607287449392702</v>
      </c>
      <c r="CA41" s="1239">
        <v>7.0370370370370381</v>
      </c>
      <c r="CB41" s="1239">
        <v>0</v>
      </c>
      <c r="CC41" s="1239">
        <v>7.0370370370370381</v>
      </c>
      <c r="CD41" s="1131">
        <v>2970</v>
      </c>
      <c r="CE41" s="1131">
        <v>0</v>
      </c>
      <c r="CF41" s="1197">
        <v>20.900000000000002</v>
      </c>
      <c r="CG41" s="1239">
        <v>2</v>
      </c>
      <c r="CH41" s="1239">
        <v>1.1000000000000001</v>
      </c>
      <c r="CI41" s="1131">
        <v>3120</v>
      </c>
      <c r="CJ41" s="1197">
        <v>3.4320000000000004</v>
      </c>
      <c r="CK41" s="1240">
        <v>6.2925882352941196</v>
      </c>
      <c r="CL41" s="1131">
        <v>7.0370370370370381</v>
      </c>
      <c r="CM41" s="1131">
        <v>45.173709565444362</v>
      </c>
      <c r="CN41" s="1131" t="s">
        <v>16</v>
      </c>
      <c r="CO41" s="1131" t="s">
        <v>16</v>
      </c>
      <c r="CP41" s="1131" t="s">
        <v>16</v>
      </c>
      <c r="CQ41" s="1131">
        <v>0</v>
      </c>
      <c r="CR41" s="1131">
        <v>0</v>
      </c>
      <c r="CS41" s="1197">
        <v>0</v>
      </c>
      <c r="CT41" s="1131">
        <v>8.5658823529411769</v>
      </c>
      <c r="CU41" s="1131">
        <v>293.72338964427962</v>
      </c>
      <c r="CV41" s="1131">
        <v>0</v>
      </c>
      <c r="CW41" s="1131">
        <v>11.13564705882353</v>
      </c>
      <c r="CX41" s="1131">
        <v>460</v>
      </c>
      <c r="CY41" s="1197">
        <v>5.0903461322585564</v>
      </c>
      <c r="CZ41" s="1129">
        <v>0</v>
      </c>
      <c r="DA41" s="1131">
        <v>0</v>
      </c>
      <c r="DB41" s="1197">
        <v>0</v>
      </c>
      <c r="DD41" s="637">
        <f t="shared" si="0"/>
        <v>0</v>
      </c>
      <c r="DE41" s="379" t="e">
        <f t="shared" si="1"/>
        <v>#VALUE!</v>
      </c>
      <c r="DF41" s="379">
        <f t="shared" si="2"/>
        <v>0</v>
      </c>
      <c r="DG41" s="1238">
        <f t="shared" si="3"/>
        <v>0</v>
      </c>
      <c r="DH41" s="1129">
        <f t="shared" si="4"/>
        <v>0</v>
      </c>
      <c r="DI41" s="1129">
        <f t="shared" si="5"/>
        <v>0</v>
      </c>
      <c r="DJ41" s="1129">
        <f t="shared" si="6"/>
        <v>0</v>
      </c>
      <c r="DK41" s="1129" t="e">
        <f t="shared" si="7"/>
        <v>#VALUE!</v>
      </c>
      <c r="DL41" s="1129">
        <f t="shared" si="8"/>
        <v>0</v>
      </c>
      <c r="DM41" s="1237">
        <f t="shared" si="9"/>
        <v>0</v>
      </c>
      <c r="DN41" s="1240">
        <f t="shared" si="10"/>
        <v>0</v>
      </c>
      <c r="DO41" s="1129">
        <f t="shared" si="11"/>
        <v>0</v>
      </c>
      <c r="DP41" s="1131">
        <f t="shared" si="12"/>
        <v>0</v>
      </c>
      <c r="DQ41" s="1241">
        <f t="shared" si="13"/>
        <v>0.59203681472589031</v>
      </c>
      <c r="DR41" s="1239">
        <f t="shared" si="14"/>
        <v>89.319727891156461</v>
      </c>
      <c r="DS41" s="1131">
        <f t="shared" si="15"/>
        <v>-34.593927125506077</v>
      </c>
      <c r="DT41" s="1239">
        <f t="shared" si="16"/>
        <v>-6.489640390569168E-2</v>
      </c>
      <c r="DU41" s="1239">
        <f t="shared" si="17"/>
        <v>0.56616296296296298</v>
      </c>
      <c r="DV41" s="1239">
        <f t="shared" si="18"/>
        <v>7.6032000000000011</v>
      </c>
      <c r="DW41" s="1239">
        <f t="shared" si="19"/>
        <v>-4.2925925925925927</v>
      </c>
      <c r="DX41" s="1131">
        <f t="shared" si="20"/>
        <v>-1568</v>
      </c>
      <c r="DY41" s="1131" t="e">
        <f>#REF!-CE41</f>
        <v>#REF!</v>
      </c>
      <c r="DZ41" s="1197">
        <f t="shared" si="21"/>
        <v>-17.052288888888889</v>
      </c>
      <c r="EA41" s="1239">
        <f t="shared" si="22"/>
        <v>-1.5</v>
      </c>
      <c r="EB41" s="1239">
        <f t="shared" si="23"/>
        <v>-1.1000000000000001</v>
      </c>
      <c r="EC41" s="1131">
        <f t="shared" si="24"/>
        <v>-3120</v>
      </c>
      <c r="ED41" s="1197">
        <f t="shared" si="25"/>
        <v>-3.4320000000000004</v>
      </c>
      <c r="EE41" s="1240">
        <f t="shared" si="26"/>
        <v>36.108783529411774</v>
      </c>
      <c r="EF41" s="1131">
        <f t="shared" si="27"/>
        <v>-4.2925925925925927</v>
      </c>
      <c r="EG41" s="1131">
        <f t="shared" si="28"/>
        <v>-45.173709565444362</v>
      </c>
      <c r="EH41" s="1131" t="e">
        <f t="shared" si="29"/>
        <v>#VALUE!</v>
      </c>
      <c r="EI41" s="1131" t="e">
        <f t="shared" si="30"/>
        <v>#VALUE!</v>
      </c>
      <c r="EJ41" s="1131" t="e">
        <f t="shared" si="31"/>
        <v>#VALUE!</v>
      </c>
      <c r="EK41" s="1131">
        <f t="shared" si="32"/>
        <v>0</v>
      </c>
      <c r="EL41" s="1131">
        <f t="shared" si="33"/>
        <v>0</v>
      </c>
      <c r="EM41" s="1197">
        <f t="shared" si="34"/>
        <v>0</v>
      </c>
      <c r="EN41" s="1131">
        <f t="shared" si="35"/>
        <v>4.8752941176470603</v>
      </c>
      <c r="EO41" s="1131">
        <f t="shared" si="36"/>
        <v>-106.53739402064727</v>
      </c>
      <c r="EP41" s="1131">
        <f t="shared" si="37"/>
        <v>-0.59221006564551493</v>
      </c>
      <c r="EQ41" s="1131">
        <f t="shared" si="38"/>
        <v>6.3998529411764729</v>
      </c>
      <c r="ER41" s="1131">
        <f t="shared" si="39"/>
        <v>310</v>
      </c>
      <c r="ES41" s="1197">
        <f t="shared" si="40"/>
        <v>8.3887459717128348</v>
      </c>
      <c r="ET41" s="1129">
        <f t="shared" si="41"/>
        <v>0</v>
      </c>
      <c r="EU41" s="1131">
        <f t="shared" si="42"/>
        <v>0</v>
      </c>
      <c r="EV41" s="1197">
        <f t="shared" si="43"/>
        <v>0</v>
      </c>
    </row>
    <row r="42" spans="1:152">
      <c r="A42" s="634">
        <f>Eingabedaten!A45</f>
        <v>12.04</v>
      </c>
      <c r="B42" s="463" t="str">
        <f>Eingabedaten!C45</f>
        <v>Nebenraum</v>
      </c>
      <c r="C42" s="637">
        <v>20</v>
      </c>
      <c r="D42" s="379">
        <v>0</v>
      </c>
      <c r="E42" s="379">
        <v>0.115</v>
      </c>
      <c r="F42" s="1238">
        <v>13</v>
      </c>
      <c r="G42" s="1129">
        <v>4.8</v>
      </c>
      <c r="H42" s="1129">
        <v>365</v>
      </c>
      <c r="I42" s="1129">
        <v>0.80000000000000016</v>
      </c>
      <c r="J42" s="1129">
        <v>1400</v>
      </c>
      <c r="K42" s="1129">
        <v>0</v>
      </c>
      <c r="L42" s="1129">
        <v>0</v>
      </c>
      <c r="M42" s="1239">
        <v>0</v>
      </c>
      <c r="N42" s="1237">
        <v>0</v>
      </c>
      <c r="O42" s="1240">
        <v>0</v>
      </c>
      <c r="P42" s="1131">
        <v>0</v>
      </c>
      <c r="Q42" s="1129">
        <v>0</v>
      </c>
      <c r="R42" s="1131">
        <v>0</v>
      </c>
      <c r="S42" s="1239">
        <v>0</v>
      </c>
      <c r="T42" s="1131">
        <v>0</v>
      </c>
      <c r="U42" s="1241">
        <v>0.90702947845804982</v>
      </c>
      <c r="V42" s="1131">
        <v>90</v>
      </c>
      <c r="W42" s="1242">
        <v>0.59453032104637327</v>
      </c>
      <c r="X42" s="1242">
        <v>0.17647058823529413</v>
      </c>
      <c r="Y42" s="1239">
        <v>7.6032000000000011</v>
      </c>
      <c r="Z42" s="1239">
        <v>7.6032000000000011</v>
      </c>
      <c r="AA42" s="1239">
        <v>2.3361111111111117</v>
      </c>
      <c r="AB42" s="1131">
        <v>1402</v>
      </c>
      <c r="AC42" s="1243">
        <v>3.2752277777777787</v>
      </c>
      <c r="AD42" s="1242">
        <v>0.5</v>
      </c>
      <c r="AE42" s="1197">
        <v>4420</v>
      </c>
      <c r="AF42" s="1239">
        <v>0.14000000000000001</v>
      </c>
      <c r="AG42" s="1131">
        <v>4420</v>
      </c>
      <c r="AH42" s="1243">
        <v>0.61880000000000002</v>
      </c>
      <c r="AI42" s="1240">
        <v>18.849764705882357</v>
      </c>
      <c r="AJ42" s="1131">
        <v>2.3361111111111117</v>
      </c>
      <c r="AK42" s="1131">
        <v>0</v>
      </c>
      <c r="AL42" s="1131" t="s">
        <v>16</v>
      </c>
      <c r="AM42" s="1131" t="s">
        <v>16</v>
      </c>
      <c r="AN42" s="1131" t="s">
        <v>16</v>
      </c>
      <c r="AO42" s="1131">
        <v>0</v>
      </c>
      <c r="AP42" s="1131">
        <v>0</v>
      </c>
      <c r="AQ42" s="1131">
        <v>0</v>
      </c>
      <c r="AR42" s="1131">
        <v>0</v>
      </c>
      <c r="AS42" s="1197">
        <v>0</v>
      </c>
      <c r="AT42" s="1197">
        <v>0</v>
      </c>
      <c r="AU42" s="1131">
        <v>8.0964705882352952</v>
      </c>
      <c r="AV42" s="1131">
        <v>282.59226968904386</v>
      </c>
      <c r="AW42" s="1242">
        <v>0</v>
      </c>
      <c r="AX42" s="1239">
        <v>10.323</v>
      </c>
      <c r="AY42" s="1131">
        <v>1330</v>
      </c>
      <c r="AZ42" s="1242">
        <v>0.32659817351598175</v>
      </c>
      <c r="BA42" s="1243">
        <v>13.694354688484475</v>
      </c>
      <c r="BB42" s="1129">
        <v>0</v>
      </c>
      <c r="BC42" s="1131">
        <v>0</v>
      </c>
      <c r="BD42" s="1197">
        <v>0</v>
      </c>
      <c r="BF42" s="1197">
        <f>Eingabedaten!AP45*'Resultate Standard'!S42</f>
        <v>0</v>
      </c>
      <c r="BG42" s="1244">
        <v>13.104656858101222</v>
      </c>
      <c r="BH42" s="1245"/>
      <c r="BI42" s="1246"/>
      <c r="BJ42" s="637">
        <v>20</v>
      </c>
      <c r="BK42" s="379" t="s">
        <v>193</v>
      </c>
      <c r="BL42" s="379">
        <v>0.115</v>
      </c>
      <c r="BM42" s="1238">
        <v>13</v>
      </c>
      <c r="BN42" s="1129">
        <v>4.8</v>
      </c>
      <c r="BO42" s="1129">
        <v>365</v>
      </c>
      <c r="BP42" s="1129">
        <v>0.80000000000000016</v>
      </c>
      <c r="BQ42" s="1129" t="s">
        <v>193</v>
      </c>
      <c r="BR42" s="1129">
        <v>0</v>
      </c>
      <c r="BS42" s="1237">
        <v>0</v>
      </c>
      <c r="BT42" s="1240">
        <v>0</v>
      </c>
      <c r="BU42" s="1129">
        <v>0</v>
      </c>
      <c r="BV42" s="1131">
        <v>0</v>
      </c>
      <c r="BW42" s="1241">
        <v>0.17647058823529413</v>
      </c>
      <c r="BX42" s="1239">
        <v>0.90702947845804982</v>
      </c>
      <c r="BY42" s="1131">
        <v>35.1</v>
      </c>
      <c r="BZ42" s="1239">
        <v>0.59453032104637327</v>
      </c>
      <c r="CA42" s="1239">
        <v>5.9900284900284912</v>
      </c>
      <c r="CB42" s="1239">
        <v>0</v>
      </c>
      <c r="CC42" s="1239">
        <v>5.9900284900284912</v>
      </c>
      <c r="CD42" s="1131">
        <v>2170</v>
      </c>
      <c r="CE42" s="1131">
        <v>0</v>
      </c>
      <c r="CF42" s="1197">
        <v>12.998361823361826</v>
      </c>
      <c r="CG42" s="1239">
        <v>0.5</v>
      </c>
      <c r="CH42" s="1239">
        <v>0.14000000000000001</v>
      </c>
      <c r="CI42" s="1131">
        <v>3120</v>
      </c>
      <c r="CJ42" s="1197">
        <v>0.43680000000000008</v>
      </c>
      <c r="CK42" s="1240">
        <v>12.585176470588239</v>
      </c>
      <c r="CL42" s="1131">
        <v>5.9900284900284912</v>
      </c>
      <c r="CM42" s="1131">
        <v>1.1966846696036487E-2</v>
      </c>
      <c r="CN42" s="1131" t="s">
        <v>16</v>
      </c>
      <c r="CO42" s="1131" t="s">
        <v>16</v>
      </c>
      <c r="CP42" s="1131" t="s">
        <v>16</v>
      </c>
      <c r="CQ42" s="1131">
        <v>0</v>
      </c>
      <c r="CR42" s="1131">
        <v>0</v>
      </c>
      <c r="CS42" s="1197">
        <v>0</v>
      </c>
      <c r="CT42" s="1131">
        <v>9.4517647058823542</v>
      </c>
      <c r="CU42" s="1131">
        <v>242.0711974110032</v>
      </c>
      <c r="CV42" s="1131">
        <v>0</v>
      </c>
      <c r="CW42" s="1131">
        <v>12.287294117647061</v>
      </c>
      <c r="CX42" s="1131">
        <v>870</v>
      </c>
      <c r="CY42" s="1197">
        <v>10.676850448975509</v>
      </c>
      <c r="CZ42" s="1129">
        <v>0</v>
      </c>
      <c r="DA42" s="1131">
        <v>0</v>
      </c>
      <c r="DB42" s="1197">
        <v>0</v>
      </c>
      <c r="DD42" s="637">
        <f t="shared" si="0"/>
        <v>0</v>
      </c>
      <c r="DE42" s="379" t="e">
        <f t="shared" si="1"/>
        <v>#VALUE!</v>
      </c>
      <c r="DF42" s="379">
        <f t="shared" si="2"/>
        <v>0</v>
      </c>
      <c r="DG42" s="1238">
        <f t="shared" si="3"/>
        <v>0</v>
      </c>
      <c r="DH42" s="1129">
        <f t="shared" si="4"/>
        <v>0</v>
      </c>
      <c r="DI42" s="1129">
        <f t="shared" si="5"/>
        <v>0</v>
      </c>
      <c r="DJ42" s="1129">
        <f t="shared" si="6"/>
        <v>0</v>
      </c>
      <c r="DK42" s="1129" t="e">
        <f t="shared" si="7"/>
        <v>#VALUE!</v>
      </c>
      <c r="DL42" s="1129">
        <f t="shared" si="8"/>
        <v>0</v>
      </c>
      <c r="DM42" s="1237">
        <f t="shared" si="9"/>
        <v>0</v>
      </c>
      <c r="DN42" s="1240">
        <f t="shared" si="10"/>
        <v>0</v>
      </c>
      <c r="DO42" s="1129">
        <f t="shared" si="11"/>
        <v>0</v>
      </c>
      <c r="DP42" s="1131">
        <f t="shared" si="12"/>
        <v>0</v>
      </c>
      <c r="DQ42" s="1241">
        <f t="shared" si="13"/>
        <v>0.73055889022275566</v>
      </c>
      <c r="DR42" s="1239">
        <f t="shared" si="14"/>
        <v>89.092970521541943</v>
      </c>
      <c r="DS42" s="1131">
        <f t="shared" si="15"/>
        <v>-34.505469678953631</v>
      </c>
      <c r="DT42" s="1239">
        <f t="shared" si="16"/>
        <v>-0.41805973281107911</v>
      </c>
      <c r="DU42" s="1239">
        <f t="shared" si="17"/>
        <v>1.6131715099715098</v>
      </c>
      <c r="DV42" s="1239">
        <f t="shared" si="18"/>
        <v>7.6032000000000011</v>
      </c>
      <c r="DW42" s="1239">
        <f t="shared" si="19"/>
        <v>-3.6539173789173796</v>
      </c>
      <c r="DX42" s="1131">
        <f t="shared" si="20"/>
        <v>-768</v>
      </c>
      <c r="DY42" s="1131" t="e">
        <f>#REF!-CE42</f>
        <v>#REF!</v>
      </c>
      <c r="DZ42" s="1197">
        <f t="shared" si="21"/>
        <v>-9.7231340455840467</v>
      </c>
      <c r="EA42" s="1239">
        <f t="shared" si="22"/>
        <v>0</v>
      </c>
      <c r="EB42" s="1239">
        <f t="shared" si="23"/>
        <v>0</v>
      </c>
      <c r="EC42" s="1131">
        <f t="shared" si="24"/>
        <v>1300</v>
      </c>
      <c r="ED42" s="1197">
        <f t="shared" si="25"/>
        <v>0.18199999999999994</v>
      </c>
      <c r="EE42" s="1240">
        <f t="shared" si="26"/>
        <v>6.2645882352941182</v>
      </c>
      <c r="EF42" s="1131">
        <f t="shared" si="27"/>
        <v>-3.6539173789173796</v>
      </c>
      <c r="EG42" s="1131">
        <f t="shared" si="28"/>
        <v>-1.1966846696036487E-2</v>
      </c>
      <c r="EH42" s="1131" t="e">
        <f t="shared" si="29"/>
        <v>#VALUE!</v>
      </c>
      <c r="EI42" s="1131" t="e">
        <f t="shared" si="30"/>
        <v>#VALUE!</v>
      </c>
      <c r="EJ42" s="1131" t="e">
        <f t="shared" si="31"/>
        <v>#VALUE!</v>
      </c>
      <c r="EK42" s="1131">
        <f t="shared" si="32"/>
        <v>0</v>
      </c>
      <c r="EL42" s="1131">
        <f t="shared" si="33"/>
        <v>0</v>
      </c>
      <c r="EM42" s="1197">
        <f t="shared" si="34"/>
        <v>0</v>
      </c>
      <c r="EN42" s="1131">
        <f t="shared" si="35"/>
        <v>-1.355294117647059</v>
      </c>
      <c r="EO42" s="1131">
        <f t="shared" si="36"/>
        <v>40.521072278040663</v>
      </c>
      <c r="EP42" s="1131">
        <f t="shared" si="37"/>
        <v>0</v>
      </c>
      <c r="EQ42" s="1131">
        <f t="shared" si="38"/>
        <v>-1.9642941176470607</v>
      </c>
      <c r="ER42" s="1131">
        <f t="shared" si="39"/>
        <v>460</v>
      </c>
      <c r="ES42" s="1197">
        <f t="shared" si="40"/>
        <v>3.0175042395089662</v>
      </c>
      <c r="ET42" s="1129">
        <f t="shared" si="41"/>
        <v>0</v>
      </c>
      <c r="EU42" s="1131">
        <f t="shared" si="42"/>
        <v>0</v>
      </c>
      <c r="EV42" s="1197">
        <f t="shared" si="43"/>
        <v>0</v>
      </c>
    </row>
    <row r="43" spans="1:152">
      <c r="A43" s="634">
        <f>Eingabedaten!A46</f>
        <v>12.05</v>
      </c>
      <c r="B43" s="463" t="str">
        <f>Eingabedaten!C46</f>
        <v>Küche, Teeküche</v>
      </c>
      <c r="C43" s="637">
        <v>20</v>
      </c>
      <c r="D43" s="379">
        <v>0</v>
      </c>
      <c r="E43" s="379">
        <v>0.125</v>
      </c>
      <c r="F43" s="1238">
        <v>11</v>
      </c>
      <c r="G43" s="1129">
        <v>4.5999999999999996</v>
      </c>
      <c r="H43" s="1129">
        <v>261</v>
      </c>
      <c r="I43" s="1129">
        <v>0.80000000000000016</v>
      </c>
      <c r="J43" s="1129">
        <v>960</v>
      </c>
      <c r="K43" s="1129">
        <v>2</v>
      </c>
      <c r="L43" s="1129">
        <v>42</v>
      </c>
      <c r="M43" s="1239">
        <v>40.32</v>
      </c>
      <c r="N43" s="1237">
        <v>25.5</v>
      </c>
      <c r="O43" s="1240">
        <v>40</v>
      </c>
      <c r="P43" s="1131">
        <v>0</v>
      </c>
      <c r="Q43" s="1129">
        <v>1430</v>
      </c>
      <c r="R43" s="1131">
        <v>57.2</v>
      </c>
      <c r="S43" s="1239">
        <v>57.2</v>
      </c>
      <c r="T43" s="1131">
        <v>0</v>
      </c>
      <c r="U43" s="1241">
        <v>1.2698412698412698</v>
      </c>
      <c r="V43" s="1131">
        <v>90</v>
      </c>
      <c r="W43" s="1242">
        <v>0.69930069930069916</v>
      </c>
      <c r="X43" s="1242">
        <v>0.17647058823529413</v>
      </c>
      <c r="Y43" s="1239">
        <v>7.6032000000000011</v>
      </c>
      <c r="Z43" s="1239">
        <v>7.9080358293711033</v>
      </c>
      <c r="AA43" s="1239">
        <v>3.9722222222222232</v>
      </c>
      <c r="AB43" s="1131">
        <v>826</v>
      </c>
      <c r="AC43" s="1243">
        <v>3.2810555555555565</v>
      </c>
      <c r="AD43" s="1242">
        <v>14.5</v>
      </c>
      <c r="AE43" s="1197">
        <v>1530</v>
      </c>
      <c r="AF43" s="1239">
        <v>7.9750000000000005</v>
      </c>
      <c r="AG43" s="1131">
        <v>1090</v>
      </c>
      <c r="AH43" s="1243">
        <v>8.6927500000000002</v>
      </c>
      <c r="AI43" s="1240">
        <v>23.377444705882361</v>
      </c>
      <c r="AJ43" s="1131">
        <v>85.972222222222229</v>
      </c>
      <c r="AK43" s="1131">
        <v>429.20000000000005</v>
      </c>
      <c r="AL43" s="1131" t="s">
        <v>16</v>
      </c>
      <c r="AM43" s="1131" t="s">
        <v>16</v>
      </c>
      <c r="AN43" s="1131" t="s">
        <v>16</v>
      </c>
      <c r="AO43" s="1131">
        <v>0</v>
      </c>
      <c r="AP43" s="1131">
        <v>0</v>
      </c>
      <c r="AQ43" s="1131">
        <v>0</v>
      </c>
      <c r="AR43" s="1131">
        <v>0</v>
      </c>
      <c r="AS43" s="1197">
        <v>0</v>
      </c>
      <c r="AT43" s="1197">
        <v>0</v>
      </c>
      <c r="AU43" s="1131">
        <v>8.0964705882352952</v>
      </c>
      <c r="AV43" s="1131">
        <v>282.59226968904386</v>
      </c>
      <c r="AW43" s="1242">
        <v>0</v>
      </c>
      <c r="AX43" s="1239">
        <v>11.537470588235294</v>
      </c>
      <c r="AY43" s="1131">
        <v>60</v>
      </c>
      <c r="AZ43" s="1242">
        <v>0.90190068493150688</v>
      </c>
      <c r="BA43" s="1243">
        <v>0.70277247260989306</v>
      </c>
      <c r="BB43" s="1129">
        <v>0</v>
      </c>
      <c r="BC43" s="1131">
        <v>0</v>
      </c>
      <c r="BD43" s="1197">
        <v>0</v>
      </c>
      <c r="BF43" s="1197">
        <f>Eingabedaten!AP46*'Resultate Standard'!S43</f>
        <v>114.4</v>
      </c>
      <c r="BG43" s="1244">
        <v>4.7188885438403361</v>
      </c>
      <c r="BH43" s="1245"/>
      <c r="BI43" s="1246"/>
      <c r="BJ43" s="637">
        <v>20</v>
      </c>
      <c r="BK43" s="379" t="s">
        <v>193</v>
      </c>
      <c r="BL43" s="379">
        <v>0.12</v>
      </c>
      <c r="BM43" s="1238">
        <v>11</v>
      </c>
      <c r="BN43" s="1129">
        <v>4.5999999999999996</v>
      </c>
      <c r="BO43" s="1129">
        <v>261</v>
      </c>
      <c r="BP43" s="1129">
        <v>0.80000000000000016</v>
      </c>
      <c r="BQ43" s="1129">
        <v>2</v>
      </c>
      <c r="BR43" s="1129">
        <v>35</v>
      </c>
      <c r="BS43" s="1237">
        <v>40</v>
      </c>
      <c r="BT43" s="1240">
        <v>40</v>
      </c>
      <c r="BU43" s="1129">
        <v>1430</v>
      </c>
      <c r="BV43" s="1131">
        <v>57.2</v>
      </c>
      <c r="BW43" s="1241">
        <v>0.17647058823529413</v>
      </c>
      <c r="BX43" s="1239">
        <v>1.2698412698412698</v>
      </c>
      <c r="BY43" s="1131">
        <v>40.099999999999994</v>
      </c>
      <c r="BZ43" s="1239">
        <v>0.69930069930069916</v>
      </c>
      <c r="CA43" s="1239">
        <v>8.9152119700748163</v>
      </c>
      <c r="CB43" s="1239">
        <v>0</v>
      </c>
      <c r="CC43" s="1239">
        <v>8.9152119700748163</v>
      </c>
      <c r="CD43" s="1131">
        <v>1240</v>
      </c>
      <c r="CE43" s="1131">
        <v>0</v>
      </c>
      <c r="CF43" s="1197">
        <v>11.054862842892772</v>
      </c>
      <c r="CG43" s="1239">
        <v>20</v>
      </c>
      <c r="CH43" s="1239">
        <v>11</v>
      </c>
      <c r="CI43" s="1131">
        <v>1030</v>
      </c>
      <c r="CJ43" s="1197">
        <v>11.33</v>
      </c>
      <c r="CK43" s="1240">
        <v>12.585176470588239</v>
      </c>
      <c r="CL43" s="1131">
        <v>83.915211970074822</v>
      </c>
      <c r="CM43" s="1131">
        <v>407.40090333664625</v>
      </c>
      <c r="CN43" s="1131" t="s">
        <v>16</v>
      </c>
      <c r="CO43" s="1131" t="s">
        <v>16</v>
      </c>
      <c r="CP43" s="1131" t="s">
        <v>16</v>
      </c>
      <c r="CQ43" s="1131">
        <v>0</v>
      </c>
      <c r="CR43" s="1131">
        <v>0</v>
      </c>
      <c r="CS43" s="1197">
        <v>0</v>
      </c>
      <c r="CT43" s="1131">
        <v>46.891764705882359</v>
      </c>
      <c r="CU43" s="1131">
        <v>48.793215916503584</v>
      </c>
      <c r="CV43" s="1131">
        <v>-3</v>
      </c>
      <c r="CW43" s="1131">
        <v>72.682235294117646</v>
      </c>
      <c r="CX43" s="1131">
        <v>240</v>
      </c>
      <c r="CY43" s="1197">
        <v>17.156626675587614</v>
      </c>
      <c r="CZ43" s="1129">
        <v>0</v>
      </c>
      <c r="DA43" s="1131">
        <v>0</v>
      </c>
      <c r="DB43" s="1197">
        <v>0</v>
      </c>
      <c r="DD43" s="637">
        <f t="shared" si="0"/>
        <v>0</v>
      </c>
      <c r="DE43" s="379" t="e">
        <f t="shared" si="1"/>
        <v>#VALUE!</v>
      </c>
      <c r="DF43" s="379">
        <f t="shared" si="2"/>
        <v>5.0000000000000044E-3</v>
      </c>
      <c r="DG43" s="1238">
        <f t="shared" si="3"/>
        <v>0</v>
      </c>
      <c r="DH43" s="1129">
        <f t="shared" si="4"/>
        <v>0</v>
      </c>
      <c r="DI43" s="1129">
        <f t="shared" si="5"/>
        <v>0</v>
      </c>
      <c r="DJ43" s="1129">
        <f t="shared" si="6"/>
        <v>0</v>
      </c>
      <c r="DK43" s="1129">
        <f t="shared" si="7"/>
        <v>0</v>
      </c>
      <c r="DL43" s="1129">
        <f t="shared" si="8"/>
        <v>7</v>
      </c>
      <c r="DM43" s="1237">
        <f t="shared" si="9"/>
        <v>-14.5</v>
      </c>
      <c r="DN43" s="1240">
        <f t="shared" si="10"/>
        <v>0</v>
      </c>
      <c r="DO43" s="1129">
        <f t="shared" si="11"/>
        <v>0</v>
      </c>
      <c r="DP43" s="1131">
        <f t="shared" si="12"/>
        <v>0</v>
      </c>
      <c r="DQ43" s="1241">
        <f t="shared" si="13"/>
        <v>1.0933706816059756</v>
      </c>
      <c r="DR43" s="1239">
        <f t="shared" si="14"/>
        <v>88.730158730158735</v>
      </c>
      <c r="DS43" s="1131">
        <f t="shared" si="15"/>
        <v>-39.400699300699294</v>
      </c>
      <c r="DT43" s="1239">
        <f t="shared" si="16"/>
        <v>-0.522830111065405</v>
      </c>
      <c r="DU43" s="1239">
        <f t="shared" si="17"/>
        <v>-1.3120119700748152</v>
      </c>
      <c r="DV43" s="1239">
        <f t="shared" si="18"/>
        <v>7.9080358293711033</v>
      </c>
      <c r="DW43" s="1239">
        <f t="shared" si="19"/>
        <v>-4.942989747852593</v>
      </c>
      <c r="DX43" s="1131">
        <f t="shared" si="20"/>
        <v>-414</v>
      </c>
      <c r="DY43" s="1131" t="e">
        <f>#REF!-CE43</f>
        <v>#REF!</v>
      </c>
      <c r="DZ43" s="1197">
        <f t="shared" si="21"/>
        <v>-7.7738072873372159</v>
      </c>
      <c r="EA43" s="1239">
        <f t="shared" si="22"/>
        <v>-5.5</v>
      </c>
      <c r="EB43" s="1239">
        <f t="shared" si="23"/>
        <v>-3.0249999999999995</v>
      </c>
      <c r="EC43" s="1131">
        <f t="shared" si="24"/>
        <v>60</v>
      </c>
      <c r="ED43" s="1197">
        <f t="shared" si="25"/>
        <v>-2.6372499999999999</v>
      </c>
      <c r="EE43" s="1240">
        <f t="shared" si="26"/>
        <v>10.792268235294122</v>
      </c>
      <c r="EF43" s="1131">
        <f t="shared" si="27"/>
        <v>2.057010252147407</v>
      </c>
      <c r="EG43" s="1131">
        <f t="shared" si="28"/>
        <v>21.799096663353794</v>
      </c>
      <c r="EH43" s="1131" t="e">
        <f t="shared" si="29"/>
        <v>#VALUE!</v>
      </c>
      <c r="EI43" s="1131" t="e">
        <f t="shared" si="30"/>
        <v>#VALUE!</v>
      </c>
      <c r="EJ43" s="1131" t="e">
        <f t="shared" si="31"/>
        <v>#VALUE!</v>
      </c>
      <c r="EK43" s="1131">
        <f t="shared" si="32"/>
        <v>0</v>
      </c>
      <c r="EL43" s="1131">
        <f t="shared" si="33"/>
        <v>0</v>
      </c>
      <c r="EM43" s="1197">
        <f t="shared" si="34"/>
        <v>0</v>
      </c>
      <c r="EN43" s="1131">
        <f t="shared" si="35"/>
        <v>-38.79529411764706</v>
      </c>
      <c r="EO43" s="1131">
        <f t="shared" si="36"/>
        <v>233.79905377254028</v>
      </c>
      <c r="EP43" s="1131">
        <f t="shared" si="37"/>
        <v>3</v>
      </c>
      <c r="EQ43" s="1131">
        <f t="shared" si="38"/>
        <v>-61.144764705882352</v>
      </c>
      <c r="ER43" s="1131">
        <f t="shared" si="39"/>
        <v>-180</v>
      </c>
      <c r="ES43" s="1197">
        <f t="shared" si="40"/>
        <v>-16.45385420297772</v>
      </c>
      <c r="ET43" s="1129">
        <f t="shared" si="41"/>
        <v>0</v>
      </c>
      <c r="EU43" s="1131">
        <f t="shared" si="42"/>
        <v>0</v>
      </c>
      <c r="EV43" s="1197">
        <f t="shared" si="43"/>
        <v>0</v>
      </c>
    </row>
    <row r="44" spans="1:152">
      <c r="A44" s="634">
        <f>Eingabedaten!A47</f>
        <v>12.06</v>
      </c>
      <c r="B44" s="463" t="str">
        <f>Eingabedaten!C47</f>
        <v xml:space="preserve">WC, Bad, Dusche </v>
      </c>
      <c r="C44" s="637">
        <v>20</v>
      </c>
      <c r="D44" s="379">
        <v>0</v>
      </c>
      <c r="E44" s="379">
        <v>0.125</v>
      </c>
      <c r="F44" s="1238">
        <v>11</v>
      </c>
      <c r="G44" s="1129">
        <v>6</v>
      </c>
      <c r="H44" s="1129">
        <v>261</v>
      </c>
      <c r="I44" s="1129">
        <v>0.80000000000000016</v>
      </c>
      <c r="J44" s="1129">
        <v>1250</v>
      </c>
      <c r="K44" s="1129">
        <v>0</v>
      </c>
      <c r="L44" s="1129">
        <v>0</v>
      </c>
      <c r="M44" s="1239">
        <v>0</v>
      </c>
      <c r="N44" s="1237">
        <v>0</v>
      </c>
      <c r="O44" s="1240">
        <v>0</v>
      </c>
      <c r="P44" s="1131">
        <v>0</v>
      </c>
      <c r="Q44" s="1129">
        <v>0</v>
      </c>
      <c r="R44" s="1131">
        <v>0</v>
      </c>
      <c r="S44" s="1239">
        <v>0</v>
      </c>
      <c r="T44" s="1131">
        <v>0</v>
      </c>
      <c r="U44" s="1241">
        <v>0.90702947845804982</v>
      </c>
      <c r="V44" s="1131">
        <v>90</v>
      </c>
      <c r="W44" s="1242">
        <v>0.59453032104637327</v>
      </c>
      <c r="X44" s="1242">
        <v>0.17647058823529413</v>
      </c>
      <c r="Y44" s="1239">
        <v>7.6032000000000011</v>
      </c>
      <c r="Z44" s="1239">
        <v>7.9080358293711033</v>
      </c>
      <c r="AA44" s="1239">
        <v>4.6722222222222234</v>
      </c>
      <c r="AB44" s="1131">
        <v>826</v>
      </c>
      <c r="AC44" s="1243">
        <v>3.8592555555555568</v>
      </c>
      <c r="AD44" s="1242">
        <v>8</v>
      </c>
      <c r="AE44" s="1197">
        <v>1850</v>
      </c>
      <c r="AF44" s="1239">
        <v>2.2400000000000002</v>
      </c>
      <c r="AG44" s="1131">
        <v>1380</v>
      </c>
      <c r="AH44" s="1243">
        <v>3.0912000000000002</v>
      </c>
      <c r="AI44" s="1240">
        <v>31.856164705882353</v>
      </c>
      <c r="AJ44" s="1131">
        <v>4.6722222222222234</v>
      </c>
      <c r="AK44" s="1131">
        <v>0</v>
      </c>
      <c r="AL44" s="1131" t="s">
        <v>16</v>
      </c>
      <c r="AM44" s="1131" t="s">
        <v>16</v>
      </c>
      <c r="AN44" s="1131" t="s">
        <v>16</v>
      </c>
      <c r="AO44" s="1131">
        <v>0</v>
      </c>
      <c r="AP44" s="1131">
        <v>0</v>
      </c>
      <c r="AQ44" s="1131">
        <v>0</v>
      </c>
      <c r="AR44" s="1131">
        <v>0</v>
      </c>
      <c r="AS44" s="1197">
        <v>0</v>
      </c>
      <c r="AT44" s="1197">
        <v>0</v>
      </c>
      <c r="AU44" s="1131">
        <v>8.0964705882352952</v>
      </c>
      <c r="AV44" s="1131">
        <v>282.59226968904386</v>
      </c>
      <c r="AW44" s="1242">
        <v>0</v>
      </c>
      <c r="AX44" s="1239">
        <v>11.537470588235294</v>
      </c>
      <c r="AY44" s="1131">
        <v>4760</v>
      </c>
      <c r="AZ44" s="1242">
        <v>1.8078196347031963</v>
      </c>
      <c r="BA44" s="1243">
        <v>54.916232691300749</v>
      </c>
      <c r="BB44" s="1129">
        <v>0</v>
      </c>
      <c r="BC44" s="1131">
        <v>0</v>
      </c>
      <c r="BD44" s="1197">
        <v>0</v>
      </c>
      <c r="BF44" s="1197">
        <f>Eingabedaten!AP47*'Resultate Standard'!S44</f>
        <v>0</v>
      </c>
      <c r="BG44" s="1244">
        <v>37.215781919656841</v>
      </c>
      <c r="BH44" s="1245"/>
      <c r="BI44" s="1246"/>
      <c r="BJ44" s="637">
        <v>20</v>
      </c>
      <c r="BK44" s="379" t="s">
        <v>193</v>
      </c>
      <c r="BL44" s="379">
        <v>0.125</v>
      </c>
      <c r="BM44" s="1238">
        <v>11</v>
      </c>
      <c r="BN44" s="1129">
        <v>6</v>
      </c>
      <c r="BO44" s="1129">
        <v>261</v>
      </c>
      <c r="BP44" s="1129">
        <v>0.80000000000000016</v>
      </c>
      <c r="BQ44" s="1129" t="s">
        <v>193</v>
      </c>
      <c r="BR44" s="1129">
        <v>0</v>
      </c>
      <c r="BS44" s="1237">
        <v>0</v>
      </c>
      <c r="BT44" s="1240">
        <v>0</v>
      </c>
      <c r="BU44" s="1129">
        <v>0</v>
      </c>
      <c r="BV44" s="1131">
        <v>0</v>
      </c>
      <c r="BW44" s="1241">
        <v>0.17647058823529413</v>
      </c>
      <c r="BX44" s="1239">
        <v>0.90702947845804982</v>
      </c>
      <c r="BY44" s="1131">
        <v>40.099999999999994</v>
      </c>
      <c r="BZ44" s="1239">
        <v>0.59453032104637327</v>
      </c>
      <c r="CA44" s="1239">
        <v>10.48628428927681</v>
      </c>
      <c r="CB44" s="1239">
        <v>0</v>
      </c>
      <c r="CC44" s="1239">
        <v>10.48628428927681</v>
      </c>
      <c r="CD44" s="1131">
        <v>1240</v>
      </c>
      <c r="CE44" s="1131">
        <v>0</v>
      </c>
      <c r="CF44" s="1197">
        <v>13.002992518703243</v>
      </c>
      <c r="CG44" s="1239">
        <v>16</v>
      </c>
      <c r="CH44" s="1239">
        <v>4.4800000000000004</v>
      </c>
      <c r="CI44" s="1131">
        <v>1160</v>
      </c>
      <c r="CJ44" s="1197">
        <v>5.1968000000000005</v>
      </c>
      <c r="CK44" s="1240">
        <v>12.585176470588239</v>
      </c>
      <c r="CL44" s="1131">
        <v>10.48628428927681</v>
      </c>
      <c r="CM44" s="1131">
        <v>12.233789798768562</v>
      </c>
      <c r="CN44" s="1131" t="s">
        <v>16</v>
      </c>
      <c r="CO44" s="1131" t="s">
        <v>16</v>
      </c>
      <c r="CP44" s="1131" t="s">
        <v>16</v>
      </c>
      <c r="CQ44" s="1131">
        <v>0</v>
      </c>
      <c r="CR44" s="1131">
        <v>0</v>
      </c>
      <c r="CS44" s="1197">
        <v>0</v>
      </c>
      <c r="CT44" s="1131">
        <v>39.211764705882359</v>
      </c>
      <c r="CU44" s="1131">
        <v>58.34983498349834</v>
      </c>
      <c r="CV44" s="1131">
        <v>-2</v>
      </c>
      <c r="CW44" s="1131">
        <v>60.778235294117657</v>
      </c>
      <c r="CX44" s="1131">
        <v>650</v>
      </c>
      <c r="CY44" s="1197">
        <v>39.204063161798992</v>
      </c>
      <c r="CZ44" s="1129">
        <v>0</v>
      </c>
      <c r="DA44" s="1131">
        <v>0</v>
      </c>
      <c r="DB44" s="1197">
        <v>0</v>
      </c>
      <c r="DD44" s="637">
        <f t="shared" si="0"/>
        <v>0</v>
      </c>
      <c r="DE44" s="379" t="e">
        <f t="shared" si="1"/>
        <v>#VALUE!</v>
      </c>
      <c r="DF44" s="379">
        <f t="shared" si="2"/>
        <v>0</v>
      </c>
      <c r="DG44" s="1238">
        <f t="shared" si="3"/>
        <v>0</v>
      </c>
      <c r="DH44" s="1129">
        <f t="shared" si="4"/>
        <v>0</v>
      </c>
      <c r="DI44" s="1129">
        <f t="shared" si="5"/>
        <v>0</v>
      </c>
      <c r="DJ44" s="1129">
        <f t="shared" si="6"/>
        <v>0</v>
      </c>
      <c r="DK44" s="1129" t="e">
        <f t="shared" si="7"/>
        <v>#VALUE!</v>
      </c>
      <c r="DL44" s="1129">
        <f t="shared" si="8"/>
        <v>0</v>
      </c>
      <c r="DM44" s="1237">
        <f t="shared" si="9"/>
        <v>0</v>
      </c>
      <c r="DN44" s="1240">
        <f t="shared" si="10"/>
        <v>0</v>
      </c>
      <c r="DO44" s="1129">
        <f t="shared" si="11"/>
        <v>0</v>
      </c>
      <c r="DP44" s="1131">
        <f t="shared" si="12"/>
        <v>0</v>
      </c>
      <c r="DQ44" s="1241">
        <f t="shared" si="13"/>
        <v>0.73055889022275566</v>
      </c>
      <c r="DR44" s="1239">
        <f t="shared" si="14"/>
        <v>89.092970521541943</v>
      </c>
      <c r="DS44" s="1131">
        <f t="shared" si="15"/>
        <v>-39.505469678953624</v>
      </c>
      <c r="DT44" s="1239">
        <f t="shared" si="16"/>
        <v>-0.41805973281107911</v>
      </c>
      <c r="DU44" s="1239">
        <f t="shared" si="17"/>
        <v>-2.8830842892768089</v>
      </c>
      <c r="DV44" s="1239">
        <f t="shared" si="18"/>
        <v>7.9080358293711033</v>
      </c>
      <c r="DW44" s="1239">
        <f t="shared" si="19"/>
        <v>-5.8140620670545866</v>
      </c>
      <c r="DX44" s="1131">
        <f t="shared" si="20"/>
        <v>-414</v>
      </c>
      <c r="DY44" s="1131" t="e">
        <f>#REF!-CE44</f>
        <v>#REF!</v>
      </c>
      <c r="DZ44" s="1197">
        <f t="shared" si="21"/>
        <v>-9.1437369631476866</v>
      </c>
      <c r="EA44" s="1239">
        <f t="shared" si="22"/>
        <v>-8</v>
      </c>
      <c r="EB44" s="1239">
        <f t="shared" si="23"/>
        <v>-2.2400000000000002</v>
      </c>
      <c r="EC44" s="1131">
        <f t="shared" si="24"/>
        <v>220</v>
      </c>
      <c r="ED44" s="1197">
        <f t="shared" si="25"/>
        <v>-2.1056000000000004</v>
      </c>
      <c r="EE44" s="1240">
        <f t="shared" si="26"/>
        <v>19.270988235294112</v>
      </c>
      <c r="EF44" s="1131">
        <f t="shared" si="27"/>
        <v>-5.8140620670545866</v>
      </c>
      <c r="EG44" s="1131">
        <f t="shared" si="28"/>
        <v>-12.233789798768562</v>
      </c>
      <c r="EH44" s="1131" t="e">
        <f t="shared" si="29"/>
        <v>#VALUE!</v>
      </c>
      <c r="EI44" s="1131" t="e">
        <f t="shared" si="30"/>
        <v>#VALUE!</v>
      </c>
      <c r="EJ44" s="1131" t="e">
        <f t="shared" si="31"/>
        <v>#VALUE!</v>
      </c>
      <c r="EK44" s="1131">
        <f t="shared" si="32"/>
        <v>0</v>
      </c>
      <c r="EL44" s="1131">
        <f t="shared" si="33"/>
        <v>0</v>
      </c>
      <c r="EM44" s="1197">
        <f t="shared" si="34"/>
        <v>0</v>
      </c>
      <c r="EN44" s="1131">
        <f t="shared" si="35"/>
        <v>-31.115294117647064</v>
      </c>
      <c r="EO44" s="1131">
        <f t="shared" si="36"/>
        <v>224.24243470554552</v>
      </c>
      <c r="EP44" s="1131">
        <f t="shared" si="37"/>
        <v>2</v>
      </c>
      <c r="EQ44" s="1131">
        <f t="shared" si="38"/>
        <v>-49.240764705882363</v>
      </c>
      <c r="ER44" s="1131">
        <f t="shared" si="39"/>
        <v>4110</v>
      </c>
      <c r="ES44" s="1197">
        <f t="shared" si="40"/>
        <v>15.712169529501757</v>
      </c>
      <c r="ET44" s="1129">
        <f t="shared" si="41"/>
        <v>0</v>
      </c>
      <c r="EU44" s="1131">
        <f t="shared" si="42"/>
        <v>0</v>
      </c>
      <c r="EV44" s="1197">
        <f t="shared" si="43"/>
        <v>0</v>
      </c>
    </row>
    <row r="45" spans="1:152">
      <c r="A45" s="633">
        <f>Eingabedaten!A48</f>
        <v>12.07</v>
      </c>
      <c r="B45" s="463" t="str">
        <f>Eingabedaten!C48</f>
        <v>WC</v>
      </c>
      <c r="C45" s="637">
        <v>4</v>
      </c>
      <c r="D45" s="379">
        <v>0</v>
      </c>
      <c r="E45" s="379">
        <v>0.125</v>
      </c>
      <c r="F45" s="1238">
        <v>11</v>
      </c>
      <c r="G45" s="1129">
        <v>6</v>
      </c>
      <c r="H45" s="1129">
        <v>261</v>
      </c>
      <c r="I45" s="1129">
        <v>0.80000000000000016</v>
      </c>
      <c r="J45" s="1129">
        <v>1250</v>
      </c>
      <c r="K45" s="1129">
        <v>0</v>
      </c>
      <c r="L45" s="1129">
        <v>0</v>
      </c>
      <c r="M45" s="1239">
        <v>0</v>
      </c>
      <c r="N45" s="1237">
        <v>0</v>
      </c>
      <c r="O45" s="1240">
        <v>0</v>
      </c>
      <c r="P45" s="1131">
        <v>0</v>
      </c>
      <c r="Q45" s="1129">
        <v>0</v>
      </c>
      <c r="R45" s="1131">
        <v>0</v>
      </c>
      <c r="S45" s="1239">
        <v>0</v>
      </c>
      <c r="T45" s="1131">
        <v>0</v>
      </c>
      <c r="U45" s="1241">
        <v>0.4081632653061224</v>
      </c>
      <c r="V45" s="1131">
        <v>90</v>
      </c>
      <c r="W45" s="1242">
        <v>0.36231884057971009</v>
      </c>
      <c r="X45" s="1242">
        <v>0.44117647058823534</v>
      </c>
      <c r="Y45" s="1239">
        <v>7.6032000000000011</v>
      </c>
      <c r="Z45" s="1239">
        <v>7.6032000000000011</v>
      </c>
      <c r="AA45" s="1239">
        <v>7.6666666666666679</v>
      </c>
      <c r="AB45" s="1131">
        <v>794</v>
      </c>
      <c r="AC45" s="1243">
        <v>6.0873333333333344</v>
      </c>
      <c r="AD45" s="1242">
        <v>8</v>
      </c>
      <c r="AE45" s="1197">
        <v>1850</v>
      </c>
      <c r="AF45" s="1239">
        <v>2.2400000000000002</v>
      </c>
      <c r="AG45" s="1131">
        <v>1380</v>
      </c>
      <c r="AH45" s="1243">
        <v>3.0912000000000002</v>
      </c>
      <c r="AI45" s="1240">
        <v>47.631035764705885</v>
      </c>
      <c r="AJ45" s="1131">
        <v>7.6666666666666679</v>
      </c>
      <c r="AK45" s="1131">
        <v>0</v>
      </c>
      <c r="AL45" s="1131" t="s">
        <v>16</v>
      </c>
      <c r="AM45" s="1131" t="s">
        <v>16</v>
      </c>
      <c r="AN45" s="1131" t="s">
        <v>16</v>
      </c>
      <c r="AO45" s="1131">
        <v>0</v>
      </c>
      <c r="AP45" s="1131">
        <v>0</v>
      </c>
      <c r="AQ45" s="1131">
        <v>0</v>
      </c>
      <c r="AR45" s="1131">
        <v>0</v>
      </c>
      <c r="AS45" s="1197">
        <v>0</v>
      </c>
      <c r="AT45" s="1197">
        <v>0</v>
      </c>
      <c r="AU45" s="1131">
        <v>3.5682352941176472</v>
      </c>
      <c r="AV45" s="1131">
        <v>173.41905703923507</v>
      </c>
      <c r="AW45" s="1242">
        <v>-0.79871414441147381</v>
      </c>
      <c r="AX45" s="1239">
        <v>26.136176470588236</v>
      </c>
      <c r="AY45" s="1131">
        <v>1540</v>
      </c>
      <c r="AZ45" s="1242">
        <v>0.64734589041095902</v>
      </c>
      <c r="BA45" s="1243">
        <v>40.156865561864294</v>
      </c>
      <c r="BB45" s="1129">
        <v>0</v>
      </c>
      <c r="BC45" s="1131">
        <v>0</v>
      </c>
      <c r="BD45" s="1197">
        <v>0</v>
      </c>
      <c r="BF45" s="1197">
        <f>Eingabedaten!AP48*'Resultate Standard'!S45</f>
        <v>0</v>
      </c>
      <c r="BG45" s="1244">
        <v>49.244318858959232</v>
      </c>
      <c r="BH45" s="1245"/>
      <c r="BI45" s="1246"/>
      <c r="BJ45" s="637">
        <v>4</v>
      </c>
      <c r="BK45" s="379" t="s">
        <v>193</v>
      </c>
      <c r="BL45" s="379">
        <v>0.12</v>
      </c>
      <c r="BM45" s="1238">
        <v>11</v>
      </c>
      <c r="BN45" s="1129">
        <v>6</v>
      </c>
      <c r="BO45" s="1129">
        <v>261</v>
      </c>
      <c r="BP45" s="1129">
        <v>0.80000000000000016</v>
      </c>
      <c r="BQ45" s="1129" t="s">
        <v>193</v>
      </c>
      <c r="BR45" s="1129">
        <v>0</v>
      </c>
      <c r="BS45" s="1237">
        <v>0</v>
      </c>
      <c r="BT45" s="1240">
        <v>0</v>
      </c>
      <c r="BU45" s="1129">
        <v>0</v>
      </c>
      <c r="BV45" s="1131">
        <v>0</v>
      </c>
      <c r="BW45" s="1241">
        <v>0.44117647058823534</v>
      </c>
      <c r="BX45" s="1239">
        <v>0.4081632653061224</v>
      </c>
      <c r="BY45" s="1131">
        <v>40.099999999999994</v>
      </c>
      <c r="BZ45" s="1239">
        <v>0.36231884057971009</v>
      </c>
      <c r="CA45" s="1239">
        <v>17.206982543640905</v>
      </c>
      <c r="CB45" s="1239">
        <v>0</v>
      </c>
      <c r="CC45" s="1239">
        <v>17.206982543640905</v>
      </c>
      <c r="CD45" s="1131">
        <v>2300</v>
      </c>
      <c r="CE45" s="1131">
        <v>0</v>
      </c>
      <c r="CF45" s="1197">
        <v>39.576059850374087</v>
      </c>
      <c r="CG45" s="1239">
        <v>8</v>
      </c>
      <c r="CH45" s="1239">
        <v>2.2400000000000002</v>
      </c>
      <c r="CI45" s="1131">
        <v>1490</v>
      </c>
      <c r="CJ45" s="1197">
        <v>3.3376000000000006</v>
      </c>
      <c r="CK45" s="1240">
        <v>31.462941176470597</v>
      </c>
      <c r="CL45" s="1131">
        <v>17.206982543640905</v>
      </c>
      <c r="CM45" s="1131">
        <v>223.55329012981105</v>
      </c>
      <c r="CN45" s="1131" t="s">
        <v>16</v>
      </c>
      <c r="CO45" s="1131" t="s">
        <v>16</v>
      </c>
      <c r="CP45" s="1131" t="s">
        <v>16</v>
      </c>
      <c r="CQ45" s="1131">
        <v>0</v>
      </c>
      <c r="CR45" s="1131">
        <v>0</v>
      </c>
      <c r="CS45" s="1197">
        <v>0</v>
      </c>
      <c r="CT45" s="1131">
        <v>7.0298823529411774</v>
      </c>
      <c r="CU45" s="1131">
        <v>88.024232687351457</v>
      </c>
      <c r="CV45" s="1131">
        <v>-2</v>
      </c>
      <c r="CW45" s="1131">
        <v>52.724117647058833</v>
      </c>
      <c r="CX45" s="1131">
        <v>950</v>
      </c>
      <c r="CY45" s="1197">
        <v>49.950108834166087</v>
      </c>
      <c r="CZ45" s="1129">
        <v>0</v>
      </c>
      <c r="DA45" s="1131">
        <v>0</v>
      </c>
      <c r="DB45" s="1197">
        <v>0</v>
      </c>
      <c r="DD45" s="637">
        <f t="shared" si="0"/>
        <v>0</v>
      </c>
      <c r="DE45" s="379" t="e">
        <f t="shared" si="1"/>
        <v>#VALUE!</v>
      </c>
      <c r="DF45" s="379">
        <f t="shared" si="2"/>
        <v>5.0000000000000044E-3</v>
      </c>
      <c r="DG45" s="1238">
        <f t="shared" si="3"/>
        <v>0</v>
      </c>
      <c r="DH45" s="1129">
        <f t="shared" si="4"/>
        <v>0</v>
      </c>
      <c r="DI45" s="1129">
        <f t="shared" si="5"/>
        <v>0</v>
      </c>
      <c r="DJ45" s="1129">
        <f t="shared" si="6"/>
        <v>0</v>
      </c>
      <c r="DK45" s="1129" t="e">
        <f t="shared" si="7"/>
        <v>#VALUE!</v>
      </c>
      <c r="DL45" s="1129">
        <f t="shared" si="8"/>
        <v>0</v>
      </c>
      <c r="DM45" s="1237">
        <f t="shared" si="9"/>
        <v>0</v>
      </c>
      <c r="DN45" s="1240">
        <f t="shared" si="10"/>
        <v>0</v>
      </c>
      <c r="DO45" s="1129">
        <f t="shared" si="11"/>
        <v>0</v>
      </c>
      <c r="DP45" s="1131">
        <f t="shared" si="12"/>
        <v>0</v>
      </c>
      <c r="DQ45" s="1241">
        <f t="shared" si="13"/>
        <v>-3.3013205282112934E-2</v>
      </c>
      <c r="DR45" s="1239">
        <f t="shared" si="14"/>
        <v>89.591836734693871</v>
      </c>
      <c r="DS45" s="1131">
        <f t="shared" si="15"/>
        <v>-39.737681159420283</v>
      </c>
      <c r="DT45" s="1239">
        <f t="shared" si="16"/>
        <v>7.8857630008525248E-2</v>
      </c>
      <c r="DU45" s="1239">
        <f t="shared" si="17"/>
        <v>-9.6037825436409037</v>
      </c>
      <c r="DV45" s="1239">
        <f t="shared" si="18"/>
        <v>7.6032000000000011</v>
      </c>
      <c r="DW45" s="1239">
        <f t="shared" si="19"/>
        <v>-9.5403158769742369</v>
      </c>
      <c r="DX45" s="1131">
        <f t="shared" si="20"/>
        <v>-1506</v>
      </c>
      <c r="DY45" s="1131" t="e">
        <f>#REF!-CE45</f>
        <v>#REF!</v>
      </c>
      <c r="DZ45" s="1197">
        <f t="shared" si="21"/>
        <v>-33.488726517040753</v>
      </c>
      <c r="EA45" s="1239">
        <f t="shared" si="22"/>
        <v>0</v>
      </c>
      <c r="EB45" s="1239">
        <f t="shared" si="23"/>
        <v>0</v>
      </c>
      <c r="EC45" s="1131">
        <f t="shared" si="24"/>
        <v>-110</v>
      </c>
      <c r="ED45" s="1197">
        <f t="shared" si="25"/>
        <v>-0.2464000000000004</v>
      </c>
      <c r="EE45" s="1240">
        <f t="shared" si="26"/>
        <v>16.168094588235288</v>
      </c>
      <c r="EF45" s="1131">
        <f t="shared" si="27"/>
        <v>-9.5403158769742369</v>
      </c>
      <c r="EG45" s="1131">
        <f t="shared" si="28"/>
        <v>-223.55329012981105</v>
      </c>
      <c r="EH45" s="1131" t="e">
        <f t="shared" si="29"/>
        <v>#VALUE!</v>
      </c>
      <c r="EI45" s="1131" t="e">
        <f t="shared" si="30"/>
        <v>#VALUE!</v>
      </c>
      <c r="EJ45" s="1131" t="e">
        <f t="shared" si="31"/>
        <v>#VALUE!</v>
      </c>
      <c r="EK45" s="1131">
        <f t="shared" si="32"/>
        <v>0</v>
      </c>
      <c r="EL45" s="1131">
        <f t="shared" si="33"/>
        <v>0</v>
      </c>
      <c r="EM45" s="1197">
        <f t="shared" si="34"/>
        <v>0</v>
      </c>
      <c r="EN45" s="1131">
        <f t="shared" si="35"/>
        <v>-3.4616470588235302</v>
      </c>
      <c r="EO45" s="1131">
        <f t="shared" si="36"/>
        <v>85.394824351883614</v>
      </c>
      <c r="EP45" s="1131">
        <f t="shared" si="37"/>
        <v>1.2012858555885262</v>
      </c>
      <c r="EQ45" s="1131">
        <f t="shared" si="38"/>
        <v>-26.587941176470597</v>
      </c>
      <c r="ER45" s="1131">
        <f t="shared" si="39"/>
        <v>590</v>
      </c>
      <c r="ES45" s="1197">
        <f t="shared" si="40"/>
        <v>-9.7932432723017939</v>
      </c>
      <c r="ET45" s="1129">
        <f t="shared" si="41"/>
        <v>0</v>
      </c>
      <c r="EU45" s="1131">
        <f t="shared" si="42"/>
        <v>0</v>
      </c>
      <c r="EV45" s="1197">
        <f t="shared" si="43"/>
        <v>0</v>
      </c>
    </row>
    <row r="46" spans="1:152">
      <c r="A46" s="634">
        <f>Eingabedaten!A49</f>
        <v>12.08</v>
      </c>
      <c r="B46" s="463" t="str">
        <f>Eingabedaten!C49</f>
        <v>Garderobe, Dusche</v>
      </c>
      <c r="C46" s="637">
        <v>36</v>
      </c>
      <c r="D46" s="379">
        <v>0</v>
      </c>
      <c r="E46" s="379">
        <v>0.125</v>
      </c>
      <c r="F46" s="1238">
        <v>11</v>
      </c>
      <c r="G46" s="1129">
        <v>6</v>
      </c>
      <c r="H46" s="1129">
        <v>313</v>
      </c>
      <c r="I46" s="1129">
        <v>0.80000000000000016</v>
      </c>
      <c r="J46" s="1129">
        <v>1500</v>
      </c>
      <c r="K46" s="1129">
        <v>0</v>
      </c>
      <c r="L46" s="1129">
        <v>0</v>
      </c>
      <c r="M46" s="1239">
        <v>0</v>
      </c>
      <c r="N46" s="1237">
        <v>0</v>
      </c>
      <c r="O46" s="1240">
        <v>0</v>
      </c>
      <c r="P46" s="1131">
        <v>0</v>
      </c>
      <c r="Q46" s="1129">
        <v>0</v>
      </c>
      <c r="R46" s="1131">
        <v>0</v>
      </c>
      <c r="S46" s="1239">
        <v>0</v>
      </c>
      <c r="T46" s="1131">
        <v>0</v>
      </c>
      <c r="U46" s="1241">
        <v>1.0169491525423726</v>
      </c>
      <c r="V46" s="1131">
        <v>90</v>
      </c>
      <c r="W46" s="1242">
        <v>0.63025210084033612</v>
      </c>
      <c r="X46" s="1242">
        <v>0.17647058823529413</v>
      </c>
      <c r="Y46" s="1239">
        <v>6.3360000000000003</v>
      </c>
      <c r="Z46" s="1239">
        <v>6.7545569677893358</v>
      </c>
      <c r="AA46" s="1239">
        <v>4.4074074074074074</v>
      </c>
      <c r="AB46" s="1131">
        <v>846</v>
      </c>
      <c r="AC46" s="1243">
        <v>3.7286666666666668</v>
      </c>
      <c r="AD46" s="1242">
        <v>8</v>
      </c>
      <c r="AE46" s="1197">
        <v>1850</v>
      </c>
      <c r="AF46" s="1239">
        <v>2.2400000000000002</v>
      </c>
      <c r="AG46" s="1131">
        <v>1380</v>
      </c>
      <c r="AH46" s="1243">
        <v>3.0912000000000002</v>
      </c>
      <c r="AI46" s="1240">
        <v>21.540388705882354</v>
      </c>
      <c r="AJ46" s="1131">
        <v>4.4074074074074074</v>
      </c>
      <c r="AK46" s="1131">
        <v>0</v>
      </c>
      <c r="AL46" s="1131" t="s">
        <v>16</v>
      </c>
      <c r="AM46" s="1131" t="s">
        <v>16</v>
      </c>
      <c r="AN46" s="1131" t="s">
        <v>16</v>
      </c>
      <c r="AO46" s="1131">
        <v>0</v>
      </c>
      <c r="AP46" s="1131">
        <v>0</v>
      </c>
      <c r="AQ46" s="1131">
        <v>0</v>
      </c>
      <c r="AR46" s="1131">
        <v>0</v>
      </c>
      <c r="AS46" s="1197">
        <v>0</v>
      </c>
      <c r="AT46" s="1197">
        <v>0</v>
      </c>
      <c r="AU46" s="1131">
        <v>15.149647058823533</v>
      </c>
      <c r="AV46" s="1131">
        <v>263.05563321218892</v>
      </c>
      <c r="AW46" s="1242">
        <v>0</v>
      </c>
      <c r="AX46" s="1239">
        <v>11.993470588235295</v>
      </c>
      <c r="AY46" s="1131">
        <v>2030</v>
      </c>
      <c r="AZ46" s="1242">
        <v>0.64734589041095902</v>
      </c>
      <c r="BA46" s="1243">
        <v>24.290614197971614</v>
      </c>
      <c r="BB46" s="1129">
        <v>0</v>
      </c>
      <c r="BC46" s="1131">
        <v>0</v>
      </c>
      <c r="BD46" s="1197">
        <v>0</v>
      </c>
      <c r="BF46" s="1197">
        <f>Eingabedaten!AP49*'Resultate Standard'!S46</f>
        <v>0</v>
      </c>
      <c r="BG46" s="1244">
        <v>43.432682844666921</v>
      </c>
      <c r="BH46" s="1245"/>
      <c r="BI46" s="1246"/>
      <c r="BJ46" s="637">
        <v>36</v>
      </c>
      <c r="BK46" s="379" t="s">
        <v>193</v>
      </c>
      <c r="BL46" s="379">
        <v>0.125</v>
      </c>
      <c r="BM46" s="1238">
        <v>11</v>
      </c>
      <c r="BN46" s="1129">
        <v>6</v>
      </c>
      <c r="BO46" s="1129">
        <v>313</v>
      </c>
      <c r="BP46" s="1129">
        <v>0.80000000000000016</v>
      </c>
      <c r="BQ46" s="1129" t="s">
        <v>193</v>
      </c>
      <c r="BR46" s="1129">
        <v>0</v>
      </c>
      <c r="BS46" s="1237">
        <v>0</v>
      </c>
      <c r="BT46" s="1240">
        <v>0</v>
      </c>
      <c r="BU46" s="1129">
        <v>0</v>
      </c>
      <c r="BV46" s="1131">
        <v>0</v>
      </c>
      <c r="BW46" s="1241">
        <v>0.17647058823529413</v>
      </c>
      <c r="BX46" s="1239">
        <v>1.0169491525423726</v>
      </c>
      <c r="BY46" s="1131">
        <v>40.099999999999994</v>
      </c>
      <c r="BZ46" s="1239">
        <v>0.63025210084033612</v>
      </c>
      <c r="CA46" s="1239">
        <v>9.8919368246051551</v>
      </c>
      <c r="CB46" s="1239">
        <v>0</v>
      </c>
      <c r="CC46" s="1239">
        <v>9.8919368246051551</v>
      </c>
      <c r="CD46" s="1131">
        <v>1490</v>
      </c>
      <c r="CE46" s="1131">
        <v>0</v>
      </c>
      <c r="CF46" s="1197">
        <v>14.738985868661681</v>
      </c>
      <c r="CG46" s="1239">
        <v>20</v>
      </c>
      <c r="CH46" s="1239">
        <v>5.6000000000000005</v>
      </c>
      <c r="CI46" s="1131">
        <v>1160</v>
      </c>
      <c r="CJ46" s="1197">
        <v>6.4960000000000013</v>
      </c>
      <c r="CK46" s="1240">
        <v>12.585176470588239</v>
      </c>
      <c r="CL46" s="1131">
        <v>9.8919368246051551</v>
      </c>
      <c r="CM46" s="1131">
        <v>11.540396242992143</v>
      </c>
      <c r="CN46" s="1131" t="s">
        <v>16</v>
      </c>
      <c r="CO46" s="1131" t="s">
        <v>16</v>
      </c>
      <c r="CP46" s="1131" t="s">
        <v>16</v>
      </c>
      <c r="CQ46" s="1131">
        <v>0</v>
      </c>
      <c r="CR46" s="1131">
        <v>0</v>
      </c>
      <c r="CS46" s="1197">
        <v>0</v>
      </c>
      <c r="CT46" s="1131">
        <v>84.405176470588245</v>
      </c>
      <c r="CU46" s="1131">
        <v>47.215113653469814</v>
      </c>
      <c r="CV46" s="1131">
        <v>-3</v>
      </c>
      <c r="CW46" s="1131">
        <v>75.026823529411772</v>
      </c>
      <c r="CX46" s="1131">
        <v>580</v>
      </c>
      <c r="CY46" s="1197">
        <v>43.618474910681542</v>
      </c>
      <c r="CZ46" s="1129">
        <v>0</v>
      </c>
      <c r="DA46" s="1131">
        <v>0</v>
      </c>
      <c r="DB46" s="1197">
        <v>0</v>
      </c>
      <c r="DD46" s="637">
        <f t="shared" si="0"/>
        <v>0</v>
      </c>
      <c r="DE46" s="379" t="e">
        <f t="shared" si="1"/>
        <v>#VALUE!</v>
      </c>
      <c r="DF46" s="379">
        <f t="shared" si="2"/>
        <v>0</v>
      </c>
      <c r="DG46" s="1238">
        <f t="shared" si="3"/>
        <v>0</v>
      </c>
      <c r="DH46" s="1129">
        <f t="shared" si="4"/>
        <v>0</v>
      </c>
      <c r="DI46" s="1129">
        <f t="shared" si="5"/>
        <v>0</v>
      </c>
      <c r="DJ46" s="1129">
        <f t="shared" si="6"/>
        <v>0</v>
      </c>
      <c r="DK46" s="1129" t="e">
        <f t="shared" si="7"/>
        <v>#VALUE!</v>
      </c>
      <c r="DL46" s="1129">
        <f t="shared" si="8"/>
        <v>0</v>
      </c>
      <c r="DM46" s="1237">
        <f t="shared" si="9"/>
        <v>0</v>
      </c>
      <c r="DN46" s="1240">
        <f t="shared" si="10"/>
        <v>0</v>
      </c>
      <c r="DO46" s="1129">
        <f t="shared" si="11"/>
        <v>0</v>
      </c>
      <c r="DP46" s="1131">
        <f t="shared" si="12"/>
        <v>0</v>
      </c>
      <c r="DQ46" s="1241">
        <f t="shared" si="13"/>
        <v>0.84047856430707846</v>
      </c>
      <c r="DR46" s="1239">
        <f t="shared" si="14"/>
        <v>88.983050847457633</v>
      </c>
      <c r="DS46" s="1131">
        <f t="shared" si="15"/>
        <v>-39.469747899159657</v>
      </c>
      <c r="DT46" s="1239">
        <f t="shared" si="16"/>
        <v>-0.45378151260504196</v>
      </c>
      <c r="DU46" s="1239">
        <f t="shared" si="17"/>
        <v>-3.5559368246051548</v>
      </c>
      <c r="DV46" s="1239">
        <f t="shared" si="18"/>
        <v>6.7545569677893358</v>
      </c>
      <c r="DW46" s="1239">
        <f t="shared" si="19"/>
        <v>-5.4845294171977477</v>
      </c>
      <c r="DX46" s="1131">
        <f t="shared" si="20"/>
        <v>-644</v>
      </c>
      <c r="DY46" s="1131" t="e">
        <f>#REF!-CE46</f>
        <v>#REF!</v>
      </c>
      <c r="DZ46" s="1197">
        <f t="shared" si="21"/>
        <v>-11.010319201995014</v>
      </c>
      <c r="EA46" s="1239">
        <f t="shared" si="22"/>
        <v>-12</v>
      </c>
      <c r="EB46" s="1239">
        <f t="shared" si="23"/>
        <v>-3.3600000000000003</v>
      </c>
      <c r="EC46" s="1131">
        <f t="shared" si="24"/>
        <v>220</v>
      </c>
      <c r="ED46" s="1197">
        <f t="shared" si="25"/>
        <v>-3.4048000000000012</v>
      </c>
      <c r="EE46" s="1240">
        <f t="shared" si="26"/>
        <v>8.9552122352941144</v>
      </c>
      <c r="EF46" s="1131">
        <f t="shared" si="27"/>
        <v>-5.4845294171977477</v>
      </c>
      <c r="EG46" s="1131">
        <f t="shared" si="28"/>
        <v>-11.540396242992143</v>
      </c>
      <c r="EH46" s="1131" t="e">
        <f t="shared" si="29"/>
        <v>#VALUE!</v>
      </c>
      <c r="EI46" s="1131" t="e">
        <f t="shared" si="30"/>
        <v>#VALUE!</v>
      </c>
      <c r="EJ46" s="1131" t="e">
        <f t="shared" si="31"/>
        <v>#VALUE!</v>
      </c>
      <c r="EK46" s="1131">
        <f t="shared" si="32"/>
        <v>0</v>
      </c>
      <c r="EL46" s="1131">
        <f t="shared" si="33"/>
        <v>0</v>
      </c>
      <c r="EM46" s="1197">
        <f t="shared" si="34"/>
        <v>0</v>
      </c>
      <c r="EN46" s="1131">
        <f t="shared" si="35"/>
        <v>-69.255529411764712</v>
      </c>
      <c r="EO46" s="1131">
        <f t="shared" si="36"/>
        <v>215.84051955871911</v>
      </c>
      <c r="EP46" s="1131">
        <f t="shared" si="37"/>
        <v>3</v>
      </c>
      <c r="EQ46" s="1131">
        <f t="shared" si="38"/>
        <v>-63.033352941176474</v>
      </c>
      <c r="ER46" s="1131">
        <f t="shared" si="39"/>
        <v>1450</v>
      </c>
      <c r="ES46" s="1197">
        <f t="shared" si="40"/>
        <v>-19.327860712709928</v>
      </c>
      <c r="ET46" s="1129">
        <f t="shared" si="41"/>
        <v>0</v>
      </c>
      <c r="EU46" s="1131">
        <f t="shared" si="42"/>
        <v>0</v>
      </c>
      <c r="EV46" s="1197">
        <f t="shared" si="43"/>
        <v>0</v>
      </c>
    </row>
    <row r="47" spans="1:152">
      <c r="A47" s="634">
        <f>Eingabedaten!A50</f>
        <v>12.09</v>
      </c>
      <c r="B47" s="463" t="str">
        <f>Eingabedaten!C50</f>
        <v>Parkhaus</v>
      </c>
      <c r="C47" s="637">
        <v>400</v>
      </c>
      <c r="D47" s="379">
        <v>0</v>
      </c>
      <c r="E47" s="379">
        <v>0</v>
      </c>
      <c r="F47" s="1238">
        <v>11</v>
      </c>
      <c r="G47" s="1129">
        <v>6</v>
      </c>
      <c r="H47" s="1129">
        <v>365</v>
      </c>
      <c r="I47" s="1129">
        <v>0.80000000000000016</v>
      </c>
      <c r="J47" s="1129">
        <v>1750</v>
      </c>
      <c r="K47" s="1129">
        <v>0</v>
      </c>
      <c r="L47" s="1129">
        <v>0</v>
      </c>
      <c r="M47" s="1239">
        <v>0</v>
      </c>
      <c r="N47" s="1237">
        <v>0</v>
      </c>
      <c r="O47" s="1240">
        <v>1</v>
      </c>
      <c r="P47" s="1131">
        <v>0</v>
      </c>
      <c r="Q47" s="1129">
        <v>2130</v>
      </c>
      <c r="R47" s="1131">
        <v>2.13</v>
      </c>
      <c r="S47" s="1239">
        <v>2.13</v>
      </c>
      <c r="T47" s="1131">
        <v>0</v>
      </c>
      <c r="U47" s="1241">
        <v>3.3898305084745761</v>
      </c>
      <c r="V47" s="1131">
        <v>130</v>
      </c>
      <c r="W47" s="1242">
        <v>0.96525096525096532</v>
      </c>
      <c r="X47" s="1242">
        <v>0</v>
      </c>
      <c r="Y47" s="1239">
        <v>4.4351999999999991</v>
      </c>
      <c r="Z47" s="1239">
        <v>11</v>
      </c>
      <c r="AA47" s="1239">
        <v>0.74711538461538451</v>
      </c>
      <c r="AB47" s="1131">
        <v>1606</v>
      </c>
      <c r="AC47" s="1243">
        <v>1.1998673076923074</v>
      </c>
      <c r="AD47" s="1242">
        <v>0</v>
      </c>
      <c r="AE47" s="1197">
        <v>5480</v>
      </c>
      <c r="AF47" s="1239">
        <v>0</v>
      </c>
      <c r="AG47" s="1131">
        <v>5480</v>
      </c>
      <c r="AH47" s="1243">
        <v>0</v>
      </c>
      <c r="AI47" s="1240">
        <v>0.33600000000000002</v>
      </c>
      <c r="AJ47" s="1131">
        <v>1.7471153846153844</v>
      </c>
      <c r="AK47" s="1131">
        <v>15.518269230769228</v>
      </c>
      <c r="AL47" s="1131" t="s">
        <v>16</v>
      </c>
      <c r="AM47" s="1131" t="s">
        <v>16</v>
      </c>
      <c r="AN47" s="1131" t="s">
        <v>16</v>
      </c>
      <c r="AO47" s="1131">
        <v>0</v>
      </c>
      <c r="AP47" s="1131">
        <v>0</v>
      </c>
      <c r="AQ47" s="1131">
        <v>0</v>
      </c>
      <c r="AR47" s="1131">
        <v>0</v>
      </c>
      <c r="AS47" s="1197">
        <v>0</v>
      </c>
      <c r="AT47" s="1197">
        <v>0</v>
      </c>
      <c r="AU47" s="1131">
        <v>0</v>
      </c>
      <c r="AV47" s="1131">
        <v>0</v>
      </c>
      <c r="AW47" s="1242">
        <v>-3</v>
      </c>
      <c r="AX47" s="1239">
        <v>0</v>
      </c>
      <c r="AY47" s="1131">
        <v>0</v>
      </c>
      <c r="AZ47" s="1242">
        <v>0</v>
      </c>
      <c r="BA47" s="1243">
        <v>0</v>
      </c>
      <c r="BB47" s="1129">
        <v>0</v>
      </c>
      <c r="BC47" s="1131">
        <v>0</v>
      </c>
      <c r="BD47" s="1197">
        <v>0</v>
      </c>
      <c r="BF47" s="1197">
        <f>Eingabedaten!AP50*'Resultate Standard'!S47</f>
        <v>0</v>
      </c>
      <c r="BG47" s="1244">
        <v>0</v>
      </c>
      <c r="BH47" s="1245"/>
      <c r="BI47" s="1246"/>
      <c r="BJ47" s="637">
        <v>400</v>
      </c>
      <c r="BK47" s="379" t="s">
        <v>193</v>
      </c>
      <c r="BL47" s="379" t="s">
        <v>193</v>
      </c>
      <c r="BM47" s="1238">
        <v>11</v>
      </c>
      <c r="BN47" s="1129">
        <v>6</v>
      </c>
      <c r="BO47" s="1129">
        <v>365</v>
      </c>
      <c r="BP47" s="1129">
        <v>0.80000000000000016</v>
      </c>
      <c r="BQ47" s="1129" t="s">
        <v>193</v>
      </c>
      <c r="BR47" s="1129">
        <v>0</v>
      </c>
      <c r="BS47" s="1237">
        <v>0</v>
      </c>
      <c r="BT47" s="1240">
        <v>1</v>
      </c>
      <c r="BU47" s="1129">
        <v>2130</v>
      </c>
      <c r="BV47" s="1131">
        <v>2.13</v>
      </c>
      <c r="BW47" s="1241">
        <v>0</v>
      </c>
      <c r="BX47" s="1239">
        <v>3.3898305084745761</v>
      </c>
      <c r="BY47" s="1131">
        <v>33.849999999999994</v>
      </c>
      <c r="BZ47" s="1239">
        <v>0.96525096525096532</v>
      </c>
      <c r="CA47" s="1239">
        <v>2.8692762186115219</v>
      </c>
      <c r="CB47" s="1239">
        <v>0</v>
      </c>
      <c r="CC47" s="1239">
        <v>2.8692762186115219</v>
      </c>
      <c r="CD47" s="1131">
        <v>3210</v>
      </c>
      <c r="CE47" s="1131">
        <v>0</v>
      </c>
      <c r="CF47" s="1197">
        <v>9.2103766617429859</v>
      </c>
      <c r="CG47" s="1239">
        <v>2</v>
      </c>
      <c r="CH47" s="1239">
        <v>0.28000000000000003</v>
      </c>
      <c r="CI47" s="1131">
        <v>3800</v>
      </c>
      <c r="CJ47" s="1197">
        <v>1.0640000000000001</v>
      </c>
      <c r="CK47" s="1240">
        <v>0</v>
      </c>
      <c r="CL47" s="1131">
        <v>3.8692762186115219</v>
      </c>
      <c r="CM47" s="1131">
        <v>44.600590841949781</v>
      </c>
      <c r="CN47" s="1131" t="s">
        <v>16</v>
      </c>
      <c r="CO47" s="1131" t="s">
        <v>16</v>
      </c>
      <c r="CP47" s="1131" t="s">
        <v>16</v>
      </c>
      <c r="CQ47" s="1131">
        <v>0</v>
      </c>
      <c r="CR47" s="1131">
        <v>0</v>
      </c>
      <c r="CS47" s="1197">
        <v>0</v>
      </c>
      <c r="CT47" s="1131">
        <v>96.000000000000014</v>
      </c>
      <c r="CU47" s="1131">
        <v>374.99999999999994</v>
      </c>
      <c r="CV47" s="1131">
        <v>0</v>
      </c>
      <c r="CW47" s="1131">
        <v>0</v>
      </c>
      <c r="CX47" s="1131">
        <v>0</v>
      </c>
      <c r="CY47" s="1197">
        <v>0</v>
      </c>
      <c r="CZ47" s="1129">
        <v>0</v>
      </c>
      <c r="DA47" s="1131">
        <v>0</v>
      </c>
      <c r="DB47" s="1197">
        <v>0</v>
      </c>
      <c r="DD47" s="637">
        <f t="shared" si="0"/>
        <v>0</v>
      </c>
      <c r="DE47" s="379" t="e">
        <f t="shared" si="1"/>
        <v>#VALUE!</v>
      </c>
      <c r="DF47" s="379" t="e">
        <f t="shared" si="2"/>
        <v>#VALUE!</v>
      </c>
      <c r="DG47" s="1238">
        <f t="shared" si="3"/>
        <v>0</v>
      </c>
      <c r="DH47" s="1129">
        <f t="shared" si="4"/>
        <v>0</v>
      </c>
      <c r="DI47" s="1129">
        <f t="shared" si="5"/>
        <v>0</v>
      </c>
      <c r="DJ47" s="1129">
        <f t="shared" si="6"/>
        <v>0</v>
      </c>
      <c r="DK47" s="1129" t="e">
        <f t="shared" si="7"/>
        <v>#VALUE!</v>
      </c>
      <c r="DL47" s="1129">
        <f t="shared" si="8"/>
        <v>0</v>
      </c>
      <c r="DM47" s="1237">
        <f t="shared" si="9"/>
        <v>0</v>
      </c>
      <c r="DN47" s="1240">
        <f t="shared" si="10"/>
        <v>0</v>
      </c>
      <c r="DO47" s="1129">
        <f t="shared" si="11"/>
        <v>0</v>
      </c>
      <c r="DP47" s="1131">
        <f t="shared" si="12"/>
        <v>0</v>
      </c>
      <c r="DQ47" s="1241">
        <f t="shared" si="13"/>
        <v>3.3898305084745761</v>
      </c>
      <c r="DR47" s="1239">
        <f t="shared" si="14"/>
        <v>126.61016949152543</v>
      </c>
      <c r="DS47" s="1131">
        <f t="shared" si="15"/>
        <v>-32.884749034749028</v>
      </c>
      <c r="DT47" s="1239">
        <f t="shared" si="16"/>
        <v>-0.96525096525096532</v>
      </c>
      <c r="DU47" s="1239">
        <f t="shared" si="17"/>
        <v>1.5659237813884772</v>
      </c>
      <c r="DV47" s="1239">
        <f t="shared" si="18"/>
        <v>11</v>
      </c>
      <c r="DW47" s="1239">
        <f t="shared" si="19"/>
        <v>-2.1221608339961375</v>
      </c>
      <c r="DX47" s="1131">
        <f t="shared" si="20"/>
        <v>-1604</v>
      </c>
      <c r="DY47" s="1131" t="e">
        <f>#REF!-CE47</f>
        <v>#REF!</v>
      </c>
      <c r="DZ47" s="1197">
        <f t="shared" si="21"/>
        <v>-8.0105093540506793</v>
      </c>
      <c r="EA47" s="1239">
        <f t="shared" si="22"/>
        <v>-2</v>
      </c>
      <c r="EB47" s="1239">
        <f t="shared" si="23"/>
        <v>-0.28000000000000003</v>
      </c>
      <c r="EC47" s="1131">
        <f t="shared" si="24"/>
        <v>1680</v>
      </c>
      <c r="ED47" s="1197">
        <f t="shared" si="25"/>
        <v>-1.0640000000000001</v>
      </c>
      <c r="EE47" s="1240">
        <f t="shared" si="26"/>
        <v>0.33600000000000002</v>
      </c>
      <c r="EF47" s="1131">
        <f t="shared" si="27"/>
        <v>-2.1221608339961375</v>
      </c>
      <c r="EG47" s="1131">
        <f t="shared" si="28"/>
        <v>-29.082321611180554</v>
      </c>
      <c r="EH47" s="1131" t="e">
        <f t="shared" si="29"/>
        <v>#VALUE!</v>
      </c>
      <c r="EI47" s="1131" t="e">
        <f t="shared" si="30"/>
        <v>#VALUE!</v>
      </c>
      <c r="EJ47" s="1131" t="e">
        <f t="shared" si="31"/>
        <v>#VALUE!</v>
      </c>
      <c r="EK47" s="1131">
        <f t="shared" si="32"/>
        <v>0</v>
      </c>
      <c r="EL47" s="1131">
        <f t="shared" si="33"/>
        <v>0</v>
      </c>
      <c r="EM47" s="1197">
        <f t="shared" si="34"/>
        <v>0</v>
      </c>
      <c r="EN47" s="1131">
        <f t="shared" si="35"/>
        <v>-96.000000000000014</v>
      </c>
      <c r="EO47" s="1131">
        <f t="shared" si="36"/>
        <v>-374.99999999999994</v>
      </c>
      <c r="EP47" s="1131">
        <f t="shared" si="37"/>
        <v>-3</v>
      </c>
      <c r="EQ47" s="1131">
        <f t="shared" si="38"/>
        <v>0</v>
      </c>
      <c r="ER47" s="1131">
        <f t="shared" si="39"/>
        <v>0</v>
      </c>
      <c r="ES47" s="1197">
        <f t="shared" si="40"/>
        <v>0</v>
      </c>
      <c r="ET47" s="1129">
        <f t="shared" si="41"/>
        <v>0</v>
      </c>
      <c r="EU47" s="1131">
        <f t="shared" si="42"/>
        <v>0</v>
      </c>
      <c r="EV47" s="1197">
        <f t="shared" si="43"/>
        <v>0</v>
      </c>
    </row>
    <row r="48" spans="1:152">
      <c r="A48" s="634">
        <f>Eingabedaten!A51</f>
        <v>12.1</v>
      </c>
      <c r="B48" s="463" t="str">
        <f>Eingabedaten!C51</f>
        <v>Wasch- und Trockenraum</v>
      </c>
      <c r="C48" s="637">
        <v>36</v>
      </c>
      <c r="D48" s="379">
        <v>0</v>
      </c>
      <c r="E48" s="379">
        <v>0</v>
      </c>
      <c r="F48" s="1238">
        <v>11</v>
      </c>
      <c r="G48" s="1129">
        <v>6</v>
      </c>
      <c r="H48" s="1129">
        <v>365</v>
      </c>
      <c r="I48" s="1129">
        <v>0.80000000000000016</v>
      </c>
      <c r="J48" s="1129">
        <v>1750</v>
      </c>
      <c r="K48" s="1129">
        <v>0</v>
      </c>
      <c r="L48" s="1129">
        <v>0</v>
      </c>
      <c r="M48" s="1239">
        <v>0</v>
      </c>
      <c r="N48" s="1237">
        <v>0</v>
      </c>
      <c r="O48" s="1240">
        <v>20</v>
      </c>
      <c r="P48" s="1131">
        <v>0</v>
      </c>
      <c r="Q48" s="1129">
        <v>1720</v>
      </c>
      <c r="R48" s="1131">
        <v>34.4</v>
      </c>
      <c r="S48" s="1239">
        <v>34.4</v>
      </c>
      <c r="T48" s="1131">
        <v>0</v>
      </c>
      <c r="U48" s="1241">
        <v>1.0169491525423726</v>
      </c>
      <c r="V48" s="1131">
        <v>90</v>
      </c>
      <c r="W48" s="1242">
        <v>0.63025210084033612</v>
      </c>
      <c r="X48" s="1242">
        <v>0.17647058823529413</v>
      </c>
      <c r="Y48" s="1239">
        <v>6.3360000000000003</v>
      </c>
      <c r="Z48" s="1239">
        <v>7.4687787687700089</v>
      </c>
      <c r="AA48" s="1239">
        <v>6.6111111111111116</v>
      </c>
      <c r="AB48" s="1131">
        <v>1090</v>
      </c>
      <c r="AC48" s="1243">
        <v>7.2061111111111122</v>
      </c>
      <c r="AD48" s="1242">
        <v>4</v>
      </c>
      <c r="AE48" s="1197">
        <v>3120</v>
      </c>
      <c r="AF48" s="1239">
        <v>1.1200000000000001</v>
      </c>
      <c r="AG48" s="1131">
        <v>2410</v>
      </c>
      <c r="AH48" s="1243">
        <v>2.6992000000000003</v>
      </c>
      <c r="AI48" s="1240">
        <v>20.109604705882354</v>
      </c>
      <c r="AJ48" s="1131">
        <v>26.611111111111111</v>
      </c>
      <c r="AK48" s="1131">
        <v>146</v>
      </c>
      <c r="AL48" s="1131" t="s">
        <v>16</v>
      </c>
      <c r="AM48" s="1131" t="s">
        <v>16</v>
      </c>
      <c r="AN48" s="1131" t="s">
        <v>16</v>
      </c>
      <c r="AO48" s="1131">
        <v>0</v>
      </c>
      <c r="AP48" s="1131">
        <v>0</v>
      </c>
      <c r="AQ48" s="1131">
        <v>0</v>
      </c>
      <c r="AR48" s="1131">
        <v>0</v>
      </c>
      <c r="AS48" s="1197">
        <v>0</v>
      </c>
      <c r="AT48" s="1197">
        <v>0</v>
      </c>
      <c r="AU48" s="1131">
        <v>15.149647058823533</v>
      </c>
      <c r="AV48" s="1131">
        <v>263.05563321218892</v>
      </c>
      <c r="AW48" s="1242">
        <v>0</v>
      </c>
      <c r="AX48" s="1239">
        <v>3.1561764705882358</v>
      </c>
      <c r="AY48" s="1131">
        <v>1940</v>
      </c>
      <c r="AZ48" s="1242">
        <v>0.56136986301369873</v>
      </c>
      <c r="BA48" s="1243">
        <v>6.115773410874275</v>
      </c>
      <c r="BB48" s="1129">
        <v>0</v>
      </c>
      <c r="BC48" s="1131">
        <v>0</v>
      </c>
      <c r="BD48" s="1197">
        <v>0</v>
      </c>
      <c r="BF48" s="1197">
        <f>Eingabedaten!AP51*'Resultate Standard'!S48</f>
        <v>0</v>
      </c>
      <c r="BG48" s="1244">
        <v>0</v>
      </c>
      <c r="BH48" s="1245"/>
      <c r="BI48" s="1246"/>
      <c r="BJ48" s="637">
        <v>36</v>
      </c>
      <c r="BK48" s="379" t="s">
        <v>193</v>
      </c>
      <c r="BL48" s="379" t="s">
        <v>193</v>
      </c>
      <c r="BM48" s="1238">
        <v>11</v>
      </c>
      <c r="BN48" s="1129">
        <v>6</v>
      </c>
      <c r="BO48" s="1129">
        <v>365</v>
      </c>
      <c r="BP48" s="1129">
        <v>0.80000000000000016</v>
      </c>
      <c r="BQ48" s="1129" t="s">
        <v>193</v>
      </c>
      <c r="BR48" s="1129">
        <v>0</v>
      </c>
      <c r="BS48" s="1237">
        <v>0</v>
      </c>
      <c r="BT48" s="1240">
        <v>20</v>
      </c>
      <c r="BU48" s="1129">
        <v>1720</v>
      </c>
      <c r="BV48" s="1131">
        <v>34.4</v>
      </c>
      <c r="BW48" s="1241">
        <v>0.17647058823529413</v>
      </c>
      <c r="BX48" s="1239">
        <v>1.0169491525423726</v>
      </c>
      <c r="BY48" s="1131">
        <v>40.099999999999994</v>
      </c>
      <c r="BZ48" s="1239">
        <v>0.63025210084033612</v>
      </c>
      <c r="CA48" s="1239">
        <v>9.8919368246051551</v>
      </c>
      <c r="CB48" s="1239">
        <v>0</v>
      </c>
      <c r="CC48" s="1239">
        <v>9.8919368246051551</v>
      </c>
      <c r="CD48" s="1131">
        <v>1730</v>
      </c>
      <c r="CE48" s="1131">
        <v>0</v>
      </c>
      <c r="CF48" s="1197">
        <v>17.11305070656692</v>
      </c>
      <c r="CG48" s="1239">
        <v>4</v>
      </c>
      <c r="CH48" s="1239">
        <v>1.1200000000000001</v>
      </c>
      <c r="CI48" s="1131">
        <v>2700</v>
      </c>
      <c r="CJ48" s="1197">
        <v>3.0240000000000005</v>
      </c>
      <c r="CK48" s="1240">
        <v>12.585176470588239</v>
      </c>
      <c r="CL48" s="1131">
        <v>29.891936824605153</v>
      </c>
      <c r="CM48" s="1131">
        <v>157.5403962429921</v>
      </c>
      <c r="CN48" s="1131" t="s">
        <v>16</v>
      </c>
      <c r="CO48" s="1131" t="s">
        <v>16</v>
      </c>
      <c r="CP48" s="1131" t="s">
        <v>16</v>
      </c>
      <c r="CQ48" s="1131">
        <v>0</v>
      </c>
      <c r="CR48" s="1131">
        <v>0</v>
      </c>
      <c r="CS48" s="1197">
        <v>0</v>
      </c>
      <c r="CT48" s="1131">
        <v>29.109176470588238</v>
      </c>
      <c r="CU48" s="1131">
        <v>136.90528153644695</v>
      </c>
      <c r="CV48" s="1131">
        <v>-1</v>
      </c>
      <c r="CW48" s="1131">
        <v>0</v>
      </c>
      <c r="CX48" s="1131">
        <v>0</v>
      </c>
      <c r="CY48" s="1197">
        <v>0</v>
      </c>
      <c r="CZ48" s="1129">
        <v>0</v>
      </c>
      <c r="DA48" s="1131">
        <v>0</v>
      </c>
      <c r="DB48" s="1197">
        <v>0</v>
      </c>
      <c r="DD48" s="637">
        <f t="shared" si="0"/>
        <v>0</v>
      </c>
      <c r="DE48" s="379" t="e">
        <f t="shared" si="1"/>
        <v>#VALUE!</v>
      </c>
      <c r="DF48" s="379" t="e">
        <f t="shared" si="2"/>
        <v>#VALUE!</v>
      </c>
      <c r="DG48" s="1238">
        <f t="shared" si="3"/>
        <v>0</v>
      </c>
      <c r="DH48" s="1129">
        <f t="shared" si="4"/>
        <v>0</v>
      </c>
      <c r="DI48" s="1129">
        <f t="shared" si="5"/>
        <v>0</v>
      </c>
      <c r="DJ48" s="1129">
        <f t="shared" si="6"/>
        <v>0</v>
      </c>
      <c r="DK48" s="1129" t="e">
        <f t="shared" si="7"/>
        <v>#VALUE!</v>
      </c>
      <c r="DL48" s="1129">
        <f t="shared" si="8"/>
        <v>0</v>
      </c>
      <c r="DM48" s="1237">
        <f t="shared" si="9"/>
        <v>0</v>
      </c>
      <c r="DN48" s="1240">
        <f t="shared" si="10"/>
        <v>0</v>
      </c>
      <c r="DO48" s="1129">
        <f t="shared" si="11"/>
        <v>0</v>
      </c>
      <c r="DP48" s="1131">
        <f t="shared" si="12"/>
        <v>0</v>
      </c>
      <c r="DQ48" s="1241">
        <f t="shared" si="13"/>
        <v>0.84047856430707846</v>
      </c>
      <c r="DR48" s="1239">
        <f t="shared" si="14"/>
        <v>88.983050847457633</v>
      </c>
      <c r="DS48" s="1131">
        <f t="shared" si="15"/>
        <v>-39.469747899159657</v>
      </c>
      <c r="DT48" s="1239">
        <f t="shared" si="16"/>
        <v>-0.45378151260504196</v>
      </c>
      <c r="DU48" s="1239">
        <f t="shared" si="17"/>
        <v>-3.5559368246051548</v>
      </c>
      <c r="DV48" s="1239">
        <f t="shared" si="18"/>
        <v>7.4687787687700089</v>
      </c>
      <c r="DW48" s="1239">
        <f t="shared" si="19"/>
        <v>-3.2808257134940435</v>
      </c>
      <c r="DX48" s="1131">
        <f t="shared" si="20"/>
        <v>-640</v>
      </c>
      <c r="DY48" s="1131" t="e">
        <f>#REF!-CE48</f>
        <v>#REF!</v>
      </c>
      <c r="DZ48" s="1197">
        <f t="shared" si="21"/>
        <v>-9.9069395954558068</v>
      </c>
      <c r="EA48" s="1239">
        <f t="shared" si="22"/>
        <v>0</v>
      </c>
      <c r="EB48" s="1239">
        <f t="shared" si="23"/>
        <v>0</v>
      </c>
      <c r="EC48" s="1131">
        <f t="shared" si="24"/>
        <v>-290</v>
      </c>
      <c r="ED48" s="1197">
        <f t="shared" si="25"/>
        <v>-0.3248000000000002</v>
      </c>
      <c r="EE48" s="1240">
        <f t="shared" si="26"/>
        <v>7.5244282352941152</v>
      </c>
      <c r="EF48" s="1131">
        <f t="shared" si="27"/>
        <v>-3.2808257134940426</v>
      </c>
      <c r="EG48" s="1131">
        <f t="shared" si="28"/>
        <v>-11.540396242992102</v>
      </c>
      <c r="EH48" s="1131" t="e">
        <f t="shared" si="29"/>
        <v>#VALUE!</v>
      </c>
      <c r="EI48" s="1131" t="e">
        <f t="shared" si="30"/>
        <v>#VALUE!</v>
      </c>
      <c r="EJ48" s="1131" t="e">
        <f t="shared" si="31"/>
        <v>#VALUE!</v>
      </c>
      <c r="EK48" s="1131">
        <f t="shared" si="32"/>
        <v>0</v>
      </c>
      <c r="EL48" s="1131">
        <f t="shared" si="33"/>
        <v>0</v>
      </c>
      <c r="EM48" s="1197">
        <f t="shared" si="34"/>
        <v>0</v>
      </c>
      <c r="EN48" s="1131">
        <f t="shared" si="35"/>
        <v>-13.959529411764706</v>
      </c>
      <c r="EO48" s="1131">
        <f t="shared" si="36"/>
        <v>126.15035167574197</v>
      </c>
      <c r="EP48" s="1131">
        <f t="shared" si="37"/>
        <v>1</v>
      </c>
      <c r="EQ48" s="1131">
        <f t="shared" si="38"/>
        <v>3.1561764705882358</v>
      </c>
      <c r="ER48" s="1131">
        <f t="shared" si="39"/>
        <v>1940</v>
      </c>
      <c r="ES48" s="1197">
        <f t="shared" si="40"/>
        <v>6.115773410874275</v>
      </c>
      <c r="ET48" s="1129">
        <f t="shared" si="41"/>
        <v>0</v>
      </c>
      <c r="EU48" s="1131">
        <f t="shared" si="42"/>
        <v>0</v>
      </c>
      <c r="EV48" s="1197">
        <f t="shared" si="43"/>
        <v>0</v>
      </c>
    </row>
    <row r="49" spans="1:152">
      <c r="A49" s="656">
        <f>Eingabedaten!A52</f>
        <v>12.11</v>
      </c>
      <c r="B49" s="463" t="str">
        <f>Eingabedaten!C52</f>
        <v>Kühlraum</v>
      </c>
      <c r="C49" s="637">
        <v>36</v>
      </c>
      <c r="D49" s="379">
        <v>0</v>
      </c>
      <c r="E49" s="379">
        <v>0</v>
      </c>
      <c r="F49" s="1238">
        <v>0</v>
      </c>
      <c r="G49" s="1129">
        <v>0</v>
      </c>
      <c r="H49" s="1129">
        <v>261</v>
      </c>
      <c r="I49" s="1129">
        <v>0.80000000000000016</v>
      </c>
      <c r="J49" s="1129">
        <v>0</v>
      </c>
      <c r="K49" s="1129">
        <v>0</v>
      </c>
      <c r="L49" s="1129">
        <v>0</v>
      </c>
      <c r="M49" s="1239">
        <v>0</v>
      </c>
      <c r="N49" s="1237">
        <v>0</v>
      </c>
      <c r="O49" s="1240">
        <v>0</v>
      </c>
      <c r="P49" s="1131">
        <v>100</v>
      </c>
      <c r="Q49" s="1129">
        <v>3180</v>
      </c>
      <c r="R49" s="1131">
        <v>0</v>
      </c>
      <c r="S49" s="1239">
        <v>0</v>
      </c>
      <c r="T49" s="1131">
        <v>318</v>
      </c>
      <c r="U49" s="1241">
        <v>1.0169491525423726</v>
      </c>
      <c r="V49" s="1131">
        <v>90</v>
      </c>
      <c r="W49" s="1242">
        <v>0.63025210084033612</v>
      </c>
      <c r="X49" s="1242">
        <v>0</v>
      </c>
      <c r="Y49" s="1239">
        <v>6.3360000000000003</v>
      </c>
      <c r="Z49" s="1239">
        <v>11</v>
      </c>
      <c r="AA49" s="1239">
        <v>2.2037037037037037</v>
      </c>
      <c r="AB49" s="1131">
        <v>52</v>
      </c>
      <c r="AC49" s="1243">
        <v>0.11459259259259259</v>
      </c>
      <c r="AD49" s="1242">
        <v>0</v>
      </c>
      <c r="AE49" s="1197">
        <v>0</v>
      </c>
      <c r="AF49" s="1239">
        <v>0</v>
      </c>
      <c r="AG49" s="1131">
        <v>0</v>
      </c>
      <c r="AH49" s="1243">
        <v>0</v>
      </c>
      <c r="AI49" s="1240">
        <v>5.0560000000000009</v>
      </c>
      <c r="AJ49" s="1131">
        <v>2.2037037037037037</v>
      </c>
      <c r="AK49" s="1131">
        <v>0</v>
      </c>
      <c r="AL49" s="1131" t="s">
        <v>16</v>
      </c>
      <c r="AM49" s="1131" t="s">
        <v>16</v>
      </c>
      <c r="AN49" s="1131" t="s">
        <v>16</v>
      </c>
      <c r="AO49" s="1131">
        <v>0</v>
      </c>
      <c r="AP49" s="1131">
        <v>0</v>
      </c>
      <c r="AQ49" s="1131">
        <v>0</v>
      </c>
      <c r="AR49" s="1131">
        <v>0</v>
      </c>
      <c r="AS49" s="1197">
        <v>0</v>
      </c>
      <c r="AT49" s="1197">
        <v>0</v>
      </c>
      <c r="AU49" s="1131">
        <v>3.9600000000000004</v>
      </c>
      <c r="AV49" s="1131">
        <v>1009.090909090909</v>
      </c>
      <c r="AW49" s="1242">
        <v>0</v>
      </c>
      <c r="AX49" s="1239">
        <v>0.82500000000000007</v>
      </c>
      <c r="AY49" s="1131">
        <v>0</v>
      </c>
      <c r="AZ49" s="1242">
        <v>0</v>
      </c>
      <c r="BA49" s="1243">
        <v>0</v>
      </c>
      <c r="BB49" s="1129">
        <v>0</v>
      </c>
      <c r="BC49" s="1131">
        <v>0</v>
      </c>
      <c r="BD49" s="1197">
        <v>0</v>
      </c>
      <c r="BF49" s="1197">
        <f>Eingabedaten!AP52*'Resultate Standard'!S49</f>
        <v>0</v>
      </c>
      <c r="BG49" s="1244">
        <v>0</v>
      </c>
      <c r="BH49" s="1245"/>
      <c r="BI49" s="1246"/>
      <c r="BJ49" s="637">
        <v>36</v>
      </c>
      <c r="BK49" s="379">
        <v>0.37</v>
      </c>
      <c r="BL49" s="379">
        <v>0.37</v>
      </c>
      <c r="BM49" s="1238">
        <v>0</v>
      </c>
      <c r="BN49" s="1129">
        <v>0</v>
      </c>
      <c r="BO49" s="1129">
        <v>261</v>
      </c>
      <c r="BP49" s="1129">
        <v>0.80000000000000016</v>
      </c>
      <c r="BQ49" s="1129" t="s">
        <v>193</v>
      </c>
      <c r="BR49" s="1129">
        <v>0</v>
      </c>
      <c r="BS49" s="1237">
        <v>0</v>
      </c>
      <c r="BT49" s="1240">
        <v>100</v>
      </c>
      <c r="BU49" s="1129">
        <v>3730</v>
      </c>
      <c r="BV49" s="1131">
        <v>373</v>
      </c>
      <c r="BW49" s="1241">
        <v>0</v>
      </c>
      <c r="BX49" s="1239">
        <v>1.0169491525423726</v>
      </c>
      <c r="BY49" s="1131">
        <v>35.1</v>
      </c>
      <c r="BZ49" s="1239">
        <v>0.63025210084033612</v>
      </c>
      <c r="CA49" s="1239">
        <v>5.6505223171889831</v>
      </c>
      <c r="CB49" s="1239">
        <v>0</v>
      </c>
      <c r="CC49" s="1239">
        <v>5.6505223171889831</v>
      </c>
      <c r="CD49" s="1131">
        <v>0</v>
      </c>
      <c r="CE49" s="1131">
        <v>0</v>
      </c>
      <c r="CF49" s="1197">
        <v>0</v>
      </c>
      <c r="CG49" s="1239">
        <v>0</v>
      </c>
      <c r="CH49" s="1239">
        <v>0</v>
      </c>
      <c r="CI49" s="1131">
        <v>0</v>
      </c>
      <c r="CJ49" s="1197">
        <v>0</v>
      </c>
      <c r="CK49" s="1240">
        <v>4.74</v>
      </c>
      <c r="CL49" s="1131">
        <v>5.6505223171889831</v>
      </c>
      <c r="CM49" s="1131">
        <v>11.301044634377966</v>
      </c>
      <c r="CN49" s="1131" t="s">
        <v>16</v>
      </c>
      <c r="CO49" s="1131" t="s">
        <v>16</v>
      </c>
      <c r="CP49" s="1131" t="s">
        <v>16</v>
      </c>
      <c r="CQ49" s="1131">
        <v>0</v>
      </c>
      <c r="CR49" s="1131">
        <v>0</v>
      </c>
      <c r="CS49" s="1197">
        <v>0</v>
      </c>
      <c r="CT49" s="1131">
        <v>5.6880000000000006</v>
      </c>
      <c r="CU49" s="1131">
        <v>767.72151898734171</v>
      </c>
      <c r="CV49" s="1131">
        <v>0</v>
      </c>
      <c r="CW49" s="1131">
        <v>0</v>
      </c>
      <c r="CX49" s="1131">
        <v>0</v>
      </c>
      <c r="CY49" s="1197">
        <v>0</v>
      </c>
      <c r="CZ49" s="1129">
        <v>0</v>
      </c>
      <c r="DA49" s="1131">
        <v>0</v>
      </c>
      <c r="DB49" s="1197">
        <v>0</v>
      </c>
      <c r="DD49" s="637">
        <f t="shared" si="0"/>
        <v>0</v>
      </c>
      <c r="DE49" s="379">
        <f t="shared" si="1"/>
        <v>-0.37</v>
      </c>
      <c r="DF49" s="379">
        <f t="shared" si="2"/>
        <v>-0.37</v>
      </c>
      <c r="DG49" s="1238">
        <f t="shared" si="3"/>
        <v>0</v>
      </c>
      <c r="DH49" s="1129">
        <f t="shared" si="4"/>
        <v>0</v>
      </c>
      <c r="DI49" s="1129">
        <f t="shared" si="5"/>
        <v>0</v>
      </c>
      <c r="DJ49" s="1129">
        <f t="shared" si="6"/>
        <v>0</v>
      </c>
      <c r="DK49" s="1129" t="e">
        <f t="shared" si="7"/>
        <v>#VALUE!</v>
      </c>
      <c r="DL49" s="1129">
        <f t="shared" si="8"/>
        <v>0</v>
      </c>
      <c r="DM49" s="1237">
        <f t="shared" si="9"/>
        <v>0</v>
      </c>
      <c r="DN49" s="1240">
        <f t="shared" si="10"/>
        <v>-100</v>
      </c>
      <c r="DO49" s="1129">
        <f t="shared" si="11"/>
        <v>-550</v>
      </c>
      <c r="DP49" s="1131">
        <f t="shared" si="12"/>
        <v>-373</v>
      </c>
      <c r="DQ49" s="1241">
        <f t="shared" si="13"/>
        <v>1.0169491525423726</v>
      </c>
      <c r="DR49" s="1239">
        <f t="shared" si="14"/>
        <v>88.983050847457633</v>
      </c>
      <c r="DS49" s="1131">
        <f t="shared" si="15"/>
        <v>-34.469747899159664</v>
      </c>
      <c r="DT49" s="1239">
        <f t="shared" si="16"/>
        <v>-0.63025210084033612</v>
      </c>
      <c r="DU49" s="1239">
        <f t="shared" si="17"/>
        <v>0.68547768281101717</v>
      </c>
      <c r="DV49" s="1239">
        <f t="shared" si="18"/>
        <v>11</v>
      </c>
      <c r="DW49" s="1239">
        <f t="shared" si="19"/>
        <v>-3.4468186134852794</v>
      </c>
      <c r="DX49" s="1131">
        <f t="shared" si="20"/>
        <v>52</v>
      </c>
      <c r="DY49" s="1131" t="e">
        <f>#REF!-CE49</f>
        <v>#REF!</v>
      </c>
      <c r="DZ49" s="1197">
        <f t="shared" si="21"/>
        <v>0.11459259259259259</v>
      </c>
      <c r="EA49" s="1239">
        <f t="shared" si="22"/>
        <v>0</v>
      </c>
      <c r="EB49" s="1239">
        <f t="shared" si="23"/>
        <v>0</v>
      </c>
      <c r="EC49" s="1131">
        <f t="shared" si="24"/>
        <v>0</v>
      </c>
      <c r="ED49" s="1197">
        <f t="shared" si="25"/>
        <v>0</v>
      </c>
      <c r="EE49" s="1240">
        <f t="shared" si="26"/>
        <v>0.31600000000000072</v>
      </c>
      <c r="EF49" s="1131">
        <f t="shared" si="27"/>
        <v>-3.4468186134852794</v>
      </c>
      <c r="EG49" s="1131">
        <f t="shared" si="28"/>
        <v>-11.301044634377966</v>
      </c>
      <c r="EH49" s="1131" t="e">
        <f t="shared" si="29"/>
        <v>#VALUE!</v>
      </c>
      <c r="EI49" s="1131" t="e">
        <f t="shared" si="30"/>
        <v>#VALUE!</v>
      </c>
      <c r="EJ49" s="1131" t="e">
        <f t="shared" si="31"/>
        <v>#VALUE!</v>
      </c>
      <c r="EK49" s="1131">
        <f t="shared" si="32"/>
        <v>0</v>
      </c>
      <c r="EL49" s="1131">
        <f t="shared" si="33"/>
        <v>0</v>
      </c>
      <c r="EM49" s="1197">
        <f t="shared" si="34"/>
        <v>0</v>
      </c>
      <c r="EN49" s="1131">
        <f t="shared" si="35"/>
        <v>-1.7280000000000002</v>
      </c>
      <c r="EO49" s="1131">
        <f t="shared" si="36"/>
        <v>241.3693901035673</v>
      </c>
      <c r="EP49" s="1131">
        <f t="shared" si="37"/>
        <v>0</v>
      </c>
      <c r="EQ49" s="1131">
        <f t="shared" si="38"/>
        <v>0.82500000000000007</v>
      </c>
      <c r="ER49" s="1131">
        <f t="shared" si="39"/>
        <v>0</v>
      </c>
      <c r="ES49" s="1197">
        <f t="shared" si="40"/>
        <v>0</v>
      </c>
      <c r="ET49" s="1129">
        <f t="shared" si="41"/>
        <v>0</v>
      </c>
      <c r="EU49" s="1131">
        <f t="shared" si="42"/>
        <v>0</v>
      </c>
      <c r="EV49" s="1197">
        <f t="shared" si="43"/>
        <v>0</v>
      </c>
    </row>
    <row r="50" spans="1:152">
      <c r="A50" s="657">
        <f>Eingabedaten!A53</f>
        <v>12.12</v>
      </c>
      <c r="B50" s="1258" t="str">
        <f>Eingabedaten!C53</f>
        <v>Serverraum</v>
      </c>
      <c r="C50" s="1259">
        <v>20</v>
      </c>
      <c r="D50" s="1260">
        <v>0.18</v>
      </c>
      <c r="E50" s="1260">
        <v>0</v>
      </c>
      <c r="F50" s="1227">
        <v>11</v>
      </c>
      <c r="G50" s="1130">
        <v>6</v>
      </c>
      <c r="H50" s="1130">
        <v>365</v>
      </c>
      <c r="I50" s="1130">
        <v>0.80000000000000016</v>
      </c>
      <c r="J50" s="1130">
        <v>1750</v>
      </c>
      <c r="K50" s="1130">
        <v>0</v>
      </c>
      <c r="L50" s="1130">
        <v>0</v>
      </c>
      <c r="M50" s="1228">
        <v>0</v>
      </c>
      <c r="N50" s="1229">
        <v>0</v>
      </c>
      <c r="O50" s="1255">
        <v>0</v>
      </c>
      <c r="P50" s="1133">
        <v>150</v>
      </c>
      <c r="Q50" s="1130">
        <v>7010</v>
      </c>
      <c r="R50" s="1133">
        <v>0</v>
      </c>
      <c r="S50" s="1228">
        <v>0</v>
      </c>
      <c r="T50" s="1133">
        <v>1051.5</v>
      </c>
      <c r="U50" s="1256">
        <v>0.75329566854990582</v>
      </c>
      <c r="V50" s="1133">
        <v>90</v>
      </c>
      <c r="W50" s="1257">
        <v>0.53705692803437166</v>
      </c>
      <c r="X50" s="1257">
        <v>0</v>
      </c>
      <c r="Y50" s="1228">
        <v>6.3360000000000003</v>
      </c>
      <c r="Z50" s="1228">
        <v>11</v>
      </c>
      <c r="AA50" s="1228">
        <v>5.1722222222222216</v>
      </c>
      <c r="AB50" s="1133">
        <v>73</v>
      </c>
      <c r="AC50" s="1196">
        <v>0.37757222222222214</v>
      </c>
      <c r="AD50" s="1257">
        <v>0.5</v>
      </c>
      <c r="AE50" s="1199">
        <v>5480</v>
      </c>
      <c r="AF50" s="1228">
        <v>0.27500000000000002</v>
      </c>
      <c r="AG50" s="1133">
        <v>5480</v>
      </c>
      <c r="AH50" s="1196">
        <v>1.5070000000000001</v>
      </c>
      <c r="AI50" s="1255">
        <v>1.3392000000000002</v>
      </c>
      <c r="AJ50" s="1133">
        <v>5.1722222222222216</v>
      </c>
      <c r="AK50" s="1133">
        <v>56.894444444444446</v>
      </c>
      <c r="AL50" s="1133" t="s">
        <v>1317</v>
      </c>
      <c r="AM50" s="1133" t="s">
        <v>1317</v>
      </c>
      <c r="AN50" s="1133" t="s">
        <v>1317</v>
      </c>
      <c r="AO50" s="1133">
        <v>4.5579955555555545</v>
      </c>
      <c r="AP50" s="1228">
        <v>6.5114222222222216</v>
      </c>
      <c r="AQ50" s="1133">
        <v>156.51142222222222</v>
      </c>
      <c r="AR50" s="1133">
        <v>0</v>
      </c>
      <c r="AS50" s="1199">
        <v>0</v>
      </c>
      <c r="AT50" s="1199">
        <v>0</v>
      </c>
      <c r="AU50" s="1133">
        <v>4.5600000000000005</v>
      </c>
      <c r="AV50" s="1133">
        <v>532.01754385964909</v>
      </c>
      <c r="AW50" s="1257">
        <v>0</v>
      </c>
      <c r="AX50" s="1228">
        <v>1.71</v>
      </c>
      <c r="AY50" s="1133">
        <v>0</v>
      </c>
      <c r="AZ50" s="1257">
        <v>0.21562500000000001</v>
      </c>
      <c r="BA50" s="1196">
        <v>0</v>
      </c>
      <c r="BB50" s="1130">
        <v>0</v>
      </c>
      <c r="BC50" s="1133">
        <v>0</v>
      </c>
      <c r="BD50" s="1199">
        <v>0</v>
      </c>
      <c r="BF50" s="1199">
        <f>Eingabedaten!AP53*'Resultate Standard'!S50</f>
        <v>0</v>
      </c>
      <c r="BG50" s="1244">
        <v>0</v>
      </c>
      <c r="BH50" s="1245"/>
      <c r="BI50" s="1246"/>
      <c r="BJ50" s="1259">
        <v>20</v>
      </c>
      <c r="BK50" s="1260">
        <v>0.18</v>
      </c>
      <c r="BL50" s="1260">
        <v>0.115</v>
      </c>
      <c r="BM50" s="1227">
        <v>11</v>
      </c>
      <c r="BN50" s="1130">
        <v>6</v>
      </c>
      <c r="BO50" s="1130">
        <v>365</v>
      </c>
      <c r="BP50" s="1130">
        <v>0.80000000000000016</v>
      </c>
      <c r="BQ50" s="1130" t="s">
        <v>193</v>
      </c>
      <c r="BR50" s="1130">
        <v>0</v>
      </c>
      <c r="BS50" s="1229">
        <v>0</v>
      </c>
      <c r="BT50" s="1255">
        <v>100</v>
      </c>
      <c r="BU50" s="1130">
        <v>7010</v>
      </c>
      <c r="BV50" s="1133">
        <v>701</v>
      </c>
      <c r="BW50" s="1256">
        <v>0</v>
      </c>
      <c r="BX50" s="1228">
        <v>0.75329566854990582</v>
      </c>
      <c r="BY50" s="1133">
        <v>35.1</v>
      </c>
      <c r="BZ50" s="1228">
        <v>0.53705692803437166</v>
      </c>
      <c r="CA50" s="1228">
        <v>6.6310541310541309</v>
      </c>
      <c r="CB50" s="1228">
        <v>0</v>
      </c>
      <c r="CC50" s="1228">
        <v>6.6310541310541309</v>
      </c>
      <c r="CD50" s="1133">
        <v>0</v>
      </c>
      <c r="CE50" s="1133">
        <v>0</v>
      </c>
      <c r="CF50" s="1199">
        <v>0</v>
      </c>
      <c r="CG50" s="1228">
        <v>2</v>
      </c>
      <c r="CH50" s="1228">
        <v>1.1000000000000001</v>
      </c>
      <c r="CI50" s="1133">
        <v>3800</v>
      </c>
      <c r="CJ50" s="1199">
        <v>4.18</v>
      </c>
      <c r="CK50" s="1255">
        <v>2.2320000000000002</v>
      </c>
      <c r="CL50" s="1133">
        <v>106.63105413105413</v>
      </c>
      <c r="CM50" s="1133">
        <v>2413.2621082621081</v>
      </c>
      <c r="CN50" s="1133" t="s">
        <v>528</v>
      </c>
      <c r="CO50" s="1133" t="s">
        <v>528</v>
      </c>
      <c r="CP50" s="1133" t="s">
        <v>528</v>
      </c>
      <c r="CQ50" s="1133">
        <v>101</v>
      </c>
      <c r="CR50" s="1133">
        <v>6730</v>
      </c>
      <c r="CS50" s="1199">
        <v>679.8415</v>
      </c>
      <c r="CT50" s="1133">
        <v>7.4400000000000013</v>
      </c>
      <c r="CU50" s="1133">
        <v>326.07526881720423</v>
      </c>
      <c r="CV50" s="1133">
        <v>0</v>
      </c>
      <c r="CW50" s="1133">
        <v>9.6720000000000006</v>
      </c>
      <c r="CX50" s="1133">
        <v>0</v>
      </c>
      <c r="CY50" s="1199">
        <v>0</v>
      </c>
      <c r="CZ50" s="1130">
        <v>0</v>
      </c>
      <c r="DA50" s="1133">
        <v>0</v>
      </c>
      <c r="DB50" s="1199">
        <v>0</v>
      </c>
      <c r="DD50" s="1259">
        <f t="shared" si="0"/>
        <v>0</v>
      </c>
      <c r="DE50" s="1260">
        <f t="shared" si="1"/>
        <v>0</v>
      </c>
      <c r="DF50" s="1260">
        <f t="shared" si="2"/>
        <v>-0.115</v>
      </c>
      <c r="DG50" s="1227">
        <f t="shared" si="3"/>
        <v>0</v>
      </c>
      <c r="DH50" s="1130">
        <f t="shared" si="4"/>
        <v>0</v>
      </c>
      <c r="DI50" s="1130">
        <f t="shared" si="5"/>
        <v>0</v>
      </c>
      <c r="DJ50" s="1130">
        <f t="shared" si="6"/>
        <v>0</v>
      </c>
      <c r="DK50" s="1130" t="e">
        <f t="shared" si="7"/>
        <v>#VALUE!</v>
      </c>
      <c r="DL50" s="1130">
        <f t="shared" si="8"/>
        <v>0</v>
      </c>
      <c r="DM50" s="1229">
        <f t="shared" si="9"/>
        <v>0</v>
      </c>
      <c r="DN50" s="1255">
        <f t="shared" si="10"/>
        <v>-100</v>
      </c>
      <c r="DO50" s="1130">
        <f t="shared" si="11"/>
        <v>0</v>
      </c>
      <c r="DP50" s="1133">
        <f t="shared" si="12"/>
        <v>-701</v>
      </c>
      <c r="DQ50" s="1256">
        <f t="shared" si="13"/>
        <v>0.75329566854990582</v>
      </c>
      <c r="DR50" s="1228">
        <f t="shared" si="14"/>
        <v>89.24670433145009</v>
      </c>
      <c r="DS50" s="1133">
        <f t="shared" si="15"/>
        <v>-34.562943071965627</v>
      </c>
      <c r="DT50" s="1228">
        <f t="shared" si="16"/>
        <v>-0.53705692803437166</v>
      </c>
      <c r="DU50" s="1228">
        <f t="shared" si="17"/>
        <v>-0.29505413105413059</v>
      </c>
      <c r="DV50" s="1228">
        <f t="shared" si="18"/>
        <v>11</v>
      </c>
      <c r="DW50" s="1228">
        <f t="shared" si="19"/>
        <v>-1.4588319088319093</v>
      </c>
      <c r="DX50" s="1133">
        <f t="shared" si="20"/>
        <v>73</v>
      </c>
      <c r="DY50" s="1133" t="e">
        <f>#REF!-CE50</f>
        <v>#REF!</v>
      </c>
      <c r="DZ50" s="1199">
        <f t="shared" si="21"/>
        <v>0.37757222222222214</v>
      </c>
      <c r="EA50" s="1228">
        <f t="shared" si="22"/>
        <v>-1.5</v>
      </c>
      <c r="EB50" s="1228">
        <f t="shared" si="23"/>
        <v>-0.82500000000000007</v>
      </c>
      <c r="EC50" s="1133">
        <f t="shared" si="24"/>
        <v>1680</v>
      </c>
      <c r="ED50" s="1199">
        <f t="shared" si="25"/>
        <v>-2.6729999999999996</v>
      </c>
      <c r="EE50" s="1255">
        <f t="shared" si="26"/>
        <v>-0.89280000000000004</v>
      </c>
      <c r="EF50" s="1133">
        <f t="shared" si="27"/>
        <v>-101.45883190883191</v>
      </c>
      <c r="EG50" s="1133">
        <f t="shared" si="28"/>
        <v>-2356.3676638176635</v>
      </c>
      <c r="EH50" s="1133" t="e">
        <f t="shared" si="29"/>
        <v>#VALUE!</v>
      </c>
      <c r="EI50" s="1133" t="e">
        <f t="shared" si="30"/>
        <v>#VALUE!</v>
      </c>
      <c r="EJ50" s="1133" t="e">
        <f t="shared" si="31"/>
        <v>#VALUE!</v>
      </c>
      <c r="EK50" s="1133">
        <f t="shared" si="32"/>
        <v>55.511422222222222</v>
      </c>
      <c r="EL50" s="1133">
        <f t="shared" si="33"/>
        <v>-6730</v>
      </c>
      <c r="EM50" s="1199">
        <f t="shared" si="34"/>
        <v>-679.8415</v>
      </c>
      <c r="EN50" s="1133">
        <f t="shared" si="35"/>
        <v>-2.8800000000000008</v>
      </c>
      <c r="EO50" s="1133">
        <f t="shared" si="36"/>
        <v>205.94227504244486</v>
      </c>
      <c r="EP50" s="1133">
        <f t="shared" si="37"/>
        <v>0</v>
      </c>
      <c r="EQ50" s="1133">
        <f t="shared" si="38"/>
        <v>-7.9620000000000006</v>
      </c>
      <c r="ER50" s="1133">
        <f t="shared" si="39"/>
        <v>0</v>
      </c>
      <c r="ES50" s="1199">
        <f t="shared" si="40"/>
        <v>0</v>
      </c>
      <c r="ET50" s="1130">
        <f t="shared" si="41"/>
        <v>0</v>
      </c>
      <c r="EU50" s="1133">
        <f t="shared" si="42"/>
        <v>0</v>
      </c>
      <c r="EV50" s="1199">
        <f t="shared" si="43"/>
        <v>0</v>
      </c>
    </row>
    <row r="53" spans="1:152" hidden="1">
      <c r="B53" s="1128" t="s">
        <v>444</v>
      </c>
    </row>
    <row r="54" spans="1:152" hidden="1">
      <c r="B54" s="1128" t="s">
        <v>445</v>
      </c>
    </row>
  </sheetData>
  <sheetProtection algorithmName="SHA-512" hashValue="o7vGYVSvwy3r9K5LueKTnMjrWqrzCATCK78W0QAnqAdPvJYyGkYxkAdhq8Tae0PajLOIMABz9IX8RxZKyE7bFg==" saltValue="v6C4H2L6+H3CeHRllDMQdA==" spinCount="100000" sheet="1" objects="1" scenarios="1"/>
  <pageMargins left="0.70866141732283472" right="0.70866141732283472" top="0.74803149606299213" bottom="0.74803149606299213" header="0.31496062992125984" footer="0.31496062992125984"/>
  <pageSetup paperSize="9" scale="63" fitToWidth="0" orientation="landscape" horizontalDpi="4294967293" r:id="rId1"/>
  <headerFooter>
    <oddHeader>&amp;R&amp;D&amp;CSIA 2024 Raum-Datenblätter</oddHeader>
    <oddFooter>&amp;R&amp;P/&amp;N&amp;CSIA 2024, Copyright © 2021 by SIA Zurich</oddFooter>
  </headerFooter>
  <colBreaks count="1" manualBreakCount="1">
    <brk id="31" max="49"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blRes_Zw">
    <tabColor theme="6" tint="0.59999389629810485"/>
    <pageSetUpPr fitToPage="1"/>
  </sheetPr>
  <dimension ref="A1:ES50"/>
  <sheetViews>
    <sheetView showGridLines="0" showRowColHeaders="0" zoomScaleNormal="100" zoomScaleSheetLayoutView="100" workbookViewId="0"/>
  </sheetViews>
  <sheetFormatPr baseColWidth="10" defaultColWidth="11.4609375" defaultRowHeight="12.45"/>
  <cols>
    <col min="1" max="1" width="5.765625" style="1128" customWidth="1"/>
    <col min="2" max="2" width="35.4609375" style="1128" customWidth="1"/>
    <col min="3" max="3" width="6.4609375" style="1128" hidden="1" customWidth="1"/>
    <col min="4" max="4" width="7.23046875" style="1128" hidden="1" customWidth="1"/>
    <col min="5" max="6" width="6.53515625" style="1128" hidden="1" customWidth="1"/>
    <col min="7" max="7" width="5.4609375" style="1128" hidden="1" customWidth="1"/>
    <col min="8" max="8" width="4.4609375" style="1128" hidden="1" customWidth="1"/>
    <col min="9" max="10" width="5.23046875" style="1128" hidden="1" customWidth="1"/>
    <col min="11" max="11" width="5" style="1128" hidden="1" customWidth="1"/>
    <col min="12" max="12" width="5.765625" style="1128" hidden="1" customWidth="1"/>
    <col min="13" max="13" width="7.69140625" style="1128" hidden="1" customWidth="1"/>
    <col min="14" max="14" width="7.4609375" style="1128" hidden="1" customWidth="1"/>
    <col min="15" max="15" width="6.69140625" style="1128" hidden="1" customWidth="1"/>
    <col min="16" max="16" width="2.69140625" style="1128" hidden="1" customWidth="1"/>
    <col min="17" max="17" width="7" style="1128" customWidth="1"/>
    <col min="18" max="18" width="7.69140625" style="1128" hidden="1" customWidth="1"/>
    <col min="19" max="19" width="7.69140625" style="1128" bestFit="1" customWidth="1"/>
    <col min="20" max="20" width="12.53515625" style="1128" customWidth="1"/>
    <col min="21" max="21" width="4.53515625" style="1128" hidden="1" customWidth="1"/>
    <col min="22" max="22" width="5.765625" style="1128" customWidth="1"/>
    <col min="23" max="23" width="5.53515625" style="1128" hidden="1" customWidth="1"/>
    <col min="24" max="24" width="3.23046875" style="1128" hidden="1" customWidth="1"/>
    <col min="25" max="25" width="3.765625" style="1128" bestFit="1" customWidth="1"/>
    <col min="26" max="26" width="4.765625" style="1128" bestFit="1" customWidth="1"/>
    <col min="27" max="28" width="5.69140625" style="1128" bestFit="1" customWidth="1"/>
    <col min="29" max="29" width="7.69140625" style="1128" bestFit="1" customWidth="1"/>
    <col min="30" max="30" width="9.4609375" style="1128" customWidth="1"/>
    <col min="31" max="31" width="5.69140625" style="1128" bestFit="1" customWidth="1"/>
    <col min="32" max="32" width="7.4609375" style="1128" hidden="1" customWidth="1"/>
    <col min="33" max="33" width="6.4609375" style="1128" hidden="1" customWidth="1"/>
    <col min="34" max="34" width="8.23046875" style="1128" hidden="1" customWidth="1"/>
    <col min="35" max="35" width="6.23046875" style="1128" customWidth="1"/>
    <col min="36" max="36" width="5.765625" style="1128" customWidth="1"/>
    <col min="37" max="37" width="7.765625" style="1128" bestFit="1" customWidth="1"/>
    <col min="38" max="38" width="14.69140625" style="1128" bestFit="1" customWidth="1"/>
    <col min="39" max="39" width="14.69140625" style="1128" customWidth="1"/>
    <col min="40" max="40" width="14.69140625" style="1128" bestFit="1" customWidth="1"/>
    <col min="41" max="41" width="5.69140625" style="1128" hidden="1" customWidth="1"/>
    <col min="42" max="42" width="5.69140625" style="1128" bestFit="1" customWidth="1"/>
    <col min="43" max="43" width="6.23046875" style="1128" hidden="1" customWidth="1"/>
    <col min="44" max="44" width="5.69140625" style="1128" bestFit="1" customWidth="1"/>
    <col min="45" max="45" width="7.69140625" style="1128" customWidth="1"/>
    <col min="46" max="46" width="7.765625" style="1128" hidden="1" customWidth="1"/>
    <col min="47" max="47" width="5.4609375" style="1128" customWidth="1"/>
    <col min="48" max="48" width="5.53515625" style="1128" bestFit="1" customWidth="1"/>
    <col min="49" max="49" width="3.23046875" style="1128" bestFit="1" customWidth="1"/>
    <col min="50" max="50" width="5.69140625" style="1128" bestFit="1" customWidth="1"/>
    <col min="51" max="51" width="6.69140625" style="1128" bestFit="1" customWidth="1"/>
    <col min="52" max="52" width="8.69140625" style="1128" bestFit="1" customWidth="1"/>
    <col min="53" max="53" width="7.69140625" style="1128" bestFit="1" customWidth="1"/>
    <col min="54" max="54" width="6.23046875" style="1128" hidden="1" customWidth="1"/>
    <col min="55" max="55" width="6.4609375" style="1128" hidden="1" customWidth="1"/>
    <col min="56" max="56" width="8.23046875" style="1128" bestFit="1" customWidth="1"/>
    <col min="57" max="58" width="11.4609375" style="1128"/>
    <col min="59" max="59" width="6.4609375" style="1128" hidden="1" customWidth="1"/>
    <col min="60" max="60" width="7.23046875" style="1128" hidden="1" customWidth="1"/>
    <col min="61" max="62" width="6.53515625" style="1128" hidden="1" customWidth="1"/>
    <col min="63" max="63" width="5.4609375" style="1128" hidden="1" customWidth="1"/>
    <col min="64" max="64" width="4.4609375" style="1128" hidden="1" customWidth="1"/>
    <col min="65" max="65" width="5.23046875" style="1128" hidden="1" customWidth="1"/>
    <col min="66" max="66" width="11.4609375" style="1128" hidden="1" customWidth="1"/>
    <col min="67" max="67" width="5.765625" style="1128" hidden="1" customWidth="1"/>
    <col min="68" max="68" width="7.4609375" style="1128" hidden="1" customWidth="1"/>
    <col min="69" max="69" width="10.23046875" style="1128" hidden="1" customWidth="1"/>
    <col min="70" max="70" width="5.765625" style="1128" hidden="1" customWidth="1"/>
    <col min="71" max="71" width="7.765625" style="1128" hidden="1" customWidth="1"/>
    <col min="72" max="72" width="3.69140625" style="1128" hidden="1" customWidth="1"/>
    <col min="73" max="73" width="2.765625" style="1128" hidden="1" customWidth="1"/>
    <col min="74" max="74" width="6.23046875" style="1128" hidden="1" customWidth="1"/>
    <col min="75" max="75" width="5.23046875" style="1128" hidden="1" customWidth="1"/>
    <col min="76" max="76" width="7" style="1128" hidden="1" customWidth="1"/>
    <col min="77" max="78" width="7.765625" style="1128" hidden="1" customWidth="1"/>
    <col min="79" max="79" width="6.765625" style="1128" hidden="1" customWidth="1"/>
    <col min="80" max="80" width="7" style="1128" hidden="1" customWidth="1"/>
    <col min="81" max="81" width="8.23046875" style="1128" hidden="1" customWidth="1"/>
    <col min="82" max="82" width="5.4609375" style="1128" hidden="1" customWidth="1"/>
    <col min="83" max="83" width="7.4609375" style="1128" hidden="1" customWidth="1"/>
    <col min="84" max="84" width="6.4609375" style="1128" hidden="1" customWidth="1"/>
    <col min="85" max="85" width="8.23046875" style="1128" hidden="1" customWidth="1"/>
    <col min="86" max="86" width="6.53515625" style="1128" hidden="1" customWidth="1"/>
    <col min="87" max="87" width="6.23046875" style="1128" hidden="1" customWidth="1"/>
    <col min="88" max="88" width="7.53515625" style="1128" hidden="1" customWidth="1"/>
    <col min="89" max="91" width="13.4609375" style="1128" hidden="1" customWidth="1"/>
    <col min="92" max="92" width="6.23046875" style="1128" hidden="1" customWidth="1"/>
    <col min="93" max="93" width="5.765625" style="1128" hidden="1" customWidth="1"/>
    <col min="94" max="94" width="7.765625" style="1128" hidden="1" customWidth="1"/>
    <col min="95" max="95" width="6" style="1128" hidden="1" customWidth="1"/>
    <col min="96" max="96" width="5.4609375" style="1128" hidden="1" customWidth="1"/>
    <col min="97" max="97" width="3.53515625" style="1128" hidden="1" customWidth="1"/>
    <col min="98" max="98" width="5.765625" style="1128" hidden="1" customWidth="1"/>
    <col min="99" max="99" width="5" style="1128" hidden="1" customWidth="1"/>
    <col min="100" max="100" width="7.765625" style="1128" hidden="1" customWidth="1"/>
    <col min="101" max="101" width="6.23046875" style="1128" hidden="1" customWidth="1"/>
    <col min="102" max="102" width="6.4609375" style="1128" hidden="1" customWidth="1"/>
    <col min="103" max="103" width="7.765625" style="1128" hidden="1" customWidth="1"/>
    <col min="104" max="104" width="0" style="1128" hidden="1" customWidth="1"/>
    <col min="105" max="105" width="6.4609375" style="1128" hidden="1" customWidth="1"/>
    <col min="106" max="106" width="7.23046875" style="1128" hidden="1" customWidth="1"/>
    <col min="107" max="108" width="6.53515625" style="1128" hidden="1" customWidth="1"/>
    <col min="109" max="109" width="5.4609375" style="1128" hidden="1" customWidth="1"/>
    <col min="110" max="110" width="4.4609375" style="1128" hidden="1" customWidth="1"/>
    <col min="111" max="111" width="5.23046875" style="1128" hidden="1" customWidth="1"/>
    <col min="112" max="112" width="11.4609375" style="1128" hidden="1" customWidth="1"/>
    <col min="113" max="113" width="5.765625" style="1128" hidden="1" customWidth="1"/>
    <col min="114" max="114" width="7.4609375" style="1128" hidden="1" customWidth="1"/>
    <col min="115" max="115" width="10.23046875" style="1128" hidden="1" customWidth="1"/>
    <col min="116" max="116" width="5.765625" style="1128" hidden="1" customWidth="1"/>
    <col min="117" max="117" width="7.765625" style="1128" hidden="1" customWidth="1"/>
    <col min="118" max="118" width="3.69140625" style="1128" hidden="1" customWidth="1"/>
    <col min="119" max="119" width="2.765625" style="1128" hidden="1" customWidth="1"/>
    <col min="120" max="120" width="6.23046875" style="1128" hidden="1" customWidth="1"/>
    <col min="121" max="121" width="5.23046875" style="1128" hidden="1" customWidth="1"/>
    <col min="122" max="122" width="7" style="1128" hidden="1" customWidth="1"/>
    <col min="123" max="124" width="7.765625" style="1128" hidden="1" customWidth="1"/>
    <col min="125" max="125" width="6.765625" style="1128" hidden="1" customWidth="1"/>
    <col min="126" max="126" width="7" style="1128" hidden="1" customWidth="1"/>
    <col min="127" max="127" width="8.23046875" style="1128" hidden="1" customWidth="1"/>
    <col min="128" max="128" width="5.4609375" style="1128" hidden="1" customWidth="1"/>
    <col min="129" max="129" width="7.4609375" style="1128" hidden="1" customWidth="1"/>
    <col min="130" max="130" width="6.4609375" style="1128" hidden="1" customWidth="1"/>
    <col min="131" max="131" width="8.23046875" style="1128" hidden="1" customWidth="1"/>
    <col min="132" max="132" width="6.53515625" style="1128" hidden="1" customWidth="1"/>
    <col min="133" max="133" width="6.23046875" style="1128" hidden="1" customWidth="1"/>
    <col min="134" max="134" width="7.53515625" style="1128" hidden="1" customWidth="1"/>
    <col min="135" max="137" width="13.4609375" style="1128" hidden="1" customWidth="1"/>
    <col min="138" max="138" width="6.23046875" style="1128" hidden="1" customWidth="1"/>
    <col min="139" max="139" width="5.765625" style="1128" hidden="1" customWidth="1"/>
    <col min="140" max="140" width="7.765625" style="1128" hidden="1" customWidth="1"/>
    <col min="141" max="141" width="6" style="1128" hidden="1" customWidth="1"/>
    <col min="142" max="142" width="5.4609375" style="1128" hidden="1" customWidth="1"/>
    <col min="143" max="143" width="3.53515625" style="1128" hidden="1" customWidth="1"/>
    <col min="144" max="144" width="5.765625" style="1128" hidden="1" customWidth="1"/>
    <col min="145" max="145" width="5" style="1128" hidden="1" customWidth="1"/>
    <col min="146" max="146" width="7.765625" style="1128" hidden="1" customWidth="1"/>
    <col min="147" max="147" width="6.23046875" style="1128" hidden="1" customWidth="1"/>
    <col min="148" max="148" width="6.4609375" style="1128" hidden="1" customWidth="1"/>
    <col min="149" max="149" width="7.765625" style="1128" hidden="1" customWidth="1"/>
    <col min="150" max="16384" width="11.4609375" style="1128"/>
  </cols>
  <sheetData>
    <row r="1" spans="1:149" ht="15.45">
      <c r="A1" s="77" t="str">
        <f>Begriffe!F424</f>
        <v>SIA 2024 - Resultate Zielwert</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c r="AD1" s="379"/>
      <c r="AE1" s="379"/>
      <c r="AF1" s="379"/>
      <c r="AG1" s="379"/>
      <c r="AH1" s="379"/>
      <c r="AI1" s="379"/>
      <c r="AJ1" s="379"/>
      <c r="AK1" s="379"/>
      <c r="AL1" s="379"/>
      <c r="AO1" s="1128" t="s">
        <v>1594</v>
      </c>
      <c r="AQ1" s="1128" t="s">
        <v>1457</v>
      </c>
    </row>
    <row r="2" spans="1:149">
      <c r="A2" s="379"/>
      <c r="B2" s="379"/>
      <c r="C2" s="540" t="s">
        <v>22</v>
      </c>
      <c r="D2" s="540" t="s">
        <v>22</v>
      </c>
      <c r="E2" s="540" t="s">
        <v>22</v>
      </c>
      <c r="F2" s="1129" t="s">
        <v>22</v>
      </c>
      <c r="G2" s="1129" t="s">
        <v>22</v>
      </c>
      <c r="H2" s="1129" t="s">
        <v>22</v>
      </c>
      <c r="I2" s="1129" t="s">
        <v>22</v>
      </c>
      <c r="J2" s="1129" t="s">
        <v>22</v>
      </c>
      <c r="K2" s="1129" t="s">
        <v>22</v>
      </c>
      <c r="L2" s="1129" t="s">
        <v>22</v>
      </c>
      <c r="M2" s="1129" t="s">
        <v>22</v>
      </c>
      <c r="N2" s="1129" t="s">
        <v>22</v>
      </c>
      <c r="O2" s="1129" t="s">
        <v>22</v>
      </c>
      <c r="P2" s="1129" t="s">
        <v>22</v>
      </c>
      <c r="Q2" s="1129"/>
      <c r="R2" s="1129" t="s">
        <v>22</v>
      </c>
      <c r="S2" s="1129"/>
      <c r="T2" s="1129"/>
      <c r="U2" s="1129" t="s">
        <v>22</v>
      </c>
      <c r="V2" s="1129"/>
      <c r="W2" s="1129" t="s">
        <v>22</v>
      </c>
      <c r="X2" s="1129" t="s">
        <v>22</v>
      </c>
      <c r="Y2" s="1129"/>
      <c r="Z2" s="1129"/>
      <c r="AA2" s="1129"/>
      <c r="AB2" s="1129"/>
      <c r="AC2" s="1129"/>
      <c r="AD2" s="1129"/>
      <c r="AE2" s="1129"/>
      <c r="AF2" s="1129" t="s">
        <v>22</v>
      </c>
      <c r="AG2" s="1129" t="s">
        <v>22</v>
      </c>
      <c r="AH2" s="1129" t="s">
        <v>22</v>
      </c>
      <c r="AI2" s="1129"/>
      <c r="AJ2" s="1129"/>
      <c r="AK2" s="1129"/>
      <c r="AL2" s="1129"/>
      <c r="AM2" s="1129"/>
      <c r="AN2" s="1129"/>
      <c r="AO2" s="1129" t="s">
        <v>22</v>
      </c>
      <c r="AP2" s="1129"/>
      <c r="AQ2" s="1129" t="s">
        <v>22</v>
      </c>
      <c r="AR2" s="1129"/>
      <c r="AS2" s="1129"/>
      <c r="AT2" s="1129"/>
      <c r="AU2" s="1129"/>
      <c r="AV2" s="1129"/>
      <c r="AW2" s="1129"/>
      <c r="AX2" s="1129"/>
      <c r="AY2" s="1129"/>
      <c r="AZ2" s="1129"/>
      <c r="BA2" s="1129"/>
      <c r="BB2" s="1129" t="s">
        <v>22</v>
      </c>
      <c r="BC2" s="1129" t="s">
        <v>22</v>
      </c>
      <c r="BD2" s="1129"/>
    </row>
    <row r="3" spans="1:149">
      <c r="A3" s="33" t="str">
        <f>Begriffe!F186</f>
        <v>Raumnutzung</v>
      </c>
      <c r="B3" s="651"/>
      <c r="C3" s="33" t="str">
        <f>Begriffe!F187</f>
        <v>Raum</v>
      </c>
      <c r="D3" s="156"/>
      <c r="E3" s="156"/>
      <c r="F3" s="253" t="str">
        <f>Begriffe!F204</f>
        <v>Personen</v>
      </c>
      <c r="G3" s="254"/>
      <c r="H3" s="254"/>
      <c r="I3" s="254"/>
      <c r="J3" s="254"/>
      <c r="K3" s="254"/>
      <c r="L3" s="254"/>
      <c r="M3" s="254"/>
      <c r="N3" s="652"/>
      <c r="O3" s="253" t="str">
        <f>Begriffe!F205</f>
        <v>Geräte und Prozessanlagen</v>
      </c>
      <c r="P3" s="254"/>
      <c r="Q3" s="254" t="str">
        <f>Begriffe!F205</f>
        <v>Geräte und Prozessanlagen</v>
      </c>
      <c r="R3" s="254"/>
      <c r="S3" s="380"/>
      <c r="T3" s="380"/>
      <c r="U3" s="253" t="str">
        <f>Begriffe!F206</f>
        <v>Beleuchtung</v>
      </c>
      <c r="V3" s="253" t="str">
        <f>Begriffe!F206</f>
        <v>Beleuchtung</v>
      </c>
      <c r="W3" s="380"/>
      <c r="X3" s="380"/>
      <c r="Y3" s="254"/>
      <c r="Z3" s="254"/>
      <c r="AA3" s="254"/>
      <c r="AB3" s="254"/>
      <c r="AC3" s="255"/>
      <c r="AD3" s="1261" t="str">
        <f>Begriffe!F219</f>
        <v>Lüftung</v>
      </c>
      <c r="AE3" s="1262"/>
      <c r="AF3" s="1262"/>
      <c r="AG3" s="1262"/>
      <c r="AH3" s="1263"/>
      <c r="AI3" s="253" t="str">
        <f>Begriffe!F220</f>
        <v>Raumkühlung</v>
      </c>
      <c r="AJ3" s="254"/>
      <c r="AK3" s="254"/>
      <c r="AL3" s="254"/>
      <c r="AM3" s="254"/>
      <c r="AN3" s="254"/>
      <c r="AO3" s="254"/>
      <c r="AP3" s="254"/>
      <c r="AQ3" s="254"/>
      <c r="AR3" s="254"/>
      <c r="AS3" s="255"/>
      <c r="AT3" s="255"/>
      <c r="AU3" s="254" t="str">
        <f>Begriffe!F222</f>
        <v>Raumheizung</v>
      </c>
      <c r="AV3" s="254"/>
      <c r="AW3" s="254"/>
      <c r="AX3" s="254"/>
      <c r="AY3" s="254"/>
      <c r="AZ3" s="254"/>
      <c r="BA3" s="255"/>
      <c r="BB3" s="254" t="str">
        <f>Begriffe!F223</f>
        <v>Wasser</v>
      </c>
      <c r="BC3" s="254"/>
      <c r="BD3" s="255" t="str">
        <f>Begriffe!F223</f>
        <v>Wasser</v>
      </c>
      <c r="BG3" s="33" t="s">
        <v>0</v>
      </c>
      <c r="BH3" s="156"/>
      <c r="BI3" s="156"/>
      <c r="BJ3" s="253" t="s">
        <v>10</v>
      </c>
      <c r="BK3" s="254"/>
      <c r="BL3" s="254"/>
      <c r="BM3" s="254"/>
      <c r="BN3" s="254"/>
      <c r="BO3" s="254"/>
      <c r="BP3" s="652"/>
      <c r="BQ3" s="253" t="s">
        <v>51</v>
      </c>
      <c r="BR3" s="254" t="s">
        <v>51</v>
      </c>
      <c r="BS3" s="380"/>
      <c r="BT3" s="253" t="s">
        <v>17</v>
      </c>
      <c r="BU3" s="380"/>
      <c r="BV3" s="380"/>
      <c r="BW3" s="380"/>
      <c r="BX3" s="254"/>
      <c r="BY3" s="254"/>
      <c r="BZ3" s="254"/>
      <c r="CA3" s="254"/>
      <c r="CB3" s="254"/>
      <c r="CC3" s="255"/>
      <c r="CD3" s="253" t="s">
        <v>19</v>
      </c>
      <c r="CE3" s="253" t="s">
        <v>19</v>
      </c>
      <c r="CF3" s="254"/>
      <c r="CG3" s="255"/>
      <c r="CH3" s="253" t="s">
        <v>265</v>
      </c>
      <c r="CI3" s="254"/>
      <c r="CJ3" s="254"/>
      <c r="CK3" s="254"/>
      <c r="CL3" s="254"/>
      <c r="CM3" s="254"/>
      <c r="CN3" s="254"/>
      <c r="CO3" s="254"/>
      <c r="CP3" s="255"/>
      <c r="CQ3" s="254" t="s">
        <v>266</v>
      </c>
      <c r="CR3" s="254"/>
      <c r="CS3" s="254"/>
      <c r="CT3" s="254"/>
      <c r="CU3" s="254"/>
      <c r="CV3" s="255"/>
      <c r="CW3" s="254" t="s">
        <v>519</v>
      </c>
      <c r="CX3" s="254"/>
      <c r="CY3" s="255"/>
      <c r="DA3" s="33" t="s">
        <v>0</v>
      </c>
      <c r="DB3" s="156"/>
      <c r="DC3" s="156"/>
      <c r="DD3" s="253" t="s">
        <v>10</v>
      </c>
      <c r="DE3" s="254"/>
      <c r="DF3" s="254"/>
      <c r="DG3" s="254"/>
      <c r="DH3" s="254"/>
      <c r="DI3" s="254"/>
      <c r="DJ3" s="652"/>
      <c r="DK3" s="253" t="s">
        <v>51</v>
      </c>
      <c r="DL3" s="254" t="s">
        <v>51</v>
      </c>
      <c r="DM3" s="380"/>
      <c r="DN3" s="253" t="s">
        <v>17</v>
      </c>
      <c r="DO3" s="380"/>
      <c r="DP3" s="380"/>
      <c r="DQ3" s="380"/>
      <c r="DR3" s="254"/>
      <c r="DS3" s="254"/>
      <c r="DT3" s="254"/>
      <c r="DU3" s="254"/>
      <c r="DV3" s="254"/>
      <c r="DW3" s="255"/>
      <c r="DX3" s="253" t="s">
        <v>19</v>
      </c>
      <c r="DY3" s="253" t="s">
        <v>19</v>
      </c>
      <c r="DZ3" s="254"/>
      <c r="EA3" s="255"/>
      <c r="EB3" s="253" t="s">
        <v>265</v>
      </c>
      <c r="EC3" s="254"/>
      <c r="ED3" s="254"/>
      <c r="EE3" s="254"/>
      <c r="EF3" s="254"/>
      <c r="EG3" s="254"/>
      <c r="EH3" s="254"/>
      <c r="EI3" s="254"/>
      <c r="EJ3" s="255"/>
      <c r="EK3" s="254" t="s">
        <v>266</v>
      </c>
      <c r="EL3" s="254"/>
      <c r="EM3" s="254"/>
      <c r="EN3" s="254"/>
      <c r="EO3" s="254"/>
      <c r="EP3" s="255"/>
      <c r="EQ3" s="254" t="s">
        <v>519</v>
      </c>
      <c r="ER3" s="254"/>
      <c r="ES3" s="255"/>
    </row>
    <row r="4" spans="1:149" ht="166.5" customHeight="1">
      <c r="A4" s="381" t="s">
        <v>476</v>
      </c>
      <c r="B4" s="252" t="str">
        <f>Begriffe!F185</f>
        <v>Bezeichnung</v>
      </c>
      <c r="C4" s="251" t="str">
        <f>Begriffe!F192</f>
        <v>Nettogeschossfläche</v>
      </c>
      <c r="D4" s="250" t="str">
        <f>Begriffe!F77 &amp; " " &amp; Begriffe!F240</f>
        <v>Mittlere Luftgeschwindigkeit Kühlfall</v>
      </c>
      <c r="E4" s="250" t="str">
        <f>Begriffe!F77 &amp; " " &amp; Begriffe!F241</f>
        <v>Mittlere Luftgeschwindigkeit Heizfall</v>
      </c>
      <c r="F4" s="251" t="str">
        <f>Begriffe!F83</f>
        <v>Nutzungsstunden pro Tag</v>
      </c>
      <c r="G4" s="250" t="str">
        <f>Begriffe!F113</f>
        <v>Volllaststunden pro Tag</v>
      </c>
      <c r="H4" s="250" t="str">
        <f>Begriffe!F85</f>
        <v>Nutzungstage pro Jahr</v>
      </c>
      <c r="I4" s="250" t="str">
        <f>Begriffe!F52</f>
        <v>Jahresgleichzeitigkeit</v>
      </c>
      <c r="J4" s="250" t="str">
        <f>Begriffe!F112</f>
        <v>Volllaststunden pro Jahr</v>
      </c>
      <c r="K4" s="250" t="str">
        <f>Begriffe!F87</f>
        <v>Personenfläche</v>
      </c>
      <c r="L4" s="250" t="str">
        <f>Begriffe!F101</f>
        <v>Sensible Wärmeeintragsleistung Personen</v>
      </c>
      <c r="M4" s="250" t="s">
        <v>1117</v>
      </c>
      <c r="N4" s="252" t="str">
        <f>Begriffe!F43</f>
        <v>Feuchteproduktion Personen</v>
      </c>
      <c r="O4" s="251" t="str">
        <f>Begriffe!F39</f>
        <v>Elektrische Leistung der Geräte</v>
      </c>
      <c r="P4" s="250" t="str">
        <f>Begriffe!F41</f>
        <v>Elektrische Leistung der Prozessanlagen</v>
      </c>
      <c r="Q4" s="250" t="str">
        <f>Begriffe!F56</f>
        <v>Jährliche Volllaststunden der Geräte und Prozessanlagen</v>
      </c>
      <c r="R4" s="250" t="str">
        <f>Begriffe!F51</f>
        <v>Interne Wärmeeinträge der Geräte pro Jahr</v>
      </c>
      <c r="S4" s="250" t="str">
        <f>Begriffe!F62</f>
        <v>Jährlicher Elektrizitätsbedarf der Geräte</v>
      </c>
      <c r="T4" s="250" t="str">
        <f>Begriffe!F64</f>
        <v>Jährlicher Elektrizitätsbedarf der Prozessanlagen</v>
      </c>
      <c r="U4" s="251" t="str">
        <f>Begriffe!F92</f>
        <v>Raumindex</v>
      </c>
      <c r="V4" s="251" t="str">
        <f>Begriffe!F74</f>
        <v>Leuchten-Lichtausbeute</v>
      </c>
      <c r="W4" s="250" t="str">
        <f>Begriffe!F94</f>
        <v>Raumwirkungsgrad</v>
      </c>
      <c r="X4" s="250" t="str">
        <f>Begriffe!F47</f>
        <v>Glasflächenzahl</v>
      </c>
      <c r="Y4" s="250" t="str">
        <f>Begriffe!F78</f>
        <v>Minimale Volllaststundenzahl</v>
      </c>
      <c r="Z4" s="250" t="str">
        <f>Begriffe!F115</f>
        <v>Volllaststunden pro 11h Tag</v>
      </c>
      <c r="AA4" s="250" t="str">
        <f>Begriffe!F38</f>
        <v>Elektrische Leistung der Beleuchtung</v>
      </c>
      <c r="AB4" s="250" t="str">
        <f>Begriffe!F55</f>
        <v xml:space="preserve">Jährliche Volllaststunden der Beleuchtung </v>
      </c>
      <c r="AC4" s="252" t="str">
        <f>Begriffe!F61</f>
        <v>Jährlicher Elektrizitätsbedarf Beleuchtung</v>
      </c>
      <c r="AD4" s="382" t="str">
        <f>Begriffe!F30</f>
        <v>Aussenluft-Volumenstrom</v>
      </c>
      <c r="AE4" s="250" t="str">
        <f>Begriffe!F58</f>
        <v>Jährliche Volumenstrom-Volllaststunden</v>
      </c>
      <c r="AF4" s="383" t="str">
        <f>Begriffe!F40</f>
        <v>Elektrische Leistung der Lüftung</v>
      </c>
      <c r="AG4" s="250" t="str">
        <f>Begriffe!F57</f>
        <v>Jährliche Volllaststunden der Lüftung</v>
      </c>
      <c r="AH4" s="250" t="str">
        <f>Begriffe!F63</f>
        <v>Jährlicher Elektrizitätsbedarf der Lüftung</v>
      </c>
      <c r="AI4" s="251" t="str">
        <f>Begriffe!F42</f>
        <v>Externe Wärmeeintragsleistung</v>
      </c>
      <c r="AJ4" s="250" t="str">
        <f>Begriffe!F50</f>
        <v>Interne Wärmeeintragsleistung</v>
      </c>
      <c r="AK4" s="250" t="str">
        <f>Begriffe!F49</f>
        <v>Interne Wärmeeinträge pro Tag</v>
      </c>
      <c r="AL4" s="250" t="str">
        <f>Begriffe!$F82 &amp; " " &amp; Begriffe!$F367</f>
        <v>Notwendigkeit einer Kühlung Mit unterstützender Fensterlüftung Tag und Nacht</v>
      </c>
      <c r="AM4" s="250" t="str">
        <f>Begriffe!$F82 &amp; " " &amp; Begriffe!$F368</f>
        <v>Notwendigkeit einer Kühlung Mit unterstützender Fensterlüftung bei Belegung</v>
      </c>
      <c r="AN4" s="250" t="str">
        <f>Begriffe!$F82 &amp; " " &amp; Begriffe!$F369</f>
        <v>Notwendigkeit einer Kühlung Ohne Fensterlüftung</v>
      </c>
      <c r="AO4" s="250" t="str">
        <f>Begriffe!F68</f>
        <v>Klimakälteleistungsbedarf</v>
      </c>
      <c r="AP4" s="250" t="str">
        <f>Begriffe!F68</f>
        <v>Klimakälteleistungsbedarf</v>
      </c>
      <c r="AQ4" s="250" t="str">
        <f>Begriffe!F68</f>
        <v>Klimakälteleistungsbedarf</v>
      </c>
      <c r="AR4" s="250" t="str">
        <f>Begriffe!F60</f>
        <v>Jährliche Volllaststunden der Raumkühlung</v>
      </c>
      <c r="AS4" s="252" t="str">
        <f>Begriffe!F66</f>
        <v>Jährlicher Klimakältebedarf</v>
      </c>
      <c r="AT4" s="252" t="str">
        <f>Begriffe!F66</f>
        <v>Jährlicher Klimakältebedarf</v>
      </c>
      <c r="AU4" s="250" t="str">
        <f>Begriffe!F124</f>
        <v>Wärmetransferkoeffizient</v>
      </c>
      <c r="AV4" s="250" t="str">
        <f>Begriffe!F127</f>
        <v>Zeitkonstante</v>
      </c>
      <c r="AW4" s="250" t="str">
        <f>Begriffe!F106</f>
        <v>Temperaturkorrektur</v>
      </c>
      <c r="AX4" s="250" t="str">
        <f>Begriffe!F81</f>
        <v>Norm-Heizlast</v>
      </c>
      <c r="AY4" s="250" t="str">
        <f>Begriffe!F59</f>
        <v>Jährliche Volllaststunden der Raumheizung</v>
      </c>
      <c r="AZ4" s="250" t="str">
        <f>Begriffe!F108</f>
        <v>Thermisch wirksamer Aussenluft-Volumenstrom</v>
      </c>
      <c r="BA4" s="252" t="str">
        <f>Begriffe!F65</f>
        <v xml:space="preserve">Jährlicher Heizwärmebedarf </v>
      </c>
      <c r="BB4" s="250" t="str">
        <f>Begriffe!F125</f>
        <v>Warmwasserbedarf pro Person</v>
      </c>
      <c r="BC4" s="250" t="str">
        <f>Begriffe!F126</f>
        <v>Wasserbedarf pro Person</v>
      </c>
      <c r="BD4" s="252" t="str">
        <f>Begriffe!F67</f>
        <v>Jährlicher Wärmebedarf für Warmwasser</v>
      </c>
      <c r="BG4" s="251" t="s">
        <v>269</v>
      </c>
      <c r="BH4" s="250" t="s">
        <v>848</v>
      </c>
      <c r="BI4" s="250" t="s">
        <v>849</v>
      </c>
      <c r="BJ4" s="251" t="s">
        <v>578</v>
      </c>
      <c r="BK4" s="250" t="s">
        <v>579</v>
      </c>
      <c r="BL4" s="250" t="s">
        <v>580</v>
      </c>
      <c r="BM4" s="250" t="s">
        <v>74</v>
      </c>
      <c r="BN4" s="250" t="s">
        <v>102</v>
      </c>
      <c r="BO4" s="250" t="s">
        <v>488</v>
      </c>
      <c r="BP4" s="252" t="s">
        <v>507</v>
      </c>
      <c r="BQ4" s="251" t="s">
        <v>643</v>
      </c>
      <c r="BR4" s="250" t="s">
        <v>803</v>
      </c>
      <c r="BS4" s="250" t="s">
        <v>660</v>
      </c>
      <c r="BT4" s="382" t="s">
        <v>490</v>
      </c>
      <c r="BU4" s="383" t="s">
        <v>491</v>
      </c>
      <c r="BV4" s="383" t="s">
        <v>492</v>
      </c>
      <c r="BW4" s="383" t="s">
        <v>493</v>
      </c>
      <c r="BX4" s="250" t="s">
        <v>641</v>
      </c>
      <c r="BY4" s="250" t="s">
        <v>640</v>
      </c>
      <c r="BZ4" s="250" t="s">
        <v>518</v>
      </c>
      <c r="CA4" s="250" t="s">
        <v>657</v>
      </c>
      <c r="CB4" s="250" t="s">
        <v>658</v>
      </c>
      <c r="CC4" s="252" t="s">
        <v>494</v>
      </c>
      <c r="CD4" s="382" t="s">
        <v>398</v>
      </c>
      <c r="CE4" s="383" t="s">
        <v>645</v>
      </c>
      <c r="CF4" s="250" t="s">
        <v>802</v>
      </c>
      <c r="CG4" s="250" t="s">
        <v>661</v>
      </c>
      <c r="CH4" s="251" t="s">
        <v>556</v>
      </c>
      <c r="CI4" s="250" t="s">
        <v>557</v>
      </c>
      <c r="CJ4" s="250" t="s">
        <v>495</v>
      </c>
      <c r="CK4" s="250" t="s">
        <v>850</v>
      </c>
      <c r="CL4" s="250" t="s">
        <v>851</v>
      </c>
      <c r="CM4" s="250" t="s">
        <v>852</v>
      </c>
      <c r="CN4" s="250" t="s">
        <v>497</v>
      </c>
      <c r="CO4" s="250" t="s">
        <v>804</v>
      </c>
      <c r="CP4" s="252" t="s">
        <v>499</v>
      </c>
      <c r="CQ4" s="250" t="s">
        <v>596</v>
      </c>
      <c r="CR4" s="250" t="s">
        <v>500</v>
      </c>
      <c r="CS4" s="250" t="s">
        <v>695</v>
      </c>
      <c r="CT4" s="250" t="s">
        <v>501</v>
      </c>
      <c r="CU4" s="250" t="s">
        <v>805</v>
      </c>
      <c r="CV4" s="252" t="s">
        <v>663</v>
      </c>
      <c r="CW4" s="250" t="s">
        <v>543</v>
      </c>
      <c r="CX4" s="250" t="s">
        <v>542</v>
      </c>
      <c r="CY4" s="252" t="s">
        <v>502</v>
      </c>
      <c r="DA4" s="251" t="s">
        <v>269</v>
      </c>
      <c r="DB4" s="250" t="s">
        <v>848</v>
      </c>
      <c r="DC4" s="250" t="s">
        <v>849</v>
      </c>
      <c r="DD4" s="251" t="s">
        <v>578</v>
      </c>
      <c r="DE4" s="250" t="s">
        <v>579</v>
      </c>
      <c r="DF4" s="250" t="s">
        <v>580</v>
      </c>
      <c r="DG4" s="250" t="s">
        <v>74</v>
      </c>
      <c r="DH4" s="250" t="s">
        <v>102</v>
      </c>
      <c r="DI4" s="250" t="s">
        <v>488</v>
      </c>
      <c r="DJ4" s="252" t="s">
        <v>507</v>
      </c>
      <c r="DK4" s="251" t="s">
        <v>643</v>
      </c>
      <c r="DL4" s="250" t="s">
        <v>803</v>
      </c>
      <c r="DM4" s="250" t="s">
        <v>660</v>
      </c>
      <c r="DN4" s="382" t="s">
        <v>490</v>
      </c>
      <c r="DO4" s="383" t="s">
        <v>491</v>
      </c>
      <c r="DP4" s="383" t="s">
        <v>492</v>
      </c>
      <c r="DQ4" s="383" t="s">
        <v>493</v>
      </c>
      <c r="DR4" s="250" t="s">
        <v>641</v>
      </c>
      <c r="DS4" s="250" t="s">
        <v>640</v>
      </c>
      <c r="DT4" s="250" t="s">
        <v>518</v>
      </c>
      <c r="DU4" s="250" t="s">
        <v>657</v>
      </c>
      <c r="DV4" s="250" t="s">
        <v>658</v>
      </c>
      <c r="DW4" s="252" t="s">
        <v>494</v>
      </c>
      <c r="DX4" s="382" t="s">
        <v>398</v>
      </c>
      <c r="DY4" s="383" t="s">
        <v>645</v>
      </c>
      <c r="DZ4" s="250" t="s">
        <v>802</v>
      </c>
      <c r="EA4" s="250" t="s">
        <v>661</v>
      </c>
      <c r="EB4" s="251" t="s">
        <v>556</v>
      </c>
      <c r="EC4" s="250" t="s">
        <v>557</v>
      </c>
      <c r="ED4" s="250" t="s">
        <v>495</v>
      </c>
      <c r="EE4" s="250" t="s">
        <v>850</v>
      </c>
      <c r="EF4" s="250" t="s">
        <v>851</v>
      </c>
      <c r="EG4" s="250" t="s">
        <v>852</v>
      </c>
      <c r="EH4" s="250" t="s">
        <v>497</v>
      </c>
      <c r="EI4" s="250" t="s">
        <v>804</v>
      </c>
      <c r="EJ4" s="252" t="s">
        <v>499</v>
      </c>
      <c r="EK4" s="250" t="s">
        <v>596</v>
      </c>
      <c r="EL4" s="250" t="s">
        <v>500</v>
      </c>
      <c r="EM4" s="250" t="s">
        <v>695</v>
      </c>
      <c r="EN4" s="250" t="s">
        <v>501</v>
      </c>
      <c r="EO4" s="250" t="s">
        <v>805</v>
      </c>
      <c r="EP4" s="252" t="s">
        <v>663</v>
      </c>
      <c r="EQ4" s="250" t="s">
        <v>543</v>
      </c>
      <c r="ER4" s="250" t="s">
        <v>542</v>
      </c>
      <c r="ES4" s="252" t="s">
        <v>502</v>
      </c>
    </row>
    <row r="5" spans="1:149" ht="14.15">
      <c r="A5" s="391"/>
      <c r="B5" s="562"/>
      <c r="C5" s="1227" t="s">
        <v>439</v>
      </c>
      <c r="D5" s="1130" t="s">
        <v>6</v>
      </c>
      <c r="E5" s="1130" t="s">
        <v>6</v>
      </c>
      <c r="F5" s="1227" t="s">
        <v>15</v>
      </c>
      <c r="G5" s="1130" t="s">
        <v>15</v>
      </c>
      <c r="H5" s="1130" t="s">
        <v>35</v>
      </c>
      <c r="I5" s="1130" t="s">
        <v>16</v>
      </c>
      <c r="J5" s="1130" t="s">
        <v>15</v>
      </c>
      <c r="K5" s="1130" t="s">
        <v>103</v>
      </c>
      <c r="L5" s="1130" t="s">
        <v>149</v>
      </c>
      <c r="M5" s="1228" t="s">
        <v>441</v>
      </c>
      <c r="N5" s="1229" t="s">
        <v>440</v>
      </c>
      <c r="O5" s="1230" t="s">
        <v>149</v>
      </c>
      <c r="P5" s="1231" t="s">
        <v>149</v>
      </c>
      <c r="Q5" s="1130" t="s">
        <v>15</v>
      </c>
      <c r="R5" s="1228" t="s">
        <v>441</v>
      </c>
      <c r="S5" s="1228" t="s">
        <v>441</v>
      </c>
      <c r="T5" s="1228" t="s">
        <v>441</v>
      </c>
      <c r="U5" s="1227" t="s">
        <v>16</v>
      </c>
      <c r="V5" s="1255" t="s">
        <v>70</v>
      </c>
      <c r="W5" s="1228" t="s">
        <v>16</v>
      </c>
      <c r="X5" s="1228" t="s">
        <v>16</v>
      </c>
      <c r="Y5" s="1228" t="s">
        <v>15</v>
      </c>
      <c r="Z5" s="1228" t="s">
        <v>15</v>
      </c>
      <c r="AA5" s="1228" t="s">
        <v>149</v>
      </c>
      <c r="AB5" s="1133" t="s">
        <v>15</v>
      </c>
      <c r="AC5" s="1196" t="s">
        <v>441</v>
      </c>
      <c r="AD5" s="1147" t="s">
        <v>1519</v>
      </c>
      <c r="AE5" s="1133" t="s">
        <v>15</v>
      </c>
      <c r="AF5" s="1228" t="s">
        <v>149</v>
      </c>
      <c r="AG5" s="1133" t="s">
        <v>15</v>
      </c>
      <c r="AH5" s="1196" t="s">
        <v>441</v>
      </c>
      <c r="AI5" s="1234" t="s">
        <v>149</v>
      </c>
      <c r="AJ5" s="1228" t="s">
        <v>149</v>
      </c>
      <c r="AK5" s="1130" t="s">
        <v>470</v>
      </c>
      <c r="AL5" s="1130"/>
      <c r="AM5" s="1130"/>
      <c r="AN5" s="1130"/>
      <c r="AO5" s="1130" t="s">
        <v>149</v>
      </c>
      <c r="AP5" s="1130" t="s">
        <v>149</v>
      </c>
      <c r="AQ5" s="1130" t="s">
        <v>149</v>
      </c>
      <c r="AR5" s="1130" t="s">
        <v>15</v>
      </c>
      <c r="AS5" s="1196" t="s">
        <v>441</v>
      </c>
      <c r="AT5" s="1196" t="s">
        <v>441</v>
      </c>
      <c r="AU5" s="1228" t="s">
        <v>49</v>
      </c>
      <c r="AV5" s="1228" t="s">
        <v>15</v>
      </c>
      <c r="AW5" s="1228" t="s">
        <v>58</v>
      </c>
      <c r="AX5" s="1130" t="s">
        <v>149</v>
      </c>
      <c r="AY5" s="1130" t="s">
        <v>15</v>
      </c>
      <c r="AZ5" s="1235" t="s">
        <v>619</v>
      </c>
      <c r="BA5" s="1196" t="s">
        <v>441</v>
      </c>
      <c r="BB5" s="1236" t="s">
        <v>855</v>
      </c>
      <c r="BC5" s="1130" t="s">
        <v>855</v>
      </c>
      <c r="BD5" s="1196" t="s">
        <v>441</v>
      </c>
      <c r="BG5" s="1227" t="s">
        <v>209</v>
      </c>
      <c r="BH5" s="1130" t="s">
        <v>6</v>
      </c>
      <c r="BI5" s="1130" t="s">
        <v>6</v>
      </c>
      <c r="BJ5" s="1227" t="s">
        <v>15</v>
      </c>
      <c r="BK5" s="1130" t="s">
        <v>15</v>
      </c>
      <c r="BL5" s="1130" t="s">
        <v>35</v>
      </c>
      <c r="BM5" s="1130" t="s">
        <v>16</v>
      </c>
      <c r="BN5" s="1130" t="s">
        <v>103</v>
      </c>
      <c r="BO5" s="1130" t="s">
        <v>24</v>
      </c>
      <c r="BP5" s="1229" t="s">
        <v>853</v>
      </c>
      <c r="BQ5" s="1227" t="s">
        <v>24</v>
      </c>
      <c r="BR5" s="1130" t="s">
        <v>15</v>
      </c>
      <c r="BS5" s="1228" t="s">
        <v>134</v>
      </c>
      <c r="BT5" s="1227" t="s">
        <v>16</v>
      </c>
      <c r="BU5" s="1228" t="s">
        <v>16</v>
      </c>
      <c r="BV5" s="1228" t="s">
        <v>70</v>
      </c>
      <c r="BW5" s="1228" t="s">
        <v>16</v>
      </c>
      <c r="BX5" s="1228" t="s">
        <v>24</v>
      </c>
      <c r="BY5" s="1228" t="s">
        <v>24</v>
      </c>
      <c r="BZ5" s="1228" t="s">
        <v>24</v>
      </c>
      <c r="CA5" s="1133" t="s">
        <v>15</v>
      </c>
      <c r="CB5" s="1133" t="s">
        <v>15</v>
      </c>
      <c r="CC5" s="1196" t="s">
        <v>134</v>
      </c>
      <c r="CD5" s="1147" t="s">
        <v>856</v>
      </c>
      <c r="CE5" s="1228" t="s">
        <v>24</v>
      </c>
      <c r="CF5" s="1133" t="s">
        <v>15</v>
      </c>
      <c r="CG5" s="1196" t="s">
        <v>134</v>
      </c>
      <c r="CH5" s="1234" t="s">
        <v>24</v>
      </c>
      <c r="CI5" s="1228" t="s">
        <v>24</v>
      </c>
      <c r="CJ5" s="1130" t="s">
        <v>529</v>
      </c>
      <c r="CK5" s="1130"/>
      <c r="CL5" s="1130"/>
      <c r="CM5" s="1130"/>
      <c r="CN5" s="1130" t="s">
        <v>24</v>
      </c>
      <c r="CO5" s="1130" t="s">
        <v>15</v>
      </c>
      <c r="CP5" s="1196" t="s">
        <v>134</v>
      </c>
      <c r="CQ5" s="1228" t="s">
        <v>49</v>
      </c>
      <c r="CR5" s="1228" t="s">
        <v>15</v>
      </c>
      <c r="CS5" s="1228" t="s">
        <v>58</v>
      </c>
      <c r="CT5" s="1130" t="s">
        <v>24</v>
      </c>
      <c r="CU5" s="1130" t="s">
        <v>15</v>
      </c>
      <c r="CV5" s="1196" t="s">
        <v>134</v>
      </c>
      <c r="CW5" s="1236" t="s">
        <v>855</v>
      </c>
      <c r="CX5" s="1130" t="s">
        <v>855</v>
      </c>
      <c r="CY5" s="1196" t="s">
        <v>134</v>
      </c>
      <c r="DA5" s="1227" t="s">
        <v>209</v>
      </c>
      <c r="DB5" s="1130" t="s">
        <v>6</v>
      </c>
      <c r="DC5" s="1130" t="s">
        <v>6</v>
      </c>
      <c r="DD5" s="1227" t="s">
        <v>15</v>
      </c>
      <c r="DE5" s="1130" t="s">
        <v>15</v>
      </c>
      <c r="DF5" s="1130" t="s">
        <v>35</v>
      </c>
      <c r="DG5" s="1130" t="s">
        <v>16</v>
      </c>
      <c r="DH5" s="1130" t="s">
        <v>103</v>
      </c>
      <c r="DI5" s="1130" t="s">
        <v>24</v>
      </c>
      <c r="DJ5" s="1229" t="s">
        <v>853</v>
      </c>
      <c r="DK5" s="1227" t="s">
        <v>24</v>
      </c>
      <c r="DL5" s="1130" t="s">
        <v>15</v>
      </c>
      <c r="DM5" s="1228" t="s">
        <v>134</v>
      </c>
      <c r="DN5" s="1227" t="s">
        <v>16</v>
      </c>
      <c r="DO5" s="1228" t="s">
        <v>16</v>
      </c>
      <c r="DP5" s="1228" t="s">
        <v>70</v>
      </c>
      <c r="DQ5" s="1228" t="s">
        <v>16</v>
      </c>
      <c r="DR5" s="1228" t="s">
        <v>24</v>
      </c>
      <c r="DS5" s="1228" t="s">
        <v>24</v>
      </c>
      <c r="DT5" s="1228" t="s">
        <v>24</v>
      </c>
      <c r="DU5" s="1133" t="s">
        <v>15</v>
      </c>
      <c r="DV5" s="1133" t="s">
        <v>15</v>
      </c>
      <c r="DW5" s="1196" t="s">
        <v>134</v>
      </c>
      <c r="DX5" s="1147" t="s">
        <v>856</v>
      </c>
      <c r="DY5" s="1228" t="s">
        <v>24</v>
      </c>
      <c r="DZ5" s="1133" t="s">
        <v>15</v>
      </c>
      <c r="EA5" s="1196" t="s">
        <v>134</v>
      </c>
      <c r="EB5" s="1234" t="s">
        <v>24</v>
      </c>
      <c r="EC5" s="1228" t="s">
        <v>24</v>
      </c>
      <c r="ED5" s="1130" t="s">
        <v>529</v>
      </c>
      <c r="EE5" s="1130"/>
      <c r="EF5" s="1130"/>
      <c r="EG5" s="1130"/>
      <c r="EH5" s="1130" t="s">
        <v>24</v>
      </c>
      <c r="EI5" s="1130" t="s">
        <v>15</v>
      </c>
      <c r="EJ5" s="1196" t="s">
        <v>134</v>
      </c>
      <c r="EK5" s="1228" t="s">
        <v>49</v>
      </c>
      <c r="EL5" s="1228" t="s">
        <v>15</v>
      </c>
      <c r="EM5" s="1228" t="s">
        <v>58</v>
      </c>
      <c r="EN5" s="1130" t="s">
        <v>24</v>
      </c>
      <c r="EO5" s="1130" t="s">
        <v>15</v>
      </c>
      <c r="EP5" s="1196" t="s">
        <v>134</v>
      </c>
      <c r="EQ5" s="1236" t="s">
        <v>855</v>
      </c>
      <c r="ER5" s="1130" t="s">
        <v>855</v>
      </c>
      <c r="ES5" s="1196" t="s">
        <v>134</v>
      </c>
    </row>
    <row r="6" spans="1:149">
      <c r="A6" s="656">
        <f>Eingabedaten!A9</f>
        <v>1.01</v>
      </c>
      <c r="B6" s="628" t="str">
        <f>Eingabedaten!C9</f>
        <v>Wohnen MFH</v>
      </c>
      <c r="C6" s="580"/>
      <c r="D6" s="390"/>
      <c r="E6" s="390"/>
      <c r="F6" s="1238"/>
      <c r="G6" s="1129"/>
      <c r="H6" s="1129"/>
      <c r="I6" s="1129"/>
      <c r="J6" s="1129"/>
      <c r="K6" s="1129"/>
      <c r="L6" s="1129"/>
      <c r="M6" s="1129"/>
      <c r="N6" s="1237"/>
      <c r="O6" s="1240">
        <v>5</v>
      </c>
      <c r="P6" s="1131">
        <v>0</v>
      </c>
      <c r="Q6" s="1129">
        <v>2160</v>
      </c>
      <c r="R6" s="1131">
        <v>10.8</v>
      </c>
      <c r="S6" s="1239">
        <v>10.8</v>
      </c>
      <c r="T6" s="1131">
        <v>0</v>
      </c>
      <c r="U6" s="1240"/>
      <c r="V6" s="1240">
        <v>130</v>
      </c>
      <c r="W6" s="1834">
        <v>0.75524475524475521</v>
      </c>
      <c r="X6" s="1239"/>
      <c r="Y6" s="1239">
        <v>2.4000000000000004</v>
      </c>
      <c r="Z6" s="1239">
        <v>2.6278931345379366</v>
      </c>
      <c r="AA6" s="1239">
        <v>1.9097222222222221</v>
      </c>
      <c r="AB6" s="1131">
        <v>578</v>
      </c>
      <c r="AC6" s="1243">
        <v>1.1038194444444445</v>
      </c>
      <c r="AD6" s="1242">
        <v>0.82857142857142863</v>
      </c>
      <c r="AE6" s="1131">
        <v>7540</v>
      </c>
      <c r="AF6" s="1239">
        <v>0.28171428571428575</v>
      </c>
      <c r="AG6" s="1131">
        <v>6440</v>
      </c>
      <c r="AH6" s="1197">
        <v>1.8142400000000003</v>
      </c>
      <c r="AI6" s="1240">
        <v>13.282030612436976</v>
      </c>
      <c r="AJ6" s="1131">
        <v>9.3097222222222218</v>
      </c>
      <c r="AK6" s="1131">
        <v>76.329166666666666</v>
      </c>
      <c r="AL6" s="1131" t="s">
        <v>16</v>
      </c>
      <c r="AM6" s="1131" t="s">
        <v>16</v>
      </c>
      <c r="AN6" s="1131" t="s">
        <v>16</v>
      </c>
      <c r="AO6" s="1131">
        <v>15.814226984261436</v>
      </c>
      <c r="AP6" s="1239">
        <v>14.240663435563025</v>
      </c>
      <c r="AQ6" s="1131">
        <v>14.240663435563025</v>
      </c>
      <c r="AR6" s="1131">
        <v>190</v>
      </c>
      <c r="AS6" s="1243">
        <v>2.7573988470164092</v>
      </c>
      <c r="AT6" s="1197">
        <v>0</v>
      </c>
      <c r="AU6" s="1131">
        <v>8.1352941176470601</v>
      </c>
      <c r="AV6" s="1131">
        <v>295.01084598698475</v>
      </c>
      <c r="AW6" s="1131">
        <v>0</v>
      </c>
      <c r="AX6" s="1239">
        <v>11.59279411764706</v>
      </c>
      <c r="AY6" s="1131">
        <v>890</v>
      </c>
      <c r="AZ6" s="1242">
        <v>0.29601679712981083</v>
      </c>
      <c r="BA6" s="1243">
        <v>10.295092187550507</v>
      </c>
      <c r="BB6" s="1129"/>
      <c r="BC6" s="1131"/>
      <c r="BD6" s="1243">
        <v>16.936000000000003</v>
      </c>
      <c r="BG6" s="580"/>
      <c r="BH6" s="390"/>
      <c r="BI6" s="390"/>
      <c r="BJ6" s="1238"/>
      <c r="BK6" s="1129"/>
      <c r="BL6" s="1129"/>
      <c r="BM6" s="1129"/>
      <c r="BN6" s="1129"/>
      <c r="BO6" s="1129"/>
      <c r="BP6" s="1237"/>
      <c r="BQ6" s="1240">
        <v>4</v>
      </c>
      <c r="BR6" s="1129">
        <v>1780</v>
      </c>
      <c r="BS6" s="1131">
        <v>7.12</v>
      </c>
      <c r="BT6" s="1241"/>
      <c r="BU6" s="1239"/>
      <c r="BV6" s="1131">
        <v>47.3</v>
      </c>
      <c r="BW6" s="1239">
        <v>0.75524475524475521</v>
      </c>
      <c r="BX6" s="1239">
        <v>1.7495693367786394</v>
      </c>
      <c r="BY6" s="1239">
        <v>0</v>
      </c>
      <c r="BZ6" s="1239">
        <v>1.7495693367786394</v>
      </c>
      <c r="CA6" s="1131">
        <v>1110</v>
      </c>
      <c r="CB6" s="1131">
        <v>0</v>
      </c>
      <c r="CC6" s="1197">
        <v>1.9420219638242897</v>
      </c>
      <c r="CD6" s="1239">
        <v>1</v>
      </c>
      <c r="CE6" s="1239">
        <v>0.16600000000000001</v>
      </c>
      <c r="CF6" s="1131">
        <v>4620</v>
      </c>
      <c r="CG6" s="1197">
        <v>0.76692000000000005</v>
      </c>
      <c r="CH6" s="1240">
        <v>11.77729411764706</v>
      </c>
      <c r="CI6" s="1131">
        <v>8.0495693367786387</v>
      </c>
      <c r="CJ6" s="1131">
        <v>58.351182543029324</v>
      </c>
      <c r="CK6" s="1131" t="s">
        <v>16</v>
      </c>
      <c r="CL6" s="1131" t="s">
        <v>16</v>
      </c>
      <c r="CM6" s="1131" t="s">
        <v>16</v>
      </c>
      <c r="CN6" s="1131">
        <v>10</v>
      </c>
      <c r="CO6" s="1131">
        <v>650</v>
      </c>
      <c r="CP6" s="1197">
        <v>6.5095000000000001</v>
      </c>
      <c r="CQ6" s="1131">
        <v>9.2929411764705883</v>
      </c>
      <c r="CR6" s="1131">
        <v>258.26053930877328</v>
      </c>
      <c r="CS6" s="1131">
        <v>0</v>
      </c>
      <c r="CT6" s="1131">
        <v>13.474764705882354</v>
      </c>
      <c r="CU6" s="1131">
        <v>840</v>
      </c>
      <c r="CV6" s="1197">
        <v>11.353114710777263</v>
      </c>
      <c r="CW6" s="1129"/>
      <c r="CX6" s="1131"/>
      <c r="CY6" s="1197">
        <v>19.75866666666667</v>
      </c>
      <c r="DA6" s="580">
        <f t="shared" ref="DA6:DA50" si="0">C6-BG6</f>
        <v>0</v>
      </c>
      <c r="DB6" s="390">
        <f t="shared" ref="DB6:DB50" si="1">D6-BH6</f>
        <v>0</v>
      </c>
      <c r="DC6" s="390">
        <f t="shared" ref="DC6:DC50" si="2">E6-BI6</f>
        <v>0</v>
      </c>
      <c r="DD6" s="1238">
        <f t="shared" ref="DD6:DD50" si="3">F6-BJ6</f>
        <v>0</v>
      </c>
      <c r="DE6" s="1129">
        <f t="shared" ref="DE6:DE50" si="4">G6-BK6</f>
        <v>0</v>
      </c>
      <c r="DF6" s="1129">
        <f t="shared" ref="DF6:DF50" si="5">H6-BL6</f>
        <v>0</v>
      </c>
      <c r="DG6" s="1129">
        <f t="shared" ref="DG6:DG50" si="6">I6-BM6</f>
        <v>0</v>
      </c>
      <c r="DH6" s="1129">
        <f t="shared" ref="DH6:DH50" si="7">K6-BN6</f>
        <v>0</v>
      </c>
      <c r="DI6" s="1129">
        <f t="shared" ref="DI6:DI50" si="8">L6-BO6</f>
        <v>0</v>
      </c>
      <c r="DJ6" s="1237">
        <f t="shared" ref="DJ6:DJ50" si="9">N6-BP6</f>
        <v>0</v>
      </c>
      <c r="DK6" s="1240">
        <f t="shared" ref="DK6:DK50" si="10">O6-BQ6</f>
        <v>1</v>
      </c>
      <c r="DL6" s="1129">
        <f t="shared" ref="DL6:DL50" si="11">Q6-BR6</f>
        <v>380</v>
      </c>
      <c r="DM6" s="1131">
        <f t="shared" ref="DM6:DM50" si="12">S6-BS6</f>
        <v>3.6800000000000006</v>
      </c>
      <c r="DN6" s="1241">
        <f t="shared" ref="DN6:DN50" si="13">U6-BT6</f>
        <v>0</v>
      </c>
      <c r="DO6" s="1239">
        <f t="shared" ref="DO6:DO50" si="14">V6-BU6</f>
        <v>130</v>
      </c>
      <c r="DP6" s="1131">
        <f t="shared" ref="DP6:DP50" si="15">W6-BV6</f>
        <v>-46.544755244755244</v>
      </c>
      <c r="DQ6" s="1239">
        <f t="shared" ref="DQ6:DQ50" si="16">X6-BW6</f>
        <v>-0.75524475524475521</v>
      </c>
      <c r="DR6" s="1239">
        <f t="shared" ref="DR6:DR50" si="17">Y6-BX6</f>
        <v>0.65043066322136101</v>
      </c>
      <c r="DS6" s="1239">
        <f t="shared" ref="DS6:DS50" si="18">Z6-BY6</f>
        <v>2.6278931345379366</v>
      </c>
      <c r="DT6" s="1239">
        <f t="shared" ref="DT6:DT50" si="19">AA6-BZ6</f>
        <v>0.16015288544358275</v>
      </c>
      <c r="DU6" s="1131">
        <f t="shared" ref="DU6:DU50" si="20">AB6-CA6</f>
        <v>-532</v>
      </c>
      <c r="DV6" s="1131" t="e">
        <f>#REF!-CB6</f>
        <v>#REF!</v>
      </c>
      <c r="DW6" s="1197">
        <f t="shared" ref="DW6:DW50" si="21">AC6-CC6</f>
        <v>-0.83820251937984525</v>
      </c>
      <c r="DX6" s="1239">
        <f t="shared" ref="DX6:DX50" si="22">AD6-CD6</f>
        <v>-0.17142857142857137</v>
      </c>
      <c r="DY6" s="1239">
        <f t="shared" ref="DY6:DY50" si="23">AF6-CE6</f>
        <v>0.11571428571428574</v>
      </c>
      <c r="DZ6" s="1131">
        <f t="shared" ref="DZ6:DZ50" si="24">AG6-CF6</f>
        <v>1820</v>
      </c>
      <c r="EA6" s="1197">
        <f t="shared" ref="EA6:EA50" si="25">AH6-CG6</f>
        <v>1.0473200000000003</v>
      </c>
      <c r="EB6" s="1240">
        <f t="shared" ref="EB6:EB50" si="26">AI6-CH6</f>
        <v>1.5047364947899169</v>
      </c>
      <c r="EC6" s="1131">
        <f t="shared" ref="EC6:EC50" si="27">AJ6-CI6</f>
        <v>1.2601528854435831</v>
      </c>
      <c r="ED6" s="1131">
        <f t="shared" ref="ED6:ED50" si="28">AK6-CJ6</f>
        <v>17.977984123637341</v>
      </c>
      <c r="EE6" s="1131" t="e">
        <f t="shared" ref="EE6:EE50" si="29">AL6-CK6</f>
        <v>#VALUE!</v>
      </c>
      <c r="EF6" s="1131" t="e">
        <f t="shared" ref="EF6:EF50" si="30">AM6-CL6</f>
        <v>#VALUE!</v>
      </c>
      <c r="EG6" s="1131" t="e">
        <f t="shared" ref="EG6:EG50" si="31">AN6-CM6</f>
        <v>#VALUE!</v>
      </c>
      <c r="EH6" s="1131">
        <f t="shared" ref="EH6:EH50" si="32">AQ6-CN6</f>
        <v>4.2406634355630253</v>
      </c>
      <c r="EI6" s="1131">
        <f t="shared" ref="EI6:EI50" si="33">AR6-CO6</f>
        <v>-460</v>
      </c>
      <c r="EJ6" s="1197">
        <f t="shared" ref="EJ6:EJ50" si="34">AT6-CP6</f>
        <v>-6.5095000000000001</v>
      </c>
      <c r="EK6" s="1131">
        <f t="shared" ref="EK6:EK50" si="35">AU6-CQ6</f>
        <v>-1.1576470588235281</v>
      </c>
      <c r="EL6" s="1131">
        <f t="shared" ref="EL6:EL50" si="36">AV6-CR6</f>
        <v>36.750306678211473</v>
      </c>
      <c r="EM6" s="1131">
        <f t="shared" ref="EM6:EM50" si="37">AW6-CS6</f>
        <v>0</v>
      </c>
      <c r="EN6" s="1131">
        <f t="shared" ref="EN6:EO10" si="38">AX6-CT6</f>
        <v>-1.8819705882352942</v>
      </c>
      <c r="EO6" s="1131">
        <f t="shared" si="38"/>
        <v>50</v>
      </c>
      <c r="EP6" s="1197">
        <f t="shared" ref="EP6:ES10" si="39">BA6-CV6</f>
        <v>-1.0580225232267555</v>
      </c>
      <c r="EQ6" s="1129">
        <f t="shared" si="39"/>
        <v>0</v>
      </c>
      <c r="ER6" s="1131">
        <f t="shared" si="39"/>
        <v>0</v>
      </c>
      <c r="ES6" s="1197">
        <f t="shared" si="39"/>
        <v>-2.8226666666666667</v>
      </c>
    </row>
    <row r="7" spans="1:149">
      <c r="A7" s="656">
        <f>Eingabedaten!A10</f>
        <v>1.02</v>
      </c>
      <c r="B7" s="628" t="str">
        <f>Eingabedaten!C10</f>
        <v>Wohnen EFH</v>
      </c>
      <c r="C7" s="580"/>
      <c r="D7" s="390"/>
      <c r="E7" s="390"/>
      <c r="F7" s="1238"/>
      <c r="G7" s="1129"/>
      <c r="H7" s="1129"/>
      <c r="I7" s="1129"/>
      <c r="J7" s="1129"/>
      <c r="K7" s="1129"/>
      <c r="L7" s="1129"/>
      <c r="M7" s="1129"/>
      <c r="N7" s="1237"/>
      <c r="O7" s="1240">
        <v>5</v>
      </c>
      <c r="P7" s="1131">
        <v>0</v>
      </c>
      <c r="Q7" s="1129">
        <v>1780</v>
      </c>
      <c r="R7" s="1131">
        <v>8.9</v>
      </c>
      <c r="S7" s="1239">
        <v>8.9</v>
      </c>
      <c r="T7" s="1131">
        <v>0</v>
      </c>
      <c r="U7" s="1240"/>
      <c r="V7" s="1240">
        <v>130</v>
      </c>
      <c r="W7" s="1834">
        <v>0.75524475524475521</v>
      </c>
      <c r="X7" s="1239"/>
      <c r="Y7" s="1239">
        <v>2.4000000000000004</v>
      </c>
      <c r="Z7" s="1239">
        <v>2.6278931345379366</v>
      </c>
      <c r="AA7" s="1239">
        <v>1.9097222222222221</v>
      </c>
      <c r="AB7" s="1131">
        <v>578</v>
      </c>
      <c r="AC7" s="1243">
        <v>1.1038194444444445</v>
      </c>
      <c r="AD7" s="1242">
        <v>0.57999999999999996</v>
      </c>
      <c r="AE7" s="1131">
        <v>7540</v>
      </c>
      <c r="AF7" s="1239">
        <v>0.12933999999999998</v>
      </c>
      <c r="AG7" s="1131">
        <v>6440</v>
      </c>
      <c r="AH7" s="1197">
        <v>0.83294959999999996</v>
      </c>
      <c r="AI7" s="1240">
        <v>13.600233193411766</v>
      </c>
      <c r="AJ7" s="1131">
        <v>8.5897222222222211</v>
      </c>
      <c r="AK7" s="1131">
        <v>59.749166666666667</v>
      </c>
      <c r="AL7" s="1131" t="s">
        <v>16</v>
      </c>
      <c r="AM7" s="1131" t="s">
        <v>16</v>
      </c>
      <c r="AN7" s="1131" t="s">
        <v>16</v>
      </c>
      <c r="AO7" s="1131">
        <v>15.532968790943791</v>
      </c>
      <c r="AP7" s="1239">
        <v>14.053562640188236</v>
      </c>
      <c r="AQ7" s="1131">
        <v>14.053562640188236</v>
      </c>
      <c r="AR7" s="1131">
        <v>70</v>
      </c>
      <c r="AS7" s="1243">
        <v>1.0097607654588956</v>
      </c>
      <c r="AT7" s="1197">
        <v>0</v>
      </c>
      <c r="AU7" s="1131">
        <v>9.4294117647058844</v>
      </c>
      <c r="AV7" s="1131">
        <v>254.52276980661256</v>
      </c>
      <c r="AW7" s="1131">
        <v>0</v>
      </c>
      <c r="AX7" s="1239">
        <v>13.436911764705886</v>
      </c>
      <c r="AY7" s="1131">
        <v>1180</v>
      </c>
      <c r="AZ7" s="1242">
        <v>0.24252853881278535</v>
      </c>
      <c r="BA7" s="1243">
        <v>15.880890965221152</v>
      </c>
      <c r="BB7" s="1129"/>
      <c r="BC7" s="1131"/>
      <c r="BD7" s="1243">
        <v>13.548800000000002</v>
      </c>
      <c r="BG7" s="580"/>
      <c r="BH7" s="390"/>
      <c r="BI7" s="390"/>
      <c r="BJ7" s="1238"/>
      <c r="BK7" s="1129"/>
      <c r="BL7" s="1129"/>
      <c r="BM7" s="1129"/>
      <c r="BN7" s="1129"/>
      <c r="BO7" s="1129"/>
      <c r="BP7" s="1237"/>
      <c r="BQ7" s="1240">
        <v>4</v>
      </c>
      <c r="BR7" s="1129">
        <v>1780</v>
      </c>
      <c r="BS7" s="1131">
        <v>7.12</v>
      </c>
      <c r="BT7" s="1241"/>
      <c r="BU7" s="1239"/>
      <c r="BV7" s="1131">
        <v>47.3</v>
      </c>
      <c r="BW7" s="1239">
        <v>0.75524475524475521</v>
      </c>
      <c r="BX7" s="1239">
        <v>1.7495693367786394</v>
      </c>
      <c r="BY7" s="1239">
        <v>0</v>
      </c>
      <c r="BZ7" s="1239">
        <v>1.7495693367786394</v>
      </c>
      <c r="CA7" s="1131">
        <v>1110</v>
      </c>
      <c r="CB7" s="1131">
        <v>0</v>
      </c>
      <c r="CC7" s="1197">
        <v>1.9420219638242897</v>
      </c>
      <c r="CD7" s="1239">
        <v>0.6</v>
      </c>
      <c r="CE7" s="1239">
        <v>9.9600000000000008E-2</v>
      </c>
      <c r="CF7" s="1131">
        <v>4620</v>
      </c>
      <c r="CG7" s="1197">
        <v>0.46015200000000006</v>
      </c>
      <c r="CH7" s="1240">
        <v>12.011929411764708</v>
      </c>
      <c r="CI7" s="1131">
        <v>7.1495693367786401</v>
      </c>
      <c r="CJ7" s="1131">
        <v>45.751182543029323</v>
      </c>
      <c r="CK7" s="1131" t="s">
        <v>16</v>
      </c>
      <c r="CL7" s="1131" t="s">
        <v>16</v>
      </c>
      <c r="CM7" s="1131" t="s">
        <v>16</v>
      </c>
      <c r="CN7" s="1131">
        <v>9</v>
      </c>
      <c r="CO7" s="1131">
        <v>600</v>
      </c>
      <c r="CP7" s="1197">
        <v>5.4065000000000003</v>
      </c>
      <c r="CQ7" s="1131">
        <v>10.075058823529412</v>
      </c>
      <c r="CR7" s="1131">
        <v>238.21200868773207</v>
      </c>
      <c r="CS7" s="1131">
        <v>0</v>
      </c>
      <c r="CT7" s="1131">
        <v>14.608835294117648</v>
      </c>
      <c r="CU7" s="1131">
        <v>1190</v>
      </c>
      <c r="CV7" s="1197">
        <v>17.343836700394448</v>
      </c>
      <c r="CW7" s="1129"/>
      <c r="CX7" s="1131"/>
      <c r="CY7" s="1197">
        <v>13.548800000000002</v>
      </c>
      <c r="DA7" s="580">
        <f t="shared" si="0"/>
        <v>0</v>
      </c>
      <c r="DB7" s="390">
        <f t="shared" si="1"/>
        <v>0</v>
      </c>
      <c r="DC7" s="390">
        <f t="shared" si="2"/>
        <v>0</v>
      </c>
      <c r="DD7" s="1238">
        <f t="shared" si="3"/>
        <v>0</v>
      </c>
      <c r="DE7" s="1129">
        <f t="shared" si="4"/>
        <v>0</v>
      </c>
      <c r="DF7" s="1129">
        <f t="shared" si="5"/>
        <v>0</v>
      </c>
      <c r="DG7" s="1129">
        <f t="shared" si="6"/>
        <v>0</v>
      </c>
      <c r="DH7" s="1129">
        <f t="shared" si="7"/>
        <v>0</v>
      </c>
      <c r="DI7" s="1129">
        <f t="shared" si="8"/>
        <v>0</v>
      </c>
      <c r="DJ7" s="1237">
        <f t="shared" si="9"/>
        <v>0</v>
      </c>
      <c r="DK7" s="1240">
        <f t="shared" si="10"/>
        <v>1</v>
      </c>
      <c r="DL7" s="1129">
        <f t="shared" si="11"/>
        <v>0</v>
      </c>
      <c r="DM7" s="1131">
        <f t="shared" si="12"/>
        <v>1.7800000000000002</v>
      </c>
      <c r="DN7" s="1241">
        <f t="shared" si="13"/>
        <v>0</v>
      </c>
      <c r="DO7" s="1239">
        <f t="shared" si="14"/>
        <v>130</v>
      </c>
      <c r="DP7" s="1131">
        <f t="shared" si="15"/>
        <v>-46.544755244755244</v>
      </c>
      <c r="DQ7" s="1239">
        <f t="shared" si="16"/>
        <v>-0.75524475524475521</v>
      </c>
      <c r="DR7" s="1239">
        <f t="shared" si="17"/>
        <v>0.65043066322136101</v>
      </c>
      <c r="DS7" s="1239">
        <f t="shared" si="18"/>
        <v>2.6278931345379366</v>
      </c>
      <c r="DT7" s="1239">
        <f t="shared" si="19"/>
        <v>0.16015288544358275</v>
      </c>
      <c r="DU7" s="1131">
        <f t="shared" si="20"/>
        <v>-532</v>
      </c>
      <c r="DV7" s="1131" t="e">
        <f>#REF!-CB7</f>
        <v>#REF!</v>
      </c>
      <c r="DW7" s="1197">
        <f t="shared" si="21"/>
        <v>-0.83820251937984525</v>
      </c>
      <c r="DX7" s="1239">
        <f t="shared" si="22"/>
        <v>-2.0000000000000018E-2</v>
      </c>
      <c r="DY7" s="1239">
        <f t="shared" si="23"/>
        <v>2.9739999999999975E-2</v>
      </c>
      <c r="DZ7" s="1131">
        <f t="shared" si="24"/>
        <v>1820</v>
      </c>
      <c r="EA7" s="1197">
        <f t="shared" si="25"/>
        <v>0.3727975999999999</v>
      </c>
      <c r="EB7" s="1240">
        <f t="shared" si="26"/>
        <v>1.588303781647058</v>
      </c>
      <c r="EC7" s="1131">
        <f t="shared" si="27"/>
        <v>1.440152885443581</v>
      </c>
      <c r="ED7" s="1131">
        <f t="shared" si="28"/>
        <v>13.997984123637345</v>
      </c>
      <c r="EE7" s="1131" t="e">
        <f t="shared" si="29"/>
        <v>#VALUE!</v>
      </c>
      <c r="EF7" s="1131" t="e">
        <f t="shared" si="30"/>
        <v>#VALUE!</v>
      </c>
      <c r="EG7" s="1131" t="e">
        <f t="shared" si="31"/>
        <v>#VALUE!</v>
      </c>
      <c r="EH7" s="1131">
        <f t="shared" si="32"/>
        <v>5.0535626401882361</v>
      </c>
      <c r="EI7" s="1131">
        <f t="shared" si="33"/>
        <v>-530</v>
      </c>
      <c r="EJ7" s="1197">
        <f t="shared" si="34"/>
        <v>-5.4065000000000003</v>
      </c>
      <c r="EK7" s="1131">
        <f t="shared" si="35"/>
        <v>-0.64564705882352769</v>
      </c>
      <c r="EL7" s="1131">
        <f t="shared" si="36"/>
        <v>16.310761118880492</v>
      </c>
      <c r="EM7" s="1131">
        <f t="shared" si="37"/>
        <v>0</v>
      </c>
      <c r="EN7" s="1131">
        <f t="shared" si="38"/>
        <v>-1.171923529411762</v>
      </c>
      <c r="EO7" s="1131">
        <f t="shared" si="38"/>
        <v>-10</v>
      </c>
      <c r="EP7" s="1197">
        <f t="shared" si="39"/>
        <v>-1.462945735173296</v>
      </c>
      <c r="EQ7" s="1129">
        <f t="shared" si="39"/>
        <v>0</v>
      </c>
      <c r="ER7" s="1131">
        <f t="shared" si="39"/>
        <v>0</v>
      </c>
      <c r="ES7" s="1197">
        <f t="shared" si="39"/>
        <v>0</v>
      </c>
    </row>
    <row r="8" spans="1:149">
      <c r="A8" s="1299">
        <f>Eingabedaten!A11</f>
        <v>2.0099999999999998</v>
      </c>
      <c r="B8" s="566" t="str">
        <f>Eingabedaten!C11</f>
        <v xml:space="preserve">Hotelzimmer </v>
      </c>
      <c r="C8" s="568"/>
      <c r="D8" s="384"/>
      <c r="E8" s="384"/>
      <c r="F8" s="1247"/>
      <c r="G8" s="1248"/>
      <c r="H8" s="1248"/>
      <c r="I8" s="1248"/>
      <c r="J8" s="1248"/>
      <c r="K8" s="1248"/>
      <c r="L8" s="1248"/>
      <c r="M8" s="1248"/>
      <c r="N8" s="1250"/>
      <c r="O8" s="1251">
        <v>6</v>
      </c>
      <c r="P8" s="1132">
        <v>0</v>
      </c>
      <c r="Q8" s="1248">
        <v>1840</v>
      </c>
      <c r="R8" s="1132">
        <v>11.04</v>
      </c>
      <c r="S8" s="1249">
        <v>11.04</v>
      </c>
      <c r="T8" s="1132">
        <v>0</v>
      </c>
      <c r="U8" s="1251"/>
      <c r="V8" s="1251">
        <v>130</v>
      </c>
      <c r="W8" s="1835">
        <v>0.75524475524475521</v>
      </c>
      <c r="X8" s="1249"/>
      <c r="Y8" s="1249">
        <v>2.4000000000000004</v>
      </c>
      <c r="Z8" s="1249">
        <v>4.4887430127405832</v>
      </c>
      <c r="AA8" s="1249">
        <v>3.8194444444444442</v>
      </c>
      <c r="AB8" s="1132">
        <v>540</v>
      </c>
      <c r="AC8" s="1254">
        <v>2.0625</v>
      </c>
      <c r="AD8" s="1253">
        <v>1.9333333333333333</v>
      </c>
      <c r="AE8" s="1132">
        <v>6330</v>
      </c>
      <c r="AF8" s="1249">
        <v>0.65733333333333344</v>
      </c>
      <c r="AG8" s="1132">
        <v>5440</v>
      </c>
      <c r="AH8" s="1198">
        <v>3.575893333333334</v>
      </c>
      <c r="AI8" s="1251">
        <v>13.593287115294119</v>
      </c>
      <c r="AJ8" s="1132">
        <v>15.419444444444444</v>
      </c>
      <c r="AK8" s="1132">
        <v>122.97833333333332</v>
      </c>
      <c r="AL8" s="1132" t="s">
        <v>1317</v>
      </c>
      <c r="AM8" s="1132" t="s">
        <v>527</v>
      </c>
      <c r="AN8" s="1132" t="s">
        <v>528</v>
      </c>
      <c r="AO8" s="1132">
        <v>20.308912091816993</v>
      </c>
      <c r="AP8" s="1249">
        <v>14.746732330039215</v>
      </c>
      <c r="AQ8" s="1132">
        <v>14.746732330039215</v>
      </c>
      <c r="AR8" s="1132">
        <v>280</v>
      </c>
      <c r="AS8" s="1254">
        <v>4.0834655005850102</v>
      </c>
      <c r="AT8" s="1198">
        <v>0</v>
      </c>
      <c r="AU8" s="1132">
        <v>8.1352941176470601</v>
      </c>
      <c r="AV8" s="1132">
        <v>295.01084598698475</v>
      </c>
      <c r="AW8" s="1132">
        <v>0</v>
      </c>
      <c r="AX8" s="1249">
        <v>11.59279411764706</v>
      </c>
      <c r="AY8" s="1132">
        <v>900</v>
      </c>
      <c r="AZ8" s="1253">
        <v>0.47216038812785388</v>
      </c>
      <c r="BA8" s="1254">
        <v>10.473669295744653</v>
      </c>
      <c r="BB8" s="1248"/>
      <c r="BC8" s="1132"/>
      <c r="BD8" s="1254">
        <v>39.517333333333333</v>
      </c>
      <c r="BG8" s="568"/>
      <c r="BH8" s="384"/>
      <c r="BI8" s="384"/>
      <c r="BJ8" s="1247"/>
      <c r="BK8" s="1248"/>
      <c r="BL8" s="1248"/>
      <c r="BM8" s="1248"/>
      <c r="BN8" s="1248"/>
      <c r="BO8" s="1248"/>
      <c r="BP8" s="1250"/>
      <c r="BQ8" s="1251">
        <v>4</v>
      </c>
      <c r="BR8" s="1248">
        <v>1530</v>
      </c>
      <c r="BS8" s="1132">
        <v>6.12</v>
      </c>
      <c r="BT8" s="1252"/>
      <c r="BU8" s="1249"/>
      <c r="BV8" s="1132">
        <v>47.3</v>
      </c>
      <c r="BW8" s="1249">
        <v>0.75524475524475521</v>
      </c>
      <c r="BX8" s="1249">
        <v>1.7495693367786394</v>
      </c>
      <c r="BY8" s="1249">
        <v>0</v>
      </c>
      <c r="BZ8" s="1249">
        <v>1.7495693367786394</v>
      </c>
      <c r="CA8" s="1132">
        <v>920</v>
      </c>
      <c r="CB8" s="1132">
        <v>0</v>
      </c>
      <c r="CC8" s="1198">
        <v>1.6096037898363482</v>
      </c>
      <c r="CD8" s="1249">
        <v>2.4</v>
      </c>
      <c r="CE8" s="1249">
        <v>0.81600000000000006</v>
      </c>
      <c r="CF8" s="1132">
        <v>3440</v>
      </c>
      <c r="CG8" s="1198">
        <v>2.8070400000000002</v>
      </c>
      <c r="CH8" s="1251">
        <v>12.314894117647059</v>
      </c>
      <c r="CI8" s="1132">
        <v>10.449569336778639</v>
      </c>
      <c r="CJ8" s="1132">
        <v>83.090913675320891</v>
      </c>
      <c r="CK8" s="1132" t="s">
        <v>574</v>
      </c>
      <c r="CL8" s="1132" t="s">
        <v>574</v>
      </c>
      <c r="CM8" s="1132" t="s">
        <v>527</v>
      </c>
      <c r="CN8" s="1132">
        <v>10</v>
      </c>
      <c r="CO8" s="1132">
        <v>730</v>
      </c>
      <c r="CP8" s="1198">
        <v>7.2725</v>
      </c>
      <c r="CQ8" s="1132">
        <v>11.084941176470588</v>
      </c>
      <c r="CR8" s="1132">
        <v>216.50994459892596</v>
      </c>
      <c r="CS8" s="1132">
        <v>0</v>
      </c>
      <c r="CT8" s="1132">
        <v>16.073164705882355</v>
      </c>
      <c r="CU8" s="1132">
        <v>660</v>
      </c>
      <c r="CV8" s="1198">
        <v>10.56702851190556</v>
      </c>
      <c r="CW8" s="1248"/>
      <c r="CX8" s="1132"/>
      <c r="CY8" s="1198">
        <v>39.517333333333333</v>
      </c>
      <c r="DA8" s="568">
        <f t="shared" si="0"/>
        <v>0</v>
      </c>
      <c r="DB8" s="384">
        <f t="shared" si="1"/>
        <v>0</v>
      </c>
      <c r="DC8" s="384">
        <f t="shared" si="2"/>
        <v>0</v>
      </c>
      <c r="DD8" s="1247">
        <f t="shared" si="3"/>
        <v>0</v>
      </c>
      <c r="DE8" s="1248">
        <f t="shared" si="4"/>
        <v>0</v>
      </c>
      <c r="DF8" s="1248">
        <f t="shared" si="5"/>
        <v>0</v>
      </c>
      <c r="DG8" s="1248">
        <f t="shared" si="6"/>
        <v>0</v>
      </c>
      <c r="DH8" s="1248">
        <f t="shared" si="7"/>
        <v>0</v>
      </c>
      <c r="DI8" s="1248">
        <f t="shared" si="8"/>
        <v>0</v>
      </c>
      <c r="DJ8" s="1250">
        <f t="shared" si="9"/>
        <v>0</v>
      </c>
      <c r="DK8" s="1251">
        <f t="shared" si="10"/>
        <v>2</v>
      </c>
      <c r="DL8" s="1248">
        <f t="shared" si="11"/>
        <v>310</v>
      </c>
      <c r="DM8" s="1132">
        <f t="shared" si="12"/>
        <v>4.919999999999999</v>
      </c>
      <c r="DN8" s="1252">
        <f t="shared" si="13"/>
        <v>0</v>
      </c>
      <c r="DO8" s="1249">
        <f t="shared" si="14"/>
        <v>130</v>
      </c>
      <c r="DP8" s="1132">
        <f t="shared" si="15"/>
        <v>-46.544755244755244</v>
      </c>
      <c r="DQ8" s="1249">
        <f t="shared" si="16"/>
        <v>-0.75524475524475521</v>
      </c>
      <c r="DR8" s="1249">
        <f t="shared" si="17"/>
        <v>0.65043066322136101</v>
      </c>
      <c r="DS8" s="1249">
        <f t="shared" si="18"/>
        <v>4.4887430127405832</v>
      </c>
      <c r="DT8" s="1249">
        <f t="shared" si="19"/>
        <v>2.0698751076658048</v>
      </c>
      <c r="DU8" s="1132">
        <f t="shared" si="20"/>
        <v>-380</v>
      </c>
      <c r="DV8" s="1132" t="e">
        <f>#REF!-CB8</f>
        <v>#REF!</v>
      </c>
      <c r="DW8" s="1198">
        <f t="shared" si="21"/>
        <v>0.45289621016365178</v>
      </c>
      <c r="DX8" s="1249">
        <f t="shared" si="22"/>
        <v>-0.46666666666666656</v>
      </c>
      <c r="DY8" s="1249">
        <f t="shared" si="23"/>
        <v>-0.15866666666666662</v>
      </c>
      <c r="DZ8" s="1132">
        <f t="shared" si="24"/>
        <v>2000</v>
      </c>
      <c r="EA8" s="1198">
        <f t="shared" si="25"/>
        <v>0.76885333333333383</v>
      </c>
      <c r="EB8" s="1251">
        <f t="shared" si="26"/>
        <v>1.2783929976470603</v>
      </c>
      <c r="EC8" s="1132">
        <f t="shared" si="27"/>
        <v>4.9698751076658052</v>
      </c>
      <c r="ED8" s="1132">
        <f t="shared" si="28"/>
        <v>39.887419658012433</v>
      </c>
      <c r="EE8" s="1132" t="e">
        <f t="shared" si="29"/>
        <v>#VALUE!</v>
      </c>
      <c r="EF8" s="1132" t="e">
        <f t="shared" si="30"/>
        <v>#VALUE!</v>
      </c>
      <c r="EG8" s="1132" t="e">
        <f t="shared" si="31"/>
        <v>#VALUE!</v>
      </c>
      <c r="EH8" s="1132">
        <f t="shared" si="32"/>
        <v>4.7467323300392152</v>
      </c>
      <c r="EI8" s="1132">
        <f t="shared" si="33"/>
        <v>-450</v>
      </c>
      <c r="EJ8" s="1198">
        <f t="shared" si="34"/>
        <v>-7.2725</v>
      </c>
      <c r="EK8" s="1132">
        <f t="shared" si="35"/>
        <v>-2.949647058823528</v>
      </c>
      <c r="EL8" s="1132">
        <f t="shared" si="36"/>
        <v>78.500901388058793</v>
      </c>
      <c r="EM8" s="1132">
        <f t="shared" si="37"/>
        <v>0</v>
      </c>
      <c r="EN8" s="1132">
        <f t="shared" si="38"/>
        <v>-4.4803705882352958</v>
      </c>
      <c r="EO8" s="1132">
        <f t="shared" si="38"/>
        <v>240</v>
      </c>
      <c r="EP8" s="1198">
        <f t="shared" si="39"/>
        <v>-9.3359216160907366E-2</v>
      </c>
      <c r="EQ8" s="1248">
        <f t="shared" si="39"/>
        <v>0</v>
      </c>
      <c r="ER8" s="1132">
        <f t="shared" si="39"/>
        <v>0</v>
      </c>
      <c r="ES8" s="1198">
        <f t="shared" si="39"/>
        <v>0</v>
      </c>
    </row>
    <row r="9" spans="1:149">
      <c r="A9" s="1300">
        <f>Eingabedaten!A12</f>
        <v>2.02</v>
      </c>
      <c r="B9" s="572" t="str">
        <f>Eingabedaten!C12</f>
        <v>Empfang, Lobby</v>
      </c>
      <c r="C9" s="574"/>
      <c r="D9" s="385"/>
      <c r="E9" s="385"/>
      <c r="F9" s="1227"/>
      <c r="G9" s="1130"/>
      <c r="H9" s="1130"/>
      <c r="I9" s="1130"/>
      <c r="J9" s="1130"/>
      <c r="K9" s="1130"/>
      <c r="L9" s="1130"/>
      <c r="M9" s="1130"/>
      <c r="N9" s="1229"/>
      <c r="O9" s="1255">
        <v>3</v>
      </c>
      <c r="P9" s="1133">
        <v>0</v>
      </c>
      <c r="Q9" s="1130">
        <v>2990</v>
      </c>
      <c r="R9" s="1133">
        <v>8.9700000000000006</v>
      </c>
      <c r="S9" s="1228">
        <v>8.9700000000000006</v>
      </c>
      <c r="T9" s="1133">
        <v>0</v>
      </c>
      <c r="U9" s="1255"/>
      <c r="V9" s="1255">
        <v>130</v>
      </c>
      <c r="W9" s="1836">
        <v>0.87567567567567584</v>
      </c>
      <c r="X9" s="1228"/>
      <c r="Y9" s="1228">
        <v>2</v>
      </c>
      <c r="Z9" s="1228">
        <v>3.3523220403987515</v>
      </c>
      <c r="AA9" s="1228">
        <v>3.2941595441595437</v>
      </c>
      <c r="AB9" s="1133">
        <v>3156</v>
      </c>
      <c r="AC9" s="1196">
        <v>10.396367521367521</v>
      </c>
      <c r="AD9" s="1257">
        <v>5.8</v>
      </c>
      <c r="AE9" s="1133">
        <v>4650</v>
      </c>
      <c r="AF9" s="1228">
        <v>1.972</v>
      </c>
      <c r="AG9" s="1133">
        <v>3690</v>
      </c>
      <c r="AH9" s="1199">
        <v>7.2766800000000007</v>
      </c>
      <c r="AI9" s="1255">
        <v>16.39109019607843</v>
      </c>
      <c r="AJ9" s="1133">
        <v>23.094159544159545</v>
      </c>
      <c r="AK9" s="1133">
        <v>234.82247863247872</v>
      </c>
      <c r="AL9" s="1133" t="s">
        <v>528</v>
      </c>
      <c r="AM9" s="1133" t="s">
        <v>528</v>
      </c>
      <c r="AN9" s="1133" t="s">
        <v>528</v>
      </c>
      <c r="AO9" s="1133">
        <v>27.639674818166583</v>
      </c>
      <c r="AP9" s="1228">
        <v>32.945477228758172</v>
      </c>
      <c r="AQ9" s="1133">
        <v>32.945477228758172</v>
      </c>
      <c r="AR9" s="1133">
        <v>510</v>
      </c>
      <c r="AS9" s="1196">
        <v>16.739145452144246</v>
      </c>
      <c r="AT9" s="1199">
        <v>0</v>
      </c>
      <c r="AU9" s="1133">
        <v>59.843764705882357</v>
      </c>
      <c r="AV9" s="1133">
        <v>244.47659788626066</v>
      </c>
      <c r="AW9" s="1133">
        <v>0</v>
      </c>
      <c r="AX9" s="1228">
        <v>11.84407843137255</v>
      </c>
      <c r="AY9" s="1133">
        <v>360</v>
      </c>
      <c r="AZ9" s="1257">
        <v>0.89978595890410951</v>
      </c>
      <c r="BA9" s="1196">
        <v>4.2585957132921832</v>
      </c>
      <c r="BB9" s="1130"/>
      <c r="BC9" s="1133"/>
      <c r="BD9" s="1199">
        <v>0</v>
      </c>
      <c r="BG9" s="574"/>
      <c r="BH9" s="385"/>
      <c r="BI9" s="385"/>
      <c r="BJ9" s="1227"/>
      <c r="BK9" s="1130"/>
      <c r="BL9" s="1130"/>
      <c r="BM9" s="1130"/>
      <c r="BN9" s="1130"/>
      <c r="BO9" s="1130"/>
      <c r="BP9" s="1229"/>
      <c r="BQ9" s="1255">
        <v>3</v>
      </c>
      <c r="BR9" s="1130">
        <v>2990</v>
      </c>
      <c r="BS9" s="1133">
        <v>8.9700000000000006</v>
      </c>
      <c r="BT9" s="1256"/>
      <c r="BU9" s="1228"/>
      <c r="BV9" s="1133">
        <v>59.8</v>
      </c>
      <c r="BW9" s="1228">
        <v>0.87567567567567584</v>
      </c>
      <c r="BX9" s="1228">
        <v>7.1612164003468344</v>
      </c>
      <c r="BY9" s="1228">
        <v>0</v>
      </c>
      <c r="BZ9" s="1228">
        <v>7.1612164003468344</v>
      </c>
      <c r="CA9" s="1133">
        <v>3210</v>
      </c>
      <c r="CB9" s="1133">
        <v>0</v>
      </c>
      <c r="CC9" s="1199">
        <v>22.98750464511334</v>
      </c>
      <c r="CD9" s="1228">
        <v>7.2</v>
      </c>
      <c r="CE9" s="1228">
        <v>2.4480000000000004</v>
      </c>
      <c r="CF9" s="1133">
        <v>2680</v>
      </c>
      <c r="CG9" s="1199">
        <v>6.5606400000000011</v>
      </c>
      <c r="CH9" s="1255">
        <v>14.939074509803921</v>
      </c>
      <c r="CI9" s="1133">
        <v>24.161216400346834</v>
      </c>
      <c r="CJ9" s="1133">
        <v>257.41690592079476</v>
      </c>
      <c r="CK9" s="1133" t="s">
        <v>528</v>
      </c>
      <c r="CL9" s="1133" t="s">
        <v>528</v>
      </c>
      <c r="CM9" s="1133" t="s">
        <v>528</v>
      </c>
      <c r="CN9" s="1133">
        <v>27</v>
      </c>
      <c r="CO9" s="1133">
        <v>1040</v>
      </c>
      <c r="CP9" s="1199">
        <v>27.991944444444446</v>
      </c>
      <c r="CQ9" s="1133">
        <v>118.82014117647059</v>
      </c>
      <c r="CR9" s="1133">
        <v>123.13063976477746</v>
      </c>
      <c r="CS9" s="1133">
        <v>-1</v>
      </c>
      <c r="CT9" s="1133">
        <v>24.754196078431374</v>
      </c>
      <c r="CU9" s="1133">
        <v>150</v>
      </c>
      <c r="CV9" s="1199">
        <v>3.8270786101167893</v>
      </c>
      <c r="CW9" s="1130"/>
      <c r="CX9" s="1133"/>
      <c r="CY9" s="1199">
        <v>0</v>
      </c>
      <c r="DA9" s="574">
        <f t="shared" si="0"/>
        <v>0</v>
      </c>
      <c r="DB9" s="385">
        <f t="shared" si="1"/>
        <v>0</v>
      </c>
      <c r="DC9" s="385">
        <f t="shared" si="2"/>
        <v>0</v>
      </c>
      <c r="DD9" s="1227">
        <f t="shared" si="3"/>
        <v>0</v>
      </c>
      <c r="DE9" s="1130">
        <f t="shared" si="4"/>
        <v>0</v>
      </c>
      <c r="DF9" s="1130">
        <f t="shared" si="5"/>
        <v>0</v>
      </c>
      <c r="DG9" s="1130">
        <f t="shared" si="6"/>
        <v>0</v>
      </c>
      <c r="DH9" s="1130">
        <f t="shared" si="7"/>
        <v>0</v>
      </c>
      <c r="DI9" s="1130">
        <f t="shared" si="8"/>
        <v>0</v>
      </c>
      <c r="DJ9" s="1229">
        <f t="shared" si="9"/>
        <v>0</v>
      </c>
      <c r="DK9" s="1255">
        <f t="shared" si="10"/>
        <v>0</v>
      </c>
      <c r="DL9" s="1130">
        <f t="shared" si="11"/>
        <v>0</v>
      </c>
      <c r="DM9" s="1133">
        <f t="shared" si="12"/>
        <v>0</v>
      </c>
      <c r="DN9" s="1256">
        <f t="shared" si="13"/>
        <v>0</v>
      </c>
      <c r="DO9" s="1228">
        <f t="shared" si="14"/>
        <v>130</v>
      </c>
      <c r="DP9" s="1133">
        <f t="shared" si="15"/>
        <v>-58.924324324324324</v>
      </c>
      <c r="DQ9" s="1228">
        <f t="shared" si="16"/>
        <v>-0.87567567567567584</v>
      </c>
      <c r="DR9" s="1228">
        <f t="shared" si="17"/>
        <v>-5.1612164003468344</v>
      </c>
      <c r="DS9" s="1228">
        <f t="shared" si="18"/>
        <v>3.3523220403987515</v>
      </c>
      <c r="DT9" s="1228">
        <f t="shared" si="19"/>
        <v>-3.8670568561872907</v>
      </c>
      <c r="DU9" s="1133">
        <f t="shared" si="20"/>
        <v>-54</v>
      </c>
      <c r="DV9" s="1133" t="e">
        <f>#REF!-CB9</f>
        <v>#REF!</v>
      </c>
      <c r="DW9" s="1199">
        <f t="shared" si="21"/>
        <v>-12.591137123745819</v>
      </c>
      <c r="DX9" s="1228">
        <f t="shared" si="22"/>
        <v>-1.4000000000000004</v>
      </c>
      <c r="DY9" s="1228">
        <f t="shared" si="23"/>
        <v>-0.47600000000000042</v>
      </c>
      <c r="DZ9" s="1133">
        <f t="shared" si="24"/>
        <v>1010</v>
      </c>
      <c r="EA9" s="1199">
        <f t="shared" si="25"/>
        <v>0.71603999999999957</v>
      </c>
      <c r="EB9" s="1255">
        <f t="shared" si="26"/>
        <v>1.4520156862745086</v>
      </c>
      <c r="EC9" s="1133">
        <f t="shared" si="27"/>
        <v>-1.0670568561872891</v>
      </c>
      <c r="ED9" s="1133">
        <f t="shared" si="28"/>
        <v>-22.594427288316041</v>
      </c>
      <c r="EE9" s="1133" t="e">
        <f t="shared" si="29"/>
        <v>#VALUE!</v>
      </c>
      <c r="EF9" s="1133" t="e">
        <f t="shared" si="30"/>
        <v>#VALUE!</v>
      </c>
      <c r="EG9" s="1133" t="e">
        <f t="shared" si="31"/>
        <v>#VALUE!</v>
      </c>
      <c r="EH9" s="1133">
        <f t="shared" si="32"/>
        <v>5.9454772287581719</v>
      </c>
      <c r="EI9" s="1133">
        <f t="shared" si="33"/>
        <v>-530</v>
      </c>
      <c r="EJ9" s="1199">
        <f t="shared" si="34"/>
        <v>-27.991944444444446</v>
      </c>
      <c r="EK9" s="1133">
        <f t="shared" si="35"/>
        <v>-58.976376470588228</v>
      </c>
      <c r="EL9" s="1133">
        <f t="shared" si="36"/>
        <v>121.34595812148321</v>
      </c>
      <c r="EM9" s="1133">
        <f t="shared" si="37"/>
        <v>1</v>
      </c>
      <c r="EN9" s="1133">
        <f t="shared" si="38"/>
        <v>-12.910117647058824</v>
      </c>
      <c r="EO9" s="1133">
        <f t="shared" si="38"/>
        <v>210</v>
      </c>
      <c r="EP9" s="1199">
        <f t="shared" si="39"/>
        <v>0.43151710317539393</v>
      </c>
      <c r="EQ9" s="1130">
        <f t="shared" si="39"/>
        <v>0</v>
      </c>
      <c r="ER9" s="1133">
        <f t="shared" si="39"/>
        <v>0</v>
      </c>
      <c r="ES9" s="1199">
        <f t="shared" si="39"/>
        <v>0</v>
      </c>
    </row>
    <row r="10" spans="1:149">
      <c r="A10" s="1299">
        <f>Eingabedaten!A13</f>
        <v>3.01</v>
      </c>
      <c r="B10" s="566" t="str">
        <f>Eingabedaten!C13</f>
        <v>Einzel-, Gruppenbüro</v>
      </c>
      <c r="C10" s="568"/>
      <c r="D10" s="384"/>
      <c r="E10" s="384"/>
      <c r="F10" s="1247"/>
      <c r="G10" s="1248"/>
      <c r="H10" s="1248"/>
      <c r="I10" s="1248"/>
      <c r="J10" s="1248"/>
      <c r="K10" s="1248"/>
      <c r="L10" s="1248"/>
      <c r="M10" s="1248"/>
      <c r="N10" s="1250"/>
      <c r="O10" s="1251">
        <v>6</v>
      </c>
      <c r="P10" s="1132">
        <v>0</v>
      </c>
      <c r="Q10" s="1248">
        <v>2910</v>
      </c>
      <c r="R10" s="1132">
        <v>17.46</v>
      </c>
      <c r="S10" s="1249">
        <v>17.46</v>
      </c>
      <c r="T10" s="1132">
        <v>0</v>
      </c>
      <c r="U10" s="1251"/>
      <c r="V10" s="1251">
        <v>130</v>
      </c>
      <c r="W10" s="1835">
        <v>0.77142857142857146</v>
      </c>
      <c r="X10" s="1249"/>
      <c r="Y10" s="1249">
        <v>2</v>
      </c>
      <c r="Z10" s="1249">
        <v>2.5572322376606325</v>
      </c>
      <c r="AA10" s="1249">
        <v>6.232193732193732</v>
      </c>
      <c r="AB10" s="1132">
        <v>267</v>
      </c>
      <c r="AC10" s="1254">
        <v>1.6639957264957266</v>
      </c>
      <c r="AD10" s="1253">
        <v>2.0714285714285716</v>
      </c>
      <c r="AE10" s="1132">
        <v>3290</v>
      </c>
      <c r="AF10" s="1249">
        <v>0.7042857142857144</v>
      </c>
      <c r="AG10" s="1132">
        <v>2740</v>
      </c>
      <c r="AH10" s="1198">
        <v>1.9297428571428574</v>
      </c>
      <c r="AI10" s="1251">
        <v>21.751206722689076</v>
      </c>
      <c r="AJ10" s="1132">
        <v>18.232193732193732</v>
      </c>
      <c r="AK10" s="1132">
        <v>109.80000000000001</v>
      </c>
      <c r="AL10" s="1132" t="s">
        <v>1317</v>
      </c>
      <c r="AM10" s="1132" t="s">
        <v>527</v>
      </c>
      <c r="AN10" s="1132" t="s">
        <v>527</v>
      </c>
      <c r="AO10" s="1132">
        <v>27.988380318417967</v>
      </c>
      <c r="AP10" s="1249">
        <v>31.311380168067227</v>
      </c>
      <c r="AQ10" s="1132">
        <v>31.311380168067227</v>
      </c>
      <c r="AR10" s="1132">
        <v>170</v>
      </c>
      <c r="AS10" s="1254">
        <v>5.2320633783383244</v>
      </c>
      <c r="AT10" s="1198">
        <v>0</v>
      </c>
      <c r="AU10" s="1132">
        <v>18.985411764705887</v>
      </c>
      <c r="AV10" s="1132">
        <v>212.18396787626409</v>
      </c>
      <c r="AW10" s="1132">
        <v>-0.2172404818560385</v>
      </c>
      <c r="AX10" s="1249">
        <v>15.144684313725492</v>
      </c>
      <c r="AY10" s="1132">
        <v>650</v>
      </c>
      <c r="AZ10" s="1253">
        <v>0.33040810502283108</v>
      </c>
      <c r="BA10" s="1254">
        <v>9.8054468506331105</v>
      </c>
      <c r="BB10" s="1248"/>
      <c r="BC10" s="1132"/>
      <c r="BD10" s="1254">
        <v>2.5950857142857147</v>
      </c>
      <c r="BG10" s="568"/>
      <c r="BH10" s="384"/>
      <c r="BI10" s="384"/>
      <c r="BJ10" s="1247"/>
      <c r="BK10" s="1248"/>
      <c r="BL10" s="1248"/>
      <c r="BM10" s="1248"/>
      <c r="BN10" s="1248"/>
      <c r="BO10" s="1248"/>
      <c r="BP10" s="1250"/>
      <c r="BQ10" s="1251">
        <v>3</v>
      </c>
      <c r="BR10" s="1248">
        <v>1930</v>
      </c>
      <c r="BS10" s="1132">
        <v>5.79</v>
      </c>
      <c r="BT10" s="1252"/>
      <c r="BU10" s="1249"/>
      <c r="BV10" s="1132">
        <v>69.8</v>
      </c>
      <c r="BW10" s="1249">
        <v>0.77142857142857146</v>
      </c>
      <c r="BX10" s="1249">
        <v>11.60723761010294</v>
      </c>
      <c r="BY10" s="1249">
        <v>0</v>
      </c>
      <c r="BZ10" s="1249">
        <v>11.60723761010294</v>
      </c>
      <c r="CA10" s="1132">
        <v>470</v>
      </c>
      <c r="CB10" s="1132">
        <v>0</v>
      </c>
      <c r="CC10" s="1198">
        <v>5.4554016767483819</v>
      </c>
      <c r="CD10" s="1249">
        <v>2.5714285714285716</v>
      </c>
      <c r="CE10" s="1249">
        <v>0.87428571428571444</v>
      </c>
      <c r="CF10" s="1132">
        <v>1630</v>
      </c>
      <c r="CG10" s="1198">
        <v>1.4250857142857147</v>
      </c>
      <c r="CH10" s="1251">
        <v>19.104840336134455</v>
      </c>
      <c r="CI10" s="1132">
        <v>19.607237610102942</v>
      </c>
      <c r="CJ10" s="1132">
        <v>68.374048962219732</v>
      </c>
      <c r="CK10" s="1132" t="s">
        <v>574</v>
      </c>
      <c r="CL10" s="1132" t="s">
        <v>574</v>
      </c>
      <c r="CM10" s="1132" t="s">
        <v>574</v>
      </c>
      <c r="CN10" s="1132">
        <v>20</v>
      </c>
      <c r="CO10" s="1132">
        <v>540</v>
      </c>
      <c r="CP10" s="1198">
        <v>10.801388888888889</v>
      </c>
      <c r="CQ10" s="1132">
        <v>24.734924369747901</v>
      </c>
      <c r="CR10" s="1132">
        <v>162.86283878542773</v>
      </c>
      <c r="CS10" s="1132">
        <v>-1</v>
      </c>
      <c r="CT10" s="1132">
        <v>20.612436974789919</v>
      </c>
      <c r="CU10" s="1132">
        <v>1010</v>
      </c>
      <c r="CV10" s="1198">
        <v>20.797944956367193</v>
      </c>
      <c r="CW10" s="1248"/>
      <c r="CX10" s="1132"/>
      <c r="CY10" s="1198">
        <v>2.5950857142857147</v>
      </c>
      <c r="DA10" s="568">
        <f t="shared" si="0"/>
        <v>0</v>
      </c>
      <c r="DB10" s="384">
        <f t="shared" si="1"/>
        <v>0</v>
      </c>
      <c r="DC10" s="384">
        <f t="shared" si="2"/>
        <v>0</v>
      </c>
      <c r="DD10" s="1247">
        <f t="shared" si="3"/>
        <v>0</v>
      </c>
      <c r="DE10" s="1248">
        <f t="shared" si="4"/>
        <v>0</v>
      </c>
      <c r="DF10" s="1248">
        <f t="shared" si="5"/>
        <v>0</v>
      </c>
      <c r="DG10" s="1248">
        <f t="shared" si="6"/>
        <v>0</v>
      </c>
      <c r="DH10" s="1248">
        <f t="shared" si="7"/>
        <v>0</v>
      </c>
      <c r="DI10" s="1248">
        <f t="shared" si="8"/>
        <v>0</v>
      </c>
      <c r="DJ10" s="1250">
        <f t="shared" si="9"/>
        <v>0</v>
      </c>
      <c r="DK10" s="1251">
        <f t="shared" si="10"/>
        <v>3</v>
      </c>
      <c r="DL10" s="1248">
        <f t="shared" si="11"/>
        <v>980</v>
      </c>
      <c r="DM10" s="1132">
        <f t="shared" si="12"/>
        <v>11.670000000000002</v>
      </c>
      <c r="DN10" s="1252">
        <f t="shared" si="13"/>
        <v>0</v>
      </c>
      <c r="DO10" s="1249">
        <f t="shared" si="14"/>
        <v>130</v>
      </c>
      <c r="DP10" s="1132">
        <f t="shared" si="15"/>
        <v>-69.028571428571425</v>
      </c>
      <c r="DQ10" s="1249">
        <f t="shared" si="16"/>
        <v>-0.77142857142857146</v>
      </c>
      <c r="DR10" s="1249">
        <f t="shared" si="17"/>
        <v>-9.6072376101029402</v>
      </c>
      <c r="DS10" s="1249">
        <f t="shared" si="18"/>
        <v>2.5572322376606325</v>
      </c>
      <c r="DT10" s="1249">
        <f t="shared" si="19"/>
        <v>-5.3750438779092082</v>
      </c>
      <c r="DU10" s="1132">
        <f t="shared" si="20"/>
        <v>-203</v>
      </c>
      <c r="DV10" s="1132" t="e">
        <f>#REF!-CB10</f>
        <v>#REF!</v>
      </c>
      <c r="DW10" s="1198">
        <f t="shared" si="21"/>
        <v>-3.7914059502526554</v>
      </c>
      <c r="DX10" s="1249">
        <f t="shared" si="22"/>
        <v>-0.5</v>
      </c>
      <c r="DY10" s="1249">
        <f t="shared" si="23"/>
        <v>-0.17000000000000004</v>
      </c>
      <c r="DZ10" s="1132">
        <f t="shared" si="24"/>
        <v>1110</v>
      </c>
      <c r="EA10" s="1198">
        <f t="shared" si="25"/>
        <v>0.50465714285714269</v>
      </c>
      <c r="EB10" s="1251">
        <f t="shared" si="26"/>
        <v>2.6463663865546216</v>
      </c>
      <c r="EC10" s="1132">
        <f t="shared" si="27"/>
        <v>-1.37504387790921</v>
      </c>
      <c r="ED10" s="1132">
        <f t="shared" si="28"/>
        <v>41.42595103778028</v>
      </c>
      <c r="EE10" s="1132" t="e">
        <f t="shared" si="29"/>
        <v>#VALUE!</v>
      </c>
      <c r="EF10" s="1132" t="e">
        <f t="shared" si="30"/>
        <v>#VALUE!</v>
      </c>
      <c r="EG10" s="1132" t="e">
        <f t="shared" si="31"/>
        <v>#VALUE!</v>
      </c>
      <c r="EH10" s="1132">
        <f t="shared" si="32"/>
        <v>11.311380168067227</v>
      </c>
      <c r="EI10" s="1132">
        <f t="shared" si="33"/>
        <v>-370</v>
      </c>
      <c r="EJ10" s="1198">
        <f t="shared" si="34"/>
        <v>-10.801388888888889</v>
      </c>
      <c r="EK10" s="1132">
        <f t="shared" si="35"/>
        <v>-5.749512605042014</v>
      </c>
      <c r="EL10" s="1132">
        <f t="shared" si="36"/>
        <v>49.321129090836365</v>
      </c>
      <c r="EM10" s="1132">
        <f t="shared" si="37"/>
        <v>0.7827595181439615</v>
      </c>
      <c r="EN10" s="1132">
        <f t="shared" si="38"/>
        <v>-5.4677526610644271</v>
      </c>
      <c r="EO10" s="1132">
        <f t="shared" si="38"/>
        <v>-360</v>
      </c>
      <c r="EP10" s="1198">
        <f t="shared" si="39"/>
        <v>-10.992498105734082</v>
      </c>
      <c r="EQ10" s="1248">
        <f t="shared" si="39"/>
        <v>0</v>
      </c>
      <c r="ER10" s="1132">
        <f t="shared" si="39"/>
        <v>0</v>
      </c>
      <c r="ES10" s="1198">
        <f t="shared" si="39"/>
        <v>0</v>
      </c>
    </row>
    <row r="11" spans="1:149">
      <c r="A11" s="633">
        <f>Eingabedaten!A14</f>
        <v>3.02</v>
      </c>
      <c r="B11" s="463" t="str">
        <f>Eingabedaten!C14</f>
        <v>Grossraumbüro</v>
      </c>
      <c r="C11" s="637"/>
      <c r="D11" s="379"/>
      <c r="E11" s="379"/>
      <c r="F11" s="1238"/>
      <c r="G11" s="1129"/>
      <c r="H11" s="1129"/>
      <c r="I11" s="1129"/>
      <c r="J11" s="1129"/>
      <c r="K11" s="1129"/>
      <c r="L11" s="1129"/>
      <c r="M11" s="1129"/>
      <c r="N11" s="1237"/>
      <c r="O11" s="1240">
        <v>10</v>
      </c>
      <c r="P11" s="1131">
        <v>0</v>
      </c>
      <c r="Q11" s="1129">
        <v>2910</v>
      </c>
      <c r="R11" s="1131">
        <v>29.1</v>
      </c>
      <c r="S11" s="1239">
        <v>29.1</v>
      </c>
      <c r="T11" s="1131">
        <v>0</v>
      </c>
      <c r="U11" s="1240"/>
      <c r="V11" s="1240">
        <v>130</v>
      </c>
      <c r="W11" s="1834">
        <v>0.98181818181818192</v>
      </c>
      <c r="X11" s="1239"/>
      <c r="Y11" s="1239">
        <v>2</v>
      </c>
      <c r="Z11" s="1239">
        <v>7.6197198465403844</v>
      </c>
      <c r="AA11" s="1239">
        <v>4.8967236467236459</v>
      </c>
      <c r="AB11" s="1131">
        <v>795</v>
      </c>
      <c r="AC11" s="1243">
        <v>3.8928952991452981</v>
      </c>
      <c r="AD11" s="1242">
        <v>2.9</v>
      </c>
      <c r="AE11" s="1131">
        <v>3290</v>
      </c>
      <c r="AF11" s="1239">
        <v>0.98599999999999999</v>
      </c>
      <c r="AG11" s="1131">
        <v>2740</v>
      </c>
      <c r="AH11" s="1197">
        <v>2.7016399999999998</v>
      </c>
      <c r="AI11" s="1240">
        <v>12.001195294117647</v>
      </c>
      <c r="AJ11" s="1131">
        <v>23.296723646723645</v>
      </c>
      <c r="AK11" s="1131">
        <v>171.48</v>
      </c>
      <c r="AL11" s="1131" t="s">
        <v>527</v>
      </c>
      <c r="AM11" s="1131" t="s">
        <v>528</v>
      </c>
      <c r="AN11" s="1131" t="s">
        <v>528</v>
      </c>
      <c r="AO11" s="1131">
        <v>24.708543258588904</v>
      </c>
      <c r="AP11" s="1239">
        <v>29.068722823529409</v>
      </c>
      <c r="AQ11" s="1131">
        <v>29.068722823529409</v>
      </c>
      <c r="AR11" s="1131">
        <v>420</v>
      </c>
      <c r="AS11" s="1243">
        <v>12.273826949554088</v>
      </c>
      <c r="AT11" s="1197">
        <v>0</v>
      </c>
      <c r="AU11" s="1131">
        <v>49.541647058823528</v>
      </c>
      <c r="AV11" s="1131">
        <v>286.88589992020974</v>
      </c>
      <c r="AW11" s="1131">
        <v>0</v>
      </c>
      <c r="AX11" s="1239">
        <v>9.8051176470588253</v>
      </c>
      <c r="AY11" s="1131">
        <v>200</v>
      </c>
      <c r="AZ11" s="1242">
        <v>0.40820490867579906</v>
      </c>
      <c r="BA11" s="1243">
        <v>1.9991640367702697</v>
      </c>
      <c r="BB11" s="1129"/>
      <c r="BC11" s="1131"/>
      <c r="BD11" s="1243">
        <v>3.6331200000000008</v>
      </c>
      <c r="BG11" s="637"/>
      <c r="BH11" s="379"/>
      <c r="BI11" s="379"/>
      <c r="BJ11" s="1238"/>
      <c r="BK11" s="1129"/>
      <c r="BL11" s="1129"/>
      <c r="BM11" s="1129"/>
      <c r="BN11" s="1129"/>
      <c r="BO11" s="1129"/>
      <c r="BP11" s="1237"/>
      <c r="BQ11" s="1240">
        <v>4</v>
      </c>
      <c r="BR11" s="1129">
        <v>1930</v>
      </c>
      <c r="BS11" s="1131">
        <v>7.72</v>
      </c>
      <c r="BT11" s="1241"/>
      <c r="BU11" s="1239"/>
      <c r="BV11" s="1131">
        <v>69.8</v>
      </c>
      <c r="BW11" s="1239">
        <v>0.98181818181818192</v>
      </c>
      <c r="BX11" s="1239">
        <v>9.1199724079380236</v>
      </c>
      <c r="BY11" s="1239">
        <v>0</v>
      </c>
      <c r="BZ11" s="1239">
        <v>9.1199724079380236</v>
      </c>
      <c r="CA11" s="1131">
        <v>1290</v>
      </c>
      <c r="CB11" s="1131">
        <v>0</v>
      </c>
      <c r="CC11" s="1197">
        <v>11.764764406240051</v>
      </c>
      <c r="CD11" s="1239">
        <v>3.6</v>
      </c>
      <c r="CE11" s="1239">
        <v>1.2240000000000002</v>
      </c>
      <c r="CF11" s="1131">
        <v>1630</v>
      </c>
      <c r="CG11" s="1197">
        <v>1.9951200000000004</v>
      </c>
      <c r="CH11" s="1240">
        <v>10.779223529411766</v>
      </c>
      <c r="CI11" s="1131">
        <v>20.119972407938022</v>
      </c>
      <c r="CJ11" s="1131">
        <v>142.82417504269065</v>
      </c>
      <c r="CK11" s="1131" t="s">
        <v>527</v>
      </c>
      <c r="CL11" s="1131" t="s">
        <v>528</v>
      </c>
      <c r="CM11" s="1131" t="s">
        <v>528</v>
      </c>
      <c r="CN11" s="1131">
        <v>18</v>
      </c>
      <c r="CO11" s="1131">
        <v>680</v>
      </c>
      <c r="CP11" s="1197">
        <v>12.321805555555555</v>
      </c>
      <c r="CQ11" s="1131">
        <v>78.913129411764714</v>
      </c>
      <c r="CR11" s="1131">
        <v>180.10691130798185</v>
      </c>
      <c r="CS11" s="1131">
        <v>-1</v>
      </c>
      <c r="CT11" s="1131">
        <v>16.440235294117649</v>
      </c>
      <c r="CU11" s="1131">
        <v>670</v>
      </c>
      <c r="CV11" s="1197">
        <v>11.038474099557604</v>
      </c>
      <c r="CW11" s="1129"/>
      <c r="CX11" s="1131"/>
      <c r="CY11" s="1197">
        <v>3.6331200000000008</v>
      </c>
      <c r="DA11" s="637">
        <f t="shared" si="0"/>
        <v>0</v>
      </c>
      <c r="DB11" s="379">
        <f t="shared" si="1"/>
        <v>0</v>
      </c>
      <c r="DC11" s="379">
        <f t="shared" si="2"/>
        <v>0</v>
      </c>
      <c r="DD11" s="1238">
        <f t="shared" si="3"/>
        <v>0</v>
      </c>
      <c r="DE11" s="1129">
        <f t="shared" si="4"/>
        <v>0</v>
      </c>
      <c r="DF11" s="1129">
        <f t="shared" si="5"/>
        <v>0</v>
      </c>
      <c r="DG11" s="1129">
        <f t="shared" si="6"/>
        <v>0</v>
      </c>
      <c r="DH11" s="1129">
        <f t="shared" si="7"/>
        <v>0</v>
      </c>
      <c r="DI11" s="1129">
        <f t="shared" si="8"/>
        <v>0</v>
      </c>
      <c r="DJ11" s="1237">
        <f t="shared" si="9"/>
        <v>0</v>
      </c>
      <c r="DK11" s="1240">
        <f t="shared" si="10"/>
        <v>6</v>
      </c>
      <c r="DL11" s="1129">
        <f t="shared" si="11"/>
        <v>980</v>
      </c>
      <c r="DM11" s="1131">
        <f t="shared" si="12"/>
        <v>21.380000000000003</v>
      </c>
      <c r="DN11" s="1241">
        <f t="shared" si="13"/>
        <v>0</v>
      </c>
      <c r="DO11" s="1239">
        <f t="shared" si="14"/>
        <v>130</v>
      </c>
      <c r="DP11" s="1131">
        <f t="shared" si="15"/>
        <v>-68.818181818181813</v>
      </c>
      <c r="DQ11" s="1239">
        <f t="shared" si="16"/>
        <v>-0.98181818181818192</v>
      </c>
      <c r="DR11" s="1239">
        <f t="shared" si="17"/>
        <v>-7.1199724079380236</v>
      </c>
      <c r="DS11" s="1239">
        <f t="shared" si="18"/>
        <v>7.6197198465403844</v>
      </c>
      <c r="DT11" s="1239">
        <f t="shared" si="19"/>
        <v>-4.2232487612143776</v>
      </c>
      <c r="DU11" s="1131">
        <f t="shared" si="20"/>
        <v>-495</v>
      </c>
      <c r="DV11" s="1131" t="e">
        <f>#REF!-CB11</f>
        <v>#REF!</v>
      </c>
      <c r="DW11" s="1197">
        <f t="shared" si="21"/>
        <v>-7.8718691070947528</v>
      </c>
      <c r="DX11" s="1239">
        <f t="shared" si="22"/>
        <v>-0.70000000000000018</v>
      </c>
      <c r="DY11" s="1239">
        <f t="shared" si="23"/>
        <v>-0.23800000000000021</v>
      </c>
      <c r="DZ11" s="1131">
        <f t="shared" si="24"/>
        <v>1110</v>
      </c>
      <c r="EA11" s="1197">
        <f t="shared" si="25"/>
        <v>0.70651999999999937</v>
      </c>
      <c r="EB11" s="1240">
        <f t="shared" si="26"/>
        <v>1.2219717647058808</v>
      </c>
      <c r="EC11" s="1131">
        <f t="shared" si="27"/>
        <v>3.1767512387856236</v>
      </c>
      <c r="ED11" s="1131">
        <f t="shared" si="28"/>
        <v>28.655824957309335</v>
      </c>
      <c r="EE11" s="1131" t="e">
        <f t="shared" si="29"/>
        <v>#VALUE!</v>
      </c>
      <c r="EF11" s="1131" t="e">
        <f t="shared" si="30"/>
        <v>#VALUE!</v>
      </c>
      <c r="EG11" s="1131" t="e">
        <f t="shared" si="31"/>
        <v>#VALUE!</v>
      </c>
      <c r="EH11" s="1131">
        <f t="shared" si="32"/>
        <v>11.068722823529409</v>
      </c>
      <c r="EI11" s="1131">
        <f t="shared" si="33"/>
        <v>-260</v>
      </c>
      <c r="EJ11" s="1197">
        <f t="shared" si="34"/>
        <v>-12.321805555555555</v>
      </c>
      <c r="EK11" s="1131">
        <f t="shared" si="35"/>
        <v>-29.371482352941186</v>
      </c>
      <c r="EL11" s="1131">
        <f t="shared" si="36"/>
        <v>106.77898861222789</v>
      </c>
      <c r="EM11" s="1131">
        <f t="shared" si="37"/>
        <v>1</v>
      </c>
      <c r="EN11" s="1131">
        <f t="shared" ref="EN11:EN50" si="40">AX11-CT11</f>
        <v>-6.6351176470588236</v>
      </c>
      <c r="EO11" s="1131">
        <f t="shared" ref="EO11:EO50" si="41">AY11-CU11</f>
        <v>-470</v>
      </c>
      <c r="EP11" s="1197">
        <f t="shared" ref="EP11:EP50" si="42">BA11-CV11</f>
        <v>-9.0393100627873348</v>
      </c>
      <c r="EQ11" s="1129">
        <f t="shared" ref="EQ11:EQ50" si="43">BB11-CW11</f>
        <v>0</v>
      </c>
      <c r="ER11" s="1131">
        <f t="shared" ref="ER11:ER50" si="44">BC11-CX11</f>
        <v>0</v>
      </c>
      <c r="ES11" s="1197">
        <f t="shared" ref="ES11:ES50" si="45">BD11-CY11</f>
        <v>0</v>
      </c>
    </row>
    <row r="12" spans="1:149">
      <c r="A12" s="633">
        <f>Eingabedaten!A15</f>
        <v>3.03</v>
      </c>
      <c r="B12" s="463" t="str">
        <f>Eingabedaten!C15</f>
        <v>Sitzungszimmer</v>
      </c>
      <c r="C12" s="637"/>
      <c r="D12" s="379"/>
      <c r="E12" s="379"/>
      <c r="F12" s="1238"/>
      <c r="G12" s="1129"/>
      <c r="H12" s="1129"/>
      <c r="I12" s="1129"/>
      <c r="J12" s="1129"/>
      <c r="K12" s="1129"/>
      <c r="L12" s="1129"/>
      <c r="M12" s="1129"/>
      <c r="N12" s="1237"/>
      <c r="O12" s="1240">
        <v>4</v>
      </c>
      <c r="P12" s="1131">
        <v>0</v>
      </c>
      <c r="Q12" s="1129">
        <v>1410</v>
      </c>
      <c r="R12" s="1131">
        <v>5.64</v>
      </c>
      <c r="S12" s="1239">
        <v>5.64</v>
      </c>
      <c r="T12" s="1131">
        <v>0</v>
      </c>
      <c r="U12" s="1240"/>
      <c r="V12" s="1240">
        <v>130</v>
      </c>
      <c r="W12" s="1834">
        <v>0.77142857142857146</v>
      </c>
      <c r="X12" s="1239"/>
      <c r="Y12" s="1239">
        <v>2</v>
      </c>
      <c r="Z12" s="1239">
        <v>2.5572322376606325</v>
      </c>
      <c r="AA12" s="1239">
        <v>6.232193732193732</v>
      </c>
      <c r="AB12" s="1131">
        <v>146</v>
      </c>
      <c r="AC12" s="1243">
        <v>0.90990028490028496</v>
      </c>
      <c r="AD12" s="1242">
        <v>9.6666666666666661</v>
      </c>
      <c r="AE12" s="1131">
        <v>1430</v>
      </c>
      <c r="AF12" s="1239">
        <v>3.2866666666666666</v>
      </c>
      <c r="AG12" s="1131">
        <v>1090</v>
      </c>
      <c r="AH12" s="1197">
        <v>3.5824666666666669</v>
      </c>
      <c r="AI12" s="1240">
        <v>24.886581960784309</v>
      </c>
      <c r="AJ12" s="1131">
        <v>38.232193732193736</v>
      </c>
      <c r="AK12" s="1131">
        <v>135.19999999999999</v>
      </c>
      <c r="AL12" s="1131" t="s">
        <v>1317</v>
      </c>
      <c r="AM12" s="1131" t="s">
        <v>527</v>
      </c>
      <c r="AN12" s="1131" t="s">
        <v>528</v>
      </c>
      <c r="AO12" s="1131">
        <v>44.183142985084629</v>
      </c>
      <c r="AP12" s="1239">
        <v>56.843444705882348</v>
      </c>
      <c r="AQ12" s="1131">
        <v>56.843444705882348</v>
      </c>
      <c r="AR12" s="1131">
        <v>80</v>
      </c>
      <c r="AS12" s="1243">
        <v>4.6175137741005718</v>
      </c>
      <c r="AT12" s="1197">
        <v>0</v>
      </c>
      <c r="AU12" s="1131">
        <v>18.985411764705887</v>
      </c>
      <c r="AV12" s="1131">
        <v>212.18396787626409</v>
      </c>
      <c r="AW12" s="1131">
        <v>-0.2172404818560385</v>
      </c>
      <c r="AX12" s="1239">
        <v>15.144684313725492</v>
      </c>
      <c r="AY12" s="1131">
        <v>840</v>
      </c>
      <c r="AZ12" s="1242">
        <v>0.53837994672754941</v>
      </c>
      <c r="BA12" s="1243">
        <v>12.760188792503513</v>
      </c>
      <c r="BB12" s="1129"/>
      <c r="BC12" s="1131"/>
      <c r="BD12" s="1197">
        <v>0</v>
      </c>
      <c r="BG12" s="637"/>
      <c r="BH12" s="379"/>
      <c r="BI12" s="379"/>
      <c r="BJ12" s="1238"/>
      <c r="BK12" s="1129"/>
      <c r="BL12" s="1129"/>
      <c r="BM12" s="1129"/>
      <c r="BN12" s="1129"/>
      <c r="BO12" s="1129"/>
      <c r="BP12" s="1237"/>
      <c r="BQ12" s="1240">
        <v>1</v>
      </c>
      <c r="BR12" s="1129">
        <v>1410</v>
      </c>
      <c r="BS12" s="1131">
        <v>1.41</v>
      </c>
      <c r="BT12" s="1241"/>
      <c r="BU12" s="1239"/>
      <c r="BV12" s="1131">
        <v>69.8</v>
      </c>
      <c r="BW12" s="1239">
        <v>0.77142857142857146</v>
      </c>
      <c r="BX12" s="1239">
        <v>11.60723761010294</v>
      </c>
      <c r="BY12" s="1239">
        <v>0</v>
      </c>
      <c r="BZ12" s="1239">
        <v>11.60723761010294</v>
      </c>
      <c r="CA12" s="1131">
        <v>250</v>
      </c>
      <c r="CB12" s="1131">
        <v>0</v>
      </c>
      <c r="CC12" s="1197">
        <v>2.901809402525735</v>
      </c>
      <c r="CD12" s="1239">
        <v>12</v>
      </c>
      <c r="CE12" s="1239">
        <v>4.08</v>
      </c>
      <c r="CF12" s="1131">
        <v>930</v>
      </c>
      <c r="CG12" s="1197">
        <v>3.7944</v>
      </c>
      <c r="CH12" s="1240">
        <v>22.725411764705882</v>
      </c>
      <c r="CI12" s="1131">
        <v>35.907237610102939</v>
      </c>
      <c r="CJ12" s="1131">
        <v>103.59941474598138</v>
      </c>
      <c r="CK12" s="1131" t="s">
        <v>574</v>
      </c>
      <c r="CL12" s="1131" t="s">
        <v>527</v>
      </c>
      <c r="CM12" s="1131" t="s">
        <v>527</v>
      </c>
      <c r="CN12" s="1131">
        <v>33</v>
      </c>
      <c r="CO12" s="1131">
        <v>390</v>
      </c>
      <c r="CP12" s="1197">
        <v>12.897777777777778</v>
      </c>
      <c r="CQ12" s="1131">
        <v>46.458352941176464</v>
      </c>
      <c r="CR12" s="1131">
        <v>86.709918560836286</v>
      </c>
      <c r="CS12" s="1131">
        <v>-2</v>
      </c>
      <c r="CT12" s="1131">
        <v>40.005803921568628</v>
      </c>
      <c r="CU12" s="1131">
        <v>570</v>
      </c>
      <c r="CV12" s="1197">
        <v>22.972935875277912</v>
      </c>
      <c r="CW12" s="1129"/>
      <c r="CX12" s="1131"/>
      <c r="CY12" s="1197">
        <v>0</v>
      </c>
      <c r="DA12" s="637">
        <f t="shared" si="0"/>
        <v>0</v>
      </c>
      <c r="DB12" s="379">
        <f t="shared" si="1"/>
        <v>0</v>
      </c>
      <c r="DC12" s="379">
        <f t="shared" si="2"/>
        <v>0</v>
      </c>
      <c r="DD12" s="1238">
        <f t="shared" si="3"/>
        <v>0</v>
      </c>
      <c r="DE12" s="1129">
        <f t="shared" si="4"/>
        <v>0</v>
      </c>
      <c r="DF12" s="1129">
        <f t="shared" si="5"/>
        <v>0</v>
      </c>
      <c r="DG12" s="1129">
        <f t="shared" si="6"/>
        <v>0</v>
      </c>
      <c r="DH12" s="1129">
        <f t="shared" si="7"/>
        <v>0</v>
      </c>
      <c r="DI12" s="1129">
        <f t="shared" si="8"/>
        <v>0</v>
      </c>
      <c r="DJ12" s="1237">
        <f t="shared" si="9"/>
        <v>0</v>
      </c>
      <c r="DK12" s="1240">
        <f t="shared" si="10"/>
        <v>3</v>
      </c>
      <c r="DL12" s="1129">
        <f t="shared" si="11"/>
        <v>0</v>
      </c>
      <c r="DM12" s="1131">
        <f t="shared" si="12"/>
        <v>4.2299999999999995</v>
      </c>
      <c r="DN12" s="1241">
        <f t="shared" si="13"/>
        <v>0</v>
      </c>
      <c r="DO12" s="1239">
        <f t="shared" si="14"/>
        <v>130</v>
      </c>
      <c r="DP12" s="1131">
        <f t="shared" si="15"/>
        <v>-69.028571428571425</v>
      </c>
      <c r="DQ12" s="1239">
        <f t="shared" si="16"/>
        <v>-0.77142857142857146</v>
      </c>
      <c r="DR12" s="1239">
        <f t="shared" si="17"/>
        <v>-9.6072376101029402</v>
      </c>
      <c r="DS12" s="1239">
        <f t="shared" si="18"/>
        <v>2.5572322376606325</v>
      </c>
      <c r="DT12" s="1239">
        <f t="shared" si="19"/>
        <v>-5.3750438779092082</v>
      </c>
      <c r="DU12" s="1131">
        <f t="shared" si="20"/>
        <v>-104</v>
      </c>
      <c r="DV12" s="1131" t="e">
        <f>#REF!-CB12</f>
        <v>#REF!</v>
      </c>
      <c r="DW12" s="1197">
        <f t="shared" si="21"/>
        <v>-1.99190911762545</v>
      </c>
      <c r="DX12" s="1239">
        <f t="shared" si="22"/>
        <v>-2.3333333333333339</v>
      </c>
      <c r="DY12" s="1239">
        <f t="shared" si="23"/>
        <v>-0.79333333333333345</v>
      </c>
      <c r="DZ12" s="1131">
        <f t="shared" si="24"/>
        <v>160</v>
      </c>
      <c r="EA12" s="1197">
        <f t="shared" si="25"/>
        <v>-0.21193333333333308</v>
      </c>
      <c r="EB12" s="1240">
        <f t="shared" si="26"/>
        <v>2.1611701960784266</v>
      </c>
      <c r="EC12" s="1131">
        <f t="shared" si="27"/>
        <v>2.3249561220907964</v>
      </c>
      <c r="ED12" s="1131">
        <f t="shared" si="28"/>
        <v>31.600585254018611</v>
      </c>
      <c r="EE12" s="1131" t="e">
        <f t="shared" si="29"/>
        <v>#VALUE!</v>
      </c>
      <c r="EF12" s="1131" t="e">
        <f t="shared" si="30"/>
        <v>#VALUE!</v>
      </c>
      <c r="EG12" s="1131" t="e">
        <f t="shared" si="31"/>
        <v>#VALUE!</v>
      </c>
      <c r="EH12" s="1131">
        <f t="shared" si="32"/>
        <v>23.843444705882348</v>
      </c>
      <c r="EI12" s="1131">
        <f t="shared" si="33"/>
        <v>-310</v>
      </c>
      <c r="EJ12" s="1197">
        <f t="shared" si="34"/>
        <v>-12.897777777777778</v>
      </c>
      <c r="EK12" s="1131">
        <f t="shared" si="35"/>
        <v>-27.472941176470577</v>
      </c>
      <c r="EL12" s="1131">
        <f t="shared" si="36"/>
        <v>125.47404931542781</v>
      </c>
      <c r="EM12" s="1131">
        <f t="shared" si="37"/>
        <v>1.7827595181439615</v>
      </c>
      <c r="EN12" s="1131">
        <f t="shared" si="40"/>
        <v>-24.861119607843136</v>
      </c>
      <c r="EO12" s="1131">
        <f t="shared" si="41"/>
        <v>270</v>
      </c>
      <c r="EP12" s="1197">
        <f t="shared" si="42"/>
        <v>-10.212747082774399</v>
      </c>
      <c r="EQ12" s="1129">
        <f t="shared" si="43"/>
        <v>0</v>
      </c>
      <c r="ER12" s="1131">
        <f t="shared" si="44"/>
        <v>0</v>
      </c>
      <c r="ES12" s="1197">
        <f t="shared" si="45"/>
        <v>0</v>
      </c>
    </row>
    <row r="13" spans="1:149">
      <c r="A13" s="633">
        <f>Eingabedaten!A16</f>
        <v>3.04</v>
      </c>
      <c r="B13" s="463" t="str">
        <f>Eingabedaten!C16</f>
        <v>Schalterhalle, Empfang</v>
      </c>
      <c r="C13" s="637"/>
      <c r="D13" s="379"/>
      <c r="E13" s="379"/>
      <c r="F13" s="1238"/>
      <c r="G13" s="1129"/>
      <c r="H13" s="1129"/>
      <c r="I13" s="1129"/>
      <c r="J13" s="1129"/>
      <c r="K13" s="1129"/>
      <c r="L13" s="1129"/>
      <c r="M13" s="1129"/>
      <c r="N13" s="1237"/>
      <c r="O13" s="1240">
        <v>2</v>
      </c>
      <c r="P13" s="1131">
        <v>0</v>
      </c>
      <c r="Q13" s="1129">
        <v>2910</v>
      </c>
      <c r="R13" s="1131">
        <v>5.82</v>
      </c>
      <c r="S13" s="1239">
        <v>5.82</v>
      </c>
      <c r="T13" s="1131">
        <v>0</v>
      </c>
      <c r="U13" s="1240"/>
      <c r="V13" s="1240">
        <v>130</v>
      </c>
      <c r="W13" s="1834">
        <v>0.81407035175879394</v>
      </c>
      <c r="X13" s="1239"/>
      <c r="Y13" s="1239">
        <v>2</v>
      </c>
      <c r="Z13" s="1239">
        <v>3.3523220403987515</v>
      </c>
      <c r="AA13" s="1239">
        <v>3.5434472934472931</v>
      </c>
      <c r="AB13" s="1131">
        <v>700</v>
      </c>
      <c r="AC13" s="1243">
        <v>2.4804131054131053</v>
      </c>
      <c r="AD13" s="1242">
        <v>2.4166666666666665</v>
      </c>
      <c r="AE13" s="1131">
        <v>3290</v>
      </c>
      <c r="AF13" s="1239">
        <v>0.82166666666666666</v>
      </c>
      <c r="AG13" s="1131">
        <v>2740</v>
      </c>
      <c r="AH13" s="1197">
        <v>2.2513666666666667</v>
      </c>
      <c r="AI13" s="1240">
        <v>15.03429019607843</v>
      </c>
      <c r="AJ13" s="1131">
        <v>12.543447293447294</v>
      </c>
      <c r="AK13" s="1131">
        <v>72.600000000000023</v>
      </c>
      <c r="AL13" s="1131" t="s">
        <v>1317</v>
      </c>
      <c r="AM13" s="1131" t="s">
        <v>1317</v>
      </c>
      <c r="AN13" s="1131" t="s">
        <v>1317</v>
      </c>
      <c r="AO13" s="1131">
        <v>19.304416242668005</v>
      </c>
      <c r="AP13" s="1239">
        <v>22.354390588235297</v>
      </c>
      <c r="AQ13" s="1131">
        <v>22.354390588235297</v>
      </c>
      <c r="AR13" s="1131">
        <v>120</v>
      </c>
      <c r="AS13" s="1243">
        <v>2.7727382550737736</v>
      </c>
      <c r="AT13" s="1197">
        <v>0</v>
      </c>
      <c r="AU13" s="1131">
        <v>59.843764705882357</v>
      </c>
      <c r="AV13" s="1131">
        <v>244.47659788626066</v>
      </c>
      <c r="AW13" s="1131">
        <v>0</v>
      </c>
      <c r="AX13" s="1239">
        <v>11.428496732026145</v>
      </c>
      <c r="AY13" s="1131">
        <v>770</v>
      </c>
      <c r="AZ13" s="1242">
        <v>0.3628234398782344</v>
      </c>
      <c r="BA13" s="1243">
        <v>8.833679631660992</v>
      </c>
      <c r="BB13" s="1129"/>
      <c r="BC13" s="1131"/>
      <c r="BD13" s="1197">
        <v>0</v>
      </c>
      <c r="BG13" s="637"/>
      <c r="BH13" s="379"/>
      <c r="BI13" s="379"/>
      <c r="BJ13" s="1238"/>
      <c r="BK13" s="1129"/>
      <c r="BL13" s="1129"/>
      <c r="BM13" s="1129"/>
      <c r="BN13" s="1129"/>
      <c r="BO13" s="1129"/>
      <c r="BP13" s="1237"/>
      <c r="BQ13" s="1240">
        <v>1.5</v>
      </c>
      <c r="BR13" s="1129">
        <v>1930</v>
      </c>
      <c r="BS13" s="1131">
        <v>2.895</v>
      </c>
      <c r="BT13" s="1241"/>
      <c r="BU13" s="1239"/>
      <c r="BV13" s="1131">
        <v>59.8</v>
      </c>
      <c r="BW13" s="1239">
        <v>0.81407035175879394</v>
      </c>
      <c r="BX13" s="1239">
        <v>7.7031462901028132</v>
      </c>
      <c r="BY13" s="1239">
        <v>0</v>
      </c>
      <c r="BZ13" s="1239">
        <v>7.7031462901028132</v>
      </c>
      <c r="CA13" s="1131">
        <v>740</v>
      </c>
      <c r="CB13" s="1131">
        <v>0</v>
      </c>
      <c r="CC13" s="1197">
        <v>5.7003282546760818</v>
      </c>
      <c r="CD13" s="1239">
        <v>2.5</v>
      </c>
      <c r="CE13" s="1239">
        <v>0.85000000000000009</v>
      </c>
      <c r="CF13" s="1131">
        <v>1630</v>
      </c>
      <c r="CG13" s="1197">
        <v>1.3855000000000002</v>
      </c>
      <c r="CH13" s="1240">
        <v>13.134274509803921</v>
      </c>
      <c r="CI13" s="1131">
        <v>15.003146290102812</v>
      </c>
      <c r="CJ13" s="1131">
        <v>69.256972067864965</v>
      </c>
      <c r="CK13" s="1131" t="s">
        <v>574</v>
      </c>
      <c r="CL13" s="1131" t="s">
        <v>574</v>
      </c>
      <c r="CM13" s="1131" t="s">
        <v>574</v>
      </c>
      <c r="CN13" s="1131">
        <v>16</v>
      </c>
      <c r="CO13" s="1131">
        <v>650</v>
      </c>
      <c r="CP13" s="1197">
        <v>10.395833333333334</v>
      </c>
      <c r="CQ13" s="1131">
        <v>75.504941176470595</v>
      </c>
      <c r="CR13" s="1131">
        <v>193.7674511368169</v>
      </c>
      <c r="CS13" s="1131">
        <v>-1</v>
      </c>
      <c r="CT13" s="1131">
        <v>15.205856209150328</v>
      </c>
      <c r="CU13" s="1131">
        <v>780</v>
      </c>
      <c r="CV13" s="1197">
        <v>11.853382473997458</v>
      </c>
      <c r="CW13" s="1129"/>
      <c r="CX13" s="1131"/>
      <c r="CY13" s="1197">
        <v>0</v>
      </c>
      <c r="DA13" s="637">
        <f t="shared" si="0"/>
        <v>0</v>
      </c>
      <c r="DB13" s="379">
        <f t="shared" si="1"/>
        <v>0</v>
      </c>
      <c r="DC13" s="379">
        <f t="shared" si="2"/>
        <v>0</v>
      </c>
      <c r="DD13" s="1238">
        <f t="shared" si="3"/>
        <v>0</v>
      </c>
      <c r="DE13" s="1129">
        <f t="shared" si="4"/>
        <v>0</v>
      </c>
      <c r="DF13" s="1129">
        <f t="shared" si="5"/>
        <v>0</v>
      </c>
      <c r="DG13" s="1129">
        <f t="shared" si="6"/>
        <v>0</v>
      </c>
      <c r="DH13" s="1129">
        <f t="shared" si="7"/>
        <v>0</v>
      </c>
      <c r="DI13" s="1129">
        <f t="shared" si="8"/>
        <v>0</v>
      </c>
      <c r="DJ13" s="1237">
        <f t="shared" si="9"/>
        <v>0</v>
      </c>
      <c r="DK13" s="1240">
        <f t="shared" si="10"/>
        <v>0.5</v>
      </c>
      <c r="DL13" s="1129">
        <f t="shared" si="11"/>
        <v>980</v>
      </c>
      <c r="DM13" s="1131">
        <f t="shared" si="12"/>
        <v>2.9250000000000003</v>
      </c>
      <c r="DN13" s="1241">
        <f t="shared" si="13"/>
        <v>0</v>
      </c>
      <c r="DO13" s="1239">
        <f t="shared" si="14"/>
        <v>130</v>
      </c>
      <c r="DP13" s="1131">
        <f t="shared" si="15"/>
        <v>-58.985929648241203</v>
      </c>
      <c r="DQ13" s="1239">
        <f t="shared" si="16"/>
        <v>-0.81407035175879394</v>
      </c>
      <c r="DR13" s="1239">
        <f t="shared" si="17"/>
        <v>-5.7031462901028132</v>
      </c>
      <c r="DS13" s="1239">
        <f t="shared" si="18"/>
        <v>3.3523220403987515</v>
      </c>
      <c r="DT13" s="1239">
        <f t="shared" si="19"/>
        <v>-4.1596989966555196</v>
      </c>
      <c r="DU13" s="1131">
        <f t="shared" si="20"/>
        <v>-40</v>
      </c>
      <c r="DV13" s="1131" t="e">
        <f>#REF!-CB13</f>
        <v>#REF!</v>
      </c>
      <c r="DW13" s="1197">
        <f t="shared" si="21"/>
        <v>-3.2199151492629765</v>
      </c>
      <c r="DX13" s="1239">
        <f t="shared" si="22"/>
        <v>-8.3333333333333481E-2</v>
      </c>
      <c r="DY13" s="1239">
        <f t="shared" si="23"/>
        <v>-2.8333333333333433E-2</v>
      </c>
      <c r="DZ13" s="1131">
        <f t="shared" si="24"/>
        <v>1110</v>
      </c>
      <c r="EA13" s="1197">
        <f t="shared" si="25"/>
        <v>0.86586666666666656</v>
      </c>
      <c r="EB13" s="1240">
        <f t="shared" si="26"/>
        <v>1.900015686274509</v>
      </c>
      <c r="EC13" s="1131">
        <f t="shared" si="27"/>
        <v>-2.4596989966555185</v>
      </c>
      <c r="ED13" s="1131">
        <f t="shared" si="28"/>
        <v>3.3430279321350582</v>
      </c>
      <c r="EE13" s="1131" t="e">
        <f t="shared" si="29"/>
        <v>#VALUE!</v>
      </c>
      <c r="EF13" s="1131" t="e">
        <f t="shared" si="30"/>
        <v>#VALUE!</v>
      </c>
      <c r="EG13" s="1131" t="e">
        <f t="shared" si="31"/>
        <v>#VALUE!</v>
      </c>
      <c r="EH13" s="1131">
        <f t="shared" si="32"/>
        <v>6.3543905882352973</v>
      </c>
      <c r="EI13" s="1131">
        <f t="shared" si="33"/>
        <v>-530</v>
      </c>
      <c r="EJ13" s="1197">
        <f t="shared" si="34"/>
        <v>-10.395833333333334</v>
      </c>
      <c r="EK13" s="1131">
        <f t="shared" si="35"/>
        <v>-15.661176470588238</v>
      </c>
      <c r="EL13" s="1131">
        <f t="shared" si="36"/>
        <v>50.709146749443761</v>
      </c>
      <c r="EM13" s="1131">
        <f t="shared" si="37"/>
        <v>1</v>
      </c>
      <c r="EN13" s="1131">
        <f t="shared" si="40"/>
        <v>-3.7773594771241825</v>
      </c>
      <c r="EO13" s="1131">
        <f t="shared" si="41"/>
        <v>-10</v>
      </c>
      <c r="EP13" s="1197">
        <f t="shared" si="42"/>
        <v>-3.019702842336466</v>
      </c>
      <c r="EQ13" s="1129">
        <f t="shared" si="43"/>
        <v>0</v>
      </c>
      <c r="ER13" s="1131">
        <f t="shared" si="44"/>
        <v>0</v>
      </c>
      <c r="ES13" s="1197">
        <f t="shared" si="45"/>
        <v>0</v>
      </c>
    </row>
    <row r="14" spans="1:149">
      <c r="A14" s="1301">
        <f>Eingabedaten!A17</f>
        <v>4.01</v>
      </c>
      <c r="B14" s="388" t="str">
        <f>Eingabedaten!C17</f>
        <v>Schulzimmer</v>
      </c>
      <c r="C14" s="653"/>
      <c r="D14" s="386"/>
      <c r="E14" s="386"/>
      <c r="F14" s="1247"/>
      <c r="G14" s="1248"/>
      <c r="H14" s="1248"/>
      <c r="I14" s="1253"/>
      <c r="J14" s="1253"/>
      <c r="K14" s="1248"/>
      <c r="L14" s="1248"/>
      <c r="M14" s="1248"/>
      <c r="N14" s="1250"/>
      <c r="O14" s="1251">
        <v>4</v>
      </c>
      <c r="P14" s="1132">
        <v>0</v>
      </c>
      <c r="Q14" s="1248">
        <v>1770</v>
      </c>
      <c r="R14" s="1132">
        <v>7.08</v>
      </c>
      <c r="S14" s="1249">
        <v>7.08</v>
      </c>
      <c r="T14" s="1132">
        <v>0</v>
      </c>
      <c r="U14" s="1251"/>
      <c r="V14" s="1251">
        <v>130</v>
      </c>
      <c r="W14" s="1835">
        <v>0.87297921478060048</v>
      </c>
      <c r="X14" s="1249"/>
      <c r="Y14" s="1249">
        <v>2</v>
      </c>
      <c r="Z14" s="1249">
        <v>3.6324313186097918</v>
      </c>
      <c r="AA14" s="1249">
        <v>5.5072242572242578</v>
      </c>
      <c r="AB14" s="1132">
        <v>331</v>
      </c>
      <c r="AC14" s="1254">
        <v>1.8228912291412294</v>
      </c>
      <c r="AD14" s="1253">
        <v>7.25</v>
      </c>
      <c r="AE14" s="1132">
        <v>2070</v>
      </c>
      <c r="AF14" s="1249">
        <v>1.6167500000000001</v>
      </c>
      <c r="AG14" s="1132">
        <v>1720</v>
      </c>
      <c r="AH14" s="1198">
        <v>2.7808100000000002</v>
      </c>
      <c r="AI14" s="1251">
        <v>20.895359999999997</v>
      </c>
      <c r="AJ14" s="1132">
        <v>30.507224257224259</v>
      </c>
      <c r="AK14" s="1132">
        <v>194.4</v>
      </c>
      <c r="AL14" s="1132" t="s">
        <v>527</v>
      </c>
      <c r="AM14" s="1132" t="s">
        <v>528</v>
      </c>
      <c r="AN14" s="1132" t="s">
        <v>528</v>
      </c>
      <c r="AO14" s="1132">
        <v>35.981808980056975</v>
      </c>
      <c r="AP14" s="1249">
        <v>43.880469243697476</v>
      </c>
      <c r="AQ14" s="1132">
        <v>43.880469243697476</v>
      </c>
      <c r="AR14" s="1132">
        <v>130</v>
      </c>
      <c r="AS14" s="1254">
        <v>5.8918493130591285</v>
      </c>
      <c r="AT14" s="1198">
        <v>0</v>
      </c>
      <c r="AU14" s="1132">
        <v>35.32</v>
      </c>
      <c r="AV14" s="1132">
        <v>210.87202718006796</v>
      </c>
      <c r="AW14" s="1132">
        <v>-0.23691959229898085</v>
      </c>
      <c r="AX14" s="1249">
        <v>14.499828571428573</v>
      </c>
      <c r="AY14" s="1132">
        <v>780</v>
      </c>
      <c r="AZ14" s="1253">
        <v>0.56943493150684932</v>
      </c>
      <c r="BA14" s="1254">
        <v>11.376908438645764</v>
      </c>
      <c r="BB14" s="1248"/>
      <c r="BC14" s="1132"/>
      <c r="BD14" s="1254">
        <v>3.9675039041095888</v>
      </c>
      <c r="BG14" s="653"/>
      <c r="BH14" s="386"/>
      <c r="BI14" s="386"/>
      <c r="BJ14" s="1247"/>
      <c r="BK14" s="1248"/>
      <c r="BL14" s="1248"/>
      <c r="BM14" s="1253"/>
      <c r="BN14" s="1248"/>
      <c r="BO14" s="1248"/>
      <c r="BP14" s="1250"/>
      <c r="BQ14" s="1251">
        <v>2</v>
      </c>
      <c r="BR14" s="1248">
        <v>1770</v>
      </c>
      <c r="BS14" s="1132">
        <v>3.54</v>
      </c>
      <c r="BT14" s="1252"/>
      <c r="BU14" s="1249"/>
      <c r="BV14" s="1132">
        <v>69.8</v>
      </c>
      <c r="BW14" s="1249">
        <v>0.87297921478060048</v>
      </c>
      <c r="BX14" s="1249">
        <v>10.257007928927699</v>
      </c>
      <c r="BY14" s="1249">
        <v>0</v>
      </c>
      <c r="BZ14" s="1249">
        <v>10.257007928927699</v>
      </c>
      <c r="CA14" s="1132">
        <v>560</v>
      </c>
      <c r="CB14" s="1132">
        <v>0</v>
      </c>
      <c r="CC14" s="1198">
        <v>5.7439244401995113</v>
      </c>
      <c r="CD14" s="1249">
        <v>8.3333333333333339</v>
      </c>
      <c r="CE14" s="1249">
        <v>2.8333333333333339</v>
      </c>
      <c r="CF14" s="1132">
        <v>1340</v>
      </c>
      <c r="CG14" s="1198">
        <v>3.7966666666666673</v>
      </c>
      <c r="CH14" s="1251">
        <v>19.003294117647059</v>
      </c>
      <c r="CI14" s="1132">
        <v>35.557007928927703</v>
      </c>
      <c r="CJ14" s="1132">
        <v>213.82846157505216</v>
      </c>
      <c r="CK14" s="1132" t="s">
        <v>528</v>
      </c>
      <c r="CL14" s="1132" t="s">
        <v>528</v>
      </c>
      <c r="CM14" s="1132" t="s">
        <v>528</v>
      </c>
      <c r="CN14" s="1132">
        <v>31</v>
      </c>
      <c r="CO14" s="1132">
        <v>540</v>
      </c>
      <c r="CP14" s="1198">
        <v>16.87442857142857</v>
      </c>
      <c r="CQ14" s="1132">
        <v>71.881568627450974</v>
      </c>
      <c r="CR14" s="1132">
        <v>103.61487850385711</v>
      </c>
      <c r="CS14" s="1132">
        <v>-1</v>
      </c>
      <c r="CT14" s="1132">
        <v>30.806386554621842</v>
      </c>
      <c r="CU14" s="1132">
        <v>750</v>
      </c>
      <c r="CV14" s="1198">
        <v>23.006789220406858</v>
      </c>
      <c r="CW14" s="1248"/>
      <c r="CX14" s="1132"/>
      <c r="CY14" s="1198">
        <v>5.290005205479452</v>
      </c>
      <c r="DA14" s="653">
        <f t="shared" si="0"/>
        <v>0</v>
      </c>
      <c r="DB14" s="386">
        <f t="shared" si="1"/>
        <v>0</v>
      </c>
      <c r="DC14" s="386">
        <f t="shared" si="2"/>
        <v>0</v>
      </c>
      <c r="DD14" s="1247">
        <f t="shared" si="3"/>
        <v>0</v>
      </c>
      <c r="DE14" s="1248">
        <f t="shared" si="4"/>
        <v>0</v>
      </c>
      <c r="DF14" s="1248">
        <f t="shared" si="5"/>
        <v>0</v>
      </c>
      <c r="DG14" s="1253">
        <f t="shared" si="6"/>
        <v>0</v>
      </c>
      <c r="DH14" s="1248">
        <f t="shared" si="7"/>
        <v>0</v>
      </c>
      <c r="DI14" s="1248">
        <f t="shared" si="8"/>
        <v>0</v>
      </c>
      <c r="DJ14" s="1250">
        <f t="shared" si="9"/>
        <v>0</v>
      </c>
      <c r="DK14" s="1251">
        <f t="shared" si="10"/>
        <v>2</v>
      </c>
      <c r="DL14" s="1248">
        <f t="shared" si="11"/>
        <v>0</v>
      </c>
      <c r="DM14" s="1132">
        <f t="shared" si="12"/>
        <v>3.54</v>
      </c>
      <c r="DN14" s="1252">
        <f t="shared" si="13"/>
        <v>0</v>
      </c>
      <c r="DO14" s="1249">
        <f t="shared" si="14"/>
        <v>130</v>
      </c>
      <c r="DP14" s="1132">
        <f t="shared" si="15"/>
        <v>-68.927020785219398</v>
      </c>
      <c r="DQ14" s="1249">
        <f t="shared" si="16"/>
        <v>-0.87297921478060048</v>
      </c>
      <c r="DR14" s="1249">
        <f t="shared" si="17"/>
        <v>-8.257007928927699</v>
      </c>
      <c r="DS14" s="1249">
        <f t="shared" si="18"/>
        <v>3.6324313186097918</v>
      </c>
      <c r="DT14" s="1249">
        <f t="shared" si="19"/>
        <v>-4.7497836717034412</v>
      </c>
      <c r="DU14" s="1132">
        <f t="shared" si="20"/>
        <v>-229</v>
      </c>
      <c r="DV14" s="1132" t="e">
        <f>#REF!-CB14</f>
        <v>#REF!</v>
      </c>
      <c r="DW14" s="1198">
        <f t="shared" si="21"/>
        <v>-3.921033211058282</v>
      </c>
      <c r="DX14" s="1249">
        <f t="shared" si="22"/>
        <v>-1.0833333333333339</v>
      </c>
      <c r="DY14" s="1249">
        <f t="shared" si="23"/>
        <v>-1.2165833333333338</v>
      </c>
      <c r="DZ14" s="1132">
        <f t="shared" si="24"/>
        <v>380</v>
      </c>
      <c r="EA14" s="1198">
        <f t="shared" si="25"/>
        <v>-1.0158566666666671</v>
      </c>
      <c r="EB14" s="1251">
        <f t="shared" si="26"/>
        <v>1.8920658823529379</v>
      </c>
      <c r="EC14" s="1132">
        <f t="shared" si="27"/>
        <v>-5.0497836717034446</v>
      </c>
      <c r="ED14" s="1132">
        <f t="shared" si="28"/>
        <v>-19.428461575052154</v>
      </c>
      <c r="EE14" s="1132" t="e">
        <f t="shared" si="29"/>
        <v>#VALUE!</v>
      </c>
      <c r="EF14" s="1132" t="e">
        <f t="shared" si="30"/>
        <v>#VALUE!</v>
      </c>
      <c r="EG14" s="1132" t="e">
        <f t="shared" si="31"/>
        <v>#VALUE!</v>
      </c>
      <c r="EH14" s="1132">
        <f t="shared" si="32"/>
        <v>12.880469243697476</v>
      </c>
      <c r="EI14" s="1132">
        <f t="shared" si="33"/>
        <v>-410</v>
      </c>
      <c r="EJ14" s="1198">
        <f t="shared" si="34"/>
        <v>-16.87442857142857</v>
      </c>
      <c r="EK14" s="1132">
        <f t="shared" si="35"/>
        <v>-36.561568627450974</v>
      </c>
      <c r="EL14" s="1132">
        <f t="shared" si="36"/>
        <v>107.25714867621085</v>
      </c>
      <c r="EM14" s="1132">
        <f t="shared" si="37"/>
        <v>0.76308040770101915</v>
      </c>
      <c r="EN14" s="1132">
        <f t="shared" si="40"/>
        <v>-16.306557983193269</v>
      </c>
      <c r="EO14" s="1132">
        <f t="shared" si="41"/>
        <v>30</v>
      </c>
      <c r="EP14" s="1198">
        <f t="shared" si="42"/>
        <v>-11.629880781761095</v>
      </c>
      <c r="EQ14" s="1248">
        <f t="shared" si="43"/>
        <v>0</v>
      </c>
      <c r="ER14" s="1132">
        <f t="shared" si="44"/>
        <v>0</v>
      </c>
      <c r="ES14" s="1198">
        <f t="shared" si="45"/>
        <v>-1.3225013013698632</v>
      </c>
    </row>
    <row r="15" spans="1:149">
      <c r="A15" s="633">
        <f>Eingabedaten!A18</f>
        <v>4.0199999999999996</v>
      </c>
      <c r="B15" s="463" t="str">
        <f>Eingabedaten!C18</f>
        <v>Lehrerzimmer</v>
      </c>
      <c r="C15" s="637"/>
      <c r="D15" s="379"/>
      <c r="E15" s="379"/>
      <c r="F15" s="1238"/>
      <c r="G15" s="1129"/>
      <c r="H15" s="1129"/>
      <c r="I15" s="1242"/>
      <c r="J15" s="1242"/>
      <c r="K15" s="1129"/>
      <c r="L15" s="1129"/>
      <c r="M15" s="1129"/>
      <c r="N15" s="1237"/>
      <c r="O15" s="1240">
        <v>2</v>
      </c>
      <c r="P15" s="1131">
        <v>0</v>
      </c>
      <c r="Q15" s="1129">
        <v>1510</v>
      </c>
      <c r="R15" s="1131">
        <v>3.02</v>
      </c>
      <c r="S15" s="1239">
        <v>3.02</v>
      </c>
      <c r="T15" s="1131">
        <v>0</v>
      </c>
      <c r="U15" s="1240"/>
      <c r="V15" s="1240">
        <v>130</v>
      </c>
      <c r="W15" s="1834">
        <v>0.77142857142857146</v>
      </c>
      <c r="X15" s="1239"/>
      <c r="Y15" s="1239">
        <v>2</v>
      </c>
      <c r="Z15" s="1239">
        <v>2</v>
      </c>
      <c r="AA15" s="1239">
        <v>3.7393162393162394</v>
      </c>
      <c r="AB15" s="1131">
        <v>182</v>
      </c>
      <c r="AC15" s="1243">
        <v>0.68055555555555558</v>
      </c>
      <c r="AD15" s="1242">
        <v>7.25</v>
      </c>
      <c r="AE15" s="1131">
        <v>1670</v>
      </c>
      <c r="AF15" s="1239">
        <v>1.6167500000000001</v>
      </c>
      <c r="AG15" s="1131">
        <v>1200</v>
      </c>
      <c r="AH15" s="1197">
        <v>1.9401000000000002</v>
      </c>
      <c r="AI15" s="1240">
        <v>22.986710588235297</v>
      </c>
      <c r="AJ15" s="1131">
        <v>26.739316239316238</v>
      </c>
      <c r="AK15" s="1131">
        <v>140.6</v>
      </c>
      <c r="AL15" s="1131" t="s">
        <v>527</v>
      </c>
      <c r="AM15" s="1131" t="s">
        <v>528</v>
      </c>
      <c r="AN15" s="1131" t="s">
        <v>528</v>
      </c>
      <c r="AO15" s="1131">
        <v>34.808218779286072</v>
      </c>
      <c r="AP15" s="1239">
        <v>34.215742745098041</v>
      </c>
      <c r="AQ15" s="1131">
        <v>34.215742745098041</v>
      </c>
      <c r="AR15" s="1131">
        <v>90</v>
      </c>
      <c r="AS15" s="1243">
        <v>3.0089743575012369</v>
      </c>
      <c r="AT15" s="1197">
        <v>0</v>
      </c>
      <c r="AU15" s="1131">
        <v>21.314823529411765</v>
      </c>
      <c r="AV15" s="1131">
        <v>196.59557557292359</v>
      </c>
      <c r="AW15" s="1131">
        <v>-0.45106636640614628</v>
      </c>
      <c r="AX15" s="1239">
        <v>17.141301960784315</v>
      </c>
      <c r="AY15" s="1131">
        <v>1010</v>
      </c>
      <c r="AZ15" s="1242">
        <v>0.48838470319634708</v>
      </c>
      <c r="BA15" s="1243">
        <v>17.354539749863328</v>
      </c>
      <c r="BB15" s="1129"/>
      <c r="BC15" s="1131"/>
      <c r="BD15" s="1197">
        <v>0</v>
      </c>
      <c r="BG15" s="637"/>
      <c r="BH15" s="379"/>
      <c r="BI15" s="379"/>
      <c r="BJ15" s="1238"/>
      <c r="BK15" s="1129"/>
      <c r="BL15" s="1129"/>
      <c r="BM15" s="1242"/>
      <c r="BN15" s="1129"/>
      <c r="BO15" s="1129"/>
      <c r="BP15" s="1237"/>
      <c r="BQ15" s="1240">
        <v>2</v>
      </c>
      <c r="BR15" s="1129">
        <v>1510</v>
      </c>
      <c r="BS15" s="1131">
        <v>3.02</v>
      </c>
      <c r="BT15" s="1241"/>
      <c r="BU15" s="1239"/>
      <c r="BV15" s="1131">
        <v>59.8</v>
      </c>
      <c r="BW15" s="1239">
        <v>0.77142857142857146</v>
      </c>
      <c r="BX15" s="1239">
        <v>8.1289483463396515</v>
      </c>
      <c r="BY15" s="1239">
        <v>0</v>
      </c>
      <c r="BZ15" s="1239">
        <v>8.1289483463396515</v>
      </c>
      <c r="CA15" s="1131">
        <v>370</v>
      </c>
      <c r="CB15" s="1131">
        <v>0</v>
      </c>
      <c r="CC15" s="1197">
        <v>3.0077108881456711</v>
      </c>
      <c r="CD15" s="1239">
        <v>12</v>
      </c>
      <c r="CE15" s="1239">
        <v>4.08</v>
      </c>
      <c r="CF15" s="1131">
        <v>920</v>
      </c>
      <c r="CG15" s="1197">
        <v>3.7536</v>
      </c>
      <c r="CH15" s="1240">
        <v>23.113647058823531</v>
      </c>
      <c r="CI15" s="1131">
        <v>33.428948346339652</v>
      </c>
      <c r="CJ15" s="1131">
        <v>157.36252956450105</v>
      </c>
      <c r="CK15" s="1131" t="s">
        <v>527</v>
      </c>
      <c r="CL15" s="1131" t="s">
        <v>528</v>
      </c>
      <c r="CM15" s="1131" t="s">
        <v>528</v>
      </c>
      <c r="CN15" s="1131">
        <v>27</v>
      </c>
      <c r="CO15" s="1131">
        <v>490</v>
      </c>
      <c r="CP15" s="1197">
        <v>13.325555555555555</v>
      </c>
      <c r="CQ15" s="1131">
        <v>48.787764705882353</v>
      </c>
      <c r="CR15" s="1131">
        <v>85.890387175183761</v>
      </c>
      <c r="CS15" s="1131">
        <v>-2</v>
      </c>
      <c r="CT15" s="1131">
        <v>42.011686274509799</v>
      </c>
      <c r="CU15" s="1131">
        <v>740</v>
      </c>
      <c r="CV15" s="1197">
        <v>31.227650650083479</v>
      </c>
      <c r="CW15" s="1129"/>
      <c r="CX15" s="1131"/>
      <c r="CY15" s="1197">
        <v>0</v>
      </c>
      <c r="DA15" s="637">
        <f t="shared" si="0"/>
        <v>0</v>
      </c>
      <c r="DB15" s="379">
        <f t="shared" si="1"/>
        <v>0</v>
      </c>
      <c r="DC15" s="379">
        <f t="shared" si="2"/>
        <v>0</v>
      </c>
      <c r="DD15" s="1238">
        <f t="shared" si="3"/>
        <v>0</v>
      </c>
      <c r="DE15" s="1129">
        <f t="shared" si="4"/>
        <v>0</v>
      </c>
      <c r="DF15" s="1129">
        <f t="shared" si="5"/>
        <v>0</v>
      </c>
      <c r="DG15" s="1242">
        <f t="shared" si="6"/>
        <v>0</v>
      </c>
      <c r="DH15" s="1129">
        <f t="shared" si="7"/>
        <v>0</v>
      </c>
      <c r="DI15" s="1129">
        <f t="shared" si="8"/>
        <v>0</v>
      </c>
      <c r="DJ15" s="1237">
        <f t="shared" si="9"/>
        <v>0</v>
      </c>
      <c r="DK15" s="1240">
        <f t="shared" si="10"/>
        <v>0</v>
      </c>
      <c r="DL15" s="1129">
        <f t="shared" si="11"/>
        <v>0</v>
      </c>
      <c r="DM15" s="1131">
        <f t="shared" si="12"/>
        <v>0</v>
      </c>
      <c r="DN15" s="1241">
        <f t="shared" si="13"/>
        <v>0</v>
      </c>
      <c r="DO15" s="1239">
        <f t="shared" si="14"/>
        <v>130</v>
      </c>
      <c r="DP15" s="1131">
        <f t="shared" si="15"/>
        <v>-59.028571428571425</v>
      </c>
      <c r="DQ15" s="1239">
        <f t="shared" si="16"/>
        <v>-0.77142857142857146</v>
      </c>
      <c r="DR15" s="1239">
        <f t="shared" si="17"/>
        <v>-6.1289483463396515</v>
      </c>
      <c r="DS15" s="1239">
        <f t="shared" si="18"/>
        <v>2</v>
      </c>
      <c r="DT15" s="1239">
        <f t="shared" si="19"/>
        <v>-4.3896321070234121</v>
      </c>
      <c r="DU15" s="1131">
        <f t="shared" si="20"/>
        <v>-188</v>
      </c>
      <c r="DV15" s="1131" t="e">
        <f>#REF!-CB15</f>
        <v>#REF!</v>
      </c>
      <c r="DW15" s="1197">
        <f t="shared" si="21"/>
        <v>-2.3271553325901158</v>
      </c>
      <c r="DX15" s="1239">
        <f t="shared" si="22"/>
        <v>-4.75</v>
      </c>
      <c r="DY15" s="1239">
        <f t="shared" si="23"/>
        <v>-2.4632499999999999</v>
      </c>
      <c r="DZ15" s="1131">
        <f t="shared" si="24"/>
        <v>280</v>
      </c>
      <c r="EA15" s="1197">
        <f t="shared" si="25"/>
        <v>-1.8134999999999999</v>
      </c>
      <c r="EB15" s="1240">
        <f t="shared" si="26"/>
        <v>-0.12693647058823387</v>
      </c>
      <c r="EC15" s="1131">
        <f t="shared" si="27"/>
        <v>-6.6896321070234137</v>
      </c>
      <c r="ED15" s="1131">
        <f t="shared" si="28"/>
        <v>-16.762529564501051</v>
      </c>
      <c r="EE15" s="1131" t="e">
        <f t="shared" si="29"/>
        <v>#VALUE!</v>
      </c>
      <c r="EF15" s="1131" t="e">
        <f t="shared" si="30"/>
        <v>#VALUE!</v>
      </c>
      <c r="EG15" s="1131" t="e">
        <f t="shared" si="31"/>
        <v>#VALUE!</v>
      </c>
      <c r="EH15" s="1131">
        <f t="shared" si="32"/>
        <v>7.2157427450980407</v>
      </c>
      <c r="EI15" s="1131">
        <f t="shared" si="33"/>
        <v>-400</v>
      </c>
      <c r="EJ15" s="1197">
        <f t="shared" si="34"/>
        <v>-13.325555555555555</v>
      </c>
      <c r="EK15" s="1131">
        <f t="shared" si="35"/>
        <v>-27.472941176470588</v>
      </c>
      <c r="EL15" s="1131">
        <f t="shared" si="36"/>
        <v>110.70518839773983</v>
      </c>
      <c r="EM15" s="1131">
        <f t="shared" si="37"/>
        <v>1.5489336335938537</v>
      </c>
      <c r="EN15" s="1131">
        <f t="shared" si="40"/>
        <v>-24.870384313725484</v>
      </c>
      <c r="EO15" s="1131">
        <f t="shared" si="41"/>
        <v>270</v>
      </c>
      <c r="EP15" s="1197">
        <f t="shared" si="42"/>
        <v>-13.873110900220151</v>
      </c>
      <c r="EQ15" s="1129">
        <f t="shared" si="43"/>
        <v>0</v>
      </c>
      <c r="ER15" s="1131">
        <f t="shared" si="44"/>
        <v>0</v>
      </c>
      <c r="ES15" s="1197">
        <f t="shared" si="45"/>
        <v>0</v>
      </c>
    </row>
    <row r="16" spans="1:149">
      <c r="A16" s="633">
        <f>Eingabedaten!A19</f>
        <v>4.03</v>
      </c>
      <c r="B16" s="463" t="str">
        <f>Eingabedaten!C19</f>
        <v>Bibliothek</v>
      </c>
      <c r="C16" s="637"/>
      <c r="D16" s="379"/>
      <c r="E16" s="379"/>
      <c r="F16" s="1238"/>
      <c r="G16" s="1129"/>
      <c r="H16" s="1129"/>
      <c r="I16" s="1242"/>
      <c r="J16" s="1242"/>
      <c r="K16" s="1129"/>
      <c r="L16" s="1129"/>
      <c r="M16" s="1129"/>
      <c r="N16" s="1237"/>
      <c r="O16" s="1240">
        <v>1</v>
      </c>
      <c r="P16" s="1131">
        <v>0</v>
      </c>
      <c r="Q16" s="1129">
        <v>1510</v>
      </c>
      <c r="R16" s="1131">
        <v>1.51</v>
      </c>
      <c r="S16" s="1239">
        <v>1.51</v>
      </c>
      <c r="T16" s="1131">
        <v>0</v>
      </c>
      <c r="U16" s="1240"/>
      <c r="V16" s="1240">
        <v>130</v>
      </c>
      <c r="W16" s="1834">
        <v>0.98181818181818192</v>
      </c>
      <c r="X16" s="1239"/>
      <c r="Y16" s="1239">
        <v>2</v>
      </c>
      <c r="Z16" s="1239">
        <v>5.6576161953124684</v>
      </c>
      <c r="AA16" s="1239">
        <v>2.9380341880341878</v>
      </c>
      <c r="AB16" s="1131">
        <v>516</v>
      </c>
      <c r="AC16" s="1243">
        <v>1.516025641025641</v>
      </c>
      <c r="AD16" s="1242">
        <v>5.8</v>
      </c>
      <c r="AE16" s="1131">
        <v>1670</v>
      </c>
      <c r="AF16" s="1239">
        <v>1.2934000000000001</v>
      </c>
      <c r="AG16" s="1131">
        <v>1200</v>
      </c>
      <c r="AH16" s="1197">
        <v>1.5520800000000001</v>
      </c>
      <c r="AI16" s="1240">
        <v>12.13098729411765</v>
      </c>
      <c r="AJ16" s="1131">
        <v>20.738034188034188</v>
      </c>
      <c r="AK16" s="1131">
        <v>108.10000000000002</v>
      </c>
      <c r="AL16" s="1131" t="s">
        <v>1317</v>
      </c>
      <c r="AM16" s="1131" t="s">
        <v>527</v>
      </c>
      <c r="AN16" s="1131" t="s">
        <v>527</v>
      </c>
      <c r="AO16" s="1131">
        <v>23.008315037506286</v>
      </c>
      <c r="AP16" s="1239">
        <v>23.869516705882358</v>
      </c>
      <c r="AQ16" s="1131">
        <v>23.869516705882358</v>
      </c>
      <c r="AR16" s="1131">
        <v>110</v>
      </c>
      <c r="AS16" s="1243">
        <v>2.6413290890029235</v>
      </c>
      <c r="AT16" s="1197">
        <v>0</v>
      </c>
      <c r="AU16" s="1131">
        <v>49.541647058823528</v>
      </c>
      <c r="AV16" s="1131">
        <v>286.88589992020974</v>
      </c>
      <c r="AW16" s="1131">
        <v>0</v>
      </c>
      <c r="AX16" s="1239">
        <v>9.8051176470588253</v>
      </c>
      <c r="AY16" s="1131">
        <v>910</v>
      </c>
      <c r="AZ16" s="1242">
        <v>0.41927796803652972</v>
      </c>
      <c r="BA16" s="1243">
        <v>8.9350103846598863</v>
      </c>
      <c r="BB16" s="1129"/>
      <c r="BC16" s="1131"/>
      <c r="BD16" s="1197">
        <v>0</v>
      </c>
      <c r="BG16" s="637"/>
      <c r="BH16" s="379"/>
      <c r="BI16" s="379"/>
      <c r="BJ16" s="1238"/>
      <c r="BK16" s="1129"/>
      <c r="BL16" s="1129"/>
      <c r="BM16" s="1242"/>
      <c r="BN16" s="1129"/>
      <c r="BO16" s="1129"/>
      <c r="BP16" s="1237"/>
      <c r="BQ16" s="1240">
        <v>1</v>
      </c>
      <c r="BR16" s="1129">
        <v>1510</v>
      </c>
      <c r="BS16" s="1131">
        <v>1.51</v>
      </c>
      <c r="BT16" s="1241"/>
      <c r="BU16" s="1239"/>
      <c r="BV16" s="1131">
        <v>54.800000000000004</v>
      </c>
      <c r="BW16" s="1239">
        <v>0.98181818181818192</v>
      </c>
      <c r="BX16" s="1239">
        <v>4.6465260881319272</v>
      </c>
      <c r="BY16" s="1239">
        <v>0</v>
      </c>
      <c r="BZ16" s="1239">
        <v>4.6465260881319272</v>
      </c>
      <c r="CA16" s="1131">
        <v>640</v>
      </c>
      <c r="CB16" s="1131">
        <v>0</v>
      </c>
      <c r="CC16" s="1197">
        <v>2.9737766964044332</v>
      </c>
      <c r="CD16" s="1239">
        <v>7.2</v>
      </c>
      <c r="CE16" s="1239">
        <v>2.4480000000000004</v>
      </c>
      <c r="CF16" s="1131">
        <v>920</v>
      </c>
      <c r="CG16" s="1197">
        <v>2.2521600000000004</v>
      </c>
      <c r="CH16" s="1240">
        <v>12.161623529411766</v>
      </c>
      <c r="CI16" s="1131">
        <v>19.646526088131928</v>
      </c>
      <c r="CJ16" s="1131">
        <v>103.03676146058896</v>
      </c>
      <c r="CK16" s="1131" t="s">
        <v>574</v>
      </c>
      <c r="CL16" s="1131" t="s">
        <v>527</v>
      </c>
      <c r="CM16" s="1131" t="s">
        <v>527</v>
      </c>
      <c r="CN16" s="1131">
        <v>16</v>
      </c>
      <c r="CO16" s="1131">
        <v>490</v>
      </c>
      <c r="CP16" s="1197">
        <v>7.9001388888888888</v>
      </c>
      <c r="CQ16" s="1131">
        <v>112.0907294117647</v>
      </c>
      <c r="CR16" s="1131">
        <v>126.79728354509459</v>
      </c>
      <c r="CS16" s="1131">
        <v>-1</v>
      </c>
      <c r="CT16" s="1131">
        <v>23.352235294117648</v>
      </c>
      <c r="CU16" s="1131">
        <v>670</v>
      </c>
      <c r="CV16" s="1197">
        <v>15.546727187538359</v>
      </c>
      <c r="CW16" s="1129"/>
      <c r="CX16" s="1131"/>
      <c r="CY16" s="1197">
        <v>0</v>
      </c>
      <c r="DA16" s="637">
        <f t="shared" si="0"/>
        <v>0</v>
      </c>
      <c r="DB16" s="379">
        <f t="shared" si="1"/>
        <v>0</v>
      </c>
      <c r="DC16" s="379">
        <f t="shared" si="2"/>
        <v>0</v>
      </c>
      <c r="DD16" s="1238">
        <f t="shared" si="3"/>
        <v>0</v>
      </c>
      <c r="DE16" s="1129">
        <f t="shared" si="4"/>
        <v>0</v>
      </c>
      <c r="DF16" s="1129">
        <f t="shared" si="5"/>
        <v>0</v>
      </c>
      <c r="DG16" s="1242">
        <f t="shared" si="6"/>
        <v>0</v>
      </c>
      <c r="DH16" s="1129">
        <f t="shared" si="7"/>
        <v>0</v>
      </c>
      <c r="DI16" s="1129">
        <f t="shared" si="8"/>
        <v>0</v>
      </c>
      <c r="DJ16" s="1237">
        <f t="shared" si="9"/>
        <v>0</v>
      </c>
      <c r="DK16" s="1240">
        <f t="shared" si="10"/>
        <v>0</v>
      </c>
      <c r="DL16" s="1129">
        <f t="shared" si="11"/>
        <v>0</v>
      </c>
      <c r="DM16" s="1131">
        <f t="shared" si="12"/>
        <v>0</v>
      </c>
      <c r="DN16" s="1241">
        <f t="shared" si="13"/>
        <v>0</v>
      </c>
      <c r="DO16" s="1239">
        <f t="shared" si="14"/>
        <v>130</v>
      </c>
      <c r="DP16" s="1131">
        <f t="shared" si="15"/>
        <v>-53.81818181818182</v>
      </c>
      <c r="DQ16" s="1239">
        <f t="shared" si="16"/>
        <v>-0.98181818181818192</v>
      </c>
      <c r="DR16" s="1239">
        <f t="shared" si="17"/>
        <v>-2.6465260881319272</v>
      </c>
      <c r="DS16" s="1239">
        <f t="shared" si="18"/>
        <v>5.6576161953124684</v>
      </c>
      <c r="DT16" s="1239">
        <f t="shared" si="19"/>
        <v>-1.7084919000977394</v>
      </c>
      <c r="DU16" s="1131">
        <f t="shared" si="20"/>
        <v>-124</v>
      </c>
      <c r="DV16" s="1131" t="e">
        <f>#REF!-CB16</f>
        <v>#REF!</v>
      </c>
      <c r="DW16" s="1197">
        <f t="shared" si="21"/>
        <v>-1.4577510553787922</v>
      </c>
      <c r="DX16" s="1239">
        <f t="shared" si="22"/>
        <v>-1.4000000000000004</v>
      </c>
      <c r="DY16" s="1239">
        <f t="shared" si="23"/>
        <v>-1.1546000000000003</v>
      </c>
      <c r="DZ16" s="1131">
        <f t="shared" si="24"/>
        <v>280</v>
      </c>
      <c r="EA16" s="1197">
        <f t="shared" si="25"/>
        <v>-0.70008000000000026</v>
      </c>
      <c r="EB16" s="1240">
        <f t="shared" si="26"/>
        <v>-3.0636235294116076E-2</v>
      </c>
      <c r="EC16" s="1131">
        <f t="shared" si="27"/>
        <v>1.0915080999022599</v>
      </c>
      <c r="ED16" s="1131">
        <f t="shared" si="28"/>
        <v>5.0632385394110599</v>
      </c>
      <c r="EE16" s="1131" t="e">
        <f t="shared" si="29"/>
        <v>#VALUE!</v>
      </c>
      <c r="EF16" s="1131" t="e">
        <f t="shared" si="30"/>
        <v>#VALUE!</v>
      </c>
      <c r="EG16" s="1131" t="e">
        <f t="shared" si="31"/>
        <v>#VALUE!</v>
      </c>
      <c r="EH16" s="1131">
        <f t="shared" si="32"/>
        <v>7.8695167058823579</v>
      </c>
      <c r="EI16" s="1131">
        <f t="shared" si="33"/>
        <v>-380</v>
      </c>
      <c r="EJ16" s="1197">
        <f t="shared" si="34"/>
        <v>-7.9001388888888888</v>
      </c>
      <c r="EK16" s="1131">
        <f t="shared" si="35"/>
        <v>-62.54908235294117</v>
      </c>
      <c r="EL16" s="1131">
        <f t="shared" si="36"/>
        <v>160.08861637511515</v>
      </c>
      <c r="EM16" s="1131">
        <f t="shared" si="37"/>
        <v>1</v>
      </c>
      <c r="EN16" s="1131">
        <f t="shared" si="40"/>
        <v>-13.547117647058823</v>
      </c>
      <c r="EO16" s="1131">
        <f t="shared" si="41"/>
        <v>240</v>
      </c>
      <c r="EP16" s="1197">
        <f t="shared" si="42"/>
        <v>-6.6117168028784725</v>
      </c>
      <c r="EQ16" s="1129">
        <f t="shared" si="43"/>
        <v>0</v>
      </c>
      <c r="ER16" s="1131">
        <f t="shared" si="44"/>
        <v>0</v>
      </c>
      <c r="ES16" s="1197">
        <f t="shared" si="45"/>
        <v>0</v>
      </c>
    </row>
    <row r="17" spans="1:149">
      <c r="A17" s="633">
        <f>Eingabedaten!A20</f>
        <v>4.04</v>
      </c>
      <c r="B17" s="463" t="str">
        <f>Eingabedaten!C20</f>
        <v>Hörsaal</v>
      </c>
      <c r="C17" s="637"/>
      <c r="D17" s="379"/>
      <c r="E17" s="379"/>
      <c r="F17" s="1238"/>
      <c r="G17" s="1129"/>
      <c r="H17" s="1129"/>
      <c r="I17" s="1242"/>
      <c r="J17" s="1242"/>
      <c r="K17" s="1129"/>
      <c r="L17" s="1129"/>
      <c r="M17" s="1129"/>
      <c r="N17" s="1237"/>
      <c r="O17" s="1240">
        <v>10</v>
      </c>
      <c r="P17" s="1131">
        <v>0</v>
      </c>
      <c r="Q17" s="1129">
        <v>2180</v>
      </c>
      <c r="R17" s="1131">
        <v>21.8</v>
      </c>
      <c r="S17" s="1239">
        <v>21.8</v>
      </c>
      <c r="T17" s="1131">
        <v>0</v>
      </c>
      <c r="U17" s="1240"/>
      <c r="V17" s="1240">
        <v>130</v>
      </c>
      <c r="W17" s="1834">
        <v>0.98181818181818192</v>
      </c>
      <c r="X17" s="1239"/>
      <c r="Y17" s="1239">
        <v>2</v>
      </c>
      <c r="Z17" s="1239">
        <v>7.6197198465403844</v>
      </c>
      <c r="AA17" s="1239">
        <v>4.8967236467236459</v>
      </c>
      <c r="AB17" s="1131">
        <v>695</v>
      </c>
      <c r="AC17" s="1243">
        <v>3.4032229344729337</v>
      </c>
      <c r="AD17" s="1242">
        <v>9.6666666666666661</v>
      </c>
      <c r="AE17" s="1131">
        <v>2070</v>
      </c>
      <c r="AF17" s="1239">
        <v>3.2866666666666666</v>
      </c>
      <c r="AG17" s="1131">
        <v>1720</v>
      </c>
      <c r="AH17" s="1197">
        <v>5.6530666666666667</v>
      </c>
      <c r="AI17" s="1240">
        <v>14.422315294117643</v>
      </c>
      <c r="AJ17" s="1131">
        <v>42.896723646723643</v>
      </c>
      <c r="AK17" s="1131">
        <v>312.8</v>
      </c>
      <c r="AL17" s="1131" t="s">
        <v>528</v>
      </c>
      <c r="AM17" s="1131" t="s">
        <v>528</v>
      </c>
      <c r="AN17" s="1131" t="s">
        <v>528</v>
      </c>
      <c r="AO17" s="1131">
        <v>40.123327258588901</v>
      </c>
      <c r="AP17" s="1239">
        <v>51.241138823529404</v>
      </c>
      <c r="AQ17" s="1131">
        <v>51.241138823529404</v>
      </c>
      <c r="AR17" s="1131">
        <v>340</v>
      </c>
      <c r="AS17" s="1243">
        <v>17.670848559665853</v>
      </c>
      <c r="AT17" s="1197">
        <v>0</v>
      </c>
      <c r="AU17" s="1131">
        <v>49.541647058823528</v>
      </c>
      <c r="AV17" s="1131">
        <v>286.88589992020974</v>
      </c>
      <c r="AW17" s="1131">
        <v>0</v>
      </c>
      <c r="AX17" s="1239">
        <v>9.8051176470588253</v>
      </c>
      <c r="AY17" s="1131">
        <v>220</v>
      </c>
      <c r="AZ17" s="1242">
        <v>0.71220034246575337</v>
      </c>
      <c r="BA17" s="1243">
        <v>2.1461301141673812</v>
      </c>
      <c r="BB17" s="1129"/>
      <c r="BC17" s="1131"/>
      <c r="BD17" s="1243">
        <v>5.290005205479452</v>
      </c>
      <c r="BG17" s="637"/>
      <c r="BH17" s="379"/>
      <c r="BI17" s="379"/>
      <c r="BJ17" s="1238"/>
      <c r="BK17" s="1129"/>
      <c r="BL17" s="1129"/>
      <c r="BM17" s="1242"/>
      <c r="BN17" s="1129"/>
      <c r="BO17" s="1129"/>
      <c r="BP17" s="1237"/>
      <c r="BQ17" s="1240">
        <v>2</v>
      </c>
      <c r="BR17" s="1129">
        <v>1770</v>
      </c>
      <c r="BS17" s="1131">
        <v>3.54</v>
      </c>
      <c r="BT17" s="1241"/>
      <c r="BU17" s="1239"/>
      <c r="BV17" s="1131">
        <v>69.8</v>
      </c>
      <c r="BW17" s="1239">
        <v>0.98181818181818192</v>
      </c>
      <c r="BX17" s="1239">
        <v>9.1199724079380236</v>
      </c>
      <c r="BY17" s="1239">
        <v>0</v>
      </c>
      <c r="BZ17" s="1239">
        <v>9.1199724079380236</v>
      </c>
      <c r="CA17" s="1131">
        <v>1130</v>
      </c>
      <c r="CB17" s="1131">
        <v>0</v>
      </c>
      <c r="CC17" s="1197">
        <v>10.305568820969967</v>
      </c>
      <c r="CD17" s="1239">
        <v>15</v>
      </c>
      <c r="CE17" s="1239">
        <v>5.1000000000000005</v>
      </c>
      <c r="CF17" s="1131">
        <v>1340</v>
      </c>
      <c r="CG17" s="1197">
        <v>6.8340000000000005</v>
      </c>
      <c r="CH17" s="1240">
        <v>15.156823529411763</v>
      </c>
      <c r="CI17" s="1131">
        <v>46.119972407938022</v>
      </c>
      <c r="CJ17" s="1131">
        <v>342.62417504269064</v>
      </c>
      <c r="CK17" s="1131" t="s">
        <v>528</v>
      </c>
      <c r="CL17" s="1131" t="s">
        <v>528</v>
      </c>
      <c r="CM17" s="1131" t="s">
        <v>528</v>
      </c>
      <c r="CN17" s="1131">
        <v>39</v>
      </c>
      <c r="CO17" s="1131">
        <v>760</v>
      </c>
      <c r="CP17" s="1197">
        <v>29.806458333333332</v>
      </c>
      <c r="CQ17" s="1131">
        <v>183.97552941176468</v>
      </c>
      <c r="CR17" s="1131">
        <v>77.253752417201284</v>
      </c>
      <c r="CS17" s="1131">
        <v>-2</v>
      </c>
      <c r="CT17" s="1131">
        <v>39.605843137254894</v>
      </c>
      <c r="CU17" s="1131">
        <v>400</v>
      </c>
      <c r="CV17" s="1197">
        <v>15.766270796839491</v>
      </c>
      <c r="CW17" s="1129"/>
      <c r="CX17" s="1131"/>
      <c r="CY17" s="1197">
        <v>7.9350078082191775</v>
      </c>
      <c r="DA17" s="637">
        <f t="shared" si="0"/>
        <v>0</v>
      </c>
      <c r="DB17" s="379">
        <f t="shared" si="1"/>
        <v>0</v>
      </c>
      <c r="DC17" s="379">
        <f t="shared" si="2"/>
        <v>0</v>
      </c>
      <c r="DD17" s="1238">
        <f t="shared" si="3"/>
        <v>0</v>
      </c>
      <c r="DE17" s="1129">
        <f t="shared" si="4"/>
        <v>0</v>
      </c>
      <c r="DF17" s="1129">
        <f t="shared" si="5"/>
        <v>0</v>
      </c>
      <c r="DG17" s="1242">
        <f t="shared" si="6"/>
        <v>0</v>
      </c>
      <c r="DH17" s="1129">
        <f t="shared" si="7"/>
        <v>0</v>
      </c>
      <c r="DI17" s="1129">
        <f t="shared" si="8"/>
        <v>0</v>
      </c>
      <c r="DJ17" s="1237">
        <f t="shared" si="9"/>
        <v>0</v>
      </c>
      <c r="DK17" s="1240">
        <f t="shared" si="10"/>
        <v>8</v>
      </c>
      <c r="DL17" s="1129">
        <f t="shared" si="11"/>
        <v>410</v>
      </c>
      <c r="DM17" s="1131">
        <f t="shared" si="12"/>
        <v>18.260000000000002</v>
      </c>
      <c r="DN17" s="1241">
        <f t="shared" si="13"/>
        <v>0</v>
      </c>
      <c r="DO17" s="1239">
        <f t="shared" si="14"/>
        <v>130</v>
      </c>
      <c r="DP17" s="1131">
        <f t="shared" si="15"/>
        <v>-68.818181818181813</v>
      </c>
      <c r="DQ17" s="1239">
        <f t="shared" si="16"/>
        <v>-0.98181818181818192</v>
      </c>
      <c r="DR17" s="1239">
        <f t="shared" si="17"/>
        <v>-7.1199724079380236</v>
      </c>
      <c r="DS17" s="1239">
        <f t="shared" si="18"/>
        <v>7.6197198465403844</v>
      </c>
      <c r="DT17" s="1239">
        <f t="shared" si="19"/>
        <v>-4.2232487612143776</v>
      </c>
      <c r="DU17" s="1131">
        <f t="shared" si="20"/>
        <v>-435</v>
      </c>
      <c r="DV17" s="1131" t="e">
        <f>#REF!-CB17</f>
        <v>#REF!</v>
      </c>
      <c r="DW17" s="1197">
        <f t="shared" si="21"/>
        <v>-6.9023458864970326</v>
      </c>
      <c r="DX17" s="1239">
        <f t="shared" si="22"/>
        <v>-5.3333333333333339</v>
      </c>
      <c r="DY17" s="1239">
        <f t="shared" si="23"/>
        <v>-1.8133333333333339</v>
      </c>
      <c r="DZ17" s="1131">
        <f t="shared" si="24"/>
        <v>380</v>
      </c>
      <c r="EA17" s="1197">
        <f t="shared" si="25"/>
        <v>-1.1809333333333338</v>
      </c>
      <c r="EB17" s="1240">
        <f t="shared" si="26"/>
        <v>-0.73450823529412013</v>
      </c>
      <c r="EC17" s="1131">
        <f t="shared" si="27"/>
        <v>-3.2232487612143785</v>
      </c>
      <c r="ED17" s="1131">
        <f t="shared" si="28"/>
        <v>-29.824175042690626</v>
      </c>
      <c r="EE17" s="1131" t="e">
        <f t="shared" si="29"/>
        <v>#VALUE!</v>
      </c>
      <c r="EF17" s="1131" t="e">
        <f t="shared" si="30"/>
        <v>#VALUE!</v>
      </c>
      <c r="EG17" s="1131" t="e">
        <f t="shared" si="31"/>
        <v>#VALUE!</v>
      </c>
      <c r="EH17" s="1131">
        <f t="shared" si="32"/>
        <v>12.241138823529404</v>
      </c>
      <c r="EI17" s="1131">
        <f t="shared" si="33"/>
        <v>-420</v>
      </c>
      <c r="EJ17" s="1197">
        <f t="shared" si="34"/>
        <v>-29.806458333333332</v>
      </c>
      <c r="EK17" s="1131">
        <f t="shared" si="35"/>
        <v>-134.43388235294117</v>
      </c>
      <c r="EL17" s="1131">
        <f t="shared" si="36"/>
        <v>209.63214750300847</v>
      </c>
      <c r="EM17" s="1131">
        <f t="shared" si="37"/>
        <v>2</v>
      </c>
      <c r="EN17" s="1131">
        <f t="shared" si="40"/>
        <v>-29.800725490196069</v>
      </c>
      <c r="EO17" s="1131">
        <f t="shared" si="41"/>
        <v>-180</v>
      </c>
      <c r="EP17" s="1197">
        <f t="shared" si="42"/>
        <v>-13.62014068267211</v>
      </c>
      <c r="EQ17" s="1129">
        <f t="shared" si="43"/>
        <v>0</v>
      </c>
      <c r="ER17" s="1131">
        <f t="shared" si="44"/>
        <v>0</v>
      </c>
      <c r="ES17" s="1197">
        <f t="shared" si="45"/>
        <v>-2.6450026027397255</v>
      </c>
    </row>
    <row r="18" spans="1:149">
      <c r="A18" s="657">
        <f>Eingabedaten!A21</f>
        <v>4.05</v>
      </c>
      <c r="B18" s="592" t="str">
        <f>Eingabedaten!C21</f>
        <v>Schulfachraum (Spezialraum)</v>
      </c>
      <c r="C18" s="654"/>
      <c r="D18" s="387"/>
      <c r="E18" s="387"/>
      <c r="F18" s="1227"/>
      <c r="G18" s="1130"/>
      <c r="H18" s="1130"/>
      <c r="I18" s="1257"/>
      <c r="J18" s="1257"/>
      <c r="K18" s="1130"/>
      <c r="L18" s="1130"/>
      <c r="M18" s="1130"/>
      <c r="N18" s="1229"/>
      <c r="O18" s="1255">
        <v>2</v>
      </c>
      <c r="P18" s="1133">
        <v>0</v>
      </c>
      <c r="Q18" s="1130">
        <v>1770</v>
      </c>
      <c r="R18" s="1133">
        <v>3.54</v>
      </c>
      <c r="S18" s="1228">
        <v>3.54</v>
      </c>
      <c r="T18" s="1133">
        <v>0</v>
      </c>
      <c r="U18" s="1255"/>
      <c r="V18" s="1255">
        <v>130</v>
      </c>
      <c r="W18" s="1836">
        <v>0.87297921478060048</v>
      </c>
      <c r="X18" s="1228"/>
      <c r="Y18" s="1228">
        <v>2</v>
      </c>
      <c r="Z18" s="1228">
        <v>3.6324313186097918</v>
      </c>
      <c r="AA18" s="1228">
        <v>5.5072242572242578</v>
      </c>
      <c r="AB18" s="1133">
        <v>331</v>
      </c>
      <c r="AC18" s="1196">
        <v>1.8228912291412294</v>
      </c>
      <c r="AD18" s="1257">
        <v>5.8</v>
      </c>
      <c r="AE18" s="1133">
        <v>2070</v>
      </c>
      <c r="AF18" s="1228">
        <v>1.2934000000000001</v>
      </c>
      <c r="AG18" s="1133">
        <v>1720</v>
      </c>
      <c r="AH18" s="1199">
        <v>2.2246480000000002</v>
      </c>
      <c r="AI18" s="1255">
        <v>20.344127999999998</v>
      </c>
      <c r="AJ18" s="1133">
        <v>24.307224257224259</v>
      </c>
      <c r="AK18" s="1133">
        <v>145.07999999999998</v>
      </c>
      <c r="AL18" s="1133" t="s">
        <v>527</v>
      </c>
      <c r="AM18" s="1133" t="s">
        <v>528</v>
      </c>
      <c r="AN18" s="1133" t="s">
        <v>528</v>
      </c>
      <c r="AO18" s="1133">
        <v>31.255946580056982</v>
      </c>
      <c r="AP18" s="1228">
        <v>37.129237243697474</v>
      </c>
      <c r="AQ18" s="1133">
        <v>37.129237243697474</v>
      </c>
      <c r="AR18" s="1133">
        <v>110</v>
      </c>
      <c r="AS18" s="1196">
        <v>3.9710379855684197</v>
      </c>
      <c r="AT18" s="1199">
        <v>0</v>
      </c>
      <c r="AU18" s="1133">
        <v>35.32</v>
      </c>
      <c r="AV18" s="1133">
        <v>210.87202718006796</v>
      </c>
      <c r="AW18" s="1133">
        <v>-0.23691959229898085</v>
      </c>
      <c r="AX18" s="1228">
        <v>14.499828571428573</v>
      </c>
      <c r="AY18" s="1133">
        <v>890</v>
      </c>
      <c r="AZ18" s="1257">
        <v>0.4837756849315068</v>
      </c>
      <c r="BA18" s="1196">
        <v>12.954753106709633</v>
      </c>
      <c r="BB18" s="1130"/>
      <c r="BC18" s="1133"/>
      <c r="BD18" s="1196">
        <v>3.1740031232876711</v>
      </c>
      <c r="BG18" s="654"/>
      <c r="BH18" s="387"/>
      <c r="BI18" s="387"/>
      <c r="BJ18" s="1227"/>
      <c r="BK18" s="1130"/>
      <c r="BL18" s="1130"/>
      <c r="BM18" s="1257"/>
      <c r="BN18" s="1130"/>
      <c r="BO18" s="1130"/>
      <c r="BP18" s="1229"/>
      <c r="BQ18" s="1255">
        <v>1.5</v>
      </c>
      <c r="BR18" s="1130">
        <v>1770</v>
      </c>
      <c r="BS18" s="1133">
        <v>2.6549999999999998</v>
      </c>
      <c r="BT18" s="1256"/>
      <c r="BU18" s="1228"/>
      <c r="BV18" s="1133">
        <v>69.8</v>
      </c>
      <c r="BW18" s="1228">
        <v>0.87297921478060048</v>
      </c>
      <c r="BX18" s="1228">
        <v>10.257007928927699</v>
      </c>
      <c r="BY18" s="1228">
        <v>0</v>
      </c>
      <c r="BZ18" s="1228">
        <v>10.257007928927699</v>
      </c>
      <c r="CA18" s="1133">
        <v>560</v>
      </c>
      <c r="CB18" s="1133">
        <v>0</v>
      </c>
      <c r="CC18" s="1199">
        <v>5.7439244401995113</v>
      </c>
      <c r="CD18" s="1228">
        <v>6</v>
      </c>
      <c r="CE18" s="1228">
        <v>2.04</v>
      </c>
      <c r="CF18" s="1133">
        <v>1340</v>
      </c>
      <c r="CG18" s="1199">
        <v>2.7336</v>
      </c>
      <c r="CH18" s="1255">
        <v>18.107294117647058</v>
      </c>
      <c r="CI18" s="1133">
        <v>25.757007928927699</v>
      </c>
      <c r="CJ18" s="1133">
        <v>138.79846157505216</v>
      </c>
      <c r="CK18" s="1133" t="s">
        <v>574</v>
      </c>
      <c r="CL18" s="1133" t="s">
        <v>527</v>
      </c>
      <c r="CM18" s="1133" t="s">
        <v>528</v>
      </c>
      <c r="CN18" s="1133">
        <v>26</v>
      </c>
      <c r="CO18" s="1133">
        <v>430</v>
      </c>
      <c r="CP18" s="1199">
        <v>11.201142857142857</v>
      </c>
      <c r="CQ18" s="1133">
        <v>61.428235294117641</v>
      </c>
      <c r="CR18" s="1133">
        <v>121.24717508714139</v>
      </c>
      <c r="CS18" s="1133">
        <v>-1</v>
      </c>
      <c r="CT18" s="1133">
        <v>26.326386554621848</v>
      </c>
      <c r="CU18" s="1133">
        <v>890</v>
      </c>
      <c r="CV18" s="1199">
        <v>23.533477394343489</v>
      </c>
      <c r="CW18" s="1130"/>
      <c r="CX18" s="1133"/>
      <c r="CY18" s="1199">
        <v>3.1740031232876711</v>
      </c>
      <c r="DA18" s="654">
        <f t="shared" si="0"/>
        <v>0</v>
      </c>
      <c r="DB18" s="387">
        <f t="shared" si="1"/>
        <v>0</v>
      </c>
      <c r="DC18" s="387">
        <f t="shared" si="2"/>
        <v>0</v>
      </c>
      <c r="DD18" s="1227">
        <f t="shared" si="3"/>
        <v>0</v>
      </c>
      <c r="DE18" s="1130">
        <f t="shared" si="4"/>
        <v>0</v>
      </c>
      <c r="DF18" s="1130">
        <f t="shared" si="5"/>
        <v>0</v>
      </c>
      <c r="DG18" s="1257">
        <f t="shared" si="6"/>
        <v>0</v>
      </c>
      <c r="DH18" s="1130">
        <f t="shared" si="7"/>
        <v>0</v>
      </c>
      <c r="DI18" s="1130">
        <f t="shared" si="8"/>
        <v>0</v>
      </c>
      <c r="DJ18" s="1229">
        <f t="shared" si="9"/>
        <v>0</v>
      </c>
      <c r="DK18" s="1255">
        <f t="shared" si="10"/>
        <v>0.5</v>
      </c>
      <c r="DL18" s="1130">
        <f t="shared" si="11"/>
        <v>0</v>
      </c>
      <c r="DM18" s="1133">
        <f t="shared" si="12"/>
        <v>0.88500000000000023</v>
      </c>
      <c r="DN18" s="1256">
        <f t="shared" si="13"/>
        <v>0</v>
      </c>
      <c r="DO18" s="1228">
        <f t="shared" si="14"/>
        <v>130</v>
      </c>
      <c r="DP18" s="1133">
        <f t="shared" si="15"/>
        <v>-68.927020785219398</v>
      </c>
      <c r="DQ18" s="1228">
        <f t="shared" si="16"/>
        <v>-0.87297921478060048</v>
      </c>
      <c r="DR18" s="1228">
        <f t="shared" si="17"/>
        <v>-8.257007928927699</v>
      </c>
      <c r="DS18" s="1228">
        <f t="shared" si="18"/>
        <v>3.6324313186097918</v>
      </c>
      <c r="DT18" s="1228">
        <f t="shared" si="19"/>
        <v>-4.7497836717034412</v>
      </c>
      <c r="DU18" s="1133">
        <f t="shared" si="20"/>
        <v>-229</v>
      </c>
      <c r="DV18" s="1133" t="e">
        <f>#REF!-CB18</f>
        <v>#REF!</v>
      </c>
      <c r="DW18" s="1199">
        <f t="shared" si="21"/>
        <v>-3.921033211058282</v>
      </c>
      <c r="DX18" s="1228">
        <f t="shared" si="22"/>
        <v>-0.20000000000000018</v>
      </c>
      <c r="DY18" s="1228">
        <f t="shared" si="23"/>
        <v>-0.74659999999999993</v>
      </c>
      <c r="DZ18" s="1133">
        <f t="shared" si="24"/>
        <v>380</v>
      </c>
      <c r="EA18" s="1199">
        <f t="shared" si="25"/>
        <v>-0.50895199999999985</v>
      </c>
      <c r="EB18" s="1255">
        <f t="shared" si="26"/>
        <v>2.2368338823529399</v>
      </c>
      <c r="EC18" s="1133">
        <f t="shared" si="27"/>
        <v>-1.4497836717034396</v>
      </c>
      <c r="ED18" s="1133">
        <f t="shared" si="28"/>
        <v>6.2815384249478257</v>
      </c>
      <c r="EE18" s="1133" t="e">
        <f t="shared" si="29"/>
        <v>#VALUE!</v>
      </c>
      <c r="EF18" s="1133" t="e">
        <f t="shared" si="30"/>
        <v>#VALUE!</v>
      </c>
      <c r="EG18" s="1133" t="e">
        <f t="shared" si="31"/>
        <v>#VALUE!</v>
      </c>
      <c r="EH18" s="1133">
        <f t="shared" si="32"/>
        <v>11.129237243697474</v>
      </c>
      <c r="EI18" s="1133">
        <f t="shared" si="33"/>
        <v>-320</v>
      </c>
      <c r="EJ18" s="1199">
        <f t="shared" si="34"/>
        <v>-11.201142857142857</v>
      </c>
      <c r="EK18" s="1133">
        <f t="shared" si="35"/>
        <v>-26.108235294117641</v>
      </c>
      <c r="EL18" s="1133">
        <f t="shared" si="36"/>
        <v>89.624852092926574</v>
      </c>
      <c r="EM18" s="1133">
        <f t="shared" si="37"/>
        <v>0.76308040770101915</v>
      </c>
      <c r="EN18" s="1133">
        <f t="shared" si="40"/>
        <v>-11.826557983193275</v>
      </c>
      <c r="EO18" s="1133">
        <f t="shared" si="41"/>
        <v>0</v>
      </c>
      <c r="EP18" s="1199">
        <f t="shared" si="42"/>
        <v>-10.578724287633856</v>
      </c>
      <c r="EQ18" s="1130">
        <f t="shared" si="43"/>
        <v>0</v>
      </c>
      <c r="ER18" s="1133">
        <f t="shared" si="44"/>
        <v>0</v>
      </c>
      <c r="ES18" s="1199">
        <f t="shared" si="45"/>
        <v>0</v>
      </c>
    </row>
    <row r="19" spans="1:149">
      <c r="A19" s="1592">
        <f>Eingabedaten!A22</f>
        <v>5.01</v>
      </c>
      <c r="B19" s="655" t="str">
        <f>Eingabedaten!C22</f>
        <v>Lebensmittelverkauf</v>
      </c>
      <c r="C19" s="637"/>
      <c r="D19" s="379"/>
      <c r="E19" s="379"/>
      <c r="F19" s="1238"/>
      <c r="G19" s="1129"/>
      <c r="H19" s="1129"/>
      <c r="I19" s="1129"/>
      <c r="J19" s="1129"/>
      <c r="K19" s="1129"/>
      <c r="L19" s="1129"/>
      <c r="M19" s="1129"/>
      <c r="N19" s="1250"/>
      <c r="O19" s="1240">
        <v>1</v>
      </c>
      <c r="P19" s="1131">
        <v>80</v>
      </c>
      <c r="Q19" s="1129">
        <v>4010</v>
      </c>
      <c r="R19" s="1131">
        <v>4.01</v>
      </c>
      <c r="S19" s="1249">
        <v>4.01</v>
      </c>
      <c r="T19" s="1198">
        <v>320.8</v>
      </c>
      <c r="U19" s="1131"/>
      <c r="V19" s="1240">
        <v>130</v>
      </c>
      <c r="W19" s="1834">
        <v>0.967741935483871</v>
      </c>
      <c r="X19" s="1239"/>
      <c r="Y19" s="1239">
        <v>2</v>
      </c>
      <c r="Z19" s="1239">
        <v>11</v>
      </c>
      <c r="AA19" s="1239">
        <v>7.4519230769230758</v>
      </c>
      <c r="AB19" s="1131">
        <v>4006</v>
      </c>
      <c r="AC19" s="1254">
        <v>29.852403846153841</v>
      </c>
      <c r="AD19" s="1242">
        <v>3.625</v>
      </c>
      <c r="AE19" s="1131">
        <v>3110</v>
      </c>
      <c r="AF19" s="1239">
        <v>1.2325000000000002</v>
      </c>
      <c r="AG19" s="1131">
        <v>2440</v>
      </c>
      <c r="AH19" s="1198">
        <v>3.0073000000000003</v>
      </c>
      <c r="AI19" s="1240">
        <v>2.3123764705882337</v>
      </c>
      <c r="AJ19" s="1131">
        <v>18.951923076923077</v>
      </c>
      <c r="AK19" s="1131">
        <v>226.83076923076925</v>
      </c>
      <c r="AL19" s="1131" t="s">
        <v>528</v>
      </c>
      <c r="AM19" s="1131" t="s">
        <v>528</v>
      </c>
      <c r="AN19" s="1131" t="s">
        <v>528</v>
      </c>
      <c r="AO19" s="1131">
        <v>14.885009683257916</v>
      </c>
      <c r="AP19" s="1239">
        <v>20.822878371040723</v>
      </c>
      <c r="AQ19" s="1131">
        <v>100.82287837104073</v>
      </c>
      <c r="AR19" s="1131">
        <v>1100</v>
      </c>
      <c r="AS19" s="1243">
        <v>22.9733566588522</v>
      </c>
      <c r="AT19" s="1198">
        <v>0</v>
      </c>
      <c r="AU19" s="1131">
        <v>92.611764705882365</v>
      </c>
      <c r="AV19" s="1131">
        <v>431.91056910569102</v>
      </c>
      <c r="AW19" s="1131">
        <v>0</v>
      </c>
      <c r="AX19" s="1239">
        <v>6.3670588235294119</v>
      </c>
      <c r="AY19" s="1131">
        <v>10</v>
      </c>
      <c r="AZ19" s="1242">
        <v>0.45842608447488586</v>
      </c>
      <c r="BA19" s="1254">
        <v>4.4989952065780998E-2</v>
      </c>
      <c r="BB19" s="1129"/>
      <c r="BC19" s="1131"/>
      <c r="BD19" s="1254">
        <v>2.7231000000000005</v>
      </c>
      <c r="BG19" s="637"/>
      <c r="BH19" s="379"/>
      <c r="BI19" s="379"/>
      <c r="BJ19" s="1238"/>
      <c r="BK19" s="1129"/>
      <c r="BL19" s="1129"/>
      <c r="BM19" s="1129"/>
      <c r="BN19" s="1129"/>
      <c r="BO19" s="1129"/>
      <c r="BP19" s="1250"/>
      <c r="BQ19" s="1240">
        <v>40</v>
      </c>
      <c r="BR19" s="1129">
        <v>3630</v>
      </c>
      <c r="BS19" s="1198">
        <v>145.19999999999999</v>
      </c>
      <c r="BT19" s="1242"/>
      <c r="BU19" s="1239"/>
      <c r="BV19" s="1131">
        <v>59.8</v>
      </c>
      <c r="BW19" s="1239">
        <v>0.967741935483871</v>
      </c>
      <c r="BX19" s="1239">
        <v>6.4799331103678934</v>
      </c>
      <c r="BY19" s="1239">
        <v>6</v>
      </c>
      <c r="BZ19" s="1239">
        <v>12.479933110367893</v>
      </c>
      <c r="CA19" s="1131">
        <v>2340</v>
      </c>
      <c r="CB19" s="1131">
        <v>3260</v>
      </c>
      <c r="CC19" s="1198">
        <v>34.72304347826087</v>
      </c>
      <c r="CD19" s="1239">
        <v>3.75</v>
      </c>
      <c r="CE19" s="1239">
        <v>1.2750000000000001</v>
      </c>
      <c r="CF19" s="1131">
        <v>1490</v>
      </c>
      <c r="CG19" s="1198">
        <v>1.8997500000000003</v>
      </c>
      <c r="CH19" s="1240">
        <v>9.1703529411764713</v>
      </c>
      <c r="CI19" s="1131">
        <v>13.279933110367894</v>
      </c>
      <c r="CJ19" s="1131">
        <v>72.256030397530097</v>
      </c>
      <c r="CK19" s="1131" t="s">
        <v>574</v>
      </c>
      <c r="CL19" s="1131" t="s">
        <v>574</v>
      </c>
      <c r="CM19" s="1131" t="s">
        <v>574</v>
      </c>
      <c r="CN19" s="1131">
        <v>17</v>
      </c>
      <c r="CO19" s="1131">
        <v>650</v>
      </c>
      <c r="CP19" s="1198">
        <v>11.107849999999999</v>
      </c>
      <c r="CQ19" s="1131">
        <v>211.82745098039214</v>
      </c>
      <c r="CR19" s="1131">
        <v>182.97911729857822</v>
      </c>
      <c r="CS19" s="1131">
        <v>-1</v>
      </c>
      <c r="CT19" s="1131">
        <v>15.357490196078432</v>
      </c>
      <c r="CU19" s="1131">
        <v>100</v>
      </c>
      <c r="CV19" s="1198">
        <v>1.5904825294277902</v>
      </c>
      <c r="CW19" s="1129"/>
      <c r="CX19" s="1131"/>
      <c r="CY19" s="1198">
        <v>2.7231000000000005</v>
      </c>
      <c r="DA19" s="637">
        <f t="shared" si="0"/>
        <v>0</v>
      </c>
      <c r="DB19" s="379">
        <f t="shared" si="1"/>
        <v>0</v>
      </c>
      <c r="DC19" s="379">
        <f t="shared" si="2"/>
        <v>0</v>
      </c>
      <c r="DD19" s="1238">
        <f t="shared" si="3"/>
        <v>0</v>
      </c>
      <c r="DE19" s="1129">
        <f t="shared" si="4"/>
        <v>0</v>
      </c>
      <c r="DF19" s="1129">
        <f t="shared" si="5"/>
        <v>0</v>
      </c>
      <c r="DG19" s="1129">
        <f t="shared" si="6"/>
        <v>0</v>
      </c>
      <c r="DH19" s="1129">
        <f t="shared" si="7"/>
        <v>0</v>
      </c>
      <c r="DI19" s="1129">
        <f t="shared" si="8"/>
        <v>0</v>
      </c>
      <c r="DJ19" s="1250">
        <f t="shared" si="9"/>
        <v>0</v>
      </c>
      <c r="DK19" s="1240">
        <f t="shared" si="10"/>
        <v>-39</v>
      </c>
      <c r="DL19" s="1129">
        <f t="shared" si="11"/>
        <v>380</v>
      </c>
      <c r="DM19" s="1198">
        <f t="shared" si="12"/>
        <v>-141.19</v>
      </c>
      <c r="DN19" s="1242">
        <f t="shared" si="13"/>
        <v>0</v>
      </c>
      <c r="DO19" s="1239">
        <f t="shared" si="14"/>
        <v>130</v>
      </c>
      <c r="DP19" s="1131">
        <f t="shared" si="15"/>
        <v>-58.832258064516125</v>
      </c>
      <c r="DQ19" s="1239">
        <f t="shared" si="16"/>
        <v>-0.967741935483871</v>
      </c>
      <c r="DR19" s="1239">
        <f t="shared" si="17"/>
        <v>-4.4799331103678934</v>
      </c>
      <c r="DS19" s="1239">
        <f t="shared" si="18"/>
        <v>5</v>
      </c>
      <c r="DT19" s="1239">
        <f t="shared" si="19"/>
        <v>-5.0280100334448177</v>
      </c>
      <c r="DU19" s="1131">
        <f t="shared" si="20"/>
        <v>1666</v>
      </c>
      <c r="DV19" s="1131" t="e">
        <f>#REF!-CB19</f>
        <v>#REF!</v>
      </c>
      <c r="DW19" s="1198">
        <f t="shared" si="21"/>
        <v>-4.8706396321070287</v>
      </c>
      <c r="DX19" s="1239">
        <f t="shared" si="22"/>
        <v>-0.125</v>
      </c>
      <c r="DY19" s="1239">
        <f t="shared" si="23"/>
        <v>-4.2499999999999982E-2</v>
      </c>
      <c r="DZ19" s="1131">
        <f t="shared" si="24"/>
        <v>950</v>
      </c>
      <c r="EA19" s="1198">
        <f t="shared" si="25"/>
        <v>1.10755</v>
      </c>
      <c r="EB19" s="1240">
        <f t="shared" si="26"/>
        <v>-6.8579764705882376</v>
      </c>
      <c r="EC19" s="1131">
        <f t="shared" si="27"/>
        <v>5.6719899665551825</v>
      </c>
      <c r="ED19" s="1131">
        <f t="shared" si="28"/>
        <v>154.57473883323917</v>
      </c>
      <c r="EE19" s="1131" t="e">
        <f t="shared" si="29"/>
        <v>#VALUE!</v>
      </c>
      <c r="EF19" s="1131" t="e">
        <f t="shared" si="30"/>
        <v>#VALUE!</v>
      </c>
      <c r="EG19" s="1131" t="e">
        <f t="shared" si="31"/>
        <v>#VALUE!</v>
      </c>
      <c r="EH19" s="1131">
        <f t="shared" si="32"/>
        <v>83.82287837104073</v>
      </c>
      <c r="EI19" s="1131">
        <f t="shared" si="33"/>
        <v>450</v>
      </c>
      <c r="EJ19" s="1198">
        <f t="shared" si="34"/>
        <v>-11.107849999999999</v>
      </c>
      <c r="EK19" s="1131">
        <f t="shared" si="35"/>
        <v>-119.21568627450978</v>
      </c>
      <c r="EL19" s="1131">
        <f t="shared" si="36"/>
        <v>248.93145180711281</v>
      </c>
      <c r="EM19" s="1131">
        <f t="shared" si="37"/>
        <v>1</v>
      </c>
      <c r="EN19" s="1131">
        <f t="shared" si="40"/>
        <v>-8.9904313725490201</v>
      </c>
      <c r="EO19" s="1131">
        <f t="shared" si="41"/>
        <v>-90</v>
      </c>
      <c r="EP19" s="1198">
        <f t="shared" si="42"/>
        <v>-1.5454925773620092</v>
      </c>
      <c r="EQ19" s="1129">
        <f t="shared" si="43"/>
        <v>0</v>
      </c>
      <c r="ER19" s="1131">
        <f t="shared" si="44"/>
        <v>0</v>
      </c>
      <c r="ES19" s="1198">
        <f t="shared" si="45"/>
        <v>0</v>
      </c>
    </row>
    <row r="20" spans="1:149">
      <c r="A20" s="633">
        <f>Eingabedaten!A23</f>
        <v>5.0199999999999996</v>
      </c>
      <c r="B20" s="463" t="str">
        <f>Eingabedaten!C23</f>
        <v>Fachgeschäft</v>
      </c>
      <c r="C20" s="637"/>
      <c r="D20" s="379"/>
      <c r="E20" s="379"/>
      <c r="F20" s="1238"/>
      <c r="G20" s="1129"/>
      <c r="H20" s="1129"/>
      <c r="I20" s="1129"/>
      <c r="J20" s="1129"/>
      <c r="K20" s="1129"/>
      <c r="L20" s="1129"/>
      <c r="M20" s="1129"/>
      <c r="N20" s="1237"/>
      <c r="O20" s="1240">
        <v>1</v>
      </c>
      <c r="P20" s="1131">
        <v>0</v>
      </c>
      <c r="Q20" s="1129">
        <v>3630</v>
      </c>
      <c r="R20" s="1131">
        <v>3.63</v>
      </c>
      <c r="S20" s="1239">
        <v>3.63</v>
      </c>
      <c r="T20" s="1131">
        <v>0</v>
      </c>
      <c r="U20" s="1240"/>
      <c r="V20" s="1240">
        <v>130</v>
      </c>
      <c r="W20" s="1834">
        <v>0.967741935483871</v>
      </c>
      <c r="X20" s="1239"/>
      <c r="Y20" s="1239">
        <v>2</v>
      </c>
      <c r="Z20" s="1239">
        <v>11</v>
      </c>
      <c r="AA20" s="1239">
        <v>7.4519230769230758</v>
      </c>
      <c r="AB20" s="1131">
        <v>4006</v>
      </c>
      <c r="AC20" s="1243">
        <v>29.852403846153841</v>
      </c>
      <c r="AD20" s="1242">
        <v>3.625</v>
      </c>
      <c r="AE20" s="1131">
        <v>3110</v>
      </c>
      <c r="AF20" s="1239">
        <v>1.2325000000000002</v>
      </c>
      <c r="AG20" s="1131">
        <v>2440</v>
      </c>
      <c r="AH20" s="1197">
        <v>3.0073000000000003</v>
      </c>
      <c r="AI20" s="1240">
        <v>2.3123764705882337</v>
      </c>
      <c r="AJ20" s="1131">
        <v>18.951923076923077</v>
      </c>
      <c r="AK20" s="1131">
        <v>225.73076923076923</v>
      </c>
      <c r="AL20" s="1131" t="s">
        <v>528</v>
      </c>
      <c r="AM20" s="1131" t="s">
        <v>528</v>
      </c>
      <c r="AN20" s="1131" t="s">
        <v>528</v>
      </c>
      <c r="AO20" s="1131">
        <v>14.885009683257916</v>
      </c>
      <c r="AP20" s="1239">
        <v>20.822878371040723</v>
      </c>
      <c r="AQ20" s="1131">
        <v>20.822878371040723</v>
      </c>
      <c r="AR20" s="1131">
        <v>1090</v>
      </c>
      <c r="AS20" s="1243">
        <v>22.593356658852201</v>
      </c>
      <c r="AT20" s="1197">
        <v>0</v>
      </c>
      <c r="AU20" s="1131">
        <v>92.611764705882365</v>
      </c>
      <c r="AV20" s="1131">
        <v>431.91056910569102</v>
      </c>
      <c r="AW20" s="1131">
        <v>0</v>
      </c>
      <c r="AX20" s="1239">
        <v>6.3670588235294119</v>
      </c>
      <c r="AY20" s="1131">
        <v>10</v>
      </c>
      <c r="AZ20" s="1242">
        <v>0.45842608447488586</v>
      </c>
      <c r="BA20" s="1243">
        <v>4.957922207061384E-2</v>
      </c>
      <c r="BB20" s="1129"/>
      <c r="BC20" s="1131"/>
      <c r="BD20" s="1243">
        <v>2.7231000000000005</v>
      </c>
      <c r="BG20" s="637"/>
      <c r="BH20" s="379"/>
      <c r="BI20" s="379"/>
      <c r="BJ20" s="1238"/>
      <c r="BK20" s="1129"/>
      <c r="BL20" s="1129"/>
      <c r="BM20" s="1129"/>
      <c r="BN20" s="1129"/>
      <c r="BO20" s="1129"/>
      <c r="BP20" s="1237"/>
      <c r="BQ20" s="1240">
        <v>1</v>
      </c>
      <c r="BR20" s="1129">
        <v>3630</v>
      </c>
      <c r="BS20" s="1131">
        <v>3.63</v>
      </c>
      <c r="BT20" s="1241"/>
      <c r="BU20" s="1239"/>
      <c r="BV20" s="1131">
        <v>59.8</v>
      </c>
      <c r="BW20" s="1239">
        <v>0.967741935483871</v>
      </c>
      <c r="BX20" s="1239">
        <v>6.4799331103678934</v>
      </c>
      <c r="BY20" s="1239">
        <v>12</v>
      </c>
      <c r="BZ20" s="1239">
        <v>18.479933110367895</v>
      </c>
      <c r="CA20" s="1131">
        <v>2340</v>
      </c>
      <c r="CB20" s="1131">
        <v>3260</v>
      </c>
      <c r="CC20" s="1197">
        <v>54.283043478260865</v>
      </c>
      <c r="CD20" s="1239">
        <v>3.75</v>
      </c>
      <c r="CE20" s="1239">
        <v>1.2750000000000001</v>
      </c>
      <c r="CF20" s="1131">
        <v>1490</v>
      </c>
      <c r="CG20" s="1197">
        <v>1.8997500000000003</v>
      </c>
      <c r="CH20" s="1240">
        <v>9.1703529411764713</v>
      </c>
      <c r="CI20" s="1131">
        <v>28.279933110367892</v>
      </c>
      <c r="CJ20" s="1131">
        <v>277.15603039753006</v>
      </c>
      <c r="CK20" s="1131" t="s">
        <v>528</v>
      </c>
      <c r="CL20" s="1131" t="s">
        <v>528</v>
      </c>
      <c r="CM20" s="1131" t="s">
        <v>528</v>
      </c>
      <c r="CN20" s="1131">
        <v>26</v>
      </c>
      <c r="CO20" s="1131">
        <v>2000</v>
      </c>
      <c r="CP20" s="1197">
        <v>51.8795</v>
      </c>
      <c r="CQ20" s="1131">
        <v>211.82745098039214</v>
      </c>
      <c r="CR20" s="1131">
        <v>182.97911729857822</v>
      </c>
      <c r="CS20" s="1131">
        <v>-1</v>
      </c>
      <c r="CT20" s="1131">
        <v>15.357490196078432</v>
      </c>
      <c r="CU20" s="1131">
        <v>360</v>
      </c>
      <c r="CV20" s="1197">
        <v>5.4972541685779506</v>
      </c>
      <c r="CW20" s="1129"/>
      <c r="CX20" s="1131"/>
      <c r="CY20" s="1197">
        <v>2.7231000000000005</v>
      </c>
      <c r="DA20" s="637">
        <f t="shared" si="0"/>
        <v>0</v>
      </c>
      <c r="DB20" s="379">
        <f t="shared" si="1"/>
        <v>0</v>
      </c>
      <c r="DC20" s="379">
        <f t="shared" si="2"/>
        <v>0</v>
      </c>
      <c r="DD20" s="1238">
        <f t="shared" si="3"/>
        <v>0</v>
      </c>
      <c r="DE20" s="1129">
        <f t="shared" si="4"/>
        <v>0</v>
      </c>
      <c r="DF20" s="1129">
        <f t="shared" si="5"/>
        <v>0</v>
      </c>
      <c r="DG20" s="1129">
        <f t="shared" si="6"/>
        <v>0</v>
      </c>
      <c r="DH20" s="1129">
        <f t="shared" si="7"/>
        <v>0</v>
      </c>
      <c r="DI20" s="1129">
        <f t="shared" si="8"/>
        <v>0</v>
      </c>
      <c r="DJ20" s="1237">
        <f t="shared" si="9"/>
        <v>0</v>
      </c>
      <c r="DK20" s="1240">
        <f t="shared" si="10"/>
        <v>0</v>
      </c>
      <c r="DL20" s="1129">
        <f t="shared" si="11"/>
        <v>0</v>
      </c>
      <c r="DM20" s="1131">
        <f t="shared" si="12"/>
        <v>0</v>
      </c>
      <c r="DN20" s="1241">
        <f t="shared" si="13"/>
        <v>0</v>
      </c>
      <c r="DO20" s="1239">
        <f t="shared" si="14"/>
        <v>130</v>
      </c>
      <c r="DP20" s="1131">
        <f t="shared" si="15"/>
        <v>-58.832258064516125</v>
      </c>
      <c r="DQ20" s="1239">
        <f t="shared" si="16"/>
        <v>-0.967741935483871</v>
      </c>
      <c r="DR20" s="1239">
        <f t="shared" si="17"/>
        <v>-4.4799331103678934</v>
      </c>
      <c r="DS20" s="1239">
        <f t="shared" si="18"/>
        <v>-1</v>
      </c>
      <c r="DT20" s="1239">
        <f t="shared" si="19"/>
        <v>-11.028010033444819</v>
      </c>
      <c r="DU20" s="1131">
        <f t="shared" si="20"/>
        <v>1666</v>
      </c>
      <c r="DV20" s="1131" t="e">
        <f>#REF!-CB20</f>
        <v>#REF!</v>
      </c>
      <c r="DW20" s="1197">
        <f t="shared" si="21"/>
        <v>-24.430639632107024</v>
      </c>
      <c r="DX20" s="1239">
        <f t="shared" si="22"/>
        <v>-0.125</v>
      </c>
      <c r="DY20" s="1239">
        <f t="shared" si="23"/>
        <v>-4.2499999999999982E-2</v>
      </c>
      <c r="DZ20" s="1131">
        <f t="shared" si="24"/>
        <v>950</v>
      </c>
      <c r="EA20" s="1197">
        <f t="shared" si="25"/>
        <v>1.10755</v>
      </c>
      <c r="EB20" s="1240">
        <f t="shared" si="26"/>
        <v>-6.8579764705882376</v>
      </c>
      <c r="EC20" s="1131">
        <f t="shared" si="27"/>
        <v>-9.3280100334448157</v>
      </c>
      <c r="ED20" s="1131">
        <f t="shared" si="28"/>
        <v>-51.425261166760833</v>
      </c>
      <c r="EE20" s="1131" t="e">
        <f t="shared" si="29"/>
        <v>#VALUE!</v>
      </c>
      <c r="EF20" s="1131" t="e">
        <f t="shared" si="30"/>
        <v>#VALUE!</v>
      </c>
      <c r="EG20" s="1131" t="e">
        <f t="shared" si="31"/>
        <v>#VALUE!</v>
      </c>
      <c r="EH20" s="1131">
        <f t="shared" si="32"/>
        <v>-5.1771216289592772</v>
      </c>
      <c r="EI20" s="1131">
        <f t="shared" si="33"/>
        <v>-910</v>
      </c>
      <c r="EJ20" s="1197">
        <f t="shared" si="34"/>
        <v>-51.8795</v>
      </c>
      <c r="EK20" s="1131">
        <f t="shared" si="35"/>
        <v>-119.21568627450978</v>
      </c>
      <c r="EL20" s="1131">
        <f t="shared" si="36"/>
        <v>248.93145180711281</v>
      </c>
      <c r="EM20" s="1131">
        <f t="shared" si="37"/>
        <v>1</v>
      </c>
      <c r="EN20" s="1131">
        <f t="shared" si="40"/>
        <v>-8.9904313725490201</v>
      </c>
      <c r="EO20" s="1131">
        <f t="shared" si="41"/>
        <v>-350</v>
      </c>
      <c r="EP20" s="1197">
        <f t="shared" si="42"/>
        <v>-5.4476749465073366</v>
      </c>
      <c r="EQ20" s="1129">
        <f t="shared" si="43"/>
        <v>0</v>
      </c>
      <c r="ER20" s="1131">
        <f t="shared" si="44"/>
        <v>0</v>
      </c>
      <c r="ES20" s="1197">
        <f t="shared" si="45"/>
        <v>0</v>
      </c>
    </row>
    <row r="21" spans="1:149">
      <c r="A21" s="634">
        <f>Eingabedaten!A24</f>
        <v>5.03</v>
      </c>
      <c r="B21" s="463" t="str">
        <f>Eingabedaten!C24</f>
        <v>Verkauf Möbel, Bau, Garten</v>
      </c>
      <c r="C21" s="637"/>
      <c r="D21" s="379"/>
      <c r="E21" s="379"/>
      <c r="F21" s="1238"/>
      <c r="G21" s="1129"/>
      <c r="H21" s="1129"/>
      <c r="I21" s="1129"/>
      <c r="J21" s="1129"/>
      <c r="K21" s="1129"/>
      <c r="L21" s="1129"/>
      <c r="M21" s="1129"/>
      <c r="N21" s="1237"/>
      <c r="O21" s="1240">
        <v>1</v>
      </c>
      <c r="P21" s="1131">
        <v>0</v>
      </c>
      <c r="Q21" s="1129">
        <v>3410</v>
      </c>
      <c r="R21" s="1131">
        <v>3.41</v>
      </c>
      <c r="S21" s="1239">
        <v>3.41</v>
      </c>
      <c r="T21" s="1131">
        <v>0</v>
      </c>
      <c r="U21" s="1240"/>
      <c r="V21" s="1240">
        <v>130</v>
      </c>
      <c r="W21" s="1834">
        <v>0.967741935483871</v>
      </c>
      <c r="X21" s="1239"/>
      <c r="Y21" s="1239">
        <v>2</v>
      </c>
      <c r="Z21" s="1239">
        <v>11</v>
      </c>
      <c r="AA21" s="1239">
        <v>5.9615384615384608</v>
      </c>
      <c r="AB21" s="1131">
        <v>4006</v>
      </c>
      <c r="AC21" s="1243">
        <v>23.881923076923073</v>
      </c>
      <c r="AD21" s="1242">
        <v>1.9333333333333333</v>
      </c>
      <c r="AE21" s="1131">
        <v>4910</v>
      </c>
      <c r="AF21" s="1239">
        <v>0.65733333333333344</v>
      </c>
      <c r="AG21" s="1131">
        <v>3670</v>
      </c>
      <c r="AH21" s="1197">
        <v>2.4124133333333337</v>
      </c>
      <c r="AI21" s="1240">
        <v>1.7258164705882355</v>
      </c>
      <c r="AJ21" s="1131">
        <v>12.561538461538461</v>
      </c>
      <c r="AK21" s="1131">
        <v>157.86461538461538</v>
      </c>
      <c r="AL21" s="1131" t="s">
        <v>527</v>
      </c>
      <c r="AM21" s="1131" t="s">
        <v>528</v>
      </c>
      <c r="AN21" s="1131" t="s">
        <v>528</v>
      </c>
      <c r="AO21" s="1131">
        <v>10.001148452488687</v>
      </c>
      <c r="AP21" s="1239">
        <v>13.884664422322775</v>
      </c>
      <c r="AQ21" s="1131">
        <v>13.884664422322775</v>
      </c>
      <c r="AR21" s="1131">
        <v>750</v>
      </c>
      <c r="AS21" s="1243">
        <v>10.381431342261552</v>
      </c>
      <c r="AT21" s="1197">
        <v>0</v>
      </c>
      <c r="AU21" s="1131">
        <v>92.611764705882365</v>
      </c>
      <c r="AV21" s="1131">
        <v>431.91056910569102</v>
      </c>
      <c r="AW21" s="1131">
        <v>0</v>
      </c>
      <c r="AX21" s="1239">
        <v>6.3670588235294119</v>
      </c>
      <c r="AY21" s="1131">
        <v>160</v>
      </c>
      <c r="AZ21" s="1242">
        <v>0.39989060121765607</v>
      </c>
      <c r="BA21" s="1243">
        <v>1.0143891674095527</v>
      </c>
      <c r="BB21" s="1129"/>
      <c r="BC21" s="1131"/>
      <c r="BD21" s="1243">
        <v>1.4523200000000003</v>
      </c>
      <c r="BG21" s="637"/>
      <c r="BH21" s="379"/>
      <c r="BI21" s="379"/>
      <c r="BJ21" s="1238"/>
      <c r="BK21" s="1129"/>
      <c r="BL21" s="1129"/>
      <c r="BM21" s="1129"/>
      <c r="BN21" s="1129"/>
      <c r="BO21" s="1129"/>
      <c r="BP21" s="1237"/>
      <c r="BQ21" s="1240">
        <v>1</v>
      </c>
      <c r="BR21" s="1129">
        <v>3410</v>
      </c>
      <c r="BS21" s="1131">
        <v>3.41</v>
      </c>
      <c r="BT21" s="1241"/>
      <c r="BU21" s="1239"/>
      <c r="BV21" s="1131">
        <v>59.8</v>
      </c>
      <c r="BW21" s="1239">
        <v>0.967741935483871</v>
      </c>
      <c r="BX21" s="1239">
        <v>6.4799331103678934</v>
      </c>
      <c r="BY21" s="1239">
        <v>6</v>
      </c>
      <c r="BZ21" s="1239">
        <v>12.479933110367893</v>
      </c>
      <c r="CA21" s="1131">
        <v>2090</v>
      </c>
      <c r="CB21" s="1131">
        <v>3000</v>
      </c>
      <c r="CC21" s="1197">
        <v>31.543060200668897</v>
      </c>
      <c r="CD21" s="1239">
        <v>2</v>
      </c>
      <c r="CE21" s="1239">
        <v>0.68</v>
      </c>
      <c r="CF21" s="1131">
        <v>1400</v>
      </c>
      <c r="CG21" s="1197">
        <v>0.95200000000000007</v>
      </c>
      <c r="CH21" s="1240">
        <v>8.4983529411764724</v>
      </c>
      <c r="CI21" s="1131">
        <v>18.179933110367894</v>
      </c>
      <c r="CJ21" s="1131">
        <v>163.31603039753008</v>
      </c>
      <c r="CK21" s="1131" t="s">
        <v>527</v>
      </c>
      <c r="CL21" s="1131" t="s">
        <v>528</v>
      </c>
      <c r="CM21" s="1131" t="s">
        <v>528</v>
      </c>
      <c r="CN21" s="1131">
        <v>17</v>
      </c>
      <c r="CO21" s="1131">
        <v>1430</v>
      </c>
      <c r="CP21" s="1197">
        <v>24.26295</v>
      </c>
      <c r="CQ21" s="1131">
        <v>167.02745098039216</v>
      </c>
      <c r="CR21" s="1131">
        <v>232.05766341096918</v>
      </c>
      <c r="CS21" s="1131">
        <v>0</v>
      </c>
      <c r="CT21" s="1131">
        <v>11.691921568627452</v>
      </c>
      <c r="CU21" s="1131">
        <v>510</v>
      </c>
      <c r="CV21" s="1197">
        <v>5.9085148456809309</v>
      </c>
      <c r="CW21" s="1129"/>
      <c r="CX21" s="1131"/>
      <c r="CY21" s="1197">
        <v>1.4523200000000003</v>
      </c>
      <c r="DA21" s="637">
        <f t="shared" si="0"/>
        <v>0</v>
      </c>
      <c r="DB21" s="379">
        <f t="shared" si="1"/>
        <v>0</v>
      </c>
      <c r="DC21" s="379">
        <f t="shared" si="2"/>
        <v>0</v>
      </c>
      <c r="DD21" s="1238">
        <f t="shared" si="3"/>
        <v>0</v>
      </c>
      <c r="DE21" s="1129">
        <f t="shared" si="4"/>
        <v>0</v>
      </c>
      <c r="DF21" s="1129">
        <f t="shared" si="5"/>
        <v>0</v>
      </c>
      <c r="DG21" s="1129">
        <f t="shared" si="6"/>
        <v>0</v>
      </c>
      <c r="DH21" s="1129">
        <f t="shared" si="7"/>
        <v>0</v>
      </c>
      <c r="DI21" s="1129">
        <f t="shared" si="8"/>
        <v>0</v>
      </c>
      <c r="DJ21" s="1237">
        <f t="shared" si="9"/>
        <v>0</v>
      </c>
      <c r="DK21" s="1240">
        <f t="shared" si="10"/>
        <v>0</v>
      </c>
      <c r="DL21" s="1129">
        <f t="shared" si="11"/>
        <v>0</v>
      </c>
      <c r="DM21" s="1131">
        <f t="shared" si="12"/>
        <v>0</v>
      </c>
      <c r="DN21" s="1241">
        <f t="shared" si="13"/>
        <v>0</v>
      </c>
      <c r="DO21" s="1239">
        <f t="shared" si="14"/>
        <v>130</v>
      </c>
      <c r="DP21" s="1131">
        <f t="shared" si="15"/>
        <v>-58.832258064516125</v>
      </c>
      <c r="DQ21" s="1239">
        <f t="shared" si="16"/>
        <v>-0.967741935483871</v>
      </c>
      <c r="DR21" s="1239">
        <f t="shared" si="17"/>
        <v>-4.4799331103678934</v>
      </c>
      <c r="DS21" s="1239">
        <f t="shared" si="18"/>
        <v>5</v>
      </c>
      <c r="DT21" s="1239">
        <f t="shared" si="19"/>
        <v>-6.5183946488294326</v>
      </c>
      <c r="DU21" s="1131">
        <f t="shared" si="20"/>
        <v>1916</v>
      </c>
      <c r="DV21" s="1131" t="e">
        <f>#REF!-CB21</f>
        <v>#REF!</v>
      </c>
      <c r="DW21" s="1197">
        <f t="shared" si="21"/>
        <v>-7.6611371237458243</v>
      </c>
      <c r="DX21" s="1239">
        <f t="shared" si="22"/>
        <v>-6.6666666666666652E-2</v>
      </c>
      <c r="DY21" s="1239">
        <f t="shared" si="23"/>
        <v>-2.2666666666666613E-2</v>
      </c>
      <c r="DZ21" s="1131">
        <f t="shared" si="24"/>
        <v>2270</v>
      </c>
      <c r="EA21" s="1197">
        <f t="shared" si="25"/>
        <v>1.4604133333333338</v>
      </c>
      <c r="EB21" s="1240">
        <f t="shared" si="26"/>
        <v>-6.7725364705882374</v>
      </c>
      <c r="EC21" s="1131">
        <f t="shared" si="27"/>
        <v>-5.6183946488294332</v>
      </c>
      <c r="ED21" s="1131">
        <f t="shared" si="28"/>
        <v>-5.4514150129147083</v>
      </c>
      <c r="EE21" s="1131" t="e">
        <f t="shared" si="29"/>
        <v>#VALUE!</v>
      </c>
      <c r="EF21" s="1131" t="e">
        <f t="shared" si="30"/>
        <v>#VALUE!</v>
      </c>
      <c r="EG21" s="1131" t="e">
        <f t="shared" si="31"/>
        <v>#VALUE!</v>
      </c>
      <c r="EH21" s="1131">
        <f t="shared" si="32"/>
        <v>-3.1153355776772251</v>
      </c>
      <c r="EI21" s="1131">
        <f t="shared" si="33"/>
        <v>-680</v>
      </c>
      <c r="EJ21" s="1197">
        <f t="shared" si="34"/>
        <v>-24.26295</v>
      </c>
      <c r="EK21" s="1131">
        <f t="shared" si="35"/>
        <v>-74.415686274509795</v>
      </c>
      <c r="EL21" s="1131">
        <f t="shared" si="36"/>
        <v>199.85290569472184</v>
      </c>
      <c r="EM21" s="1131">
        <f t="shared" si="37"/>
        <v>0</v>
      </c>
      <c r="EN21" s="1131">
        <f t="shared" si="40"/>
        <v>-5.3248627450980397</v>
      </c>
      <c r="EO21" s="1131">
        <f t="shared" si="41"/>
        <v>-350</v>
      </c>
      <c r="EP21" s="1197">
        <f t="shared" si="42"/>
        <v>-4.8941256782713785</v>
      </c>
      <c r="EQ21" s="1129">
        <f t="shared" si="43"/>
        <v>0</v>
      </c>
      <c r="ER21" s="1131">
        <f t="shared" si="44"/>
        <v>0</v>
      </c>
      <c r="ES21" s="1197">
        <f t="shared" si="45"/>
        <v>0</v>
      </c>
    </row>
    <row r="22" spans="1:149">
      <c r="A22" s="1472">
        <f>Eingabedaten!A25</f>
        <v>6.01</v>
      </c>
      <c r="B22" s="388" t="str">
        <f>Eingabedaten!C25</f>
        <v>Restaurant</v>
      </c>
      <c r="C22" s="653"/>
      <c r="D22" s="386"/>
      <c r="E22" s="386"/>
      <c r="F22" s="1247"/>
      <c r="G22" s="1248"/>
      <c r="H22" s="1248"/>
      <c r="I22" s="1248"/>
      <c r="J22" s="1248"/>
      <c r="K22" s="1248"/>
      <c r="L22" s="1248"/>
      <c r="M22" s="1248"/>
      <c r="N22" s="1250"/>
      <c r="O22" s="1251">
        <v>1</v>
      </c>
      <c r="P22" s="1132">
        <v>0</v>
      </c>
      <c r="Q22" s="1248">
        <v>2250</v>
      </c>
      <c r="R22" s="1132">
        <v>2.25</v>
      </c>
      <c r="S22" s="1249">
        <v>2.25</v>
      </c>
      <c r="T22" s="1132">
        <v>0</v>
      </c>
      <c r="U22" s="1251"/>
      <c r="V22" s="1251">
        <v>130</v>
      </c>
      <c r="W22" s="1835">
        <v>0.98181818181818192</v>
      </c>
      <c r="X22" s="1249"/>
      <c r="Y22" s="1249">
        <v>2</v>
      </c>
      <c r="Z22" s="1249">
        <v>5.6576161953124684</v>
      </c>
      <c r="AA22" s="1249">
        <v>2.9380341880341878</v>
      </c>
      <c r="AB22" s="1132">
        <v>1138</v>
      </c>
      <c r="AC22" s="1254">
        <v>3.3434829059829059</v>
      </c>
      <c r="AD22" s="1253">
        <v>14.5</v>
      </c>
      <c r="AE22" s="1132">
        <v>2360</v>
      </c>
      <c r="AF22" s="1249">
        <v>4.9300000000000006</v>
      </c>
      <c r="AG22" s="1132">
        <v>1650</v>
      </c>
      <c r="AH22" s="1198">
        <v>8.134500000000001</v>
      </c>
      <c r="AI22" s="1251">
        <v>14.530032941176479</v>
      </c>
      <c r="AJ22" s="1132">
        <v>45.938034188034187</v>
      </c>
      <c r="AK22" s="1132">
        <v>235.81410256410257</v>
      </c>
      <c r="AL22" s="1132" t="s">
        <v>528</v>
      </c>
      <c r="AM22" s="1132" t="s">
        <v>528</v>
      </c>
      <c r="AN22" s="1132" t="s">
        <v>528</v>
      </c>
      <c r="AO22" s="1132">
        <v>42.327646990447462</v>
      </c>
      <c r="AP22" s="1249">
        <v>51.390915294117654</v>
      </c>
      <c r="AQ22" s="1132">
        <v>51.390915294117654</v>
      </c>
      <c r="AR22" s="1132">
        <v>190</v>
      </c>
      <c r="AS22" s="1254">
        <v>9.769152420313981</v>
      </c>
      <c r="AT22" s="1198">
        <v>0</v>
      </c>
      <c r="AU22" s="1132">
        <v>54.200470588235305</v>
      </c>
      <c r="AV22" s="1132">
        <v>268.33715357366111</v>
      </c>
      <c r="AW22" s="1132">
        <v>0</v>
      </c>
      <c r="AX22" s="1249">
        <v>10.727176470588237</v>
      </c>
      <c r="AY22" s="1132">
        <v>1020</v>
      </c>
      <c r="AZ22" s="1253">
        <v>1.1164954337899542</v>
      </c>
      <c r="BA22" s="1254">
        <v>10.918893514834393</v>
      </c>
      <c r="BB22" s="1248"/>
      <c r="BC22" s="1132"/>
      <c r="BD22" s="1254">
        <v>108.92400000000002</v>
      </c>
      <c r="BG22" s="653"/>
      <c r="BH22" s="386"/>
      <c r="BI22" s="386"/>
      <c r="BJ22" s="1247"/>
      <c r="BK22" s="1248"/>
      <c r="BL22" s="1248"/>
      <c r="BM22" s="1248"/>
      <c r="BN22" s="1248"/>
      <c r="BO22" s="1248"/>
      <c r="BP22" s="1250"/>
      <c r="BQ22" s="1251">
        <v>1</v>
      </c>
      <c r="BR22" s="1248">
        <v>2250</v>
      </c>
      <c r="BS22" s="1132">
        <v>2.25</v>
      </c>
      <c r="BT22" s="1252"/>
      <c r="BU22" s="1249"/>
      <c r="BV22" s="1132">
        <v>54.800000000000004</v>
      </c>
      <c r="BW22" s="1249">
        <v>0.98181818181818192</v>
      </c>
      <c r="BX22" s="1249">
        <v>4.6465260881319272</v>
      </c>
      <c r="BY22" s="1249">
        <v>0</v>
      </c>
      <c r="BZ22" s="1249">
        <v>4.6465260881319272</v>
      </c>
      <c r="CA22" s="1132">
        <v>1680</v>
      </c>
      <c r="CB22" s="1132">
        <v>0</v>
      </c>
      <c r="CC22" s="1198">
        <v>7.8061638280616368</v>
      </c>
      <c r="CD22" s="1249">
        <v>18</v>
      </c>
      <c r="CE22" s="1249">
        <v>6.12</v>
      </c>
      <c r="CF22" s="1132">
        <v>1550</v>
      </c>
      <c r="CG22" s="1198">
        <v>9.4860000000000007</v>
      </c>
      <c r="CH22" s="1251">
        <v>16.502941176470586</v>
      </c>
      <c r="CI22" s="1132">
        <v>40.646526088131928</v>
      </c>
      <c r="CJ22" s="1132">
        <v>212.6915059193077</v>
      </c>
      <c r="CK22" s="1132" t="s">
        <v>528</v>
      </c>
      <c r="CL22" s="1132" t="s">
        <v>528</v>
      </c>
      <c r="CM22" s="1132" t="s">
        <v>528</v>
      </c>
      <c r="CN22" s="1132">
        <v>30</v>
      </c>
      <c r="CO22" s="1132">
        <v>740</v>
      </c>
      <c r="CP22" s="1198">
        <v>22.154166666666665</v>
      </c>
      <c r="CQ22" s="1132">
        <v>216.28235294117644</v>
      </c>
      <c r="CR22" s="1132">
        <v>67.245430809399494</v>
      </c>
      <c r="CS22" s="1132">
        <v>-2</v>
      </c>
      <c r="CT22" s="1132">
        <v>46.560784313725485</v>
      </c>
      <c r="CU22" s="1132">
        <v>560</v>
      </c>
      <c r="CV22" s="1198">
        <v>25.88085909922804</v>
      </c>
      <c r="CW22" s="1248"/>
      <c r="CX22" s="1132"/>
      <c r="CY22" s="1198">
        <v>108.92400000000002</v>
      </c>
      <c r="DA22" s="653">
        <f t="shared" si="0"/>
        <v>0</v>
      </c>
      <c r="DB22" s="386">
        <f t="shared" si="1"/>
        <v>0</v>
      </c>
      <c r="DC22" s="386">
        <f t="shared" si="2"/>
        <v>0</v>
      </c>
      <c r="DD22" s="1247">
        <f t="shared" si="3"/>
        <v>0</v>
      </c>
      <c r="DE22" s="1248">
        <f t="shared" si="4"/>
        <v>0</v>
      </c>
      <c r="DF22" s="1248">
        <f t="shared" si="5"/>
        <v>0</v>
      </c>
      <c r="DG22" s="1248">
        <f t="shared" si="6"/>
        <v>0</v>
      </c>
      <c r="DH22" s="1248">
        <f t="shared" si="7"/>
        <v>0</v>
      </c>
      <c r="DI22" s="1248">
        <f t="shared" si="8"/>
        <v>0</v>
      </c>
      <c r="DJ22" s="1250">
        <f t="shared" si="9"/>
        <v>0</v>
      </c>
      <c r="DK22" s="1251">
        <f t="shared" si="10"/>
        <v>0</v>
      </c>
      <c r="DL22" s="1248">
        <f t="shared" si="11"/>
        <v>0</v>
      </c>
      <c r="DM22" s="1132">
        <f t="shared" si="12"/>
        <v>0</v>
      </c>
      <c r="DN22" s="1252">
        <f t="shared" si="13"/>
        <v>0</v>
      </c>
      <c r="DO22" s="1249">
        <f t="shared" si="14"/>
        <v>130</v>
      </c>
      <c r="DP22" s="1132">
        <f t="shared" si="15"/>
        <v>-53.81818181818182</v>
      </c>
      <c r="DQ22" s="1249">
        <f t="shared" si="16"/>
        <v>-0.98181818181818192</v>
      </c>
      <c r="DR22" s="1249">
        <f t="shared" si="17"/>
        <v>-2.6465260881319272</v>
      </c>
      <c r="DS22" s="1249">
        <f t="shared" si="18"/>
        <v>5.6576161953124684</v>
      </c>
      <c r="DT22" s="1249">
        <f t="shared" si="19"/>
        <v>-1.7084919000977394</v>
      </c>
      <c r="DU22" s="1132">
        <f t="shared" si="20"/>
        <v>-542</v>
      </c>
      <c r="DV22" s="1132" t="e">
        <f>#REF!-CB22</f>
        <v>#REF!</v>
      </c>
      <c r="DW22" s="1198">
        <f t="shared" si="21"/>
        <v>-4.4626809220787305</v>
      </c>
      <c r="DX22" s="1249">
        <f t="shared" si="22"/>
        <v>-3.5</v>
      </c>
      <c r="DY22" s="1249">
        <f t="shared" si="23"/>
        <v>-1.1899999999999995</v>
      </c>
      <c r="DZ22" s="1132">
        <f t="shared" si="24"/>
        <v>100</v>
      </c>
      <c r="EA22" s="1198">
        <f t="shared" si="25"/>
        <v>-1.3514999999999997</v>
      </c>
      <c r="EB22" s="1251">
        <f t="shared" si="26"/>
        <v>-1.9729082352941063</v>
      </c>
      <c r="EC22" s="1132">
        <f t="shared" si="27"/>
        <v>5.2915080999022592</v>
      </c>
      <c r="ED22" s="1132">
        <f t="shared" si="28"/>
        <v>23.122596644794868</v>
      </c>
      <c r="EE22" s="1132" t="e">
        <f t="shared" si="29"/>
        <v>#VALUE!</v>
      </c>
      <c r="EF22" s="1132" t="e">
        <f t="shared" si="30"/>
        <v>#VALUE!</v>
      </c>
      <c r="EG22" s="1132" t="e">
        <f t="shared" si="31"/>
        <v>#VALUE!</v>
      </c>
      <c r="EH22" s="1132">
        <f t="shared" si="32"/>
        <v>21.390915294117654</v>
      </c>
      <c r="EI22" s="1132">
        <f t="shared" si="33"/>
        <v>-550</v>
      </c>
      <c r="EJ22" s="1198">
        <f t="shared" si="34"/>
        <v>-22.154166666666665</v>
      </c>
      <c r="EK22" s="1132">
        <f t="shared" si="35"/>
        <v>-162.08188235294114</v>
      </c>
      <c r="EL22" s="1132">
        <f t="shared" si="36"/>
        <v>201.09172276426162</v>
      </c>
      <c r="EM22" s="1132">
        <f t="shared" si="37"/>
        <v>2</v>
      </c>
      <c r="EN22" s="1132">
        <f t="shared" si="40"/>
        <v>-35.833607843137244</v>
      </c>
      <c r="EO22" s="1132">
        <f t="shared" si="41"/>
        <v>460</v>
      </c>
      <c r="EP22" s="1198">
        <f t="shared" si="42"/>
        <v>-14.961965584393647</v>
      </c>
      <c r="EQ22" s="1248">
        <f t="shared" si="43"/>
        <v>0</v>
      </c>
      <c r="ER22" s="1132">
        <f t="shared" si="44"/>
        <v>0</v>
      </c>
      <c r="ES22" s="1198">
        <f t="shared" si="45"/>
        <v>0</v>
      </c>
    </row>
    <row r="23" spans="1:149">
      <c r="A23" s="634">
        <f>Eingabedaten!A26</f>
        <v>6.02</v>
      </c>
      <c r="B23" s="463" t="str">
        <f>Eingabedaten!C26</f>
        <v>Selbstbedienungsrestaurant</v>
      </c>
      <c r="C23" s="637"/>
      <c r="D23" s="379"/>
      <c r="E23" s="379"/>
      <c r="F23" s="1238"/>
      <c r="G23" s="1129"/>
      <c r="H23" s="1129"/>
      <c r="I23" s="1129"/>
      <c r="J23" s="1129"/>
      <c r="K23" s="1129"/>
      <c r="L23" s="1129"/>
      <c r="M23" s="1129"/>
      <c r="N23" s="1237"/>
      <c r="O23" s="1240">
        <v>1</v>
      </c>
      <c r="P23" s="1131">
        <v>0</v>
      </c>
      <c r="Q23" s="1129">
        <v>1750</v>
      </c>
      <c r="R23" s="1131">
        <v>1.75</v>
      </c>
      <c r="S23" s="1239">
        <v>1.75</v>
      </c>
      <c r="T23" s="1131">
        <v>0</v>
      </c>
      <c r="U23" s="1240"/>
      <c r="V23" s="1240">
        <v>130</v>
      </c>
      <c r="W23" s="1834">
        <v>1.1020408163265307</v>
      </c>
      <c r="X23" s="1239"/>
      <c r="Y23" s="1239">
        <v>2</v>
      </c>
      <c r="Z23" s="1239">
        <v>8.7177153026753817</v>
      </c>
      <c r="AA23" s="1239">
        <v>2.6175213675213671</v>
      </c>
      <c r="AB23" s="1131">
        <v>695</v>
      </c>
      <c r="AC23" s="1243">
        <v>1.8191773504273501</v>
      </c>
      <c r="AD23" s="1242">
        <v>14.5</v>
      </c>
      <c r="AE23" s="1131">
        <v>1280</v>
      </c>
      <c r="AF23" s="1239">
        <v>4.9300000000000006</v>
      </c>
      <c r="AG23" s="1131">
        <v>860</v>
      </c>
      <c r="AH23" s="1197">
        <v>4.2397999999999998</v>
      </c>
      <c r="AI23" s="1240">
        <v>8.8735397647058818</v>
      </c>
      <c r="AJ23" s="1131">
        <v>45.61752136752137</v>
      </c>
      <c r="AK23" s="1131">
        <v>132.6</v>
      </c>
      <c r="AL23" s="1131" t="s">
        <v>1317</v>
      </c>
      <c r="AM23" s="1131" t="s">
        <v>527</v>
      </c>
      <c r="AN23" s="1131" t="s">
        <v>528</v>
      </c>
      <c r="AO23" s="1131">
        <v>38.143742792559074</v>
      </c>
      <c r="AP23" s="1239">
        <v>50.803830588235293</v>
      </c>
      <c r="AQ23" s="1131">
        <v>50.803830588235293</v>
      </c>
      <c r="AR23" s="1131">
        <v>110</v>
      </c>
      <c r="AS23" s="1243">
        <v>5.3771450649102706</v>
      </c>
      <c r="AT23" s="1197">
        <v>0</v>
      </c>
      <c r="AU23" s="1131">
        <v>105.69411764705883</v>
      </c>
      <c r="AV23" s="1131">
        <v>351.95903829029385</v>
      </c>
      <c r="AW23" s="1131">
        <v>0</v>
      </c>
      <c r="AX23" s="1239">
        <v>7.530705882352942</v>
      </c>
      <c r="AY23" s="1131">
        <v>880</v>
      </c>
      <c r="AZ23" s="1242">
        <v>0.67420091324200915</v>
      </c>
      <c r="BA23" s="1243">
        <v>6.652144964056447</v>
      </c>
      <c r="BB23" s="1131"/>
      <c r="BC23" s="1131"/>
      <c r="BD23" s="1243">
        <v>108.92400000000002</v>
      </c>
      <c r="BG23" s="637"/>
      <c r="BH23" s="379"/>
      <c r="BI23" s="379"/>
      <c r="BJ23" s="1238"/>
      <c r="BK23" s="1129"/>
      <c r="BL23" s="1129"/>
      <c r="BM23" s="1129"/>
      <c r="BN23" s="1129"/>
      <c r="BO23" s="1129"/>
      <c r="BP23" s="1237"/>
      <c r="BQ23" s="1240">
        <v>1</v>
      </c>
      <c r="BR23" s="1129">
        <v>1750</v>
      </c>
      <c r="BS23" s="1131">
        <v>1.75</v>
      </c>
      <c r="BT23" s="1241"/>
      <c r="BU23" s="1239"/>
      <c r="BV23" s="1131">
        <v>54.800000000000004</v>
      </c>
      <c r="BW23" s="1239">
        <v>1.1020408163265307</v>
      </c>
      <c r="BX23" s="1239">
        <v>4.1396323330629894</v>
      </c>
      <c r="BY23" s="1239">
        <v>0</v>
      </c>
      <c r="BZ23" s="1239">
        <v>4.1396323330629894</v>
      </c>
      <c r="CA23" s="1131">
        <v>1010</v>
      </c>
      <c r="CB23" s="1131">
        <v>0</v>
      </c>
      <c r="CC23" s="1197">
        <v>4.181028656393619</v>
      </c>
      <c r="CD23" s="1239">
        <v>18</v>
      </c>
      <c r="CE23" s="1239">
        <v>6.12</v>
      </c>
      <c r="CF23" s="1131">
        <v>760</v>
      </c>
      <c r="CG23" s="1197">
        <v>4.6512000000000002</v>
      </c>
      <c r="CH23" s="1240">
        <v>12.781764705882352</v>
      </c>
      <c r="CI23" s="1131">
        <v>40.139632333062991</v>
      </c>
      <c r="CJ23" s="1131">
        <v>130.96706806091854</v>
      </c>
      <c r="CK23" s="1131" t="s">
        <v>574</v>
      </c>
      <c r="CL23" s="1131" t="s">
        <v>527</v>
      </c>
      <c r="CM23" s="1131" t="s">
        <v>528</v>
      </c>
      <c r="CN23" s="1131">
        <v>26</v>
      </c>
      <c r="CO23" s="1131">
        <v>470</v>
      </c>
      <c r="CP23" s="1197">
        <v>12.233025</v>
      </c>
      <c r="CQ23" s="1131">
        <v>552.47058823529403</v>
      </c>
      <c r="CR23" s="1131">
        <v>67.333901192504271</v>
      </c>
      <c r="CS23" s="1131">
        <v>-2</v>
      </c>
      <c r="CT23" s="1131">
        <v>42.816470588235291</v>
      </c>
      <c r="CU23" s="1131">
        <v>310</v>
      </c>
      <c r="CV23" s="1197">
        <v>13.208752713532373</v>
      </c>
      <c r="CW23" s="1131"/>
      <c r="CX23" s="1131"/>
      <c r="CY23" s="1197">
        <v>108.92400000000002</v>
      </c>
      <c r="DA23" s="637">
        <f t="shared" si="0"/>
        <v>0</v>
      </c>
      <c r="DB23" s="379">
        <f t="shared" si="1"/>
        <v>0</v>
      </c>
      <c r="DC23" s="379">
        <f t="shared" si="2"/>
        <v>0</v>
      </c>
      <c r="DD23" s="1238">
        <f t="shared" si="3"/>
        <v>0</v>
      </c>
      <c r="DE23" s="1129">
        <f t="shared" si="4"/>
        <v>0</v>
      </c>
      <c r="DF23" s="1129">
        <f t="shared" si="5"/>
        <v>0</v>
      </c>
      <c r="DG23" s="1129">
        <f t="shared" si="6"/>
        <v>0</v>
      </c>
      <c r="DH23" s="1129">
        <f t="shared" si="7"/>
        <v>0</v>
      </c>
      <c r="DI23" s="1129">
        <f t="shared" si="8"/>
        <v>0</v>
      </c>
      <c r="DJ23" s="1237">
        <f t="shared" si="9"/>
        <v>0</v>
      </c>
      <c r="DK23" s="1240">
        <f t="shared" si="10"/>
        <v>0</v>
      </c>
      <c r="DL23" s="1129">
        <f t="shared" si="11"/>
        <v>0</v>
      </c>
      <c r="DM23" s="1131">
        <f t="shared" si="12"/>
        <v>0</v>
      </c>
      <c r="DN23" s="1241">
        <f t="shared" si="13"/>
        <v>0</v>
      </c>
      <c r="DO23" s="1239">
        <f t="shared" si="14"/>
        <v>130</v>
      </c>
      <c r="DP23" s="1131">
        <f t="shared" si="15"/>
        <v>-53.697959183673476</v>
      </c>
      <c r="DQ23" s="1239">
        <f t="shared" si="16"/>
        <v>-1.1020408163265307</v>
      </c>
      <c r="DR23" s="1239">
        <f t="shared" si="17"/>
        <v>-2.1396323330629894</v>
      </c>
      <c r="DS23" s="1239">
        <f t="shared" si="18"/>
        <v>8.7177153026753817</v>
      </c>
      <c r="DT23" s="1239">
        <f t="shared" si="19"/>
        <v>-1.5221109655416223</v>
      </c>
      <c r="DU23" s="1131">
        <f t="shared" si="20"/>
        <v>-315</v>
      </c>
      <c r="DV23" s="1131" t="e">
        <f>#REF!-CB23</f>
        <v>#REF!</v>
      </c>
      <c r="DW23" s="1197">
        <f t="shared" si="21"/>
        <v>-2.3618513059662689</v>
      </c>
      <c r="DX23" s="1239">
        <f t="shared" si="22"/>
        <v>-3.5</v>
      </c>
      <c r="DY23" s="1239">
        <f t="shared" si="23"/>
        <v>-1.1899999999999995</v>
      </c>
      <c r="DZ23" s="1131">
        <f t="shared" si="24"/>
        <v>100</v>
      </c>
      <c r="EA23" s="1197">
        <f t="shared" si="25"/>
        <v>-0.41140000000000043</v>
      </c>
      <c r="EB23" s="1240">
        <f t="shared" si="26"/>
        <v>-3.9082249411764707</v>
      </c>
      <c r="EC23" s="1131">
        <f t="shared" si="27"/>
        <v>5.4778890344583786</v>
      </c>
      <c r="ED23" s="1131">
        <f t="shared" si="28"/>
        <v>1.6329319390814589</v>
      </c>
      <c r="EE23" s="1131" t="e">
        <f t="shared" si="29"/>
        <v>#VALUE!</v>
      </c>
      <c r="EF23" s="1131" t="e">
        <f t="shared" si="30"/>
        <v>#VALUE!</v>
      </c>
      <c r="EG23" s="1131" t="e">
        <f t="shared" si="31"/>
        <v>#VALUE!</v>
      </c>
      <c r="EH23" s="1131">
        <f t="shared" si="32"/>
        <v>24.803830588235293</v>
      </c>
      <c r="EI23" s="1131">
        <f t="shared" si="33"/>
        <v>-360</v>
      </c>
      <c r="EJ23" s="1197">
        <f t="shared" si="34"/>
        <v>-12.233025</v>
      </c>
      <c r="EK23" s="1131">
        <f t="shared" si="35"/>
        <v>-446.77647058823521</v>
      </c>
      <c r="EL23" s="1131">
        <f t="shared" si="36"/>
        <v>284.62513709778955</v>
      </c>
      <c r="EM23" s="1131">
        <f t="shared" si="37"/>
        <v>2</v>
      </c>
      <c r="EN23" s="1131">
        <f t="shared" si="40"/>
        <v>-35.28576470588235</v>
      </c>
      <c r="EO23" s="1131">
        <f t="shared" si="41"/>
        <v>570</v>
      </c>
      <c r="EP23" s="1197">
        <f t="shared" si="42"/>
        <v>-6.5566077494759263</v>
      </c>
      <c r="EQ23" s="1131">
        <f t="shared" si="43"/>
        <v>0</v>
      </c>
      <c r="ER23" s="1131">
        <f t="shared" si="44"/>
        <v>0</v>
      </c>
      <c r="ES23" s="1197">
        <f t="shared" si="45"/>
        <v>0</v>
      </c>
    </row>
    <row r="24" spans="1:149">
      <c r="A24" s="634">
        <f>Eingabedaten!A27</f>
        <v>6.03</v>
      </c>
      <c r="B24" s="463" t="str">
        <f>Eingabedaten!C27</f>
        <v>Küche zu Restaurant</v>
      </c>
      <c r="C24" s="637"/>
      <c r="D24" s="379"/>
      <c r="E24" s="379"/>
      <c r="F24" s="1238"/>
      <c r="G24" s="1129"/>
      <c r="H24" s="1129"/>
      <c r="I24" s="1129"/>
      <c r="J24" s="1129"/>
      <c r="K24" s="1129"/>
      <c r="L24" s="1129"/>
      <c r="M24" s="1129"/>
      <c r="N24" s="1237"/>
      <c r="O24" s="1240">
        <v>10</v>
      </c>
      <c r="P24" s="1131">
        <v>140</v>
      </c>
      <c r="Q24" s="1129">
        <v>2530</v>
      </c>
      <c r="R24" s="1131">
        <v>25.3</v>
      </c>
      <c r="S24" s="1239">
        <v>25.3</v>
      </c>
      <c r="T24" s="1131">
        <v>354.2</v>
      </c>
      <c r="U24" s="1240"/>
      <c r="V24" s="1240">
        <v>130</v>
      </c>
      <c r="W24" s="1834">
        <v>0.77142857142857146</v>
      </c>
      <c r="X24" s="1239"/>
      <c r="Y24" s="1239">
        <v>2</v>
      </c>
      <c r="Z24" s="1239">
        <v>2.5572322376606325</v>
      </c>
      <c r="AA24" s="1239">
        <v>6.232193732193732</v>
      </c>
      <c r="AB24" s="1131">
        <v>1718</v>
      </c>
      <c r="AC24" s="1243">
        <v>10.706908831908832</v>
      </c>
      <c r="AD24" s="1242">
        <v>9.6666666666666679</v>
      </c>
      <c r="AE24" s="1131">
        <v>3180</v>
      </c>
      <c r="AF24" s="1239">
        <v>3.2866666666666675</v>
      </c>
      <c r="AG24" s="1131">
        <v>2580</v>
      </c>
      <c r="AH24" s="1197">
        <v>8.4796000000000014</v>
      </c>
      <c r="AI24" s="1240">
        <v>25.010447058823534</v>
      </c>
      <c r="AJ24" s="1131">
        <v>26.432193732193731</v>
      </c>
      <c r="AK24" s="1131">
        <v>203.41658119658121</v>
      </c>
      <c r="AL24" s="1131" t="s">
        <v>528</v>
      </c>
      <c r="AM24" s="1131" t="s">
        <v>528</v>
      </c>
      <c r="AN24" s="1131" t="s">
        <v>528</v>
      </c>
      <c r="AO24" s="1131">
        <v>36.009848553712082</v>
      </c>
      <c r="AP24" s="1239">
        <v>37.868658823529408</v>
      </c>
      <c r="AQ24" s="1131">
        <v>177.86865882352939</v>
      </c>
      <c r="AR24" s="1131">
        <v>220</v>
      </c>
      <c r="AS24" s="1243">
        <v>8.2024631770451908</v>
      </c>
      <c r="AT24" s="1197">
        <v>0</v>
      </c>
      <c r="AU24" s="1131">
        <v>21.314823529411765</v>
      </c>
      <c r="AV24" s="1131">
        <v>196.59557557292359</v>
      </c>
      <c r="AW24" s="1131">
        <v>-0.45106636640614628</v>
      </c>
      <c r="AX24" s="1239">
        <v>16.549223529411766</v>
      </c>
      <c r="AY24" s="1131">
        <v>1000</v>
      </c>
      <c r="AZ24" s="1242">
        <v>1.0136700913242009</v>
      </c>
      <c r="BA24" s="1243">
        <v>16.613126114158732</v>
      </c>
      <c r="BB24" s="1129"/>
      <c r="BC24" s="1131"/>
      <c r="BD24" s="1197">
        <v>0</v>
      </c>
      <c r="BG24" s="637"/>
      <c r="BH24" s="379"/>
      <c r="BI24" s="379"/>
      <c r="BJ24" s="1238"/>
      <c r="BK24" s="1129"/>
      <c r="BL24" s="1129"/>
      <c r="BM24" s="1129"/>
      <c r="BN24" s="1129"/>
      <c r="BO24" s="1129"/>
      <c r="BP24" s="1237"/>
      <c r="BQ24" s="1240">
        <v>150</v>
      </c>
      <c r="BR24" s="1129">
        <v>2530</v>
      </c>
      <c r="BS24" s="1131">
        <v>379.5</v>
      </c>
      <c r="BT24" s="1241"/>
      <c r="BU24" s="1239"/>
      <c r="BV24" s="1131">
        <v>69.8</v>
      </c>
      <c r="BW24" s="1239">
        <v>0.77142857142857146</v>
      </c>
      <c r="BX24" s="1239">
        <v>11.60723761010294</v>
      </c>
      <c r="BY24" s="1239">
        <v>0</v>
      </c>
      <c r="BZ24" s="1239">
        <v>11.60723761010294</v>
      </c>
      <c r="CA24" s="1131">
        <v>1760</v>
      </c>
      <c r="CB24" s="1131">
        <v>0</v>
      </c>
      <c r="CC24" s="1197">
        <v>20.428738193781175</v>
      </c>
      <c r="CD24" s="1239">
        <v>20</v>
      </c>
      <c r="CE24" s="1239">
        <v>6.8000000000000007</v>
      </c>
      <c r="CF24" s="1131">
        <v>2160</v>
      </c>
      <c r="CG24" s="1197">
        <v>14.688000000000002</v>
      </c>
      <c r="CH24" s="1240">
        <v>22.451215686274512</v>
      </c>
      <c r="CI24" s="1131">
        <v>179.60723761010294</v>
      </c>
      <c r="CJ24" s="1131">
        <v>1651.8082983709046</v>
      </c>
      <c r="CK24" s="1131" t="s">
        <v>528</v>
      </c>
      <c r="CL24" s="1131" t="s">
        <v>528</v>
      </c>
      <c r="CM24" s="1131" t="s">
        <v>528</v>
      </c>
      <c r="CN24" s="1131">
        <v>132</v>
      </c>
      <c r="CO24" s="1131">
        <v>2320</v>
      </c>
      <c r="CP24" s="1197">
        <v>306.05305555555555</v>
      </c>
      <c r="CQ24" s="1131">
        <v>67.219764705882341</v>
      </c>
      <c r="CR24" s="1131">
        <v>62.338807913638867</v>
      </c>
      <c r="CS24" s="1131">
        <v>-2</v>
      </c>
      <c r="CT24" s="1131">
        <v>56.016470588235286</v>
      </c>
      <c r="CU24" s="1131">
        <v>220</v>
      </c>
      <c r="CV24" s="1197">
        <v>12.311943052667544</v>
      </c>
      <c r="CW24" s="1129"/>
      <c r="CX24" s="1131"/>
      <c r="CY24" s="1197">
        <v>0</v>
      </c>
      <c r="DA24" s="637">
        <f t="shared" si="0"/>
        <v>0</v>
      </c>
      <c r="DB24" s="379">
        <f t="shared" si="1"/>
        <v>0</v>
      </c>
      <c r="DC24" s="379">
        <f t="shared" si="2"/>
        <v>0</v>
      </c>
      <c r="DD24" s="1238">
        <f t="shared" si="3"/>
        <v>0</v>
      </c>
      <c r="DE24" s="1129">
        <f t="shared" si="4"/>
        <v>0</v>
      </c>
      <c r="DF24" s="1129">
        <f t="shared" si="5"/>
        <v>0</v>
      </c>
      <c r="DG24" s="1129">
        <f t="shared" si="6"/>
        <v>0</v>
      </c>
      <c r="DH24" s="1129">
        <f t="shared" si="7"/>
        <v>0</v>
      </c>
      <c r="DI24" s="1129">
        <f t="shared" si="8"/>
        <v>0</v>
      </c>
      <c r="DJ24" s="1237">
        <f t="shared" si="9"/>
        <v>0</v>
      </c>
      <c r="DK24" s="1240">
        <f t="shared" si="10"/>
        <v>-140</v>
      </c>
      <c r="DL24" s="1129">
        <f t="shared" si="11"/>
        <v>0</v>
      </c>
      <c r="DM24" s="1131">
        <f t="shared" si="12"/>
        <v>-354.2</v>
      </c>
      <c r="DN24" s="1241">
        <f t="shared" si="13"/>
        <v>0</v>
      </c>
      <c r="DO24" s="1239">
        <f t="shared" si="14"/>
        <v>130</v>
      </c>
      <c r="DP24" s="1131">
        <f t="shared" si="15"/>
        <v>-69.028571428571425</v>
      </c>
      <c r="DQ24" s="1239">
        <f t="shared" si="16"/>
        <v>-0.77142857142857146</v>
      </c>
      <c r="DR24" s="1239">
        <f t="shared" si="17"/>
        <v>-9.6072376101029402</v>
      </c>
      <c r="DS24" s="1239">
        <f t="shared" si="18"/>
        <v>2.5572322376606325</v>
      </c>
      <c r="DT24" s="1239">
        <f t="shared" si="19"/>
        <v>-5.3750438779092082</v>
      </c>
      <c r="DU24" s="1131">
        <f t="shared" si="20"/>
        <v>-42</v>
      </c>
      <c r="DV24" s="1131" t="e">
        <f>#REF!-CB24</f>
        <v>#REF!</v>
      </c>
      <c r="DW24" s="1197">
        <f t="shared" si="21"/>
        <v>-9.7218293618723433</v>
      </c>
      <c r="DX24" s="1239">
        <f t="shared" si="22"/>
        <v>-10.333333333333332</v>
      </c>
      <c r="DY24" s="1239">
        <f t="shared" si="23"/>
        <v>-3.5133333333333332</v>
      </c>
      <c r="DZ24" s="1131">
        <f t="shared" si="24"/>
        <v>420</v>
      </c>
      <c r="EA24" s="1197">
        <f t="shared" si="25"/>
        <v>-6.208400000000001</v>
      </c>
      <c r="EB24" s="1240">
        <f t="shared" si="26"/>
        <v>2.5592313725490214</v>
      </c>
      <c r="EC24" s="1131">
        <f t="shared" si="27"/>
        <v>-153.17504387790922</v>
      </c>
      <c r="ED24" s="1131">
        <f t="shared" si="28"/>
        <v>-1448.3917171743233</v>
      </c>
      <c r="EE24" s="1131" t="e">
        <f t="shared" si="29"/>
        <v>#VALUE!</v>
      </c>
      <c r="EF24" s="1131" t="e">
        <f t="shared" si="30"/>
        <v>#VALUE!</v>
      </c>
      <c r="EG24" s="1131" t="e">
        <f t="shared" si="31"/>
        <v>#VALUE!</v>
      </c>
      <c r="EH24" s="1131">
        <f t="shared" si="32"/>
        <v>45.868658823529387</v>
      </c>
      <c r="EI24" s="1131">
        <f t="shared" si="33"/>
        <v>-2100</v>
      </c>
      <c r="EJ24" s="1197">
        <f t="shared" si="34"/>
        <v>-306.05305555555555</v>
      </c>
      <c r="EK24" s="1131">
        <f t="shared" si="35"/>
        <v>-45.904941176470572</v>
      </c>
      <c r="EL24" s="1131">
        <f t="shared" si="36"/>
        <v>134.25676765928472</v>
      </c>
      <c r="EM24" s="1131">
        <f t="shared" si="37"/>
        <v>1.5489336335938537</v>
      </c>
      <c r="EN24" s="1131">
        <f t="shared" si="40"/>
        <v>-39.467247058823517</v>
      </c>
      <c r="EO24" s="1131">
        <f t="shared" si="41"/>
        <v>780</v>
      </c>
      <c r="EP24" s="1197">
        <f t="shared" si="42"/>
        <v>4.3011830614911872</v>
      </c>
      <c r="EQ24" s="1129">
        <f t="shared" si="43"/>
        <v>0</v>
      </c>
      <c r="ER24" s="1131">
        <f t="shared" si="44"/>
        <v>0</v>
      </c>
      <c r="ES24" s="1197">
        <f t="shared" si="45"/>
        <v>0</v>
      </c>
    </row>
    <row r="25" spans="1:149">
      <c r="A25" s="638">
        <f>Eingabedaten!A28</f>
        <v>6.04</v>
      </c>
      <c r="B25" s="592" t="str">
        <f>Eingabedaten!C28</f>
        <v>Küche zu Selbstbedienungsrest.</v>
      </c>
      <c r="C25" s="654"/>
      <c r="D25" s="387"/>
      <c r="E25" s="387"/>
      <c r="F25" s="1227"/>
      <c r="G25" s="1130"/>
      <c r="H25" s="1130"/>
      <c r="I25" s="1130"/>
      <c r="J25" s="1130"/>
      <c r="K25" s="1130"/>
      <c r="L25" s="1130"/>
      <c r="M25" s="1130"/>
      <c r="N25" s="1229"/>
      <c r="O25" s="1255">
        <v>10</v>
      </c>
      <c r="P25" s="1133">
        <v>140</v>
      </c>
      <c r="Q25" s="1130">
        <v>1730</v>
      </c>
      <c r="R25" s="1133">
        <v>17.3</v>
      </c>
      <c r="S25" s="1228">
        <v>17.3</v>
      </c>
      <c r="T25" s="1133">
        <v>242.2</v>
      </c>
      <c r="U25" s="1255"/>
      <c r="V25" s="1255">
        <v>130</v>
      </c>
      <c r="W25" s="1836">
        <v>0.98181818181818192</v>
      </c>
      <c r="X25" s="1228"/>
      <c r="Y25" s="1228">
        <v>2</v>
      </c>
      <c r="Z25" s="1228">
        <v>7.6197198465403844</v>
      </c>
      <c r="AA25" s="1228">
        <v>4.8967236467236459</v>
      </c>
      <c r="AB25" s="1133">
        <v>1561</v>
      </c>
      <c r="AC25" s="1196">
        <v>7.643785612535611</v>
      </c>
      <c r="AD25" s="1257">
        <v>9.6666666666666679</v>
      </c>
      <c r="AE25" s="1133">
        <v>1910</v>
      </c>
      <c r="AF25" s="1228">
        <v>3.2866666666666675</v>
      </c>
      <c r="AG25" s="1133">
        <v>1470</v>
      </c>
      <c r="AH25" s="1199">
        <v>4.8314000000000012</v>
      </c>
      <c r="AI25" s="1255">
        <v>13.038556862745102</v>
      </c>
      <c r="AJ25" s="1133">
        <v>25.096723646723646</v>
      </c>
      <c r="AK25" s="1133">
        <v>116</v>
      </c>
      <c r="AL25" s="1133" t="s">
        <v>1317</v>
      </c>
      <c r="AM25" s="1133" t="s">
        <v>527</v>
      </c>
      <c r="AN25" s="1133" t="s">
        <v>527</v>
      </c>
      <c r="AO25" s="1133">
        <v>26.694696356628125</v>
      </c>
      <c r="AP25" s="1228">
        <v>29.34846274509804</v>
      </c>
      <c r="AQ25" s="1133">
        <v>169.34846274509803</v>
      </c>
      <c r="AR25" s="1133">
        <v>200</v>
      </c>
      <c r="AS25" s="1196">
        <v>6.0141392957914954</v>
      </c>
      <c r="AT25" s="1199">
        <v>0</v>
      </c>
      <c r="AU25" s="1133">
        <v>49.541647058823528</v>
      </c>
      <c r="AV25" s="1133">
        <v>286.88589992020974</v>
      </c>
      <c r="AW25" s="1133">
        <v>0</v>
      </c>
      <c r="AX25" s="1228">
        <v>9.4610784313725489</v>
      </c>
      <c r="AY25" s="1133">
        <v>840</v>
      </c>
      <c r="AZ25" s="1257">
        <v>0.66874524353120257</v>
      </c>
      <c r="BA25" s="1196">
        <v>7.9352710051231403</v>
      </c>
      <c r="BB25" s="1130"/>
      <c r="BC25" s="1133"/>
      <c r="BD25" s="1199">
        <v>0</v>
      </c>
      <c r="BG25" s="654"/>
      <c r="BH25" s="387"/>
      <c r="BI25" s="387"/>
      <c r="BJ25" s="1227"/>
      <c r="BK25" s="1130"/>
      <c r="BL25" s="1130"/>
      <c r="BM25" s="1130"/>
      <c r="BN25" s="1130"/>
      <c r="BO25" s="1130"/>
      <c r="BP25" s="1229"/>
      <c r="BQ25" s="1255">
        <v>150</v>
      </c>
      <c r="BR25" s="1130">
        <v>1730</v>
      </c>
      <c r="BS25" s="1133">
        <v>259.5</v>
      </c>
      <c r="BT25" s="1256"/>
      <c r="BU25" s="1228"/>
      <c r="BV25" s="1133">
        <v>69.8</v>
      </c>
      <c r="BW25" s="1228">
        <v>0.98181818181818192</v>
      </c>
      <c r="BX25" s="1228">
        <v>9.1199724079380236</v>
      </c>
      <c r="BY25" s="1228">
        <v>0</v>
      </c>
      <c r="BZ25" s="1228">
        <v>9.1199724079380236</v>
      </c>
      <c r="CA25" s="1133">
        <v>1580</v>
      </c>
      <c r="CB25" s="1133">
        <v>0</v>
      </c>
      <c r="CC25" s="1199">
        <v>14.409556404542078</v>
      </c>
      <c r="CD25" s="1228">
        <v>20</v>
      </c>
      <c r="CE25" s="1228">
        <v>6.8000000000000007</v>
      </c>
      <c r="CF25" s="1133">
        <v>1240</v>
      </c>
      <c r="CG25" s="1199">
        <v>8.4320000000000004</v>
      </c>
      <c r="CH25" s="1255">
        <v>13.881607843137255</v>
      </c>
      <c r="CI25" s="1133">
        <v>177.11997240793804</v>
      </c>
      <c r="CJ25" s="1133">
        <v>1127.6409543720763</v>
      </c>
      <c r="CK25" s="1133" t="s">
        <v>528</v>
      </c>
      <c r="CL25" s="1133" t="s">
        <v>528</v>
      </c>
      <c r="CM25" s="1133" t="s">
        <v>528</v>
      </c>
      <c r="CN25" s="1133">
        <v>116</v>
      </c>
      <c r="CO25" s="1133">
        <v>1920</v>
      </c>
      <c r="CP25" s="1199">
        <v>223.11812499999999</v>
      </c>
      <c r="CQ25" s="1133">
        <v>230.05552941176467</v>
      </c>
      <c r="CR25" s="1133">
        <v>61.779866957951853</v>
      </c>
      <c r="CS25" s="1133">
        <v>-2</v>
      </c>
      <c r="CT25" s="1133">
        <v>47.928235294117634</v>
      </c>
      <c r="CU25" s="1133">
        <v>120</v>
      </c>
      <c r="CV25" s="1199">
        <v>5.7671908365921816</v>
      </c>
      <c r="CW25" s="1130"/>
      <c r="CX25" s="1133"/>
      <c r="CY25" s="1199">
        <v>0</v>
      </c>
      <c r="DA25" s="654">
        <f t="shared" si="0"/>
        <v>0</v>
      </c>
      <c r="DB25" s="387">
        <f t="shared" si="1"/>
        <v>0</v>
      </c>
      <c r="DC25" s="387">
        <f t="shared" si="2"/>
        <v>0</v>
      </c>
      <c r="DD25" s="1227">
        <f t="shared" si="3"/>
        <v>0</v>
      </c>
      <c r="DE25" s="1130">
        <f t="shared" si="4"/>
        <v>0</v>
      </c>
      <c r="DF25" s="1130">
        <f t="shared" si="5"/>
        <v>0</v>
      </c>
      <c r="DG25" s="1130">
        <f t="shared" si="6"/>
        <v>0</v>
      </c>
      <c r="DH25" s="1130">
        <f t="shared" si="7"/>
        <v>0</v>
      </c>
      <c r="DI25" s="1130">
        <f t="shared" si="8"/>
        <v>0</v>
      </c>
      <c r="DJ25" s="1229">
        <f t="shared" si="9"/>
        <v>0</v>
      </c>
      <c r="DK25" s="1255">
        <f t="shared" si="10"/>
        <v>-140</v>
      </c>
      <c r="DL25" s="1130">
        <f t="shared" si="11"/>
        <v>0</v>
      </c>
      <c r="DM25" s="1133">
        <f t="shared" si="12"/>
        <v>-242.2</v>
      </c>
      <c r="DN25" s="1256">
        <f t="shared" si="13"/>
        <v>0</v>
      </c>
      <c r="DO25" s="1228">
        <f t="shared" si="14"/>
        <v>130</v>
      </c>
      <c r="DP25" s="1133">
        <f t="shared" si="15"/>
        <v>-68.818181818181813</v>
      </c>
      <c r="DQ25" s="1228">
        <f t="shared" si="16"/>
        <v>-0.98181818181818192</v>
      </c>
      <c r="DR25" s="1228">
        <f t="shared" si="17"/>
        <v>-7.1199724079380236</v>
      </c>
      <c r="DS25" s="1228">
        <f t="shared" si="18"/>
        <v>7.6197198465403844</v>
      </c>
      <c r="DT25" s="1228">
        <f t="shared" si="19"/>
        <v>-4.2232487612143776</v>
      </c>
      <c r="DU25" s="1133">
        <f t="shared" si="20"/>
        <v>-19</v>
      </c>
      <c r="DV25" s="1133" t="e">
        <f>#REF!-CB25</f>
        <v>#REF!</v>
      </c>
      <c r="DW25" s="1199">
        <f t="shared" si="21"/>
        <v>-6.7657707920064674</v>
      </c>
      <c r="DX25" s="1228">
        <f t="shared" si="22"/>
        <v>-10.333333333333332</v>
      </c>
      <c r="DY25" s="1228">
        <f t="shared" si="23"/>
        <v>-3.5133333333333332</v>
      </c>
      <c r="DZ25" s="1133">
        <f t="shared" si="24"/>
        <v>230</v>
      </c>
      <c r="EA25" s="1199">
        <f t="shared" si="25"/>
        <v>-3.6005999999999991</v>
      </c>
      <c r="EB25" s="1255">
        <f t="shared" si="26"/>
        <v>-0.84305098039215309</v>
      </c>
      <c r="EC25" s="1133">
        <f t="shared" si="27"/>
        <v>-152.0232487612144</v>
      </c>
      <c r="ED25" s="1133">
        <f t="shared" si="28"/>
        <v>-1011.6409543720763</v>
      </c>
      <c r="EE25" s="1133" t="e">
        <f t="shared" si="29"/>
        <v>#VALUE!</v>
      </c>
      <c r="EF25" s="1133" t="e">
        <f t="shared" si="30"/>
        <v>#VALUE!</v>
      </c>
      <c r="EG25" s="1133" t="e">
        <f t="shared" si="31"/>
        <v>#VALUE!</v>
      </c>
      <c r="EH25" s="1133">
        <f t="shared" si="32"/>
        <v>53.348462745098033</v>
      </c>
      <c r="EI25" s="1133">
        <f t="shared" si="33"/>
        <v>-1720</v>
      </c>
      <c r="EJ25" s="1199">
        <f t="shared" si="34"/>
        <v>-223.11812499999999</v>
      </c>
      <c r="EK25" s="1133">
        <f t="shared" si="35"/>
        <v>-180.51388235294115</v>
      </c>
      <c r="EL25" s="1133">
        <f t="shared" si="36"/>
        <v>225.10603296225787</v>
      </c>
      <c r="EM25" s="1133">
        <f t="shared" si="37"/>
        <v>2</v>
      </c>
      <c r="EN25" s="1133">
        <f t="shared" si="40"/>
        <v>-38.467156862745085</v>
      </c>
      <c r="EO25" s="1133">
        <f t="shared" si="41"/>
        <v>720</v>
      </c>
      <c r="EP25" s="1199">
        <f t="shared" si="42"/>
        <v>2.1680801685309588</v>
      </c>
      <c r="EQ25" s="1130">
        <f t="shared" si="43"/>
        <v>0</v>
      </c>
      <c r="ER25" s="1133">
        <f t="shared" si="44"/>
        <v>0</v>
      </c>
      <c r="ES25" s="1199">
        <f t="shared" si="45"/>
        <v>0</v>
      </c>
    </row>
    <row r="26" spans="1:149">
      <c r="A26" s="634">
        <f>Eingabedaten!A29</f>
        <v>7.01</v>
      </c>
      <c r="B26" s="463" t="str">
        <f>Eingabedaten!C29</f>
        <v>Vorstellungsraum</v>
      </c>
      <c r="C26" s="637"/>
      <c r="D26" s="379"/>
      <c r="E26" s="379"/>
      <c r="F26" s="1238"/>
      <c r="G26" s="1129"/>
      <c r="H26" s="1129"/>
      <c r="I26" s="1129"/>
      <c r="J26" s="1129"/>
      <c r="K26" s="1129"/>
      <c r="L26" s="1129"/>
      <c r="M26" s="1129"/>
      <c r="N26" s="1237"/>
      <c r="O26" s="1240">
        <v>1</v>
      </c>
      <c r="P26" s="1131">
        <v>0</v>
      </c>
      <c r="Q26" s="1129">
        <v>2300</v>
      </c>
      <c r="R26" s="1131">
        <v>2.2999999999999998</v>
      </c>
      <c r="S26" s="1239">
        <v>2.2999999999999998</v>
      </c>
      <c r="T26" s="1131">
        <v>0</v>
      </c>
      <c r="U26" s="1240"/>
      <c r="V26" s="1240">
        <v>130</v>
      </c>
      <c r="W26" s="1834">
        <v>0.83076923076923082</v>
      </c>
      <c r="X26" s="1239"/>
      <c r="Y26" s="1239">
        <v>2</v>
      </c>
      <c r="Z26" s="1239">
        <v>11</v>
      </c>
      <c r="AA26" s="1239">
        <v>3.4722222222222219</v>
      </c>
      <c r="AB26" s="1131">
        <v>3005</v>
      </c>
      <c r="AC26" s="1243">
        <v>10.434027777777777</v>
      </c>
      <c r="AD26" s="1242">
        <v>9.6666666666666661</v>
      </c>
      <c r="AE26" s="1131">
        <v>2720</v>
      </c>
      <c r="AF26" s="1239">
        <v>3.2866666666666666</v>
      </c>
      <c r="AG26" s="1131">
        <v>2190</v>
      </c>
      <c r="AH26" s="1197">
        <v>7.1978</v>
      </c>
      <c r="AI26" s="1240">
        <v>3.642494117647054</v>
      </c>
      <c r="AJ26" s="1131">
        <v>32.472222222222221</v>
      </c>
      <c r="AK26" s="1131">
        <v>256.32222222222219</v>
      </c>
      <c r="AL26" s="1131" t="s">
        <v>528</v>
      </c>
      <c r="AM26" s="1131" t="s">
        <v>528</v>
      </c>
      <c r="AN26" s="1131" t="s">
        <v>528</v>
      </c>
      <c r="AO26" s="1131">
        <v>25.280301437908491</v>
      </c>
      <c r="AP26" s="1239">
        <v>35.421716339869278</v>
      </c>
      <c r="AQ26" s="1131">
        <v>35.421716339869278</v>
      </c>
      <c r="AR26" s="1131">
        <v>430</v>
      </c>
      <c r="AS26" s="1243">
        <v>15.352038757184358</v>
      </c>
      <c r="AT26" s="1197">
        <v>0</v>
      </c>
      <c r="AU26" s="1131">
        <v>143.9529411764706</v>
      </c>
      <c r="AV26" s="1131">
        <v>309.54560313828046</v>
      </c>
      <c r="AW26" s="1131">
        <v>0</v>
      </c>
      <c r="AX26" s="1239">
        <v>10.256647058823532</v>
      </c>
      <c r="AY26" s="1131">
        <v>310</v>
      </c>
      <c r="AZ26" s="1242">
        <v>0.88873668188736676</v>
      </c>
      <c r="BA26" s="1243">
        <v>3.1866436452362614</v>
      </c>
      <c r="BB26" s="1129"/>
      <c r="BC26" s="1131"/>
      <c r="BD26" s="1243">
        <v>7.2616000000000014</v>
      </c>
      <c r="BG26" s="637"/>
      <c r="BH26" s="379"/>
      <c r="BI26" s="379"/>
      <c r="BJ26" s="1238"/>
      <c r="BK26" s="1129"/>
      <c r="BL26" s="1129"/>
      <c r="BM26" s="1129"/>
      <c r="BN26" s="1129"/>
      <c r="BO26" s="1129"/>
      <c r="BP26" s="1237"/>
      <c r="BQ26" s="1240">
        <v>1</v>
      </c>
      <c r="BR26" s="1129">
        <v>2300</v>
      </c>
      <c r="BS26" s="1131">
        <v>2.2999999999999998</v>
      </c>
      <c r="BT26" s="1241"/>
      <c r="BU26" s="1239"/>
      <c r="BV26" s="1131">
        <v>59.8</v>
      </c>
      <c r="BW26" s="1239">
        <v>0.83076923076923082</v>
      </c>
      <c r="BX26" s="1239">
        <v>7.5483091787439616</v>
      </c>
      <c r="BY26" s="1239">
        <v>0</v>
      </c>
      <c r="BZ26" s="1239">
        <v>7.5483091787439616</v>
      </c>
      <c r="CA26" s="1131">
        <v>3000</v>
      </c>
      <c r="CB26" s="1131">
        <v>0</v>
      </c>
      <c r="CC26" s="1197">
        <v>22.644927536231886</v>
      </c>
      <c r="CD26" s="1239">
        <v>12</v>
      </c>
      <c r="CE26" s="1239">
        <v>4.08</v>
      </c>
      <c r="CF26" s="1131">
        <v>1820</v>
      </c>
      <c r="CG26" s="1197">
        <v>7.4256000000000002</v>
      </c>
      <c r="CH26" s="1240">
        <v>5.711294117647058</v>
      </c>
      <c r="CI26" s="1131">
        <v>31.848309178743961</v>
      </c>
      <c r="CJ26" s="1131">
        <v>276.45971014492756</v>
      </c>
      <c r="CK26" s="1131" t="s">
        <v>528</v>
      </c>
      <c r="CL26" s="1131" t="s">
        <v>528</v>
      </c>
      <c r="CM26" s="1131" t="s">
        <v>528</v>
      </c>
      <c r="CN26" s="1131">
        <v>25</v>
      </c>
      <c r="CO26" s="1131">
        <v>1040</v>
      </c>
      <c r="CP26" s="1197">
        <v>25.948425</v>
      </c>
      <c r="CQ26" s="1131">
        <v>380.75294117647053</v>
      </c>
      <c r="CR26" s="1131">
        <v>117.03126931158079</v>
      </c>
      <c r="CS26" s="1131">
        <v>-1</v>
      </c>
      <c r="CT26" s="1131">
        <v>28.556470588235289</v>
      </c>
      <c r="CU26" s="1131">
        <v>480</v>
      </c>
      <c r="CV26" s="1197">
        <v>13.789205208481373</v>
      </c>
      <c r="CW26" s="1129"/>
      <c r="CX26" s="1131"/>
      <c r="CY26" s="1197">
        <v>7.2616000000000014</v>
      </c>
      <c r="DA26" s="637">
        <f t="shared" si="0"/>
        <v>0</v>
      </c>
      <c r="DB26" s="379">
        <f t="shared" si="1"/>
        <v>0</v>
      </c>
      <c r="DC26" s="379">
        <f t="shared" si="2"/>
        <v>0</v>
      </c>
      <c r="DD26" s="1238">
        <f t="shared" si="3"/>
        <v>0</v>
      </c>
      <c r="DE26" s="1129">
        <f t="shared" si="4"/>
        <v>0</v>
      </c>
      <c r="DF26" s="1129">
        <f t="shared" si="5"/>
        <v>0</v>
      </c>
      <c r="DG26" s="1129">
        <f t="shared" si="6"/>
        <v>0</v>
      </c>
      <c r="DH26" s="1129">
        <f t="shared" si="7"/>
        <v>0</v>
      </c>
      <c r="DI26" s="1129">
        <f t="shared" si="8"/>
        <v>0</v>
      </c>
      <c r="DJ26" s="1237">
        <f t="shared" si="9"/>
        <v>0</v>
      </c>
      <c r="DK26" s="1240">
        <f t="shared" si="10"/>
        <v>0</v>
      </c>
      <c r="DL26" s="1129">
        <f t="shared" si="11"/>
        <v>0</v>
      </c>
      <c r="DM26" s="1131">
        <f t="shared" si="12"/>
        <v>0</v>
      </c>
      <c r="DN26" s="1241">
        <f t="shared" si="13"/>
        <v>0</v>
      </c>
      <c r="DO26" s="1239">
        <f t="shared" si="14"/>
        <v>130</v>
      </c>
      <c r="DP26" s="1131">
        <f t="shared" si="15"/>
        <v>-58.969230769230769</v>
      </c>
      <c r="DQ26" s="1239">
        <f t="shared" si="16"/>
        <v>-0.83076923076923082</v>
      </c>
      <c r="DR26" s="1239">
        <f t="shared" si="17"/>
        <v>-5.5483091787439616</v>
      </c>
      <c r="DS26" s="1239">
        <f t="shared" si="18"/>
        <v>11</v>
      </c>
      <c r="DT26" s="1239">
        <f t="shared" si="19"/>
        <v>-4.0760869565217401</v>
      </c>
      <c r="DU26" s="1131">
        <f t="shared" si="20"/>
        <v>5</v>
      </c>
      <c r="DV26" s="1131" t="e">
        <f>#REF!-CB26</f>
        <v>#REF!</v>
      </c>
      <c r="DW26" s="1197">
        <f t="shared" si="21"/>
        <v>-12.21089975845411</v>
      </c>
      <c r="DX26" s="1239">
        <f t="shared" si="22"/>
        <v>-2.3333333333333339</v>
      </c>
      <c r="DY26" s="1239">
        <f t="shared" si="23"/>
        <v>-0.79333333333333345</v>
      </c>
      <c r="DZ26" s="1131">
        <f t="shared" si="24"/>
        <v>370</v>
      </c>
      <c r="EA26" s="1197">
        <f t="shared" si="25"/>
        <v>-0.22780000000000022</v>
      </c>
      <c r="EB26" s="1240">
        <f t="shared" si="26"/>
        <v>-2.068800000000004</v>
      </c>
      <c r="EC26" s="1131">
        <f t="shared" si="27"/>
        <v>0.62391304347826093</v>
      </c>
      <c r="ED26" s="1131">
        <f t="shared" si="28"/>
        <v>-20.137487922705361</v>
      </c>
      <c r="EE26" s="1131" t="e">
        <f t="shared" si="29"/>
        <v>#VALUE!</v>
      </c>
      <c r="EF26" s="1131" t="e">
        <f t="shared" si="30"/>
        <v>#VALUE!</v>
      </c>
      <c r="EG26" s="1131" t="e">
        <f t="shared" si="31"/>
        <v>#VALUE!</v>
      </c>
      <c r="EH26" s="1131">
        <f t="shared" si="32"/>
        <v>10.421716339869278</v>
      </c>
      <c r="EI26" s="1131">
        <f t="shared" si="33"/>
        <v>-610</v>
      </c>
      <c r="EJ26" s="1197">
        <f t="shared" si="34"/>
        <v>-25.948425</v>
      </c>
      <c r="EK26" s="1131">
        <f t="shared" si="35"/>
        <v>-236.79999999999993</v>
      </c>
      <c r="EL26" s="1131">
        <f t="shared" si="36"/>
        <v>192.51433382669967</v>
      </c>
      <c r="EM26" s="1131">
        <f t="shared" si="37"/>
        <v>1</v>
      </c>
      <c r="EN26" s="1131">
        <f t="shared" si="40"/>
        <v>-18.299823529411757</v>
      </c>
      <c r="EO26" s="1131">
        <f t="shared" si="41"/>
        <v>-170</v>
      </c>
      <c r="EP26" s="1197">
        <f t="shared" si="42"/>
        <v>-10.602561563245112</v>
      </c>
      <c r="EQ26" s="1129">
        <f t="shared" si="43"/>
        <v>0</v>
      </c>
      <c r="ER26" s="1131">
        <f t="shared" si="44"/>
        <v>0</v>
      </c>
      <c r="ES26" s="1197">
        <f t="shared" si="45"/>
        <v>0</v>
      </c>
    </row>
    <row r="27" spans="1:149">
      <c r="A27" s="634">
        <f>Eingabedaten!A30</f>
        <v>7.02</v>
      </c>
      <c r="B27" s="463" t="str">
        <f>Eingabedaten!C30</f>
        <v>Mehrzweckhalle</v>
      </c>
      <c r="C27" s="637"/>
      <c r="D27" s="379"/>
      <c r="E27" s="379"/>
      <c r="F27" s="1238"/>
      <c r="G27" s="1129"/>
      <c r="H27" s="1129"/>
      <c r="I27" s="1129"/>
      <c r="J27" s="1129"/>
      <c r="K27" s="1129"/>
      <c r="L27" s="1129"/>
      <c r="M27" s="1129"/>
      <c r="N27" s="1237"/>
      <c r="O27" s="1240">
        <v>2</v>
      </c>
      <c r="P27" s="1131">
        <v>0</v>
      </c>
      <c r="Q27" s="1129">
        <v>2900</v>
      </c>
      <c r="R27" s="1131">
        <v>5.8</v>
      </c>
      <c r="S27" s="1239">
        <v>5.8</v>
      </c>
      <c r="T27" s="1131">
        <v>0</v>
      </c>
      <c r="U27" s="1240"/>
      <c r="V27" s="1240">
        <v>130</v>
      </c>
      <c r="W27" s="1834">
        <v>0.83076923076923082</v>
      </c>
      <c r="X27" s="1239"/>
      <c r="Y27" s="1239">
        <v>2</v>
      </c>
      <c r="Z27" s="1239">
        <v>2.9976641693173289</v>
      </c>
      <c r="AA27" s="1239">
        <v>3.4722222222222219</v>
      </c>
      <c r="AB27" s="1131">
        <v>2003</v>
      </c>
      <c r="AC27" s="1243">
        <v>6.9548611111111107</v>
      </c>
      <c r="AD27" s="1242">
        <v>9.6666666666666661</v>
      </c>
      <c r="AE27" s="1131">
        <v>3630</v>
      </c>
      <c r="AF27" s="1239">
        <v>3.2866666666666666</v>
      </c>
      <c r="AG27" s="1131">
        <v>3060</v>
      </c>
      <c r="AH27" s="1197">
        <v>10.0572</v>
      </c>
      <c r="AI27" s="1240">
        <v>18.617609411764704</v>
      </c>
      <c r="AJ27" s="1131">
        <v>33.472222222222221</v>
      </c>
      <c r="AK27" s="1131">
        <v>324.01666666666677</v>
      </c>
      <c r="AL27" s="1131" t="s">
        <v>528</v>
      </c>
      <c r="AM27" s="1131" t="s">
        <v>528</v>
      </c>
      <c r="AN27" s="1131" t="s">
        <v>528</v>
      </c>
      <c r="AO27" s="1131">
        <v>36.462882143790843</v>
      </c>
      <c r="AP27" s="1239">
        <v>46.963962352941174</v>
      </c>
      <c r="AQ27" s="1131">
        <v>46.963962352941174</v>
      </c>
      <c r="AR27" s="1131">
        <v>430</v>
      </c>
      <c r="AS27" s="1243">
        <v>20.184343785977124</v>
      </c>
      <c r="AT27" s="1197">
        <v>0</v>
      </c>
      <c r="AU27" s="1131">
        <v>228.50196078431378</v>
      </c>
      <c r="AV27" s="1131">
        <v>185.206288185625</v>
      </c>
      <c r="AW27" s="1131">
        <v>-0.62190567721562484</v>
      </c>
      <c r="AX27" s="1239">
        <v>16.636031372549024</v>
      </c>
      <c r="AY27" s="1131">
        <v>360</v>
      </c>
      <c r="AZ27" s="1242">
        <v>1.1358875570776255</v>
      </c>
      <c r="BA27" s="1243">
        <v>6.0441365560673175</v>
      </c>
      <c r="BB27" s="1129"/>
      <c r="BC27" s="1131"/>
      <c r="BD27" s="1243">
        <v>7.2616000000000014</v>
      </c>
      <c r="BG27" s="637"/>
      <c r="BH27" s="379"/>
      <c r="BI27" s="379"/>
      <c r="BJ27" s="1238"/>
      <c r="BK27" s="1129"/>
      <c r="BL27" s="1129"/>
      <c r="BM27" s="1129"/>
      <c r="BN27" s="1129"/>
      <c r="BO27" s="1129"/>
      <c r="BP27" s="1237"/>
      <c r="BQ27" s="1240">
        <v>2</v>
      </c>
      <c r="BR27" s="1129">
        <v>2900</v>
      </c>
      <c r="BS27" s="1131">
        <v>5.8</v>
      </c>
      <c r="BT27" s="1241"/>
      <c r="BU27" s="1239"/>
      <c r="BV27" s="1131">
        <v>59.8</v>
      </c>
      <c r="BW27" s="1239">
        <v>0.83076923076923082</v>
      </c>
      <c r="BX27" s="1239">
        <v>7.5483091787439616</v>
      </c>
      <c r="BY27" s="1239">
        <v>0</v>
      </c>
      <c r="BZ27" s="1239">
        <v>7.5483091787439616</v>
      </c>
      <c r="CA27" s="1131">
        <v>2060</v>
      </c>
      <c r="CB27" s="1131">
        <v>0</v>
      </c>
      <c r="CC27" s="1197">
        <v>15.549516908212562</v>
      </c>
      <c r="CD27" s="1239">
        <v>12</v>
      </c>
      <c r="CE27" s="1239">
        <v>4.08</v>
      </c>
      <c r="CF27" s="1131">
        <v>2580</v>
      </c>
      <c r="CG27" s="1197">
        <v>10.526399999999999</v>
      </c>
      <c r="CH27" s="1240">
        <v>17.648352941176473</v>
      </c>
      <c r="CI27" s="1131">
        <v>32.848309178743961</v>
      </c>
      <c r="CJ27" s="1131">
        <v>298.2425729679324</v>
      </c>
      <c r="CK27" s="1131" t="s">
        <v>528</v>
      </c>
      <c r="CL27" s="1131" t="s">
        <v>528</v>
      </c>
      <c r="CM27" s="1131" t="s">
        <v>528</v>
      </c>
      <c r="CN27" s="1131">
        <v>35</v>
      </c>
      <c r="CO27" s="1131">
        <v>930</v>
      </c>
      <c r="CP27" s="1197">
        <v>32.448050000000002</v>
      </c>
      <c r="CQ27" s="1131">
        <v>477.38039215686268</v>
      </c>
      <c r="CR27" s="1131">
        <v>88.650478099431552</v>
      </c>
      <c r="CS27" s="1131">
        <v>-2</v>
      </c>
      <c r="CT27" s="1131">
        <v>36.996980392156857</v>
      </c>
      <c r="CU27" s="1131">
        <v>750</v>
      </c>
      <c r="CV27" s="1197">
        <v>27.727834161186642</v>
      </c>
      <c r="CW27" s="1129"/>
      <c r="CX27" s="1131"/>
      <c r="CY27" s="1197">
        <v>7.2616000000000014</v>
      </c>
      <c r="DA27" s="637">
        <f t="shared" si="0"/>
        <v>0</v>
      </c>
      <c r="DB27" s="379">
        <f t="shared" si="1"/>
        <v>0</v>
      </c>
      <c r="DC27" s="379">
        <f t="shared" si="2"/>
        <v>0</v>
      </c>
      <c r="DD27" s="1238">
        <f t="shared" si="3"/>
        <v>0</v>
      </c>
      <c r="DE27" s="1129">
        <f t="shared" si="4"/>
        <v>0</v>
      </c>
      <c r="DF27" s="1129">
        <f t="shared" si="5"/>
        <v>0</v>
      </c>
      <c r="DG27" s="1129">
        <f t="shared" si="6"/>
        <v>0</v>
      </c>
      <c r="DH27" s="1129">
        <f t="shared" si="7"/>
        <v>0</v>
      </c>
      <c r="DI27" s="1129">
        <f t="shared" si="8"/>
        <v>0</v>
      </c>
      <c r="DJ27" s="1237">
        <f t="shared" si="9"/>
        <v>0</v>
      </c>
      <c r="DK27" s="1240">
        <f t="shared" si="10"/>
        <v>0</v>
      </c>
      <c r="DL27" s="1129">
        <f t="shared" si="11"/>
        <v>0</v>
      </c>
      <c r="DM27" s="1131">
        <f t="shared" si="12"/>
        <v>0</v>
      </c>
      <c r="DN27" s="1241">
        <f t="shared" si="13"/>
        <v>0</v>
      </c>
      <c r="DO27" s="1239">
        <f t="shared" si="14"/>
        <v>130</v>
      </c>
      <c r="DP27" s="1131">
        <f t="shared" si="15"/>
        <v>-58.969230769230769</v>
      </c>
      <c r="DQ27" s="1239">
        <f t="shared" si="16"/>
        <v>-0.83076923076923082</v>
      </c>
      <c r="DR27" s="1239">
        <f t="shared" si="17"/>
        <v>-5.5483091787439616</v>
      </c>
      <c r="DS27" s="1239">
        <f t="shared" si="18"/>
        <v>2.9976641693173289</v>
      </c>
      <c r="DT27" s="1239">
        <f t="shared" si="19"/>
        <v>-4.0760869565217401</v>
      </c>
      <c r="DU27" s="1131">
        <f t="shared" si="20"/>
        <v>-57</v>
      </c>
      <c r="DV27" s="1131" t="e">
        <f>#REF!-CB27</f>
        <v>#REF!</v>
      </c>
      <c r="DW27" s="1197">
        <f t="shared" si="21"/>
        <v>-8.594655797101451</v>
      </c>
      <c r="DX27" s="1239">
        <f t="shared" si="22"/>
        <v>-2.3333333333333339</v>
      </c>
      <c r="DY27" s="1239">
        <f t="shared" si="23"/>
        <v>-0.79333333333333345</v>
      </c>
      <c r="DZ27" s="1131">
        <f t="shared" si="24"/>
        <v>480</v>
      </c>
      <c r="EA27" s="1197">
        <f t="shared" si="25"/>
        <v>-0.46919999999999895</v>
      </c>
      <c r="EB27" s="1240">
        <f t="shared" si="26"/>
        <v>0.96925647058823117</v>
      </c>
      <c r="EC27" s="1131">
        <f t="shared" si="27"/>
        <v>0.62391304347826093</v>
      </c>
      <c r="ED27" s="1131">
        <f t="shared" si="28"/>
        <v>25.774093698734362</v>
      </c>
      <c r="EE27" s="1131" t="e">
        <f t="shared" si="29"/>
        <v>#VALUE!</v>
      </c>
      <c r="EF27" s="1131" t="e">
        <f t="shared" si="30"/>
        <v>#VALUE!</v>
      </c>
      <c r="EG27" s="1131" t="e">
        <f t="shared" si="31"/>
        <v>#VALUE!</v>
      </c>
      <c r="EH27" s="1131">
        <f t="shared" si="32"/>
        <v>11.963962352941174</v>
      </c>
      <c r="EI27" s="1131">
        <f t="shared" si="33"/>
        <v>-500</v>
      </c>
      <c r="EJ27" s="1197">
        <f t="shared" si="34"/>
        <v>-32.448050000000002</v>
      </c>
      <c r="EK27" s="1131">
        <f t="shared" si="35"/>
        <v>-248.8784313725489</v>
      </c>
      <c r="EL27" s="1131">
        <f t="shared" si="36"/>
        <v>96.555810086193446</v>
      </c>
      <c r="EM27" s="1131">
        <f t="shared" si="37"/>
        <v>1.3780943227843752</v>
      </c>
      <c r="EN27" s="1131">
        <f t="shared" si="40"/>
        <v>-20.360949019607833</v>
      </c>
      <c r="EO27" s="1131">
        <f t="shared" si="41"/>
        <v>-390</v>
      </c>
      <c r="EP27" s="1197">
        <f t="shared" si="42"/>
        <v>-21.683697605119324</v>
      </c>
      <c r="EQ27" s="1129">
        <f t="shared" si="43"/>
        <v>0</v>
      </c>
      <c r="ER27" s="1131">
        <f t="shared" si="44"/>
        <v>0</v>
      </c>
      <c r="ES27" s="1197">
        <f t="shared" si="45"/>
        <v>0</v>
      </c>
    </row>
    <row r="28" spans="1:149">
      <c r="A28" s="634">
        <f>Eingabedaten!A31</f>
        <v>7.03</v>
      </c>
      <c r="B28" s="463" t="str">
        <f>Eingabedaten!C31</f>
        <v>Ausstellungshalle</v>
      </c>
      <c r="C28" s="637"/>
      <c r="D28" s="379"/>
      <c r="E28" s="379"/>
      <c r="F28" s="1238"/>
      <c r="G28" s="1129"/>
      <c r="H28" s="1129"/>
      <c r="I28" s="1129"/>
      <c r="J28" s="1129"/>
      <c r="K28" s="1129"/>
      <c r="L28" s="1129"/>
      <c r="M28" s="1129"/>
      <c r="N28" s="1237"/>
      <c r="O28" s="1240">
        <v>3</v>
      </c>
      <c r="P28" s="1131">
        <v>0</v>
      </c>
      <c r="Q28" s="1129">
        <v>2900</v>
      </c>
      <c r="R28" s="1131">
        <v>8.6999999999999993</v>
      </c>
      <c r="S28" s="1239">
        <v>8.6999999999999993</v>
      </c>
      <c r="T28" s="1131">
        <v>0</v>
      </c>
      <c r="U28" s="1240"/>
      <c r="V28" s="1240">
        <v>130</v>
      </c>
      <c r="W28" s="1834">
        <v>0.83076923076923082</v>
      </c>
      <c r="X28" s="1239"/>
      <c r="Y28" s="1239">
        <v>2</v>
      </c>
      <c r="Z28" s="1239">
        <v>6.1806169247511304</v>
      </c>
      <c r="AA28" s="1239">
        <v>6.9444444444444438</v>
      </c>
      <c r="AB28" s="1131">
        <v>2800</v>
      </c>
      <c r="AC28" s="1243">
        <v>19.444444444444443</v>
      </c>
      <c r="AD28" s="1242">
        <v>9.6666666666666661</v>
      </c>
      <c r="AE28" s="1131">
        <v>3630</v>
      </c>
      <c r="AF28" s="1239">
        <v>3.2866666666666666</v>
      </c>
      <c r="AG28" s="1131">
        <v>3060</v>
      </c>
      <c r="AH28" s="1197">
        <v>10.0572</v>
      </c>
      <c r="AI28" s="1240">
        <v>18.617609411764704</v>
      </c>
      <c r="AJ28" s="1131">
        <v>37.944444444444443</v>
      </c>
      <c r="AK28" s="1131">
        <v>345.63333333333344</v>
      </c>
      <c r="AL28" s="1131" t="s">
        <v>528</v>
      </c>
      <c r="AM28" s="1131" t="s">
        <v>528</v>
      </c>
      <c r="AN28" s="1131" t="s">
        <v>528</v>
      </c>
      <c r="AO28" s="1131">
        <v>39.593437699346403</v>
      </c>
      <c r="AP28" s="1239">
        <v>47.963962352941174</v>
      </c>
      <c r="AQ28" s="1131">
        <v>47.963962352941174</v>
      </c>
      <c r="AR28" s="1131">
        <v>600</v>
      </c>
      <c r="AS28" s="1243">
        <v>28.98008476437894</v>
      </c>
      <c r="AT28" s="1197">
        <v>0</v>
      </c>
      <c r="AU28" s="1131">
        <v>228.50196078431378</v>
      </c>
      <c r="AV28" s="1131">
        <v>185.206288185625</v>
      </c>
      <c r="AW28" s="1131">
        <v>-0.62190567721562484</v>
      </c>
      <c r="AX28" s="1239">
        <v>16.636031372549024</v>
      </c>
      <c r="AY28" s="1131">
        <v>210</v>
      </c>
      <c r="AZ28" s="1242">
        <v>1.1358875570776255</v>
      </c>
      <c r="BA28" s="1243">
        <v>3.4907321701253546</v>
      </c>
      <c r="BB28" s="1129"/>
      <c r="BC28" s="1131"/>
      <c r="BD28" s="1243">
        <v>7.2616000000000014</v>
      </c>
      <c r="BG28" s="637"/>
      <c r="BH28" s="379"/>
      <c r="BI28" s="379"/>
      <c r="BJ28" s="1238"/>
      <c r="BK28" s="1129"/>
      <c r="BL28" s="1129"/>
      <c r="BM28" s="1129"/>
      <c r="BN28" s="1129"/>
      <c r="BO28" s="1129"/>
      <c r="BP28" s="1237"/>
      <c r="BQ28" s="1240">
        <v>3</v>
      </c>
      <c r="BR28" s="1129">
        <v>2900</v>
      </c>
      <c r="BS28" s="1131">
        <v>8.6999999999999993</v>
      </c>
      <c r="BT28" s="1241"/>
      <c r="BU28" s="1239"/>
      <c r="BV28" s="1131">
        <v>59.8</v>
      </c>
      <c r="BW28" s="1239">
        <v>0.83076923076923082</v>
      </c>
      <c r="BX28" s="1239">
        <v>7.5483091787439616</v>
      </c>
      <c r="BY28" s="1239">
        <v>0</v>
      </c>
      <c r="BZ28" s="1239">
        <v>7.5483091787439616</v>
      </c>
      <c r="CA28" s="1131">
        <v>2060</v>
      </c>
      <c r="CB28" s="1131">
        <v>0</v>
      </c>
      <c r="CC28" s="1197">
        <v>15.549516908212562</v>
      </c>
      <c r="CD28" s="1239">
        <v>12</v>
      </c>
      <c r="CE28" s="1239">
        <v>4.08</v>
      </c>
      <c r="CF28" s="1131">
        <v>2580</v>
      </c>
      <c r="CG28" s="1197">
        <v>10.526399999999999</v>
      </c>
      <c r="CH28" s="1240">
        <v>17.648352941176473</v>
      </c>
      <c r="CI28" s="1131">
        <v>33.848309178743961</v>
      </c>
      <c r="CJ28" s="1131">
        <v>309.44257296793245</v>
      </c>
      <c r="CK28" s="1131" t="s">
        <v>528</v>
      </c>
      <c r="CL28" s="1131" t="s">
        <v>528</v>
      </c>
      <c r="CM28" s="1131" t="s">
        <v>528</v>
      </c>
      <c r="CN28" s="1131">
        <v>36</v>
      </c>
      <c r="CO28" s="1131">
        <v>950</v>
      </c>
      <c r="CP28" s="1197">
        <v>34.124850000000002</v>
      </c>
      <c r="CQ28" s="1131">
        <v>477.38039215686268</v>
      </c>
      <c r="CR28" s="1131">
        <v>88.650478099431552</v>
      </c>
      <c r="CS28" s="1131">
        <v>-2</v>
      </c>
      <c r="CT28" s="1131">
        <v>36.996980392156857</v>
      </c>
      <c r="CU28" s="1131">
        <v>730</v>
      </c>
      <c r="CV28" s="1197">
        <v>27.149354337873618</v>
      </c>
      <c r="CW28" s="1129"/>
      <c r="CX28" s="1131"/>
      <c r="CY28" s="1197">
        <v>7.2616000000000014</v>
      </c>
      <c r="DA28" s="637">
        <f t="shared" si="0"/>
        <v>0</v>
      </c>
      <c r="DB28" s="379">
        <f t="shared" si="1"/>
        <v>0</v>
      </c>
      <c r="DC28" s="379">
        <f t="shared" si="2"/>
        <v>0</v>
      </c>
      <c r="DD28" s="1238">
        <f t="shared" si="3"/>
        <v>0</v>
      </c>
      <c r="DE28" s="1129">
        <f t="shared" si="4"/>
        <v>0</v>
      </c>
      <c r="DF28" s="1129">
        <f t="shared" si="5"/>
        <v>0</v>
      </c>
      <c r="DG28" s="1129">
        <f t="shared" si="6"/>
        <v>0</v>
      </c>
      <c r="DH28" s="1129">
        <f t="shared" si="7"/>
        <v>0</v>
      </c>
      <c r="DI28" s="1129">
        <f t="shared" si="8"/>
        <v>0</v>
      </c>
      <c r="DJ28" s="1237">
        <f t="shared" si="9"/>
        <v>0</v>
      </c>
      <c r="DK28" s="1240">
        <f t="shared" si="10"/>
        <v>0</v>
      </c>
      <c r="DL28" s="1129">
        <f t="shared" si="11"/>
        <v>0</v>
      </c>
      <c r="DM28" s="1131">
        <f t="shared" si="12"/>
        <v>0</v>
      </c>
      <c r="DN28" s="1241">
        <f t="shared" si="13"/>
        <v>0</v>
      </c>
      <c r="DO28" s="1239">
        <f t="shared" si="14"/>
        <v>130</v>
      </c>
      <c r="DP28" s="1131">
        <f t="shared" si="15"/>
        <v>-58.969230769230769</v>
      </c>
      <c r="DQ28" s="1239">
        <f t="shared" si="16"/>
        <v>-0.83076923076923082</v>
      </c>
      <c r="DR28" s="1239">
        <f t="shared" si="17"/>
        <v>-5.5483091787439616</v>
      </c>
      <c r="DS28" s="1239">
        <f t="shared" si="18"/>
        <v>6.1806169247511304</v>
      </c>
      <c r="DT28" s="1239">
        <f t="shared" si="19"/>
        <v>-0.60386473429951781</v>
      </c>
      <c r="DU28" s="1131">
        <f t="shared" si="20"/>
        <v>740</v>
      </c>
      <c r="DV28" s="1131" t="e">
        <f>#REF!-CB28</f>
        <v>#REF!</v>
      </c>
      <c r="DW28" s="1197">
        <f t="shared" si="21"/>
        <v>3.8949275362318811</v>
      </c>
      <c r="DX28" s="1239">
        <f t="shared" si="22"/>
        <v>-2.3333333333333339</v>
      </c>
      <c r="DY28" s="1239">
        <f t="shared" si="23"/>
        <v>-0.79333333333333345</v>
      </c>
      <c r="DZ28" s="1131">
        <f t="shared" si="24"/>
        <v>480</v>
      </c>
      <c r="EA28" s="1197">
        <f t="shared" si="25"/>
        <v>-0.46919999999999895</v>
      </c>
      <c r="EB28" s="1240">
        <f t="shared" si="26"/>
        <v>0.96925647058823117</v>
      </c>
      <c r="EC28" s="1131">
        <f t="shared" si="27"/>
        <v>4.0961352657004824</v>
      </c>
      <c r="ED28" s="1131">
        <f t="shared" si="28"/>
        <v>36.19076036540099</v>
      </c>
      <c r="EE28" s="1131" t="e">
        <f t="shared" si="29"/>
        <v>#VALUE!</v>
      </c>
      <c r="EF28" s="1131" t="e">
        <f t="shared" si="30"/>
        <v>#VALUE!</v>
      </c>
      <c r="EG28" s="1131" t="e">
        <f t="shared" si="31"/>
        <v>#VALUE!</v>
      </c>
      <c r="EH28" s="1131">
        <f t="shared" si="32"/>
        <v>11.963962352941174</v>
      </c>
      <c r="EI28" s="1131">
        <f t="shared" si="33"/>
        <v>-350</v>
      </c>
      <c r="EJ28" s="1197">
        <f t="shared" si="34"/>
        <v>-34.124850000000002</v>
      </c>
      <c r="EK28" s="1131">
        <f t="shared" si="35"/>
        <v>-248.8784313725489</v>
      </c>
      <c r="EL28" s="1131">
        <f t="shared" si="36"/>
        <v>96.555810086193446</v>
      </c>
      <c r="EM28" s="1131">
        <f t="shared" si="37"/>
        <v>1.3780943227843752</v>
      </c>
      <c r="EN28" s="1131">
        <f t="shared" si="40"/>
        <v>-20.360949019607833</v>
      </c>
      <c r="EO28" s="1131">
        <f t="shared" si="41"/>
        <v>-520</v>
      </c>
      <c r="EP28" s="1197">
        <f t="shared" si="42"/>
        <v>-23.658622167748263</v>
      </c>
      <c r="EQ28" s="1129">
        <f t="shared" si="43"/>
        <v>0</v>
      </c>
      <c r="ER28" s="1131">
        <f t="shared" si="44"/>
        <v>0</v>
      </c>
      <c r="ES28" s="1197">
        <f t="shared" si="45"/>
        <v>0</v>
      </c>
    </row>
    <row r="29" spans="1:149">
      <c r="A29" s="1301">
        <f>Eingabedaten!A32</f>
        <v>8.01</v>
      </c>
      <c r="B29" s="388" t="str">
        <f>Eingabedaten!C32</f>
        <v xml:space="preserve">Bettenzimmer </v>
      </c>
      <c r="C29" s="653"/>
      <c r="D29" s="386"/>
      <c r="E29" s="386"/>
      <c r="F29" s="1247"/>
      <c r="G29" s="1248"/>
      <c r="H29" s="1248"/>
      <c r="I29" s="1248"/>
      <c r="J29" s="1248"/>
      <c r="K29" s="1248"/>
      <c r="L29" s="1248"/>
      <c r="M29" s="1248"/>
      <c r="N29" s="1250"/>
      <c r="O29" s="1251">
        <v>4</v>
      </c>
      <c r="P29" s="1132">
        <v>0</v>
      </c>
      <c r="Q29" s="1248">
        <v>1750</v>
      </c>
      <c r="R29" s="1132">
        <v>7</v>
      </c>
      <c r="S29" s="1249">
        <v>7</v>
      </c>
      <c r="T29" s="1132">
        <v>0</v>
      </c>
      <c r="U29" s="1251"/>
      <c r="V29" s="1251">
        <v>130</v>
      </c>
      <c r="W29" s="1835">
        <v>0.85263157894736841</v>
      </c>
      <c r="X29" s="1249"/>
      <c r="Y29" s="1249">
        <v>2.4000000000000004</v>
      </c>
      <c r="Z29" s="1249">
        <v>2.4942460145918153</v>
      </c>
      <c r="AA29" s="1249">
        <v>3.383190883190883</v>
      </c>
      <c r="AB29" s="1132">
        <v>802</v>
      </c>
      <c r="AC29" s="1254">
        <v>2.7133190883190883</v>
      </c>
      <c r="AD29" s="1253">
        <v>1.9333333333333333</v>
      </c>
      <c r="AE29" s="1132">
        <v>8760</v>
      </c>
      <c r="AF29" s="1249">
        <v>0.65733333333333344</v>
      </c>
      <c r="AG29" s="1132">
        <v>8760</v>
      </c>
      <c r="AH29" s="1198">
        <v>5.7582400000000007</v>
      </c>
      <c r="AI29" s="1251">
        <v>18.261502745098042</v>
      </c>
      <c r="AJ29" s="1132">
        <v>12.983190883190883</v>
      </c>
      <c r="AK29" s="1132">
        <v>168.54957264957261</v>
      </c>
      <c r="AL29" s="1132" t="s">
        <v>527</v>
      </c>
      <c r="AM29" s="1132" t="s">
        <v>528</v>
      </c>
      <c r="AN29" s="1132" t="s">
        <v>528</v>
      </c>
      <c r="AO29" s="1132">
        <v>21.871285539802248</v>
      </c>
      <c r="AP29" s="1249">
        <v>24.607144366013074</v>
      </c>
      <c r="AQ29" s="1132">
        <v>24.607144366013074</v>
      </c>
      <c r="AR29" s="1132">
        <v>460</v>
      </c>
      <c r="AS29" s="1254">
        <v>11.344029682374098</v>
      </c>
      <c r="AT29" s="1198">
        <v>0</v>
      </c>
      <c r="AU29" s="1132">
        <v>15.821176470588238</v>
      </c>
      <c r="AV29" s="1132">
        <v>242.78851873884591</v>
      </c>
      <c r="AW29" s="1132">
        <v>0</v>
      </c>
      <c r="AX29" s="1249">
        <v>12.964575163398694</v>
      </c>
      <c r="AY29" s="1132">
        <v>460</v>
      </c>
      <c r="AZ29" s="1253">
        <v>0.59583333333333333</v>
      </c>
      <c r="BA29" s="1254">
        <v>5.980942292102406</v>
      </c>
      <c r="BB29" s="1248"/>
      <c r="BC29" s="1132"/>
      <c r="BD29" s="1254">
        <v>67.744000000000014</v>
      </c>
      <c r="BG29" s="653"/>
      <c r="BH29" s="386"/>
      <c r="BI29" s="386"/>
      <c r="BJ29" s="1247"/>
      <c r="BK29" s="1248"/>
      <c r="BL29" s="1248"/>
      <c r="BM29" s="1248"/>
      <c r="BN29" s="1248"/>
      <c r="BO29" s="1248"/>
      <c r="BP29" s="1250"/>
      <c r="BQ29" s="1251">
        <v>2</v>
      </c>
      <c r="BR29" s="1248">
        <v>1750</v>
      </c>
      <c r="BS29" s="1132">
        <v>3.5</v>
      </c>
      <c r="BT29" s="1252"/>
      <c r="BU29" s="1249"/>
      <c r="BV29" s="1132">
        <v>49.8</v>
      </c>
      <c r="BW29" s="1249">
        <v>0.85263157894736841</v>
      </c>
      <c r="BX29" s="1249">
        <v>2.9438742624820269</v>
      </c>
      <c r="BY29" s="1249">
        <v>0</v>
      </c>
      <c r="BZ29" s="1249">
        <v>2.9438742624820269</v>
      </c>
      <c r="CA29" s="1132">
        <v>2410</v>
      </c>
      <c r="CB29" s="1132">
        <v>0</v>
      </c>
      <c r="CC29" s="1198">
        <v>7.0947369725816847</v>
      </c>
      <c r="CD29" s="1249">
        <v>2.4</v>
      </c>
      <c r="CE29" s="1249">
        <v>0.81600000000000006</v>
      </c>
      <c r="CF29" s="1132">
        <v>7010</v>
      </c>
      <c r="CG29" s="1198">
        <v>5.7201600000000008</v>
      </c>
      <c r="CH29" s="1251">
        <v>16.067443137254905</v>
      </c>
      <c r="CI29" s="1132">
        <v>9.6438742624820275</v>
      </c>
      <c r="CJ29" s="1132">
        <v>140.9573964898108</v>
      </c>
      <c r="CK29" s="1132" t="s">
        <v>527</v>
      </c>
      <c r="CL29" s="1132" t="s">
        <v>528</v>
      </c>
      <c r="CM29" s="1132" t="s">
        <v>528</v>
      </c>
      <c r="CN29" s="1132">
        <v>19</v>
      </c>
      <c r="CO29" s="1132">
        <v>910</v>
      </c>
      <c r="CP29" s="1198">
        <v>17.298333333333332</v>
      </c>
      <c r="CQ29" s="1132">
        <v>21.492894117647062</v>
      </c>
      <c r="CR29" s="1132">
        <v>178.71953302213151</v>
      </c>
      <c r="CS29" s="1132">
        <v>-1</v>
      </c>
      <c r="CT29" s="1132">
        <v>18.507769934640525</v>
      </c>
      <c r="CU29" s="1132">
        <v>550</v>
      </c>
      <c r="CV29" s="1198">
        <v>10.200915226709107</v>
      </c>
      <c r="CW29" s="1248"/>
      <c r="CX29" s="1132"/>
      <c r="CY29" s="1198">
        <v>67.744000000000014</v>
      </c>
      <c r="DA29" s="653">
        <f t="shared" si="0"/>
        <v>0</v>
      </c>
      <c r="DB29" s="386">
        <f t="shared" si="1"/>
        <v>0</v>
      </c>
      <c r="DC29" s="386">
        <f t="shared" si="2"/>
        <v>0</v>
      </c>
      <c r="DD29" s="1247">
        <f t="shared" si="3"/>
        <v>0</v>
      </c>
      <c r="DE29" s="1248">
        <f t="shared" si="4"/>
        <v>0</v>
      </c>
      <c r="DF29" s="1248">
        <f t="shared" si="5"/>
        <v>0</v>
      </c>
      <c r="DG29" s="1248">
        <f t="shared" si="6"/>
        <v>0</v>
      </c>
      <c r="DH29" s="1248">
        <f t="shared" si="7"/>
        <v>0</v>
      </c>
      <c r="DI29" s="1248">
        <f t="shared" si="8"/>
        <v>0</v>
      </c>
      <c r="DJ29" s="1250">
        <f t="shared" si="9"/>
        <v>0</v>
      </c>
      <c r="DK29" s="1251">
        <f t="shared" si="10"/>
        <v>2</v>
      </c>
      <c r="DL29" s="1248">
        <f t="shared" si="11"/>
        <v>0</v>
      </c>
      <c r="DM29" s="1132">
        <f t="shared" si="12"/>
        <v>3.5</v>
      </c>
      <c r="DN29" s="1252">
        <f t="shared" si="13"/>
        <v>0</v>
      </c>
      <c r="DO29" s="1249">
        <f t="shared" si="14"/>
        <v>130</v>
      </c>
      <c r="DP29" s="1132">
        <f t="shared" si="15"/>
        <v>-48.94736842105263</v>
      </c>
      <c r="DQ29" s="1249">
        <f t="shared" si="16"/>
        <v>-0.85263157894736841</v>
      </c>
      <c r="DR29" s="1249">
        <f t="shared" si="17"/>
        <v>-0.54387426248202653</v>
      </c>
      <c r="DS29" s="1249">
        <f t="shared" si="18"/>
        <v>2.4942460145918153</v>
      </c>
      <c r="DT29" s="1249">
        <f t="shared" si="19"/>
        <v>0.43931662070885613</v>
      </c>
      <c r="DU29" s="1132">
        <f t="shared" si="20"/>
        <v>-1608</v>
      </c>
      <c r="DV29" s="1132" t="e">
        <f>#REF!-CB29</f>
        <v>#REF!</v>
      </c>
      <c r="DW29" s="1198">
        <f t="shared" si="21"/>
        <v>-4.3814178842625964</v>
      </c>
      <c r="DX29" s="1249">
        <f t="shared" si="22"/>
        <v>-0.46666666666666656</v>
      </c>
      <c r="DY29" s="1249">
        <f t="shared" si="23"/>
        <v>-0.15866666666666662</v>
      </c>
      <c r="DZ29" s="1132">
        <f t="shared" si="24"/>
        <v>1750</v>
      </c>
      <c r="EA29" s="1198">
        <f t="shared" si="25"/>
        <v>3.8079999999999892E-2</v>
      </c>
      <c r="EB29" s="1251">
        <f t="shared" si="26"/>
        <v>2.1940596078431369</v>
      </c>
      <c r="EC29" s="1132">
        <f t="shared" si="27"/>
        <v>3.3393166207088552</v>
      </c>
      <c r="ED29" s="1132">
        <f t="shared" si="28"/>
        <v>27.592176159761806</v>
      </c>
      <c r="EE29" s="1132" t="e">
        <f t="shared" si="29"/>
        <v>#VALUE!</v>
      </c>
      <c r="EF29" s="1132" t="e">
        <f t="shared" si="30"/>
        <v>#VALUE!</v>
      </c>
      <c r="EG29" s="1132" t="e">
        <f t="shared" si="31"/>
        <v>#VALUE!</v>
      </c>
      <c r="EH29" s="1132">
        <f t="shared" si="32"/>
        <v>5.607144366013074</v>
      </c>
      <c r="EI29" s="1132">
        <f t="shared" si="33"/>
        <v>-450</v>
      </c>
      <c r="EJ29" s="1198">
        <f t="shared" si="34"/>
        <v>-17.298333333333332</v>
      </c>
      <c r="EK29" s="1132">
        <f t="shared" si="35"/>
        <v>-5.6717176470588235</v>
      </c>
      <c r="EL29" s="1132">
        <f t="shared" si="36"/>
        <v>64.068985716714394</v>
      </c>
      <c r="EM29" s="1132">
        <f t="shared" si="37"/>
        <v>1</v>
      </c>
      <c r="EN29" s="1132">
        <f t="shared" si="40"/>
        <v>-5.543194771241831</v>
      </c>
      <c r="EO29" s="1132">
        <f t="shared" si="41"/>
        <v>-90</v>
      </c>
      <c r="EP29" s="1198">
        <f t="shared" si="42"/>
        <v>-4.2199729346067008</v>
      </c>
      <c r="EQ29" s="1248">
        <f t="shared" si="43"/>
        <v>0</v>
      </c>
      <c r="ER29" s="1132">
        <f t="shared" si="44"/>
        <v>0</v>
      </c>
      <c r="ES29" s="1198">
        <f t="shared" si="45"/>
        <v>0</v>
      </c>
    </row>
    <row r="30" spans="1:149">
      <c r="A30" s="634">
        <f>Eingabedaten!A33</f>
        <v>8.02</v>
      </c>
      <c r="B30" s="463" t="str">
        <f>Eingabedaten!C33</f>
        <v xml:space="preserve">Stationszimmer </v>
      </c>
      <c r="C30" s="637"/>
      <c r="D30" s="379"/>
      <c r="E30" s="379"/>
      <c r="F30" s="1238"/>
      <c r="G30" s="1129"/>
      <c r="H30" s="1129"/>
      <c r="I30" s="1129"/>
      <c r="J30" s="1129"/>
      <c r="K30" s="1129"/>
      <c r="L30" s="1129"/>
      <c r="M30" s="1129"/>
      <c r="N30" s="1237"/>
      <c r="O30" s="1240">
        <v>5</v>
      </c>
      <c r="P30" s="1131">
        <v>0</v>
      </c>
      <c r="Q30" s="1129">
        <v>3150</v>
      </c>
      <c r="R30" s="1131">
        <v>15.75</v>
      </c>
      <c r="S30" s="1239">
        <v>15.75</v>
      </c>
      <c r="T30" s="1131">
        <v>0</v>
      </c>
      <c r="U30" s="1240"/>
      <c r="V30" s="1240">
        <v>130</v>
      </c>
      <c r="W30" s="1834">
        <v>0.77142857142857146</v>
      </c>
      <c r="X30" s="1239"/>
      <c r="Y30" s="1239">
        <v>2</v>
      </c>
      <c r="Z30" s="1239">
        <v>2.5572322376606325</v>
      </c>
      <c r="AA30" s="1239">
        <v>6.232193732193732</v>
      </c>
      <c r="AB30" s="1131">
        <v>4543</v>
      </c>
      <c r="AC30" s="1243">
        <v>28.312856125356127</v>
      </c>
      <c r="AD30" s="1242">
        <v>9.6666666666666661</v>
      </c>
      <c r="AE30" s="1131">
        <v>4140</v>
      </c>
      <c r="AF30" s="1239">
        <v>3.2866666666666666</v>
      </c>
      <c r="AG30" s="1131">
        <v>3140</v>
      </c>
      <c r="AH30" s="1197">
        <v>10.320133333333333</v>
      </c>
      <c r="AI30" s="1240">
        <v>23.551253333333335</v>
      </c>
      <c r="AJ30" s="1131">
        <v>39.232193732193736</v>
      </c>
      <c r="AK30" s="1131">
        <v>375.09658119658133</v>
      </c>
      <c r="AL30" s="1131" t="s">
        <v>528</v>
      </c>
      <c r="AM30" s="1131" t="s">
        <v>528</v>
      </c>
      <c r="AN30" s="1131" t="s">
        <v>528</v>
      </c>
      <c r="AO30" s="1131">
        <v>43.948412945868945</v>
      </c>
      <c r="AP30" s="1239">
        <v>52.623214117647059</v>
      </c>
      <c r="AQ30" s="1131">
        <v>52.623214117647059</v>
      </c>
      <c r="AR30" s="1131">
        <v>940</v>
      </c>
      <c r="AS30" s="1243">
        <v>49.281036093192292</v>
      </c>
      <c r="AT30" s="1197">
        <v>0</v>
      </c>
      <c r="AU30" s="1131">
        <v>16.656000000000002</v>
      </c>
      <c r="AV30" s="1131">
        <v>232.13256484149852</v>
      </c>
      <c r="AW30" s="1131">
        <v>0</v>
      </c>
      <c r="AX30" s="1239">
        <v>13.186000000000002</v>
      </c>
      <c r="AY30" s="1131">
        <v>90</v>
      </c>
      <c r="AZ30" s="1242">
        <v>1.2744006849315066</v>
      </c>
      <c r="BA30" s="1243">
        <v>1.1676841081240208</v>
      </c>
      <c r="BB30" s="1129"/>
      <c r="BC30" s="1131"/>
      <c r="BD30" s="1197">
        <v>0</v>
      </c>
      <c r="BG30" s="637"/>
      <c r="BH30" s="379"/>
      <c r="BI30" s="379"/>
      <c r="BJ30" s="1238"/>
      <c r="BK30" s="1129"/>
      <c r="BL30" s="1129"/>
      <c r="BM30" s="1129"/>
      <c r="BN30" s="1129"/>
      <c r="BO30" s="1129"/>
      <c r="BP30" s="1237"/>
      <c r="BQ30" s="1240">
        <v>3</v>
      </c>
      <c r="BR30" s="1129">
        <v>3150</v>
      </c>
      <c r="BS30" s="1131">
        <v>9.4499999999999993</v>
      </c>
      <c r="BT30" s="1241"/>
      <c r="BU30" s="1239"/>
      <c r="BV30" s="1131">
        <v>69.8</v>
      </c>
      <c r="BW30" s="1239">
        <v>0.77142857142857146</v>
      </c>
      <c r="BX30" s="1239">
        <v>11.60723761010294</v>
      </c>
      <c r="BY30" s="1239">
        <v>0</v>
      </c>
      <c r="BZ30" s="1239">
        <v>11.60723761010294</v>
      </c>
      <c r="CA30" s="1131">
        <v>4610</v>
      </c>
      <c r="CB30" s="1131">
        <v>0</v>
      </c>
      <c r="CC30" s="1197">
        <v>53.509365382574551</v>
      </c>
      <c r="CD30" s="1239">
        <v>12</v>
      </c>
      <c r="CE30" s="1239">
        <v>4.08</v>
      </c>
      <c r="CF30" s="1131">
        <v>2920</v>
      </c>
      <c r="CG30" s="1197">
        <v>11.913600000000001</v>
      </c>
      <c r="CH30" s="1240">
        <v>22.337176470588236</v>
      </c>
      <c r="CI30" s="1131">
        <v>37.907237610102939</v>
      </c>
      <c r="CJ30" s="1131">
        <v>421.06217491390692</v>
      </c>
      <c r="CK30" s="1131" t="s">
        <v>528</v>
      </c>
      <c r="CL30" s="1131" t="s">
        <v>528</v>
      </c>
      <c r="CM30" s="1131" t="s">
        <v>528</v>
      </c>
      <c r="CN30" s="1131">
        <v>39</v>
      </c>
      <c r="CO30" s="1131">
        <v>1380</v>
      </c>
      <c r="CP30" s="1197">
        <v>53.893055555555556</v>
      </c>
      <c r="CQ30" s="1131">
        <v>44.128941176470583</v>
      </c>
      <c r="CR30" s="1131">
        <v>87.615970311600236</v>
      </c>
      <c r="CS30" s="1131">
        <v>-2</v>
      </c>
      <c r="CT30" s="1131">
        <v>37.99992156862745</v>
      </c>
      <c r="CU30" s="1131">
        <v>120</v>
      </c>
      <c r="CV30" s="1197">
        <v>4.3838748393103248</v>
      </c>
      <c r="CW30" s="1129"/>
      <c r="CX30" s="1131"/>
      <c r="CY30" s="1197">
        <v>0</v>
      </c>
      <c r="DA30" s="637">
        <f t="shared" si="0"/>
        <v>0</v>
      </c>
      <c r="DB30" s="379">
        <f t="shared" si="1"/>
        <v>0</v>
      </c>
      <c r="DC30" s="379">
        <f t="shared" si="2"/>
        <v>0</v>
      </c>
      <c r="DD30" s="1238">
        <f t="shared" si="3"/>
        <v>0</v>
      </c>
      <c r="DE30" s="1129">
        <f t="shared" si="4"/>
        <v>0</v>
      </c>
      <c r="DF30" s="1129">
        <f t="shared" si="5"/>
        <v>0</v>
      </c>
      <c r="DG30" s="1129">
        <f t="shared" si="6"/>
        <v>0</v>
      </c>
      <c r="DH30" s="1129">
        <f t="shared" si="7"/>
        <v>0</v>
      </c>
      <c r="DI30" s="1129">
        <f t="shared" si="8"/>
        <v>0</v>
      </c>
      <c r="DJ30" s="1237">
        <f t="shared" si="9"/>
        <v>0</v>
      </c>
      <c r="DK30" s="1240">
        <f t="shared" si="10"/>
        <v>2</v>
      </c>
      <c r="DL30" s="1129">
        <f t="shared" si="11"/>
        <v>0</v>
      </c>
      <c r="DM30" s="1131">
        <f t="shared" si="12"/>
        <v>6.3000000000000007</v>
      </c>
      <c r="DN30" s="1241">
        <f t="shared" si="13"/>
        <v>0</v>
      </c>
      <c r="DO30" s="1239">
        <f t="shared" si="14"/>
        <v>130</v>
      </c>
      <c r="DP30" s="1131">
        <f t="shared" si="15"/>
        <v>-69.028571428571425</v>
      </c>
      <c r="DQ30" s="1239">
        <f t="shared" si="16"/>
        <v>-0.77142857142857146</v>
      </c>
      <c r="DR30" s="1239">
        <f t="shared" si="17"/>
        <v>-9.6072376101029402</v>
      </c>
      <c r="DS30" s="1239">
        <f t="shared" si="18"/>
        <v>2.5572322376606325</v>
      </c>
      <c r="DT30" s="1239">
        <f t="shared" si="19"/>
        <v>-5.3750438779092082</v>
      </c>
      <c r="DU30" s="1131">
        <f t="shared" si="20"/>
        <v>-67</v>
      </c>
      <c r="DV30" s="1131" t="e">
        <f>#REF!-CB30</f>
        <v>#REF!</v>
      </c>
      <c r="DW30" s="1197">
        <f t="shared" si="21"/>
        <v>-25.196509257218423</v>
      </c>
      <c r="DX30" s="1239">
        <f t="shared" si="22"/>
        <v>-2.3333333333333339</v>
      </c>
      <c r="DY30" s="1239">
        <f t="shared" si="23"/>
        <v>-0.79333333333333345</v>
      </c>
      <c r="DZ30" s="1131">
        <f t="shared" si="24"/>
        <v>220</v>
      </c>
      <c r="EA30" s="1197">
        <f t="shared" si="25"/>
        <v>-1.5934666666666679</v>
      </c>
      <c r="EB30" s="1240">
        <f t="shared" si="26"/>
        <v>1.2140768627450989</v>
      </c>
      <c r="EC30" s="1131">
        <f t="shared" si="27"/>
        <v>1.3249561220907964</v>
      </c>
      <c r="ED30" s="1131">
        <f t="shared" si="28"/>
        <v>-45.965593717325589</v>
      </c>
      <c r="EE30" s="1131" t="e">
        <f t="shared" si="29"/>
        <v>#VALUE!</v>
      </c>
      <c r="EF30" s="1131" t="e">
        <f t="shared" si="30"/>
        <v>#VALUE!</v>
      </c>
      <c r="EG30" s="1131" t="e">
        <f t="shared" si="31"/>
        <v>#VALUE!</v>
      </c>
      <c r="EH30" s="1131">
        <f t="shared" si="32"/>
        <v>13.623214117647059</v>
      </c>
      <c r="EI30" s="1131">
        <f t="shared" si="33"/>
        <v>-440</v>
      </c>
      <c r="EJ30" s="1197">
        <f t="shared" si="34"/>
        <v>-53.893055555555556</v>
      </c>
      <c r="EK30" s="1131">
        <f t="shared" si="35"/>
        <v>-27.472941176470581</v>
      </c>
      <c r="EL30" s="1131">
        <f t="shared" si="36"/>
        <v>144.51659452989827</v>
      </c>
      <c r="EM30" s="1131">
        <f t="shared" si="37"/>
        <v>2</v>
      </c>
      <c r="EN30" s="1131">
        <f t="shared" si="40"/>
        <v>-24.81392156862745</v>
      </c>
      <c r="EO30" s="1131">
        <f t="shared" si="41"/>
        <v>-30</v>
      </c>
      <c r="EP30" s="1197">
        <f t="shared" si="42"/>
        <v>-3.2161907311863041</v>
      </c>
      <c r="EQ30" s="1129">
        <f t="shared" si="43"/>
        <v>0</v>
      </c>
      <c r="ER30" s="1131">
        <f t="shared" si="44"/>
        <v>0</v>
      </c>
      <c r="ES30" s="1197">
        <f t="shared" si="45"/>
        <v>0</v>
      </c>
    </row>
    <row r="31" spans="1:149">
      <c r="A31" s="638">
        <f>Eingabedaten!A34</f>
        <v>8.0299999999999994</v>
      </c>
      <c r="B31" s="592" t="str">
        <f>Eingabedaten!C34</f>
        <v>Behandlungsraum</v>
      </c>
      <c r="C31" s="654"/>
      <c r="D31" s="387"/>
      <c r="E31" s="387"/>
      <c r="F31" s="1227"/>
      <c r="G31" s="1130"/>
      <c r="H31" s="1130"/>
      <c r="I31" s="1130"/>
      <c r="J31" s="1130"/>
      <c r="K31" s="1130"/>
      <c r="L31" s="1130"/>
      <c r="M31" s="1130"/>
      <c r="N31" s="1229"/>
      <c r="O31" s="1255">
        <v>10</v>
      </c>
      <c r="P31" s="1133">
        <v>5</v>
      </c>
      <c r="Q31" s="1130">
        <v>2180</v>
      </c>
      <c r="R31" s="1133">
        <v>21.8</v>
      </c>
      <c r="S31" s="1228">
        <v>21.8</v>
      </c>
      <c r="T31" s="1133">
        <v>10.9</v>
      </c>
      <c r="U31" s="1255"/>
      <c r="V31" s="1255">
        <v>130</v>
      </c>
      <c r="W31" s="1836">
        <v>0.77142857142857146</v>
      </c>
      <c r="X31" s="1228"/>
      <c r="Y31" s="1228">
        <v>2</v>
      </c>
      <c r="Z31" s="1228">
        <v>4.5848692087944354</v>
      </c>
      <c r="AA31" s="1228">
        <v>9.3482905982905979</v>
      </c>
      <c r="AB31" s="1133">
        <v>1148</v>
      </c>
      <c r="AC31" s="1196">
        <v>10.731837606837606</v>
      </c>
      <c r="AD31" s="1257">
        <v>5.8</v>
      </c>
      <c r="AE31" s="1133">
        <v>2600</v>
      </c>
      <c r="AF31" s="1228">
        <v>1.972</v>
      </c>
      <c r="AG31" s="1133">
        <v>2140</v>
      </c>
      <c r="AH31" s="1199">
        <v>4.2200800000000003</v>
      </c>
      <c r="AI31" s="1255">
        <v>23.052363294117647</v>
      </c>
      <c r="AJ31" s="1133">
        <v>36.1482905982906</v>
      </c>
      <c r="AK31" s="1133">
        <v>203.95999999999998</v>
      </c>
      <c r="AL31" s="1133" t="s">
        <v>528</v>
      </c>
      <c r="AM31" s="1133" t="s">
        <v>528</v>
      </c>
      <c r="AN31" s="1133" t="s">
        <v>528</v>
      </c>
      <c r="AO31" s="1133">
        <v>41.440457724685771</v>
      </c>
      <c r="AP31" s="1228">
        <v>47.528833882352934</v>
      </c>
      <c r="AQ31" s="1133">
        <v>52.528833882352934</v>
      </c>
      <c r="AR31" s="1133">
        <v>350</v>
      </c>
      <c r="AS31" s="1196">
        <v>16.83167887407112</v>
      </c>
      <c r="AT31" s="1199">
        <v>0</v>
      </c>
      <c r="AU31" s="1133">
        <v>18.985411764705887</v>
      </c>
      <c r="AV31" s="1133">
        <v>212.18396787626409</v>
      </c>
      <c r="AW31" s="1133">
        <v>-0.2172404818560385</v>
      </c>
      <c r="AX31" s="1228">
        <v>15.672056862745102</v>
      </c>
      <c r="AY31" s="1133">
        <v>300</v>
      </c>
      <c r="AZ31" s="1257">
        <v>0.56923515981735151</v>
      </c>
      <c r="BA31" s="1196">
        <v>4.7562271971402836</v>
      </c>
      <c r="BB31" s="1130"/>
      <c r="BC31" s="1133"/>
      <c r="BD31" s="1199">
        <v>0</v>
      </c>
      <c r="BG31" s="654"/>
      <c r="BH31" s="387"/>
      <c r="BI31" s="387"/>
      <c r="BJ31" s="1227"/>
      <c r="BK31" s="1130"/>
      <c r="BL31" s="1130"/>
      <c r="BM31" s="1130"/>
      <c r="BN31" s="1130"/>
      <c r="BO31" s="1130"/>
      <c r="BP31" s="1229"/>
      <c r="BQ31" s="1255">
        <v>10</v>
      </c>
      <c r="BR31" s="1130">
        <v>2180</v>
      </c>
      <c r="BS31" s="1133">
        <v>21.8</v>
      </c>
      <c r="BT31" s="1256"/>
      <c r="BU31" s="1228"/>
      <c r="BV31" s="1133">
        <v>69.8</v>
      </c>
      <c r="BW31" s="1228">
        <v>0.77142857142857146</v>
      </c>
      <c r="BX31" s="1228">
        <v>11.60723761010294</v>
      </c>
      <c r="BY31" s="1228">
        <v>0</v>
      </c>
      <c r="BZ31" s="1228">
        <v>11.60723761010294</v>
      </c>
      <c r="CA31" s="1133">
        <v>700</v>
      </c>
      <c r="CB31" s="1133">
        <v>0</v>
      </c>
      <c r="CC31" s="1199">
        <v>8.1250663270720587</v>
      </c>
      <c r="CD31" s="1228">
        <v>7.2</v>
      </c>
      <c r="CE31" s="1228">
        <v>2.4480000000000004</v>
      </c>
      <c r="CF31" s="1133">
        <v>1780</v>
      </c>
      <c r="CG31" s="1199">
        <v>4.3574400000000004</v>
      </c>
      <c r="CH31" s="1255">
        <v>20.882211764705886</v>
      </c>
      <c r="CI31" s="1133">
        <v>35.607237610102942</v>
      </c>
      <c r="CJ31" s="1133">
        <v>193.14256120277463</v>
      </c>
      <c r="CK31" s="1133" t="s">
        <v>527</v>
      </c>
      <c r="CL31" s="1133" t="s">
        <v>528</v>
      </c>
      <c r="CM31" s="1133" t="s">
        <v>528</v>
      </c>
      <c r="CN31" s="1133">
        <v>32</v>
      </c>
      <c r="CO31" s="1133">
        <v>750</v>
      </c>
      <c r="CP31" s="1199">
        <v>24.073055555555555</v>
      </c>
      <c r="CQ31" s="1133">
        <v>35.399152941176467</v>
      </c>
      <c r="CR31" s="1133">
        <v>113.79933318444311</v>
      </c>
      <c r="CS31" s="1133">
        <v>-1</v>
      </c>
      <c r="CT31" s="1133">
        <v>30.482603921568625</v>
      </c>
      <c r="CU31" s="1133">
        <v>180</v>
      </c>
      <c r="CV31" s="1199">
        <v>5.6362773229807752</v>
      </c>
      <c r="CW31" s="1130"/>
      <c r="CX31" s="1133"/>
      <c r="CY31" s="1199">
        <v>0</v>
      </c>
      <c r="DA31" s="654">
        <f t="shared" si="0"/>
        <v>0</v>
      </c>
      <c r="DB31" s="387">
        <f t="shared" si="1"/>
        <v>0</v>
      </c>
      <c r="DC31" s="387">
        <f t="shared" si="2"/>
        <v>0</v>
      </c>
      <c r="DD31" s="1227">
        <f t="shared" si="3"/>
        <v>0</v>
      </c>
      <c r="DE31" s="1130">
        <f t="shared" si="4"/>
        <v>0</v>
      </c>
      <c r="DF31" s="1130">
        <f t="shared" si="5"/>
        <v>0</v>
      </c>
      <c r="DG31" s="1130">
        <f t="shared" si="6"/>
        <v>0</v>
      </c>
      <c r="DH31" s="1130">
        <f t="shared" si="7"/>
        <v>0</v>
      </c>
      <c r="DI31" s="1130">
        <f t="shared" si="8"/>
        <v>0</v>
      </c>
      <c r="DJ31" s="1229">
        <f t="shared" si="9"/>
        <v>0</v>
      </c>
      <c r="DK31" s="1255">
        <f t="shared" si="10"/>
        <v>0</v>
      </c>
      <c r="DL31" s="1130">
        <f t="shared" si="11"/>
        <v>0</v>
      </c>
      <c r="DM31" s="1133">
        <f t="shared" si="12"/>
        <v>0</v>
      </c>
      <c r="DN31" s="1256">
        <f t="shared" si="13"/>
        <v>0</v>
      </c>
      <c r="DO31" s="1228">
        <f t="shared" si="14"/>
        <v>130</v>
      </c>
      <c r="DP31" s="1133">
        <f t="shared" si="15"/>
        <v>-69.028571428571425</v>
      </c>
      <c r="DQ31" s="1228">
        <f t="shared" si="16"/>
        <v>-0.77142857142857146</v>
      </c>
      <c r="DR31" s="1228">
        <f t="shared" si="17"/>
        <v>-9.6072376101029402</v>
      </c>
      <c r="DS31" s="1228">
        <f t="shared" si="18"/>
        <v>4.5848692087944354</v>
      </c>
      <c r="DT31" s="1228">
        <f t="shared" si="19"/>
        <v>-2.2589470118123423</v>
      </c>
      <c r="DU31" s="1133">
        <f t="shared" si="20"/>
        <v>448</v>
      </c>
      <c r="DV31" s="1133" t="e">
        <f>#REF!-CB31</f>
        <v>#REF!</v>
      </c>
      <c r="DW31" s="1199">
        <f t="shared" si="21"/>
        <v>2.6067712797655478</v>
      </c>
      <c r="DX31" s="1228">
        <f t="shared" si="22"/>
        <v>-1.4000000000000004</v>
      </c>
      <c r="DY31" s="1228">
        <f t="shared" si="23"/>
        <v>-0.47600000000000042</v>
      </c>
      <c r="DZ31" s="1133">
        <f t="shared" si="24"/>
        <v>360</v>
      </c>
      <c r="EA31" s="1199">
        <f t="shared" si="25"/>
        <v>-0.13736000000000015</v>
      </c>
      <c r="EB31" s="1255">
        <f t="shared" si="26"/>
        <v>2.1701515294117613</v>
      </c>
      <c r="EC31" s="1133">
        <f t="shared" si="27"/>
        <v>0.54105298818765846</v>
      </c>
      <c r="ED31" s="1133">
        <f t="shared" si="28"/>
        <v>10.81743879722535</v>
      </c>
      <c r="EE31" s="1133" t="e">
        <f t="shared" si="29"/>
        <v>#VALUE!</v>
      </c>
      <c r="EF31" s="1133" t="e">
        <f t="shared" si="30"/>
        <v>#VALUE!</v>
      </c>
      <c r="EG31" s="1133" t="e">
        <f t="shared" si="31"/>
        <v>#VALUE!</v>
      </c>
      <c r="EH31" s="1133">
        <f t="shared" si="32"/>
        <v>20.528833882352934</v>
      </c>
      <c r="EI31" s="1133">
        <f t="shared" si="33"/>
        <v>-400</v>
      </c>
      <c r="EJ31" s="1199">
        <f t="shared" si="34"/>
        <v>-24.073055555555555</v>
      </c>
      <c r="EK31" s="1133">
        <f t="shared" si="35"/>
        <v>-16.41374117647058</v>
      </c>
      <c r="EL31" s="1133">
        <f t="shared" si="36"/>
        <v>98.384634691820978</v>
      </c>
      <c r="EM31" s="1133">
        <f t="shared" si="37"/>
        <v>0.7827595181439615</v>
      </c>
      <c r="EN31" s="1133">
        <f t="shared" si="40"/>
        <v>-14.810547058823524</v>
      </c>
      <c r="EO31" s="1133">
        <f t="shared" si="41"/>
        <v>120</v>
      </c>
      <c r="EP31" s="1199">
        <f t="shared" si="42"/>
        <v>-0.88005012584049158</v>
      </c>
      <c r="EQ31" s="1130">
        <f t="shared" si="43"/>
        <v>0</v>
      </c>
      <c r="ER31" s="1133">
        <f t="shared" si="44"/>
        <v>0</v>
      </c>
      <c r="ES31" s="1199">
        <f t="shared" si="45"/>
        <v>0</v>
      </c>
    </row>
    <row r="32" spans="1:149">
      <c r="A32" s="1472">
        <f>Eingabedaten!A35</f>
        <v>9.01</v>
      </c>
      <c r="B32" s="388" t="str">
        <f>Eingabedaten!C35</f>
        <v>Produktion (grobe Arbeit)</v>
      </c>
      <c r="C32" s="653"/>
      <c r="D32" s="386"/>
      <c r="E32" s="386"/>
      <c r="F32" s="1247"/>
      <c r="G32" s="1248"/>
      <c r="H32" s="1248"/>
      <c r="I32" s="1248"/>
      <c r="J32" s="1248"/>
      <c r="K32" s="1248"/>
      <c r="L32" s="1248"/>
      <c r="M32" s="1248"/>
      <c r="N32" s="1250"/>
      <c r="O32" s="1251">
        <v>5</v>
      </c>
      <c r="P32" s="1132">
        <v>10</v>
      </c>
      <c r="Q32" s="1248">
        <v>3360</v>
      </c>
      <c r="R32" s="1132">
        <v>16.8</v>
      </c>
      <c r="S32" s="1249">
        <v>16.8</v>
      </c>
      <c r="T32" s="1132">
        <v>33.6</v>
      </c>
      <c r="U32" s="1251"/>
      <c r="V32" s="1251">
        <v>160</v>
      </c>
      <c r="W32" s="1835">
        <v>0.83076923076923082</v>
      </c>
      <c r="X32" s="1249"/>
      <c r="Y32" s="1249">
        <v>2</v>
      </c>
      <c r="Z32" s="1249">
        <v>2.9976641693173289</v>
      </c>
      <c r="AA32" s="1249">
        <v>2.8211805555555554</v>
      </c>
      <c r="AB32" s="1132">
        <v>1670</v>
      </c>
      <c r="AC32" s="1254">
        <v>4.7113715277777777</v>
      </c>
      <c r="AD32" s="1253">
        <v>3.2222222222222223</v>
      </c>
      <c r="AE32" s="1132">
        <v>3780</v>
      </c>
      <c r="AF32" s="1249">
        <v>1.0955555555555556</v>
      </c>
      <c r="AG32" s="1132">
        <v>3200</v>
      </c>
      <c r="AH32" s="1198">
        <v>3.5057777777777779</v>
      </c>
      <c r="AI32" s="1251">
        <v>14.952998692810459</v>
      </c>
      <c r="AJ32" s="1132">
        <v>9.7545138888888889</v>
      </c>
      <c r="AK32" s="1132">
        <v>106.916875</v>
      </c>
      <c r="AL32" s="1132" t="s">
        <v>1317</v>
      </c>
      <c r="AM32" s="1132" t="s">
        <v>527</v>
      </c>
      <c r="AN32" s="1132" t="s">
        <v>527</v>
      </c>
      <c r="AO32" s="1132">
        <v>17.295258807189541</v>
      </c>
      <c r="AP32" s="1249">
        <v>20.464939869281043</v>
      </c>
      <c r="AQ32" s="1132">
        <v>30.084951633986933</v>
      </c>
      <c r="AR32" s="1132">
        <v>170</v>
      </c>
      <c r="AS32" s="1254">
        <v>3.5496163321360896</v>
      </c>
      <c r="AT32" s="1198">
        <v>0</v>
      </c>
      <c r="AU32" s="1132">
        <v>228.50196078431378</v>
      </c>
      <c r="AV32" s="1132">
        <v>185.206288185625</v>
      </c>
      <c r="AW32" s="1132">
        <v>-0.62190567721562484</v>
      </c>
      <c r="AX32" s="1249">
        <v>14.922266666666669</v>
      </c>
      <c r="AY32" s="1132">
        <v>590</v>
      </c>
      <c r="AZ32" s="1253">
        <v>0.48142123287671235</v>
      </c>
      <c r="BA32" s="1254">
        <v>8.7736270676034351</v>
      </c>
      <c r="BB32" s="1248"/>
      <c r="BC32" s="1132"/>
      <c r="BD32" s="1254">
        <v>2.4220800000000007</v>
      </c>
      <c r="BG32" s="653"/>
      <c r="BH32" s="386"/>
      <c r="BI32" s="386"/>
      <c r="BJ32" s="1247"/>
      <c r="BK32" s="1248"/>
      <c r="BL32" s="1248"/>
      <c r="BM32" s="1248"/>
      <c r="BN32" s="1248"/>
      <c r="BO32" s="1248"/>
      <c r="BP32" s="1250"/>
      <c r="BQ32" s="1251">
        <v>5</v>
      </c>
      <c r="BR32" s="1248">
        <v>3360</v>
      </c>
      <c r="BS32" s="1132">
        <v>16.8</v>
      </c>
      <c r="BT32" s="1252"/>
      <c r="BU32" s="1249"/>
      <c r="BV32" s="1132">
        <v>59.8</v>
      </c>
      <c r="BW32" s="1249">
        <v>0.83076923076923082</v>
      </c>
      <c r="BX32" s="1249">
        <v>7.5483091787439616</v>
      </c>
      <c r="BY32" s="1249">
        <v>0</v>
      </c>
      <c r="BZ32" s="1249">
        <v>7.5483091787439616</v>
      </c>
      <c r="CA32" s="1132">
        <v>2710</v>
      </c>
      <c r="CB32" s="1132">
        <v>0</v>
      </c>
      <c r="CC32" s="1198">
        <v>20.455917874396135</v>
      </c>
      <c r="CD32" s="1249">
        <v>10</v>
      </c>
      <c r="CE32" s="1249">
        <v>3.4000000000000004</v>
      </c>
      <c r="CF32" s="1132">
        <v>2740</v>
      </c>
      <c r="CG32" s="1198">
        <v>9.3160000000000025</v>
      </c>
      <c r="CH32" s="1251">
        <v>12.618549019607846</v>
      </c>
      <c r="CI32" s="1132">
        <v>18.548309178743963</v>
      </c>
      <c r="CJ32" s="1132">
        <v>231.32723711830732</v>
      </c>
      <c r="CK32" s="1132" t="s">
        <v>528</v>
      </c>
      <c r="CL32" s="1132" t="s">
        <v>528</v>
      </c>
      <c r="CM32" s="1132" t="s">
        <v>528</v>
      </c>
      <c r="CN32" s="1132">
        <v>4</v>
      </c>
      <c r="CO32" s="1132">
        <v>1080</v>
      </c>
      <c r="CP32" s="1198">
        <v>4.3327749999999998</v>
      </c>
      <c r="CQ32" s="1132">
        <v>426.18039215686269</v>
      </c>
      <c r="CR32" s="1132">
        <v>99.300673561779988</v>
      </c>
      <c r="CS32" s="1132">
        <v>-2</v>
      </c>
      <c r="CT32" s="1132">
        <v>29.832627450980389</v>
      </c>
      <c r="CU32" s="1132">
        <v>590</v>
      </c>
      <c r="CV32" s="1198">
        <v>17.683631730444759</v>
      </c>
      <c r="CW32" s="1248"/>
      <c r="CX32" s="1132"/>
      <c r="CY32" s="1198">
        <v>2.4220800000000007</v>
      </c>
      <c r="DA32" s="653">
        <f t="shared" si="0"/>
        <v>0</v>
      </c>
      <c r="DB32" s="386">
        <f t="shared" si="1"/>
        <v>0</v>
      </c>
      <c r="DC32" s="386">
        <f t="shared" si="2"/>
        <v>0</v>
      </c>
      <c r="DD32" s="1247">
        <f t="shared" si="3"/>
        <v>0</v>
      </c>
      <c r="DE32" s="1248">
        <f t="shared" si="4"/>
        <v>0</v>
      </c>
      <c r="DF32" s="1248">
        <f t="shared" si="5"/>
        <v>0</v>
      </c>
      <c r="DG32" s="1248">
        <f t="shared" si="6"/>
        <v>0</v>
      </c>
      <c r="DH32" s="1248">
        <f t="shared" si="7"/>
        <v>0</v>
      </c>
      <c r="DI32" s="1248">
        <f t="shared" si="8"/>
        <v>0</v>
      </c>
      <c r="DJ32" s="1250">
        <f t="shared" si="9"/>
        <v>0</v>
      </c>
      <c r="DK32" s="1251">
        <f t="shared" si="10"/>
        <v>0</v>
      </c>
      <c r="DL32" s="1248">
        <f t="shared" si="11"/>
        <v>0</v>
      </c>
      <c r="DM32" s="1132">
        <f t="shared" si="12"/>
        <v>0</v>
      </c>
      <c r="DN32" s="1252">
        <f t="shared" si="13"/>
        <v>0</v>
      </c>
      <c r="DO32" s="1249">
        <f t="shared" si="14"/>
        <v>160</v>
      </c>
      <c r="DP32" s="1132">
        <f t="shared" si="15"/>
        <v>-58.969230769230769</v>
      </c>
      <c r="DQ32" s="1249">
        <f t="shared" si="16"/>
        <v>-0.83076923076923082</v>
      </c>
      <c r="DR32" s="1249">
        <f t="shared" si="17"/>
        <v>-5.5483091787439616</v>
      </c>
      <c r="DS32" s="1249">
        <f t="shared" si="18"/>
        <v>2.9976641693173289</v>
      </c>
      <c r="DT32" s="1249">
        <f t="shared" si="19"/>
        <v>-4.7271286231884062</v>
      </c>
      <c r="DU32" s="1132">
        <f t="shared" si="20"/>
        <v>-1040</v>
      </c>
      <c r="DV32" s="1132" t="e">
        <f>#REF!-CB32</f>
        <v>#REF!</v>
      </c>
      <c r="DW32" s="1198">
        <f t="shared" si="21"/>
        <v>-15.744546346618357</v>
      </c>
      <c r="DX32" s="1249">
        <f t="shared" si="22"/>
        <v>-6.7777777777777777</v>
      </c>
      <c r="DY32" s="1249">
        <f t="shared" si="23"/>
        <v>-2.304444444444445</v>
      </c>
      <c r="DZ32" s="1132">
        <f t="shared" si="24"/>
        <v>460</v>
      </c>
      <c r="EA32" s="1198">
        <f t="shared" si="25"/>
        <v>-5.8102222222222242</v>
      </c>
      <c r="EB32" s="1251">
        <f t="shared" si="26"/>
        <v>2.334449673202613</v>
      </c>
      <c r="EC32" s="1132">
        <f t="shared" si="27"/>
        <v>-8.7937952898550744</v>
      </c>
      <c r="ED32" s="1132">
        <f t="shared" si="28"/>
        <v>-124.41036211830732</v>
      </c>
      <c r="EE32" s="1132" t="e">
        <f t="shared" si="29"/>
        <v>#VALUE!</v>
      </c>
      <c r="EF32" s="1132" t="e">
        <f t="shared" si="30"/>
        <v>#VALUE!</v>
      </c>
      <c r="EG32" s="1132" t="e">
        <f t="shared" si="31"/>
        <v>#VALUE!</v>
      </c>
      <c r="EH32" s="1132">
        <f t="shared" si="32"/>
        <v>26.084951633986933</v>
      </c>
      <c r="EI32" s="1132">
        <f t="shared" si="33"/>
        <v>-910</v>
      </c>
      <c r="EJ32" s="1198">
        <f t="shared" si="34"/>
        <v>-4.3327749999999998</v>
      </c>
      <c r="EK32" s="1132">
        <f t="shared" si="35"/>
        <v>-197.67843137254891</v>
      </c>
      <c r="EL32" s="1132">
        <f t="shared" si="36"/>
        <v>85.905614623845011</v>
      </c>
      <c r="EM32" s="1132">
        <f t="shared" si="37"/>
        <v>1.3780943227843752</v>
      </c>
      <c r="EN32" s="1132">
        <f t="shared" si="40"/>
        <v>-14.91036078431372</v>
      </c>
      <c r="EO32" s="1132">
        <f t="shared" si="41"/>
        <v>0</v>
      </c>
      <c r="EP32" s="1198">
        <f t="shared" si="42"/>
        <v>-8.9100046628413239</v>
      </c>
      <c r="EQ32" s="1248">
        <f t="shared" si="43"/>
        <v>0</v>
      </c>
      <c r="ER32" s="1132">
        <f t="shared" si="44"/>
        <v>0</v>
      </c>
      <c r="ES32" s="1198">
        <f t="shared" si="45"/>
        <v>0</v>
      </c>
    </row>
    <row r="33" spans="1:149">
      <c r="A33" s="634">
        <f>Eingabedaten!A36</f>
        <v>9.02</v>
      </c>
      <c r="B33" s="463" t="str">
        <f>Eingabedaten!C36</f>
        <v>Produktion (feine Arbeit)</v>
      </c>
      <c r="C33" s="637"/>
      <c r="D33" s="379"/>
      <c r="E33" s="379"/>
      <c r="F33" s="1238"/>
      <c r="G33" s="1129"/>
      <c r="H33" s="1129"/>
      <c r="I33" s="1129"/>
      <c r="J33" s="1129"/>
      <c r="K33" s="1129"/>
      <c r="L33" s="1129"/>
      <c r="M33" s="1129"/>
      <c r="N33" s="1237"/>
      <c r="O33" s="1240">
        <v>5</v>
      </c>
      <c r="P33" s="1131">
        <v>5</v>
      </c>
      <c r="Q33" s="1129">
        <v>2440</v>
      </c>
      <c r="R33" s="1131">
        <v>12.2</v>
      </c>
      <c r="S33" s="1239">
        <v>12.2</v>
      </c>
      <c r="T33" s="1131">
        <v>12.2</v>
      </c>
      <c r="U33" s="1240"/>
      <c r="V33" s="1240">
        <v>160</v>
      </c>
      <c r="W33" s="1834">
        <v>0.83076923076923082</v>
      </c>
      <c r="X33" s="1239"/>
      <c r="Y33" s="1239">
        <v>2</v>
      </c>
      <c r="Z33" s="1239">
        <v>5.272571994979149</v>
      </c>
      <c r="AA33" s="1239">
        <v>4.7019675925925926</v>
      </c>
      <c r="AB33" s="1131">
        <v>550</v>
      </c>
      <c r="AC33" s="1243">
        <v>2.586082175925926</v>
      </c>
      <c r="AD33" s="1242">
        <v>1.9333333333333333</v>
      </c>
      <c r="AE33" s="1131">
        <v>3290</v>
      </c>
      <c r="AF33" s="1239">
        <v>0.65733333333333344</v>
      </c>
      <c r="AG33" s="1131">
        <v>2740</v>
      </c>
      <c r="AH33" s="1197">
        <v>1.8010933333333337</v>
      </c>
      <c r="AI33" s="1240">
        <v>15.788169411764708</v>
      </c>
      <c r="AJ33" s="1131">
        <v>15.301967592592593</v>
      </c>
      <c r="AK33" s="1131">
        <v>89.32</v>
      </c>
      <c r="AL33" s="1131" t="s">
        <v>1317</v>
      </c>
      <c r="AM33" s="1131" t="s">
        <v>1317</v>
      </c>
      <c r="AN33" s="1131" t="s">
        <v>527</v>
      </c>
      <c r="AO33" s="1131">
        <v>21.763095903050111</v>
      </c>
      <c r="AP33" s="1239">
        <v>24.62405835294118</v>
      </c>
      <c r="AQ33" s="1131">
        <v>29.62405835294118</v>
      </c>
      <c r="AR33" s="1131">
        <v>140</v>
      </c>
      <c r="AS33" s="1243">
        <v>3.3721952400254853</v>
      </c>
      <c r="AT33" s="1197">
        <v>0</v>
      </c>
      <c r="AU33" s="1131">
        <v>228.50196078431378</v>
      </c>
      <c r="AV33" s="1131">
        <v>185.206288185625</v>
      </c>
      <c r="AW33" s="1131">
        <v>-0.62190567721562484</v>
      </c>
      <c r="AX33" s="1239">
        <v>16.636031372549024</v>
      </c>
      <c r="AY33" s="1131">
        <v>450</v>
      </c>
      <c r="AZ33" s="1242">
        <v>0.31744197108066974</v>
      </c>
      <c r="BA33" s="1243">
        <v>7.5203829961795101</v>
      </c>
      <c r="BB33" s="1129"/>
      <c r="BC33" s="1131"/>
      <c r="BD33" s="1243">
        <v>2.4220800000000007</v>
      </c>
      <c r="BG33" s="637"/>
      <c r="BH33" s="379"/>
      <c r="BI33" s="379"/>
      <c r="BJ33" s="1238"/>
      <c r="BK33" s="1129"/>
      <c r="BL33" s="1129"/>
      <c r="BM33" s="1129"/>
      <c r="BN33" s="1129"/>
      <c r="BO33" s="1129"/>
      <c r="BP33" s="1237"/>
      <c r="BQ33" s="1240">
        <v>5</v>
      </c>
      <c r="BR33" s="1129">
        <v>2440</v>
      </c>
      <c r="BS33" s="1131">
        <v>12.2</v>
      </c>
      <c r="BT33" s="1241"/>
      <c r="BU33" s="1239"/>
      <c r="BV33" s="1131">
        <v>69.8</v>
      </c>
      <c r="BW33" s="1239">
        <v>0.83076923076923082</v>
      </c>
      <c r="BX33" s="1239">
        <v>10.778149209381301</v>
      </c>
      <c r="BY33" s="1239">
        <v>0</v>
      </c>
      <c r="BZ33" s="1239">
        <v>10.778149209381301</v>
      </c>
      <c r="CA33" s="1131">
        <v>910</v>
      </c>
      <c r="CB33" s="1131">
        <v>0</v>
      </c>
      <c r="CC33" s="1197">
        <v>9.8081157805369834</v>
      </c>
      <c r="CD33" s="1239">
        <v>10</v>
      </c>
      <c r="CE33" s="1239">
        <v>3.4000000000000004</v>
      </c>
      <c r="CF33" s="1131">
        <v>1470</v>
      </c>
      <c r="CG33" s="1197">
        <v>4.9980000000000011</v>
      </c>
      <c r="CH33" s="1240">
        <v>16.880352941176472</v>
      </c>
      <c r="CI33" s="1131">
        <v>20.4781492093813</v>
      </c>
      <c r="CJ33" s="1131">
        <v>123.59906670082333</v>
      </c>
      <c r="CK33" s="1131" t="s">
        <v>574</v>
      </c>
      <c r="CL33" s="1131" t="s">
        <v>527</v>
      </c>
      <c r="CM33" s="1131" t="s">
        <v>528</v>
      </c>
      <c r="CN33" s="1131">
        <v>22</v>
      </c>
      <c r="CO33" s="1131">
        <v>400</v>
      </c>
      <c r="CP33" s="1197">
        <v>8.7759499999999999</v>
      </c>
      <c r="CQ33" s="1131">
        <v>426.18039215686269</v>
      </c>
      <c r="CR33" s="1131">
        <v>99.300673561779988</v>
      </c>
      <c r="CS33" s="1131">
        <v>-2</v>
      </c>
      <c r="CT33" s="1131">
        <v>31.963529411764704</v>
      </c>
      <c r="CU33" s="1131">
        <v>670</v>
      </c>
      <c r="CV33" s="1197">
        <v>21.432513998099861</v>
      </c>
      <c r="CW33" s="1129"/>
      <c r="CX33" s="1131"/>
      <c r="CY33" s="1197">
        <v>2.4220800000000007</v>
      </c>
      <c r="DA33" s="637">
        <f t="shared" si="0"/>
        <v>0</v>
      </c>
      <c r="DB33" s="379">
        <f t="shared" si="1"/>
        <v>0</v>
      </c>
      <c r="DC33" s="379">
        <f t="shared" si="2"/>
        <v>0</v>
      </c>
      <c r="DD33" s="1238">
        <f t="shared" si="3"/>
        <v>0</v>
      </c>
      <c r="DE33" s="1129">
        <f t="shared" si="4"/>
        <v>0</v>
      </c>
      <c r="DF33" s="1129">
        <f t="shared" si="5"/>
        <v>0</v>
      </c>
      <c r="DG33" s="1129">
        <f t="shared" si="6"/>
        <v>0</v>
      </c>
      <c r="DH33" s="1129">
        <f t="shared" si="7"/>
        <v>0</v>
      </c>
      <c r="DI33" s="1129">
        <f t="shared" si="8"/>
        <v>0</v>
      </c>
      <c r="DJ33" s="1237">
        <f t="shared" si="9"/>
        <v>0</v>
      </c>
      <c r="DK33" s="1240">
        <f t="shared" si="10"/>
        <v>0</v>
      </c>
      <c r="DL33" s="1129">
        <f t="shared" si="11"/>
        <v>0</v>
      </c>
      <c r="DM33" s="1131">
        <f t="shared" si="12"/>
        <v>0</v>
      </c>
      <c r="DN33" s="1241">
        <f t="shared" si="13"/>
        <v>0</v>
      </c>
      <c r="DO33" s="1239">
        <f t="shared" si="14"/>
        <v>160</v>
      </c>
      <c r="DP33" s="1131">
        <f t="shared" si="15"/>
        <v>-68.969230769230762</v>
      </c>
      <c r="DQ33" s="1239">
        <f t="shared" si="16"/>
        <v>-0.83076923076923082</v>
      </c>
      <c r="DR33" s="1239">
        <f t="shared" si="17"/>
        <v>-8.7781492093813007</v>
      </c>
      <c r="DS33" s="1239">
        <f t="shared" si="18"/>
        <v>5.272571994979149</v>
      </c>
      <c r="DT33" s="1239">
        <f t="shared" si="19"/>
        <v>-6.0761816167887082</v>
      </c>
      <c r="DU33" s="1131">
        <f t="shared" si="20"/>
        <v>-360</v>
      </c>
      <c r="DV33" s="1131" t="e">
        <f>#REF!-CB33</f>
        <v>#REF!</v>
      </c>
      <c r="DW33" s="1197">
        <f t="shared" si="21"/>
        <v>-7.2220336046110578</v>
      </c>
      <c r="DX33" s="1239">
        <f t="shared" si="22"/>
        <v>-8.0666666666666664</v>
      </c>
      <c r="DY33" s="1239">
        <f t="shared" si="23"/>
        <v>-2.742666666666667</v>
      </c>
      <c r="DZ33" s="1131">
        <f t="shared" si="24"/>
        <v>1270</v>
      </c>
      <c r="EA33" s="1197">
        <f t="shared" si="25"/>
        <v>-3.1969066666666675</v>
      </c>
      <c r="EB33" s="1240">
        <f t="shared" si="26"/>
        <v>-1.0921835294117646</v>
      </c>
      <c r="EC33" s="1131">
        <f t="shared" si="27"/>
        <v>-5.1761816167887069</v>
      </c>
      <c r="ED33" s="1131">
        <f t="shared" si="28"/>
        <v>-34.279066700823336</v>
      </c>
      <c r="EE33" s="1131" t="e">
        <f t="shared" si="29"/>
        <v>#VALUE!</v>
      </c>
      <c r="EF33" s="1131" t="e">
        <f t="shared" si="30"/>
        <v>#VALUE!</v>
      </c>
      <c r="EG33" s="1131" t="e">
        <f t="shared" si="31"/>
        <v>#VALUE!</v>
      </c>
      <c r="EH33" s="1131">
        <f t="shared" si="32"/>
        <v>7.6240583529411801</v>
      </c>
      <c r="EI33" s="1131">
        <f t="shared" si="33"/>
        <v>-260</v>
      </c>
      <c r="EJ33" s="1197">
        <f t="shared" si="34"/>
        <v>-8.7759499999999999</v>
      </c>
      <c r="EK33" s="1131">
        <f t="shared" si="35"/>
        <v>-197.67843137254891</v>
      </c>
      <c r="EL33" s="1131">
        <f t="shared" si="36"/>
        <v>85.905614623845011</v>
      </c>
      <c r="EM33" s="1131">
        <f t="shared" si="37"/>
        <v>1.3780943227843752</v>
      </c>
      <c r="EN33" s="1131">
        <f t="shared" si="40"/>
        <v>-15.32749803921568</v>
      </c>
      <c r="EO33" s="1131">
        <f t="shared" si="41"/>
        <v>-220</v>
      </c>
      <c r="EP33" s="1197">
        <f t="shared" si="42"/>
        <v>-13.912131001920351</v>
      </c>
      <c r="EQ33" s="1129">
        <f t="shared" si="43"/>
        <v>0</v>
      </c>
      <c r="ER33" s="1131">
        <f t="shared" si="44"/>
        <v>0</v>
      </c>
      <c r="ES33" s="1197">
        <f t="shared" si="45"/>
        <v>0</v>
      </c>
    </row>
    <row r="34" spans="1:149">
      <c r="A34" s="638">
        <f>Eingabedaten!A37</f>
        <v>9.0299999999999994</v>
      </c>
      <c r="B34" s="592" t="str">
        <f>Eingabedaten!C37</f>
        <v>Laborraum</v>
      </c>
      <c r="C34" s="654"/>
      <c r="D34" s="387"/>
      <c r="E34" s="387"/>
      <c r="F34" s="1227"/>
      <c r="G34" s="1130"/>
      <c r="H34" s="1130"/>
      <c r="I34" s="1130"/>
      <c r="J34" s="1130"/>
      <c r="K34" s="1130"/>
      <c r="L34" s="1130"/>
      <c r="M34" s="1130"/>
      <c r="N34" s="1229"/>
      <c r="O34" s="1255">
        <v>5</v>
      </c>
      <c r="P34" s="1133">
        <v>10</v>
      </c>
      <c r="Q34" s="1130">
        <v>2440</v>
      </c>
      <c r="R34" s="1133">
        <v>12.2</v>
      </c>
      <c r="S34" s="1228">
        <v>12.2</v>
      </c>
      <c r="T34" s="1133">
        <v>24.4</v>
      </c>
      <c r="U34" s="1255"/>
      <c r="V34" s="1255">
        <v>130</v>
      </c>
      <c r="W34" s="1836">
        <v>0.75449101796407192</v>
      </c>
      <c r="X34" s="1228"/>
      <c r="Y34" s="1228">
        <v>2</v>
      </c>
      <c r="Z34" s="1228">
        <v>2.0356660819921295</v>
      </c>
      <c r="AA34" s="1228">
        <v>6.3721001221001217</v>
      </c>
      <c r="AB34" s="1133">
        <v>425</v>
      </c>
      <c r="AC34" s="1196">
        <v>2.7081425518925517</v>
      </c>
      <c r="AD34" s="1257">
        <v>1.9333333333333333</v>
      </c>
      <c r="AE34" s="1133">
        <v>3290</v>
      </c>
      <c r="AF34" s="1228">
        <v>0.65733333333333344</v>
      </c>
      <c r="AG34" s="1133">
        <v>2740</v>
      </c>
      <c r="AH34" s="1199">
        <v>1.8010933333333337</v>
      </c>
      <c r="AI34" s="1255">
        <v>24.944640000000003</v>
      </c>
      <c r="AJ34" s="1133">
        <v>16.972100122100123</v>
      </c>
      <c r="AK34" s="1133">
        <v>89.32</v>
      </c>
      <c r="AL34" s="1133" t="s">
        <v>1317</v>
      </c>
      <c r="AM34" s="1133" t="s">
        <v>1317</v>
      </c>
      <c r="AN34" s="1133" t="s">
        <v>527</v>
      </c>
      <c r="AO34" s="1133">
        <v>29.341718085470085</v>
      </c>
      <c r="AP34" s="1228">
        <v>33.351753142857142</v>
      </c>
      <c r="AQ34" s="1133">
        <v>42.747654991596633</v>
      </c>
      <c r="AR34" s="1133">
        <v>100</v>
      </c>
      <c r="AS34" s="1196">
        <v>3.2239598320844824</v>
      </c>
      <c r="AT34" s="1199">
        <v>0</v>
      </c>
      <c r="AU34" s="1133">
        <v>47.093333333333341</v>
      </c>
      <c r="AV34" s="1133">
        <v>170.63986409966023</v>
      </c>
      <c r="AW34" s="1133">
        <v>-0.84040203850509654</v>
      </c>
      <c r="AX34" s="1228">
        <v>19.739104761904766</v>
      </c>
      <c r="AY34" s="1133">
        <v>640</v>
      </c>
      <c r="AZ34" s="1257">
        <v>0.31744197108066974</v>
      </c>
      <c r="BA34" s="1196">
        <v>12.730999335260602</v>
      </c>
      <c r="BB34" s="1130"/>
      <c r="BC34" s="1133"/>
      <c r="BD34" s="1196">
        <v>2.4220800000000007</v>
      </c>
      <c r="BG34" s="654"/>
      <c r="BH34" s="387"/>
      <c r="BI34" s="387"/>
      <c r="BJ34" s="1227"/>
      <c r="BK34" s="1130"/>
      <c r="BL34" s="1130"/>
      <c r="BM34" s="1130"/>
      <c r="BN34" s="1130"/>
      <c r="BO34" s="1130"/>
      <c r="BP34" s="1229"/>
      <c r="BQ34" s="1255">
        <v>15</v>
      </c>
      <c r="BR34" s="1130">
        <v>2440</v>
      </c>
      <c r="BS34" s="1133">
        <v>36.6</v>
      </c>
      <c r="BT34" s="1256"/>
      <c r="BU34" s="1228"/>
      <c r="BV34" s="1133">
        <v>69.8</v>
      </c>
      <c r="BW34" s="1228">
        <v>0.75449101796407192</v>
      </c>
      <c r="BX34" s="1228">
        <v>11.867808250329739</v>
      </c>
      <c r="BY34" s="1228">
        <v>0</v>
      </c>
      <c r="BZ34" s="1228">
        <v>11.867808250329739</v>
      </c>
      <c r="CA34" s="1133">
        <v>380</v>
      </c>
      <c r="CB34" s="1133">
        <v>0</v>
      </c>
      <c r="CC34" s="1199">
        <v>4.5097671351253013</v>
      </c>
      <c r="CD34" s="1228">
        <v>20</v>
      </c>
      <c r="CE34" s="1228">
        <v>6.8000000000000007</v>
      </c>
      <c r="CF34" s="1133">
        <v>1470</v>
      </c>
      <c r="CG34" s="1199">
        <v>9.9960000000000022</v>
      </c>
      <c r="CH34" s="1255">
        <v>28.655058823529416</v>
      </c>
      <c r="CI34" s="1133">
        <v>31.56780825032974</v>
      </c>
      <c r="CJ34" s="1133">
        <v>181.32912150112</v>
      </c>
      <c r="CK34" s="1133" t="s">
        <v>527</v>
      </c>
      <c r="CL34" s="1133" t="s">
        <v>528</v>
      </c>
      <c r="CM34" s="1133" t="s">
        <v>528</v>
      </c>
      <c r="CN34" s="1133">
        <v>37</v>
      </c>
      <c r="CO34" s="1133">
        <v>470</v>
      </c>
      <c r="CP34" s="1199">
        <v>17.501714285714286</v>
      </c>
      <c r="CQ34" s="1133">
        <v>134.54431372549018</v>
      </c>
      <c r="CR34" s="1133">
        <v>59.727533460803066</v>
      </c>
      <c r="CS34" s="1133">
        <v>-2</v>
      </c>
      <c r="CT34" s="1133">
        <v>59.583910364145645</v>
      </c>
      <c r="CU34" s="1133">
        <v>680</v>
      </c>
      <c r="CV34" s="1199">
        <v>40.70089598539267</v>
      </c>
      <c r="CW34" s="1130"/>
      <c r="CX34" s="1133"/>
      <c r="CY34" s="1199">
        <v>2.4220800000000007</v>
      </c>
      <c r="DA34" s="654">
        <f t="shared" si="0"/>
        <v>0</v>
      </c>
      <c r="DB34" s="387">
        <f t="shared" si="1"/>
        <v>0</v>
      </c>
      <c r="DC34" s="387">
        <f t="shared" si="2"/>
        <v>0</v>
      </c>
      <c r="DD34" s="1227">
        <f t="shared" si="3"/>
        <v>0</v>
      </c>
      <c r="DE34" s="1130">
        <f t="shared" si="4"/>
        <v>0</v>
      </c>
      <c r="DF34" s="1130">
        <f t="shared" si="5"/>
        <v>0</v>
      </c>
      <c r="DG34" s="1130">
        <f t="shared" si="6"/>
        <v>0</v>
      </c>
      <c r="DH34" s="1130">
        <f t="shared" si="7"/>
        <v>0</v>
      </c>
      <c r="DI34" s="1130">
        <f t="shared" si="8"/>
        <v>0</v>
      </c>
      <c r="DJ34" s="1229">
        <f t="shared" si="9"/>
        <v>0</v>
      </c>
      <c r="DK34" s="1255">
        <f t="shared" si="10"/>
        <v>-10</v>
      </c>
      <c r="DL34" s="1130">
        <f t="shared" si="11"/>
        <v>0</v>
      </c>
      <c r="DM34" s="1133">
        <f t="shared" si="12"/>
        <v>-24.400000000000002</v>
      </c>
      <c r="DN34" s="1256">
        <f t="shared" si="13"/>
        <v>0</v>
      </c>
      <c r="DO34" s="1228">
        <f t="shared" si="14"/>
        <v>130</v>
      </c>
      <c r="DP34" s="1133">
        <f t="shared" si="15"/>
        <v>-69.045508982035926</v>
      </c>
      <c r="DQ34" s="1228">
        <f t="shared" si="16"/>
        <v>-0.75449101796407192</v>
      </c>
      <c r="DR34" s="1228">
        <f t="shared" si="17"/>
        <v>-9.8678082503297393</v>
      </c>
      <c r="DS34" s="1228">
        <f t="shared" si="18"/>
        <v>2.0356660819921295</v>
      </c>
      <c r="DT34" s="1228">
        <f t="shared" si="19"/>
        <v>-5.4957081282296176</v>
      </c>
      <c r="DU34" s="1133">
        <f t="shared" si="20"/>
        <v>45</v>
      </c>
      <c r="DV34" s="1133" t="e">
        <f>#REF!-CB34</f>
        <v>#REF!</v>
      </c>
      <c r="DW34" s="1199">
        <f t="shared" si="21"/>
        <v>-1.8016245832327495</v>
      </c>
      <c r="DX34" s="1228">
        <f t="shared" si="22"/>
        <v>-18.066666666666666</v>
      </c>
      <c r="DY34" s="1228">
        <f t="shared" si="23"/>
        <v>-6.1426666666666669</v>
      </c>
      <c r="DZ34" s="1133">
        <f t="shared" si="24"/>
        <v>1270</v>
      </c>
      <c r="EA34" s="1199">
        <f t="shared" si="25"/>
        <v>-8.1949066666666681</v>
      </c>
      <c r="EB34" s="1255">
        <f t="shared" si="26"/>
        <v>-3.7104188235294124</v>
      </c>
      <c r="EC34" s="1133">
        <f t="shared" si="27"/>
        <v>-14.595708128229617</v>
      </c>
      <c r="ED34" s="1133">
        <f t="shared" si="28"/>
        <v>-92.009121501120006</v>
      </c>
      <c r="EE34" s="1133" t="e">
        <f t="shared" si="29"/>
        <v>#VALUE!</v>
      </c>
      <c r="EF34" s="1133" t="e">
        <f t="shared" si="30"/>
        <v>#VALUE!</v>
      </c>
      <c r="EG34" s="1133" t="e">
        <f t="shared" si="31"/>
        <v>#VALUE!</v>
      </c>
      <c r="EH34" s="1133">
        <f t="shared" si="32"/>
        <v>5.7476549915966331</v>
      </c>
      <c r="EI34" s="1133">
        <f t="shared" si="33"/>
        <v>-370</v>
      </c>
      <c r="EJ34" s="1199">
        <f t="shared" si="34"/>
        <v>-17.501714285714286</v>
      </c>
      <c r="EK34" s="1133">
        <f t="shared" si="35"/>
        <v>-87.45098039215685</v>
      </c>
      <c r="EL34" s="1133">
        <f t="shared" si="36"/>
        <v>110.91233063885716</v>
      </c>
      <c r="EM34" s="1133">
        <f t="shared" si="37"/>
        <v>1.1595979614949035</v>
      </c>
      <c r="EN34" s="1133">
        <f t="shared" si="40"/>
        <v>-39.844805602240882</v>
      </c>
      <c r="EO34" s="1133">
        <f t="shared" si="41"/>
        <v>-40</v>
      </c>
      <c r="EP34" s="1199">
        <f t="shared" si="42"/>
        <v>-27.969896650132068</v>
      </c>
      <c r="EQ34" s="1130">
        <f t="shared" si="43"/>
        <v>0</v>
      </c>
      <c r="ER34" s="1133">
        <f t="shared" si="44"/>
        <v>0</v>
      </c>
      <c r="ES34" s="1199">
        <f t="shared" si="45"/>
        <v>0</v>
      </c>
    </row>
    <row r="35" spans="1:149">
      <c r="A35" s="634">
        <f>Eingabedaten!A38</f>
        <v>10.01</v>
      </c>
      <c r="B35" s="463" t="str">
        <f>Eingabedaten!C38</f>
        <v>Lagerhalle</v>
      </c>
      <c r="C35" s="637"/>
      <c r="D35" s="379"/>
      <c r="E35" s="379"/>
      <c r="F35" s="1238"/>
      <c r="G35" s="1129"/>
      <c r="H35" s="1129"/>
      <c r="I35" s="1129"/>
      <c r="J35" s="1129"/>
      <c r="K35" s="1129"/>
      <c r="L35" s="1129"/>
      <c r="M35" s="1129"/>
      <c r="N35" s="1237"/>
      <c r="O35" s="1240">
        <v>1</v>
      </c>
      <c r="P35" s="1131">
        <v>0</v>
      </c>
      <c r="Q35" s="1129">
        <v>3160</v>
      </c>
      <c r="R35" s="1131">
        <v>3.16</v>
      </c>
      <c r="S35" s="1239">
        <v>3.16</v>
      </c>
      <c r="T35" s="1131">
        <v>0</v>
      </c>
      <c r="U35" s="1240"/>
      <c r="V35" s="1240">
        <v>160</v>
      </c>
      <c r="W35" s="1834">
        <v>0.79646017699115046</v>
      </c>
      <c r="X35" s="1239"/>
      <c r="Y35" s="1239">
        <v>2</v>
      </c>
      <c r="Z35" s="1239">
        <v>2.9976641693173289</v>
      </c>
      <c r="AA35" s="1239">
        <v>2.9427083333333335</v>
      </c>
      <c r="AB35" s="1131">
        <v>1670</v>
      </c>
      <c r="AC35" s="1243">
        <v>4.9143229166666673</v>
      </c>
      <c r="AD35" s="1242">
        <v>1.2083333333333335</v>
      </c>
      <c r="AE35" s="1131">
        <v>5110</v>
      </c>
      <c r="AF35" s="1239">
        <v>0.26945833333333341</v>
      </c>
      <c r="AG35" s="1131">
        <v>4090</v>
      </c>
      <c r="AH35" s="1197">
        <v>1.1020845833333337</v>
      </c>
      <c r="AI35" s="1240">
        <v>15.96225098039216</v>
      </c>
      <c r="AJ35" s="1131">
        <v>5.7177083333333334</v>
      </c>
      <c r="AK35" s="1131">
        <v>48.233125000000001</v>
      </c>
      <c r="AL35" s="1131" t="s">
        <v>16</v>
      </c>
      <c r="AM35" s="1131" t="s">
        <v>16</v>
      </c>
      <c r="AN35" s="1131" t="s">
        <v>16</v>
      </c>
      <c r="AO35" s="1131">
        <v>0</v>
      </c>
      <c r="AP35" s="1239">
        <v>0</v>
      </c>
      <c r="AQ35" s="1131">
        <v>0</v>
      </c>
      <c r="AR35" s="1131">
        <v>0</v>
      </c>
      <c r="AS35" s="1197">
        <v>0</v>
      </c>
      <c r="AT35" s="1197">
        <v>0</v>
      </c>
      <c r="AU35" s="1131">
        <v>228.50196078431378</v>
      </c>
      <c r="AV35" s="1131">
        <v>185.206288185625</v>
      </c>
      <c r="AW35" s="1131">
        <v>-0.62190567721562484</v>
      </c>
      <c r="AX35" s="1239">
        <v>14.922266666666669</v>
      </c>
      <c r="AY35" s="1131">
        <v>530</v>
      </c>
      <c r="AZ35" s="1242">
        <v>0.30434027777777783</v>
      </c>
      <c r="BA35" s="1243">
        <v>7.9670791010373421</v>
      </c>
      <c r="BB35" s="1129"/>
      <c r="BC35" s="1131"/>
      <c r="BD35" s="1243">
        <v>0.9082800000000002</v>
      </c>
      <c r="BG35" s="637"/>
      <c r="BH35" s="379"/>
      <c r="BI35" s="379"/>
      <c r="BJ35" s="1238"/>
      <c r="BK35" s="1129"/>
      <c r="BL35" s="1129"/>
      <c r="BM35" s="1129"/>
      <c r="BN35" s="1129"/>
      <c r="BO35" s="1129"/>
      <c r="BP35" s="1237"/>
      <c r="BQ35" s="1240">
        <v>0</v>
      </c>
      <c r="BR35" s="1129">
        <v>3160</v>
      </c>
      <c r="BS35" s="1131">
        <v>0</v>
      </c>
      <c r="BT35" s="1241"/>
      <c r="BU35" s="1239"/>
      <c r="BV35" s="1131">
        <v>49.8</v>
      </c>
      <c r="BW35" s="1239">
        <v>0.79646017699115046</v>
      </c>
      <c r="BX35" s="1239">
        <v>3.1514948683623381</v>
      </c>
      <c r="BY35" s="1239">
        <v>0</v>
      </c>
      <c r="BZ35" s="1239">
        <v>3.1514948683623381</v>
      </c>
      <c r="CA35" s="1131">
        <v>2660</v>
      </c>
      <c r="CB35" s="1131">
        <v>0</v>
      </c>
      <c r="CC35" s="1197">
        <v>8.382976349843819</v>
      </c>
      <c r="CD35" s="1239">
        <v>1.5</v>
      </c>
      <c r="CE35" s="1239">
        <v>0.33450000000000002</v>
      </c>
      <c r="CF35" s="1131">
        <v>3240</v>
      </c>
      <c r="CG35" s="1197">
        <v>1.08378</v>
      </c>
      <c r="CH35" s="1240">
        <v>10.487647058823532</v>
      </c>
      <c r="CI35" s="1131">
        <v>5.4514948683623379</v>
      </c>
      <c r="CJ35" s="1131">
        <v>62.831622342904019</v>
      </c>
      <c r="CK35" s="1131" t="s">
        <v>16</v>
      </c>
      <c r="CL35" s="1131" t="s">
        <v>16</v>
      </c>
      <c r="CM35" s="1131" t="s">
        <v>16</v>
      </c>
      <c r="CN35" s="1131">
        <v>0</v>
      </c>
      <c r="CO35" s="1131">
        <v>0</v>
      </c>
      <c r="CP35" s="1197">
        <v>0</v>
      </c>
      <c r="CQ35" s="1131">
        <v>208.58039215686276</v>
      </c>
      <c r="CR35" s="1131">
        <v>202.89538993757989</v>
      </c>
      <c r="CS35" s="1131">
        <v>0</v>
      </c>
      <c r="CT35" s="1131">
        <v>13.557725490196079</v>
      </c>
      <c r="CU35" s="1131">
        <v>970</v>
      </c>
      <c r="CV35" s="1197">
        <v>13.173830376373965</v>
      </c>
      <c r="CW35" s="1129"/>
      <c r="CX35" s="1131"/>
      <c r="CY35" s="1197">
        <v>0.9082800000000002</v>
      </c>
      <c r="DA35" s="637">
        <f t="shared" si="0"/>
        <v>0</v>
      </c>
      <c r="DB35" s="379">
        <f t="shared" si="1"/>
        <v>0</v>
      </c>
      <c r="DC35" s="379">
        <f t="shared" si="2"/>
        <v>0</v>
      </c>
      <c r="DD35" s="1238">
        <f t="shared" si="3"/>
        <v>0</v>
      </c>
      <c r="DE35" s="1129">
        <f t="shared" si="4"/>
        <v>0</v>
      </c>
      <c r="DF35" s="1129">
        <f t="shared" si="5"/>
        <v>0</v>
      </c>
      <c r="DG35" s="1129">
        <f t="shared" si="6"/>
        <v>0</v>
      </c>
      <c r="DH35" s="1129">
        <f t="shared" si="7"/>
        <v>0</v>
      </c>
      <c r="DI35" s="1129">
        <f t="shared" si="8"/>
        <v>0</v>
      </c>
      <c r="DJ35" s="1237">
        <f t="shared" si="9"/>
        <v>0</v>
      </c>
      <c r="DK35" s="1240">
        <f t="shared" si="10"/>
        <v>1</v>
      </c>
      <c r="DL35" s="1129">
        <f t="shared" si="11"/>
        <v>0</v>
      </c>
      <c r="DM35" s="1131">
        <f t="shared" si="12"/>
        <v>3.16</v>
      </c>
      <c r="DN35" s="1241">
        <f t="shared" si="13"/>
        <v>0</v>
      </c>
      <c r="DO35" s="1239">
        <f t="shared" si="14"/>
        <v>160</v>
      </c>
      <c r="DP35" s="1131">
        <f t="shared" si="15"/>
        <v>-49.003539823008843</v>
      </c>
      <c r="DQ35" s="1239">
        <f t="shared" si="16"/>
        <v>-0.79646017699115046</v>
      </c>
      <c r="DR35" s="1239">
        <f t="shared" si="17"/>
        <v>-1.1514948683623381</v>
      </c>
      <c r="DS35" s="1239">
        <f t="shared" si="18"/>
        <v>2.9976641693173289</v>
      </c>
      <c r="DT35" s="1239">
        <f t="shared" si="19"/>
        <v>-0.20878653502900457</v>
      </c>
      <c r="DU35" s="1131">
        <f t="shared" si="20"/>
        <v>-990</v>
      </c>
      <c r="DV35" s="1131" t="e">
        <f>#REF!-CB35</f>
        <v>#REF!</v>
      </c>
      <c r="DW35" s="1197">
        <f t="shared" si="21"/>
        <v>-3.4686534331771517</v>
      </c>
      <c r="DX35" s="1239">
        <f t="shared" si="22"/>
        <v>-0.29166666666666652</v>
      </c>
      <c r="DY35" s="1239">
        <f t="shared" si="23"/>
        <v>-6.5041666666666609E-2</v>
      </c>
      <c r="DZ35" s="1131">
        <f t="shared" si="24"/>
        <v>850</v>
      </c>
      <c r="EA35" s="1197">
        <f t="shared" si="25"/>
        <v>1.8304583333333735E-2</v>
      </c>
      <c r="EB35" s="1240">
        <f t="shared" si="26"/>
        <v>5.4746039215686277</v>
      </c>
      <c r="EC35" s="1131">
        <f t="shared" si="27"/>
        <v>0.26621346497099552</v>
      </c>
      <c r="ED35" s="1131">
        <f t="shared" si="28"/>
        <v>-14.598497342904018</v>
      </c>
      <c r="EE35" s="1131" t="e">
        <f t="shared" si="29"/>
        <v>#VALUE!</v>
      </c>
      <c r="EF35" s="1131" t="e">
        <f t="shared" si="30"/>
        <v>#VALUE!</v>
      </c>
      <c r="EG35" s="1131" t="e">
        <f t="shared" si="31"/>
        <v>#VALUE!</v>
      </c>
      <c r="EH35" s="1131">
        <f t="shared" si="32"/>
        <v>0</v>
      </c>
      <c r="EI35" s="1131">
        <f t="shared" si="33"/>
        <v>0</v>
      </c>
      <c r="EJ35" s="1197">
        <f t="shared" si="34"/>
        <v>0</v>
      </c>
      <c r="EK35" s="1131">
        <f t="shared" si="35"/>
        <v>19.921568627451023</v>
      </c>
      <c r="EL35" s="1131">
        <f t="shared" si="36"/>
        <v>-17.689101751954894</v>
      </c>
      <c r="EM35" s="1131">
        <f t="shared" si="37"/>
        <v>-0.62190567721562484</v>
      </c>
      <c r="EN35" s="1131">
        <f t="shared" si="40"/>
        <v>1.3645411764705901</v>
      </c>
      <c r="EO35" s="1131">
        <f t="shared" si="41"/>
        <v>-440</v>
      </c>
      <c r="EP35" s="1197">
        <f t="shared" si="42"/>
        <v>-5.2067512753366234</v>
      </c>
      <c r="EQ35" s="1129">
        <f t="shared" si="43"/>
        <v>0</v>
      </c>
      <c r="ER35" s="1131">
        <f t="shared" si="44"/>
        <v>0</v>
      </c>
      <c r="ES35" s="1197">
        <f t="shared" si="45"/>
        <v>0</v>
      </c>
    </row>
    <row r="36" spans="1:149">
      <c r="A36" s="1472">
        <f>Eingabedaten!A39</f>
        <v>11.01</v>
      </c>
      <c r="B36" s="388" t="str">
        <f>Eingabedaten!C39</f>
        <v>Turnhalle</v>
      </c>
      <c r="C36" s="653"/>
      <c r="D36" s="386"/>
      <c r="E36" s="386"/>
      <c r="F36" s="1247"/>
      <c r="G36" s="1248"/>
      <c r="H36" s="1248"/>
      <c r="I36" s="1253"/>
      <c r="J36" s="1253"/>
      <c r="K36" s="1248"/>
      <c r="L36" s="1248"/>
      <c r="M36" s="1248"/>
      <c r="N36" s="1250"/>
      <c r="O36" s="1251">
        <v>0</v>
      </c>
      <c r="P36" s="1132">
        <v>0</v>
      </c>
      <c r="Q36" s="1248">
        <v>2590</v>
      </c>
      <c r="R36" s="1132">
        <v>0</v>
      </c>
      <c r="S36" s="1249">
        <v>0</v>
      </c>
      <c r="T36" s="1132">
        <v>0</v>
      </c>
      <c r="U36" s="1251"/>
      <c r="V36" s="1251">
        <v>130</v>
      </c>
      <c r="W36" s="1835">
        <v>0.85488126649076535</v>
      </c>
      <c r="X36" s="1249"/>
      <c r="Y36" s="1249">
        <v>2</v>
      </c>
      <c r="Z36" s="1249">
        <v>5.2725719949791507</v>
      </c>
      <c r="AA36" s="1249">
        <v>5.6238129154795811</v>
      </c>
      <c r="AB36" s="1132">
        <v>893</v>
      </c>
      <c r="AC36" s="1254">
        <v>5.0220649335232652</v>
      </c>
      <c r="AD36" s="1253">
        <v>3.625</v>
      </c>
      <c r="AE36" s="1132">
        <v>3070</v>
      </c>
      <c r="AF36" s="1249">
        <v>0.80837500000000007</v>
      </c>
      <c r="AG36" s="1132">
        <v>2640</v>
      </c>
      <c r="AH36" s="1198">
        <v>2.1341100000000002</v>
      </c>
      <c r="AI36" s="1251">
        <v>23.260298039215684</v>
      </c>
      <c r="AJ36" s="1132">
        <v>8.8238129154795821</v>
      </c>
      <c r="AK36" s="1132">
        <v>53.991438746438753</v>
      </c>
      <c r="AL36" s="1132" t="s">
        <v>16</v>
      </c>
      <c r="AM36" s="1132" t="s">
        <v>16</v>
      </c>
      <c r="AN36" s="1132" t="s">
        <v>16</v>
      </c>
      <c r="AO36" s="1132">
        <v>0</v>
      </c>
      <c r="AP36" s="1249">
        <v>0</v>
      </c>
      <c r="AQ36" s="1132">
        <v>0</v>
      </c>
      <c r="AR36" s="1132">
        <v>0</v>
      </c>
      <c r="AS36" s="1198">
        <v>0</v>
      </c>
      <c r="AT36" s="1198">
        <v>0</v>
      </c>
      <c r="AU36" s="1132">
        <v>333.69411764705887</v>
      </c>
      <c r="AV36" s="1132">
        <v>181.9630517557467</v>
      </c>
      <c r="AW36" s="1132">
        <v>-0.67055422366379958</v>
      </c>
      <c r="AX36" s="1249">
        <v>14.554933333333334</v>
      </c>
      <c r="AY36" s="1132">
        <v>1650</v>
      </c>
      <c r="AZ36" s="1253">
        <v>1.3678367579908675</v>
      </c>
      <c r="BA36" s="1254">
        <v>24.031142924194953</v>
      </c>
      <c r="BB36" s="1248"/>
      <c r="BC36" s="1132"/>
      <c r="BD36" s="1254">
        <v>63.48006246575342</v>
      </c>
      <c r="BG36" s="653"/>
      <c r="BH36" s="386"/>
      <c r="BI36" s="386"/>
      <c r="BJ36" s="1247"/>
      <c r="BK36" s="1248"/>
      <c r="BL36" s="1248"/>
      <c r="BM36" s="1253"/>
      <c r="BN36" s="1248"/>
      <c r="BO36" s="1248"/>
      <c r="BP36" s="1250"/>
      <c r="BQ36" s="1251">
        <v>0</v>
      </c>
      <c r="BR36" s="1248">
        <v>4270</v>
      </c>
      <c r="BS36" s="1132">
        <v>0</v>
      </c>
      <c r="BT36" s="1252"/>
      <c r="BU36" s="1249"/>
      <c r="BV36" s="1132">
        <v>59.8</v>
      </c>
      <c r="BW36" s="1249">
        <v>0.85488126649076535</v>
      </c>
      <c r="BX36" s="1249">
        <v>7.3354081506255406</v>
      </c>
      <c r="BY36" s="1249">
        <v>0</v>
      </c>
      <c r="BZ36" s="1249">
        <v>7.3354081506255406</v>
      </c>
      <c r="CA36" s="1132">
        <v>1160</v>
      </c>
      <c r="CB36" s="1132">
        <v>0</v>
      </c>
      <c r="CC36" s="1198">
        <v>8.5090734547256268</v>
      </c>
      <c r="CD36" s="1249">
        <v>4.5</v>
      </c>
      <c r="CE36" s="1249">
        <v>1.0035000000000001</v>
      </c>
      <c r="CF36" s="1132">
        <v>2470</v>
      </c>
      <c r="CG36" s="1198">
        <v>2.4786449999999998</v>
      </c>
      <c r="CH36" s="1251">
        <v>10.48764705882353</v>
      </c>
      <c r="CI36" s="1132">
        <v>13.33540815062554</v>
      </c>
      <c r="CJ36" s="1132">
        <v>95.011138365978539</v>
      </c>
      <c r="CK36" s="1132" t="s">
        <v>16</v>
      </c>
      <c r="CL36" s="1132" t="s">
        <v>16</v>
      </c>
      <c r="CM36" s="1132" t="s">
        <v>16</v>
      </c>
      <c r="CN36" s="1132">
        <v>0</v>
      </c>
      <c r="CO36" s="1132">
        <v>0</v>
      </c>
      <c r="CP36" s="1198">
        <v>0</v>
      </c>
      <c r="CQ36" s="1132">
        <v>419.01176470588234</v>
      </c>
      <c r="CR36" s="1132">
        <v>144.91239892183287</v>
      </c>
      <c r="CS36" s="1132">
        <v>-1</v>
      </c>
      <c r="CT36" s="1132">
        <v>18.855529411764703</v>
      </c>
      <c r="CU36" s="1132">
        <v>780</v>
      </c>
      <c r="CV36" s="1198">
        <v>14.67737068312597</v>
      </c>
      <c r="CW36" s="1248"/>
      <c r="CX36" s="1132"/>
      <c r="CY36" s="1198">
        <v>52.900052054794521</v>
      </c>
      <c r="DA36" s="653">
        <f t="shared" si="0"/>
        <v>0</v>
      </c>
      <c r="DB36" s="386">
        <f t="shared" si="1"/>
        <v>0</v>
      </c>
      <c r="DC36" s="386">
        <f t="shared" si="2"/>
        <v>0</v>
      </c>
      <c r="DD36" s="1247">
        <f t="shared" si="3"/>
        <v>0</v>
      </c>
      <c r="DE36" s="1248">
        <f t="shared" si="4"/>
        <v>0</v>
      </c>
      <c r="DF36" s="1248">
        <f t="shared" si="5"/>
        <v>0</v>
      </c>
      <c r="DG36" s="1253">
        <f t="shared" si="6"/>
        <v>0</v>
      </c>
      <c r="DH36" s="1248">
        <f t="shared" si="7"/>
        <v>0</v>
      </c>
      <c r="DI36" s="1248">
        <f t="shared" si="8"/>
        <v>0</v>
      </c>
      <c r="DJ36" s="1250">
        <f t="shared" si="9"/>
        <v>0</v>
      </c>
      <c r="DK36" s="1251">
        <f t="shared" si="10"/>
        <v>0</v>
      </c>
      <c r="DL36" s="1248">
        <f t="shared" si="11"/>
        <v>-1680</v>
      </c>
      <c r="DM36" s="1132">
        <f t="shared" si="12"/>
        <v>0</v>
      </c>
      <c r="DN36" s="1252">
        <f t="shared" si="13"/>
        <v>0</v>
      </c>
      <c r="DO36" s="1249">
        <f t="shared" si="14"/>
        <v>130</v>
      </c>
      <c r="DP36" s="1132">
        <f t="shared" si="15"/>
        <v>-58.945118733509233</v>
      </c>
      <c r="DQ36" s="1249">
        <f t="shared" si="16"/>
        <v>-0.85488126649076535</v>
      </c>
      <c r="DR36" s="1249">
        <f t="shared" si="17"/>
        <v>-5.3354081506255406</v>
      </c>
      <c r="DS36" s="1249">
        <f t="shared" si="18"/>
        <v>5.2725719949791507</v>
      </c>
      <c r="DT36" s="1249">
        <f t="shared" si="19"/>
        <v>-1.7115952351459596</v>
      </c>
      <c r="DU36" s="1132">
        <f t="shared" si="20"/>
        <v>-267</v>
      </c>
      <c r="DV36" s="1132" t="e">
        <f>#REF!-CB36</f>
        <v>#REF!</v>
      </c>
      <c r="DW36" s="1198">
        <f t="shared" si="21"/>
        <v>-3.4870085212023616</v>
      </c>
      <c r="DX36" s="1249">
        <f t="shared" si="22"/>
        <v>-0.875</v>
      </c>
      <c r="DY36" s="1249">
        <f t="shared" si="23"/>
        <v>-0.19512499999999999</v>
      </c>
      <c r="DZ36" s="1132">
        <f t="shared" si="24"/>
        <v>170</v>
      </c>
      <c r="EA36" s="1198">
        <f t="shared" si="25"/>
        <v>-0.34453499999999959</v>
      </c>
      <c r="EB36" s="1251">
        <f t="shared" si="26"/>
        <v>12.772650980392154</v>
      </c>
      <c r="EC36" s="1132">
        <f t="shared" si="27"/>
        <v>-4.5115952351459576</v>
      </c>
      <c r="ED36" s="1132">
        <f t="shared" si="28"/>
        <v>-41.019699619539786</v>
      </c>
      <c r="EE36" s="1132" t="e">
        <f t="shared" si="29"/>
        <v>#VALUE!</v>
      </c>
      <c r="EF36" s="1132" t="e">
        <f t="shared" si="30"/>
        <v>#VALUE!</v>
      </c>
      <c r="EG36" s="1132" t="e">
        <f t="shared" si="31"/>
        <v>#VALUE!</v>
      </c>
      <c r="EH36" s="1132">
        <f t="shared" si="32"/>
        <v>0</v>
      </c>
      <c r="EI36" s="1132">
        <f t="shared" si="33"/>
        <v>0</v>
      </c>
      <c r="EJ36" s="1198">
        <f t="shared" si="34"/>
        <v>0</v>
      </c>
      <c r="EK36" s="1132">
        <f t="shared" si="35"/>
        <v>-85.317647058823468</v>
      </c>
      <c r="EL36" s="1132">
        <f t="shared" si="36"/>
        <v>37.05065283391383</v>
      </c>
      <c r="EM36" s="1132">
        <f t="shared" si="37"/>
        <v>0.32944577633620042</v>
      </c>
      <c r="EN36" s="1132">
        <f t="shared" si="40"/>
        <v>-4.3005960784313686</v>
      </c>
      <c r="EO36" s="1132">
        <f t="shared" si="41"/>
        <v>870</v>
      </c>
      <c r="EP36" s="1198">
        <f t="shared" si="42"/>
        <v>9.3537722410689828</v>
      </c>
      <c r="EQ36" s="1248">
        <f t="shared" si="43"/>
        <v>0</v>
      </c>
      <c r="ER36" s="1132">
        <f t="shared" si="44"/>
        <v>0</v>
      </c>
      <c r="ES36" s="1198">
        <f t="shared" si="45"/>
        <v>10.580010410958899</v>
      </c>
    </row>
    <row r="37" spans="1:149">
      <c r="A37" s="634">
        <f>Eingabedaten!A40</f>
        <v>11.02</v>
      </c>
      <c r="B37" s="463" t="str">
        <f>Eingabedaten!C40</f>
        <v>Fitnessraum</v>
      </c>
      <c r="C37" s="637"/>
      <c r="D37" s="379"/>
      <c r="E37" s="379"/>
      <c r="F37" s="1238"/>
      <c r="G37" s="1129"/>
      <c r="H37" s="1129"/>
      <c r="I37" s="1129"/>
      <c r="J37" s="1129"/>
      <c r="K37" s="1129"/>
      <c r="L37" s="1129"/>
      <c r="M37" s="1129"/>
      <c r="N37" s="1237"/>
      <c r="O37" s="1240">
        <v>1</v>
      </c>
      <c r="P37" s="1131">
        <v>0</v>
      </c>
      <c r="Q37" s="1129">
        <v>3410</v>
      </c>
      <c r="R37" s="1131">
        <v>3.41</v>
      </c>
      <c r="S37" s="1239">
        <v>3.41</v>
      </c>
      <c r="T37" s="1131">
        <v>0</v>
      </c>
      <c r="U37" s="1240"/>
      <c r="V37" s="1240">
        <v>130</v>
      </c>
      <c r="W37" s="1834">
        <v>0.9050279329608939</v>
      </c>
      <c r="X37" s="1239"/>
      <c r="Y37" s="1239">
        <v>2</v>
      </c>
      <c r="Z37" s="1239">
        <v>5.6576161953124684</v>
      </c>
      <c r="AA37" s="1239">
        <v>3.1873219373219368</v>
      </c>
      <c r="AB37" s="1131">
        <v>1270</v>
      </c>
      <c r="AC37" s="1243">
        <v>4.0478988603988597</v>
      </c>
      <c r="AD37" s="1242">
        <v>7.25</v>
      </c>
      <c r="AE37" s="1131">
        <v>4020</v>
      </c>
      <c r="AF37" s="1239">
        <v>2.4650000000000003</v>
      </c>
      <c r="AG37" s="1131">
        <v>3460</v>
      </c>
      <c r="AH37" s="1197">
        <v>8.5289000000000019</v>
      </c>
      <c r="AI37" s="1240">
        <v>13.782795294117644</v>
      </c>
      <c r="AJ37" s="1131">
        <v>10.587321937321937</v>
      </c>
      <c r="AK37" s="1131">
        <v>97.001965811965832</v>
      </c>
      <c r="AL37" s="1131" t="s">
        <v>1317</v>
      </c>
      <c r="AM37" s="1131" t="s">
        <v>1317</v>
      </c>
      <c r="AN37" s="1131" t="s">
        <v>527</v>
      </c>
      <c r="AO37" s="1131">
        <v>17.059082062007704</v>
      </c>
      <c r="AP37" s="1239">
        <v>21.157991372549017</v>
      </c>
      <c r="AQ37" s="1131">
        <v>21.157991372549017</v>
      </c>
      <c r="AR37" s="1131">
        <v>60</v>
      </c>
      <c r="AS37" s="1243">
        <v>1.2699722726479281</v>
      </c>
      <c r="AT37" s="1197">
        <v>0</v>
      </c>
      <c r="AU37" s="1131">
        <v>49.541647058823528</v>
      </c>
      <c r="AV37" s="1131">
        <v>286.88589992020974</v>
      </c>
      <c r="AW37" s="1131">
        <v>0</v>
      </c>
      <c r="AX37" s="1239">
        <v>8.7729999999999997</v>
      </c>
      <c r="AY37" s="1131">
        <v>1220</v>
      </c>
      <c r="AZ37" s="1242">
        <v>0.96455479452054793</v>
      </c>
      <c r="BA37" s="1243">
        <v>10.668333904630339</v>
      </c>
      <c r="BB37" s="1129"/>
      <c r="BC37" s="1131"/>
      <c r="BD37" s="1243">
        <v>87.139200000000017</v>
      </c>
      <c r="BG37" s="637"/>
      <c r="BH37" s="379"/>
      <c r="BI37" s="379"/>
      <c r="BJ37" s="1238"/>
      <c r="BK37" s="1129"/>
      <c r="BL37" s="1129"/>
      <c r="BM37" s="1129"/>
      <c r="BN37" s="1129"/>
      <c r="BO37" s="1129"/>
      <c r="BP37" s="1237"/>
      <c r="BQ37" s="1240">
        <v>1</v>
      </c>
      <c r="BR37" s="1129">
        <v>5710</v>
      </c>
      <c r="BS37" s="1131">
        <v>5.71</v>
      </c>
      <c r="BT37" s="1241"/>
      <c r="BU37" s="1239"/>
      <c r="BV37" s="1131">
        <v>59.8</v>
      </c>
      <c r="BW37" s="1239">
        <v>0.9050279329608939</v>
      </c>
      <c r="BX37" s="1239">
        <v>6.9289607333085597</v>
      </c>
      <c r="BY37" s="1239">
        <v>0</v>
      </c>
      <c r="BZ37" s="1239">
        <v>6.9289607333085597</v>
      </c>
      <c r="CA37" s="1131">
        <v>2060</v>
      </c>
      <c r="CB37" s="1131">
        <v>0</v>
      </c>
      <c r="CC37" s="1197">
        <v>14.273659110615633</v>
      </c>
      <c r="CD37" s="1239">
        <v>9</v>
      </c>
      <c r="CE37" s="1239">
        <v>3.06</v>
      </c>
      <c r="CF37" s="1131">
        <v>2800</v>
      </c>
      <c r="CG37" s="1197">
        <v>8.5679999999999996</v>
      </c>
      <c r="CH37" s="1240">
        <v>12.852823529411765</v>
      </c>
      <c r="CI37" s="1131">
        <v>19.928960733308561</v>
      </c>
      <c r="CJ37" s="1131">
        <v>205.26255002109636</v>
      </c>
      <c r="CK37" s="1131" t="s">
        <v>528</v>
      </c>
      <c r="CL37" s="1131" t="s">
        <v>528</v>
      </c>
      <c r="CM37" s="1131" t="s">
        <v>528</v>
      </c>
      <c r="CN37" s="1131">
        <v>15</v>
      </c>
      <c r="CO37" s="1131">
        <v>870</v>
      </c>
      <c r="CP37" s="1197">
        <v>12.987430555555555</v>
      </c>
      <c r="CQ37" s="1131">
        <v>128.67952941176469</v>
      </c>
      <c r="CR37" s="1131">
        <v>110.45113441874756</v>
      </c>
      <c r="CS37" s="1131">
        <v>-1</v>
      </c>
      <c r="CT37" s="1131">
        <v>24.127411764705879</v>
      </c>
      <c r="CU37" s="1131">
        <v>530</v>
      </c>
      <c r="CV37" s="1197">
        <v>12.813368437857708</v>
      </c>
      <c r="CW37" s="1129"/>
      <c r="CX37" s="1131"/>
      <c r="CY37" s="1197">
        <v>87.139200000000017</v>
      </c>
      <c r="DA37" s="637">
        <f t="shared" si="0"/>
        <v>0</v>
      </c>
      <c r="DB37" s="379">
        <f t="shared" si="1"/>
        <v>0</v>
      </c>
      <c r="DC37" s="379">
        <f t="shared" si="2"/>
        <v>0</v>
      </c>
      <c r="DD37" s="1238">
        <f t="shared" si="3"/>
        <v>0</v>
      </c>
      <c r="DE37" s="1129">
        <f t="shared" si="4"/>
        <v>0</v>
      </c>
      <c r="DF37" s="1129">
        <f t="shared" si="5"/>
        <v>0</v>
      </c>
      <c r="DG37" s="1129">
        <f t="shared" si="6"/>
        <v>0</v>
      </c>
      <c r="DH37" s="1129">
        <f t="shared" si="7"/>
        <v>0</v>
      </c>
      <c r="DI37" s="1129">
        <f t="shared" si="8"/>
        <v>0</v>
      </c>
      <c r="DJ37" s="1237">
        <f t="shared" si="9"/>
        <v>0</v>
      </c>
      <c r="DK37" s="1240">
        <f t="shared" si="10"/>
        <v>0</v>
      </c>
      <c r="DL37" s="1129">
        <f t="shared" si="11"/>
        <v>-2300</v>
      </c>
      <c r="DM37" s="1131">
        <f t="shared" si="12"/>
        <v>-2.2999999999999998</v>
      </c>
      <c r="DN37" s="1241">
        <f t="shared" si="13"/>
        <v>0</v>
      </c>
      <c r="DO37" s="1239">
        <f t="shared" si="14"/>
        <v>130</v>
      </c>
      <c r="DP37" s="1131">
        <f t="shared" si="15"/>
        <v>-58.894972067039106</v>
      </c>
      <c r="DQ37" s="1239">
        <f t="shared" si="16"/>
        <v>-0.9050279329608939</v>
      </c>
      <c r="DR37" s="1239">
        <f t="shared" si="17"/>
        <v>-4.9289607333085597</v>
      </c>
      <c r="DS37" s="1239">
        <f t="shared" si="18"/>
        <v>5.6576161953124684</v>
      </c>
      <c r="DT37" s="1239">
        <f t="shared" si="19"/>
        <v>-3.7416387959866229</v>
      </c>
      <c r="DU37" s="1131">
        <f t="shared" si="20"/>
        <v>-790</v>
      </c>
      <c r="DV37" s="1131" t="e">
        <f>#REF!-CB37</f>
        <v>#REF!</v>
      </c>
      <c r="DW37" s="1197">
        <f t="shared" si="21"/>
        <v>-10.225760250216773</v>
      </c>
      <c r="DX37" s="1239">
        <f t="shared" si="22"/>
        <v>-1.75</v>
      </c>
      <c r="DY37" s="1239">
        <f t="shared" si="23"/>
        <v>-0.59499999999999975</v>
      </c>
      <c r="DZ37" s="1131">
        <f t="shared" si="24"/>
        <v>660</v>
      </c>
      <c r="EA37" s="1197">
        <f t="shared" si="25"/>
        <v>-3.9099999999997692E-2</v>
      </c>
      <c r="EB37" s="1240">
        <f t="shared" si="26"/>
        <v>0.92997176470587917</v>
      </c>
      <c r="EC37" s="1131">
        <f t="shared" si="27"/>
        <v>-9.3416387959866238</v>
      </c>
      <c r="ED37" s="1131">
        <f t="shared" si="28"/>
        <v>-108.26058420913053</v>
      </c>
      <c r="EE37" s="1131" t="e">
        <f t="shared" si="29"/>
        <v>#VALUE!</v>
      </c>
      <c r="EF37" s="1131" t="e">
        <f t="shared" si="30"/>
        <v>#VALUE!</v>
      </c>
      <c r="EG37" s="1131" t="e">
        <f t="shared" si="31"/>
        <v>#VALUE!</v>
      </c>
      <c r="EH37" s="1131">
        <f t="shared" si="32"/>
        <v>6.1579913725490165</v>
      </c>
      <c r="EI37" s="1131">
        <f t="shared" si="33"/>
        <v>-810</v>
      </c>
      <c r="EJ37" s="1197">
        <f t="shared" si="34"/>
        <v>-12.987430555555555</v>
      </c>
      <c r="EK37" s="1131">
        <f t="shared" si="35"/>
        <v>-79.137882352941162</v>
      </c>
      <c r="EL37" s="1131">
        <f t="shared" si="36"/>
        <v>176.43476550146218</v>
      </c>
      <c r="EM37" s="1131">
        <f t="shared" si="37"/>
        <v>1</v>
      </c>
      <c r="EN37" s="1131">
        <f t="shared" si="40"/>
        <v>-15.35441176470588</v>
      </c>
      <c r="EO37" s="1131">
        <f t="shared" si="41"/>
        <v>690</v>
      </c>
      <c r="EP37" s="1197">
        <f t="shared" si="42"/>
        <v>-2.1450345332273688</v>
      </c>
      <c r="EQ37" s="1129">
        <f t="shared" si="43"/>
        <v>0</v>
      </c>
      <c r="ER37" s="1131">
        <f t="shared" si="44"/>
        <v>0</v>
      </c>
      <c r="ES37" s="1197">
        <f t="shared" si="45"/>
        <v>0</v>
      </c>
    </row>
    <row r="38" spans="1:149">
      <c r="A38" s="638">
        <f>Eingabedaten!A41</f>
        <v>11.03</v>
      </c>
      <c r="B38" s="592" t="str">
        <f>Eingabedaten!C41</f>
        <v>Schwimmhalle</v>
      </c>
      <c r="C38" s="654"/>
      <c r="D38" s="387"/>
      <c r="E38" s="387"/>
      <c r="F38" s="1227"/>
      <c r="G38" s="1130"/>
      <c r="H38" s="1130"/>
      <c r="I38" s="1130"/>
      <c r="J38" s="1130"/>
      <c r="K38" s="1130"/>
      <c r="L38" s="1130"/>
      <c r="M38" s="1130"/>
      <c r="N38" s="1229"/>
      <c r="O38" s="1255">
        <v>2</v>
      </c>
      <c r="P38" s="1133">
        <v>50</v>
      </c>
      <c r="Q38" s="1130">
        <v>3410</v>
      </c>
      <c r="R38" s="1133">
        <v>6.82</v>
      </c>
      <c r="S38" s="1228">
        <v>6.82</v>
      </c>
      <c r="T38" s="1133">
        <v>170.5</v>
      </c>
      <c r="U38" s="1255"/>
      <c r="V38" s="1255">
        <v>130</v>
      </c>
      <c r="W38" s="1836">
        <v>0.79646017699115046</v>
      </c>
      <c r="X38" s="1228"/>
      <c r="Y38" s="1228">
        <v>2</v>
      </c>
      <c r="Z38" s="1228">
        <v>2.9976641693173289</v>
      </c>
      <c r="AA38" s="1228">
        <v>3.6217948717948718</v>
      </c>
      <c r="AB38" s="1133">
        <v>967</v>
      </c>
      <c r="AC38" s="1196">
        <v>3.502275641025641</v>
      </c>
      <c r="AD38" s="1257">
        <v>4.8333333333333339</v>
      </c>
      <c r="AE38" s="1133">
        <v>4020</v>
      </c>
      <c r="AF38" s="1228">
        <v>1.6433333333333338</v>
      </c>
      <c r="AG38" s="1133">
        <v>3460</v>
      </c>
      <c r="AH38" s="1199">
        <v>5.6859333333333355</v>
      </c>
      <c r="AI38" s="1255">
        <v>17.741717647058827</v>
      </c>
      <c r="AJ38" s="1133">
        <v>12.721794871794872</v>
      </c>
      <c r="AK38" s="1133">
        <v>119.6253846153846</v>
      </c>
      <c r="AL38" s="1133" t="s">
        <v>16</v>
      </c>
      <c r="AM38" s="1133" t="s">
        <v>16</v>
      </c>
      <c r="AN38" s="1133" t="s">
        <v>16</v>
      </c>
      <c r="AO38" s="1133">
        <v>0</v>
      </c>
      <c r="AP38" s="1228">
        <v>0</v>
      </c>
      <c r="AQ38" s="1133">
        <v>0</v>
      </c>
      <c r="AR38" s="1133">
        <v>0</v>
      </c>
      <c r="AS38" s="1199">
        <v>0</v>
      </c>
      <c r="AT38" s="1199">
        <v>0</v>
      </c>
      <c r="AU38" s="1133">
        <v>228.50196078431378</v>
      </c>
      <c r="AV38" s="1133">
        <v>185.206288185625</v>
      </c>
      <c r="AW38" s="1133">
        <v>-0.62190567721562484</v>
      </c>
      <c r="AX38" s="1228">
        <v>18.349796078431375</v>
      </c>
      <c r="AY38" s="1133">
        <v>1480</v>
      </c>
      <c r="AZ38" s="1257">
        <v>0.6873002283105023</v>
      </c>
      <c r="BA38" s="1196">
        <v>27.214400829162148</v>
      </c>
      <c r="BB38" s="1130"/>
      <c r="BC38" s="1133"/>
      <c r="BD38" s="1196">
        <v>145.23200000000006</v>
      </c>
      <c r="BG38" s="654"/>
      <c r="BH38" s="387"/>
      <c r="BI38" s="387"/>
      <c r="BJ38" s="1227"/>
      <c r="BK38" s="1130"/>
      <c r="BL38" s="1130"/>
      <c r="BM38" s="1130"/>
      <c r="BN38" s="1130"/>
      <c r="BO38" s="1130"/>
      <c r="BP38" s="1229"/>
      <c r="BQ38" s="1255">
        <v>1</v>
      </c>
      <c r="BR38" s="1130">
        <v>5710</v>
      </c>
      <c r="BS38" s="1133">
        <v>5.71</v>
      </c>
      <c r="BT38" s="1256"/>
      <c r="BU38" s="1228"/>
      <c r="BV38" s="1133">
        <v>59.8</v>
      </c>
      <c r="BW38" s="1228">
        <v>0.79646017699115046</v>
      </c>
      <c r="BX38" s="1228">
        <v>7.8734671125975471</v>
      </c>
      <c r="BY38" s="1228">
        <v>0</v>
      </c>
      <c r="BZ38" s="1228">
        <v>7.8734671125975471</v>
      </c>
      <c r="CA38" s="1133">
        <v>1590</v>
      </c>
      <c r="CB38" s="1133">
        <v>0</v>
      </c>
      <c r="CC38" s="1199">
        <v>12.518812709030101</v>
      </c>
      <c r="CD38" s="1228">
        <v>3.6</v>
      </c>
      <c r="CE38" s="1228">
        <v>1.2240000000000002</v>
      </c>
      <c r="CF38" s="1133">
        <v>3370</v>
      </c>
      <c r="CG38" s="1199">
        <v>4.124880000000001</v>
      </c>
      <c r="CH38" s="1255">
        <v>11.799349019607845</v>
      </c>
      <c r="CI38" s="1133">
        <v>15.873467112597547</v>
      </c>
      <c r="CJ38" s="1133">
        <v>130.87506883187353</v>
      </c>
      <c r="CK38" s="1133" t="s">
        <v>16</v>
      </c>
      <c r="CL38" s="1133" t="s">
        <v>16</v>
      </c>
      <c r="CM38" s="1133" t="s">
        <v>16</v>
      </c>
      <c r="CN38" s="1133">
        <v>0</v>
      </c>
      <c r="CO38" s="1133">
        <v>0</v>
      </c>
      <c r="CP38" s="1199">
        <v>1.536675</v>
      </c>
      <c r="CQ38" s="1133">
        <v>262.34039215686278</v>
      </c>
      <c r="CR38" s="1133">
        <v>161.31713325600026</v>
      </c>
      <c r="CS38" s="1133">
        <v>-1</v>
      </c>
      <c r="CT38" s="1133">
        <v>21.643082352941178</v>
      </c>
      <c r="CU38" s="1133">
        <v>1210</v>
      </c>
      <c r="CV38" s="1199">
        <v>26.218504952039691</v>
      </c>
      <c r="CW38" s="1130"/>
      <c r="CX38" s="1133"/>
      <c r="CY38" s="1199">
        <v>174.27840000000003</v>
      </c>
      <c r="DA38" s="654">
        <f t="shared" si="0"/>
        <v>0</v>
      </c>
      <c r="DB38" s="387">
        <f t="shared" si="1"/>
        <v>0</v>
      </c>
      <c r="DC38" s="387">
        <f t="shared" si="2"/>
        <v>0</v>
      </c>
      <c r="DD38" s="1227">
        <f t="shared" si="3"/>
        <v>0</v>
      </c>
      <c r="DE38" s="1130">
        <f t="shared" si="4"/>
        <v>0</v>
      </c>
      <c r="DF38" s="1130">
        <f t="shared" si="5"/>
        <v>0</v>
      </c>
      <c r="DG38" s="1130">
        <f t="shared" si="6"/>
        <v>0</v>
      </c>
      <c r="DH38" s="1130">
        <f t="shared" si="7"/>
        <v>0</v>
      </c>
      <c r="DI38" s="1130">
        <f t="shared" si="8"/>
        <v>0</v>
      </c>
      <c r="DJ38" s="1229">
        <f t="shared" si="9"/>
        <v>0</v>
      </c>
      <c r="DK38" s="1255">
        <f t="shared" si="10"/>
        <v>1</v>
      </c>
      <c r="DL38" s="1130">
        <f t="shared" si="11"/>
        <v>-2300</v>
      </c>
      <c r="DM38" s="1133">
        <f t="shared" si="12"/>
        <v>1.1100000000000003</v>
      </c>
      <c r="DN38" s="1256">
        <f t="shared" si="13"/>
        <v>0</v>
      </c>
      <c r="DO38" s="1228">
        <f t="shared" si="14"/>
        <v>130</v>
      </c>
      <c r="DP38" s="1133">
        <f t="shared" si="15"/>
        <v>-59.003539823008843</v>
      </c>
      <c r="DQ38" s="1228">
        <f t="shared" si="16"/>
        <v>-0.79646017699115046</v>
      </c>
      <c r="DR38" s="1228">
        <f t="shared" si="17"/>
        <v>-5.8734671125975471</v>
      </c>
      <c r="DS38" s="1228">
        <f t="shared" si="18"/>
        <v>2.9976641693173289</v>
      </c>
      <c r="DT38" s="1228">
        <f t="shared" si="19"/>
        <v>-4.2516722408026748</v>
      </c>
      <c r="DU38" s="1133">
        <f t="shared" si="20"/>
        <v>-623</v>
      </c>
      <c r="DV38" s="1133" t="e">
        <f>#REF!-CB38</f>
        <v>#REF!</v>
      </c>
      <c r="DW38" s="1199">
        <f t="shared" si="21"/>
        <v>-9.0165370680044603</v>
      </c>
      <c r="DX38" s="1228">
        <f t="shared" si="22"/>
        <v>1.2333333333333338</v>
      </c>
      <c r="DY38" s="1228">
        <f t="shared" si="23"/>
        <v>0.41933333333333356</v>
      </c>
      <c r="DZ38" s="1133">
        <f t="shared" si="24"/>
        <v>90</v>
      </c>
      <c r="EA38" s="1199">
        <f t="shared" si="25"/>
        <v>1.5610533333333345</v>
      </c>
      <c r="EB38" s="1255">
        <f t="shared" si="26"/>
        <v>5.9423686274509819</v>
      </c>
      <c r="EC38" s="1133">
        <f t="shared" si="27"/>
        <v>-3.1516722408026752</v>
      </c>
      <c r="ED38" s="1133">
        <f t="shared" si="28"/>
        <v>-11.24968421648893</v>
      </c>
      <c r="EE38" s="1133" t="e">
        <f t="shared" si="29"/>
        <v>#VALUE!</v>
      </c>
      <c r="EF38" s="1133" t="e">
        <f t="shared" si="30"/>
        <v>#VALUE!</v>
      </c>
      <c r="EG38" s="1133" t="e">
        <f t="shared" si="31"/>
        <v>#VALUE!</v>
      </c>
      <c r="EH38" s="1133">
        <f t="shared" si="32"/>
        <v>0</v>
      </c>
      <c r="EI38" s="1133">
        <f t="shared" si="33"/>
        <v>0</v>
      </c>
      <c r="EJ38" s="1199">
        <f t="shared" si="34"/>
        <v>-1.536675</v>
      </c>
      <c r="EK38" s="1133">
        <f t="shared" si="35"/>
        <v>-33.838431372548996</v>
      </c>
      <c r="EL38" s="1133">
        <f t="shared" si="36"/>
        <v>23.889154929624738</v>
      </c>
      <c r="EM38" s="1133">
        <f t="shared" si="37"/>
        <v>0.37809432278437516</v>
      </c>
      <c r="EN38" s="1133">
        <f t="shared" si="40"/>
        <v>-3.2932862745098035</v>
      </c>
      <c r="EO38" s="1133">
        <f t="shared" si="41"/>
        <v>270</v>
      </c>
      <c r="EP38" s="1199">
        <f t="shared" si="42"/>
        <v>0.99589587712245731</v>
      </c>
      <c r="EQ38" s="1130">
        <f t="shared" si="43"/>
        <v>0</v>
      </c>
      <c r="ER38" s="1133">
        <f t="shared" si="44"/>
        <v>0</v>
      </c>
      <c r="ES38" s="1199">
        <f t="shared" si="45"/>
        <v>-29.046399999999977</v>
      </c>
    </row>
    <row r="39" spans="1:149">
      <c r="A39" s="1472">
        <f>Eingabedaten!A42</f>
        <v>12.01</v>
      </c>
      <c r="B39" s="388" t="str">
        <f>Eingabedaten!C42</f>
        <v>Verkehrsfläche</v>
      </c>
      <c r="C39" s="653"/>
      <c r="D39" s="386"/>
      <c r="E39" s="386"/>
      <c r="F39" s="1247"/>
      <c r="G39" s="1248"/>
      <c r="H39" s="1248"/>
      <c r="I39" s="1248"/>
      <c r="J39" s="1248"/>
      <c r="K39" s="1248"/>
      <c r="L39" s="1248"/>
      <c r="M39" s="1248"/>
      <c r="N39" s="1250"/>
      <c r="O39" s="1251">
        <v>0</v>
      </c>
      <c r="P39" s="1132">
        <v>0</v>
      </c>
      <c r="Q39" s="1248">
        <v>0</v>
      </c>
      <c r="R39" s="1132">
        <v>0</v>
      </c>
      <c r="S39" s="1249">
        <v>0</v>
      </c>
      <c r="T39" s="1132">
        <v>0</v>
      </c>
      <c r="U39" s="1251"/>
      <c r="V39" s="1251">
        <v>130</v>
      </c>
      <c r="W39" s="1835">
        <v>0.54655870445344124</v>
      </c>
      <c r="X39" s="1249"/>
      <c r="Y39" s="1249">
        <v>2.4000000000000004</v>
      </c>
      <c r="Z39" s="1249">
        <v>2.4000000000000004</v>
      </c>
      <c r="AA39" s="1249">
        <v>1.7592592592592593</v>
      </c>
      <c r="AB39" s="1132">
        <v>257</v>
      </c>
      <c r="AC39" s="1254">
        <v>0.4521296296296296</v>
      </c>
      <c r="AD39" s="1253">
        <v>0.5</v>
      </c>
      <c r="AE39" s="1132">
        <v>2950</v>
      </c>
      <c r="AF39" s="1249">
        <v>0.17</v>
      </c>
      <c r="AG39" s="1132">
        <v>1610</v>
      </c>
      <c r="AH39" s="1198">
        <v>0.27370000000000005</v>
      </c>
      <c r="AI39" s="1251">
        <v>30.897407623529418</v>
      </c>
      <c r="AJ39" s="1132">
        <v>1.7592592592592593</v>
      </c>
      <c r="AK39" s="1132">
        <v>0</v>
      </c>
      <c r="AL39" s="1132" t="s">
        <v>16</v>
      </c>
      <c r="AM39" s="1132" t="s">
        <v>16</v>
      </c>
      <c r="AN39" s="1132" t="s">
        <v>16</v>
      </c>
      <c r="AO39" s="1132">
        <v>0</v>
      </c>
      <c r="AP39" s="1249">
        <v>0</v>
      </c>
      <c r="AQ39" s="1132">
        <v>0</v>
      </c>
      <c r="AR39" s="1132">
        <v>0</v>
      </c>
      <c r="AS39" s="1198">
        <v>0</v>
      </c>
      <c r="AT39" s="1198">
        <v>0</v>
      </c>
      <c r="AU39" s="1132">
        <v>11.305882352941177</v>
      </c>
      <c r="AV39" s="1132">
        <v>222.53902185223723</v>
      </c>
      <c r="AW39" s="1132">
        <v>-6.1914672216441424E-2</v>
      </c>
      <c r="AX39" s="1249">
        <v>16.145882352941179</v>
      </c>
      <c r="AY39" s="1132">
        <v>760</v>
      </c>
      <c r="AZ39" s="1253">
        <v>0.17946632420091324</v>
      </c>
      <c r="BA39" s="1254">
        <v>12.279819926368052</v>
      </c>
      <c r="BB39" s="1248"/>
      <c r="BC39" s="1132"/>
      <c r="BD39" s="1198">
        <v>0</v>
      </c>
      <c r="BG39" s="653"/>
      <c r="BH39" s="386"/>
      <c r="BI39" s="386"/>
      <c r="BJ39" s="1247"/>
      <c r="BK39" s="1248"/>
      <c r="BL39" s="1248"/>
      <c r="BM39" s="1248"/>
      <c r="BN39" s="1248"/>
      <c r="BO39" s="1248"/>
      <c r="BP39" s="1250"/>
      <c r="BQ39" s="1251">
        <v>0</v>
      </c>
      <c r="BR39" s="1248">
        <v>0</v>
      </c>
      <c r="BS39" s="1132">
        <v>0</v>
      </c>
      <c r="BT39" s="1252"/>
      <c r="BU39" s="1249"/>
      <c r="BV39" s="1132">
        <v>49.8</v>
      </c>
      <c r="BW39" s="1249">
        <v>0.54655870445344124</v>
      </c>
      <c r="BX39" s="1249">
        <v>4.5924438494719624</v>
      </c>
      <c r="BY39" s="1249">
        <v>0</v>
      </c>
      <c r="BZ39" s="1249">
        <v>4.5924438494719624</v>
      </c>
      <c r="CA39" s="1132">
        <v>1000</v>
      </c>
      <c r="CB39" s="1132">
        <v>0</v>
      </c>
      <c r="CC39" s="1198">
        <v>4.5924438494719624</v>
      </c>
      <c r="CD39" s="1249">
        <v>2</v>
      </c>
      <c r="CE39" s="1249">
        <v>0.68</v>
      </c>
      <c r="CF39" s="1132">
        <v>1100</v>
      </c>
      <c r="CG39" s="1198">
        <v>0.748</v>
      </c>
      <c r="CH39" s="1251">
        <v>4.4947058823529416</v>
      </c>
      <c r="CI39" s="1132">
        <v>4.5924438494719624</v>
      </c>
      <c r="CJ39" s="1132">
        <v>11.792333822304753</v>
      </c>
      <c r="CK39" s="1132" t="s">
        <v>16</v>
      </c>
      <c r="CL39" s="1132" t="s">
        <v>16</v>
      </c>
      <c r="CM39" s="1132" t="s">
        <v>16</v>
      </c>
      <c r="CN39" s="1132">
        <v>0</v>
      </c>
      <c r="CO39" s="1132">
        <v>0</v>
      </c>
      <c r="CP39" s="1198">
        <v>0</v>
      </c>
      <c r="CQ39" s="1132">
        <v>6.2376470588235291</v>
      </c>
      <c r="CR39" s="1132">
        <v>403.35722368917391</v>
      </c>
      <c r="CS39" s="1132">
        <v>0</v>
      </c>
      <c r="CT39" s="1132">
        <v>8.1089411764705872</v>
      </c>
      <c r="CU39" s="1132">
        <v>670</v>
      </c>
      <c r="CV39" s="1198">
        <v>5.40152100094953</v>
      </c>
      <c r="CW39" s="1248"/>
      <c r="CX39" s="1132"/>
      <c r="CY39" s="1198">
        <v>0</v>
      </c>
      <c r="DA39" s="653">
        <f t="shared" si="0"/>
        <v>0</v>
      </c>
      <c r="DB39" s="386">
        <f t="shared" si="1"/>
        <v>0</v>
      </c>
      <c r="DC39" s="386">
        <f t="shared" si="2"/>
        <v>0</v>
      </c>
      <c r="DD39" s="1247">
        <f t="shared" si="3"/>
        <v>0</v>
      </c>
      <c r="DE39" s="1248">
        <f t="shared" si="4"/>
        <v>0</v>
      </c>
      <c r="DF39" s="1248">
        <f t="shared" si="5"/>
        <v>0</v>
      </c>
      <c r="DG39" s="1248">
        <f t="shared" si="6"/>
        <v>0</v>
      </c>
      <c r="DH39" s="1248">
        <f t="shared" si="7"/>
        <v>0</v>
      </c>
      <c r="DI39" s="1248">
        <f t="shared" si="8"/>
        <v>0</v>
      </c>
      <c r="DJ39" s="1250">
        <f t="shared" si="9"/>
        <v>0</v>
      </c>
      <c r="DK39" s="1251">
        <f t="shared" si="10"/>
        <v>0</v>
      </c>
      <c r="DL39" s="1248">
        <f t="shared" si="11"/>
        <v>0</v>
      </c>
      <c r="DM39" s="1132">
        <f t="shared" si="12"/>
        <v>0</v>
      </c>
      <c r="DN39" s="1252">
        <f t="shared" si="13"/>
        <v>0</v>
      </c>
      <c r="DO39" s="1249">
        <f t="shared" si="14"/>
        <v>130</v>
      </c>
      <c r="DP39" s="1132">
        <f t="shared" si="15"/>
        <v>-49.253441295546558</v>
      </c>
      <c r="DQ39" s="1249">
        <f t="shared" si="16"/>
        <v>-0.54655870445344124</v>
      </c>
      <c r="DR39" s="1249">
        <f t="shared" si="17"/>
        <v>-2.192443849471962</v>
      </c>
      <c r="DS39" s="1249">
        <f t="shared" si="18"/>
        <v>2.4000000000000004</v>
      </c>
      <c r="DT39" s="1249">
        <f t="shared" si="19"/>
        <v>-2.8331845902127029</v>
      </c>
      <c r="DU39" s="1132">
        <f t="shared" si="20"/>
        <v>-743</v>
      </c>
      <c r="DV39" s="1132" t="e">
        <f>#REF!-CB39</f>
        <v>#REF!</v>
      </c>
      <c r="DW39" s="1198">
        <f t="shared" si="21"/>
        <v>-4.1403142198423328</v>
      </c>
      <c r="DX39" s="1249">
        <f t="shared" si="22"/>
        <v>-1.5</v>
      </c>
      <c r="DY39" s="1249">
        <f t="shared" si="23"/>
        <v>-0.51</v>
      </c>
      <c r="DZ39" s="1132">
        <f t="shared" si="24"/>
        <v>510</v>
      </c>
      <c r="EA39" s="1198">
        <f t="shared" si="25"/>
        <v>-0.47429999999999994</v>
      </c>
      <c r="EB39" s="1251">
        <f t="shared" si="26"/>
        <v>26.402701741176475</v>
      </c>
      <c r="EC39" s="1132">
        <f t="shared" si="27"/>
        <v>-2.8331845902127029</v>
      </c>
      <c r="ED39" s="1132">
        <f t="shared" si="28"/>
        <v>-11.792333822304753</v>
      </c>
      <c r="EE39" s="1132" t="e">
        <f t="shared" si="29"/>
        <v>#VALUE!</v>
      </c>
      <c r="EF39" s="1132" t="e">
        <f t="shared" si="30"/>
        <v>#VALUE!</v>
      </c>
      <c r="EG39" s="1132" t="e">
        <f t="shared" si="31"/>
        <v>#VALUE!</v>
      </c>
      <c r="EH39" s="1132">
        <f t="shared" si="32"/>
        <v>0</v>
      </c>
      <c r="EI39" s="1132">
        <f t="shared" si="33"/>
        <v>0</v>
      </c>
      <c r="EJ39" s="1198">
        <f t="shared" si="34"/>
        <v>0</v>
      </c>
      <c r="EK39" s="1132">
        <f t="shared" si="35"/>
        <v>5.0682352941176481</v>
      </c>
      <c r="EL39" s="1132">
        <f t="shared" si="36"/>
        <v>-180.81820183693668</v>
      </c>
      <c r="EM39" s="1132">
        <f t="shared" si="37"/>
        <v>-6.1914672216441424E-2</v>
      </c>
      <c r="EN39" s="1132">
        <f t="shared" si="40"/>
        <v>8.0369411764705916</v>
      </c>
      <c r="EO39" s="1132">
        <f t="shared" si="41"/>
        <v>90</v>
      </c>
      <c r="EP39" s="1198">
        <f t="shared" si="42"/>
        <v>6.8782989254185223</v>
      </c>
      <c r="EQ39" s="1248">
        <f t="shared" si="43"/>
        <v>0</v>
      </c>
      <c r="ER39" s="1132">
        <f t="shared" si="44"/>
        <v>0</v>
      </c>
      <c r="ES39" s="1198">
        <f t="shared" si="45"/>
        <v>0</v>
      </c>
    </row>
    <row r="40" spans="1:149">
      <c r="A40" s="634">
        <f>Eingabedaten!A43</f>
        <v>12.02</v>
      </c>
      <c r="B40" s="463" t="str">
        <f>Eingabedaten!C43</f>
        <v>Verkehrsfläche 24 h</v>
      </c>
      <c r="C40" s="637"/>
      <c r="D40" s="379"/>
      <c r="E40" s="379"/>
      <c r="F40" s="1238"/>
      <c r="G40" s="1129"/>
      <c r="H40" s="1129"/>
      <c r="I40" s="1129"/>
      <c r="J40" s="1129"/>
      <c r="K40" s="1129"/>
      <c r="L40" s="1129"/>
      <c r="M40" s="1129"/>
      <c r="N40" s="1237"/>
      <c r="O40" s="1240">
        <v>0</v>
      </c>
      <c r="P40" s="1131">
        <v>0</v>
      </c>
      <c r="Q40" s="1129">
        <v>0</v>
      </c>
      <c r="R40" s="1131">
        <v>0</v>
      </c>
      <c r="S40" s="1239">
        <v>0</v>
      </c>
      <c r="T40" s="1131">
        <v>0</v>
      </c>
      <c r="U40" s="1240"/>
      <c r="V40" s="1240">
        <v>130</v>
      </c>
      <c r="W40" s="1834">
        <v>0.54655870445344124</v>
      </c>
      <c r="X40" s="1239"/>
      <c r="Y40" s="1239">
        <v>2.4000000000000004</v>
      </c>
      <c r="Z40" s="1239">
        <v>2.4000000000000004</v>
      </c>
      <c r="AA40" s="1239">
        <v>3.5185185185185186</v>
      </c>
      <c r="AB40" s="1131">
        <v>899</v>
      </c>
      <c r="AC40" s="1243">
        <v>3.163148148148148</v>
      </c>
      <c r="AD40" s="1242">
        <v>0.5</v>
      </c>
      <c r="AE40" s="1131">
        <v>4160</v>
      </c>
      <c r="AF40" s="1239">
        <v>0.17</v>
      </c>
      <c r="AG40" s="1131">
        <v>2270</v>
      </c>
      <c r="AH40" s="1197">
        <v>0.38590000000000002</v>
      </c>
      <c r="AI40" s="1240">
        <v>30.340635105882356</v>
      </c>
      <c r="AJ40" s="1131">
        <v>3.5185185185185186</v>
      </c>
      <c r="AK40" s="1131">
        <v>35.185185185185183</v>
      </c>
      <c r="AL40" s="1131" t="s">
        <v>1317</v>
      </c>
      <c r="AM40" s="1131" t="s">
        <v>1317</v>
      </c>
      <c r="AN40" s="1131" t="s">
        <v>1317</v>
      </c>
      <c r="AO40" s="1131">
        <v>23.701407537080613</v>
      </c>
      <c r="AP40" s="1239">
        <v>30.28495785411765</v>
      </c>
      <c r="AQ40" s="1131">
        <v>30.28495785411765</v>
      </c>
      <c r="AR40" s="1131">
        <v>70</v>
      </c>
      <c r="AS40" s="1243">
        <v>2.2200684682971303</v>
      </c>
      <c r="AT40" s="1197">
        <v>0</v>
      </c>
      <c r="AU40" s="1131">
        <v>11.305882352941177</v>
      </c>
      <c r="AV40" s="1131">
        <v>222.53902185223723</v>
      </c>
      <c r="AW40" s="1131">
        <v>-6.1914672216441424E-2</v>
      </c>
      <c r="AX40" s="1239">
        <v>16.145882352941179</v>
      </c>
      <c r="AY40" s="1131">
        <v>720</v>
      </c>
      <c r="AZ40" s="1242">
        <v>0.1915525114155251</v>
      </c>
      <c r="BA40" s="1243">
        <v>11.647262414573472</v>
      </c>
      <c r="BB40" s="1129"/>
      <c r="BC40" s="1131"/>
      <c r="BD40" s="1197">
        <v>0</v>
      </c>
      <c r="BG40" s="637"/>
      <c r="BH40" s="379"/>
      <c r="BI40" s="379"/>
      <c r="BJ40" s="1238"/>
      <c r="BK40" s="1129"/>
      <c r="BL40" s="1129"/>
      <c r="BM40" s="1129"/>
      <c r="BN40" s="1129"/>
      <c r="BO40" s="1129"/>
      <c r="BP40" s="1237"/>
      <c r="BQ40" s="1240">
        <v>0</v>
      </c>
      <c r="BR40" s="1129">
        <v>0</v>
      </c>
      <c r="BS40" s="1131">
        <v>0</v>
      </c>
      <c r="BT40" s="1241"/>
      <c r="BU40" s="1239"/>
      <c r="BV40" s="1131">
        <v>54.800000000000004</v>
      </c>
      <c r="BW40" s="1239">
        <v>0.54655870445344124</v>
      </c>
      <c r="BX40" s="1239">
        <v>8.3468505001351723</v>
      </c>
      <c r="BY40" s="1239">
        <v>0</v>
      </c>
      <c r="BZ40" s="1239">
        <v>8.3468505001351723</v>
      </c>
      <c r="CA40" s="1131">
        <v>4890</v>
      </c>
      <c r="CB40" s="1131">
        <v>0</v>
      </c>
      <c r="CC40" s="1197">
        <v>40.81609894566099</v>
      </c>
      <c r="CD40" s="1239">
        <v>2</v>
      </c>
      <c r="CE40" s="1239">
        <v>0.68</v>
      </c>
      <c r="CF40" s="1131">
        <v>1770</v>
      </c>
      <c r="CG40" s="1197">
        <v>1.2036000000000002</v>
      </c>
      <c r="CH40" s="1240">
        <v>6.3659999999999997</v>
      </c>
      <c r="CI40" s="1131">
        <v>8.3468505001351723</v>
      </c>
      <c r="CJ40" s="1131">
        <v>129.85832117543845</v>
      </c>
      <c r="CK40" s="1131" t="s">
        <v>574</v>
      </c>
      <c r="CL40" s="1131" t="s">
        <v>527</v>
      </c>
      <c r="CM40" s="1131" t="s">
        <v>528</v>
      </c>
      <c r="CN40" s="1131">
        <v>7</v>
      </c>
      <c r="CO40" s="1131">
        <v>3040</v>
      </c>
      <c r="CP40" s="1197">
        <v>21.311499999999999</v>
      </c>
      <c r="CQ40" s="1131">
        <v>6.2376470588235291</v>
      </c>
      <c r="CR40" s="1131">
        <v>403.35722368917391</v>
      </c>
      <c r="CS40" s="1131">
        <v>0</v>
      </c>
      <c r="CT40" s="1131">
        <v>8.1089411764705872</v>
      </c>
      <c r="CU40" s="1131">
        <v>110</v>
      </c>
      <c r="CV40" s="1197">
        <v>0.91128998980762166</v>
      </c>
      <c r="CW40" s="1129"/>
      <c r="CX40" s="1131"/>
      <c r="CY40" s="1197">
        <v>0</v>
      </c>
      <c r="DA40" s="637">
        <f t="shared" si="0"/>
        <v>0</v>
      </c>
      <c r="DB40" s="379">
        <f t="shared" si="1"/>
        <v>0</v>
      </c>
      <c r="DC40" s="379">
        <f t="shared" si="2"/>
        <v>0</v>
      </c>
      <c r="DD40" s="1238">
        <f t="shared" si="3"/>
        <v>0</v>
      </c>
      <c r="DE40" s="1129">
        <f t="shared" si="4"/>
        <v>0</v>
      </c>
      <c r="DF40" s="1129">
        <f t="shared" si="5"/>
        <v>0</v>
      </c>
      <c r="DG40" s="1129">
        <f t="shared" si="6"/>
        <v>0</v>
      </c>
      <c r="DH40" s="1129">
        <f t="shared" si="7"/>
        <v>0</v>
      </c>
      <c r="DI40" s="1129">
        <f t="shared" si="8"/>
        <v>0</v>
      </c>
      <c r="DJ40" s="1237">
        <f t="shared" si="9"/>
        <v>0</v>
      </c>
      <c r="DK40" s="1240">
        <f t="shared" si="10"/>
        <v>0</v>
      </c>
      <c r="DL40" s="1129">
        <f t="shared" si="11"/>
        <v>0</v>
      </c>
      <c r="DM40" s="1131">
        <f t="shared" si="12"/>
        <v>0</v>
      </c>
      <c r="DN40" s="1241">
        <f t="shared" si="13"/>
        <v>0</v>
      </c>
      <c r="DO40" s="1239">
        <f t="shared" si="14"/>
        <v>130</v>
      </c>
      <c r="DP40" s="1131">
        <f t="shared" si="15"/>
        <v>-54.253441295546565</v>
      </c>
      <c r="DQ40" s="1239">
        <f t="shared" si="16"/>
        <v>-0.54655870445344124</v>
      </c>
      <c r="DR40" s="1239">
        <f t="shared" si="17"/>
        <v>-5.9468505001351719</v>
      </c>
      <c r="DS40" s="1239">
        <f t="shared" si="18"/>
        <v>2.4000000000000004</v>
      </c>
      <c r="DT40" s="1239">
        <f t="shared" si="19"/>
        <v>-4.8283319816166532</v>
      </c>
      <c r="DU40" s="1131">
        <f t="shared" si="20"/>
        <v>-3991</v>
      </c>
      <c r="DV40" s="1131" t="e">
        <f>#REF!-CB40</f>
        <v>#REF!</v>
      </c>
      <c r="DW40" s="1197">
        <f t="shared" si="21"/>
        <v>-37.652950797512844</v>
      </c>
      <c r="DX40" s="1239">
        <f t="shared" si="22"/>
        <v>-1.5</v>
      </c>
      <c r="DY40" s="1239">
        <f t="shared" si="23"/>
        <v>-0.51</v>
      </c>
      <c r="DZ40" s="1131">
        <f t="shared" si="24"/>
        <v>500</v>
      </c>
      <c r="EA40" s="1197">
        <f t="shared" si="25"/>
        <v>-0.8177000000000002</v>
      </c>
      <c r="EB40" s="1240">
        <f t="shared" si="26"/>
        <v>23.974635105882356</v>
      </c>
      <c r="EC40" s="1131">
        <f t="shared" si="27"/>
        <v>-4.8283319816166532</v>
      </c>
      <c r="ED40" s="1131">
        <f t="shared" si="28"/>
        <v>-94.673135990253257</v>
      </c>
      <c r="EE40" s="1131" t="e">
        <f t="shared" si="29"/>
        <v>#VALUE!</v>
      </c>
      <c r="EF40" s="1131" t="e">
        <f t="shared" si="30"/>
        <v>#VALUE!</v>
      </c>
      <c r="EG40" s="1131" t="e">
        <f t="shared" si="31"/>
        <v>#VALUE!</v>
      </c>
      <c r="EH40" s="1131">
        <f t="shared" si="32"/>
        <v>23.28495785411765</v>
      </c>
      <c r="EI40" s="1131">
        <f t="shared" si="33"/>
        <v>-2970</v>
      </c>
      <c r="EJ40" s="1197">
        <f t="shared" si="34"/>
        <v>-21.311499999999999</v>
      </c>
      <c r="EK40" s="1131">
        <f t="shared" si="35"/>
        <v>5.0682352941176481</v>
      </c>
      <c r="EL40" s="1131">
        <f t="shared" si="36"/>
        <v>-180.81820183693668</v>
      </c>
      <c r="EM40" s="1131">
        <f t="shared" si="37"/>
        <v>-6.1914672216441424E-2</v>
      </c>
      <c r="EN40" s="1131">
        <f t="shared" si="40"/>
        <v>8.0369411764705916</v>
      </c>
      <c r="EO40" s="1131">
        <f t="shared" si="41"/>
        <v>610</v>
      </c>
      <c r="EP40" s="1197">
        <f t="shared" si="42"/>
        <v>10.735972424765851</v>
      </c>
      <c r="EQ40" s="1129">
        <f t="shared" si="43"/>
        <v>0</v>
      </c>
      <c r="ER40" s="1131">
        <f t="shared" si="44"/>
        <v>0</v>
      </c>
      <c r="ES40" s="1197">
        <f t="shared" si="45"/>
        <v>0</v>
      </c>
    </row>
    <row r="41" spans="1:149">
      <c r="A41" s="634">
        <f>Eingabedaten!A44</f>
        <v>12.03</v>
      </c>
      <c r="B41" s="463" t="str">
        <f>Eingabedaten!C44</f>
        <v>Treppenhaus</v>
      </c>
      <c r="C41" s="637"/>
      <c r="D41" s="379"/>
      <c r="E41" s="379"/>
      <c r="F41" s="1238"/>
      <c r="G41" s="1129"/>
      <c r="H41" s="1129"/>
      <c r="I41" s="1129"/>
      <c r="J41" s="1129"/>
      <c r="K41" s="1129"/>
      <c r="L41" s="1129"/>
      <c r="M41" s="1129"/>
      <c r="N41" s="1237"/>
      <c r="O41" s="1240">
        <v>0</v>
      </c>
      <c r="P41" s="1131">
        <v>0</v>
      </c>
      <c r="Q41" s="1129">
        <v>0</v>
      </c>
      <c r="R41" s="1131">
        <v>0</v>
      </c>
      <c r="S41" s="1239">
        <v>0</v>
      </c>
      <c r="T41" s="1131">
        <v>0</v>
      </c>
      <c r="U41" s="1240"/>
      <c r="V41" s="1240">
        <v>130</v>
      </c>
      <c r="W41" s="1834">
        <v>0.54655870445344124</v>
      </c>
      <c r="X41" s="1239"/>
      <c r="Y41" s="1239">
        <v>2.4000000000000004</v>
      </c>
      <c r="Z41" s="1239">
        <v>2.4000000000000004</v>
      </c>
      <c r="AA41" s="1239">
        <v>1.7592592592592593</v>
      </c>
      <c r="AB41" s="1131">
        <v>257</v>
      </c>
      <c r="AC41" s="1243">
        <v>0.4521296296296296</v>
      </c>
      <c r="AD41" s="1242">
        <v>0.5</v>
      </c>
      <c r="AE41" s="1131">
        <v>0</v>
      </c>
      <c r="AF41" s="1239">
        <v>0</v>
      </c>
      <c r="AG41" s="1131">
        <v>0</v>
      </c>
      <c r="AH41" s="1197">
        <v>0</v>
      </c>
      <c r="AI41" s="1240">
        <v>30.831618823529418</v>
      </c>
      <c r="AJ41" s="1131">
        <v>1.7592592592592593</v>
      </c>
      <c r="AK41" s="1131">
        <v>0</v>
      </c>
      <c r="AL41" s="1131" t="s">
        <v>16</v>
      </c>
      <c r="AM41" s="1131" t="s">
        <v>16</v>
      </c>
      <c r="AN41" s="1131" t="s">
        <v>16</v>
      </c>
      <c r="AO41" s="1131">
        <v>0</v>
      </c>
      <c r="AP41" s="1239">
        <v>0</v>
      </c>
      <c r="AQ41" s="1131">
        <v>0</v>
      </c>
      <c r="AR41" s="1131">
        <v>0</v>
      </c>
      <c r="AS41" s="1197">
        <v>0</v>
      </c>
      <c r="AT41" s="1197">
        <v>0</v>
      </c>
      <c r="AU41" s="1131">
        <v>11.305882352941177</v>
      </c>
      <c r="AV41" s="1131">
        <v>222.53902185223723</v>
      </c>
      <c r="AW41" s="1131">
        <v>-6.1914672216441424E-2</v>
      </c>
      <c r="AX41" s="1239">
        <v>14.450000000000003</v>
      </c>
      <c r="AY41" s="1131">
        <v>640</v>
      </c>
      <c r="AZ41" s="1242">
        <v>0.16528253424657532</v>
      </c>
      <c r="BA41" s="1243">
        <v>9.2854062177560515</v>
      </c>
      <c r="BB41" s="1129"/>
      <c r="BC41" s="1131"/>
      <c r="BD41" s="1197">
        <v>0</v>
      </c>
      <c r="BG41" s="637"/>
      <c r="BH41" s="379"/>
      <c r="BI41" s="379"/>
      <c r="BJ41" s="1238"/>
      <c r="BK41" s="1129"/>
      <c r="BL41" s="1129"/>
      <c r="BM41" s="1129"/>
      <c r="BN41" s="1129"/>
      <c r="BO41" s="1129"/>
      <c r="BP41" s="1237"/>
      <c r="BQ41" s="1240">
        <v>0</v>
      </c>
      <c r="BR41" s="1129">
        <v>0</v>
      </c>
      <c r="BS41" s="1131">
        <v>0</v>
      </c>
      <c r="BT41" s="1241"/>
      <c r="BU41" s="1239"/>
      <c r="BV41" s="1131">
        <v>49.8</v>
      </c>
      <c r="BW41" s="1239">
        <v>0.54655870445344124</v>
      </c>
      <c r="BX41" s="1239">
        <v>4.5924438494719624</v>
      </c>
      <c r="BY41" s="1239">
        <v>0</v>
      </c>
      <c r="BZ41" s="1239">
        <v>4.5924438494719624</v>
      </c>
      <c r="CA41" s="1131">
        <v>500</v>
      </c>
      <c r="CB41" s="1131">
        <v>0</v>
      </c>
      <c r="CC41" s="1197">
        <v>2.2962219247359812</v>
      </c>
      <c r="CD41" s="1239">
        <v>2</v>
      </c>
      <c r="CE41" s="1239">
        <v>0.68</v>
      </c>
      <c r="CF41" s="1131">
        <v>1100</v>
      </c>
      <c r="CG41" s="1197">
        <v>0.748</v>
      </c>
      <c r="CH41" s="1240">
        <v>4.4947058823529416</v>
      </c>
      <c r="CI41" s="1131">
        <v>4.5924438494719624</v>
      </c>
      <c r="CJ41" s="1131">
        <v>5.8961669111523767</v>
      </c>
      <c r="CK41" s="1131" t="s">
        <v>16</v>
      </c>
      <c r="CL41" s="1131" t="s">
        <v>16</v>
      </c>
      <c r="CM41" s="1131" t="s">
        <v>16</v>
      </c>
      <c r="CN41" s="1131">
        <v>0</v>
      </c>
      <c r="CO41" s="1131">
        <v>0</v>
      </c>
      <c r="CP41" s="1197">
        <v>0</v>
      </c>
      <c r="CQ41" s="1131">
        <v>6.2376470588235291</v>
      </c>
      <c r="CR41" s="1131">
        <v>403.35722368917391</v>
      </c>
      <c r="CS41" s="1131">
        <v>0</v>
      </c>
      <c r="CT41" s="1131">
        <v>8.1089411764705872</v>
      </c>
      <c r="CU41" s="1131">
        <v>750</v>
      </c>
      <c r="CV41" s="1197">
        <v>6.0964676723595481</v>
      </c>
      <c r="CW41" s="1129"/>
      <c r="CX41" s="1131"/>
      <c r="CY41" s="1197">
        <v>0</v>
      </c>
      <c r="DA41" s="637">
        <f t="shared" si="0"/>
        <v>0</v>
      </c>
      <c r="DB41" s="379">
        <f t="shared" si="1"/>
        <v>0</v>
      </c>
      <c r="DC41" s="379">
        <f t="shared" si="2"/>
        <v>0</v>
      </c>
      <c r="DD41" s="1238">
        <f t="shared" si="3"/>
        <v>0</v>
      </c>
      <c r="DE41" s="1129">
        <f t="shared" si="4"/>
        <v>0</v>
      </c>
      <c r="DF41" s="1129">
        <f t="shared" si="5"/>
        <v>0</v>
      </c>
      <c r="DG41" s="1129">
        <f t="shared" si="6"/>
        <v>0</v>
      </c>
      <c r="DH41" s="1129">
        <f t="shared" si="7"/>
        <v>0</v>
      </c>
      <c r="DI41" s="1129">
        <f t="shared" si="8"/>
        <v>0</v>
      </c>
      <c r="DJ41" s="1237">
        <f t="shared" si="9"/>
        <v>0</v>
      </c>
      <c r="DK41" s="1240">
        <f t="shared" si="10"/>
        <v>0</v>
      </c>
      <c r="DL41" s="1129">
        <f t="shared" si="11"/>
        <v>0</v>
      </c>
      <c r="DM41" s="1131">
        <f t="shared" si="12"/>
        <v>0</v>
      </c>
      <c r="DN41" s="1241">
        <f t="shared" si="13"/>
        <v>0</v>
      </c>
      <c r="DO41" s="1239">
        <f t="shared" si="14"/>
        <v>130</v>
      </c>
      <c r="DP41" s="1131">
        <f t="shared" si="15"/>
        <v>-49.253441295546558</v>
      </c>
      <c r="DQ41" s="1239">
        <f t="shared" si="16"/>
        <v>-0.54655870445344124</v>
      </c>
      <c r="DR41" s="1239">
        <f t="shared" si="17"/>
        <v>-2.192443849471962</v>
      </c>
      <c r="DS41" s="1239">
        <f t="shared" si="18"/>
        <v>2.4000000000000004</v>
      </c>
      <c r="DT41" s="1239">
        <f t="shared" si="19"/>
        <v>-2.8331845902127029</v>
      </c>
      <c r="DU41" s="1131">
        <f t="shared" si="20"/>
        <v>-243</v>
      </c>
      <c r="DV41" s="1131" t="e">
        <f>#REF!-CB41</f>
        <v>#REF!</v>
      </c>
      <c r="DW41" s="1197">
        <f t="shared" si="21"/>
        <v>-1.8440922951063516</v>
      </c>
      <c r="DX41" s="1239">
        <f t="shared" si="22"/>
        <v>-1.5</v>
      </c>
      <c r="DY41" s="1239">
        <f t="shared" si="23"/>
        <v>-0.68</v>
      </c>
      <c r="DZ41" s="1131">
        <f t="shared" si="24"/>
        <v>-1100</v>
      </c>
      <c r="EA41" s="1197">
        <f t="shared" si="25"/>
        <v>-0.748</v>
      </c>
      <c r="EB41" s="1240">
        <f t="shared" si="26"/>
        <v>26.336912941176475</v>
      </c>
      <c r="EC41" s="1131">
        <f t="shared" si="27"/>
        <v>-2.8331845902127029</v>
      </c>
      <c r="ED41" s="1131">
        <f t="shared" si="28"/>
        <v>-5.8961669111523767</v>
      </c>
      <c r="EE41" s="1131" t="e">
        <f t="shared" si="29"/>
        <v>#VALUE!</v>
      </c>
      <c r="EF41" s="1131" t="e">
        <f t="shared" si="30"/>
        <v>#VALUE!</v>
      </c>
      <c r="EG41" s="1131" t="e">
        <f t="shared" si="31"/>
        <v>#VALUE!</v>
      </c>
      <c r="EH41" s="1131">
        <f t="shared" si="32"/>
        <v>0</v>
      </c>
      <c r="EI41" s="1131">
        <f t="shared" si="33"/>
        <v>0</v>
      </c>
      <c r="EJ41" s="1197">
        <f t="shared" si="34"/>
        <v>0</v>
      </c>
      <c r="EK41" s="1131">
        <f t="shared" si="35"/>
        <v>5.0682352941176481</v>
      </c>
      <c r="EL41" s="1131">
        <f t="shared" si="36"/>
        <v>-180.81820183693668</v>
      </c>
      <c r="EM41" s="1131">
        <f t="shared" si="37"/>
        <v>-6.1914672216441424E-2</v>
      </c>
      <c r="EN41" s="1131">
        <f t="shared" si="40"/>
        <v>6.3410588235294156</v>
      </c>
      <c r="EO41" s="1131">
        <f t="shared" si="41"/>
        <v>-110</v>
      </c>
      <c r="EP41" s="1197">
        <f t="shared" si="42"/>
        <v>3.1889385453965033</v>
      </c>
      <c r="EQ41" s="1129">
        <f t="shared" si="43"/>
        <v>0</v>
      </c>
      <c r="ER41" s="1131">
        <f t="shared" si="44"/>
        <v>0</v>
      </c>
      <c r="ES41" s="1197">
        <f t="shared" si="45"/>
        <v>0</v>
      </c>
    </row>
    <row r="42" spans="1:149">
      <c r="A42" s="634">
        <f>Eingabedaten!A45</f>
        <v>12.04</v>
      </c>
      <c r="B42" s="463" t="str">
        <f>Eingabedaten!C45</f>
        <v>Nebenraum</v>
      </c>
      <c r="C42" s="637"/>
      <c r="D42" s="379"/>
      <c r="E42" s="379"/>
      <c r="F42" s="1238"/>
      <c r="G42" s="1129"/>
      <c r="H42" s="1129"/>
      <c r="I42" s="1129"/>
      <c r="J42" s="1129"/>
      <c r="K42" s="1129"/>
      <c r="L42" s="1129"/>
      <c r="M42" s="1129"/>
      <c r="N42" s="1237"/>
      <c r="O42" s="1240">
        <v>0</v>
      </c>
      <c r="P42" s="1131">
        <v>0</v>
      </c>
      <c r="Q42" s="1129">
        <v>0</v>
      </c>
      <c r="R42" s="1131">
        <v>0</v>
      </c>
      <c r="S42" s="1239">
        <v>0</v>
      </c>
      <c r="T42" s="1131">
        <v>0</v>
      </c>
      <c r="U42" s="1240"/>
      <c r="V42" s="1240">
        <v>130</v>
      </c>
      <c r="W42" s="1834">
        <v>0.64209274673008321</v>
      </c>
      <c r="X42" s="1239"/>
      <c r="Y42" s="1239">
        <v>2.4000000000000004</v>
      </c>
      <c r="Z42" s="1239">
        <v>2.4000000000000004</v>
      </c>
      <c r="AA42" s="1239">
        <v>1.4975071225071226</v>
      </c>
      <c r="AB42" s="1131">
        <v>257</v>
      </c>
      <c r="AC42" s="1243">
        <v>0.38485933048433052</v>
      </c>
      <c r="AD42" s="1242">
        <v>0.5</v>
      </c>
      <c r="AE42" s="1131">
        <v>2950</v>
      </c>
      <c r="AF42" s="1239">
        <v>8.3000000000000004E-2</v>
      </c>
      <c r="AG42" s="1131">
        <v>1610</v>
      </c>
      <c r="AH42" s="1197">
        <v>0.13363</v>
      </c>
      <c r="AI42" s="1240">
        <v>13.604216470588236</v>
      </c>
      <c r="AJ42" s="1131">
        <v>1.4975071225071226</v>
      </c>
      <c r="AK42" s="1131">
        <v>0</v>
      </c>
      <c r="AL42" s="1131" t="s">
        <v>16</v>
      </c>
      <c r="AM42" s="1131" t="s">
        <v>16</v>
      </c>
      <c r="AN42" s="1131" t="s">
        <v>16</v>
      </c>
      <c r="AO42" s="1131">
        <v>0</v>
      </c>
      <c r="AP42" s="1239">
        <v>0</v>
      </c>
      <c r="AQ42" s="1131">
        <v>0</v>
      </c>
      <c r="AR42" s="1131">
        <v>0</v>
      </c>
      <c r="AS42" s="1197">
        <v>0</v>
      </c>
      <c r="AT42" s="1197">
        <v>0</v>
      </c>
      <c r="AU42" s="1131">
        <v>6.5176470588235293</v>
      </c>
      <c r="AV42" s="1131">
        <v>351.04693140794222</v>
      </c>
      <c r="AW42" s="1131">
        <v>0</v>
      </c>
      <c r="AX42" s="1239">
        <v>8.31</v>
      </c>
      <c r="AY42" s="1131">
        <v>1150</v>
      </c>
      <c r="AZ42" s="1242">
        <v>0.26786529680365295</v>
      </c>
      <c r="BA42" s="1243">
        <v>9.5852246990149297</v>
      </c>
      <c r="BB42" s="1129"/>
      <c r="BC42" s="1131"/>
      <c r="BD42" s="1197">
        <v>0</v>
      </c>
      <c r="BG42" s="637"/>
      <c r="BH42" s="379"/>
      <c r="BI42" s="379"/>
      <c r="BJ42" s="1238"/>
      <c r="BK42" s="1129"/>
      <c r="BL42" s="1129"/>
      <c r="BM42" s="1129"/>
      <c r="BN42" s="1129"/>
      <c r="BO42" s="1129"/>
      <c r="BP42" s="1237"/>
      <c r="BQ42" s="1240">
        <v>0</v>
      </c>
      <c r="BR42" s="1129">
        <v>0</v>
      </c>
      <c r="BS42" s="1131">
        <v>0</v>
      </c>
      <c r="BT42" s="1241"/>
      <c r="BU42" s="1239"/>
      <c r="BV42" s="1131">
        <v>49.8</v>
      </c>
      <c r="BW42" s="1239">
        <v>0.64209274673008321</v>
      </c>
      <c r="BX42" s="1239">
        <v>3.909155139074818</v>
      </c>
      <c r="BY42" s="1239">
        <v>0</v>
      </c>
      <c r="BZ42" s="1239">
        <v>3.909155139074818</v>
      </c>
      <c r="CA42" s="1131">
        <v>250</v>
      </c>
      <c r="CB42" s="1131">
        <v>0</v>
      </c>
      <c r="CC42" s="1197">
        <v>0.9772887847687044</v>
      </c>
      <c r="CD42" s="1239">
        <v>0.5</v>
      </c>
      <c r="CE42" s="1239">
        <v>8.3000000000000004E-2</v>
      </c>
      <c r="CF42" s="1131">
        <v>1100</v>
      </c>
      <c r="CG42" s="1197">
        <v>9.1300000000000006E-2</v>
      </c>
      <c r="CH42" s="1240">
        <v>8.9894117647058831</v>
      </c>
      <c r="CI42" s="1131">
        <v>3.909155139074818</v>
      </c>
      <c r="CJ42" s="1131">
        <v>1.5619378217718305E-3</v>
      </c>
      <c r="CK42" s="1131" t="s">
        <v>16</v>
      </c>
      <c r="CL42" s="1131" t="s">
        <v>16</v>
      </c>
      <c r="CM42" s="1131" t="s">
        <v>16</v>
      </c>
      <c r="CN42" s="1131">
        <v>0</v>
      </c>
      <c r="CO42" s="1131">
        <v>0</v>
      </c>
      <c r="CP42" s="1197">
        <v>0</v>
      </c>
      <c r="CQ42" s="1131">
        <v>7.0352941176470587</v>
      </c>
      <c r="CR42" s="1131">
        <v>325.21739130434781</v>
      </c>
      <c r="CS42" s="1131">
        <v>0</v>
      </c>
      <c r="CT42" s="1131">
        <v>9.1458823529411752</v>
      </c>
      <c r="CU42" s="1131">
        <v>990</v>
      </c>
      <c r="CV42" s="1197">
        <v>9.0635095977528142</v>
      </c>
      <c r="CW42" s="1129"/>
      <c r="CX42" s="1131"/>
      <c r="CY42" s="1197">
        <v>0</v>
      </c>
      <c r="DA42" s="637">
        <f t="shared" si="0"/>
        <v>0</v>
      </c>
      <c r="DB42" s="379">
        <f t="shared" si="1"/>
        <v>0</v>
      </c>
      <c r="DC42" s="379">
        <f t="shared" si="2"/>
        <v>0</v>
      </c>
      <c r="DD42" s="1238">
        <f t="shared" si="3"/>
        <v>0</v>
      </c>
      <c r="DE42" s="1129">
        <f t="shared" si="4"/>
        <v>0</v>
      </c>
      <c r="DF42" s="1129">
        <f t="shared" si="5"/>
        <v>0</v>
      </c>
      <c r="DG42" s="1129">
        <f t="shared" si="6"/>
        <v>0</v>
      </c>
      <c r="DH42" s="1129">
        <f t="shared" si="7"/>
        <v>0</v>
      </c>
      <c r="DI42" s="1129">
        <f t="shared" si="8"/>
        <v>0</v>
      </c>
      <c r="DJ42" s="1237">
        <f t="shared" si="9"/>
        <v>0</v>
      </c>
      <c r="DK42" s="1240">
        <f t="shared" si="10"/>
        <v>0</v>
      </c>
      <c r="DL42" s="1129">
        <f t="shared" si="11"/>
        <v>0</v>
      </c>
      <c r="DM42" s="1131">
        <f t="shared" si="12"/>
        <v>0</v>
      </c>
      <c r="DN42" s="1241">
        <f t="shared" si="13"/>
        <v>0</v>
      </c>
      <c r="DO42" s="1239">
        <f t="shared" si="14"/>
        <v>130</v>
      </c>
      <c r="DP42" s="1131">
        <f t="shared" si="15"/>
        <v>-49.157907253269912</v>
      </c>
      <c r="DQ42" s="1239">
        <f t="shared" si="16"/>
        <v>-0.64209274673008321</v>
      </c>
      <c r="DR42" s="1239">
        <f t="shared" si="17"/>
        <v>-1.5091551390748177</v>
      </c>
      <c r="DS42" s="1239">
        <f t="shared" si="18"/>
        <v>2.4000000000000004</v>
      </c>
      <c r="DT42" s="1239">
        <f t="shared" si="19"/>
        <v>-2.4116480165676952</v>
      </c>
      <c r="DU42" s="1131">
        <f t="shared" si="20"/>
        <v>7</v>
      </c>
      <c r="DV42" s="1131" t="e">
        <f>#REF!-CB42</f>
        <v>#REF!</v>
      </c>
      <c r="DW42" s="1197">
        <f t="shared" si="21"/>
        <v>-0.59242945428437388</v>
      </c>
      <c r="DX42" s="1239">
        <f t="shared" si="22"/>
        <v>0</v>
      </c>
      <c r="DY42" s="1239">
        <f t="shared" si="23"/>
        <v>0</v>
      </c>
      <c r="DZ42" s="1131">
        <f t="shared" si="24"/>
        <v>510</v>
      </c>
      <c r="EA42" s="1197">
        <f t="shared" si="25"/>
        <v>4.2329999999999993E-2</v>
      </c>
      <c r="EB42" s="1240">
        <f t="shared" si="26"/>
        <v>4.6148047058823529</v>
      </c>
      <c r="EC42" s="1131">
        <f t="shared" si="27"/>
        <v>-2.4116480165676952</v>
      </c>
      <c r="ED42" s="1131">
        <f t="shared" si="28"/>
        <v>-1.5619378217718305E-3</v>
      </c>
      <c r="EE42" s="1131" t="e">
        <f t="shared" si="29"/>
        <v>#VALUE!</v>
      </c>
      <c r="EF42" s="1131" t="e">
        <f t="shared" si="30"/>
        <v>#VALUE!</v>
      </c>
      <c r="EG42" s="1131" t="e">
        <f t="shared" si="31"/>
        <v>#VALUE!</v>
      </c>
      <c r="EH42" s="1131">
        <f t="shared" si="32"/>
        <v>0</v>
      </c>
      <c r="EI42" s="1131">
        <f t="shared" si="33"/>
        <v>0</v>
      </c>
      <c r="EJ42" s="1197">
        <f t="shared" si="34"/>
        <v>0</v>
      </c>
      <c r="EK42" s="1131">
        <f t="shared" si="35"/>
        <v>-0.51764705882352935</v>
      </c>
      <c r="EL42" s="1131">
        <f t="shared" si="36"/>
        <v>25.829540103594411</v>
      </c>
      <c r="EM42" s="1131">
        <f t="shared" si="37"/>
        <v>0</v>
      </c>
      <c r="EN42" s="1131">
        <f t="shared" si="40"/>
        <v>-0.83588235294117474</v>
      </c>
      <c r="EO42" s="1131">
        <f t="shared" si="41"/>
        <v>160</v>
      </c>
      <c r="EP42" s="1197">
        <f t="shared" si="42"/>
        <v>0.52171510126211551</v>
      </c>
      <c r="EQ42" s="1129">
        <f t="shared" si="43"/>
        <v>0</v>
      </c>
      <c r="ER42" s="1131">
        <f t="shared" si="44"/>
        <v>0</v>
      </c>
      <c r="ES42" s="1197">
        <f t="shared" si="45"/>
        <v>0</v>
      </c>
    </row>
    <row r="43" spans="1:149">
      <c r="A43" s="634">
        <f>Eingabedaten!A46</f>
        <v>12.05</v>
      </c>
      <c r="B43" s="463" t="str">
        <f>Eingabedaten!C46</f>
        <v>Küche, Teeküche</v>
      </c>
      <c r="C43" s="637"/>
      <c r="D43" s="379"/>
      <c r="E43" s="379"/>
      <c r="F43" s="1238"/>
      <c r="G43" s="1129"/>
      <c r="H43" s="1129"/>
      <c r="I43" s="1129"/>
      <c r="J43" s="1129"/>
      <c r="K43" s="1129"/>
      <c r="L43" s="1129"/>
      <c r="M43" s="1129"/>
      <c r="N43" s="1237"/>
      <c r="O43" s="1240">
        <v>30</v>
      </c>
      <c r="P43" s="1131">
        <v>0</v>
      </c>
      <c r="Q43" s="1129">
        <v>1430</v>
      </c>
      <c r="R43" s="1131">
        <v>42.9</v>
      </c>
      <c r="S43" s="1239">
        <v>42.9</v>
      </c>
      <c r="T43" s="1131">
        <v>0</v>
      </c>
      <c r="U43" s="1240"/>
      <c r="V43" s="1240">
        <v>130</v>
      </c>
      <c r="W43" s="1834">
        <v>0.75524475524475521</v>
      </c>
      <c r="X43" s="1239"/>
      <c r="Y43" s="1239">
        <v>2.4000000000000004</v>
      </c>
      <c r="Z43" s="1239">
        <v>3.1717817159065818</v>
      </c>
      <c r="AA43" s="1239">
        <v>2.5462962962962963</v>
      </c>
      <c r="AB43" s="1131">
        <v>132</v>
      </c>
      <c r="AC43" s="1243">
        <v>0.33611111111111108</v>
      </c>
      <c r="AD43" s="1242">
        <v>14.5</v>
      </c>
      <c r="AE43" s="1131">
        <v>1530</v>
      </c>
      <c r="AF43" s="1239">
        <v>4.9300000000000006</v>
      </c>
      <c r="AG43" s="1131">
        <v>1090</v>
      </c>
      <c r="AH43" s="1197">
        <v>5.3737000000000004</v>
      </c>
      <c r="AI43" s="1240">
        <v>17.437656470588237</v>
      </c>
      <c r="AJ43" s="1131">
        <v>74.546296296296291</v>
      </c>
      <c r="AK43" s="1131">
        <v>370.20000000000005</v>
      </c>
      <c r="AL43" s="1131" t="s">
        <v>16</v>
      </c>
      <c r="AM43" s="1131" t="s">
        <v>16</v>
      </c>
      <c r="AN43" s="1131" t="s">
        <v>16</v>
      </c>
      <c r="AO43" s="1131">
        <v>0</v>
      </c>
      <c r="AP43" s="1239">
        <v>0</v>
      </c>
      <c r="AQ43" s="1131">
        <v>0</v>
      </c>
      <c r="AR43" s="1131">
        <v>0</v>
      </c>
      <c r="AS43" s="1197">
        <v>0</v>
      </c>
      <c r="AT43" s="1197">
        <v>0</v>
      </c>
      <c r="AU43" s="1131">
        <v>6.5176470588235293</v>
      </c>
      <c r="AV43" s="1131">
        <v>351.04693140794222</v>
      </c>
      <c r="AW43" s="1131">
        <v>0</v>
      </c>
      <c r="AX43" s="1239">
        <v>9.2876470588235307</v>
      </c>
      <c r="AY43" s="1131">
        <v>30</v>
      </c>
      <c r="AZ43" s="1242">
        <v>0.77658390410958911</v>
      </c>
      <c r="BA43" s="1243">
        <v>0.3184492339927722</v>
      </c>
      <c r="BB43" s="1129"/>
      <c r="BC43" s="1131"/>
      <c r="BD43" s="1197">
        <v>0</v>
      </c>
      <c r="BG43" s="637"/>
      <c r="BH43" s="379"/>
      <c r="BI43" s="379"/>
      <c r="BJ43" s="1238"/>
      <c r="BK43" s="1129"/>
      <c r="BL43" s="1129"/>
      <c r="BM43" s="1129"/>
      <c r="BN43" s="1129"/>
      <c r="BO43" s="1129"/>
      <c r="BP43" s="1237"/>
      <c r="BQ43" s="1240">
        <v>30</v>
      </c>
      <c r="BR43" s="1129">
        <v>1430</v>
      </c>
      <c r="BS43" s="1131">
        <v>42.9</v>
      </c>
      <c r="BT43" s="1241"/>
      <c r="BU43" s="1239"/>
      <c r="BV43" s="1131">
        <v>54.800000000000004</v>
      </c>
      <c r="BW43" s="1239">
        <v>0.75524475524475521</v>
      </c>
      <c r="BX43" s="1239">
        <v>6.0404839145715057</v>
      </c>
      <c r="BY43" s="1239">
        <v>0</v>
      </c>
      <c r="BZ43" s="1239">
        <v>6.0404839145715057</v>
      </c>
      <c r="CA43" s="1131">
        <v>130</v>
      </c>
      <c r="CB43" s="1131">
        <v>0</v>
      </c>
      <c r="CC43" s="1197">
        <v>0.78526290889429573</v>
      </c>
      <c r="CD43" s="1239">
        <v>20</v>
      </c>
      <c r="CE43" s="1239">
        <v>6.8000000000000007</v>
      </c>
      <c r="CF43" s="1131">
        <v>1030</v>
      </c>
      <c r="CG43" s="1197">
        <v>7.0040000000000013</v>
      </c>
      <c r="CH43" s="1240">
        <v>8.9894117647058831</v>
      </c>
      <c r="CI43" s="1131">
        <v>71.04048391457151</v>
      </c>
      <c r="CJ43" s="1131">
        <v>339.40942222154467</v>
      </c>
      <c r="CK43" s="1131" t="s">
        <v>16</v>
      </c>
      <c r="CL43" s="1131" t="s">
        <v>16</v>
      </c>
      <c r="CM43" s="1131" t="s">
        <v>16</v>
      </c>
      <c r="CN43" s="1131">
        <v>0</v>
      </c>
      <c r="CO43" s="1131">
        <v>0</v>
      </c>
      <c r="CP43" s="1197">
        <v>0</v>
      </c>
      <c r="CQ43" s="1131">
        <v>31.995294117647056</v>
      </c>
      <c r="CR43" s="1131">
        <v>71.510516252390062</v>
      </c>
      <c r="CS43" s="1131">
        <v>-2</v>
      </c>
      <c r="CT43" s="1131">
        <v>47.99294117647058</v>
      </c>
      <c r="CU43" s="1131">
        <v>210</v>
      </c>
      <c r="CV43" s="1197">
        <v>10.192663130666473</v>
      </c>
      <c r="CW43" s="1129"/>
      <c r="CX43" s="1131"/>
      <c r="CY43" s="1197">
        <v>0</v>
      </c>
      <c r="DA43" s="637">
        <f t="shared" si="0"/>
        <v>0</v>
      </c>
      <c r="DB43" s="379">
        <f t="shared" si="1"/>
        <v>0</v>
      </c>
      <c r="DC43" s="379">
        <f t="shared" si="2"/>
        <v>0</v>
      </c>
      <c r="DD43" s="1238">
        <f t="shared" si="3"/>
        <v>0</v>
      </c>
      <c r="DE43" s="1129">
        <f t="shared" si="4"/>
        <v>0</v>
      </c>
      <c r="DF43" s="1129">
        <f t="shared" si="5"/>
        <v>0</v>
      </c>
      <c r="DG43" s="1129">
        <f t="shared" si="6"/>
        <v>0</v>
      </c>
      <c r="DH43" s="1129">
        <f t="shared" si="7"/>
        <v>0</v>
      </c>
      <c r="DI43" s="1129">
        <f t="shared" si="8"/>
        <v>0</v>
      </c>
      <c r="DJ43" s="1237">
        <f t="shared" si="9"/>
        <v>0</v>
      </c>
      <c r="DK43" s="1240">
        <f t="shared" si="10"/>
        <v>0</v>
      </c>
      <c r="DL43" s="1129">
        <f t="shared" si="11"/>
        <v>0</v>
      </c>
      <c r="DM43" s="1131">
        <f t="shared" si="12"/>
        <v>0</v>
      </c>
      <c r="DN43" s="1241">
        <f t="shared" si="13"/>
        <v>0</v>
      </c>
      <c r="DO43" s="1239">
        <f t="shared" si="14"/>
        <v>130</v>
      </c>
      <c r="DP43" s="1131">
        <f t="shared" si="15"/>
        <v>-54.044755244755251</v>
      </c>
      <c r="DQ43" s="1239">
        <f t="shared" si="16"/>
        <v>-0.75524475524475521</v>
      </c>
      <c r="DR43" s="1239">
        <f t="shared" si="17"/>
        <v>-3.6404839145715053</v>
      </c>
      <c r="DS43" s="1239">
        <f t="shared" si="18"/>
        <v>3.1717817159065818</v>
      </c>
      <c r="DT43" s="1239">
        <f t="shared" si="19"/>
        <v>-3.4941876182752094</v>
      </c>
      <c r="DU43" s="1131">
        <f t="shared" si="20"/>
        <v>2</v>
      </c>
      <c r="DV43" s="1131" t="e">
        <f>#REF!-CB43</f>
        <v>#REF!</v>
      </c>
      <c r="DW43" s="1197">
        <f t="shared" si="21"/>
        <v>-0.44915179778318465</v>
      </c>
      <c r="DX43" s="1239">
        <f t="shared" si="22"/>
        <v>-5.5</v>
      </c>
      <c r="DY43" s="1239">
        <f t="shared" si="23"/>
        <v>-1.87</v>
      </c>
      <c r="DZ43" s="1131">
        <f t="shared" si="24"/>
        <v>60</v>
      </c>
      <c r="EA43" s="1197">
        <f t="shared" si="25"/>
        <v>-1.630300000000001</v>
      </c>
      <c r="EB43" s="1240">
        <f t="shared" si="26"/>
        <v>8.4482447058823542</v>
      </c>
      <c r="EC43" s="1131">
        <f t="shared" si="27"/>
        <v>3.5058123817247804</v>
      </c>
      <c r="ED43" s="1131">
        <f t="shared" si="28"/>
        <v>30.790577778455372</v>
      </c>
      <c r="EE43" s="1131" t="e">
        <f t="shared" si="29"/>
        <v>#VALUE!</v>
      </c>
      <c r="EF43" s="1131" t="e">
        <f t="shared" si="30"/>
        <v>#VALUE!</v>
      </c>
      <c r="EG43" s="1131" t="e">
        <f t="shared" si="31"/>
        <v>#VALUE!</v>
      </c>
      <c r="EH43" s="1131">
        <f t="shared" si="32"/>
        <v>0</v>
      </c>
      <c r="EI43" s="1131">
        <f t="shared" si="33"/>
        <v>0</v>
      </c>
      <c r="EJ43" s="1197">
        <f t="shared" si="34"/>
        <v>0</v>
      </c>
      <c r="EK43" s="1131">
        <f t="shared" si="35"/>
        <v>-25.477647058823528</v>
      </c>
      <c r="EL43" s="1131">
        <f t="shared" si="36"/>
        <v>279.53641515555216</v>
      </c>
      <c r="EM43" s="1131">
        <f t="shared" si="37"/>
        <v>2</v>
      </c>
      <c r="EN43" s="1131">
        <f t="shared" si="40"/>
        <v>-38.70529411764705</v>
      </c>
      <c r="EO43" s="1131">
        <f t="shared" si="41"/>
        <v>-180</v>
      </c>
      <c r="EP43" s="1197">
        <f t="shared" si="42"/>
        <v>-9.8742138966736999</v>
      </c>
      <c r="EQ43" s="1129">
        <f t="shared" si="43"/>
        <v>0</v>
      </c>
      <c r="ER43" s="1131">
        <f t="shared" si="44"/>
        <v>0</v>
      </c>
      <c r="ES43" s="1197">
        <f t="shared" si="45"/>
        <v>0</v>
      </c>
    </row>
    <row r="44" spans="1:149">
      <c r="A44" s="634">
        <f>Eingabedaten!A47</f>
        <v>12.06</v>
      </c>
      <c r="B44" s="463" t="str">
        <f>Eingabedaten!C47</f>
        <v xml:space="preserve">WC, Bad, Dusche </v>
      </c>
      <c r="C44" s="637"/>
      <c r="D44" s="379"/>
      <c r="E44" s="379"/>
      <c r="F44" s="1238"/>
      <c r="G44" s="1129"/>
      <c r="H44" s="1129"/>
      <c r="I44" s="1129"/>
      <c r="J44" s="1129"/>
      <c r="K44" s="1129"/>
      <c r="L44" s="1129"/>
      <c r="M44" s="1129"/>
      <c r="N44" s="1237"/>
      <c r="O44" s="1240">
        <v>0</v>
      </c>
      <c r="P44" s="1131">
        <v>0</v>
      </c>
      <c r="Q44" s="1129">
        <v>0</v>
      </c>
      <c r="R44" s="1131">
        <v>0</v>
      </c>
      <c r="S44" s="1239">
        <v>0</v>
      </c>
      <c r="T44" s="1131">
        <v>0</v>
      </c>
      <c r="U44" s="1240"/>
      <c r="V44" s="1240">
        <v>130</v>
      </c>
      <c r="W44" s="1834">
        <v>0.64209274673008321</v>
      </c>
      <c r="X44" s="1239"/>
      <c r="Y44" s="1239">
        <v>2.4000000000000004</v>
      </c>
      <c r="Z44" s="1239">
        <v>3.1717817159065818</v>
      </c>
      <c r="AA44" s="1239">
        <v>2.9950142450142452</v>
      </c>
      <c r="AB44" s="1131">
        <v>132</v>
      </c>
      <c r="AC44" s="1243">
        <v>0.39534188034188039</v>
      </c>
      <c r="AD44" s="1242">
        <v>8</v>
      </c>
      <c r="AE44" s="1131">
        <v>1850</v>
      </c>
      <c r="AF44" s="1239">
        <v>1.3280000000000001</v>
      </c>
      <c r="AG44" s="1131">
        <v>1380</v>
      </c>
      <c r="AH44" s="1197">
        <v>1.83264</v>
      </c>
      <c r="AI44" s="1240">
        <v>26.983576470588236</v>
      </c>
      <c r="AJ44" s="1131">
        <v>2.9950142450142452</v>
      </c>
      <c r="AK44" s="1131">
        <v>0</v>
      </c>
      <c r="AL44" s="1131" t="s">
        <v>16</v>
      </c>
      <c r="AM44" s="1131" t="s">
        <v>16</v>
      </c>
      <c r="AN44" s="1131" t="s">
        <v>16</v>
      </c>
      <c r="AO44" s="1131">
        <v>0</v>
      </c>
      <c r="AP44" s="1239">
        <v>0</v>
      </c>
      <c r="AQ44" s="1131">
        <v>0</v>
      </c>
      <c r="AR44" s="1131">
        <v>0</v>
      </c>
      <c r="AS44" s="1197">
        <v>0</v>
      </c>
      <c r="AT44" s="1197">
        <v>0</v>
      </c>
      <c r="AU44" s="1131">
        <v>6.5176470588235293</v>
      </c>
      <c r="AV44" s="1131">
        <v>351.04693140794222</v>
      </c>
      <c r="AW44" s="1131">
        <v>0</v>
      </c>
      <c r="AX44" s="1239">
        <v>9.2876470588235307</v>
      </c>
      <c r="AY44" s="1131">
        <v>5400</v>
      </c>
      <c r="AZ44" s="1242">
        <v>1.8078196347031963</v>
      </c>
      <c r="BA44" s="1243">
        <v>50.184980295071675</v>
      </c>
      <c r="BB44" s="1129"/>
      <c r="BC44" s="1131"/>
      <c r="BD44" s="1197">
        <v>0</v>
      </c>
      <c r="BG44" s="637"/>
      <c r="BH44" s="379"/>
      <c r="BI44" s="379"/>
      <c r="BJ44" s="1238"/>
      <c r="BK44" s="1129"/>
      <c r="BL44" s="1129"/>
      <c r="BM44" s="1129"/>
      <c r="BN44" s="1129"/>
      <c r="BO44" s="1129"/>
      <c r="BP44" s="1237"/>
      <c r="BQ44" s="1240">
        <v>0</v>
      </c>
      <c r="BR44" s="1129">
        <v>0</v>
      </c>
      <c r="BS44" s="1131">
        <v>0</v>
      </c>
      <c r="BT44" s="1241"/>
      <c r="BU44" s="1239"/>
      <c r="BV44" s="1131">
        <v>54.800000000000004</v>
      </c>
      <c r="BW44" s="1239">
        <v>0.64209274673008321</v>
      </c>
      <c r="BX44" s="1239">
        <v>7.1049608002162747</v>
      </c>
      <c r="BY44" s="1239">
        <v>0</v>
      </c>
      <c r="BZ44" s="1239">
        <v>7.1049608002162747</v>
      </c>
      <c r="CA44" s="1131">
        <v>130</v>
      </c>
      <c r="CB44" s="1131">
        <v>0</v>
      </c>
      <c r="CC44" s="1197">
        <v>0.92364490402811572</v>
      </c>
      <c r="CD44" s="1239">
        <v>16</v>
      </c>
      <c r="CE44" s="1239">
        <v>2.6560000000000001</v>
      </c>
      <c r="CF44" s="1131">
        <v>1160</v>
      </c>
      <c r="CG44" s="1197">
        <v>3.0809600000000001</v>
      </c>
      <c r="CH44" s="1240">
        <v>8.9894117647058831</v>
      </c>
      <c r="CI44" s="1131">
        <v>7.1049608002162747</v>
      </c>
      <c r="CJ44" s="1131">
        <v>1.6577959277190433</v>
      </c>
      <c r="CK44" s="1131" t="s">
        <v>16</v>
      </c>
      <c r="CL44" s="1131" t="s">
        <v>16</v>
      </c>
      <c r="CM44" s="1131" t="s">
        <v>16</v>
      </c>
      <c r="CN44" s="1131">
        <v>0</v>
      </c>
      <c r="CO44" s="1131">
        <v>0</v>
      </c>
      <c r="CP44" s="1197">
        <v>0</v>
      </c>
      <c r="CQ44" s="1131">
        <v>26.875294117647059</v>
      </c>
      <c r="CR44" s="1131">
        <v>85.133952022412885</v>
      </c>
      <c r="CS44" s="1131">
        <v>-2</v>
      </c>
      <c r="CT44" s="1131">
        <v>41.656705882352938</v>
      </c>
      <c r="CU44" s="1131">
        <v>660</v>
      </c>
      <c r="CV44" s="1197">
        <v>27.377205742090936</v>
      </c>
      <c r="CW44" s="1129"/>
      <c r="CX44" s="1131"/>
      <c r="CY44" s="1197">
        <v>0</v>
      </c>
      <c r="DA44" s="637">
        <f t="shared" si="0"/>
        <v>0</v>
      </c>
      <c r="DB44" s="379">
        <f t="shared" si="1"/>
        <v>0</v>
      </c>
      <c r="DC44" s="379">
        <f t="shared" si="2"/>
        <v>0</v>
      </c>
      <c r="DD44" s="1238">
        <f t="shared" si="3"/>
        <v>0</v>
      </c>
      <c r="DE44" s="1129">
        <f t="shared" si="4"/>
        <v>0</v>
      </c>
      <c r="DF44" s="1129">
        <f t="shared" si="5"/>
        <v>0</v>
      </c>
      <c r="DG44" s="1129">
        <f t="shared" si="6"/>
        <v>0</v>
      </c>
      <c r="DH44" s="1129">
        <f t="shared" si="7"/>
        <v>0</v>
      </c>
      <c r="DI44" s="1129">
        <f t="shared" si="8"/>
        <v>0</v>
      </c>
      <c r="DJ44" s="1237">
        <f t="shared" si="9"/>
        <v>0</v>
      </c>
      <c r="DK44" s="1240">
        <f t="shared" si="10"/>
        <v>0</v>
      </c>
      <c r="DL44" s="1129">
        <f t="shared" si="11"/>
        <v>0</v>
      </c>
      <c r="DM44" s="1131">
        <f t="shared" si="12"/>
        <v>0</v>
      </c>
      <c r="DN44" s="1241">
        <f t="shared" si="13"/>
        <v>0</v>
      </c>
      <c r="DO44" s="1239">
        <f t="shared" si="14"/>
        <v>130</v>
      </c>
      <c r="DP44" s="1131">
        <f t="shared" si="15"/>
        <v>-54.157907253269919</v>
      </c>
      <c r="DQ44" s="1239">
        <f t="shared" si="16"/>
        <v>-0.64209274673008321</v>
      </c>
      <c r="DR44" s="1239">
        <f t="shared" si="17"/>
        <v>-4.7049608002162744</v>
      </c>
      <c r="DS44" s="1239">
        <f t="shared" si="18"/>
        <v>3.1717817159065818</v>
      </c>
      <c r="DT44" s="1239">
        <f t="shared" si="19"/>
        <v>-4.1099465552020291</v>
      </c>
      <c r="DU44" s="1131">
        <f t="shared" si="20"/>
        <v>2</v>
      </c>
      <c r="DV44" s="1131" t="e">
        <f>#REF!-CB44</f>
        <v>#REF!</v>
      </c>
      <c r="DW44" s="1197">
        <f t="shared" si="21"/>
        <v>-0.52830302368623538</v>
      </c>
      <c r="DX44" s="1239">
        <f t="shared" si="22"/>
        <v>-8</v>
      </c>
      <c r="DY44" s="1239">
        <f t="shared" si="23"/>
        <v>-1.3280000000000001</v>
      </c>
      <c r="DZ44" s="1131">
        <f t="shared" si="24"/>
        <v>220</v>
      </c>
      <c r="EA44" s="1197">
        <f t="shared" si="25"/>
        <v>-1.2483200000000001</v>
      </c>
      <c r="EB44" s="1240">
        <f t="shared" si="26"/>
        <v>17.994164705882355</v>
      </c>
      <c r="EC44" s="1131">
        <f t="shared" si="27"/>
        <v>-4.1099465552020291</v>
      </c>
      <c r="ED44" s="1131">
        <f t="shared" si="28"/>
        <v>-1.6577959277190433</v>
      </c>
      <c r="EE44" s="1131" t="e">
        <f t="shared" si="29"/>
        <v>#VALUE!</v>
      </c>
      <c r="EF44" s="1131" t="e">
        <f t="shared" si="30"/>
        <v>#VALUE!</v>
      </c>
      <c r="EG44" s="1131" t="e">
        <f t="shared" si="31"/>
        <v>#VALUE!</v>
      </c>
      <c r="EH44" s="1131">
        <f t="shared" si="32"/>
        <v>0</v>
      </c>
      <c r="EI44" s="1131">
        <f t="shared" si="33"/>
        <v>0</v>
      </c>
      <c r="EJ44" s="1197">
        <f t="shared" si="34"/>
        <v>0</v>
      </c>
      <c r="EK44" s="1131">
        <f t="shared" si="35"/>
        <v>-20.357647058823531</v>
      </c>
      <c r="EL44" s="1131">
        <f t="shared" si="36"/>
        <v>265.91297938552935</v>
      </c>
      <c r="EM44" s="1131">
        <f t="shared" si="37"/>
        <v>2</v>
      </c>
      <c r="EN44" s="1131">
        <f t="shared" si="40"/>
        <v>-32.369058823529407</v>
      </c>
      <c r="EO44" s="1131">
        <f t="shared" si="41"/>
        <v>4740</v>
      </c>
      <c r="EP44" s="1197">
        <f t="shared" si="42"/>
        <v>22.807774552980739</v>
      </c>
      <c r="EQ44" s="1129">
        <f t="shared" si="43"/>
        <v>0</v>
      </c>
      <c r="ER44" s="1131">
        <f t="shared" si="44"/>
        <v>0</v>
      </c>
      <c r="ES44" s="1197">
        <f t="shared" si="45"/>
        <v>0</v>
      </c>
    </row>
    <row r="45" spans="1:149">
      <c r="A45" s="633">
        <f>Eingabedaten!A48</f>
        <v>12.07</v>
      </c>
      <c r="B45" s="463" t="str">
        <f>Eingabedaten!C48</f>
        <v>WC</v>
      </c>
      <c r="C45" s="637"/>
      <c r="D45" s="379"/>
      <c r="E45" s="379"/>
      <c r="F45" s="1238"/>
      <c r="G45" s="1129"/>
      <c r="H45" s="1129"/>
      <c r="I45" s="1129"/>
      <c r="J45" s="1129"/>
      <c r="K45" s="1129"/>
      <c r="L45" s="1129"/>
      <c r="M45" s="1129"/>
      <c r="N45" s="1237"/>
      <c r="O45" s="1240">
        <v>0</v>
      </c>
      <c r="P45" s="1131">
        <v>0</v>
      </c>
      <c r="Q45" s="1129">
        <v>0</v>
      </c>
      <c r="R45" s="1131">
        <v>0</v>
      </c>
      <c r="S45" s="1239">
        <v>0</v>
      </c>
      <c r="T45" s="1131">
        <v>0</v>
      </c>
      <c r="U45" s="1240"/>
      <c r="V45" s="1240">
        <v>130</v>
      </c>
      <c r="W45" s="1834">
        <v>0.39130434782608692</v>
      </c>
      <c r="X45" s="1239"/>
      <c r="Y45" s="1239">
        <v>2.4000000000000004</v>
      </c>
      <c r="Z45" s="1239">
        <v>2.4000000000000004</v>
      </c>
      <c r="AA45" s="1239">
        <v>4.9145299145299148</v>
      </c>
      <c r="AB45" s="1131">
        <v>100</v>
      </c>
      <c r="AC45" s="1243">
        <v>0.49145299145299143</v>
      </c>
      <c r="AD45" s="1242">
        <v>8</v>
      </c>
      <c r="AE45" s="1131">
        <v>1850</v>
      </c>
      <c r="AF45" s="1239">
        <v>1.3280000000000001</v>
      </c>
      <c r="AG45" s="1131">
        <v>1380</v>
      </c>
      <c r="AH45" s="1197">
        <v>1.83264</v>
      </c>
      <c r="AI45" s="1240">
        <v>34.866141176470592</v>
      </c>
      <c r="AJ45" s="1131">
        <v>4.9145299145299148</v>
      </c>
      <c r="AK45" s="1131">
        <v>0</v>
      </c>
      <c r="AL45" s="1131" t="s">
        <v>16</v>
      </c>
      <c r="AM45" s="1131" t="s">
        <v>16</v>
      </c>
      <c r="AN45" s="1131" t="s">
        <v>16</v>
      </c>
      <c r="AO45" s="1131">
        <v>0</v>
      </c>
      <c r="AP45" s="1239">
        <v>0</v>
      </c>
      <c r="AQ45" s="1131">
        <v>0</v>
      </c>
      <c r="AR45" s="1131">
        <v>0</v>
      </c>
      <c r="AS45" s="1197">
        <v>0</v>
      </c>
      <c r="AT45" s="1197">
        <v>0</v>
      </c>
      <c r="AU45" s="1131">
        <v>2.7788235294117647</v>
      </c>
      <c r="AV45" s="1131">
        <v>222.68416596104996</v>
      </c>
      <c r="AW45" s="1131">
        <v>-5.9737510584250586E-2</v>
      </c>
      <c r="AX45" s="1239">
        <v>19.840617647058824</v>
      </c>
      <c r="AY45" s="1131">
        <v>1400</v>
      </c>
      <c r="AZ45" s="1242">
        <v>0.56445490867579906</v>
      </c>
      <c r="BA45" s="1243">
        <v>27.699408848823808</v>
      </c>
      <c r="BB45" s="1129"/>
      <c r="BC45" s="1131"/>
      <c r="BD45" s="1197">
        <v>0</v>
      </c>
      <c r="BG45" s="637"/>
      <c r="BH45" s="379"/>
      <c r="BI45" s="379"/>
      <c r="BJ45" s="1238"/>
      <c r="BK45" s="1129"/>
      <c r="BL45" s="1129"/>
      <c r="BM45" s="1129"/>
      <c r="BN45" s="1129"/>
      <c r="BO45" s="1129"/>
      <c r="BP45" s="1237"/>
      <c r="BQ45" s="1240">
        <v>0</v>
      </c>
      <c r="BR45" s="1129">
        <v>0</v>
      </c>
      <c r="BS45" s="1131">
        <v>0</v>
      </c>
      <c r="BT45" s="1241"/>
      <c r="BU45" s="1239"/>
      <c r="BV45" s="1131">
        <v>54.800000000000004</v>
      </c>
      <c r="BW45" s="1239">
        <v>0.39130434782608692</v>
      </c>
      <c r="BX45" s="1239">
        <v>11.658556366585564</v>
      </c>
      <c r="BY45" s="1239">
        <v>0</v>
      </c>
      <c r="BZ45" s="1239">
        <v>11.658556366585564</v>
      </c>
      <c r="CA45" s="1131">
        <v>460</v>
      </c>
      <c r="CB45" s="1131">
        <v>0</v>
      </c>
      <c r="CC45" s="1197">
        <v>5.3629359286293594</v>
      </c>
      <c r="CD45" s="1239">
        <v>8</v>
      </c>
      <c r="CE45" s="1239">
        <v>1.3280000000000001</v>
      </c>
      <c r="CF45" s="1131">
        <v>1160</v>
      </c>
      <c r="CG45" s="1197">
        <v>1.5404800000000001</v>
      </c>
      <c r="CH45" s="1240">
        <v>22.473529411764709</v>
      </c>
      <c r="CI45" s="1131">
        <v>11.658556366585564</v>
      </c>
      <c r="CJ45" s="1131">
        <v>30.293616295638756</v>
      </c>
      <c r="CK45" s="1131" t="s">
        <v>16</v>
      </c>
      <c r="CL45" s="1131" t="s">
        <v>16</v>
      </c>
      <c r="CM45" s="1131" t="s">
        <v>16</v>
      </c>
      <c r="CN45" s="1131">
        <v>0</v>
      </c>
      <c r="CO45" s="1131">
        <v>0</v>
      </c>
      <c r="CP45" s="1197">
        <v>0</v>
      </c>
      <c r="CQ45" s="1131">
        <v>4.9576470588235289</v>
      </c>
      <c r="CR45" s="1131">
        <v>124.8172757475083</v>
      </c>
      <c r="CS45" s="1131">
        <v>-1</v>
      </c>
      <c r="CT45" s="1131">
        <v>35.942941176470583</v>
      </c>
      <c r="CU45" s="1131">
        <v>1000</v>
      </c>
      <c r="CV45" s="1197">
        <v>35.921675289229078</v>
      </c>
      <c r="CW45" s="1129"/>
      <c r="CX45" s="1131"/>
      <c r="CY45" s="1197">
        <v>0</v>
      </c>
      <c r="DA45" s="637">
        <f t="shared" si="0"/>
        <v>0</v>
      </c>
      <c r="DB45" s="379">
        <f t="shared" si="1"/>
        <v>0</v>
      </c>
      <c r="DC45" s="379">
        <f t="shared" si="2"/>
        <v>0</v>
      </c>
      <c r="DD45" s="1238">
        <f t="shared" si="3"/>
        <v>0</v>
      </c>
      <c r="DE45" s="1129">
        <f t="shared" si="4"/>
        <v>0</v>
      </c>
      <c r="DF45" s="1129">
        <f t="shared" si="5"/>
        <v>0</v>
      </c>
      <c r="DG45" s="1129">
        <f t="shared" si="6"/>
        <v>0</v>
      </c>
      <c r="DH45" s="1129">
        <f t="shared" si="7"/>
        <v>0</v>
      </c>
      <c r="DI45" s="1129">
        <f t="shared" si="8"/>
        <v>0</v>
      </c>
      <c r="DJ45" s="1237">
        <f t="shared" si="9"/>
        <v>0</v>
      </c>
      <c r="DK45" s="1240">
        <f t="shared" si="10"/>
        <v>0</v>
      </c>
      <c r="DL45" s="1129">
        <f t="shared" si="11"/>
        <v>0</v>
      </c>
      <c r="DM45" s="1131">
        <f t="shared" si="12"/>
        <v>0</v>
      </c>
      <c r="DN45" s="1241">
        <f t="shared" si="13"/>
        <v>0</v>
      </c>
      <c r="DO45" s="1239">
        <f t="shared" si="14"/>
        <v>130</v>
      </c>
      <c r="DP45" s="1131">
        <f t="shared" si="15"/>
        <v>-54.408695652173918</v>
      </c>
      <c r="DQ45" s="1239">
        <f t="shared" si="16"/>
        <v>-0.39130434782608692</v>
      </c>
      <c r="DR45" s="1239">
        <f t="shared" si="17"/>
        <v>-9.2585563665855641</v>
      </c>
      <c r="DS45" s="1239">
        <f t="shared" si="18"/>
        <v>2.4000000000000004</v>
      </c>
      <c r="DT45" s="1239">
        <f t="shared" si="19"/>
        <v>-6.7440264520556497</v>
      </c>
      <c r="DU45" s="1131">
        <f t="shared" si="20"/>
        <v>-360</v>
      </c>
      <c r="DV45" s="1131" t="e">
        <f>#REF!-CB45</f>
        <v>#REF!</v>
      </c>
      <c r="DW45" s="1197">
        <f t="shared" si="21"/>
        <v>-4.8714829371763679</v>
      </c>
      <c r="DX45" s="1239">
        <f t="shared" si="22"/>
        <v>0</v>
      </c>
      <c r="DY45" s="1239">
        <f t="shared" si="23"/>
        <v>0</v>
      </c>
      <c r="DZ45" s="1131">
        <f t="shared" si="24"/>
        <v>220</v>
      </c>
      <c r="EA45" s="1197">
        <f t="shared" si="25"/>
        <v>0.29215999999999998</v>
      </c>
      <c r="EB45" s="1240">
        <f t="shared" si="26"/>
        <v>12.392611764705883</v>
      </c>
      <c r="EC45" s="1131">
        <f t="shared" si="27"/>
        <v>-6.7440264520556497</v>
      </c>
      <c r="ED45" s="1131">
        <f t="shared" si="28"/>
        <v>-30.293616295638756</v>
      </c>
      <c r="EE45" s="1131" t="e">
        <f t="shared" si="29"/>
        <v>#VALUE!</v>
      </c>
      <c r="EF45" s="1131" t="e">
        <f t="shared" si="30"/>
        <v>#VALUE!</v>
      </c>
      <c r="EG45" s="1131" t="e">
        <f t="shared" si="31"/>
        <v>#VALUE!</v>
      </c>
      <c r="EH45" s="1131">
        <f t="shared" si="32"/>
        <v>0</v>
      </c>
      <c r="EI45" s="1131">
        <f t="shared" si="33"/>
        <v>0</v>
      </c>
      <c r="EJ45" s="1197">
        <f t="shared" si="34"/>
        <v>0</v>
      </c>
      <c r="EK45" s="1131">
        <f t="shared" si="35"/>
        <v>-2.1788235294117642</v>
      </c>
      <c r="EL45" s="1131">
        <f t="shared" si="36"/>
        <v>97.866890213541652</v>
      </c>
      <c r="EM45" s="1131">
        <f t="shared" si="37"/>
        <v>0.94026248941574941</v>
      </c>
      <c r="EN45" s="1131">
        <f t="shared" si="40"/>
        <v>-16.102323529411759</v>
      </c>
      <c r="EO45" s="1131">
        <f t="shared" si="41"/>
        <v>400</v>
      </c>
      <c r="EP45" s="1197">
        <f t="shared" si="42"/>
        <v>-8.2222664404052708</v>
      </c>
      <c r="EQ45" s="1129">
        <f t="shared" si="43"/>
        <v>0</v>
      </c>
      <c r="ER45" s="1131">
        <f t="shared" si="44"/>
        <v>0</v>
      </c>
      <c r="ES45" s="1197">
        <f t="shared" si="45"/>
        <v>0</v>
      </c>
    </row>
    <row r="46" spans="1:149">
      <c r="A46" s="634">
        <f>Eingabedaten!A49</f>
        <v>12.08</v>
      </c>
      <c r="B46" s="463" t="str">
        <f>Eingabedaten!C49</f>
        <v>Garderobe, Dusche</v>
      </c>
      <c r="C46" s="637"/>
      <c r="D46" s="379"/>
      <c r="E46" s="379"/>
      <c r="F46" s="1238"/>
      <c r="G46" s="1129"/>
      <c r="H46" s="1129"/>
      <c r="I46" s="1129"/>
      <c r="J46" s="1129"/>
      <c r="K46" s="1129"/>
      <c r="L46" s="1129"/>
      <c r="M46" s="1129"/>
      <c r="N46" s="1237"/>
      <c r="O46" s="1240">
        <v>0</v>
      </c>
      <c r="P46" s="1131">
        <v>0</v>
      </c>
      <c r="Q46" s="1129">
        <v>0</v>
      </c>
      <c r="R46" s="1131">
        <v>0</v>
      </c>
      <c r="S46" s="1239">
        <v>0</v>
      </c>
      <c r="T46" s="1131">
        <v>0</v>
      </c>
      <c r="U46" s="1240"/>
      <c r="V46" s="1240">
        <v>130</v>
      </c>
      <c r="W46" s="1834">
        <v>0.68067226890756305</v>
      </c>
      <c r="X46" s="1239"/>
      <c r="Y46" s="1239">
        <v>2</v>
      </c>
      <c r="Z46" s="1239">
        <v>2.8076785399022364</v>
      </c>
      <c r="AA46" s="1239">
        <v>2.8252611585944916</v>
      </c>
      <c r="AB46" s="1131">
        <v>141</v>
      </c>
      <c r="AC46" s="1243">
        <v>0.3983618233618233</v>
      </c>
      <c r="AD46" s="1242">
        <v>8</v>
      </c>
      <c r="AE46" s="1131">
        <v>1850</v>
      </c>
      <c r="AF46" s="1239">
        <v>1.3280000000000001</v>
      </c>
      <c r="AG46" s="1131">
        <v>1380</v>
      </c>
      <c r="AH46" s="1197">
        <v>1.83264</v>
      </c>
      <c r="AI46" s="1240">
        <v>16.084376470588236</v>
      </c>
      <c r="AJ46" s="1131">
        <v>2.8252611585944916</v>
      </c>
      <c r="AK46" s="1131">
        <v>0</v>
      </c>
      <c r="AL46" s="1131" t="s">
        <v>16</v>
      </c>
      <c r="AM46" s="1131" t="s">
        <v>16</v>
      </c>
      <c r="AN46" s="1131" t="s">
        <v>16</v>
      </c>
      <c r="AO46" s="1131">
        <v>0</v>
      </c>
      <c r="AP46" s="1239">
        <v>0</v>
      </c>
      <c r="AQ46" s="1131">
        <v>0</v>
      </c>
      <c r="AR46" s="1131">
        <v>0</v>
      </c>
      <c r="AS46" s="1197">
        <v>0</v>
      </c>
      <c r="AT46" s="1197">
        <v>0</v>
      </c>
      <c r="AU46" s="1131">
        <v>12.307764705882352</v>
      </c>
      <c r="AV46" s="1131">
        <v>323.79559532002759</v>
      </c>
      <c r="AW46" s="1131">
        <v>0</v>
      </c>
      <c r="AX46" s="1239">
        <v>9.7436470588235302</v>
      </c>
      <c r="AY46" s="1131">
        <v>1850</v>
      </c>
      <c r="AZ46" s="1242">
        <v>0.56445490867579906</v>
      </c>
      <c r="BA46" s="1243">
        <v>18.003642287087548</v>
      </c>
      <c r="BB46" s="1129"/>
      <c r="BC46" s="1131"/>
      <c r="BD46" s="1197">
        <v>0</v>
      </c>
      <c r="BG46" s="637"/>
      <c r="BH46" s="379"/>
      <c r="BI46" s="379"/>
      <c r="BJ46" s="1238"/>
      <c r="BK46" s="1129"/>
      <c r="BL46" s="1129"/>
      <c r="BM46" s="1129"/>
      <c r="BN46" s="1129"/>
      <c r="BO46" s="1129"/>
      <c r="BP46" s="1237"/>
      <c r="BQ46" s="1240">
        <v>0</v>
      </c>
      <c r="BR46" s="1129">
        <v>0</v>
      </c>
      <c r="BS46" s="1131">
        <v>0</v>
      </c>
      <c r="BT46" s="1241"/>
      <c r="BU46" s="1239"/>
      <c r="BV46" s="1131">
        <v>54.800000000000004</v>
      </c>
      <c r="BW46" s="1239">
        <v>0.68067226890756305</v>
      </c>
      <c r="BX46" s="1239">
        <v>6.7022618725781742</v>
      </c>
      <c r="BY46" s="1239">
        <v>0</v>
      </c>
      <c r="BZ46" s="1239">
        <v>6.7022618725781742</v>
      </c>
      <c r="CA46" s="1131">
        <v>150</v>
      </c>
      <c r="CB46" s="1131">
        <v>0</v>
      </c>
      <c r="CC46" s="1197">
        <v>1.0053392808867261</v>
      </c>
      <c r="CD46" s="1239">
        <v>20</v>
      </c>
      <c r="CE46" s="1239">
        <v>3.3200000000000003</v>
      </c>
      <c r="CF46" s="1131">
        <v>1160</v>
      </c>
      <c r="CG46" s="1197">
        <v>3.8512000000000004</v>
      </c>
      <c r="CH46" s="1240">
        <v>8.9894117647058831</v>
      </c>
      <c r="CI46" s="1131">
        <v>6.7022618725781742</v>
      </c>
      <c r="CJ46" s="1131">
        <v>1.5638344462827281</v>
      </c>
      <c r="CK46" s="1131" t="s">
        <v>16</v>
      </c>
      <c r="CL46" s="1131" t="s">
        <v>16</v>
      </c>
      <c r="CM46" s="1131" t="s">
        <v>16</v>
      </c>
      <c r="CN46" s="1131">
        <v>0</v>
      </c>
      <c r="CO46" s="1131">
        <v>0</v>
      </c>
      <c r="CP46" s="1197">
        <v>0</v>
      </c>
      <c r="CQ46" s="1131">
        <v>57.591529411764697</v>
      </c>
      <c r="CR46" s="1131">
        <v>69.197676128842488</v>
      </c>
      <c r="CS46" s="1131">
        <v>-2</v>
      </c>
      <c r="CT46" s="1131">
        <v>49.592705882352931</v>
      </c>
      <c r="CU46" s="1131">
        <v>610</v>
      </c>
      <c r="CV46" s="1197">
        <v>30.359042457821278</v>
      </c>
      <c r="CW46" s="1129"/>
      <c r="CX46" s="1131"/>
      <c r="CY46" s="1197">
        <v>0</v>
      </c>
      <c r="DA46" s="637">
        <f t="shared" si="0"/>
        <v>0</v>
      </c>
      <c r="DB46" s="379">
        <f t="shared" si="1"/>
        <v>0</v>
      </c>
      <c r="DC46" s="379">
        <f t="shared" si="2"/>
        <v>0</v>
      </c>
      <c r="DD46" s="1238">
        <f t="shared" si="3"/>
        <v>0</v>
      </c>
      <c r="DE46" s="1129">
        <f t="shared" si="4"/>
        <v>0</v>
      </c>
      <c r="DF46" s="1129">
        <f t="shared" si="5"/>
        <v>0</v>
      </c>
      <c r="DG46" s="1129">
        <f t="shared" si="6"/>
        <v>0</v>
      </c>
      <c r="DH46" s="1129">
        <f t="shared" si="7"/>
        <v>0</v>
      </c>
      <c r="DI46" s="1129">
        <f t="shared" si="8"/>
        <v>0</v>
      </c>
      <c r="DJ46" s="1237">
        <f t="shared" si="9"/>
        <v>0</v>
      </c>
      <c r="DK46" s="1240">
        <f t="shared" si="10"/>
        <v>0</v>
      </c>
      <c r="DL46" s="1129">
        <f t="shared" si="11"/>
        <v>0</v>
      </c>
      <c r="DM46" s="1131">
        <f t="shared" si="12"/>
        <v>0</v>
      </c>
      <c r="DN46" s="1241">
        <f t="shared" si="13"/>
        <v>0</v>
      </c>
      <c r="DO46" s="1239">
        <f t="shared" si="14"/>
        <v>130</v>
      </c>
      <c r="DP46" s="1131">
        <f t="shared" si="15"/>
        <v>-54.11932773109244</v>
      </c>
      <c r="DQ46" s="1239">
        <f t="shared" si="16"/>
        <v>-0.68067226890756305</v>
      </c>
      <c r="DR46" s="1239">
        <f t="shared" si="17"/>
        <v>-4.7022618725781742</v>
      </c>
      <c r="DS46" s="1239">
        <f t="shared" si="18"/>
        <v>2.8076785399022364</v>
      </c>
      <c r="DT46" s="1239">
        <f t="shared" si="19"/>
        <v>-3.8770007139836826</v>
      </c>
      <c r="DU46" s="1131">
        <f t="shared" si="20"/>
        <v>-9</v>
      </c>
      <c r="DV46" s="1131" t="e">
        <f>#REF!-CB46</f>
        <v>#REF!</v>
      </c>
      <c r="DW46" s="1197">
        <f t="shared" si="21"/>
        <v>-0.60697745752490273</v>
      </c>
      <c r="DX46" s="1239">
        <f t="shared" si="22"/>
        <v>-12</v>
      </c>
      <c r="DY46" s="1239">
        <f t="shared" si="23"/>
        <v>-1.9920000000000002</v>
      </c>
      <c r="DZ46" s="1131">
        <f t="shared" si="24"/>
        <v>220</v>
      </c>
      <c r="EA46" s="1197">
        <f t="shared" si="25"/>
        <v>-2.0185600000000004</v>
      </c>
      <c r="EB46" s="1240">
        <f t="shared" si="26"/>
        <v>7.0949647058823526</v>
      </c>
      <c r="EC46" s="1131">
        <f t="shared" si="27"/>
        <v>-3.8770007139836826</v>
      </c>
      <c r="ED46" s="1131">
        <f t="shared" si="28"/>
        <v>-1.5638344462827281</v>
      </c>
      <c r="EE46" s="1131" t="e">
        <f t="shared" si="29"/>
        <v>#VALUE!</v>
      </c>
      <c r="EF46" s="1131" t="e">
        <f t="shared" si="30"/>
        <v>#VALUE!</v>
      </c>
      <c r="EG46" s="1131" t="e">
        <f t="shared" si="31"/>
        <v>#VALUE!</v>
      </c>
      <c r="EH46" s="1131">
        <f t="shared" si="32"/>
        <v>0</v>
      </c>
      <c r="EI46" s="1131">
        <f t="shared" si="33"/>
        <v>0</v>
      </c>
      <c r="EJ46" s="1197">
        <f t="shared" si="34"/>
        <v>0</v>
      </c>
      <c r="EK46" s="1131">
        <f t="shared" si="35"/>
        <v>-45.283764705882348</v>
      </c>
      <c r="EL46" s="1131">
        <f t="shared" si="36"/>
        <v>254.5979191911851</v>
      </c>
      <c r="EM46" s="1131">
        <f t="shared" si="37"/>
        <v>2</v>
      </c>
      <c r="EN46" s="1131">
        <f t="shared" si="40"/>
        <v>-39.849058823529404</v>
      </c>
      <c r="EO46" s="1131">
        <f t="shared" si="41"/>
        <v>1240</v>
      </c>
      <c r="EP46" s="1197">
        <f t="shared" si="42"/>
        <v>-12.355400170733731</v>
      </c>
      <c r="EQ46" s="1129">
        <f t="shared" si="43"/>
        <v>0</v>
      </c>
      <c r="ER46" s="1131">
        <f t="shared" si="44"/>
        <v>0</v>
      </c>
      <c r="ES46" s="1197">
        <f t="shared" si="45"/>
        <v>0</v>
      </c>
    </row>
    <row r="47" spans="1:149">
      <c r="A47" s="634">
        <f>Eingabedaten!A50</f>
        <v>12.09</v>
      </c>
      <c r="B47" s="463" t="str">
        <f>Eingabedaten!C50</f>
        <v>Parkhaus</v>
      </c>
      <c r="C47" s="637"/>
      <c r="D47" s="379"/>
      <c r="E47" s="379"/>
      <c r="F47" s="1238"/>
      <c r="G47" s="1129"/>
      <c r="H47" s="1129"/>
      <c r="I47" s="1129"/>
      <c r="J47" s="1129"/>
      <c r="K47" s="1129"/>
      <c r="L47" s="1129"/>
      <c r="M47" s="1129"/>
      <c r="N47" s="1237"/>
      <c r="O47" s="1240">
        <v>0</v>
      </c>
      <c r="P47" s="1131">
        <v>0</v>
      </c>
      <c r="Q47" s="1129">
        <v>2130</v>
      </c>
      <c r="R47" s="1131">
        <v>0</v>
      </c>
      <c r="S47" s="1239">
        <v>0</v>
      </c>
      <c r="T47" s="1131">
        <v>0</v>
      </c>
      <c r="U47" s="1240"/>
      <c r="V47" s="1240">
        <v>160</v>
      </c>
      <c r="W47" s="1834">
        <v>1.0424710424710426</v>
      </c>
      <c r="X47" s="1239"/>
      <c r="Y47" s="1239">
        <v>1.4</v>
      </c>
      <c r="Z47" s="1239">
        <v>11</v>
      </c>
      <c r="AA47" s="1239">
        <v>0.5620659722222221</v>
      </c>
      <c r="AB47" s="1131">
        <v>642</v>
      </c>
      <c r="AC47" s="1243">
        <v>0.36084635416666655</v>
      </c>
      <c r="AD47" s="1242">
        <v>0</v>
      </c>
      <c r="AE47" s="1131">
        <v>4380</v>
      </c>
      <c r="AF47" s="1239">
        <v>0</v>
      </c>
      <c r="AG47" s="1131">
        <v>3380</v>
      </c>
      <c r="AH47" s="1197">
        <v>0</v>
      </c>
      <c r="AI47" s="1240">
        <v>0.33600000000000002</v>
      </c>
      <c r="AJ47" s="1131">
        <v>0.5620659722222221</v>
      </c>
      <c r="AK47" s="1131">
        <v>6.1827256944444446</v>
      </c>
      <c r="AL47" s="1131" t="s">
        <v>16</v>
      </c>
      <c r="AM47" s="1131" t="s">
        <v>16</v>
      </c>
      <c r="AN47" s="1131" t="s">
        <v>16</v>
      </c>
      <c r="AO47" s="1131">
        <v>0</v>
      </c>
      <c r="AP47" s="1239">
        <v>0</v>
      </c>
      <c r="AQ47" s="1131">
        <v>0</v>
      </c>
      <c r="AR47" s="1131">
        <v>0</v>
      </c>
      <c r="AS47" s="1197">
        <v>0</v>
      </c>
      <c r="AT47" s="1197">
        <v>0</v>
      </c>
      <c r="AU47" s="1131">
        <v>0</v>
      </c>
      <c r="AV47" s="1131">
        <v>0</v>
      </c>
      <c r="AW47" s="1131">
        <v>-3</v>
      </c>
      <c r="AX47" s="1239">
        <v>0</v>
      </c>
      <c r="AY47" s="1131">
        <v>0</v>
      </c>
      <c r="AZ47" s="1242">
        <v>0</v>
      </c>
      <c r="BA47" s="1243">
        <v>0</v>
      </c>
      <c r="BB47" s="1129"/>
      <c r="BC47" s="1131"/>
      <c r="BD47" s="1197">
        <v>0</v>
      </c>
      <c r="BG47" s="637"/>
      <c r="BH47" s="379"/>
      <c r="BI47" s="379"/>
      <c r="BJ47" s="1238"/>
      <c r="BK47" s="1129"/>
      <c r="BL47" s="1129"/>
      <c r="BM47" s="1129"/>
      <c r="BN47" s="1129"/>
      <c r="BO47" s="1129"/>
      <c r="BP47" s="1237"/>
      <c r="BQ47" s="1240">
        <v>0.5</v>
      </c>
      <c r="BR47" s="1129">
        <v>2130</v>
      </c>
      <c r="BS47" s="1131">
        <v>1.0649999999999999</v>
      </c>
      <c r="BT47" s="1241"/>
      <c r="BU47" s="1239"/>
      <c r="BV47" s="1131">
        <v>48.55</v>
      </c>
      <c r="BW47" s="1239">
        <v>1.0424710424710426</v>
      </c>
      <c r="BX47" s="1239">
        <v>1.8523286417210205</v>
      </c>
      <c r="BY47" s="1239">
        <v>0</v>
      </c>
      <c r="BZ47" s="1239">
        <v>1.8523286417210205</v>
      </c>
      <c r="CA47" s="1131">
        <v>640</v>
      </c>
      <c r="CB47" s="1131">
        <v>0</v>
      </c>
      <c r="CC47" s="1197">
        <v>1.1854903307014533</v>
      </c>
      <c r="CD47" s="1239">
        <v>2</v>
      </c>
      <c r="CE47" s="1239">
        <v>0.16600000000000001</v>
      </c>
      <c r="CF47" s="1131">
        <v>2100</v>
      </c>
      <c r="CG47" s="1197">
        <v>0.34860000000000002</v>
      </c>
      <c r="CH47" s="1240">
        <v>0</v>
      </c>
      <c r="CI47" s="1131">
        <v>2.3523286417210203</v>
      </c>
      <c r="CJ47" s="1131">
        <v>8.4660544684746526</v>
      </c>
      <c r="CK47" s="1131" t="s">
        <v>16</v>
      </c>
      <c r="CL47" s="1131" t="s">
        <v>16</v>
      </c>
      <c r="CM47" s="1131" t="s">
        <v>16</v>
      </c>
      <c r="CN47" s="1131">
        <v>0</v>
      </c>
      <c r="CO47" s="1131">
        <v>0</v>
      </c>
      <c r="CP47" s="1197">
        <v>0</v>
      </c>
      <c r="CQ47" s="1131">
        <v>70.399999999999991</v>
      </c>
      <c r="CR47" s="1131">
        <v>511.36363636363643</v>
      </c>
      <c r="CS47" s="1131">
        <v>0</v>
      </c>
      <c r="CT47" s="1131">
        <v>0</v>
      </c>
      <c r="CU47" s="1131">
        <v>0</v>
      </c>
      <c r="CV47" s="1197">
        <v>0</v>
      </c>
      <c r="CW47" s="1129"/>
      <c r="CX47" s="1131"/>
      <c r="CY47" s="1197">
        <v>0</v>
      </c>
      <c r="DA47" s="637">
        <f t="shared" si="0"/>
        <v>0</v>
      </c>
      <c r="DB47" s="379">
        <f t="shared" si="1"/>
        <v>0</v>
      </c>
      <c r="DC47" s="379">
        <f t="shared" si="2"/>
        <v>0</v>
      </c>
      <c r="DD47" s="1238">
        <f t="shared" si="3"/>
        <v>0</v>
      </c>
      <c r="DE47" s="1129">
        <f t="shared" si="4"/>
        <v>0</v>
      </c>
      <c r="DF47" s="1129">
        <f t="shared" si="5"/>
        <v>0</v>
      </c>
      <c r="DG47" s="1129">
        <f t="shared" si="6"/>
        <v>0</v>
      </c>
      <c r="DH47" s="1129">
        <f t="shared" si="7"/>
        <v>0</v>
      </c>
      <c r="DI47" s="1129">
        <f t="shared" si="8"/>
        <v>0</v>
      </c>
      <c r="DJ47" s="1237">
        <f t="shared" si="9"/>
        <v>0</v>
      </c>
      <c r="DK47" s="1240">
        <f t="shared" si="10"/>
        <v>-0.5</v>
      </c>
      <c r="DL47" s="1129">
        <f t="shared" si="11"/>
        <v>0</v>
      </c>
      <c r="DM47" s="1131">
        <f t="shared" si="12"/>
        <v>-1.0649999999999999</v>
      </c>
      <c r="DN47" s="1241">
        <f t="shared" si="13"/>
        <v>0</v>
      </c>
      <c r="DO47" s="1239">
        <f t="shared" si="14"/>
        <v>160</v>
      </c>
      <c r="DP47" s="1131">
        <f t="shared" si="15"/>
        <v>-47.507528957528955</v>
      </c>
      <c r="DQ47" s="1239">
        <f t="shared" si="16"/>
        <v>-1.0424710424710426</v>
      </c>
      <c r="DR47" s="1239">
        <f t="shared" si="17"/>
        <v>-0.45232864172102061</v>
      </c>
      <c r="DS47" s="1239">
        <f t="shared" si="18"/>
        <v>11</v>
      </c>
      <c r="DT47" s="1239">
        <f t="shared" si="19"/>
        <v>-1.2902626694987984</v>
      </c>
      <c r="DU47" s="1131">
        <f t="shared" si="20"/>
        <v>2</v>
      </c>
      <c r="DV47" s="1131" t="e">
        <f>#REF!-CB47</f>
        <v>#REF!</v>
      </c>
      <c r="DW47" s="1197">
        <f t="shared" si="21"/>
        <v>-0.82464397653478672</v>
      </c>
      <c r="DX47" s="1239">
        <f t="shared" si="22"/>
        <v>-2</v>
      </c>
      <c r="DY47" s="1239">
        <f t="shared" si="23"/>
        <v>-0.16600000000000001</v>
      </c>
      <c r="DZ47" s="1131">
        <f t="shared" si="24"/>
        <v>1280</v>
      </c>
      <c r="EA47" s="1197">
        <f t="shared" si="25"/>
        <v>-0.34860000000000002</v>
      </c>
      <c r="EB47" s="1240">
        <f t="shared" si="26"/>
        <v>0.33600000000000002</v>
      </c>
      <c r="EC47" s="1131">
        <f t="shared" si="27"/>
        <v>-1.7902626694987982</v>
      </c>
      <c r="ED47" s="1131">
        <f t="shared" si="28"/>
        <v>-2.283328774030208</v>
      </c>
      <c r="EE47" s="1131" t="e">
        <f t="shared" si="29"/>
        <v>#VALUE!</v>
      </c>
      <c r="EF47" s="1131" t="e">
        <f t="shared" si="30"/>
        <v>#VALUE!</v>
      </c>
      <c r="EG47" s="1131" t="e">
        <f t="shared" si="31"/>
        <v>#VALUE!</v>
      </c>
      <c r="EH47" s="1131">
        <f t="shared" si="32"/>
        <v>0</v>
      </c>
      <c r="EI47" s="1131">
        <f t="shared" si="33"/>
        <v>0</v>
      </c>
      <c r="EJ47" s="1197">
        <f t="shared" si="34"/>
        <v>0</v>
      </c>
      <c r="EK47" s="1131">
        <f t="shared" si="35"/>
        <v>-70.399999999999991</v>
      </c>
      <c r="EL47" s="1131">
        <f t="shared" si="36"/>
        <v>-511.36363636363643</v>
      </c>
      <c r="EM47" s="1131">
        <f t="shared" si="37"/>
        <v>-3</v>
      </c>
      <c r="EN47" s="1131">
        <f t="shared" si="40"/>
        <v>0</v>
      </c>
      <c r="EO47" s="1131">
        <f t="shared" si="41"/>
        <v>0</v>
      </c>
      <c r="EP47" s="1197">
        <f t="shared" si="42"/>
        <v>0</v>
      </c>
      <c r="EQ47" s="1129">
        <f t="shared" si="43"/>
        <v>0</v>
      </c>
      <c r="ER47" s="1131">
        <f t="shared" si="44"/>
        <v>0</v>
      </c>
      <c r="ES47" s="1197">
        <f t="shared" si="45"/>
        <v>0</v>
      </c>
    </row>
    <row r="48" spans="1:149">
      <c r="A48" s="634">
        <f>Eingabedaten!A51</f>
        <v>12.1</v>
      </c>
      <c r="B48" s="463" t="str">
        <f>Eingabedaten!C51</f>
        <v>Wasch- und Trockenraum</v>
      </c>
      <c r="C48" s="637"/>
      <c r="D48" s="379"/>
      <c r="E48" s="379"/>
      <c r="F48" s="1238"/>
      <c r="G48" s="1129"/>
      <c r="H48" s="1129"/>
      <c r="I48" s="1129"/>
      <c r="J48" s="1129"/>
      <c r="K48" s="1129"/>
      <c r="L48" s="1129"/>
      <c r="M48" s="1129"/>
      <c r="N48" s="1237"/>
      <c r="O48" s="1240">
        <v>15</v>
      </c>
      <c r="P48" s="1131">
        <v>0</v>
      </c>
      <c r="Q48" s="1129">
        <v>1720</v>
      </c>
      <c r="R48" s="1131">
        <v>25.8</v>
      </c>
      <c r="S48" s="1239">
        <v>25.8</v>
      </c>
      <c r="T48" s="1131">
        <v>0</v>
      </c>
      <c r="U48" s="1240"/>
      <c r="V48" s="1240">
        <v>130</v>
      </c>
      <c r="W48" s="1834">
        <v>0.68067226890756305</v>
      </c>
      <c r="X48" s="1239"/>
      <c r="Y48" s="1239">
        <v>2</v>
      </c>
      <c r="Z48" s="1239">
        <v>4.1858938505424712</v>
      </c>
      <c r="AA48" s="1239">
        <v>4.2378917378917373</v>
      </c>
      <c r="AB48" s="1131">
        <v>244</v>
      </c>
      <c r="AC48" s="1243">
        <v>1.0340455840455838</v>
      </c>
      <c r="AD48" s="1242">
        <v>4</v>
      </c>
      <c r="AE48" s="1131">
        <v>1850</v>
      </c>
      <c r="AF48" s="1239">
        <v>0.66400000000000003</v>
      </c>
      <c r="AG48" s="1131">
        <v>1380</v>
      </c>
      <c r="AH48" s="1197">
        <v>0.91632000000000002</v>
      </c>
      <c r="AI48" s="1240">
        <v>14.406808470588237</v>
      </c>
      <c r="AJ48" s="1131">
        <v>19.237891737891736</v>
      </c>
      <c r="AK48" s="1131">
        <v>109.5</v>
      </c>
      <c r="AL48" s="1131" t="s">
        <v>16</v>
      </c>
      <c r="AM48" s="1131" t="s">
        <v>16</v>
      </c>
      <c r="AN48" s="1131" t="s">
        <v>16</v>
      </c>
      <c r="AO48" s="1131">
        <v>0</v>
      </c>
      <c r="AP48" s="1239">
        <v>0</v>
      </c>
      <c r="AQ48" s="1131">
        <v>0</v>
      </c>
      <c r="AR48" s="1131">
        <v>0</v>
      </c>
      <c r="AS48" s="1197">
        <v>0</v>
      </c>
      <c r="AT48" s="1197">
        <v>0</v>
      </c>
      <c r="AU48" s="1131">
        <v>12.307764705882352</v>
      </c>
      <c r="AV48" s="1131">
        <v>323.79559532002759</v>
      </c>
      <c r="AW48" s="1131">
        <v>0</v>
      </c>
      <c r="AX48" s="1239">
        <v>2.5641176470588234</v>
      </c>
      <c r="AY48" s="1131">
        <v>1410</v>
      </c>
      <c r="AZ48" s="1242">
        <v>0.35326769406392694</v>
      </c>
      <c r="BA48" s="1243">
        <v>3.6183261973137975</v>
      </c>
      <c r="BB48" s="1129"/>
      <c r="BC48" s="1131"/>
      <c r="BD48" s="1197">
        <v>0</v>
      </c>
      <c r="BG48" s="637"/>
      <c r="BH48" s="379"/>
      <c r="BI48" s="379"/>
      <c r="BJ48" s="1238"/>
      <c r="BK48" s="1129"/>
      <c r="BL48" s="1129"/>
      <c r="BM48" s="1129"/>
      <c r="BN48" s="1129"/>
      <c r="BO48" s="1129"/>
      <c r="BP48" s="1237"/>
      <c r="BQ48" s="1240">
        <v>15</v>
      </c>
      <c r="BR48" s="1129">
        <v>1720</v>
      </c>
      <c r="BS48" s="1131">
        <v>25.8</v>
      </c>
      <c r="BT48" s="1241"/>
      <c r="BU48" s="1239"/>
      <c r="BV48" s="1131">
        <v>54.800000000000004</v>
      </c>
      <c r="BW48" s="1239">
        <v>0.68067226890756305</v>
      </c>
      <c r="BX48" s="1239">
        <v>6.7022618725781742</v>
      </c>
      <c r="BY48" s="1239">
        <v>0</v>
      </c>
      <c r="BZ48" s="1239">
        <v>6.7022618725781742</v>
      </c>
      <c r="CA48" s="1131">
        <v>180</v>
      </c>
      <c r="CB48" s="1131">
        <v>0</v>
      </c>
      <c r="CC48" s="1197">
        <v>1.2064071370640712</v>
      </c>
      <c r="CD48" s="1239">
        <v>4</v>
      </c>
      <c r="CE48" s="1239">
        <v>0.66400000000000003</v>
      </c>
      <c r="CF48" s="1131">
        <v>1490</v>
      </c>
      <c r="CG48" s="1197">
        <v>0.98936000000000002</v>
      </c>
      <c r="CH48" s="1240">
        <v>8.9894117647058831</v>
      </c>
      <c r="CI48" s="1131">
        <v>21.702261872578173</v>
      </c>
      <c r="CJ48" s="1131">
        <v>111.0638344462827</v>
      </c>
      <c r="CK48" s="1131" t="s">
        <v>16</v>
      </c>
      <c r="CL48" s="1131" t="s">
        <v>16</v>
      </c>
      <c r="CM48" s="1131" t="s">
        <v>16</v>
      </c>
      <c r="CN48" s="1131">
        <v>0</v>
      </c>
      <c r="CO48" s="1131">
        <v>0</v>
      </c>
      <c r="CP48" s="1197">
        <v>0</v>
      </c>
      <c r="CQ48" s="1131">
        <v>20.727529411764706</v>
      </c>
      <c r="CR48" s="1131">
        <v>192.26604004903965</v>
      </c>
      <c r="CS48" s="1131">
        <v>-1</v>
      </c>
      <c r="CT48" s="1131">
        <v>0</v>
      </c>
      <c r="CU48" s="1131">
        <v>0</v>
      </c>
      <c r="CV48" s="1197">
        <v>0</v>
      </c>
      <c r="CW48" s="1129"/>
      <c r="CX48" s="1131"/>
      <c r="CY48" s="1197">
        <v>0</v>
      </c>
      <c r="DA48" s="637">
        <f t="shared" si="0"/>
        <v>0</v>
      </c>
      <c r="DB48" s="379">
        <f t="shared" si="1"/>
        <v>0</v>
      </c>
      <c r="DC48" s="379">
        <f t="shared" si="2"/>
        <v>0</v>
      </c>
      <c r="DD48" s="1238">
        <f t="shared" si="3"/>
        <v>0</v>
      </c>
      <c r="DE48" s="1129">
        <f t="shared" si="4"/>
        <v>0</v>
      </c>
      <c r="DF48" s="1129">
        <f t="shared" si="5"/>
        <v>0</v>
      </c>
      <c r="DG48" s="1129">
        <f t="shared" si="6"/>
        <v>0</v>
      </c>
      <c r="DH48" s="1129">
        <f t="shared" si="7"/>
        <v>0</v>
      </c>
      <c r="DI48" s="1129">
        <f t="shared" si="8"/>
        <v>0</v>
      </c>
      <c r="DJ48" s="1237">
        <f t="shared" si="9"/>
        <v>0</v>
      </c>
      <c r="DK48" s="1240">
        <f t="shared" si="10"/>
        <v>0</v>
      </c>
      <c r="DL48" s="1129">
        <f t="shared" si="11"/>
        <v>0</v>
      </c>
      <c r="DM48" s="1131">
        <f t="shared" si="12"/>
        <v>0</v>
      </c>
      <c r="DN48" s="1241">
        <f t="shared" si="13"/>
        <v>0</v>
      </c>
      <c r="DO48" s="1239">
        <f t="shared" si="14"/>
        <v>130</v>
      </c>
      <c r="DP48" s="1131">
        <f t="shared" si="15"/>
        <v>-54.11932773109244</v>
      </c>
      <c r="DQ48" s="1239">
        <f t="shared" si="16"/>
        <v>-0.68067226890756305</v>
      </c>
      <c r="DR48" s="1239">
        <f t="shared" si="17"/>
        <v>-4.7022618725781742</v>
      </c>
      <c r="DS48" s="1239">
        <f t="shared" si="18"/>
        <v>4.1858938505424712</v>
      </c>
      <c r="DT48" s="1239">
        <f t="shared" si="19"/>
        <v>-2.4643701346864368</v>
      </c>
      <c r="DU48" s="1131">
        <f t="shared" si="20"/>
        <v>64</v>
      </c>
      <c r="DV48" s="1131" t="e">
        <f>#REF!-CB48</f>
        <v>#REF!</v>
      </c>
      <c r="DW48" s="1197">
        <f t="shared" si="21"/>
        <v>-0.17236155301848743</v>
      </c>
      <c r="DX48" s="1239">
        <f t="shared" si="22"/>
        <v>0</v>
      </c>
      <c r="DY48" s="1239">
        <f t="shared" si="23"/>
        <v>0</v>
      </c>
      <c r="DZ48" s="1131">
        <f t="shared" si="24"/>
        <v>-110</v>
      </c>
      <c r="EA48" s="1197">
        <f t="shared" si="25"/>
        <v>-7.3039999999999994E-2</v>
      </c>
      <c r="EB48" s="1240">
        <f t="shared" si="26"/>
        <v>5.4173967058823536</v>
      </c>
      <c r="EC48" s="1131">
        <f t="shared" si="27"/>
        <v>-2.4643701346864368</v>
      </c>
      <c r="ED48" s="1131">
        <f t="shared" si="28"/>
        <v>-1.5638344462826979</v>
      </c>
      <c r="EE48" s="1131" t="e">
        <f t="shared" si="29"/>
        <v>#VALUE!</v>
      </c>
      <c r="EF48" s="1131" t="e">
        <f t="shared" si="30"/>
        <v>#VALUE!</v>
      </c>
      <c r="EG48" s="1131" t="e">
        <f t="shared" si="31"/>
        <v>#VALUE!</v>
      </c>
      <c r="EH48" s="1131">
        <f t="shared" si="32"/>
        <v>0</v>
      </c>
      <c r="EI48" s="1131">
        <f t="shared" si="33"/>
        <v>0</v>
      </c>
      <c r="EJ48" s="1197">
        <f t="shared" si="34"/>
        <v>0</v>
      </c>
      <c r="EK48" s="1131">
        <f t="shared" si="35"/>
        <v>-8.4197647058823541</v>
      </c>
      <c r="EL48" s="1131">
        <f t="shared" si="36"/>
        <v>131.52955527098794</v>
      </c>
      <c r="EM48" s="1131">
        <f t="shared" si="37"/>
        <v>1</v>
      </c>
      <c r="EN48" s="1131">
        <f t="shared" si="40"/>
        <v>2.5641176470588234</v>
      </c>
      <c r="EO48" s="1131">
        <f t="shared" si="41"/>
        <v>1410</v>
      </c>
      <c r="EP48" s="1197">
        <f t="shared" si="42"/>
        <v>3.6183261973137975</v>
      </c>
      <c r="EQ48" s="1129">
        <f t="shared" si="43"/>
        <v>0</v>
      </c>
      <c r="ER48" s="1131">
        <f t="shared" si="44"/>
        <v>0</v>
      </c>
      <c r="ES48" s="1197">
        <f t="shared" si="45"/>
        <v>0</v>
      </c>
    </row>
    <row r="49" spans="1:149" ht="12.75" customHeight="1">
      <c r="A49" s="656">
        <f>Eingabedaten!A52</f>
        <v>12.11</v>
      </c>
      <c r="B49" s="463" t="str">
        <f>Eingabedaten!C52</f>
        <v>Kühlraum</v>
      </c>
      <c r="C49" s="637"/>
      <c r="D49" s="379"/>
      <c r="E49" s="379"/>
      <c r="F49" s="1238"/>
      <c r="G49" s="1129"/>
      <c r="H49" s="1129"/>
      <c r="I49" s="1129"/>
      <c r="J49" s="1129"/>
      <c r="K49" s="1129"/>
      <c r="L49" s="1129"/>
      <c r="M49" s="1129"/>
      <c r="N49" s="1237"/>
      <c r="O49" s="1240">
        <v>0</v>
      </c>
      <c r="P49" s="1131">
        <v>80</v>
      </c>
      <c r="Q49" s="1129">
        <v>3180</v>
      </c>
      <c r="R49" s="1131">
        <v>0</v>
      </c>
      <c r="S49" s="1239">
        <v>0</v>
      </c>
      <c r="T49" s="1131">
        <v>254.4</v>
      </c>
      <c r="U49" s="1240"/>
      <c r="V49" s="1240">
        <v>130</v>
      </c>
      <c r="W49" s="1834">
        <v>0.68067226890756305</v>
      </c>
      <c r="X49" s="1239"/>
      <c r="Y49" s="1239">
        <v>2</v>
      </c>
      <c r="Z49" s="1239">
        <v>11</v>
      </c>
      <c r="AA49" s="1239">
        <v>1.4126305792972458</v>
      </c>
      <c r="AB49" s="1131">
        <v>21</v>
      </c>
      <c r="AC49" s="1243">
        <v>2.9665242165242162E-2</v>
      </c>
      <c r="AD49" s="1242">
        <v>0</v>
      </c>
      <c r="AE49" s="1131">
        <v>0</v>
      </c>
      <c r="AF49" s="1239">
        <v>0</v>
      </c>
      <c r="AG49" s="1131">
        <v>0</v>
      </c>
      <c r="AH49" s="1197">
        <v>0</v>
      </c>
      <c r="AI49" s="1240">
        <v>3.6065882352941179</v>
      </c>
      <c r="AJ49" s="1131">
        <v>1.4126305792972458</v>
      </c>
      <c r="AK49" s="1131">
        <v>0</v>
      </c>
      <c r="AL49" s="1131" t="s">
        <v>16</v>
      </c>
      <c r="AM49" s="1131" t="s">
        <v>16</v>
      </c>
      <c r="AN49" s="1131" t="s">
        <v>16</v>
      </c>
      <c r="AO49" s="1131">
        <v>0</v>
      </c>
      <c r="AP49" s="1239">
        <v>0</v>
      </c>
      <c r="AQ49" s="1131">
        <v>0</v>
      </c>
      <c r="AR49" s="1131">
        <v>0</v>
      </c>
      <c r="AS49" s="1197">
        <v>0</v>
      </c>
      <c r="AT49" s="1197">
        <v>0</v>
      </c>
      <c r="AU49" s="1131">
        <v>2.3294117647058825</v>
      </c>
      <c r="AV49" s="1131">
        <v>1715.4545454545453</v>
      </c>
      <c r="AW49" s="1131">
        <v>0</v>
      </c>
      <c r="AX49" s="1239">
        <v>0.48529411764705888</v>
      </c>
      <c r="AY49" s="1131">
        <v>0</v>
      </c>
      <c r="AZ49" s="1242">
        <v>0</v>
      </c>
      <c r="BA49" s="1243">
        <v>0</v>
      </c>
      <c r="BB49" s="1129"/>
      <c r="BC49" s="1131"/>
      <c r="BD49" s="1197">
        <v>0</v>
      </c>
      <c r="BG49" s="637"/>
      <c r="BH49" s="379"/>
      <c r="BI49" s="379"/>
      <c r="BJ49" s="1238"/>
      <c r="BK49" s="1129"/>
      <c r="BL49" s="1129"/>
      <c r="BM49" s="1129"/>
      <c r="BN49" s="1129"/>
      <c r="BO49" s="1129"/>
      <c r="BP49" s="1237"/>
      <c r="BQ49" s="1240">
        <v>80</v>
      </c>
      <c r="BR49" s="1129">
        <v>3730</v>
      </c>
      <c r="BS49" s="1131">
        <v>298.39999999999998</v>
      </c>
      <c r="BT49" s="1241"/>
      <c r="BU49" s="1239"/>
      <c r="BV49" s="1131">
        <v>49.8</v>
      </c>
      <c r="BW49" s="1239">
        <v>0.68067226890756305</v>
      </c>
      <c r="BX49" s="1239">
        <v>3.6875898656353812</v>
      </c>
      <c r="BY49" s="1239">
        <v>0</v>
      </c>
      <c r="BZ49" s="1239">
        <v>3.6875898656353812</v>
      </c>
      <c r="CA49" s="1131">
        <v>0</v>
      </c>
      <c r="CB49" s="1131">
        <v>0</v>
      </c>
      <c r="CC49" s="1197">
        <v>0</v>
      </c>
      <c r="CD49" s="1239">
        <v>0</v>
      </c>
      <c r="CE49" s="1239">
        <v>0</v>
      </c>
      <c r="CF49" s="1131">
        <v>0</v>
      </c>
      <c r="CG49" s="1197">
        <v>0</v>
      </c>
      <c r="CH49" s="1240">
        <v>3.3811764705882354</v>
      </c>
      <c r="CI49" s="1131">
        <v>3.6875898656353812</v>
      </c>
      <c r="CJ49" s="1131">
        <v>0</v>
      </c>
      <c r="CK49" s="1131" t="s">
        <v>16</v>
      </c>
      <c r="CL49" s="1131" t="s">
        <v>16</v>
      </c>
      <c r="CM49" s="1131" t="s">
        <v>16</v>
      </c>
      <c r="CN49" s="1131">
        <v>0</v>
      </c>
      <c r="CO49" s="1131">
        <v>0</v>
      </c>
      <c r="CP49" s="1197">
        <v>0</v>
      </c>
      <c r="CQ49" s="1131">
        <v>4.0574117647058827</v>
      </c>
      <c r="CR49" s="1131">
        <v>1076.2526096033403</v>
      </c>
      <c r="CS49" s="1131">
        <v>0</v>
      </c>
      <c r="CT49" s="1131">
        <v>0</v>
      </c>
      <c r="CU49" s="1131">
        <v>0</v>
      </c>
      <c r="CV49" s="1197">
        <v>0</v>
      </c>
      <c r="CW49" s="1129"/>
      <c r="CX49" s="1131"/>
      <c r="CY49" s="1197">
        <v>0</v>
      </c>
      <c r="DA49" s="637">
        <f t="shared" si="0"/>
        <v>0</v>
      </c>
      <c r="DB49" s="379">
        <f t="shared" si="1"/>
        <v>0</v>
      </c>
      <c r="DC49" s="379">
        <f t="shared" si="2"/>
        <v>0</v>
      </c>
      <c r="DD49" s="1238">
        <f t="shared" si="3"/>
        <v>0</v>
      </c>
      <c r="DE49" s="1129">
        <f t="shared" si="4"/>
        <v>0</v>
      </c>
      <c r="DF49" s="1129">
        <f t="shared" si="5"/>
        <v>0</v>
      </c>
      <c r="DG49" s="1129">
        <f t="shared" si="6"/>
        <v>0</v>
      </c>
      <c r="DH49" s="1129">
        <f t="shared" si="7"/>
        <v>0</v>
      </c>
      <c r="DI49" s="1129">
        <f t="shared" si="8"/>
        <v>0</v>
      </c>
      <c r="DJ49" s="1237">
        <f t="shared" si="9"/>
        <v>0</v>
      </c>
      <c r="DK49" s="1240">
        <f t="shared" si="10"/>
        <v>-80</v>
      </c>
      <c r="DL49" s="1129">
        <f t="shared" si="11"/>
        <v>-550</v>
      </c>
      <c r="DM49" s="1131">
        <f t="shared" si="12"/>
        <v>-298.39999999999998</v>
      </c>
      <c r="DN49" s="1241">
        <f t="shared" si="13"/>
        <v>0</v>
      </c>
      <c r="DO49" s="1239">
        <f t="shared" si="14"/>
        <v>130</v>
      </c>
      <c r="DP49" s="1131">
        <f t="shared" si="15"/>
        <v>-49.119327731092433</v>
      </c>
      <c r="DQ49" s="1239">
        <f t="shared" si="16"/>
        <v>-0.68067226890756305</v>
      </c>
      <c r="DR49" s="1239">
        <f t="shared" si="17"/>
        <v>-1.6875898656353812</v>
      </c>
      <c r="DS49" s="1239">
        <f t="shared" si="18"/>
        <v>11</v>
      </c>
      <c r="DT49" s="1239">
        <f t="shared" si="19"/>
        <v>-2.2749592863381354</v>
      </c>
      <c r="DU49" s="1131">
        <f t="shared" si="20"/>
        <v>21</v>
      </c>
      <c r="DV49" s="1131" t="e">
        <f>#REF!-CB49</f>
        <v>#REF!</v>
      </c>
      <c r="DW49" s="1197">
        <f t="shared" si="21"/>
        <v>2.9665242165242162E-2</v>
      </c>
      <c r="DX49" s="1239">
        <f t="shared" si="22"/>
        <v>0</v>
      </c>
      <c r="DY49" s="1239">
        <f t="shared" si="23"/>
        <v>0</v>
      </c>
      <c r="DZ49" s="1131">
        <f t="shared" si="24"/>
        <v>0</v>
      </c>
      <c r="EA49" s="1197">
        <f t="shared" si="25"/>
        <v>0</v>
      </c>
      <c r="EB49" s="1240">
        <f t="shared" si="26"/>
        <v>0.22541176470588242</v>
      </c>
      <c r="EC49" s="1131">
        <f t="shared" si="27"/>
        <v>-2.2749592863381354</v>
      </c>
      <c r="ED49" s="1131">
        <f t="shared" si="28"/>
        <v>0</v>
      </c>
      <c r="EE49" s="1131" t="e">
        <f t="shared" si="29"/>
        <v>#VALUE!</v>
      </c>
      <c r="EF49" s="1131" t="e">
        <f t="shared" si="30"/>
        <v>#VALUE!</v>
      </c>
      <c r="EG49" s="1131" t="e">
        <f t="shared" si="31"/>
        <v>#VALUE!</v>
      </c>
      <c r="EH49" s="1131">
        <f t="shared" si="32"/>
        <v>0</v>
      </c>
      <c r="EI49" s="1131">
        <f t="shared" si="33"/>
        <v>0</v>
      </c>
      <c r="EJ49" s="1197">
        <f t="shared" si="34"/>
        <v>0</v>
      </c>
      <c r="EK49" s="1131">
        <f t="shared" si="35"/>
        <v>-1.7280000000000002</v>
      </c>
      <c r="EL49" s="1131">
        <f t="shared" si="36"/>
        <v>639.20193585120501</v>
      </c>
      <c r="EM49" s="1131">
        <f t="shared" si="37"/>
        <v>0</v>
      </c>
      <c r="EN49" s="1131">
        <f t="shared" si="40"/>
        <v>0.48529411764705888</v>
      </c>
      <c r="EO49" s="1131">
        <f t="shared" si="41"/>
        <v>0</v>
      </c>
      <c r="EP49" s="1197">
        <f t="shared" si="42"/>
        <v>0</v>
      </c>
      <c r="EQ49" s="1129">
        <f t="shared" si="43"/>
        <v>0</v>
      </c>
      <c r="ER49" s="1131">
        <f t="shared" si="44"/>
        <v>0</v>
      </c>
      <c r="ES49" s="1197">
        <f t="shared" si="45"/>
        <v>0</v>
      </c>
    </row>
    <row r="50" spans="1:149">
      <c r="A50" s="657">
        <f>Eingabedaten!A53</f>
        <v>12.12</v>
      </c>
      <c r="B50" s="1258" t="str">
        <f>Eingabedaten!C53</f>
        <v>Serverraum</v>
      </c>
      <c r="C50" s="1259"/>
      <c r="D50" s="1260"/>
      <c r="E50" s="1260"/>
      <c r="F50" s="1227"/>
      <c r="G50" s="1130"/>
      <c r="H50" s="1130"/>
      <c r="I50" s="1130"/>
      <c r="J50" s="1130"/>
      <c r="K50" s="1130"/>
      <c r="L50" s="1130"/>
      <c r="M50" s="1130"/>
      <c r="N50" s="1229"/>
      <c r="O50" s="1255">
        <v>0</v>
      </c>
      <c r="P50" s="1133">
        <v>100</v>
      </c>
      <c r="Q50" s="1130">
        <v>7010</v>
      </c>
      <c r="R50" s="1133">
        <v>0</v>
      </c>
      <c r="S50" s="1228">
        <v>0</v>
      </c>
      <c r="T50" s="1133">
        <v>701</v>
      </c>
      <c r="U50" s="1255"/>
      <c r="V50" s="1255">
        <v>130</v>
      </c>
      <c r="W50" s="1836">
        <v>0.58002148227712136</v>
      </c>
      <c r="X50" s="1228"/>
      <c r="Y50" s="1228">
        <v>2</v>
      </c>
      <c r="Z50" s="1228">
        <v>11</v>
      </c>
      <c r="AA50" s="1228">
        <v>3.3155270655270659</v>
      </c>
      <c r="AB50" s="1133">
        <v>73</v>
      </c>
      <c r="AC50" s="1196">
        <v>0.24203347578347581</v>
      </c>
      <c r="AD50" s="1257">
        <v>0.5</v>
      </c>
      <c r="AE50" s="1133">
        <v>4380</v>
      </c>
      <c r="AF50" s="1228">
        <v>0.17</v>
      </c>
      <c r="AG50" s="1133">
        <v>3380</v>
      </c>
      <c r="AH50" s="1199">
        <v>0.5746</v>
      </c>
      <c r="AI50" s="1255">
        <v>0.95676235294117618</v>
      </c>
      <c r="AJ50" s="1133">
        <v>3.3155270655270659</v>
      </c>
      <c r="AK50" s="1133">
        <v>36.470797720797712</v>
      </c>
      <c r="AL50" s="1133" t="s">
        <v>1317</v>
      </c>
      <c r="AM50" s="1133" t="s">
        <v>1317</v>
      </c>
      <c r="AN50" s="1133" t="s">
        <v>1317</v>
      </c>
      <c r="AO50" s="1133">
        <v>2.9906025929277691</v>
      </c>
      <c r="AP50" s="1228">
        <v>4.2645247125858887</v>
      </c>
      <c r="AQ50" s="1133">
        <v>104.2645247125859</v>
      </c>
      <c r="AR50" s="1133">
        <v>0</v>
      </c>
      <c r="AS50" s="1199">
        <v>0</v>
      </c>
      <c r="AT50" s="1199">
        <v>0</v>
      </c>
      <c r="AU50" s="1133">
        <v>3.4729411764705889</v>
      </c>
      <c r="AV50" s="1133">
        <v>698.54336043360422</v>
      </c>
      <c r="AW50" s="1133">
        <v>0</v>
      </c>
      <c r="AX50" s="1228">
        <v>1.3023529411764709</v>
      </c>
      <c r="AY50" s="1133">
        <v>0</v>
      </c>
      <c r="AZ50" s="1257">
        <v>0.19374999999999998</v>
      </c>
      <c r="BA50" s="1196">
        <v>0</v>
      </c>
      <c r="BB50" s="1130"/>
      <c r="BC50" s="1133"/>
      <c r="BD50" s="1199">
        <v>0</v>
      </c>
      <c r="BG50" s="1259"/>
      <c r="BH50" s="1260"/>
      <c r="BI50" s="1260"/>
      <c r="BJ50" s="1227"/>
      <c r="BK50" s="1130"/>
      <c r="BL50" s="1130"/>
      <c r="BM50" s="1130"/>
      <c r="BN50" s="1130"/>
      <c r="BO50" s="1130"/>
      <c r="BP50" s="1229"/>
      <c r="BQ50" s="1255">
        <v>50</v>
      </c>
      <c r="BR50" s="1130">
        <v>7010</v>
      </c>
      <c r="BS50" s="1133">
        <v>350.5</v>
      </c>
      <c r="BT50" s="1256"/>
      <c r="BU50" s="1228"/>
      <c r="BV50" s="1133">
        <v>49.8</v>
      </c>
      <c r="BW50" s="1228">
        <v>0.58002148227712136</v>
      </c>
      <c r="BX50" s="1228">
        <v>4.3274951658485801</v>
      </c>
      <c r="BY50" s="1228">
        <v>0</v>
      </c>
      <c r="BZ50" s="1228">
        <v>4.3274951658485801</v>
      </c>
      <c r="CA50" s="1133">
        <v>0</v>
      </c>
      <c r="CB50" s="1133">
        <v>0</v>
      </c>
      <c r="CC50" s="1199">
        <v>0</v>
      </c>
      <c r="CD50" s="1228">
        <v>2</v>
      </c>
      <c r="CE50" s="1228">
        <v>0.68</v>
      </c>
      <c r="CF50" s="1133">
        <v>2100</v>
      </c>
      <c r="CG50" s="1199">
        <v>1.4279999999999999</v>
      </c>
      <c r="CH50" s="1255">
        <v>1.5218823529411765</v>
      </c>
      <c r="CI50" s="1133">
        <v>54.327495165848582</v>
      </c>
      <c r="CJ50" s="1133">
        <v>1200</v>
      </c>
      <c r="CK50" s="1133" t="s">
        <v>528</v>
      </c>
      <c r="CL50" s="1133" t="s">
        <v>528</v>
      </c>
      <c r="CM50" s="1133" t="s">
        <v>528</v>
      </c>
      <c r="CN50" s="1133">
        <v>51</v>
      </c>
      <c r="CO50" s="1133">
        <v>6580</v>
      </c>
      <c r="CP50" s="1199">
        <v>335.5675</v>
      </c>
      <c r="CQ50" s="1133">
        <v>5.0729411764705876</v>
      </c>
      <c r="CR50" s="1133">
        <v>478.22356215213364</v>
      </c>
      <c r="CS50" s="1133">
        <v>0</v>
      </c>
      <c r="CT50" s="1133">
        <v>6.5948235294117641</v>
      </c>
      <c r="CU50" s="1133">
        <v>0</v>
      </c>
      <c r="CV50" s="1199">
        <v>1.1228369786456865E-3</v>
      </c>
      <c r="CW50" s="1130"/>
      <c r="CX50" s="1133"/>
      <c r="CY50" s="1199">
        <v>0</v>
      </c>
      <c r="DA50" s="1259">
        <f t="shared" si="0"/>
        <v>0</v>
      </c>
      <c r="DB50" s="1260">
        <f t="shared" si="1"/>
        <v>0</v>
      </c>
      <c r="DC50" s="1260">
        <f t="shared" si="2"/>
        <v>0</v>
      </c>
      <c r="DD50" s="1227">
        <f t="shared" si="3"/>
        <v>0</v>
      </c>
      <c r="DE50" s="1130">
        <f t="shared" si="4"/>
        <v>0</v>
      </c>
      <c r="DF50" s="1130">
        <f t="shared" si="5"/>
        <v>0</v>
      </c>
      <c r="DG50" s="1130">
        <f t="shared" si="6"/>
        <v>0</v>
      </c>
      <c r="DH50" s="1130">
        <f t="shared" si="7"/>
        <v>0</v>
      </c>
      <c r="DI50" s="1130">
        <f t="shared" si="8"/>
        <v>0</v>
      </c>
      <c r="DJ50" s="1229">
        <f t="shared" si="9"/>
        <v>0</v>
      </c>
      <c r="DK50" s="1255">
        <f t="shared" si="10"/>
        <v>-50</v>
      </c>
      <c r="DL50" s="1130">
        <f t="shared" si="11"/>
        <v>0</v>
      </c>
      <c r="DM50" s="1133">
        <f t="shared" si="12"/>
        <v>-350.5</v>
      </c>
      <c r="DN50" s="1256">
        <f t="shared" si="13"/>
        <v>0</v>
      </c>
      <c r="DO50" s="1228">
        <f t="shared" si="14"/>
        <v>130</v>
      </c>
      <c r="DP50" s="1133">
        <f t="shared" si="15"/>
        <v>-49.219978517722879</v>
      </c>
      <c r="DQ50" s="1228">
        <f t="shared" si="16"/>
        <v>-0.58002148227712136</v>
      </c>
      <c r="DR50" s="1228">
        <f t="shared" si="17"/>
        <v>-2.3274951658485801</v>
      </c>
      <c r="DS50" s="1228">
        <f t="shared" si="18"/>
        <v>11</v>
      </c>
      <c r="DT50" s="1228">
        <f t="shared" si="19"/>
        <v>-1.0119681003215142</v>
      </c>
      <c r="DU50" s="1133">
        <f t="shared" si="20"/>
        <v>73</v>
      </c>
      <c r="DV50" s="1133" t="e">
        <f>#REF!-CB50</f>
        <v>#REF!</v>
      </c>
      <c r="DW50" s="1199">
        <f t="shared" si="21"/>
        <v>0.24203347578347581</v>
      </c>
      <c r="DX50" s="1228">
        <f t="shared" si="22"/>
        <v>-1.5</v>
      </c>
      <c r="DY50" s="1228">
        <f t="shared" si="23"/>
        <v>-0.51</v>
      </c>
      <c r="DZ50" s="1133">
        <f t="shared" si="24"/>
        <v>1280</v>
      </c>
      <c r="EA50" s="1199">
        <f t="shared" si="25"/>
        <v>-0.85339999999999994</v>
      </c>
      <c r="EB50" s="1255">
        <f t="shared" si="26"/>
        <v>-0.56512000000000029</v>
      </c>
      <c r="EC50" s="1133">
        <f t="shared" si="27"/>
        <v>-51.011968100321518</v>
      </c>
      <c r="ED50" s="1133">
        <f t="shared" si="28"/>
        <v>-1163.5292022792023</v>
      </c>
      <c r="EE50" s="1133" t="e">
        <f t="shared" si="29"/>
        <v>#VALUE!</v>
      </c>
      <c r="EF50" s="1133" t="e">
        <f t="shared" si="30"/>
        <v>#VALUE!</v>
      </c>
      <c r="EG50" s="1133" t="e">
        <f t="shared" si="31"/>
        <v>#VALUE!</v>
      </c>
      <c r="EH50" s="1133">
        <f t="shared" si="32"/>
        <v>53.264524712585896</v>
      </c>
      <c r="EI50" s="1133">
        <f t="shared" si="33"/>
        <v>-6580</v>
      </c>
      <c r="EJ50" s="1199">
        <f t="shared" si="34"/>
        <v>-335.5675</v>
      </c>
      <c r="EK50" s="1133">
        <f t="shared" si="35"/>
        <v>-1.5999999999999988</v>
      </c>
      <c r="EL50" s="1133">
        <f t="shared" si="36"/>
        <v>220.31979828147058</v>
      </c>
      <c r="EM50" s="1133">
        <f t="shared" si="37"/>
        <v>0</v>
      </c>
      <c r="EN50" s="1133">
        <f t="shared" si="40"/>
        <v>-5.2924705882352931</v>
      </c>
      <c r="EO50" s="1133">
        <f t="shared" si="41"/>
        <v>0</v>
      </c>
      <c r="EP50" s="1199">
        <f t="shared" si="42"/>
        <v>-1.1228369786456865E-3</v>
      </c>
      <c r="EQ50" s="1130">
        <f t="shared" si="43"/>
        <v>0</v>
      </c>
      <c r="ER50" s="1133">
        <f t="shared" si="44"/>
        <v>0</v>
      </c>
      <c r="ES50" s="1199">
        <f t="shared" si="45"/>
        <v>0</v>
      </c>
    </row>
  </sheetData>
  <sheetProtection algorithmName="SHA-512" hashValue="t1nzKxGR4nmPKMykqQc6WAdOk4Qg5WY4/xwUaBycv62QL5j6WGgNOMfl8WGqaPCxpVxRb+rDrV4dASP0MqroyA==" saltValue="u7QkwUF2POQe2QCBcIHk0Q==" spinCount="100000" sheet="1" objects="1" scenarios="1"/>
  <pageMargins left="0.70866141732283472" right="0.70866141732283472" top="0.74803149606299213" bottom="0.74803149606299213" header="0.31496062992125984" footer="0.31496062992125984"/>
  <pageSetup paperSize="8" scale="69" fitToHeight="0" orientation="landscape" r:id="rId1"/>
  <headerFooter>
    <oddHeader>&amp;R&amp;D&amp;CSIA 2024 Raum-Datenblätter</oddHeader>
    <oddFooter>&amp;R&amp;P/&amp;N&amp;CSIA 2024, Copyright © 2021 by SIA Zurich</oddFooter>
  </headerFooter>
  <colBreaks count="1" manualBreakCount="1">
    <brk id="34" max="49"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blRes_Best">
    <tabColor theme="6" tint="0.59999389629810485"/>
    <pageSetUpPr fitToPage="1"/>
  </sheetPr>
  <dimension ref="A1:ES55"/>
  <sheetViews>
    <sheetView showGridLines="0" showRowColHeaders="0" zoomScaleNormal="100" zoomScaleSheetLayoutView="100" workbookViewId="0"/>
  </sheetViews>
  <sheetFormatPr baseColWidth="10" defaultColWidth="11.4609375" defaultRowHeight="12.45"/>
  <cols>
    <col min="1" max="1" width="6.53515625" style="1128" customWidth="1"/>
    <col min="2" max="2" width="35" style="1128" customWidth="1"/>
    <col min="3" max="3" width="6.4609375" style="1128" hidden="1" customWidth="1"/>
    <col min="4" max="4" width="7.23046875" style="1128" hidden="1" customWidth="1"/>
    <col min="5" max="6" width="6.53515625" style="1128" hidden="1" customWidth="1"/>
    <col min="7" max="7" width="5.4609375" style="1128" hidden="1" customWidth="1"/>
    <col min="8" max="8" width="4.4609375" style="1128" hidden="1" customWidth="1"/>
    <col min="9" max="10" width="5.23046875" style="1128" hidden="1" customWidth="1"/>
    <col min="11" max="11" width="5" style="1128" hidden="1" customWidth="1"/>
    <col min="12" max="12" width="5.765625" style="1128" hidden="1" customWidth="1"/>
    <col min="13" max="13" width="7.69140625" style="1128" hidden="1" customWidth="1"/>
    <col min="14" max="14" width="7.4609375" style="1128" hidden="1" customWidth="1"/>
    <col min="15" max="16" width="6.69140625" style="1128" hidden="1" customWidth="1"/>
    <col min="17" max="17" width="8.69140625" style="1128" customWidth="1"/>
    <col min="18" max="18" width="10.4609375" style="1128" hidden="1" customWidth="1"/>
    <col min="19" max="19" width="7.69140625" style="1128" bestFit="1" customWidth="1"/>
    <col min="20" max="20" width="10.69140625" style="1128" customWidth="1"/>
    <col min="21" max="21" width="4.53515625" style="1128" hidden="1" customWidth="1"/>
    <col min="22" max="22" width="5" style="1128" customWidth="1"/>
    <col min="23" max="23" width="6.23046875" style="1128" hidden="1" customWidth="1"/>
    <col min="24" max="24" width="5.23046875" style="1128" hidden="1" customWidth="1"/>
    <col min="25" max="26" width="4.4609375" style="1128" customWidth="1"/>
    <col min="27" max="28" width="5.69140625" style="1128" bestFit="1" customWidth="1"/>
    <col min="29" max="29" width="7.69140625" style="1128" bestFit="1" customWidth="1"/>
    <col min="30" max="30" width="10.23046875" style="1128" customWidth="1"/>
    <col min="31" max="31" width="5.69140625" style="1128" bestFit="1" customWidth="1"/>
    <col min="32" max="32" width="7.4609375" style="1128" hidden="1" customWidth="1"/>
    <col min="33" max="33" width="6.4609375" style="1128" hidden="1" customWidth="1"/>
    <col min="34" max="34" width="8.23046875" style="1128" hidden="1" customWidth="1"/>
    <col min="35" max="35" width="5.53515625" style="1128" customWidth="1"/>
    <col min="36" max="36" width="5.69140625" style="1128" bestFit="1" customWidth="1"/>
    <col min="37" max="37" width="7.765625" style="1128" bestFit="1" customWidth="1"/>
    <col min="38" max="38" width="8.23046875" style="1128" customWidth="1"/>
    <col min="39" max="39" width="8.23046875" style="1128" bestFit="1" customWidth="1"/>
    <col min="40" max="40" width="5.69140625" style="1128" bestFit="1" customWidth="1"/>
    <col min="41" max="41" width="5.69140625" style="1128" hidden="1" customWidth="1"/>
    <col min="42" max="42" width="7.23046875" style="1128" customWidth="1"/>
    <col min="43" max="43" width="6.23046875" style="1128" hidden="1" customWidth="1"/>
    <col min="44" max="44" width="5.69140625" style="1128" bestFit="1" customWidth="1"/>
    <col min="45" max="45" width="7.69140625" style="1128" bestFit="1" customWidth="1"/>
    <col min="46" max="46" width="7.765625" style="1128" hidden="1" customWidth="1"/>
    <col min="47" max="47" width="6" style="1128" customWidth="1"/>
    <col min="48" max="48" width="4.4609375" style="1128" bestFit="1" customWidth="1"/>
    <col min="49" max="49" width="3.23046875" style="1128" bestFit="1" customWidth="1"/>
    <col min="50" max="50" width="5.69140625" style="1128" bestFit="1" customWidth="1"/>
    <col min="51" max="51" width="7.23046875" style="1128" customWidth="1"/>
    <col min="52" max="52" width="8.69140625" style="1128" bestFit="1" customWidth="1"/>
    <col min="53" max="53" width="7.69140625" style="1128" bestFit="1" customWidth="1"/>
    <col min="54" max="54" width="6.765625" style="1128" hidden="1" customWidth="1"/>
    <col min="55" max="55" width="6.4609375" style="1128" hidden="1" customWidth="1"/>
    <col min="56" max="56" width="8.23046875" style="1128" bestFit="1" customWidth="1"/>
    <col min="57" max="58" width="11.4609375" style="1128"/>
    <col min="59" max="149" width="6.53515625" style="1128" hidden="1" customWidth="1"/>
    <col min="150" max="16384" width="11.4609375" style="1128"/>
  </cols>
  <sheetData>
    <row r="1" spans="1:149" ht="15.45">
      <c r="A1" s="77" t="str">
        <f>Begriffe!F425</f>
        <v>SIA 2024 - Resultate Bestand</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c r="AD1" s="379"/>
      <c r="AE1" s="379"/>
      <c r="AF1" s="379"/>
      <c r="AG1" s="379"/>
      <c r="AH1" s="379"/>
      <c r="AI1" s="379"/>
      <c r="AJ1" s="379"/>
      <c r="AK1" s="379"/>
      <c r="AL1" s="379"/>
      <c r="AO1" s="1128" t="s">
        <v>1594</v>
      </c>
      <c r="AQ1" s="1128" t="s">
        <v>1457</v>
      </c>
    </row>
    <row r="2" spans="1:149">
      <c r="A2" s="379"/>
      <c r="B2" s="379"/>
      <c r="C2" s="540" t="s">
        <v>22</v>
      </c>
      <c r="D2" s="540" t="s">
        <v>22</v>
      </c>
      <c r="E2" s="540" t="s">
        <v>22</v>
      </c>
      <c r="F2" s="1129" t="s">
        <v>22</v>
      </c>
      <c r="G2" s="1129" t="s">
        <v>22</v>
      </c>
      <c r="H2" s="1129" t="s">
        <v>22</v>
      </c>
      <c r="I2" s="1129" t="s">
        <v>22</v>
      </c>
      <c r="J2" s="1129" t="s">
        <v>22</v>
      </c>
      <c r="K2" s="1129" t="s">
        <v>22</v>
      </c>
      <c r="L2" s="1129" t="s">
        <v>22</v>
      </c>
      <c r="M2" s="1129" t="s">
        <v>22</v>
      </c>
      <c r="N2" s="1129" t="s">
        <v>22</v>
      </c>
      <c r="O2" s="1129" t="s">
        <v>22</v>
      </c>
      <c r="P2" s="1129" t="s">
        <v>22</v>
      </c>
      <c r="Q2" s="1129"/>
      <c r="R2" s="1129" t="s">
        <v>22</v>
      </c>
      <c r="S2" s="1129"/>
      <c r="T2" s="1129"/>
      <c r="U2" s="1129" t="s">
        <v>22</v>
      </c>
      <c r="V2" s="1129"/>
      <c r="W2" s="1129" t="s">
        <v>22</v>
      </c>
      <c r="X2" s="1129" t="s">
        <v>22</v>
      </c>
      <c r="Y2" s="1129"/>
      <c r="Z2" s="1129"/>
      <c r="AA2" s="1129"/>
      <c r="AB2" s="1129"/>
      <c r="AC2" s="1129"/>
      <c r="AD2" s="1129"/>
      <c r="AE2" s="1129"/>
      <c r="AF2" s="1129" t="s">
        <v>22</v>
      </c>
      <c r="AG2" s="1129" t="s">
        <v>22</v>
      </c>
      <c r="AH2" s="1129" t="s">
        <v>22</v>
      </c>
      <c r="AI2" s="1129"/>
      <c r="AJ2" s="1129"/>
      <c r="AK2" s="1129"/>
      <c r="AL2" s="1129"/>
      <c r="AM2" s="1129"/>
      <c r="AN2" s="1129"/>
      <c r="AO2" s="1128" t="s">
        <v>22</v>
      </c>
      <c r="AP2" s="1129"/>
      <c r="AQ2" s="1129" t="s">
        <v>22</v>
      </c>
      <c r="AR2" s="1129"/>
      <c r="AS2" s="1129"/>
      <c r="AT2" s="1129"/>
      <c r="AU2" s="1129"/>
      <c r="AV2" s="1129"/>
      <c r="AW2" s="1129"/>
      <c r="AX2" s="1129"/>
      <c r="AY2" s="1129"/>
      <c r="AZ2" s="1129"/>
      <c r="BA2" s="1129"/>
      <c r="BB2" s="1129" t="s">
        <v>22</v>
      </c>
      <c r="BC2" s="1129" t="s">
        <v>22</v>
      </c>
      <c r="BD2" s="1129"/>
    </row>
    <row r="3" spans="1:149">
      <c r="A3" s="33" t="str">
        <f>Begriffe!F186</f>
        <v>Raumnutzung</v>
      </c>
      <c r="B3" s="651"/>
      <c r="C3" s="33" t="str">
        <f>Begriffe!F187</f>
        <v>Raum</v>
      </c>
      <c r="D3" s="156"/>
      <c r="E3" s="156"/>
      <c r="F3" s="253" t="str">
        <f>Begriffe!F204</f>
        <v>Personen</v>
      </c>
      <c r="G3" s="254"/>
      <c r="H3" s="254"/>
      <c r="I3" s="254"/>
      <c r="J3" s="254"/>
      <c r="K3" s="254"/>
      <c r="L3" s="254"/>
      <c r="M3" s="254"/>
      <c r="N3" s="652"/>
      <c r="O3" s="253" t="str">
        <f>Begriffe!F205</f>
        <v>Geräte und Prozessanlagen</v>
      </c>
      <c r="P3" s="254"/>
      <c r="Q3" s="254" t="str">
        <f>Begriffe!F205</f>
        <v>Geräte und Prozessanlagen</v>
      </c>
      <c r="R3" s="254"/>
      <c r="S3" s="380"/>
      <c r="T3" s="380"/>
      <c r="U3" s="253" t="str">
        <f>Begriffe!F206</f>
        <v>Beleuchtung</v>
      </c>
      <c r="V3" s="253" t="str">
        <f>Begriffe!F206</f>
        <v>Beleuchtung</v>
      </c>
      <c r="W3" s="380"/>
      <c r="X3" s="380"/>
      <c r="Y3" s="254"/>
      <c r="Z3" s="254"/>
      <c r="AA3" s="254"/>
      <c r="AB3" s="254"/>
      <c r="AC3" s="255"/>
      <c r="AD3" s="1261" t="str">
        <f>Begriffe!F219</f>
        <v>Lüftung</v>
      </c>
      <c r="AE3" s="1262"/>
      <c r="AF3" s="1262"/>
      <c r="AG3" s="1262"/>
      <c r="AH3" s="1263"/>
      <c r="AI3" s="253" t="str">
        <f>Begriffe!F220</f>
        <v>Raumkühlung</v>
      </c>
      <c r="AJ3" s="254"/>
      <c r="AK3" s="254"/>
      <c r="AL3" s="254"/>
      <c r="AM3" s="254"/>
      <c r="AN3" s="254"/>
      <c r="AO3" s="254"/>
      <c r="AP3" s="254"/>
      <c r="AQ3" s="254"/>
      <c r="AR3" s="254"/>
      <c r="AS3" s="255"/>
      <c r="AT3" s="255"/>
      <c r="AU3" s="254" t="str">
        <f>Begriffe!F222</f>
        <v>Raumheizung</v>
      </c>
      <c r="AV3" s="254"/>
      <c r="AW3" s="254"/>
      <c r="AX3" s="254"/>
      <c r="AY3" s="254"/>
      <c r="AZ3" s="254"/>
      <c r="BA3" s="255"/>
      <c r="BB3" s="254" t="str">
        <f>Begriffe!F223</f>
        <v>Wasser</v>
      </c>
      <c r="BC3" s="254"/>
      <c r="BD3" s="255" t="str">
        <f>Begriffe!F223</f>
        <v>Wasser</v>
      </c>
      <c r="BG3" s="33" t="s">
        <v>0</v>
      </c>
      <c r="BH3" s="156"/>
      <c r="BI3" s="156"/>
      <c r="BJ3" s="253" t="s">
        <v>10</v>
      </c>
      <c r="BK3" s="254"/>
      <c r="BL3" s="254"/>
      <c r="BM3" s="254"/>
      <c r="BN3" s="254"/>
      <c r="BO3" s="254"/>
      <c r="BP3" s="652"/>
      <c r="BQ3" s="253" t="s">
        <v>51</v>
      </c>
      <c r="BR3" s="254" t="s">
        <v>51</v>
      </c>
      <c r="BS3" s="380"/>
      <c r="BT3" s="253" t="s">
        <v>17</v>
      </c>
      <c r="BU3" s="380"/>
      <c r="BV3" s="380"/>
      <c r="BW3" s="380"/>
      <c r="BX3" s="254"/>
      <c r="BY3" s="254"/>
      <c r="BZ3" s="254"/>
      <c r="CA3" s="254"/>
      <c r="CB3" s="254"/>
      <c r="CC3" s="255"/>
      <c r="CD3" s="253" t="s">
        <v>19</v>
      </c>
      <c r="CE3" s="253" t="s">
        <v>19</v>
      </c>
      <c r="CF3" s="254"/>
      <c r="CG3" s="255"/>
      <c r="CH3" s="253" t="s">
        <v>265</v>
      </c>
      <c r="CI3" s="254"/>
      <c r="CJ3" s="254"/>
      <c r="CK3" s="254"/>
      <c r="CL3" s="254"/>
      <c r="CM3" s="254"/>
      <c r="CN3" s="254"/>
      <c r="CO3" s="254"/>
      <c r="CP3" s="255"/>
      <c r="CQ3" s="254" t="s">
        <v>266</v>
      </c>
      <c r="CR3" s="254"/>
      <c r="CS3" s="254"/>
      <c r="CT3" s="254"/>
      <c r="CU3" s="254"/>
      <c r="CV3" s="255"/>
      <c r="CW3" s="254" t="s">
        <v>519</v>
      </c>
      <c r="CX3" s="254"/>
      <c r="CY3" s="255"/>
      <c r="DA3" s="33" t="s">
        <v>0</v>
      </c>
      <c r="DB3" s="156"/>
      <c r="DC3" s="156"/>
      <c r="DD3" s="253" t="s">
        <v>10</v>
      </c>
      <c r="DE3" s="254"/>
      <c r="DF3" s="254"/>
      <c r="DG3" s="254"/>
      <c r="DH3" s="254"/>
      <c r="DI3" s="254"/>
      <c r="DJ3" s="652"/>
      <c r="DK3" s="253" t="s">
        <v>51</v>
      </c>
      <c r="DL3" s="254" t="s">
        <v>51</v>
      </c>
      <c r="DM3" s="380"/>
      <c r="DN3" s="253" t="s">
        <v>17</v>
      </c>
      <c r="DO3" s="380"/>
      <c r="DP3" s="380"/>
      <c r="DQ3" s="380"/>
      <c r="DR3" s="254"/>
      <c r="DS3" s="254"/>
      <c r="DT3" s="254"/>
      <c r="DU3" s="254"/>
      <c r="DV3" s="254"/>
      <c r="DW3" s="255"/>
      <c r="DX3" s="253" t="s">
        <v>19</v>
      </c>
      <c r="DY3" s="253" t="s">
        <v>19</v>
      </c>
      <c r="DZ3" s="254"/>
      <c r="EA3" s="255"/>
      <c r="EB3" s="253" t="s">
        <v>265</v>
      </c>
      <c r="EC3" s="254"/>
      <c r="ED3" s="254"/>
      <c r="EE3" s="254"/>
      <c r="EF3" s="254"/>
      <c r="EG3" s="254"/>
      <c r="EH3" s="254"/>
      <c r="EI3" s="254"/>
      <c r="EJ3" s="255"/>
      <c r="EK3" s="254" t="s">
        <v>266</v>
      </c>
      <c r="EL3" s="254"/>
      <c r="EM3" s="254"/>
      <c r="EN3" s="254"/>
      <c r="EO3" s="254"/>
      <c r="EP3" s="255"/>
      <c r="EQ3" s="254" t="s">
        <v>519</v>
      </c>
      <c r="ER3" s="254"/>
      <c r="ES3" s="255"/>
    </row>
    <row r="4" spans="1:149" ht="167.25" customHeight="1">
      <c r="A4" s="381" t="s">
        <v>476</v>
      </c>
      <c r="B4" s="252" t="str">
        <f>Begriffe!F185</f>
        <v>Bezeichnung</v>
      </c>
      <c r="C4" s="251" t="str">
        <f>Begriffe!F192</f>
        <v>Nettogeschossfläche</v>
      </c>
      <c r="D4" s="250" t="str">
        <f>Begriffe!F77 &amp; " " &amp; Begriffe!F240</f>
        <v>Mittlere Luftgeschwindigkeit Kühlfall</v>
      </c>
      <c r="E4" s="250" t="str">
        <f>Begriffe!F77 &amp; " " &amp; Begriffe!F241</f>
        <v>Mittlere Luftgeschwindigkeit Heizfall</v>
      </c>
      <c r="F4" s="251" t="str">
        <f>Begriffe!F83</f>
        <v>Nutzungsstunden pro Tag</v>
      </c>
      <c r="G4" s="250" t="str">
        <f>Begriffe!F113</f>
        <v>Volllaststunden pro Tag</v>
      </c>
      <c r="H4" s="250" t="str">
        <f>Begriffe!F85</f>
        <v>Nutzungstage pro Jahr</v>
      </c>
      <c r="I4" s="250" t="str">
        <f>Begriffe!F52</f>
        <v>Jahresgleichzeitigkeit</v>
      </c>
      <c r="J4" s="250" t="str">
        <f>Begriffe!F112</f>
        <v>Volllaststunden pro Jahr</v>
      </c>
      <c r="K4" s="250" t="str">
        <f>Begriffe!F87</f>
        <v>Personenfläche</v>
      </c>
      <c r="L4" s="250" t="str">
        <f>Begriffe!F101</f>
        <v>Sensible Wärmeeintragsleistung Personen</v>
      </c>
      <c r="M4" s="250" t="s">
        <v>1117</v>
      </c>
      <c r="N4" s="252" t="str">
        <f>Begriffe!F43</f>
        <v>Feuchteproduktion Personen</v>
      </c>
      <c r="O4" s="251" t="str">
        <f>Begriffe!F39</f>
        <v>Elektrische Leistung der Geräte</v>
      </c>
      <c r="P4" s="250" t="str">
        <f>Begriffe!F41</f>
        <v>Elektrische Leistung der Prozessanlagen</v>
      </c>
      <c r="Q4" s="250" t="str">
        <f>Begriffe!F56</f>
        <v>Jährliche Volllaststunden der Geräte und Prozessanlagen</v>
      </c>
      <c r="R4" s="250" t="str">
        <f>Begriffe!F51</f>
        <v>Interne Wärmeeinträge der Geräte pro Jahr</v>
      </c>
      <c r="S4" s="250" t="str">
        <f>Begriffe!F62</f>
        <v>Jährlicher Elektrizitätsbedarf der Geräte</v>
      </c>
      <c r="T4" s="250" t="str">
        <f>Begriffe!F64</f>
        <v>Jährlicher Elektrizitätsbedarf der Prozessanlagen</v>
      </c>
      <c r="U4" s="251" t="str">
        <f>Begriffe!F92</f>
        <v>Raumindex</v>
      </c>
      <c r="V4" s="251" t="str">
        <f>Begriffe!F74</f>
        <v>Leuchten-Lichtausbeute</v>
      </c>
      <c r="W4" s="250" t="str">
        <f>Begriffe!F94</f>
        <v>Raumwirkungsgrad</v>
      </c>
      <c r="X4" s="250" t="str">
        <f>Begriffe!F47</f>
        <v>Glasflächenzahl</v>
      </c>
      <c r="Y4" s="250" t="str">
        <f>Begriffe!F78</f>
        <v>Minimale Volllaststundenzahl</v>
      </c>
      <c r="Z4" s="250" t="str">
        <f>Begriffe!F115</f>
        <v>Volllaststunden pro 11h Tag</v>
      </c>
      <c r="AA4" s="250" t="str">
        <f>Begriffe!F38</f>
        <v>Elektrische Leistung der Beleuchtung</v>
      </c>
      <c r="AB4" s="250" t="str">
        <f>Begriffe!F55</f>
        <v xml:space="preserve">Jährliche Volllaststunden der Beleuchtung </v>
      </c>
      <c r="AC4" s="252" t="str">
        <f>Begriffe!F61</f>
        <v>Jährlicher Elektrizitätsbedarf Beleuchtung</v>
      </c>
      <c r="AD4" s="382" t="str">
        <f>Begriffe!F30</f>
        <v>Aussenluft-Volumenstrom</v>
      </c>
      <c r="AE4" s="250" t="str">
        <f>Begriffe!F58</f>
        <v>Jährliche Volumenstrom-Volllaststunden</v>
      </c>
      <c r="AF4" s="383" t="str">
        <f>Begriffe!F40</f>
        <v>Elektrische Leistung der Lüftung</v>
      </c>
      <c r="AG4" s="250" t="str">
        <f>Begriffe!F57</f>
        <v>Jährliche Volllaststunden der Lüftung</v>
      </c>
      <c r="AH4" s="250" t="str">
        <f>Begriffe!F63</f>
        <v>Jährlicher Elektrizitätsbedarf der Lüftung</v>
      </c>
      <c r="AI4" s="251" t="str">
        <f>Begriffe!F42</f>
        <v>Externe Wärmeeintragsleistung</v>
      </c>
      <c r="AJ4" s="250" t="str">
        <f>Begriffe!F50</f>
        <v>Interne Wärmeeintragsleistung</v>
      </c>
      <c r="AK4" s="250" t="str">
        <f>Begriffe!F49</f>
        <v>Interne Wärmeeinträge pro Tag</v>
      </c>
      <c r="AL4" s="250" t="str">
        <f>Begriffe!$F82 &amp; " " &amp; Begriffe!$F367</f>
        <v>Notwendigkeit einer Kühlung Mit unterstützender Fensterlüftung Tag und Nacht</v>
      </c>
      <c r="AM4" s="250" t="str">
        <f>Begriffe!$F82 &amp; " " &amp; Begriffe!$F368</f>
        <v>Notwendigkeit einer Kühlung Mit unterstützender Fensterlüftung bei Belegung</v>
      </c>
      <c r="AN4" s="250" t="str">
        <f>Begriffe!$F82 &amp; " " &amp; Begriffe!$F369</f>
        <v>Notwendigkeit einer Kühlung Ohne Fensterlüftung</v>
      </c>
      <c r="AO4" s="250" t="str">
        <f>Begriffe!F68</f>
        <v>Klimakälteleistungsbedarf</v>
      </c>
      <c r="AP4" s="250" t="str">
        <f>Begriffe!F68</f>
        <v>Klimakälteleistungsbedarf</v>
      </c>
      <c r="AQ4" s="250" t="str">
        <f>Begriffe!F68</f>
        <v>Klimakälteleistungsbedarf</v>
      </c>
      <c r="AR4" s="250" t="str">
        <f>Begriffe!F60</f>
        <v>Jährliche Volllaststunden der Raumkühlung</v>
      </c>
      <c r="AS4" s="252" t="str">
        <f>Begriffe!F66</f>
        <v>Jährlicher Klimakältebedarf</v>
      </c>
      <c r="AT4" s="252" t="str">
        <f>Begriffe!F66</f>
        <v>Jährlicher Klimakältebedarf</v>
      </c>
      <c r="AU4" s="250" t="str">
        <f>Begriffe!F124</f>
        <v>Wärmetransferkoeffizient</v>
      </c>
      <c r="AV4" s="250" t="str">
        <f>Begriffe!F127</f>
        <v>Zeitkonstante</v>
      </c>
      <c r="AW4" s="250" t="str">
        <f>Begriffe!F106</f>
        <v>Temperaturkorrektur</v>
      </c>
      <c r="AX4" s="250" t="str">
        <f>Begriffe!F81</f>
        <v>Norm-Heizlast</v>
      </c>
      <c r="AY4" s="250" t="str">
        <f>Begriffe!F59</f>
        <v>Jährliche Volllaststunden der Raumheizung</v>
      </c>
      <c r="AZ4" s="250" t="str">
        <f>Begriffe!F108</f>
        <v>Thermisch wirksamer Aussenluft-Volumenstrom</v>
      </c>
      <c r="BA4" s="252" t="str">
        <f>Begriffe!F65</f>
        <v xml:space="preserve">Jährlicher Heizwärmebedarf </v>
      </c>
      <c r="BB4" s="250" t="str">
        <f>Begriffe!F125</f>
        <v>Warmwasserbedarf pro Person</v>
      </c>
      <c r="BC4" s="250" t="str">
        <f>Begriffe!F126</f>
        <v>Wasserbedarf pro Person</v>
      </c>
      <c r="BD4" s="252" t="str">
        <f>Begriffe!F67</f>
        <v>Jährlicher Wärmebedarf für Warmwasser</v>
      </c>
      <c r="BG4" s="251" t="s">
        <v>269</v>
      </c>
      <c r="BH4" s="250" t="s">
        <v>848</v>
      </c>
      <c r="BI4" s="250" t="s">
        <v>849</v>
      </c>
      <c r="BJ4" s="251" t="s">
        <v>578</v>
      </c>
      <c r="BK4" s="250" t="s">
        <v>579</v>
      </c>
      <c r="BL4" s="250" t="s">
        <v>580</v>
      </c>
      <c r="BM4" s="250" t="s">
        <v>74</v>
      </c>
      <c r="BN4" s="250" t="s">
        <v>102</v>
      </c>
      <c r="BO4" s="250" t="s">
        <v>488</v>
      </c>
      <c r="BP4" s="252" t="s">
        <v>507</v>
      </c>
      <c r="BQ4" s="251" t="s">
        <v>643</v>
      </c>
      <c r="BR4" s="250" t="s">
        <v>803</v>
      </c>
      <c r="BS4" s="250" t="s">
        <v>660</v>
      </c>
      <c r="BT4" s="382" t="s">
        <v>490</v>
      </c>
      <c r="BU4" s="383" t="s">
        <v>491</v>
      </c>
      <c r="BV4" s="383" t="s">
        <v>492</v>
      </c>
      <c r="BW4" s="383" t="s">
        <v>493</v>
      </c>
      <c r="BX4" s="250" t="s">
        <v>641</v>
      </c>
      <c r="BY4" s="250" t="s">
        <v>640</v>
      </c>
      <c r="BZ4" s="250" t="s">
        <v>518</v>
      </c>
      <c r="CA4" s="250" t="s">
        <v>657</v>
      </c>
      <c r="CB4" s="250" t="s">
        <v>658</v>
      </c>
      <c r="CC4" s="252" t="s">
        <v>494</v>
      </c>
      <c r="CD4" s="382" t="s">
        <v>398</v>
      </c>
      <c r="CE4" s="383" t="s">
        <v>645</v>
      </c>
      <c r="CF4" s="250" t="s">
        <v>802</v>
      </c>
      <c r="CG4" s="250" t="s">
        <v>661</v>
      </c>
      <c r="CH4" s="251" t="s">
        <v>556</v>
      </c>
      <c r="CI4" s="250" t="s">
        <v>557</v>
      </c>
      <c r="CJ4" s="250" t="s">
        <v>495</v>
      </c>
      <c r="CK4" s="250" t="s">
        <v>850</v>
      </c>
      <c r="CL4" s="250" t="s">
        <v>851</v>
      </c>
      <c r="CM4" s="250" t="s">
        <v>852</v>
      </c>
      <c r="CN4" s="250" t="s">
        <v>497</v>
      </c>
      <c r="CO4" s="250" t="s">
        <v>804</v>
      </c>
      <c r="CP4" s="252" t="s">
        <v>499</v>
      </c>
      <c r="CQ4" s="250" t="s">
        <v>596</v>
      </c>
      <c r="CR4" s="250" t="s">
        <v>500</v>
      </c>
      <c r="CS4" s="250" t="s">
        <v>695</v>
      </c>
      <c r="CT4" s="250" t="s">
        <v>501</v>
      </c>
      <c r="CU4" s="250" t="s">
        <v>805</v>
      </c>
      <c r="CV4" s="252" t="s">
        <v>663</v>
      </c>
      <c r="CW4" s="250" t="s">
        <v>543</v>
      </c>
      <c r="CX4" s="250" t="s">
        <v>542</v>
      </c>
      <c r="CY4" s="252" t="s">
        <v>502</v>
      </c>
      <c r="DA4" s="251" t="s">
        <v>269</v>
      </c>
      <c r="DB4" s="250" t="s">
        <v>848</v>
      </c>
      <c r="DC4" s="250" t="s">
        <v>849</v>
      </c>
      <c r="DD4" s="251" t="s">
        <v>578</v>
      </c>
      <c r="DE4" s="250" t="s">
        <v>579</v>
      </c>
      <c r="DF4" s="250" t="s">
        <v>580</v>
      </c>
      <c r="DG4" s="250" t="s">
        <v>74</v>
      </c>
      <c r="DH4" s="250" t="s">
        <v>102</v>
      </c>
      <c r="DI4" s="250" t="s">
        <v>488</v>
      </c>
      <c r="DJ4" s="252" t="s">
        <v>507</v>
      </c>
      <c r="DK4" s="251" t="s">
        <v>643</v>
      </c>
      <c r="DL4" s="250" t="s">
        <v>803</v>
      </c>
      <c r="DM4" s="250" t="s">
        <v>660</v>
      </c>
      <c r="DN4" s="382" t="s">
        <v>490</v>
      </c>
      <c r="DO4" s="383" t="s">
        <v>491</v>
      </c>
      <c r="DP4" s="383" t="s">
        <v>492</v>
      </c>
      <c r="DQ4" s="383" t="s">
        <v>493</v>
      </c>
      <c r="DR4" s="250" t="s">
        <v>641</v>
      </c>
      <c r="DS4" s="250" t="s">
        <v>640</v>
      </c>
      <c r="DT4" s="250" t="s">
        <v>518</v>
      </c>
      <c r="DU4" s="250" t="s">
        <v>657</v>
      </c>
      <c r="DV4" s="250" t="s">
        <v>658</v>
      </c>
      <c r="DW4" s="252" t="s">
        <v>494</v>
      </c>
      <c r="DX4" s="382" t="s">
        <v>398</v>
      </c>
      <c r="DY4" s="383" t="s">
        <v>645</v>
      </c>
      <c r="DZ4" s="250" t="s">
        <v>802</v>
      </c>
      <c r="EA4" s="250" t="s">
        <v>661</v>
      </c>
      <c r="EB4" s="251" t="s">
        <v>556</v>
      </c>
      <c r="EC4" s="250" t="s">
        <v>557</v>
      </c>
      <c r="ED4" s="250" t="s">
        <v>495</v>
      </c>
      <c r="EE4" s="250" t="s">
        <v>850</v>
      </c>
      <c r="EF4" s="250" t="s">
        <v>851</v>
      </c>
      <c r="EG4" s="250" t="s">
        <v>852</v>
      </c>
      <c r="EH4" s="250" t="s">
        <v>497</v>
      </c>
      <c r="EI4" s="250" t="s">
        <v>804</v>
      </c>
      <c r="EJ4" s="252" t="s">
        <v>499</v>
      </c>
      <c r="EK4" s="250" t="s">
        <v>596</v>
      </c>
      <c r="EL4" s="250" t="s">
        <v>500</v>
      </c>
      <c r="EM4" s="250" t="s">
        <v>695</v>
      </c>
      <c r="EN4" s="250" t="s">
        <v>501</v>
      </c>
      <c r="EO4" s="250" t="s">
        <v>805</v>
      </c>
      <c r="EP4" s="252" t="s">
        <v>663</v>
      </c>
      <c r="EQ4" s="250" t="s">
        <v>543</v>
      </c>
      <c r="ER4" s="250" t="s">
        <v>542</v>
      </c>
      <c r="ES4" s="252" t="s">
        <v>502</v>
      </c>
    </row>
    <row r="5" spans="1:149" ht="14.15">
      <c r="A5" s="391"/>
      <c r="B5" s="562"/>
      <c r="C5" s="1227" t="s">
        <v>439</v>
      </c>
      <c r="D5" s="1130" t="s">
        <v>6</v>
      </c>
      <c r="E5" s="1130" t="s">
        <v>6</v>
      </c>
      <c r="F5" s="1227" t="s">
        <v>15</v>
      </c>
      <c r="G5" s="1130" t="s">
        <v>15</v>
      </c>
      <c r="H5" s="1130" t="s">
        <v>35</v>
      </c>
      <c r="I5" s="1130" t="s">
        <v>16</v>
      </c>
      <c r="J5" s="1130" t="s">
        <v>15</v>
      </c>
      <c r="K5" s="1130" t="s">
        <v>103</v>
      </c>
      <c r="L5" s="1130" t="s">
        <v>149</v>
      </c>
      <c r="M5" s="1228" t="s">
        <v>441</v>
      </c>
      <c r="N5" s="1229" t="s">
        <v>440</v>
      </c>
      <c r="O5" s="1230" t="s">
        <v>149</v>
      </c>
      <c r="P5" s="1231" t="s">
        <v>149</v>
      </c>
      <c r="Q5" s="1231" t="s">
        <v>15</v>
      </c>
      <c r="R5" s="1232" t="s">
        <v>441</v>
      </c>
      <c r="S5" s="1232" t="s">
        <v>441</v>
      </c>
      <c r="T5" s="1233" t="s">
        <v>441</v>
      </c>
      <c r="U5" s="1227" t="s">
        <v>16</v>
      </c>
      <c r="V5" s="1234" t="s">
        <v>70</v>
      </c>
      <c r="W5" s="1228" t="s">
        <v>16</v>
      </c>
      <c r="X5" s="1228" t="s">
        <v>16</v>
      </c>
      <c r="Y5" s="1228" t="s">
        <v>15</v>
      </c>
      <c r="Z5" s="1228" t="s">
        <v>15</v>
      </c>
      <c r="AA5" s="1228" t="s">
        <v>149</v>
      </c>
      <c r="AB5" s="1133" t="s">
        <v>15</v>
      </c>
      <c r="AC5" s="1196" t="s">
        <v>441</v>
      </c>
      <c r="AD5" s="1268" t="s">
        <v>1519</v>
      </c>
      <c r="AE5" s="1133" t="s">
        <v>15</v>
      </c>
      <c r="AF5" s="1228" t="s">
        <v>149</v>
      </c>
      <c r="AG5" s="1133" t="s">
        <v>15</v>
      </c>
      <c r="AH5" s="1196" t="s">
        <v>441</v>
      </c>
      <c r="AI5" s="1234" t="s">
        <v>149</v>
      </c>
      <c r="AJ5" s="1228" t="s">
        <v>149</v>
      </c>
      <c r="AK5" s="1130" t="s">
        <v>470</v>
      </c>
      <c r="AL5" s="1130"/>
      <c r="AM5" s="1130"/>
      <c r="AN5" s="1130"/>
      <c r="AO5" s="1130" t="s">
        <v>149</v>
      </c>
      <c r="AP5" s="1130" t="s">
        <v>149</v>
      </c>
      <c r="AQ5" s="1130" t="s">
        <v>149</v>
      </c>
      <c r="AR5" s="1130" t="s">
        <v>15</v>
      </c>
      <c r="AS5" s="1196" t="s">
        <v>441</v>
      </c>
      <c r="AT5" s="1196" t="s">
        <v>441</v>
      </c>
      <c r="AU5" s="1228" t="s">
        <v>49</v>
      </c>
      <c r="AV5" s="1228" t="s">
        <v>15</v>
      </c>
      <c r="AW5" s="1228" t="s">
        <v>58</v>
      </c>
      <c r="AX5" s="1130" t="s">
        <v>149</v>
      </c>
      <c r="AY5" s="1130" t="s">
        <v>15</v>
      </c>
      <c r="AZ5" s="1269" t="s">
        <v>619</v>
      </c>
      <c r="BA5" s="1196" t="s">
        <v>441</v>
      </c>
      <c r="BB5" s="1270" t="s">
        <v>855</v>
      </c>
      <c r="BC5" s="1130" t="s">
        <v>855</v>
      </c>
      <c r="BD5" s="1196" t="s">
        <v>441</v>
      </c>
      <c r="BG5" s="1227" t="s">
        <v>209</v>
      </c>
      <c r="BH5" s="1130" t="s">
        <v>6</v>
      </c>
      <c r="BI5" s="1130" t="s">
        <v>6</v>
      </c>
      <c r="BJ5" s="1227" t="s">
        <v>15</v>
      </c>
      <c r="BK5" s="1130" t="s">
        <v>15</v>
      </c>
      <c r="BL5" s="1130" t="s">
        <v>35</v>
      </c>
      <c r="BM5" s="1130" t="s">
        <v>16</v>
      </c>
      <c r="BN5" s="1130" t="s">
        <v>103</v>
      </c>
      <c r="BO5" s="1130" t="s">
        <v>24</v>
      </c>
      <c r="BP5" s="1229" t="s">
        <v>853</v>
      </c>
      <c r="BQ5" s="1227" t="s">
        <v>24</v>
      </c>
      <c r="BR5" s="1130" t="s">
        <v>15</v>
      </c>
      <c r="BS5" s="1228" t="s">
        <v>134</v>
      </c>
      <c r="BT5" s="1227" t="s">
        <v>16</v>
      </c>
      <c r="BU5" s="1228" t="s">
        <v>16</v>
      </c>
      <c r="BV5" s="1228" t="s">
        <v>70</v>
      </c>
      <c r="BW5" s="1228" t="s">
        <v>16</v>
      </c>
      <c r="BX5" s="1228" t="s">
        <v>24</v>
      </c>
      <c r="BY5" s="1228" t="s">
        <v>24</v>
      </c>
      <c r="BZ5" s="1228" t="s">
        <v>24</v>
      </c>
      <c r="CA5" s="1133" t="s">
        <v>15</v>
      </c>
      <c r="CB5" s="1133" t="s">
        <v>15</v>
      </c>
      <c r="CC5" s="1196" t="s">
        <v>134</v>
      </c>
      <c r="CD5" s="604" t="s">
        <v>856</v>
      </c>
      <c r="CE5" s="1228" t="s">
        <v>24</v>
      </c>
      <c r="CF5" s="1133" t="s">
        <v>15</v>
      </c>
      <c r="CG5" s="1196" t="s">
        <v>134</v>
      </c>
      <c r="CH5" s="1234" t="s">
        <v>24</v>
      </c>
      <c r="CI5" s="1228" t="s">
        <v>24</v>
      </c>
      <c r="CJ5" s="1130" t="s">
        <v>529</v>
      </c>
      <c r="CK5" s="1130"/>
      <c r="CL5" s="1130"/>
      <c r="CM5" s="1130"/>
      <c r="CN5" s="1130" t="s">
        <v>24</v>
      </c>
      <c r="CO5" s="1130" t="s">
        <v>15</v>
      </c>
      <c r="CP5" s="1196" t="s">
        <v>134</v>
      </c>
      <c r="CQ5" s="1228" t="s">
        <v>49</v>
      </c>
      <c r="CR5" s="1228" t="s">
        <v>15</v>
      </c>
      <c r="CS5" s="1228" t="s">
        <v>58</v>
      </c>
      <c r="CT5" s="1130" t="s">
        <v>24</v>
      </c>
      <c r="CU5" s="1130" t="s">
        <v>15</v>
      </c>
      <c r="CV5" s="1196" t="s">
        <v>134</v>
      </c>
      <c r="CW5" s="1270" t="s">
        <v>855</v>
      </c>
      <c r="CX5" s="1130" t="s">
        <v>855</v>
      </c>
      <c r="CY5" s="1196" t="s">
        <v>134</v>
      </c>
      <c r="DA5" s="1227" t="s">
        <v>209</v>
      </c>
      <c r="DB5" s="1130" t="s">
        <v>6</v>
      </c>
      <c r="DC5" s="1130" t="s">
        <v>6</v>
      </c>
      <c r="DD5" s="1227" t="s">
        <v>15</v>
      </c>
      <c r="DE5" s="1130" t="s">
        <v>15</v>
      </c>
      <c r="DF5" s="1130" t="s">
        <v>35</v>
      </c>
      <c r="DG5" s="1130" t="s">
        <v>16</v>
      </c>
      <c r="DH5" s="1130" t="s">
        <v>103</v>
      </c>
      <c r="DI5" s="1130" t="s">
        <v>24</v>
      </c>
      <c r="DJ5" s="1229" t="s">
        <v>853</v>
      </c>
      <c r="DK5" s="1227" t="s">
        <v>24</v>
      </c>
      <c r="DL5" s="1130" t="s">
        <v>15</v>
      </c>
      <c r="DM5" s="1228" t="s">
        <v>134</v>
      </c>
      <c r="DN5" s="1227" t="s">
        <v>16</v>
      </c>
      <c r="DO5" s="1228" t="s">
        <v>16</v>
      </c>
      <c r="DP5" s="1228" t="s">
        <v>70</v>
      </c>
      <c r="DQ5" s="1228" t="s">
        <v>16</v>
      </c>
      <c r="DR5" s="1228" t="s">
        <v>24</v>
      </c>
      <c r="DS5" s="1228" t="s">
        <v>24</v>
      </c>
      <c r="DT5" s="1228" t="s">
        <v>24</v>
      </c>
      <c r="DU5" s="1133" t="s">
        <v>15</v>
      </c>
      <c r="DV5" s="1133" t="s">
        <v>15</v>
      </c>
      <c r="DW5" s="1196" t="s">
        <v>134</v>
      </c>
      <c r="DX5" s="604" t="s">
        <v>856</v>
      </c>
      <c r="DY5" s="1228" t="s">
        <v>24</v>
      </c>
      <c r="DZ5" s="1133" t="s">
        <v>15</v>
      </c>
      <c r="EA5" s="1196" t="s">
        <v>134</v>
      </c>
      <c r="EB5" s="1234" t="s">
        <v>24</v>
      </c>
      <c r="EC5" s="1228" t="s">
        <v>24</v>
      </c>
      <c r="ED5" s="1130" t="s">
        <v>529</v>
      </c>
      <c r="EE5" s="1130"/>
      <c r="EF5" s="1130"/>
      <c r="EG5" s="1130"/>
      <c r="EH5" s="1130" t="s">
        <v>24</v>
      </c>
      <c r="EI5" s="1130" t="s">
        <v>15</v>
      </c>
      <c r="EJ5" s="1196" t="s">
        <v>134</v>
      </c>
      <c r="EK5" s="1228" t="s">
        <v>49</v>
      </c>
      <c r="EL5" s="1228" t="s">
        <v>15</v>
      </c>
      <c r="EM5" s="1228" t="s">
        <v>58</v>
      </c>
      <c r="EN5" s="1130" t="s">
        <v>24</v>
      </c>
      <c r="EO5" s="1130" t="s">
        <v>15</v>
      </c>
      <c r="EP5" s="1196" t="s">
        <v>134</v>
      </c>
      <c r="EQ5" s="1270" t="s">
        <v>855</v>
      </c>
      <c r="ER5" s="1130" t="s">
        <v>855</v>
      </c>
      <c r="ES5" s="1196" t="s">
        <v>134</v>
      </c>
    </row>
    <row r="6" spans="1:149">
      <c r="A6" s="656">
        <f>Eingabedaten!A9</f>
        <v>1.01</v>
      </c>
      <c r="B6" s="628" t="str">
        <f>Eingabedaten!C9</f>
        <v>Wohnen MFH</v>
      </c>
      <c r="C6" s="580"/>
      <c r="D6" s="390"/>
      <c r="E6" s="390"/>
      <c r="F6" s="1238"/>
      <c r="G6" s="1129"/>
      <c r="H6" s="1129"/>
      <c r="I6" s="1129"/>
      <c r="J6" s="1129"/>
      <c r="K6" s="1129"/>
      <c r="L6" s="1129"/>
      <c r="M6" s="1129"/>
      <c r="N6" s="1237"/>
      <c r="O6" s="1240">
        <v>12</v>
      </c>
      <c r="P6" s="1131">
        <v>0</v>
      </c>
      <c r="Q6" s="1129">
        <v>2160</v>
      </c>
      <c r="R6" s="1131">
        <v>25.92</v>
      </c>
      <c r="S6" s="1239">
        <v>25.92</v>
      </c>
      <c r="T6" s="1131">
        <v>0</v>
      </c>
      <c r="U6" s="1240"/>
      <c r="V6" s="1240">
        <v>70</v>
      </c>
      <c r="W6" s="1834">
        <v>0.69930069930069916</v>
      </c>
      <c r="X6" s="1239"/>
      <c r="Y6" s="1239">
        <v>7.6032000000000011</v>
      </c>
      <c r="Z6" s="1239">
        <v>7.693212488302148</v>
      </c>
      <c r="AA6" s="1239">
        <v>3.8303571428571437</v>
      </c>
      <c r="AB6" s="1131">
        <v>846</v>
      </c>
      <c r="AC6" s="1243">
        <v>3.2404821428571435</v>
      </c>
      <c r="AD6" s="1242">
        <v>0.82857142857142863</v>
      </c>
      <c r="AE6" s="1131">
        <v>0</v>
      </c>
      <c r="AF6" s="1239">
        <v>0</v>
      </c>
      <c r="AG6" s="1131">
        <v>0</v>
      </c>
      <c r="AH6" s="1197">
        <v>0</v>
      </c>
      <c r="AI6" s="1240">
        <v>30.78450554621849</v>
      </c>
      <c r="AJ6" s="1131">
        <v>18.230357142857144</v>
      </c>
      <c r="AK6" s="1131">
        <v>133.89107142857142</v>
      </c>
      <c r="AL6" s="1131" t="s">
        <v>16</v>
      </c>
      <c r="AM6" s="1131" t="s">
        <v>16</v>
      </c>
      <c r="AN6" s="1131" t="s">
        <v>16</v>
      </c>
      <c r="AO6" s="1131">
        <v>34.310403882352944</v>
      </c>
      <c r="AP6" s="1131">
        <v>0</v>
      </c>
      <c r="AQ6" s="1131">
        <v>32.898191596638654</v>
      </c>
      <c r="AR6" s="1131">
        <v>0</v>
      </c>
      <c r="AS6" s="1197">
        <v>0</v>
      </c>
      <c r="AT6" s="1197">
        <v>0</v>
      </c>
      <c r="AU6" s="1131">
        <v>34.917647058823533</v>
      </c>
      <c r="AV6" s="1131">
        <v>68.733153638814002</v>
      </c>
      <c r="AW6" s="1131">
        <v>-2.3690026954177901</v>
      </c>
      <c r="AX6" s="1239">
        <v>53.893647058823539</v>
      </c>
      <c r="AY6" s="1131">
        <v>1920</v>
      </c>
      <c r="AZ6" s="1242">
        <v>0.64695042400521863</v>
      </c>
      <c r="BA6" s="1243">
        <v>103.48468160361931</v>
      </c>
      <c r="BB6" s="1129"/>
      <c r="BC6" s="1131"/>
      <c r="BD6" s="1243">
        <v>16.936000000000003</v>
      </c>
      <c r="BG6" s="580"/>
      <c r="BH6" s="390"/>
      <c r="BI6" s="390"/>
      <c r="BJ6" s="1238"/>
      <c r="BK6" s="1129"/>
      <c r="BL6" s="1129"/>
      <c r="BM6" s="1129"/>
      <c r="BN6" s="1129"/>
      <c r="BO6" s="1129"/>
      <c r="BP6" s="1237"/>
      <c r="BQ6" s="1240">
        <v>10</v>
      </c>
      <c r="BR6" s="1129">
        <v>1780</v>
      </c>
      <c r="BS6" s="1131">
        <v>17.8</v>
      </c>
      <c r="BT6" s="1241"/>
      <c r="BU6" s="1239"/>
      <c r="BV6" s="1131">
        <v>32.599999999999994</v>
      </c>
      <c r="BW6" s="1239">
        <v>0.69930069930069916</v>
      </c>
      <c r="BX6" s="1239">
        <v>2.7415644171779152</v>
      </c>
      <c r="BY6" s="1239">
        <v>0</v>
      </c>
      <c r="BZ6" s="1239">
        <v>2.7415644171779152</v>
      </c>
      <c r="CA6" s="1131">
        <v>1450</v>
      </c>
      <c r="CB6" s="1131">
        <v>0</v>
      </c>
      <c r="CC6" s="1197">
        <v>3.9752684049079772</v>
      </c>
      <c r="CD6" s="1239">
        <v>1</v>
      </c>
      <c r="CE6" s="1239">
        <v>0</v>
      </c>
      <c r="CF6" s="1131">
        <v>0</v>
      </c>
      <c r="CG6" s="1197">
        <v>0</v>
      </c>
      <c r="CH6" s="1240">
        <v>28.550117647058826</v>
      </c>
      <c r="CI6" s="1131">
        <v>15.041564417177916</v>
      </c>
      <c r="CJ6" s="1131">
        <v>95.944092301475763</v>
      </c>
      <c r="CK6" s="1131" t="s">
        <v>16</v>
      </c>
      <c r="CL6" s="1131" t="s">
        <v>16</v>
      </c>
      <c r="CM6" s="1131" t="s">
        <v>16</v>
      </c>
      <c r="CN6" s="1131">
        <v>21</v>
      </c>
      <c r="CO6" s="1131">
        <v>80</v>
      </c>
      <c r="CP6" s="1197">
        <v>1.6459999999999999</v>
      </c>
      <c r="CQ6" s="1131">
        <v>35.237647058823534</v>
      </c>
      <c r="CR6" s="1131">
        <v>68.108974358974351</v>
      </c>
      <c r="CS6" s="1131">
        <v>-2</v>
      </c>
      <c r="CT6" s="1131">
        <v>54.618352941176475</v>
      </c>
      <c r="CU6" s="1131">
        <v>2070</v>
      </c>
      <c r="CV6" s="1197">
        <v>113.32361071789128</v>
      </c>
      <c r="CW6" s="1129"/>
      <c r="CX6" s="1131"/>
      <c r="CY6" s="1197">
        <v>19.75866666666667</v>
      </c>
      <c r="DA6" s="580">
        <f t="shared" ref="DA6:DA50" si="0">C6-BG6</f>
        <v>0</v>
      </c>
      <c r="DB6" s="390">
        <f t="shared" ref="DB6:DB50" si="1">D6-BH6</f>
        <v>0</v>
      </c>
      <c r="DC6" s="390">
        <f t="shared" ref="DC6:DC50" si="2">E6-BI6</f>
        <v>0</v>
      </c>
      <c r="DD6" s="1238">
        <f t="shared" ref="DD6:DD50" si="3">F6-BJ6</f>
        <v>0</v>
      </c>
      <c r="DE6" s="1129">
        <f t="shared" ref="DE6:DE50" si="4">G6-BK6</f>
        <v>0</v>
      </c>
      <c r="DF6" s="1129">
        <f t="shared" ref="DF6:DF50" si="5">H6-BL6</f>
        <v>0</v>
      </c>
      <c r="DG6" s="1129">
        <f t="shared" ref="DG6:DG50" si="6">I6-BM6</f>
        <v>0</v>
      </c>
      <c r="DH6" s="1129">
        <f t="shared" ref="DH6:DH50" si="7">K6-BN6</f>
        <v>0</v>
      </c>
      <c r="DI6" s="1129">
        <f t="shared" ref="DI6:DI50" si="8">L6-BO6</f>
        <v>0</v>
      </c>
      <c r="DJ6" s="1237">
        <f t="shared" ref="DJ6:DJ50" si="9">N6-BP6</f>
        <v>0</v>
      </c>
      <c r="DK6" s="1240">
        <f t="shared" ref="DK6:DK50" si="10">O6-BQ6</f>
        <v>2</v>
      </c>
      <c r="DL6" s="1129">
        <f t="shared" ref="DL6:DL50" si="11">Q6-BR6</f>
        <v>380</v>
      </c>
      <c r="DM6" s="1131">
        <f t="shared" ref="DM6:DM50" si="12">S6-BS6</f>
        <v>8.120000000000001</v>
      </c>
      <c r="DN6" s="1241">
        <f t="shared" ref="DN6:DN50" si="13">U6-BT6</f>
        <v>0</v>
      </c>
      <c r="DO6" s="1239">
        <f t="shared" ref="DO6:DO50" si="14">V6-BU6</f>
        <v>70</v>
      </c>
      <c r="DP6" s="1131">
        <f t="shared" ref="DP6:DP50" si="15">W6-BV6</f>
        <v>-31.900699300699294</v>
      </c>
      <c r="DQ6" s="1239">
        <f t="shared" ref="DQ6:DQ50" si="16">X6-BW6</f>
        <v>-0.69930069930069916</v>
      </c>
      <c r="DR6" s="1239">
        <f t="shared" ref="DR6:DR50" si="17">Y6-BX6</f>
        <v>4.8616355828220854</v>
      </c>
      <c r="DS6" s="1239">
        <f t="shared" ref="DS6:DS50" si="18">Z6-BY6</f>
        <v>7.693212488302148</v>
      </c>
      <c r="DT6" s="1239">
        <f t="shared" ref="DT6:DT50" si="19">AA6-BZ6</f>
        <v>1.0887927256792285</v>
      </c>
      <c r="DU6" s="1131">
        <f t="shared" ref="DU6:DU50" si="20">AB6-CA6</f>
        <v>-604</v>
      </c>
      <c r="DV6" s="1131" t="e">
        <f>#REF!-CB6</f>
        <v>#REF!</v>
      </c>
      <c r="DW6" s="1197">
        <f t="shared" ref="DW6:DW50" si="21">AC6-CC6</f>
        <v>-0.73478626205083364</v>
      </c>
      <c r="DX6" s="1239">
        <f t="shared" ref="DX6:DX50" si="22">AD6-CD6</f>
        <v>-0.17142857142857137</v>
      </c>
      <c r="DY6" s="1239">
        <f t="shared" ref="DY6:DY50" si="23">AF6-CE6</f>
        <v>0</v>
      </c>
      <c r="DZ6" s="1131">
        <f t="shared" ref="DZ6:DZ50" si="24">AG6-CF6</f>
        <v>0</v>
      </c>
      <c r="EA6" s="1197">
        <f t="shared" ref="EA6:EA50" si="25">AH6-CG6</f>
        <v>0</v>
      </c>
      <c r="EB6" s="1240">
        <f t="shared" ref="EB6:EB50" si="26">AI6-CH6</f>
        <v>2.234387899159664</v>
      </c>
      <c r="EC6" s="1131">
        <f t="shared" ref="EC6:EC50" si="27">AJ6-CI6</f>
        <v>3.1887927256792281</v>
      </c>
      <c r="ED6" s="1131">
        <f t="shared" ref="ED6:ED50" si="28">AK6-CJ6</f>
        <v>37.946979127095659</v>
      </c>
      <c r="EE6" s="1131" t="e">
        <f t="shared" ref="EE6:EE50" si="29">AL6-CK6</f>
        <v>#VALUE!</v>
      </c>
      <c r="EF6" s="1131" t="e">
        <f t="shared" ref="EF6:EF50" si="30">AM6-CL6</f>
        <v>#VALUE!</v>
      </c>
      <c r="EG6" s="1131" t="e">
        <f t="shared" ref="EG6:EG50" si="31">AN6-CM6</f>
        <v>#VALUE!</v>
      </c>
      <c r="EH6" s="1131">
        <f t="shared" ref="EH6:EH50" si="32">AQ6-CN6</f>
        <v>11.898191596638654</v>
      </c>
      <c r="EI6" s="1131">
        <f t="shared" ref="EI6:EI50" si="33">AR6-CO6</f>
        <v>-80</v>
      </c>
      <c r="EJ6" s="1197">
        <f t="shared" ref="EJ6:EJ50" si="34">AT6-CP6</f>
        <v>-1.6459999999999999</v>
      </c>
      <c r="EK6" s="1131">
        <f t="shared" ref="EK6:EK50" si="35">AU6-CQ6</f>
        <v>-0.32000000000000028</v>
      </c>
      <c r="EL6" s="1131">
        <f t="shared" ref="EL6:EL50" si="36">AV6-CR6</f>
        <v>0.62417927983965171</v>
      </c>
      <c r="EM6" s="1131">
        <f t="shared" ref="EM6:EM50" si="37">AW6-CS6</f>
        <v>-0.36900269541779007</v>
      </c>
      <c r="EN6" s="1131">
        <f t="shared" ref="EN6:EO10" si="38">AX6-CT6</f>
        <v>-0.72470588235293576</v>
      </c>
      <c r="EO6" s="1131">
        <f t="shared" si="38"/>
        <v>-150</v>
      </c>
      <c r="EP6" s="1197">
        <f t="shared" ref="EP6:ES10" si="39">BA6-CV6</f>
        <v>-9.838929114271977</v>
      </c>
      <c r="EQ6" s="1129">
        <f t="shared" si="39"/>
        <v>0</v>
      </c>
      <c r="ER6" s="1131">
        <f t="shared" si="39"/>
        <v>0</v>
      </c>
      <c r="ES6" s="1197">
        <f t="shared" si="39"/>
        <v>-2.8226666666666667</v>
      </c>
    </row>
    <row r="7" spans="1:149">
      <c r="A7" s="656">
        <f>Eingabedaten!A10</f>
        <v>1.02</v>
      </c>
      <c r="B7" s="628" t="str">
        <f>Eingabedaten!C10</f>
        <v>Wohnen EFH</v>
      </c>
      <c r="C7" s="580"/>
      <c r="D7" s="390"/>
      <c r="E7" s="390"/>
      <c r="F7" s="1238"/>
      <c r="G7" s="1129"/>
      <c r="H7" s="1129"/>
      <c r="I7" s="1129"/>
      <c r="J7" s="1129"/>
      <c r="K7" s="1129"/>
      <c r="L7" s="1129"/>
      <c r="M7" s="1129"/>
      <c r="N7" s="1237"/>
      <c r="O7" s="1240">
        <v>12</v>
      </c>
      <c r="P7" s="1131">
        <v>0</v>
      </c>
      <c r="Q7" s="1129">
        <v>1780</v>
      </c>
      <c r="R7" s="1131">
        <v>21.36</v>
      </c>
      <c r="S7" s="1239">
        <v>21.36</v>
      </c>
      <c r="T7" s="1131">
        <v>0</v>
      </c>
      <c r="U7" s="1240"/>
      <c r="V7" s="1240">
        <v>70</v>
      </c>
      <c r="W7" s="1834">
        <v>0.69930069930069916</v>
      </c>
      <c r="X7" s="1239"/>
      <c r="Y7" s="1239">
        <v>7.6032000000000011</v>
      </c>
      <c r="Z7" s="1239">
        <v>7.693212488302148</v>
      </c>
      <c r="AA7" s="1239">
        <v>3.8303571428571437</v>
      </c>
      <c r="AB7" s="1131">
        <v>846</v>
      </c>
      <c r="AC7" s="1243">
        <v>3.2404821428571435</v>
      </c>
      <c r="AD7" s="1242">
        <v>0.57999999999999996</v>
      </c>
      <c r="AE7" s="1131">
        <v>0</v>
      </c>
      <c r="AF7" s="1239">
        <v>0</v>
      </c>
      <c r="AG7" s="1131">
        <v>0</v>
      </c>
      <c r="AH7" s="1197">
        <v>0</v>
      </c>
      <c r="AI7" s="1240">
        <v>33.661304470588234</v>
      </c>
      <c r="AJ7" s="1131">
        <v>17.510357142857142</v>
      </c>
      <c r="AK7" s="1131">
        <v>108.21107142857146</v>
      </c>
      <c r="AL7" s="1131" t="s">
        <v>16</v>
      </c>
      <c r="AM7" s="1131" t="s">
        <v>16</v>
      </c>
      <c r="AN7" s="1131" t="s">
        <v>16</v>
      </c>
      <c r="AO7" s="1131">
        <v>35.82016312941176</v>
      </c>
      <c r="AP7" s="1131">
        <v>0</v>
      </c>
      <c r="AQ7" s="1131">
        <v>34.63498352941177</v>
      </c>
      <c r="AR7" s="1131">
        <v>0</v>
      </c>
      <c r="AS7" s="1197">
        <v>0</v>
      </c>
      <c r="AT7" s="1197">
        <v>0</v>
      </c>
      <c r="AU7" s="1131">
        <v>45.270588235294127</v>
      </c>
      <c r="AV7" s="1131">
        <v>53.014553014553002</v>
      </c>
      <c r="AW7" s="1131">
        <v>-2.604781704781705</v>
      </c>
      <c r="AX7" s="1239">
        <v>70.406588235294123</v>
      </c>
      <c r="AY7" s="1131">
        <v>2340</v>
      </c>
      <c r="AZ7" s="1242">
        <v>0.48378995433789951</v>
      </c>
      <c r="BA7" s="1243">
        <v>164.9364473976139</v>
      </c>
      <c r="BB7" s="1129"/>
      <c r="BC7" s="1131"/>
      <c r="BD7" s="1243">
        <v>13.548800000000002</v>
      </c>
      <c r="BG7" s="580"/>
      <c r="BH7" s="390"/>
      <c r="BI7" s="390"/>
      <c r="BJ7" s="1238"/>
      <c r="BK7" s="1129"/>
      <c r="BL7" s="1129"/>
      <c r="BM7" s="1129"/>
      <c r="BN7" s="1129"/>
      <c r="BO7" s="1129"/>
      <c r="BP7" s="1237"/>
      <c r="BQ7" s="1240">
        <v>10</v>
      </c>
      <c r="BR7" s="1129">
        <v>1780</v>
      </c>
      <c r="BS7" s="1131">
        <v>17.8</v>
      </c>
      <c r="BT7" s="1241"/>
      <c r="BU7" s="1239"/>
      <c r="BV7" s="1131">
        <v>32.599999999999994</v>
      </c>
      <c r="BW7" s="1239">
        <v>0.69930069930069916</v>
      </c>
      <c r="BX7" s="1239">
        <v>2.7415644171779152</v>
      </c>
      <c r="BY7" s="1239">
        <v>0</v>
      </c>
      <c r="BZ7" s="1239">
        <v>2.7415644171779152</v>
      </c>
      <c r="CA7" s="1131">
        <v>1450</v>
      </c>
      <c r="CB7" s="1131">
        <v>0</v>
      </c>
      <c r="CC7" s="1197">
        <v>3.9752684049079772</v>
      </c>
      <c r="CD7" s="1239">
        <v>0.6</v>
      </c>
      <c r="CE7" s="1239">
        <v>0</v>
      </c>
      <c r="CF7" s="1131">
        <v>0</v>
      </c>
      <c r="CG7" s="1197">
        <v>0</v>
      </c>
      <c r="CH7" s="1240">
        <v>30.888000000000005</v>
      </c>
      <c r="CI7" s="1131">
        <v>14.141564417177916</v>
      </c>
      <c r="CJ7" s="1131">
        <v>83.344092301475769</v>
      </c>
      <c r="CK7" s="1131" t="s">
        <v>16</v>
      </c>
      <c r="CL7" s="1131" t="s">
        <v>16</v>
      </c>
      <c r="CM7" s="1131" t="s">
        <v>16</v>
      </c>
      <c r="CN7" s="1131">
        <v>21</v>
      </c>
      <c r="CO7" s="1131">
        <v>60</v>
      </c>
      <c r="CP7" s="1197">
        <v>1.3265</v>
      </c>
      <c r="CQ7" s="1131">
        <v>43.030588235294125</v>
      </c>
      <c r="CR7" s="1131">
        <v>55.774278215223084</v>
      </c>
      <c r="CS7" s="1131">
        <v>-2</v>
      </c>
      <c r="CT7" s="1131">
        <v>66.69741176470589</v>
      </c>
      <c r="CU7" s="1131">
        <v>2590</v>
      </c>
      <c r="CV7" s="1197">
        <v>172.94958572515358</v>
      </c>
      <c r="CW7" s="1129"/>
      <c r="CX7" s="1131"/>
      <c r="CY7" s="1197">
        <v>13.548800000000002</v>
      </c>
      <c r="DA7" s="580">
        <f t="shared" si="0"/>
        <v>0</v>
      </c>
      <c r="DB7" s="390">
        <f t="shared" si="1"/>
        <v>0</v>
      </c>
      <c r="DC7" s="390">
        <f t="shared" si="2"/>
        <v>0</v>
      </c>
      <c r="DD7" s="1238">
        <f t="shared" si="3"/>
        <v>0</v>
      </c>
      <c r="DE7" s="1129">
        <f t="shared" si="4"/>
        <v>0</v>
      </c>
      <c r="DF7" s="1129">
        <f t="shared" si="5"/>
        <v>0</v>
      </c>
      <c r="DG7" s="1129">
        <f t="shared" si="6"/>
        <v>0</v>
      </c>
      <c r="DH7" s="1129">
        <f t="shared" si="7"/>
        <v>0</v>
      </c>
      <c r="DI7" s="1129">
        <f t="shared" si="8"/>
        <v>0</v>
      </c>
      <c r="DJ7" s="1237">
        <f t="shared" si="9"/>
        <v>0</v>
      </c>
      <c r="DK7" s="1240">
        <f t="shared" si="10"/>
        <v>2</v>
      </c>
      <c r="DL7" s="1129">
        <f t="shared" si="11"/>
        <v>0</v>
      </c>
      <c r="DM7" s="1131">
        <f t="shared" si="12"/>
        <v>3.5599999999999987</v>
      </c>
      <c r="DN7" s="1241">
        <f t="shared" si="13"/>
        <v>0</v>
      </c>
      <c r="DO7" s="1239">
        <f t="shared" si="14"/>
        <v>70</v>
      </c>
      <c r="DP7" s="1131">
        <f t="shared" si="15"/>
        <v>-31.900699300699294</v>
      </c>
      <c r="DQ7" s="1239">
        <f t="shared" si="16"/>
        <v>-0.69930069930069916</v>
      </c>
      <c r="DR7" s="1239">
        <f t="shared" si="17"/>
        <v>4.8616355828220854</v>
      </c>
      <c r="DS7" s="1239">
        <f t="shared" si="18"/>
        <v>7.693212488302148</v>
      </c>
      <c r="DT7" s="1239">
        <f t="shared" si="19"/>
        <v>1.0887927256792285</v>
      </c>
      <c r="DU7" s="1131">
        <f t="shared" si="20"/>
        <v>-604</v>
      </c>
      <c r="DV7" s="1131" t="e">
        <f>#REF!-CB7</f>
        <v>#REF!</v>
      </c>
      <c r="DW7" s="1197">
        <f t="shared" si="21"/>
        <v>-0.73478626205083364</v>
      </c>
      <c r="DX7" s="1239">
        <f t="shared" si="22"/>
        <v>-2.0000000000000018E-2</v>
      </c>
      <c r="DY7" s="1239">
        <f t="shared" si="23"/>
        <v>0</v>
      </c>
      <c r="DZ7" s="1131">
        <f t="shared" si="24"/>
        <v>0</v>
      </c>
      <c r="EA7" s="1197">
        <f t="shared" si="25"/>
        <v>0</v>
      </c>
      <c r="EB7" s="1240">
        <f t="shared" si="26"/>
        <v>2.7733044705882293</v>
      </c>
      <c r="EC7" s="1131">
        <f t="shared" si="27"/>
        <v>3.3687927256792261</v>
      </c>
      <c r="ED7" s="1131">
        <f t="shared" si="28"/>
        <v>24.866979127095689</v>
      </c>
      <c r="EE7" s="1131" t="e">
        <f t="shared" si="29"/>
        <v>#VALUE!</v>
      </c>
      <c r="EF7" s="1131" t="e">
        <f t="shared" si="30"/>
        <v>#VALUE!</v>
      </c>
      <c r="EG7" s="1131" t="e">
        <f t="shared" si="31"/>
        <v>#VALUE!</v>
      </c>
      <c r="EH7" s="1131">
        <f t="shared" si="32"/>
        <v>13.63498352941177</v>
      </c>
      <c r="EI7" s="1131">
        <f t="shared" si="33"/>
        <v>-60</v>
      </c>
      <c r="EJ7" s="1197">
        <f t="shared" si="34"/>
        <v>-1.3265</v>
      </c>
      <c r="EK7" s="1131">
        <f t="shared" si="35"/>
        <v>2.240000000000002</v>
      </c>
      <c r="EL7" s="1131">
        <f t="shared" si="36"/>
        <v>-2.7597252006700828</v>
      </c>
      <c r="EM7" s="1131">
        <f t="shared" si="37"/>
        <v>-0.60478170478170501</v>
      </c>
      <c r="EN7" s="1131">
        <f t="shared" si="38"/>
        <v>3.7091764705882326</v>
      </c>
      <c r="EO7" s="1131">
        <f t="shared" si="38"/>
        <v>-250</v>
      </c>
      <c r="EP7" s="1197">
        <f t="shared" si="39"/>
        <v>-8.0131383275396786</v>
      </c>
      <c r="EQ7" s="1129">
        <f t="shared" si="39"/>
        <v>0</v>
      </c>
      <c r="ER7" s="1131">
        <f t="shared" si="39"/>
        <v>0</v>
      </c>
      <c r="ES7" s="1197">
        <f t="shared" si="39"/>
        <v>0</v>
      </c>
    </row>
    <row r="8" spans="1:149">
      <c r="A8" s="1299">
        <f>Eingabedaten!A11</f>
        <v>2.0099999999999998</v>
      </c>
      <c r="B8" s="566" t="str">
        <f>Eingabedaten!C11</f>
        <v xml:space="preserve">Hotelzimmer </v>
      </c>
      <c r="C8" s="568"/>
      <c r="D8" s="384"/>
      <c r="E8" s="384"/>
      <c r="F8" s="1247"/>
      <c r="G8" s="1248"/>
      <c r="H8" s="1248"/>
      <c r="I8" s="1248"/>
      <c r="J8" s="1248"/>
      <c r="K8" s="1248"/>
      <c r="L8" s="1248"/>
      <c r="M8" s="1248"/>
      <c r="N8" s="1250"/>
      <c r="O8" s="1251">
        <v>18</v>
      </c>
      <c r="P8" s="1132">
        <v>0</v>
      </c>
      <c r="Q8" s="1248">
        <v>1840</v>
      </c>
      <c r="R8" s="1132">
        <v>33.119999999999997</v>
      </c>
      <c r="S8" s="1249">
        <v>33.119999999999997</v>
      </c>
      <c r="T8" s="1132">
        <v>0</v>
      </c>
      <c r="U8" s="1251"/>
      <c r="V8" s="1251">
        <v>70</v>
      </c>
      <c r="W8" s="1835">
        <v>0.69930069930069916</v>
      </c>
      <c r="X8" s="1249"/>
      <c r="Y8" s="1249">
        <v>7.6032000000000011</v>
      </c>
      <c r="Z8" s="1249">
        <v>8.4282049146136302</v>
      </c>
      <c r="AA8" s="1249">
        <v>7.6607142857142874</v>
      </c>
      <c r="AB8" s="1132">
        <v>677</v>
      </c>
      <c r="AC8" s="1254">
        <v>5.1863035714285726</v>
      </c>
      <c r="AD8" s="1253">
        <v>1.9333333333333333</v>
      </c>
      <c r="AE8" s="1132">
        <v>7300</v>
      </c>
      <c r="AF8" s="1249">
        <v>1.7593333333333334</v>
      </c>
      <c r="AG8" s="1132">
        <v>7300</v>
      </c>
      <c r="AH8" s="1198">
        <v>12.843133333333332</v>
      </c>
      <c r="AI8" s="1251">
        <v>32.107294117647058</v>
      </c>
      <c r="AJ8" s="1132">
        <v>31.26071428571429</v>
      </c>
      <c r="AK8" s="1132">
        <v>220.90214285714285</v>
      </c>
      <c r="AL8" s="1132" t="s">
        <v>16</v>
      </c>
      <c r="AM8" s="1132" t="s">
        <v>16</v>
      </c>
      <c r="AN8" s="1132" t="s">
        <v>16</v>
      </c>
      <c r="AO8" s="1132">
        <v>44.357605882352935</v>
      </c>
      <c r="AP8" s="1132">
        <v>0</v>
      </c>
      <c r="AQ8" s="1132">
        <v>35.532172549019613</v>
      </c>
      <c r="AR8" s="1132">
        <v>0</v>
      </c>
      <c r="AS8" s="1198">
        <v>0</v>
      </c>
      <c r="AT8" s="1198">
        <v>0</v>
      </c>
      <c r="AU8" s="1132">
        <v>31.717647058823534</v>
      </c>
      <c r="AV8" s="1132">
        <v>75.667655786350139</v>
      </c>
      <c r="AW8" s="1132">
        <v>-2.2649851632047477</v>
      </c>
      <c r="AX8" s="1249">
        <v>48.78964705882354</v>
      </c>
      <c r="AY8" s="1132">
        <v>2100</v>
      </c>
      <c r="AZ8" s="1253">
        <v>0.98055555555555562</v>
      </c>
      <c r="BA8" s="1254">
        <v>102.50188967825707</v>
      </c>
      <c r="BB8" s="1248"/>
      <c r="BC8" s="1132"/>
      <c r="BD8" s="1254">
        <v>39.517333333333333</v>
      </c>
      <c r="BG8" s="568"/>
      <c r="BH8" s="384"/>
      <c r="BI8" s="384"/>
      <c r="BJ8" s="1247"/>
      <c r="BK8" s="1248"/>
      <c r="BL8" s="1248"/>
      <c r="BM8" s="1248"/>
      <c r="BN8" s="1248"/>
      <c r="BO8" s="1248"/>
      <c r="BP8" s="1250"/>
      <c r="BQ8" s="1251">
        <v>10</v>
      </c>
      <c r="BR8" s="1248">
        <v>1530</v>
      </c>
      <c r="BS8" s="1132">
        <v>15.3</v>
      </c>
      <c r="BT8" s="1252"/>
      <c r="BU8" s="1249"/>
      <c r="BV8" s="1132">
        <v>32.599999999999994</v>
      </c>
      <c r="BW8" s="1249">
        <v>0.69930069930069916</v>
      </c>
      <c r="BX8" s="1249">
        <v>2.7415644171779152</v>
      </c>
      <c r="BY8" s="1249">
        <v>0</v>
      </c>
      <c r="BZ8" s="1249">
        <v>2.7415644171779152</v>
      </c>
      <c r="CA8" s="1132">
        <v>1150</v>
      </c>
      <c r="CB8" s="1132">
        <v>0</v>
      </c>
      <c r="CC8" s="1198">
        <v>3.1527990797546024</v>
      </c>
      <c r="CD8" s="1249">
        <v>2.4</v>
      </c>
      <c r="CE8" s="1249">
        <v>0</v>
      </c>
      <c r="CF8" s="1132">
        <v>0</v>
      </c>
      <c r="CG8" s="1198">
        <v>0</v>
      </c>
      <c r="CH8" s="1251">
        <v>31.238117647058825</v>
      </c>
      <c r="CI8" s="1132">
        <v>17.441564417177915</v>
      </c>
      <c r="CJ8" s="1132">
        <v>120.08367098742613</v>
      </c>
      <c r="CK8" s="1132" t="s">
        <v>16</v>
      </c>
      <c r="CL8" s="1132" t="s">
        <v>16</v>
      </c>
      <c r="CM8" s="1132" t="s">
        <v>16</v>
      </c>
      <c r="CN8" s="1132">
        <v>20</v>
      </c>
      <c r="CO8" s="1132">
        <v>70</v>
      </c>
      <c r="CP8" s="1198">
        <v>1.4255</v>
      </c>
      <c r="CQ8" s="1132">
        <v>44.197647058823534</v>
      </c>
      <c r="CR8" s="1132">
        <v>54.301533219761495</v>
      </c>
      <c r="CS8" s="1132">
        <v>-2</v>
      </c>
      <c r="CT8" s="1132">
        <v>68.506352941176473</v>
      </c>
      <c r="CU8" s="1132">
        <v>1910</v>
      </c>
      <c r="CV8" s="1198">
        <v>130.91456137718166</v>
      </c>
      <c r="CW8" s="1248"/>
      <c r="CX8" s="1132"/>
      <c r="CY8" s="1198">
        <v>39.517333333333333</v>
      </c>
      <c r="DA8" s="568">
        <f t="shared" si="0"/>
        <v>0</v>
      </c>
      <c r="DB8" s="384">
        <f t="shared" si="1"/>
        <v>0</v>
      </c>
      <c r="DC8" s="384">
        <f t="shared" si="2"/>
        <v>0</v>
      </c>
      <c r="DD8" s="1247">
        <f t="shared" si="3"/>
        <v>0</v>
      </c>
      <c r="DE8" s="1248">
        <f t="shared" si="4"/>
        <v>0</v>
      </c>
      <c r="DF8" s="1248">
        <f t="shared" si="5"/>
        <v>0</v>
      </c>
      <c r="DG8" s="1248">
        <f t="shared" si="6"/>
        <v>0</v>
      </c>
      <c r="DH8" s="1248">
        <f t="shared" si="7"/>
        <v>0</v>
      </c>
      <c r="DI8" s="1248">
        <f t="shared" si="8"/>
        <v>0</v>
      </c>
      <c r="DJ8" s="1250">
        <f t="shared" si="9"/>
        <v>0</v>
      </c>
      <c r="DK8" s="1251">
        <f t="shared" si="10"/>
        <v>8</v>
      </c>
      <c r="DL8" s="1248">
        <f t="shared" si="11"/>
        <v>310</v>
      </c>
      <c r="DM8" s="1132">
        <f t="shared" si="12"/>
        <v>17.819999999999997</v>
      </c>
      <c r="DN8" s="1252">
        <f t="shared" si="13"/>
        <v>0</v>
      </c>
      <c r="DO8" s="1249">
        <f t="shared" si="14"/>
        <v>70</v>
      </c>
      <c r="DP8" s="1132">
        <f t="shared" si="15"/>
        <v>-31.900699300699294</v>
      </c>
      <c r="DQ8" s="1249">
        <f t="shared" si="16"/>
        <v>-0.69930069930069916</v>
      </c>
      <c r="DR8" s="1249">
        <f t="shared" si="17"/>
        <v>4.8616355828220854</v>
      </c>
      <c r="DS8" s="1249">
        <f t="shared" si="18"/>
        <v>8.4282049146136302</v>
      </c>
      <c r="DT8" s="1249">
        <f t="shared" si="19"/>
        <v>4.9191498685363726</v>
      </c>
      <c r="DU8" s="1132">
        <f t="shared" si="20"/>
        <v>-473</v>
      </c>
      <c r="DV8" s="1132" t="e">
        <f>#REF!-CB8</f>
        <v>#REF!</v>
      </c>
      <c r="DW8" s="1198">
        <f t="shared" si="21"/>
        <v>2.0335044916739702</v>
      </c>
      <c r="DX8" s="1249">
        <f t="shared" si="22"/>
        <v>-0.46666666666666656</v>
      </c>
      <c r="DY8" s="1249">
        <f t="shared" si="23"/>
        <v>1.7593333333333334</v>
      </c>
      <c r="DZ8" s="1132">
        <f t="shared" si="24"/>
        <v>7300</v>
      </c>
      <c r="EA8" s="1198">
        <f t="shared" si="25"/>
        <v>12.843133333333332</v>
      </c>
      <c r="EB8" s="1251">
        <f t="shared" si="26"/>
        <v>0.86917647058823277</v>
      </c>
      <c r="EC8" s="1132">
        <f t="shared" si="27"/>
        <v>13.819149868536375</v>
      </c>
      <c r="ED8" s="1132">
        <f t="shared" si="28"/>
        <v>100.81847186971672</v>
      </c>
      <c r="EE8" s="1132" t="e">
        <f t="shared" si="29"/>
        <v>#VALUE!</v>
      </c>
      <c r="EF8" s="1132" t="e">
        <f t="shared" si="30"/>
        <v>#VALUE!</v>
      </c>
      <c r="EG8" s="1132" t="e">
        <f t="shared" si="31"/>
        <v>#VALUE!</v>
      </c>
      <c r="EH8" s="1132">
        <f t="shared" si="32"/>
        <v>15.532172549019613</v>
      </c>
      <c r="EI8" s="1132">
        <f t="shared" si="33"/>
        <v>-70</v>
      </c>
      <c r="EJ8" s="1198">
        <f t="shared" si="34"/>
        <v>-1.4255</v>
      </c>
      <c r="EK8" s="1132">
        <f t="shared" si="35"/>
        <v>-12.48</v>
      </c>
      <c r="EL8" s="1132">
        <f t="shared" si="36"/>
        <v>21.366122566588643</v>
      </c>
      <c r="EM8" s="1132">
        <f t="shared" si="37"/>
        <v>-0.26498516320474774</v>
      </c>
      <c r="EN8" s="1132">
        <f t="shared" si="38"/>
        <v>-19.716705882352933</v>
      </c>
      <c r="EO8" s="1132">
        <f t="shared" si="38"/>
        <v>190</v>
      </c>
      <c r="EP8" s="1198">
        <f t="shared" si="39"/>
        <v>-28.412671698924584</v>
      </c>
      <c r="EQ8" s="1248">
        <f t="shared" si="39"/>
        <v>0</v>
      </c>
      <c r="ER8" s="1132">
        <f t="shared" si="39"/>
        <v>0</v>
      </c>
      <c r="ES8" s="1198">
        <f t="shared" si="39"/>
        <v>0</v>
      </c>
    </row>
    <row r="9" spans="1:149">
      <c r="A9" s="1300">
        <f>Eingabedaten!A12</f>
        <v>2.02</v>
      </c>
      <c r="B9" s="572" t="str">
        <f>Eingabedaten!C12</f>
        <v>Empfang, Lobby</v>
      </c>
      <c r="C9" s="574"/>
      <c r="D9" s="385"/>
      <c r="E9" s="385"/>
      <c r="F9" s="1227"/>
      <c r="G9" s="1130"/>
      <c r="H9" s="1130"/>
      <c r="I9" s="1130"/>
      <c r="J9" s="1130"/>
      <c r="K9" s="1130"/>
      <c r="L9" s="1130"/>
      <c r="M9" s="1130"/>
      <c r="N9" s="1229"/>
      <c r="O9" s="1255">
        <v>15</v>
      </c>
      <c r="P9" s="1133">
        <v>0</v>
      </c>
      <c r="Q9" s="1130">
        <v>2990</v>
      </c>
      <c r="R9" s="1133">
        <v>44.85</v>
      </c>
      <c r="S9" s="1228">
        <v>44.85</v>
      </c>
      <c r="T9" s="1133">
        <v>0</v>
      </c>
      <c r="U9" s="1255"/>
      <c r="V9" s="1255">
        <v>70</v>
      </c>
      <c r="W9" s="1836">
        <v>0.81081081081081086</v>
      </c>
      <c r="X9" s="1228"/>
      <c r="Y9" s="1228">
        <v>6.3360000000000003</v>
      </c>
      <c r="Z9" s="1228">
        <v>7.0368033329355306</v>
      </c>
      <c r="AA9" s="1228">
        <v>6.6071428571428568</v>
      </c>
      <c r="AB9" s="1133">
        <v>4097</v>
      </c>
      <c r="AC9" s="1196">
        <v>27.069464285714282</v>
      </c>
      <c r="AD9" s="1257">
        <v>5.8</v>
      </c>
      <c r="AE9" s="1133">
        <v>6450</v>
      </c>
      <c r="AF9" s="1228">
        <v>5.2779999999999996</v>
      </c>
      <c r="AG9" s="1133">
        <v>4340</v>
      </c>
      <c r="AH9" s="1199">
        <v>22.906519999999997</v>
      </c>
      <c r="AI9" s="1255">
        <v>34.059419607843139</v>
      </c>
      <c r="AJ9" s="1133">
        <v>38.407142857142858</v>
      </c>
      <c r="AK9" s="1133">
        <v>385.16142857142864</v>
      </c>
      <c r="AL9" s="1133" t="s">
        <v>16</v>
      </c>
      <c r="AM9" s="1133" t="s">
        <v>16</v>
      </c>
      <c r="AN9" s="1133" t="s">
        <v>16</v>
      </c>
      <c r="AO9" s="1133">
        <v>50.726593725490197</v>
      </c>
      <c r="AP9" s="1228">
        <v>60.058373856209151</v>
      </c>
      <c r="AQ9" s="1133">
        <v>60.058373856209151</v>
      </c>
      <c r="AR9" s="1133">
        <v>150</v>
      </c>
      <c r="AS9" s="1196">
        <v>8.8984902707223377</v>
      </c>
      <c r="AT9" s="1199">
        <v>0</v>
      </c>
      <c r="AU9" s="1133">
        <v>183.67247058823529</v>
      </c>
      <c r="AV9" s="1133">
        <v>79.654833155694021</v>
      </c>
      <c r="AW9" s="1133">
        <v>-2.2051775026645899</v>
      </c>
      <c r="AX9" s="1228">
        <v>39.164554248366009</v>
      </c>
      <c r="AY9" s="1133">
        <v>1520</v>
      </c>
      <c r="AZ9" s="1257">
        <v>2.3248287671232877</v>
      </c>
      <c r="BA9" s="1196">
        <v>59.359122937777826</v>
      </c>
      <c r="BB9" s="1130"/>
      <c r="BC9" s="1133"/>
      <c r="BD9" s="1199">
        <v>0</v>
      </c>
      <c r="BG9" s="574"/>
      <c r="BH9" s="385"/>
      <c r="BI9" s="385"/>
      <c r="BJ9" s="1227"/>
      <c r="BK9" s="1130"/>
      <c r="BL9" s="1130"/>
      <c r="BM9" s="1130"/>
      <c r="BN9" s="1130"/>
      <c r="BO9" s="1130"/>
      <c r="BP9" s="1229"/>
      <c r="BQ9" s="1255">
        <v>15</v>
      </c>
      <c r="BR9" s="1130">
        <v>2990</v>
      </c>
      <c r="BS9" s="1133">
        <v>44.85</v>
      </c>
      <c r="BT9" s="1256"/>
      <c r="BU9" s="1228"/>
      <c r="BV9" s="1133">
        <v>45.1</v>
      </c>
      <c r="BW9" s="1228">
        <v>0.81081081081081086</v>
      </c>
      <c r="BX9" s="1228">
        <v>10.254988913525498</v>
      </c>
      <c r="BY9" s="1228">
        <v>0</v>
      </c>
      <c r="BZ9" s="1228">
        <v>10.254988913525498</v>
      </c>
      <c r="CA9" s="1133">
        <v>3900</v>
      </c>
      <c r="CB9" s="1133">
        <v>0</v>
      </c>
      <c r="CC9" s="1199">
        <v>39.994456762749444</v>
      </c>
      <c r="CD9" s="1228">
        <v>7.2</v>
      </c>
      <c r="CE9" s="1228">
        <v>0</v>
      </c>
      <c r="CF9" s="1133">
        <v>0</v>
      </c>
      <c r="CG9" s="1199">
        <v>0</v>
      </c>
      <c r="CH9" s="1255">
        <v>39.725490196078425</v>
      </c>
      <c r="CI9" s="1133">
        <v>39.254988913525494</v>
      </c>
      <c r="CJ9" s="1133">
        <v>425.51654660728622</v>
      </c>
      <c r="CK9" s="1133" t="s">
        <v>16</v>
      </c>
      <c r="CL9" s="1133" t="s">
        <v>16</v>
      </c>
      <c r="CM9" s="1133" t="s">
        <v>16</v>
      </c>
      <c r="CN9" s="1133">
        <v>48</v>
      </c>
      <c r="CO9" s="1133">
        <v>310</v>
      </c>
      <c r="CP9" s="1199">
        <v>14.724305555555556</v>
      </c>
      <c r="CQ9" s="1133">
        <v>473.97647058823526</v>
      </c>
      <c r="CR9" s="1133">
        <v>30.867355043685468</v>
      </c>
      <c r="CS9" s="1133">
        <v>-3</v>
      </c>
      <c r="CT9" s="1133">
        <v>105.32810457516339</v>
      </c>
      <c r="CU9" s="1133">
        <v>1070</v>
      </c>
      <c r="CV9" s="1199">
        <v>112.27584747830618</v>
      </c>
      <c r="CW9" s="1130"/>
      <c r="CX9" s="1133"/>
      <c r="CY9" s="1199">
        <v>0</v>
      </c>
      <c r="DA9" s="574">
        <f t="shared" si="0"/>
        <v>0</v>
      </c>
      <c r="DB9" s="385">
        <f t="shared" si="1"/>
        <v>0</v>
      </c>
      <c r="DC9" s="385">
        <f t="shared" si="2"/>
        <v>0</v>
      </c>
      <c r="DD9" s="1227">
        <f t="shared" si="3"/>
        <v>0</v>
      </c>
      <c r="DE9" s="1130">
        <f t="shared" si="4"/>
        <v>0</v>
      </c>
      <c r="DF9" s="1130">
        <f t="shared" si="5"/>
        <v>0</v>
      </c>
      <c r="DG9" s="1130">
        <f t="shared" si="6"/>
        <v>0</v>
      </c>
      <c r="DH9" s="1130">
        <f t="shared" si="7"/>
        <v>0</v>
      </c>
      <c r="DI9" s="1130">
        <f t="shared" si="8"/>
        <v>0</v>
      </c>
      <c r="DJ9" s="1229">
        <f t="shared" si="9"/>
        <v>0</v>
      </c>
      <c r="DK9" s="1255">
        <f t="shared" si="10"/>
        <v>0</v>
      </c>
      <c r="DL9" s="1130">
        <f t="shared" si="11"/>
        <v>0</v>
      </c>
      <c r="DM9" s="1133">
        <f t="shared" si="12"/>
        <v>0</v>
      </c>
      <c r="DN9" s="1256">
        <f t="shared" si="13"/>
        <v>0</v>
      </c>
      <c r="DO9" s="1228">
        <f t="shared" si="14"/>
        <v>70</v>
      </c>
      <c r="DP9" s="1133">
        <f t="shared" si="15"/>
        <v>-44.289189189189187</v>
      </c>
      <c r="DQ9" s="1228">
        <f t="shared" si="16"/>
        <v>-0.81081081081081086</v>
      </c>
      <c r="DR9" s="1228">
        <f t="shared" si="17"/>
        <v>-3.9189889135254976</v>
      </c>
      <c r="DS9" s="1228">
        <f t="shared" si="18"/>
        <v>7.0368033329355306</v>
      </c>
      <c r="DT9" s="1228">
        <f t="shared" si="19"/>
        <v>-3.6478460563826411</v>
      </c>
      <c r="DU9" s="1133">
        <f t="shared" si="20"/>
        <v>197</v>
      </c>
      <c r="DV9" s="1133" t="e">
        <f>#REF!-CB9</f>
        <v>#REF!</v>
      </c>
      <c r="DW9" s="1199">
        <f t="shared" si="21"/>
        <v>-12.924992477035161</v>
      </c>
      <c r="DX9" s="1228">
        <f t="shared" si="22"/>
        <v>-1.4000000000000004</v>
      </c>
      <c r="DY9" s="1228">
        <f t="shared" si="23"/>
        <v>5.2779999999999996</v>
      </c>
      <c r="DZ9" s="1133">
        <f t="shared" si="24"/>
        <v>4340</v>
      </c>
      <c r="EA9" s="1199">
        <f t="shared" si="25"/>
        <v>22.906519999999997</v>
      </c>
      <c r="EB9" s="1255">
        <f t="shared" si="26"/>
        <v>-5.6660705882352858</v>
      </c>
      <c r="EC9" s="1133">
        <f t="shared" si="27"/>
        <v>-0.84784605638263599</v>
      </c>
      <c r="ED9" s="1133">
        <f t="shared" si="28"/>
        <v>-40.355118035857572</v>
      </c>
      <c r="EE9" s="1133" t="e">
        <f t="shared" si="29"/>
        <v>#VALUE!</v>
      </c>
      <c r="EF9" s="1133" t="e">
        <f t="shared" si="30"/>
        <v>#VALUE!</v>
      </c>
      <c r="EG9" s="1133" t="e">
        <f t="shared" si="31"/>
        <v>#VALUE!</v>
      </c>
      <c r="EH9" s="1133">
        <f t="shared" si="32"/>
        <v>12.058373856209151</v>
      </c>
      <c r="EI9" s="1133">
        <f t="shared" si="33"/>
        <v>-160</v>
      </c>
      <c r="EJ9" s="1199">
        <f t="shared" si="34"/>
        <v>-14.724305555555556</v>
      </c>
      <c r="EK9" s="1133">
        <f t="shared" si="35"/>
        <v>-290.30399999999997</v>
      </c>
      <c r="EL9" s="1133">
        <f t="shared" si="36"/>
        <v>48.787478112008557</v>
      </c>
      <c r="EM9" s="1133">
        <f t="shared" si="37"/>
        <v>0.79482249733541011</v>
      </c>
      <c r="EN9" s="1133">
        <f t="shared" si="38"/>
        <v>-66.163550326797377</v>
      </c>
      <c r="EO9" s="1133">
        <f t="shared" si="38"/>
        <v>450</v>
      </c>
      <c r="EP9" s="1199">
        <f t="shared" si="39"/>
        <v>-52.91672454052835</v>
      </c>
      <c r="EQ9" s="1130">
        <f t="shared" si="39"/>
        <v>0</v>
      </c>
      <c r="ER9" s="1133">
        <f t="shared" si="39"/>
        <v>0</v>
      </c>
      <c r="ES9" s="1199">
        <f t="shared" si="39"/>
        <v>0</v>
      </c>
    </row>
    <row r="10" spans="1:149">
      <c r="A10" s="1299">
        <f>Eingabedaten!A13</f>
        <v>3.01</v>
      </c>
      <c r="B10" s="566" t="str">
        <f>Eingabedaten!C13</f>
        <v>Einzel-, Gruppenbüro</v>
      </c>
      <c r="C10" s="568"/>
      <c r="D10" s="384"/>
      <c r="E10" s="384"/>
      <c r="F10" s="1247"/>
      <c r="G10" s="1248"/>
      <c r="H10" s="1248"/>
      <c r="I10" s="1248"/>
      <c r="J10" s="1248"/>
      <c r="K10" s="1248"/>
      <c r="L10" s="1248"/>
      <c r="M10" s="1248"/>
      <c r="N10" s="1250"/>
      <c r="O10" s="1251">
        <v>18</v>
      </c>
      <c r="P10" s="1132">
        <v>0</v>
      </c>
      <c r="Q10" s="1248">
        <v>2910</v>
      </c>
      <c r="R10" s="1132">
        <v>52.38</v>
      </c>
      <c r="S10" s="1249">
        <v>52.38</v>
      </c>
      <c r="T10" s="1132">
        <v>0</v>
      </c>
      <c r="U10" s="1251"/>
      <c r="V10" s="1251">
        <v>70</v>
      </c>
      <c r="W10" s="1835">
        <v>0.71428571428571419</v>
      </c>
      <c r="X10" s="1249"/>
      <c r="Y10" s="1249">
        <v>6.3360000000000003</v>
      </c>
      <c r="Z10" s="1249">
        <v>6.6247701284943536</v>
      </c>
      <c r="AA10" s="1249">
        <v>12.500000000000002</v>
      </c>
      <c r="AB10" s="1132">
        <v>1383</v>
      </c>
      <c r="AC10" s="1254">
        <v>17.287500000000005</v>
      </c>
      <c r="AD10" s="1253">
        <v>2.0714285714285716</v>
      </c>
      <c r="AE10" s="1132">
        <v>3900</v>
      </c>
      <c r="AF10" s="1249">
        <v>1.8850000000000002</v>
      </c>
      <c r="AG10" s="1132">
        <v>3900</v>
      </c>
      <c r="AH10" s="1198">
        <v>7.3515000000000006</v>
      </c>
      <c r="AI10" s="1251">
        <v>46.588100840336132</v>
      </c>
      <c r="AJ10" s="1132">
        <v>36.5</v>
      </c>
      <c r="AK10" s="1132">
        <v>243.00000000000009</v>
      </c>
      <c r="AL10" s="1132" t="s">
        <v>16</v>
      </c>
      <c r="AM10" s="1132" t="s">
        <v>16</v>
      </c>
      <c r="AN10" s="1132" t="s">
        <v>16</v>
      </c>
      <c r="AO10" s="1132">
        <v>58.161670588235282</v>
      </c>
      <c r="AP10" s="1249">
        <v>65.611632492997202</v>
      </c>
      <c r="AQ10" s="1132">
        <v>65.611632492997202</v>
      </c>
      <c r="AR10" s="1132">
        <v>70</v>
      </c>
      <c r="AS10" s="1254">
        <v>4.5630273875502505</v>
      </c>
      <c r="AT10" s="1198">
        <v>0</v>
      </c>
      <c r="AU10" s="1132">
        <v>58.509176470588244</v>
      </c>
      <c r="AV10" s="1132">
        <v>68.85073834571952</v>
      </c>
      <c r="AW10" s="1132">
        <v>-2.3672389248142069</v>
      </c>
      <c r="AX10" s="1249">
        <v>50.167131372549022</v>
      </c>
      <c r="AY10" s="1132">
        <v>1340</v>
      </c>
      <c r="AZ10" s="1253">
        <v>0.69432485322896287</v>
      </c>
      <c r="BA10" s="1254">
        <v>67.095197137449262</v>
      </c>
      <c r="BB10" s="1248"/>
      <c r="BC10" s="1132"/>
      <c r="BD10" s="1254">
        <v>2.5950857142857147</v>
      </c>
      <c r="BG10" s="568"/>
      <c r="BH10" s="384"/>
      <c r="BI10" s="384"/>
      <c r="BJ10" s="1247"/>
      <c r="BK10" s="1248"/>
      <c r="BL10" s="1248"/>
      <c r="BM10" s="1248"/>
      <c r="BN10" s="1248"/>
      <c r="BO10" s="1248"/>
      <c r="BP10" s="1250"/>
      <c r="BQ10" s="1251">
        <v>15</v>
      </c>
      <c r="BR10" s="1248">
        <v>1930</v>
      </c>
      <c r="BS10" s="1132">
        <v>28.95</v>
      </c>
      <c r="BT10" s="1252"/>
      <c r="BU10" s="1249"/>
      <c r="BV10" s="1132">
        <v>55.1</v>
      </c>
      <c r="BW10" s="1249">
        <v>0.71428571428571419</v>
      </c>
      <c r="BX10" s="1249">
        <v>15.880217785843922</v>
      </c>
      <c r="BY10" s="1249">
        <v>0</v>
      </c>
      <c r="BZ10" s="1249">
        <v>15.880217785843922</v>
      </c>
      <c r="CA10" s="1132">
        <v>1210</v>
      </c>
      <c r="CB10" s="1132">
        <v>0</v>
      </c>
      <c r="CC10" s="1198">
        <v>19.215063520871148</v>
      </c>
      <c r="CD10" s="1249">
        <v>2.5714285714285716</v>
      </c>
      <c r="CE10" s="1249">
        <v>0</v>
      </c>
      <c r="CF10" s="1132">
        <v>0</v>
      </c>
      <c r="CG10" s="1198">
        <v>0</v>
      </c>
      <c r="CH10" s="1251">
        <v>43.501378151260511</v>
      </c>
      <c r="CI10" s="1132">
        <v>35.880217785843925</v>
      </c>
      <c r="CJ10" s="1132">
        <v>173.28184453194123</v>
      </c>
      <c r="CK10" s="1132" t="s">
        <v>16</v>
      </c>
      <c r="CL10" s="1132" t="s">
        <v>16</v>
      </c>
      <c r="CM10" s="1132" t="s">
        <v>16</v>
      </c>
      <c r="CN10" s="1132">
        <v>38</v>
      </c>
      <c r="CO10" s="1132">
        <v>200</v>
      </c>
      <c r="CP10" s="1198">
        <v>7.673055555555556</v>
      </c>
      <c r="CQ10" s="1132">
        <v>81.220033613445395</v>
      </c>
      <c r="CR10" s="1132">
        <v>49.598600502587423</v>
      </c>
      <c r="CS10" s="1132">
        <v>-3</v>
      </c>
      <c r="CT10" s="1132">
        <v>72.19558543417368</v>
      </c>
      <c r="CU10" s="1132">
        <v>1380</v>
      </c>
      <c r="CV10" s="1198">
        <v>99.681928392703426</v>
      </c>
      <c r="CW10" s="1248"/>
      <c r="CX10" s="1132"/>
      <c r="CY10" s="1198">
        <v>2.5950857142857147</v>
      </c>
      <c r="DA10" s="568">
        <f t="shared" si="0"/>
        <v>0</v>
      </c>
      <c r="DB10" s="384">
        <f t="shared" si="1"/>
        <v>0</v>
      </c>
      <c r="DC10" s="384">
        <f t="shared" si="2"/>
        <v>0</v>
      </c>
      <c r="DD10" s="1247">
        <f t="shared" si="3"/>
        <v>0</v>
      </c>
      <c r="DE10" s="1248">
        <f t="shared" si="4"/>
        <v>0</v>
      </c>
      <c r="DF10" s="1248">
        <f t="shared" si="5"/>
        <v>0</v>
      </c>
      <c r="DG10" s="1248">
        <f t="shared" si="6"/>
        <v>0</v>
      </c>
      <c r="DH10" s="1248">
        <f t="shared" si="7"/>
        <v>0</v>
      </c>
      <c r="DI10" s="1248">
        <f t="shared" si="8"/>
        <v>0</v>
      </c>
      <c r="DJ10" s="1250">
        <f t="shared" si="9"/>
        <v>0</v>
      </c>
      <c r="DK10" s="1251">
        <f t="shared" si="10"/>
        <v>3</v>
      </c>
      <c r="DL10" s="1248">
        <f t="shared" si="11"/>
        <v>980</v>
      </c>
      <c r="DM10" s="1132">
        <f t="shared" si="12"/>
        <v>23.430000000000003</v>
      </c>
      <c r="DN10" s="1252">
        <f t="shared" si="13"/>
        <v>0</v>
      </c>
      <c r="DO10" s="1249">
        <f t="shared" si="14"/>
        <v>70</v>
      </c>
      <c r="DP10" s="1132">
        <f t="shared" si="15"/>
        <v>-54.385714285714286</v>
      </c>
      <c r="DQ10" s="1249">
        <f t="shared" si="16"/>
        <v>-0.71428571428571419</v>
      </c>
      <c r="DR10" s="1249">
        <f t="shared" si="17"/>
        <v>-9.5442177858439212</v>
      </c>
      <c r="DS10" s="1249">
        <f t="shared" si="18"/>
        <v>6.6247701284943536</v>
      </c>
      <c r="DT10" s="1249">
        <f t="shared" si="19"/>
        <v>-3.3802177858439197</v>
      </c>
      <c r="DU10" s="1132">
        <f t="shared" si="20"/>
        <v>173</v>
      </c>
      <c r="DV10" s="1132" t="e">
        <f>#REF!-CB10</f>
        <v>#REF!</v>
      </c>
      <c r="DW10" s="1198">
        <f t="shared" si="21"/>
        <v>-1.9275635208711428</v>
      </c>
      <c r="DX10" s="1249">
        <f t="shared" si="22"/>
        <v>-0.5</v>
      </c>
      <c r="DY10" s="1249">
        <f t="shared" si="23"/>
        <v>1.8850000000000002</v>
      </c>
      <c r="DZ10" s="1132">
        <f t="shared" si="24"/>
        <v>3900</v>
      </c>
      <c r="EA10" s="1198">
        <f t="shared" si="25"/>
        <v>7.3515000000000006</v>
      </c>
      <c r="EB10" s="1251">
        <f t="shared" si="26"/>
        <v>3.0867226890756214</v>
      </c>
      <c r="EC10" s="1132">
        <f t="shared" si="27"/>
        <v>0.61978221415607493</v>
      </c>
      <c r="ED10" s="1132">
        <f t="shared" si="28"/>
        <v>69.718155468058853</v>
      </c>
      <c r="EE10" s="1132" t="e">
        <f t="shared" si="29"/>
        <v>#VALUE!</v>
      </c>
      <c r="EF10" s="1132" t="e">
        <f t="shared" si="30"/>
        <v>#VALUE!</v>
      </c>
      <c r="EG10" s="1132" t="e">
        <f t="shared" si="31"/>
        <v>#VALUE!</v>
      </c>
      <c r="EH10" s="1132">
        <f t="shared" si="32"/>
        <v>27.611632492997202</v>
      </c>
      <c r="EI10" s="1132">
        <f t="shared" si="33"/>
        <v>-130</v>
      </c>
      <c r="EJ10" s="1198">
        <f t="shared" si="34"/>
        <v>-7.673055555555556</v>
      </c>
      <c r="EK10" s="1132">
        <f t="shared" si="35"/>
        <v>-22.710857142857151</v>
      </c>
      <c r="EL10" s="1132">
        <f t="shared" si="36"/>
        <v>19.252137843132097</v>
      </c>
      <c r="EM10" s="1132">
        <f t="shared" si="37"/>
        <v>0.63276107518579305</v>
      </c>
      <c r="EN10" s="1132">
        <f t="shared" si="38"/>
        <v>-22.028454061624657</v>
      </c>
      <c r="EO10" s="1132">
        <f t="shared" si="38"/>
        <v>-40</v>
      </c>
      <c r="EP10" s="1198">
        <f t="shared" si="39"/>
        <v>-32.586731255254165</v>
      </c>
      <c r="EQ10" s="1248">
        <f t="shared" si="39"/>
        <v>0</v>
      </c>
      <c r="ER10" s="1132">
        <f t="shared" si="39"/>
        <v>0</v>
      </c>
      <c r="ES10" s="1198">
        <f t="shared" si="39"/>
        <v>0</v>
      </c>
    </row>
    <row r="11" spans="1:149">
      <c r="A11" s="633">
        <f>Eingabedaten!A14</f>
        <v>3.02</v>
      </c>
      <c r="B11" s="463" t="str">
        <f>Eingabedaten!C14</f>
        <v>Grossraumbüro</v>
      </c>
      <c r="C11" s="637"/>
      <c r="D11" s="379"/>
      <c r="E11" s="379"/>
      <c r="F11" s="1238"/>
      <c r="G11" s="1129"/>
      <c r="H11" s="1129"/>
      <c r="I11" s="1129"/>
      <c r="J11" s="1129"/>
      <c r="K11" s="1129"/>
      <c r="L11" s="1129"/>
      <c r="M11" s="1129"/>
      <c r="N11" s="1237"/>
      <c r="O11" s="1240">
        <v>20</v>
      </c>
      <c r="P11" s="1131">
        <v>0</v>
      </c>
      <c r="Q11" s="1129">
        <v>2910</v>
      </c>
      <c r="R11" s="1131">
        <v>58.2</v>
      </c>
      <c r="S11" s="1239">
        <v>58.2</v>
      </c>
      <c r="T11" s="1131">
        <v>0</v>
      </c>
      <c r="U11" s="1240"/>
      <c r="V11" s="1240">
        <v>70</v>
      </c>
      <c r="W11" s="1834">
        <v>0.90909090909090917</v>
      </c>
      <c r="X11" s="1239"/>
      <c r="Y11" s="1239">
        <v>6.3360000000000003</v>
      </c>
      <c r="Z11" s="1239">
        <v>9.2482637071404827</v>
      </c>
      <c r="AA11" s="1239">
        <v>9.8214285714285712</v>
      </c>
      <c r="AB11" s="1131">
        <v>1931</v>
      </c>
      <c r="AC11" s="1243">
        <v>18.96517857142857</v>
      </c>
      <c r="AD11" s="1242">
        <v>2.9</v>
      </c>
      <c r="AE11" s="1131">
        <v>3900</v>
      </c>
      <c r="AF11" s="1239">
        <v>2.6389999999999998</v>
      </c>
      <c r="AG11" s="1131">
        <v>3900</v>
      </c>
      <c r="AH11" s="1197">
        <v>10.292099999999998</v>
      </c>
      <c r="AI11" s="1240">
        <v>26.924705882352939</v>
      </c>
      <c r="AJ11" s="1131">
        <v>38.221428571428568</v>
      </c>
      <c r="AK11" s="1131">
        <v>282.48</v>
      </c>
      <c r="AL11" s="1131" t="s">
        <v>16</v>
      </c>
      <c r="AM11" s="1131" t="s">
        <v>16</v>
      </c>
      <c r="AN11" s="1131" t="s">
        <v>16</v>
      </c>
      <c r="AO11" s="1131">
        <v>45.602294117647055</v>
      </c>
      <c r="AP11" s="1239">
        <v>52.367529411764707</v>
      </c>
      <c r="AQ11" s="1131">
        <v>52.367529411764707</v>
      </c>
      <c r="AR11" s="1131">
        <v>120</v>
      </c>
      <c r="AS11" s="1243">
        <v>6.1460743125130044</v>
      </c>
      <c r="AT11" s="1197">
        <v>0</v>
      </c>
      <c r="AU11" s="1131">
        <v>175.02494117647058</v>
      </c>
      <c r="AV11" s="1131">
        <v>81.204426663225149</v>
      </c>
      <c r="AW11" s="1131">
        <v>-2.1819336000516225</v>
      </c>
      <c r="AX11" s="1239">
        <v>37.292386274509802</v>
      </c>
      <c r="AY11" s="1131">
        <v>1300</v>
      </c>
      <c r="AZ11" s="1242">
        <v>0.87876712328767126</v>
      </c>
      <c r="BA11" s="1243">
        <v>48.529661339641557</v>
      </c>
      <c r="BB11" s="1129"/>
      <c r="BC11" s="1131"/>
      <c r="BD11" s="1243">
        <v>3.6331200000000008</v>
      </c>
      <c r="BG11" s="637"/>
      <c r="BH11" s="379"/>
      <c r="BI11" s="379"/>
      <c r="BJ11" s="1238"/>
      <c r="BK11" s="1129"/>
      <c r="BL11" s="1129"/>
      <c r="BM11" s="1129"/>
      <c r="BN11" s="1129"/>
      <c r="BO11" s="1129"/>
      <c r="BP11" s="1237"/>
      <c r="BQ11" s="1240">
        <v>19</v>
      </c>
      <c r="BR11" s="1129">
        <v>1930</v>
      </c>
      <c r="BS11" s="1131">
        <v>36.67</v>
      </c>
      <c r="BT11" s="1241"/>
      <c r="BU11" s="1239"/>
      <c r="BV11" s="1131">
        <v>55.1</v>
      </c>
      <c r="BW11" s="1239">
        <v>0.90909090909090917</v>
      </c>
      <c r="BX11" s="1239">
        <v>12.477313974591651</v>
      </c>
      <c r="BY11" s="1239">
        <v>0</v>
      </c>
      <c r="BZ11" s="1239">
        <v>12.477313974591651</v>
      </c>
      <c r="CA11" s="1131">
        <v>1860</v>
      </c>
      <c r="CB11" s="1131">
        <v>0</v>
      </c>
      <c r="CC11" s="1197">
        <v>23.20780399274047</v>
      </c>
      <c r="CD11" s="1239">
        <v>3.6</v>
      </c>
      <c r="CE11" s="1239">
        <v>0</v>
      </c>
      <c r="CF11" s="1131">
        <v>0</v>
      </c>
      <c r="CG11" s="1197">
        <v>0</v>
      </c>
      <c r="CH11" s="1240">
        <v>28.035058823529415</v>
      </c>
      <c r="CI11" s="1131">
        <v>38.477313974591652</v>
      </c>
      <c r="CJ11" s="1131">
        <v>309.38301296320759</v>
      </c>
      <c r="CK11" s="1131" t="s">
        <v>16</v>
      </c>
      <c r="CL11" s="1131" t="s">
        <v>16</v>
      </c>
      <c r="CM11" s="1131" t="s">
        <v>16</v>
      </c>
      <c r="CN11" s="1131">
        <v>37</v>
      </c>
      <c r="CO11" s="1131">
        <v>300</v>
      </c>
      <c r="CP11" s="1197">
        <v>11.200347222222222</v>
      </c>
      <c r="CQ11" s="1131">
        <v>313.26494117647059</v>
      </c>
      <c r="CR11" s="1131">
        <v>45.369903017629888</v>
      </c>
      <c r="CS11" s="1131">
        <v>-3</v>
      </c>
      <c r="CT11" s="1131">
        <v>69.614431372549021</v>
      </c>
      <c r="CU11" s="1131">
        <v>1160</v>
      </c>
      <c r="CV11" s="1197">
        <v>80.617794527510128</v>
      </c>
      <c r="CW11" s="1129"/>
      <c r="CX11" s="1131"/>
      <c r="CY11" s="1197">
        <v>3.6331200000000008</v>
      </c>
      <c r="DA11" s="637">
        <f t="shared" si="0"/>
        <v>0</v>
      </c>
      <c r="DB11" s="379">
        <f t="shared" si="1"/>
        <v>0</v>
      </c>
      <c r="DC11" s="379">
        <f t="shared" si="2"/>
        <v>0</v>
      </c>
      <c r="DD11" s="1238">
        <f t="shared" si="3"/>
        <v>0</v>
      </c>
      <c r="DE11" s="1129">
        <f t="shared" si="4"/>
        <v>0</v>
      </c>
      <c r="DF11" s="1129">
        <f t="shared" si="5"/>
        <v>0</v>
      </c>
      <c r="DG11" s="1129">
        <f t="shared" si="6"/>
        <v>0</v>
      </c>
      <c r="DH11" s="1129">
        <f t="shared" si="7"/>
        <v>0</v>
      </c>
      <c r="DI11" s="1129">
        <f t="shared" si="8"/>
        <v>0</v>
      </c>
      <c r="DJ11" s="1237">
        <f t="shared" si="9"/>
        <v>0</v>
      </c>
      <c r="DK11" s="1240">
        <f t="shared" si="10"/>
        <v>1</v>
      </c>
      <c r="DL11" s="1129">
        <f t="shared" si="11"/>
        <v>980</v>
      </c>
      <c r="DM11" s="1131">
        <f t="shared" si="12"/>
        <v>21.53</v>
      </c>
      <c r="DN11" s="1241">
        <f t="shared" si="13"/>
        <v>0</v>
      </c>
      <c r="DO11" s="1239">
        <f t="shared" si="14"/>
        <v>70</v>
      </c>
      <c r="DP11" s="1131">
        <f t="shared" si="15"/>
        <v>-54.190909090909095</v>
      </c>
      <c r="DQ11" s="1239">
        <f t="shared" si="16"/>
        <v>-0.90909090909090917</v>
      </c>
      <c r="DR11" s="1239">
        <f t="shared" si="17"/>
        <v>-6.1413139745916503</v>
      </c>
      <c r="DS11" s="1239">
        <f t="shared" si="18"/>
        <v>9.2482637071404827</v>
      </c>
      <c r="DT11" s="1239">
        <f t="shared" si="19"/>
        <v>-2.6558854031630794</v>
      </c>
      <c r="DU11" s="1131">
        <f t="shared" si="20"/>
        <v>71</v>
      </c>
      <c r="DV11" s="1131" t="e">
        <f>#REF!-CB11</f>
        <v>#REF!</v>
      </c>
      <c r="DW11" s="1197">
        <f t="shared" si="21"/>
        <v>-4.2426254213118995</v>
      </c>
      <c r="DX11" s="1239">
        <f t="shared" si="22"/>
        <v>-0.70000000000000018</v>
      </c>
      <c r="DY11" s="1239">
        <f t="shared" si="23"/>
        <v>2.6389999999999998</v>
      </c>
      <c r="DZ11" s="1131">
        <f t="shared" si="24"/>
        <v>3900</v>
      </c>
      <c r="EA11" s="1197">
        <f t="shared" si="25"/>
        <v>10.292099999999998</v>
      </c>
      <c r="EB11" s="1240">
        <f t="shared" si="26"/>
        <v>-1.1103529411764761</v>
      </c>
      <c r="EC11" s="1131">
        <f t="shared" si="27"/>
        <v>-0.25588540316308439</v>
      </c>
      <c r="ED11" s="1131">
        <f t="shared" si="28"/>
        <v>-26.903012963207573</v>
      </c>
      <c r="EE11" s="1131" t="e">
        <f t="shared" si="29"/>
        <v>#VALUE!</v>
      </c>
      <c r="EF11" s="1131" t="e">
        <f t="shared" si="30"/>
        <v>#VALUE!</v>
      </c>
      <c r="EG11" s="1131" t="e">
        <f t="shared" si="31"/>
        <v>#VALUE!</v>
      </c>
      <c r="EH11" s="1131">
        <f t="shared" si="32"/>
        <v>15.367529411764707</v>
      </c>
      <c r="EI11" s="1131">
        <f t="shared" si="33"/>
        <v>-180</v>
      </c>
      <c r="EJ11" s="1197">
        <f t="shared" si="34"/>
        <v>-11.200347222222222</v>
      </c>
      <c r="EK11" s="1131">
        <f t="shared" si="35"/>
        <v>-138.24</v>
      </c>
      <c r="EL11" s="1131">
        <f t="shared" si="36"/>
        <v>35.834523645595262</v>
      </c>
      <c r="EM11" s="1131">
        <f t="shared" si="37"/>
        <v>0.81806639994837749</v>
      </c>
      <c r="EN11" s="1131">
        <f t="shared" ref="EN11:EN50" si="40">AX11-CT11</f>
        <v>-32.322045098039219</v>
      </c>
      <c r="EO11" s="1131">
        <f t="shared" ref="EO11:EO50" si="41">AY11-CU11</f>
        <v>140</v>
      </c>
      <c r="EP11" s="1197">
        <f t="shared" ref="EP11:EP50" si="42">BA11-CV11</f>
        <v>-32.088133187868571</v>
      </c>
      <c r="EQ11" s="1129">
        <f t="shared" ref="EQ11:EQ50" si="43">BB11-CW11</f>
        <v>0</v>
      </c>
      <c r="ER11" s="1131">
        <f t="shared" ref="ER11:ER50" si="44">BC11-CX11</f>
        <v>0</v>
      </c>
      <c r="ES11" s="1197">
        <f t="shared" ref="ES11:ES49" si="45">BD11-CY11</f>
        <v>0</v>
      </c>
    </row>
    <row r="12" spans="1:149">
      <c r="A12" s="633">
        <f>Eingabedaten!A15</f>
        <v>3.03</v>
      </c>
      <c r="B12" s="463" t="str">
        <f>Eingabedaten!C15</f>
        <v>Sitzungszimmer</v>
      </c>
      <c r="C12" s="637"/>
      <c r="D12" s="379"/>
      <c r="E12" s="379"/>
      <c r="F12" s="1238"/>
      <c r="G12" s="1129"/>
      <c r="H12" s="1129"/>
      <c r="I12" s="1129"/>
      <c r="J12" s="1129"/>
      <c r="K12" s="1129"/>
      <c r="L12" s="1129"/>
      <c r="M12" s="1129"/>
      <c r="N12" s="1237"/>
      <c r="O12" s="1240">
        <v>12</v>
      </c>
      <c r="P12" s="1131">
        <v>0</v>
      </c>
      <c r="Q12" s="1129">
        <v>1410</v>
      </c>
      <c r="R12" s="1131">
        <v>16.920000000000002</v>
      </c>
      <c r="S12" s="1239">
        <v>16.920000000000002</v>
      </c>
      <c r="T12" s="1131">
        <v>0</v>
      </c>
      <c r="U12" s="1240"/>
      <c r="V12" s="1240">
        <v>70</v>
      </c>
      <c r="W12" s="1834">
        <v>0.71428571428571419</v>
      </c>
      <c r="X12" s="1239"/>
      <c r="Y12" s="1239">
        <v>6.3360000000000003</v>
      </c>
      <c r="Z12" s="1239">
        <v>6.6247701284943536</v>
      </c>
      <c r="AA12" s="1239">
        <v>12.500000000000002</v>
      </c>
      <c r="AB12" s="1131">
        <v>755</v>
      </c>
      <c r="AC12" s="1243">
        <v>9.4375000000000018</v>
      </c>
      <c r="AD12" s="1242">
        <v>9.6666666666666661</v>
      </c>
      <c r="AE12" s="1131">
        <v>2430</v>
      </c>
      <c r="AF12" s="1239">
        <v>8.7966666666666669</v>
      </c>
      <c r="AG12" s="1131">
        <v>1800</v>
      </c>
      <c r="AH12" s="1197">
        <v>15.834</v>
      </c>
      <c r="AI12" s="1240">
        <v>53.715262745098038</v>
      </c>
      <c r="AJ12" s="1131">
        <v>52.5</v>
      </c>
      <c r="AK12" s="1131">
        <v>181.60000000000002</v>
      </c>
      <c r="AL12" s="1131" t="s">
        <v>16</v>
      </c>
      <c r="AM12" s="1131" t="s">
        <v>16</v>
      </c>
      <c r="AN12" s="1131" t="s">
        <v>16</v>
      </c>
      <c r="AO12" s="1131">
        <v>74.350683921568631</v>
      </c>
      <c r="AP12" s="1239">
        <v>0</v>
      </c>
      <c r="AQ12" s="1131">
        <v>93.58153725490196</v>
      </c>
      <c r="AR12" s="1131">
        <v>0</v>
      </c>
      <c r="AS12" s="1197">
        <v>0</v>
      </c>
      <c r="AT12" s="1197">
        <v>0</v>
      </c>
      <c r="AU12" s="1131">
        <v>58.509176470588244</v>
      </c>
      <c r="AV12" s="1131">
        <v>68.85073834571952</v>
      </c>
      <c r="AW12" s="1131">
        <v>-2.3672389248142069</v>
      </c>
      <c r="AX12" s="1239">
        <v>50.167131372549022</v>
      </c>
      <c r="AY12" s="1131">
        <v>2050</v>
      </c>
      <c r="AZ12" s="1242">
        <v>1.5991438356164382</v>
      </c>
      <c r="BA12" s="1243">
        <v>102.87718047633325</v>
      </c>
      <c r="BB12" s="1129"/>
      <c r="BC12" s="1131"/>
      <c r="BD12" s="1197">
        <v>0</v>
      </c>
      <c r="BG12" s="637"/>
      <c r="BH12" s="379"/>
      <c r="BI12" s="379"/>
      <c r="BJ12" s="1238"/>
      <c r="BK12" s="1129"/>
      <c r="BL12" s="1129"/>
      <c r="BM12" s="1129"/>
      <c r="BN12" s="1129"/>
      <c r="BO12" s="1129"/>
      <c r="BP12" s="1237"/>
      <c r="BQ12" s="1240">
        <v>3</v>
      </c>
      <c r="BR12" s="1129">
        <v>1410</v>
      </c>
      <c r="BS12" s="1131">
        <v>4.2300000000000004</v>
      </c>
      <c r="BT12" s="1241"/>
      <c r="BU12" s="1239"/>
      <c r="BV12" s="1131">
        <v>55.1</v>
      </c>
      <c r="BW12" s="1239">
        <v>0.71428571428571419</v>
      </c>
      <c r="BX12" s="1239">
        <v>15.880217785843922</v>
      </c>
      <c r="BY12" s="1239">
        <v>0</v>
      </c>
      <c r="BZ12" s="1239">
        <v>15.880217785843922</v>
      </c>
      <c r="CA12" s="1131">
        <v>660</v>
      </c>
      <c r="CB12" s="1131">
        <v>0</v>
      </c>
      <c r="CC12" s="1197">
        <v>10.48094373865699</v>
      </c>
      <c r="CD12" s="1239">
        <v>12</v>
      </c>
      <c r="CE12" s="1239">
        <v>0</v>
      </c>
      <c r="CF12" s="1131">
        <v>0</v>
      </c>
      <c r="CG12" s="1197">
        <v>0</v>
      </c>
      <c r="CH12" s="1240">
        <v>61.604235294117657</v>
      </c>
      <c r="CI12" s="1131">
        <v>42.180217785843922</v>
      </c>
      <c r="CJ12" s="1131">
        <v>118.46575048119465</v>
      </c>
      <c r="CK12" s="1131" t="s">
        <v>16</v>
      </c>
      <c r="CL12" s="1131" t="s">
        <v>16</v>
      </c>
      <c r="CM12" s="1131" t="s">
        <v>16</v>
      </c>
      <c r="CN12" s="1131">
        <v>52</v>
      </c>
      <c r="CO12" s="1131">
        <v>80</v>
      </c>
      <c r="CP12" s="1197">
        <v>4.1952777777777781</v>
      </c>
      <c r="CQ12" s="1131">
        <v>189.83717647058828</v>
      </c>
      <c r="CR12" s="1131">
        <v>21.220290329297672</v>
      </c>
      <c r="CS12" s="1131">
        <v>-3</v>
      </c>
      <c r="CT12" s="1131">
        <v>168.74415686274514</v>
      </c>
      <c r="CU12" s="1131">
        <v>850</v>
      </c>
      <c r="CV12" s="1197">
        <v>144.26904068978649</v>
      </c>
      <c r="CW12" s="1129"/>
      <c r="CX12" s="1131"/>
      <c r="CY12" s="1197">
        <v>0</v>
      </c>
      <c r="DA12" s="637">
        <f t="shared" si="0"/>
        <v>0</v>
      </c>
      <c r="DB12" s="379">
        <f t="shared" si="1"/>
        <v>0</v>
      </c>
      <c r="DC12" s="379">
        <f t="shared" si="2"/>
        <v>0</v>
      </c>
      <c r="DD12" s="1238">
        <f t="shared" si="3"/>
        <v>0</v>
      </c>
      <c r="DE12" s="1129">
        <f t="shared" si="4"/>
        <v>0</v>
      </c>
      <c r="DF12" s="1129">
        <f t="shared" si="5"/>
        <v>0</v>
      </c>
      <c r="DG12" s="1129">
        <f t="shared" si="6"/>
        <v>0</v>
      </c>
      <c r="DH12" s="1129">
        <f t="shared" si="7"/>
        <v>0</v>
      </c>
      <c r="DI12" s="1129">
        <f t="shared" si="8"/>
        <v>0</v>
      </c>
      <c r="DJ12" s="1237">
        <f t="shared" si="9"/>
        <v>0</v>
      </c>
      <c r="DK12" s="1240">
        <f t="shared" si="10"/>
        <v>9</v>
      </c>
      <c r="DL12" s="1129">
        <f t="shared" si="11"/>
        <v>0</v>
      </c>
      <c r="DM12" s="1131">
        <f t="shared" si="12"/>
        <v>12.690000000000001</v>
      </c>
      <c r="DN12" s="1241">
        <f t="shared" si="13"/>
        <v>0</v>
      </c>
      <c r="DO12" s="1239">
        <f t="shared" si="14"/>
        <v>70</v>
      </c>
      <c r="DP12" s="1131">
        <f t="shared" si="15"/>
        <v>-54.385714285714286</v>
      </c>
      <c r="DQ12" s="1239">
        <f t="shared" si="16"/>
        <v>-0.71428571428571419</v>
      </c>
      <c r="DR12" s="1239">
        <f t="shared" si="17"/>
        <v>-9.5442177858439212</v>
      </c>
      <c r="DS12" s="1239">
        <f t="shared" si="18"/>
        <v>6.6247701284943536</v>
      </c>
      <c r="DT12" s="1239">
        <f t="shared" si="19"/>
        <v>-3.3802177858439197</v>
      </c>
      <c r="DU12" s="1131">
        <f t="shared" si="20"/>
        <v>95</v>
      </c>
      <c r="DV12" s="1131" t="e">
        <f>#REF!-CB12</f>
        <v>#REF!</v>
      </c>
      <c r="DW12" s="1197">
        <f t="shared" si="21"/>
        <v>-1.0434437386569879</v>
      </c>
      <c r="DX12" s="1239">
        <f t="shared" si="22"/>
        <v>-2.3333333333333339</v>
      </c>
      <c r="DY12" s="1239">
        <f t="shared" si="23"/>
        <v>8.7966666666666669</v>
      </c>
      <c r="DZ12" s="1131">
        <f t="shared" si="24"/>
        <v>1800</v>
      </c>
      <c r="EA12" s="1197">
        <f t="shared" si="25"/>
        <v>15.834</v>
      </c>
      <c r="EB12" s="1240">
        <f t="shared" si="26"/>
        <v>-7.8889725490196199</v>
      </c>
      <c r="EC12" s="1131">
        <f t="shared" si="27"/>
        <v>10.319782214156078</v>
      </c>
      <c r="ED12" s="1131">
        <f t="shared" si="28"/>
        <v>63.134249518805376</v>
      </c>
      <c r="EE12" s="1131" t="e">
        <f t="shared" si="29"/>
        <v>#VALUE!</v>
      </c>
      <c r="EF12" s="1131" t="e">
        <f t="shared" si="30"/>
        <v>#VALUE!</v>
      </c>
      <c r="EG12" s="1131" t="e">
        <f t="shared" si="31"/>
        <v>#VALUE!</v>
      </c>
      <c r="EH12" s="1131">
        <f t="shared" si="32"/>
        <v>41.58153725490196</v>
      </c>
      <c r="EI12" s="1131">
        <f t="shared" si="33"/>
        <v>-80</v>
      </c>
      <c r="EJ12" s="1197">
        <f t="shared" si="34"/>
        <v>-4.1952777777777781</v>
      </c>
      <c r="EK12" s="1131">
        <f t="shared" si="35"/>
        <v>-131.32800000000003</v>
      </c>
      <c r="EL12" s="1131">
        <f t="shared" si="36"/>
        <v>47.630448016421852</v>
      </c>
      <c r="EM12" s="1131">
        <f t="shared" si="37"/>
        <v>0.63276107518579305</v>
      </c>
      <c r="EN12" s="1131">
        <f t="shared" si="40"/>
        <v>-118.57702549019612</v>
      </c>
      <c r="EO12" s="1131">
        <f t="shared" si="41"/>
        <v>1200</v>
      </c>
      <c r="EP12" s="1197">
        <f t="shared" si="42"/>
        <v>-41.391860213453242</v>
      </c>
      <c r="EQ12" s="1129">
        <f t="shared" si="43"/>
        <v>0</v>
      </c>
      <c r="ER12" s="1131">
        <f t="shared" si="44"/>
        <v>0</v>
      </c>
      <c r="ES12" s="1197">
        <f t="shared" si="45"/>
        <v>0</v>
      </c>
    </row>
    <row r="13" spans="1:149">
      <c r="A13" s="633">
        <f>Eingabedaten!A16</f>
        <v>3.04</v>
      </c>
      <c r="B13" s="463" t="str">
        <f>Eingabedaten!C16</f>
        <v>Schalterhalle, Empfang</v>
      </c>
      <c r="C13" s="637"/>
      <c r="D13" s="379"/>
      <c r="E13" s="379"/>
      <c r="F13" s="1238"/>
      <c r="G13" s="1129"/>
      <c r="H13" s="1129"/>
      <c r="I13" s="1129"/>
      <c r="J13" s="1129"/>
      <c r="K13" s="1129"/>
      <c r="L13" s="1129"/>
      <c r="M13" s="1129"/>
      <c r="N13" s="1237"/>
      <c r="O13" s="1240">
        <v>10</v>
      </c>
      <c r="P13" s="1131">
        <v>0</v>
      </c>
      <c r="Q13" s="1129">
        <v>2910</v>
      </c>
      <c r="R13" s="1131">
        <v>29.1</v>
      </c>
      <c r="S13" s="1239">
        <v>29.1</v>
      </c>
      <c r="T13" s="1131">
        <v>0</v>
      </c>
      <c r="U13" s="1240"/>
      <c r="V13" s="1240">
        <v>70</v>
      </c>
      <c r="W13" s="1834">
        <v>0.75376884422110546</v>
      </c>
      <c r="X13" s="1239"/>
      <c r="Y13" s="1239">
        <v>6.3360000000000003</v>
      </c>
      <c r="Z13" s="1239">
        <v>7.0368033329355306</v>
      </c>
      <c r="AA13" s="1239">
        <v>7.1071428571428577</v>
      </c>
      <c r="AB13" s="1131">
        <v>1469</v>
      </c>
      <c r="AC13" s="1243">
        <v>10.440392857142859</v>
      </c>
      <c r="AD13" s="1242">
        <v>2.4166666666666665</v>
      </c>
      <c r="AE13" s="1131">
        <v>3900</v>
      </c>
      <c r="AF13" s="1239">
        <v>2.1991666666666667</v>
      </c>
      <c r="AG13" s="1131">
        <v>3900</v>
      </c>
      <c r="AH13" s="1197">
        <v>8.5767500000000005</v>
      </c>
      <c r="AI13" s="1240">
        <v>32.24501960784314</v>
      </c>
      <c r="AJ13" s="1131">
        <v>24.107142857142858</v>
      </c>
      <c r="AK13" s="1131">
        <v>161.4</v>
      </c>
      <c r="AL13" s="1131" t="s">
        <v>16</v>
      </c>
      <c r="AM13" s="1131" t="s">
        <v>16</v>
      </c>
      <c r="AN13" s="1131" t="s">
        <v>16</v>
      </c>
      <c r="AO13" s="1131">
        <v>39.446513725490192</v>
      </c>
      <c r="AP13" s="1239">
        <v>45.707602614379084</v>
      </c>
      <c r="AQ13" s="1131">
        <v>45.707602614379084</v>
      </c>
      <c r="AR13" s="1131">
        <v>50</v>
      </c>
      <c r="AS13" s="1243">
        <v>2.0918257083511249</v>
      </c>
      <c r="AT13" s="1197">
        <v>0</v>
      </c>
      <c r="AU13" s="1131">
        <v>183.67247058823529</v>
      </c>
      <c r="AV13" s="1131">
        <v>79.654833155694021</v>
      </c>
      <c r="AW13" s="1131">
        <v>-2.2051775026645899</v>
      </c>
      <c r="AX13" s="1239">
        <v>37.889050980392156</v>
      </c>
      <c r="AY13" s="1131">
        <v>1380</v>
      </c>
      <c r="AZ13" s="1242">
        <v>0.77117579908675804</v>
      </c>
      <c r="BA13" s="1243">
        <v>52.281197868793484</v>
      </c>
      <c r="BB13" s="1129"/>
      <c r="BC13" s="1131"/>
      <c r="BD13" s="1197">
        <v>0</v>
      </c>
      <c r="BG13" s="637"/>
      <c r="BH13" s="379"/>
      <c r="BI13" s="379"/>
      <c r="BJ13" s="1238"/>
      <c r="BK13" s="1129"/>
      <c r="BL13" s="1129"/>
      <c r="BM13" s="1129"/>
      <c r="BN13" s="1129"/>
      <c r="BO13" s="1129"/>
      <c r="BP13" s="1237"/>
      <c r="BQ13" s="1240">
        <v>9.5</v>
      </c>
      <c r="BR13" s="1129">
        <v>1930</v>
      </c>
      <c r="BS13" s="1131">
        <v>18.335000000000001</v>
      </c>
      <c r="BT13" s="1241"/>
      <c r="BU13" s="1239"/>
      <c r="BV13" s="1131">
        <v>45.1</v>
      </c>
      <c r="BW13" s="1239">
        <v>0.75376884422110546</v>
      </c>
      <c r="BX13" s="1239">
        <v>11.031042128603106</v>
      </c>
      <c r="BY13" s="1239">
        <v>0</v>
      </c>
      <c r="BZ13" s="1239">
        <v>11.031042128603106</v>
      </c>
      <c r="CA13" s="1131">
        <v>1310</v>
      </c>
      <c r="CB13" s="1131">
        <v>0</v>
      </c>
      <c r="CC13" s="1197">
        <v>14.450665188470071</v>
      </c>
      <c r="CD13" s="1239">
        <v>2.5</v>
      </c>
      <c r="CE13" s="1239">
        <v>0</v>
      </c>
      <c r="CF13" s="1131">
        <v>0</v>
      </c>
      <c r="CG13" s="1197">
        <v>0</v>
      </c>
      <c r="CH13" s="1240">
        <v>30.701490196078431</v>
      </c>
      <c r="CI13" s="1131">
        <v>26.331042128603109</v>
      </c>
      <c r="CJ13" s="1131">
        <v>142.15753090977805</v>
      </c>
      <c r="CK13" s="1131" t="s">
        <v>16</v>
      </c>
      <c r="CL13" s="1131" t="s">
        <v>16</v>
      </c>
      <c r="CM13" s="1131" t="s">
        <v>16</v>
      </c>
      <c r="CN13" s="1131">
        <v>30</v>
      </c>
      <c r="CO13" s="1131">
        <v>260</v>
      </c>
      <c r="CP13" s="1197">
        <v>7.662638888888889</v>
      </c>
      <c r="CQ13" s="1131">
        <v>257.40047058823529</v>
      </c>
      <c r="CR13" s="1131">
        <v>56.839056923886972</v>
      </c>
      <c r="CS13" s="1131">
        <v>-2</v>
      </c>
      <c r="CT13" s="1131">
        <v>53.625098039215686</v>
      </c>
      <c r="CU13" s="1131">
        <v>1200</v>
      </c>
      <c r="CV13" s="1197">
        <v>64.266541738592892</v>
      </c>
      <c r="CW13" s="1129"/>
      <c r="CX13" s="1131"/>
      <c r="CY13" s="1197">
        <v>0</v>
      </c>
      <c r="DA13" s="637">
        <f t="shared" si="0"/>
        <v>0</v>
      </c>
      <c r="DB13" s="379">
        <f t="shared" si="1"/>
        <v>0</v>
      </c>
      <c r="DC13" s="379">
        <f t="shared" si="2"/>
        <v>0</v>
      </c>
      <c r="DD13" s="1238">
        <f t="shared" si="3"/>
        <v>0</v>
      </c>
      <c r="DE13" s="1129">
        <f t="shared" si="4"/>
        <v>0</v>
      </c>
      <c r="DF13" s="1129">
        <f t="shared" si="5"/>
        <v>0</v>
      </c>
      <c r="DG13" s="1129">
        <f t="shared" si="6"/>
        <v>0</v>
      </c>
      <c r="DH13" s="1129">
        <f t="shared" si="7"/>
        <v>0</v>
      </c>
      <c r="DI13" s="1129">
        <f t="shared" si="8"/>
        <v>0</v>
      </c>
      <c r="DJ13" s="1237">
        <f t="shared" si="9"/>
        <v>0</v>
      </c>
      <c r="DK13" s="1240">
        <f t="shared" si="10"/>
        <v>0.5</v>
      </c>
      <c r="DL13" s="1129">
        <f t="shared" si="11"/>
        <v>980</v>
      </c>
      <c r="DM13" s="1131">
        <f t="shared" si="12"/>
        <v>10.765000000000001</v>
      </c>
      <c r="DN13" s="1241">
        <f t="shared" si="13"/>
        <v>0</v>
      </c>
      <c r="DO13" s="1239">
        <f t="shared" si="14"/>
        <v>70</v>
      </c>
      <c r="DP13" s="1131">
        <f t="shared" si="15"/>
        <v>-44.346231155778895</v>
      </c>
      <c r="DQ13" s="1239">
        <f t="shared" si="16"/>
        <v>-0.75376884422110546</v>
      </c>
      <c r="DR13" s="1239">
        <f t="shared" si="17"/>
        <v>-4.6950421286031059</v>
      </c>
      <c r="DS13" s="1239">
        <f t="shared" si="18"/>
        <v>7.0368033329355306</v>
      </c>
      <c r="DT13" s="1239">
        <f t="shared" si="19"/>
        <v>-3.9238992714602485</v>
      </c>
      <c r="DU13" s="1131">
        <f t="shared" si="20"/>
        <v>159</v>
      </c>
      <c r="DV13" s="1131" t="e">
        <f>#REF!-CB13</f>
        <v>#REF!</v>
      </c>
      <c r="DW13" s="1197">
        <f t="shared" si="21"/>
        <v>-4.0102723313272115</v>
      </c>
      <c r="DX13" s="1239">
        <f t="shared" si="22"/>
        <v>-8.3333333333333481E-2</v>
      </c>
      <c r="DY13" s="1239">
        <f t="shared" si="23"/>
        <v>2.1991666666666667</v>
      </c>
      <c r="DZ13" s="1131">
        <f t="shared" si="24"/>
        <v>3900</v>
      </c>
      <c r="EA13" s="1197">
        <f t="shared" si="25"/>
        <v>8.5767500000000005</v>
      </c>
      <c r="EB13" s="1240">
        <f t="shared" si="26"/>
        <v>1.5435294117647089</v>
      </c>
      <c r="EC13" s="1131">
        <f t="shared" si="27"/>
        <v>-2.223899271460251</v>
      </c>
      <c r="ED13" s="1131">
        <f t="shared" si="28"/>
        <v>19.24246909022196</v>
      </c>
      <c r="EE13" s="1131" t="e">
        <f t="shared" si="29"/>
        <v>#VALUE!</v>
      </c>
      <c r="EF13" s="1131" t="e">
        <f t="shared" si="30"/>
        <v>#VALUE!</v>
      </c>
      <c r="EG13" s="1131" t="e">
        <f t="shared" si="31"/>
        <v>#VALUE!</v>
      </c>
      <c r="EH13" s="1131">
        <f t="shared" si="32"/>
        <v>15.707602614379084</v>
      </c>
      <c r="EI13" s="1131">
        <f t="shared" si="33"/>
        <v>-210</v>
      </c>
      <c r="EJ13" s="1197">
        <f t="shared" si="34"/>
        <v>-7.662638888888889</v>
      </c>
      <c r="EK13" s="1131">
        <f t="shared" si="35"/>
        <v>-73.728000000000009</v>
      </c>
      <c r="EL13" s="1131">
        <f t="shared" si="36"/>
        <v>22.81577623180705</v>
      </c>
      <c r="EM13" s="1131">
        <f t="shared" si="37"/>
        <v>-0.20517750266458989</v>
      </c>
      <c r="EN13" s="1131">
        <f t="shared" si="40"/>
        <v>-15.73604705882353</v>
      </c>
      <c r="EO13" s="1131">
        <f t="shared" si="41"/>
        <v>180</v>
      </c>
      <c r="EP13" s="1197">
        <f t="shared" si="42"/>
        <v>-11.985343869799408</v>
      </c>
      <c r="EQ13" s="1129">
        <f t="shared" si="43"/>
        <v>0</v>
      </c>
      <c r="ER13" s="1131">
        <f t="shared" si="44"/>
        <v>0</v>
      </c>
      <c r="ES13" s="1197">
        <f t="shared" si="45"/>
        <v>0</v>
      </c>
    </row>
    <row r="14" spans="1:149">
      <c r="A14" s="1301">
        <f>Eingabedaten!A17</f>
        <v>4.01</v>
      </c>
      <c r="B14" s="388" t="str">
        <f>Eingabedaten!C17</f>
        <v>Schulzimmer</v>
      </c>
      <c r="C14" s="653"/>
      <c r="D14" s="386"/>
      <c r="E14" s="386"/>
      <c r="F14" s="1247"/>
      <c r="G14" s="1248"/>
      <c r="H14" s="1248"/>
      <c r="I14" s="1253"/>
      <c r="J14" s="1253"/>
      <c r="K14" s="1248"/>
      <c r="L14" s="1248"/>
      <c r="M14" s="1248"/>
      <c r="N14" s="1250"/>
      <c r="O14" s="1251">
        <v>12</v>
      </c>
      <c r="P14" s="1132">
        <v>0</v>
      </c>
      <c r="Q14" s="1248">
        <v>1770</v>
      </c>
      <c r="R14" s="1132">
        <v>21.24</v>
      </c>
      <c r="S14" s="1249">
        <v>21.24</v>
      </c>
      <c r="T14" s="1132">
        <v>0</v>
      </c>
      <c r="U14" s="1251"/>
      <c r="V14" s="1251">
        <v>70</v>
      </c>
      <c r="W14" s="1835">
        <v>0.80831408775981517</v>
      </c>
      <c r="X14" s="1249"/>
      <c r="Y14" s="1249">
        <v>6.3360000000000003</v>
      </c>
      <c r="Z14" s="1249">
        <v>7.1819621855551183</v>
      </c>
      <c r="AA14" s="1249">
        <v>11.045918367346939</v>
      </c>
      <c r="AB14" s="1132">
        <v>1310</v>
      </c>
      <c r="AC14" s="1254">
        <v>14.47015306122449</v>
      </c>
      <c r="AD14" s="1253">
        <v>7.25</v>
      </c>
      <c r="AE14" s="1132">
        <v>0</v>
      </c>
      <c r="AF14" s="1249">
        <v>0</v>
      </c>
      <c r="AG14" s="1132">
        <v>0</v>
      </c>
      <c r="AH14" s="1198">
        <v>0</v>
      </c>
      <c r="AI14" s="1251">
        <v>52.644383193277307</v>
      </c>
      <c r="AJ14" s="1132">
        <v>44.045918367346943</v>
      </c>
      <c r="AK14" s="1132">
        <v>264.00000000000006</v>
      </c>
      <c r="AL14" s="1132" t="s">
        <v>16</v>
      </c>
      <c r="AM14" s="1132" t="s">
        <v>16</v>
      </c>
      <c r="AN14" s="1132" t="s">
        <v>16</v>
      </c>
      <c r="AO14" s="1132">
        <v>67.683211092436963</v>
      </c>
      <c r="AP14" s="1132">
        <v>0</v>
      </c>
      <c r="AQ14" s="1132">
        <v>81.230803361344542</v>
      </c>
      <c r="AR14" s="1132">
        <v>0</v>
      </c>
      <c r="AS14" s="1198">
        <v>0</v>
      </c>
      <c r="AT14" s="1198">
        <v>0</v>
      </c>
      <c r="AU14" s="1132">
        <v>135.57647058823531</v>
      </c>
      <c r="AV14" s="1132">
        <v>54.935786185352299</v>
      </c>
      <c r="AW14" s="1132">
        <v>-2.5759632072197154</v>
      </c>
      <c r="AX14" s="1249">
        <v>60.188134453781529</v>
      </c>
      <c r="AY14" s="1132">
        <v>2100</v>
      </c>
      <c r="AZ14" s="1253">
        <v>1.9422945205479452</v>
      </c>
      <c r="BA14" s="1254">
        <v>126.38845093337406</v>
      </c>
      <c r="BB14" s="1248"/>
      <c r="BC14" s="1132"/>
      <c r="BD14" s="1254">
        <v>3.9675039041095888</v>
      </c>
      <c r="BG14" s="653"/>
      <c r="BH14" s="386"/>
      <c r="BI14" s="386"/>
      <c r="BJ14" s="1247"/>
      <c r="BK14" s="1248"/>
      <c r="BL14" s="1248"/>
      <c r="BM14" s="1253"/>
      <c r="BN14" s="1248"/>
      <c r="BO14" s="1248"/>
      <c r="BP14" s="1250"/>
      <c r="BQ14" s="1251">
        <v>6</v>
      </c>
      <c r="BR14" s="1248">
        <v>1770</v>
      </c>
      <c r="BS14" s="1132">
        <v>10.62</v>
      </c>
      <c r="BT14" s="1252"/>
      <c r="BU14" s="1249"/>
      <c r="BV14" s="1132">
        <v>55.1</v>
      </c>
      <c r="BW14" s="1249">
        <v>0.80831408775981517</v>
      </c>
      <c r="BX14" s="1249">
        <v>14.032927145449831</v>
      </c>
      <c r="BY14" s="1249">
        <v>0</v>
      </c>
      <c r="BZ14" s="1249">
        <v>14.032927145449831</v>
      </c>
      <c r="CA14" s="1132">
        <v>1180</v>
      </c>
      <c r="CB14" s="1132">
        <v>0</v>
      </c>
      <c r="CC14" s="1198">
        <v>16.558854031630801</v>
      </c>
      <c r="CD14" s="1249">
        <v>8.3333333333333339</v>
      </c>
      <c r="CE14" s="1249">
        <v>0</v>
      </c>
      <c r="CF14" s="1132">
        <v>0</v>
      </c>
      <c r="CG14" s="1198">
        <v>0</v>
      </c>
      <c r="CH14" s="1251">
        <v>51.000873949579841</v>
      </c>
      <c r="CI14" s="1132">
        <v>43.33292714544983</v>
      </c>
      <c r="CJ14" s="1132">
        <v>262.36902965911372</v>
      </c>
      <c r="CK14" s="1132" t="s">
        <v>16</v>
      </c>
      <c r="CL14" s="1132" t="s">
        <v>16</v>
      </c>
      <c r="CM14" s="1132" t="s">
        <v>16</v>
      </c>
      <c r="CN14" s="1132">
        <v>46</v>
      </c>
      <c r="CO14" s="1132">
        <v>120</v>
      </c>
      <c r="CP14" s="1198">
        <v>5.3250000000000002</v>
      </c>
      <c r="CQ14" s="1132">
        <v>295.36313725490197</v>
      </c>
      <c r="CR14" s="1132">
        <v>25.216416879985555</v>
      </c>
      <c r="CS14" s="1132">
        <v>-3</v>
      </c>
      <c r="CT14" s="1132">
        <v>135.02314845938375</v>
      </c>
      <c r="CU14" s="1132">
        <v>1090</v>
      </c>
      <c r="CV14" s="1198">
        <v>147.55956716501828</v>
      </c>
      <c r="CW14" s="1248"/>
      <c r="CX14" s="1132"/>
      <c r="CY14" s="1198">
        <v>5.290005205479452</v>
      </c>
      <c r="DA14" s="653">
        <f t="shared" si="0"/>
        <v>0</v>
      </c>
      <c r="DB14" s="386">
        <f t="shared" si="1"/>
        <v>0</v>
      </c>
      <c r="DC14" s="386">
        <f t="shared" si="2"/>
        <v>0</v>
      </c>
      <c r="DD14" s="1247">
        <f t="shared" si="3"/>
        <v>0</v>
      </c>
      <c r="DE14" s="1248">
        <f t="shared" si="4"/>
        <v>0</v>
      </c>
      <c r="DF14" s="1248">
        <f t="shared" si="5"/>
        <v>0</v>
      </c>
      <c r="DG14" s="1253">
        <f t="shared" si="6"/>
        <v>0</v>
      </c>
      <c r="DH14" s="1248">
        <f t="shared" si="7"/>
        <v>0</v>
      </c>
      <c r="DI14" s="1248">
        <f t="shared" si="8"/>
        <v>0</v>
      </c>
      <c r="DJ14" s="1250">
        <f t="shared" si="9"/>
        <v>0</v>
      </c>
      <c r="DK14" s="1251">
        <f t="shared" si="10"/>
        <v>6</v>
      </c>
      <c r="DL14" s="1248">
        <f t="shared" si="11"/>
        <v>0</v>
      </c>
      <c r="DM14" s="1132">
        <f t="shared" si="12"/>
        <v>10.62</v>
      </c>
      <c r="DN14" s="1252">
        <f t="shared" si="13"/>
        <v>0</v>
      </c>
      <c r="DO14" s="1249">
        <f t="shared" si="14"/>
        <v>70</v>
      </c>
      <c r="DP14" s="1132">
        <f t="shared" si="15"/>
        <v>-54.291685912240183</v>
      </c>
      <c r="DQ14" s="1249">
        <f t="shared" si="16"/>
        <v>-0.80831408775981517</v>
      </c>
      <c r="DR14" s="1249">
        <f t="shared" si="17"/>
        <v>-7.6969271454498305</v>
      </c>
      <c r="DS14" s="1249">
        <f t="shared" si="18"/>
        <v>7.1819621855551183</v>
      </c>
      <c r="DT14" s="1249">
        <f t="shared" si="19"/>
        <v>-2.9870087781028918</v>
      </c>
      <c r="DU14" s="1132">
        <f t="shared" si="20"/>
        <v>130</v>
      </c>
      <c r="DV14" s="1132" t="e">
        <f>#REF!-CB14</f>
        <v>#REF!</v>
      </c>
      <c r="DW14" s="1198">
        <f t="shared" si="21"/>
        <v>-2.0887009704063111</v>
      </c>
      <c r="DX14" s="1249">
        <f t="shared" si="22"/>
        <v>-1.0833333333333339</v>
      </c>
      <c r="DY14" s="1249">
        <f t="shared" si="23"/>
        <v>0</v>
      </c>
      <c r="DZ14" s="1132">
        <f t="shared" si="24"/>
        <v>0</v>
      </c>
      <c r="EA14" s="1198">
        <f t="shared" si="25"/>
        <v>0</v>
      </c>
      <c r="EB14" s="1251">
        <f t="shared" si="26"/>
        <v>1.6435092436974656</v>
      </c>
      <c r="EC14" s="1132">
        <f t="shared" si="27"/>
        <v>0.71299122189711284</v>
      </c>
      <c r="ED14" s="1132">
        <f t="shared" si="28"/>
        <v>1.6309703408863356</v>
      </c>
      <c r="EE14" s="1132" t="e">
        <f t="shared" si="29"/>
        <v>#VALUE!</v>
      </c>
      <c r="EF14" s="1132" t="e">
        <f t="shared" si="30"/>
        <v>#VALUE!</v>
      </c>
      <c r="EG14" s="1132" t="e">
        <f t="shared" si="31"/>
        <v>#VALUE!</v>
      </c>
      <c r="EH14" s="1132">
        <f t="shared" si="32"/>
        <v>35.230803361344542</v>
      </c>
      <c r="EI14" s="1132">
        <f t="shared" si="33"/>
        <v>-120</v>
      </c>
      <c r="EJ14" s="1198">
        <f t="shared" si="34"/>
        <v>-5.3250000000000002</v>
      </c>
      <c r="EK14" s="1132">
        <f t="shared" si="35"/>
        <v>-159.78666666666666</v>
      </c>
      <c r="EL14" s="1132">
        <f t="shared" si="36"/>
        <v>29.719369305366744</v>
      </c>
      <c r="EM14" s="1132">
        <f t="shared" si="37"/>
        <v>0.42403679278028461</v>
      </c>
      <c r="EN14" s="1132">
        <f t="shared" si="40"/>
        <v>-74.835014005602218</v>
      </c>
      <c r="EO14" s="1132">
        <f t="shared" si="41"/>
        <v>1010</v>
      </c>
      <c r="EP14" s="1198">
        <f t="shared" si="42"/>
        <v>-21.17111623164422</v>
      </c>
      <c r="EQ14" s="1248">
        <f t="shared" si="43"/>
        <v>0</v>
      </c>
      <c r="ER14" s="1132">
        <f t="shared" si="44"/>
        <v>0</v>
      </c>
      <c r="ES14" s="1198">
        <f t="shared" si="45"/>
        <v>-1.3225013013698632</v>
      </c>
    </row>
    <row r="15" spans="1:149">
      <c r="A15" s="633">
        <f>Eingabedaten!A18</f>
        <v>4.0199999999999996</v>
      </c>
      <c r="B15" s="463" t="str">
        <f>Eingabedaten!C18</f>
        <v>Lehrerzimmer</v>
      </c>
      <c r="C15" s="637"/>
      <c r="D15" s="379"/>
      <c r="E15" s="379"/>
      <c r="F15" s="1238"/>
      <c r="G15" s="1129"/>
      <c r="H15" s="1129"/>
      <c r="I15" s="1242"/>
      <c r="J15" s="1242"/>
      <c r="K15" s="1129"/>
      <c r="L15" s="1129"/>
      <c r="M15" s="1129"/>
      <c r="N15" s="1237"/>
      <c r="O15" s="1240">
        <v>6</v>
      </c>
      <c r="P15" s="1131">
        <v>0</v>
      </c>
      <c r="Q15" s="1129">
        <v>1510</v>
      </c>
      <c r="R15" s="1131">
        <v>9.06</v>
      </c>
      <c r="S15" s="1239">
        <v>9.06</v>
      </c>
      <c r="T15" s="1131">
        <v>0</v>
      </c>
      <c r="U15" s="1240"/>
      <c r="V15" s="1240">
        <v>70</v>
      </c>
      <c r="W15" s="1834">
        <v>0.71428571428571419</v>
      </c>
      <c r="X15" s="1239"/>
      <c r="Y15" s="1239">
        <v>6.3360000000000003</v>
      </c>
      <c r="Z15" s="1239">
        <v>6.3360000000000003</v>
      </c>
      <c r="AA15" s="1239">
        <v>7.5000000000000018</v>
      </c>
      <c r="AB15" s="1131">
        <v>1156</v>
      </c>
      <c r="AC15" s="1243">
        <v>8.6700000000000017</v>
      </c>
      <c r="AD15" s="1242">
        <v>7.25</v>
      </c>
      <c r="AE15" s="1131">
        <v>0</v>
      </c>
      <c r="AF15" s="1239">
        <v>0</v>
      </c>
      <c r="AG15" s="1131">
        <v>0</v>
      </c>
      <c r="AH15" s="1197">
        <v>0</v>
      </c>
      <c r="AI15" s="1240">
        <v>55.827011764705887</v>
      </c>
      <c r="AJ15" s="1131">
        <v>34.5</v>
      </c>
      <c r="AK15" s="1131">
        <v>169.8</v>
      </c>
      <c r="AL15" s="1131" t="s">
        <v>16</v>
      </c>
      <c r="AM15" s="1131" t="s">
        <v>16</v>
      </c>
      <c r="AN15" s="1131" t="s">
        <v>16</v>
      </c>
      <c r="AO15" s="1131">
        <v>63.228908235294114</v>
      </c>
      <c r="AP15" s="1131">
        <v>0</v>
      </c>
      <c r="AQ15" s="1131">
        <v>67.854321568627441</v>
      </c>
      <c r="AR15" s="1131">
        <v>0</v>
      </c>
      <c r="AS15" s="1197">
        <v>0</v>
      </c>
      <c r="AT15" s="1197">
        <v>0</v>
      </c>
      <c r="AU15" s="1131">
        <v>84.0564705882353</v>
      </c>
      <c r="AV15" s="1131">
        <v>49.85220020154518</v>
      </c>
      <c r="AW15" s="1131">
        <v>-2.6522169969768221</v>
      </c>
      <c r="AX15" s="1239">
        <v>72.737372549019611</v>
      </c>
      <c r="AY15" s="1131">
        <v>2270</v>
      </c>
      <c r="AZ15" s="1242">
        <v>1.6249429223744292</v>
      </c>
      <c r="BA15" s="1243">
        <v>165.1980871892124</v>
      </c>
      <c r="BB15" s="1129"/>
      <c r="BC15" s="1131"/>
      <c r="BD15" s="1197">
        <v>0</v>
      </c>
      <c r="BG15" s="637"/>
      <c r="BH15" s="379"/>
      <c r="BI15" s="379"/>
      <c r="BJ15" s="1238"/>
      <c r="BK15" s="1129"/>
      <c r="BL15" s="1129"/>
      <c r="BM15" s="1242"/>
      <c r="BN15" s="1129"/>
      <c r="BO15" s="1129"/>
      <c r="BP15" s="1237"/>
      <c r="BQ15" s="1240">
        <v>6</v>
      </c>
      <c r="BR15" s="1129">
        <v>1510</v>
      </c>
      <c r="BS15" s="1131">
        <v>9.06</v>
      </c>
      <c r="BT15" s="1241"/>
      <c r="BU15" s="1239"/>
      <c r="BV15" s="1131">
        <v>45.1</v>
      </c>
      <c r="BW15" s="1239">
        <v>0.71428571428571419</v>
      </c>
      <c r="BX15" s="1239">
        <v>11.640798226164081</v>
      </c>
      <c r="BY15" s="1239">
        <v>0</v>
      </c>
      <c r="BZ15" s="1239">
        <v>11.640798226164081</v>
      </c>
      <c r="CA15" s="1131">
        <v>1030</v>
      </c>
      <c r="CB15" s="1131">
        <v>0</v>
      </c>
      <c r="CC15" s="1197">
        <v>11.990022172949004</v>
      </c>
      <c r="CD15" s="1239">
        <v>12</v>
      </c>
      <c r="CE15" s="1239">
        <v>0</v>
      </c>
      <c r="CF15" s="1131">
        <v>0</v>
      </c>
      <c r="CG15" s="1197">
        <v>0</v>
      </c>
      <c r="CH15" s="1240">
        <v>64.710117647058837</v>
      </c>
      <c r="CI15" s="1131">
        <v>40.940798226164084</v>
      </c>
      <c r="CJ15" s="1131">
        <v>188.90299360847379</v>
      </c>
      <c r="CK15" s="1131" t="s">
        <v>16</v>
      </c>
      <c r="CL15" s="1131" t="s">
        <v>16</v>
      </c>
      <c r="CM15" s="1131" t="s">
        <v>16</v>
      </c>
      <c r="CN15" s="1131">
        <v>50</v>
      </c>
      <c r="CO15" s="1131">
        <v>50</v>
      </c>
      <c r="CP15" s="1197">
        <v>2.6161111111111111</v>
      </c>
      <c r="CQ15" s="1131">
        <v>208.47247058823532</v>
      </c>
      <c r="CR15" s="1131">
        <v>20.100495706585043</v>
      </c>
      <c r="CS15" s="1131">
        <v>-3</v>
      </c>
      <c r="CT15" s="1131">
        <v>185.30886274509805</v>
      </c>
      <c r="CU15" s="1131">
        <v>1070</v>
      </c>
      <c r="CV15" s="1197">
        <v>197.97646803627634</v>
      </c>
      <c r="CW15" s="1129"/>
      <c r="CX15" s="1131"/>
      <c r="CY15" s="1197">
        <v>0</v>
      </c>
      <c r="DA15" s="637">
        <f t="shared" si="0"/>
        <v>0</v>
      </c>
      <c r="DB15" s="379">
        <f t="shared" si="1"/>
        <v>0</v>
      </c>
      <c r="DC15" s="379">
        <f t="shared" si="2"/>
        <v>0</v>
      </c>
      <c r="DD15" s="1238">
        <f t="shared" si="3"/>
        <v>0</v>
      </c>
      <c r="DE15" s="1129">
        <f t="shared" si="4"/>
        <v>0</v>
      </c>
      <c r="DF15" s="1129">
        <f t="shared" si="5"/>
        <v>0</v>
      </c>
      <c r="DG15" s="1242">
        <f t="shared" si="6"/>
        <v>0</v>
      </c>
      <c r="DH15" s="1129">
        <f t="shared" si="7"/>
        <v>0</v>
      </c>
      <c r="DI15" s="1129">
        <f t="shared" si="8"/>
        <v>0</v>
      </c>
      <c r="DJ15" s="1237">
        <f t="shared" si="9"/>
        <v>0</v>
      </c>
      <c r="DK15" s="1240">
        <f t="shared" si="10"/>
        <v>0</v>
      </c>
      <c r="DL15" s="1129">
        <f t="shared" si="11"/>
        <v>0</v>
      </c>
      <c r="DM15" s="1131">
        <f t="shared" si="12"/>
        <v>0</v>
      </c>
      <c r="DN15" s="1241">
        <f t="shared" si="13"/>
        <v>0</v>
      </c>
      <c r="DO15" s="1239">
        <f t="shared" si="14"/>
        <v>70</v>
      </c>
      <c r="DP15" s="1131">
        <f t="shared" si="15"/>
        <v>-44.385714285714286</v>
      </c>
      <c r="DQ15" s="1239">
        <f t="shared" si="16"/>
        <v>-0.71428571428571419</v>
      </c>
      <c r="DR15" s="1239">
        <f t="shared" si="17"/>
        <v>-5.3047982261640811</v>
      </c>
      <c r="DS15" s="1239">
        <f t="shared" si="18"/>
        <v>6.3360000000000003</v>
      </c>
      <c r="DT15" s="1239">
        <f t="shared" si="19"/>
        <v>-4.1407982261640797</v>
      </c>
      <c r="DU15" s="1131">
        <f t="shared" si="20"/>
        <v>126</v>
      </c>
      <c r="DV15" s="1131" t="e">
        <f>#REF!-CB15</f>
        <v>#REF!</v>
      </c>
      <c r="DW15" s="1197">
        <f t="shared" si="21"/>
        <v>-3.3200221729490025</v>
      </c>
      <c r="DX15" s="1239">
        <f t="shared" si="22"/>
        <v>-4.75</v>
      </c>
      <c r="DY15" s="1239">
        <f t="shared" si="23"/>
        <v>0</v>
      </c>
      <c r="DZ15" s="1131">
        <f t="shared" si="24"/>
        <v>0</v>
      </c>
      <c r="EA15" s="1197">
        <f t="shared" si="25"/>
        <v>0</v>
      </c>
      <c r="EB15" s="1240">
        <f t="shared" si="26"/>
        <v>-8.8831058823529503</v>
      </c>
      <c r="EC15" s="1131">
        <f t="shared" si="27"/>
        <v>-6.4407982261640839</v>
      </c>
      <c r="ED15" s="1131">
        <f t="shared" si="28"/>
        <v>-19.102993608473781</v>
      </c>
      <c r="EE15" s="1131" t="e">
        <f t="shared" si="29"/>
        <v>#VALUE!</v>
      </c>
      <c r="EF15" s="1131" t="e">
        <f t="shared" si="30"/>
        <v>#VALUE!</v>
      </c>
      <c r="EG15" s="1131" t="e">
        <f t="shared" si="31"/>
        <v>#VALUE!</v>
      </c>
      <c r="EH15" s="1131">
        <f t="shared" si="32"/>
        <v>17.854321568627441</v>
      </c>
      <c r="EI15" s="1131">
        <f t="shared" si="33"/>
        <v>-50</v>
      </c>
      <c r="EJ15" s="1197">
        <f t="shared" si="34"/>
        <v>-2.6161111111111111</v>
      </c>
      <c r="EK15" s="1131">
        <f t="shared" si="35"/>
        <v>-124.41600000000003</v>
      </c>
      <c r="EL15" s="1131">
        <f t="shared" si="36"/>
        <v>29.751704494960137</v>
      </c>
      <c r="EM15" s="1131">
        <f t="shared" si="37"/>
        <v>0.34778300302317788</v>
      </c>
      <c r="EN15" s="1131">
        <f t="shared" si="40"/>
        <v>-112.57149019607844</v>
      </c>
      <c r="EO15" s="1131">
        <f t="shared" si="41"/>
        <v>1200</v>
      </c>
      <c r="EP15" s="1197">
        <f t="shared" si="42"/>
        <v>-32.778380847063943</v>
      </c>
      <c r="EQ15" s="1129">
        <f t="shared" si="43"/>
        <v>0</v>
      </c>
      <c r="ER15" s="1131">
        <f t="shared" si="44"/>
        <v>0</v>
      </c>
      <c r="ES15" s="1197">
        <f t="shared" si="45"/>
        <v>0</v>
      </c>
    </row>
    <row r="16" spans="1:149">
      <c r="A16" s="633">
        <f>Eingabedaten!A19</f>
        <v>4.03</v>
      </c>
      <c r="B16" s="463" t="str">
        <f>Eingabedaten!C19</f>
        <v>Bibliothek</v>
      </c>
      <c r="C16" s="637"/>
      <c r="D16" s="379"/>
      <c r="E16" s="379"/>
      <c r="F16" s="1238"/>
      <c r="G16" s="1129"/>
      <c r="H16" s="1129"/>
      <c r="I16" s="1242"/>
      <c r="J16" s="1242"/>
      <c r="K16" s="1129"/>
      <c r="L16" s="1129"/>
      <c r="M16" s="1129"/>
      <c r="N16" s="1237"/>
      <c r="O16" s="1240">
        <v>3</v>
      </c>
      <c r="P16" s="1131">
        <v>0</v>
      </c>
      <c r="Q16" s="1129">
        <v>1510</v>
      </c>
      <c r="R16" s="1131">
        <v>4.53</v>
      </c>
      <c r="S16" s="1239">
        <v>4.53</v>
      </c>
      <c r="T16" s="1131">
        <v>0</v>
      </c>
      <c r="U16" s="1240"/>
      <c r="V16" s="1240">
        <v>70</v>
      </c>
      <c r="W16" s="1834">
        <v>0.90909090909090917</v>
      </c>
      <c r="X16" s="1239"/>
      <c r="Y16" s="1239">
        <v>6.3360000000000003</v>
      </c>
      <c r="Z16" s="1239">
        <v>8.2314579927708156</v>
      </c>
      <c r="AA16" s="1239">
        <v>5.8928571428571423</v>
      </c>
      <c r="AB16" s="1131">
        <v>1502</v>
      </c>
      <c r="AC16" s="1243">
        <v>8.8510714285714283</v>
      </c>
      <c r="AD16" s="1242">
        <v>5.8</v>
      </c>
      <c r="AE16" s="1131">
        <v>0</v>
      </c>
      <c r="AF16" s="1239">
        <v>0</v>
      </c>
      <c r="AG16" s="1131">
        <v>0</v>
      </c>
      <c r="AH16" s="1197">
        <v>0</v>
      </c>
      <c r="AI16" s="1240">
        <v>30.59190588235294</v>
      </c>
      <c r="AJ16" s="1131">
        <v>25.692857142857143</v>
      </c>
      <c r="AK16" s="1131">
        <v>122.70000000000003</v>
      </c>
      <c r="AL16" s="1131" t="s">
        <v>16</v>
      </c>
      <c r="AM16" s="1131" t="s">
        <v>16</v>
      </c>
      <c r="AN16" s="1131" t="s">
        <v>16</v>
      </c>
      <c r="AO16" s="1131">
        <v>39.399334117647058</v>
      </c>
      <c r="AP16" s="1131">
        <v>0</v>
      </c>
      <c r="AQ16" s="1131">
        <v>39.413560784313717</v>
      </c>
      <c r="AR16" s="1131">
        <v>0</v>
      </c>
      <c r="AS16" s="1197">
        <v>0</v>
      </c>
      <c r="AT16" s="1197">
        <v>0</v>
      </c>
      <c r="AU16" s="1131">
        <v>202.6729411764706</v>
      </c>
      <c r="AV16" s="1131">
        <v>70.126776260796873</v>
      </c>
      <c r="AW16" s="1131">
        <v>-2.3480983560880468</v>
      </c>
      <c r="AX16" s="1239">
        <v>43.41718627450981</v>
      </c>
      <c r="AY16" s="1131">
        <v>2130</v>
      </c>
      <c r="AZ16" s="1242">
        <v>1.34851598173516</v>
      </c>
      <c r="BA16" s="1243">
        <v>92.326270471455388</v>
      </c>
      <c r="BB16" s="1129"/>
      <c r="BC16" s="1131"/>
      <c r="BD16" s="1197">
        <v>0</v>
      </c>
      <c r="BG16" s="637"/>
      <c r="BH16" s="379"/>
      <c r="BI16" s="379"/>
      <c r="BJ16" s="1238"/>
      <c r="BK16" s="1129"/>
      <c r="BL16" s="1129"/>
      <c r="BM16" s="1242"/>
      <c r="BN16" s="1129"/>
      <c r="BO16" s="1129"/>
      <c r="BP16" s="1237"/>
      <c r="BQ16" s="1240">
        <v>3</v>
      </c>
      <c r="BR16" s="1129">
        <v>1510</v>
      </c>
      <c r="BS16" s="1131">
        <v>4.53</v>
      </c>
      <c r="BT16" s="1241"/>
      <c r="BU16" s="1239"/>
      <c r="BV16" s="1131">
        <v>40.099999999999994</v>
      </c>
      <c r="BW16" s="1239">
        <v>0.90909090909090917</v>
      </c>
      <c r="BX16" s="1239">
        <v>6.8578553615960098</v>
      </c>
      <c r="BY16" s="1239">
        <v>0</v>
      </c>
      <c r="BZ16" s="1239">
        <v>6.8578553615960098</v>
      </c>
      <c r="CA16" s="1131">
        <v>1240</v>
      </c>
      <c r="CB16" s="1131">
        <v>0</v>
      </c>
      <c r="CC16" s="1197">
        <v>8.5037406483790523</v>
      </c>
      <c r="CD16" s="1239">
        <v>7.2</v>
      </c>
      <c r="CE16" s="1239">
        <v>0</v>
      </c>
      <c r="CF16" s="1131">
        <v>0</v>
      </c>
      <c r="CG16" s="1197">
        <v>0</v>
      </c>
      <c r="CH16" s="1240">
        <v>34.947058823529417</v>
      </c>
      <c r="CI16" s="1131">
        <v>23.857855361596009</v>
      </c>
      <c r="CJ16" s="1131">
        <v>127.55300780185463</v>
      </c>
      <c r="CK16" s="1131" t="s">
        <v>16</v>
      </c>
      <c r="CL16" s="1131" t="s">
        <v>16</v>
      </c>
      <c r="CM16" s="1131" t="s">
        <v>16</v>
      </c>
      <c r="CN16" s="1131">
        <v>27</v>
      </c>
      <c r="CO16" s="1131">
        <v>70</v>
      </c>
      <c r="CP16" s="1197">
        <v>1.9981944444444444</v>
      </c>
      <c r="CQ16" s="1131">
        <v>479.15294117647056</v>
      </c>
      <c r="CR16" s="1131">
        <v>29.662345315262233</v>
      </c>
      <c r="CS16" s="1131">
        <v>-3</v>
      </c>
      <c r="CT16" s="1131">
        <v>106.47843137254901</v>
      </c>
      <c r="CU16" s="1131">
        <v>960</v>
      </c>
      <c r="CV16" s="1197">
        <v>102.71008393201811</v>
      </c>
      <c r="CW16" s="1129"/>
      <c r="CX16" s="1131"/>
      <c r="CY16" s="1197">
        <v>0</v>
      </c>
      <c r="DA16" s="637">
        <f t="shared" si="0"/>
        <v>0</v>
      </c>
      <c r="DB16" s="379">
        <f t="shared" si="1"/>
        <v>0</v>
      </c>
      <c r="DC16" s="379">
        <f t="shared" si="2"/>
        <v>0</v>
      </c>
      <c r="DD16" s="1238">
        <f t="shared" si="3"/>
        <v>0</v>
      </c>
      <c r="DE16" s="1129">
        <f t="shared" si="4"/>
        <v>0</v>
      </c>
      <c r="DF16" s="1129">
        <f t="shared" si="5"/>
        <v>0</v>
      </c>
      <c r="DG16" s="1242">
        <f t="shared" si="6"/>
        <v>0</v>
      </c>
      <c r="DH16" s="1129">
        <f t="shared" si="7"/>
        <v>0</v>
      </c>
      <c r="DI16" s="1129">
        <f t="shared" si="8"/>
        <v>0</v>
      </c>
      <c r="DJ16" s="1237">
        <f t="shared" si="9"/>
        <v>0</v>
      </c>
      <c r="DK16" s="1240">
        <f t="shared" si="10"/>
        <v>0</v>
      </c>
      <c r="DL16" s="1129">
        <f t="shared" si="11"/>
        <v>0</v>
      </c>
      <c r="DM16" s="1131">
        <f t="shared" si="12"/>
        <v>0</v>
      </c>
      <c r="DN16" s="1241">
        <f t="shared" si="13"/>
        <v>0</v>
      </c>
      <c r="DO16" s="1239">
        <f t="shared" si="14"/>
        <v>70</v>
      </c>
      <c r="DP16" s="1131">
        <f t="shared" si="15"/>
        <v>-39.190909090909088</v>
      </c>
      <c r="DQ16" s="1239">
        <f t="shared" si="16"/>
        <v>-0.90909090909090917</v>
      </c>
      <c r="DR16" s="1239">
        <f t="shared" si="17"/>
        <v>-0.52185536159600954</v>
      </c>
      <c r="DS16" s="1239">
        <f t="shared" si="18"/>
        <v>8.2314579927708156</v>
      </c>
      <c r="DT16" s="1239">
        <f t="shared" si="19"/>
        <v>-0.96499821873886749</v>
      </c>
      <c r="DU16" s="1131">
        <f t="shared" si="20"/>
        <v>262</v>
      </c>
      <c r="DV16" s="1131" t="e">
        <f>#REF!-CB16</f>
        <v>#REF!</v>
      </c>
      <c r="DW16" s="1197">
        <f t="shared" si="21"/>
        <v>0.34733078019237595</v>
      </c>
      <c r="DX16" s="1239">
        <f t="shared" si="22"/>
        <v>-1.4000000000000004</v>
      </c>
      <c r="DY16" s="1239">
        <f t="shared" si="23"/>
        <v>0</v>
      </c>
      <c r="DZ16" s="1131">
        <f t="shared" si="24"/>
        <v>0</v>
      </c>
      <c r="EA16" s="1197">
        <f t="shared" si="25"/>
        <v>0</v>
      </c>
      <c r="EB16" s="1240">
        <f t="shared" si="26"/>
        <v>-4.3551529411764776</v>
      </c>
      <c r="EC16" s="1131">
        <f t="shared" si="27"/>
        <v>1.8350017812611341</v>
      </c>
      <c r="ED16" s="1131">
        <f t="shared" si="28"/>
        <v>-4.8530078018546021</v>
      </c>
      <c r="EE16" s="1131" t="e">
        <f t="shared" si="29"/>
        <v>#VALUE!</v>
      </c>
      <c r="EF16" s="1131" t="e">
        <f t="shared" si="30"/>
        <v>#VALUE!</v>
      </c>
      <c r="EG16" s="1131" t="e">
        <f t="shared" si="31"/>
        <v>#VALUE!</v>
      </c>
      <c r="EH16" s="1131">
        <f t="shared" si="32"/>
        <v>12.413560784313717</v>
      </c>
      <c r="EI16" s="1131">
        <f t="shared" si="33"/>
        <v>-70</v>
      </c>
      <c r="EJ16" s="1197">
        <f t="shared" si="34"/>
        <v>-1.9981944444444444</v>
      </c>
      <c r="EK16" s="1131">
        <f t="shared" si="35"/>
        <v>-276.47999999999996</v>
      </c>
      <c r="EL16" s="1131">
        <f t="shared" si="36"/>
        <v>40.464430945534644</v>
      </c>
      <c r="EM16" s="1131">
        <f t="shared" si="37"/>
        <v>0.65190164391195315</v>
      </c>
      <c r="EN16" s="1131">
        <f t="shared" si="40"/>
        <v>-63.061245098039201</v>
      </c>
      <c r="EO16" s="1131">
        <f t="shared" si="41"/>
        <v>1170</v>
      </c>
      <c r="EP16" s="1197">
        <f t="shared" si="42"/>
        <v>-10.38381346056272</v>
      </c>
      <c r="EQ16" s="1129">
        <f t="shared" si="43"/>
        <v>0</v>
      </c>
      <c r="ER16" s="1131">
        <f t="shared" si="44"/>
        <v>0</v>
      </c>
      <c r="ES16" s="1197">
        <f t="shared" si="45"/>
        <v>0</v>
      </c>
    </row>
    <row r="17" spans="1:149">
      <c r="A17" s="633">
        <f>Eingabedaten!A20</f>
        <v>4.04</v>
      </c>
      <c r="B17" s="463" t="str">
        <f>Eingabedaten!C20</f>
        <v>Hörsaal</v>
      </c>
      <c r="C17" s="637"/>
      <c r="D17" s="379"/>
      <c r="E17" s="379"/>
      <c r="F17" s="1238"/>
      <c r="G17" s="1129"/>
      <c r="H17" s="1129"/>
      <c r="I17" s="1242"/>
      <c r="J17" s="1242"/>
      <c r="K17" s="1129"/>
      <c r="L17" s="1129"/>
      <c r="M17" s="1129"/>
      <c r="N17" s="1237"/>
      <c r="O17" s="1240">
        <v>30</v>
      </c>
      <c r="P17" s="1131">
        <v>0</v>
      </c>
      <c r="Q17" s="1129">
        <v>2180</v>
      </c>
      <c r="R17" s="1131">
        <v>65.400000000000006</v>
      </c>
      <c r="S17" s="1239">
        <v>65.400000000000006</v>
      </c>
      <c r="T17" s="1131">
        <v>0</v>
      </c>
      <c r="U17" s="1240"/>
      <c r="V17" s="1240">
        <v>70</v>
      </c>
      <c r="W17" s="1834">
        <v>0.90909090909090917</v>
      </c>
      <c r="X17" s="1239"/>
      <c r="Y17" s="1239">
        <v>6.3360000000000003</v>
      </c>
      <c r="Z17" s="1239">
        <v>9.2482637071404827</v>
      </c>
      <c r="AA17" s="1239">
        <v>9.8214285714285712</v>
      </c>
      <c r="AB17" s="1131">
        <v>1687</v>
      </c>
      <c r="AC17" s="1243">
        <v>16.568750000000001</v>
      </c>
      <c r="AD17" s="1242">
        <v>9.6666666666666661</v>
      </c>
      <c r="AE17" s="1131">
        <v>3030</v>
      </c>
      <c r="AF17" s="1239">
        <v>8.7966666666666669</v>
      </c>
      <c r="AG17" s="1131">
        <v>2520</v>
      </c>
      <c r="AH17" s="1197">
        <v>22.167600000000004</v>
      </c>
      <c r="AI17" s="1240">
        <v>33.420705882352941</v>
      </c>
      <c r="AJ17" s="1131">
        <v>67.821428571428569</v>
      </c>
      <c r="AK17" s="1131">
        <v>512.79999999999995</v>
      </c>
      <c r="AL17" s="1131" t="s">
        <v>16</v>
      </c>
      <c r="AM17" s="1131" t="s">
        <v>16</v>
      </c>
      <c r="AN17" s="1131" t="s">
        <v>16</v>
      </c>
      <c r="AO17" s="1131">
        <v>70.869494117647051</v>
      </c>
      <c r="AP17" s="1239">
        <v>87.813929411764704</v>
      </c>
      <c r="AQ17" s="1131">
        <v>87.813929411764704</v>
      </c>
      <c r="AR17" s="1131">
        <v>100</v>
      </c>
      <c r="AS17" s="1243">
        <v>9.101661112835032</v>
      </c>
      <c r="AT17" s="1197">
        <v>0</v>
      </c>
      <c r="AU17" s="1131">
        <v>175.02494117647058</v>
      </c>
      <c r="AV17" s="1131">
        <v>81.204426663225149</v>
      </c>
      <c r="AW17" s="1131">
        <v>-2.1819336000516225</v>
      </c>
      <c r="AX17" s="1239">
        <v>37.292386274509802</v>
      </c>
      <c r="AY17" s="1131">
        <v>1540</v>
      </c>
      <c r="AZ17" s="1242">
        <v>1.9199200913242007</v>
      </c>
      <c r="BA17" s="1243">
        <v>57.373023070717565</v>
      </c>
      <c r="BB17" s="1129"/>
      <c r="BC17" s="1131"/>
      <c r="BD17" s="1243">
        <v>5.290005205479452</v>
      </c>
      <c r="BG17" s="637"/>
      <c r="BH17" s="379"/>
      <c r="BI17" s="379"/>
      <c r="BJ17" s="1238"/>
      <c r="BK17" s="1129"/>
      <c r="BL17" s="1129"/>
      <c r="BM17" s="1242"/>
      <c r="BN17" s="1129"/>
      <c r="BO17" s="1129"/>
      <c r="BP17" s="1237"/>
      <c r="BQ17" s="1240">
        <v>6</v>
      </c>
      <c r="BR17" s="1129">
        <v>1770</v>
      </c>
      <c r="BS17" s="1131">
        <v>10.62</v>
      </c>
      <c r="BT17" s="1241"/>
      <c r="BU17" s="1239"/>
      <c r="BV17" s="1131">
        <v>55.1</v>
      </c>
      <c r="BW17" s="1239">
        <v>0.90909090909090917</v>
      </c>
      <c r="BX17" s="1239">
        <v>12.477313974591651</v>
      </c>
      <c r="BY17" s="1239">
        <v>0</v>
      </c>
      <c r="BZ17" s="1239">
        <v>12.477313974591651</v>
      </c>
      <c r="CA17" s="1131">
        <v>1630</v>
      </c>
      <c r="CB17" s="1131">
        <v>0</v>
      </c>
      <c r="CC17" s="1197">
        <v>20.338021778584391</v>
      </c>
      <c r="CD17" s="1239">
        <v>15</v>
      </c>
      <c r="CE17" s="1239">
        <v>0</v>
      </c>
      <c r="CF17" s="1131">
        <v>0</v>
      </c>
      <c r="CG17" s="1197">
        <v>0</v>
      </c>
      <c r="CH17" s="1240">
        <v>49.923058823529416</v>
      </c>
      <c r="CI17" s="1131">
        <v>53.477313974591652</v>
      </c>
      <c r="CJ17" s="1131">
        <v>419.48301296320767</v>
      </c>
      <c r="CK17" s="1131" t="s">
        <v>16</v>
      </c>
      <c r="CL17" s="1131" t="s">
        <v>16</v>
      </c>
      <c r="CM17" s="1131" t="s">
        <v>16</v>
      </c>
      <c r="CN17" s="1131">
        <v>58</v>
      </c>
      <c r="CO17" s="1131">
        <v>120</v>
      </c>
      <c r="CP17" s="1197">
        <v>6.7120833333333332</v>
      </c>
      <c r="CQ17" s="1131">
        <v>838.57694117647065</v>
      </c>
      <c r="CR17" s="1131">
        <v>16.948713113981334</v>
      </c>
      <c r="CS17" s="1131">
        <v>-3</v>
      </c>
      <c r="CT17" s="1131">
        <v>186.35043137254902</v>
      </c>
      <c r="CU17" s="1131">
        <v>800</v>
      </c>
      <c r="CV17" s="1197">
        <v>149.63399271807589</v>
      </c>
      <c r="CW17" s="1129"/>
      <c r="CX17" s="1131"/>
      <c r="CY17" s="1197">
        <v>7.9350078082191775</v>
      </c>
      <c r="DA17" s="637">
        <f t="shared" si="0"/>
        <v>0</v>
      </c>
      <c r="DB17" s="379">
        <f t="shared" si="1"/>
        <v>0</v>
      </c>
      <c r="DC17" s="379">
        <f t="shared" si="2"/>
        <v>0</v>
      </c>
      <c r="DD17" s="1238">
        <f t="shared" si="3"/>
        <v>0</v>
      </c>
      <c r="DE17" s="1129">
        <f t="shared" si="4"/>
        <v>0</v>
      </c>
      <c r="DF17" s="1129">
        <f t="shared" si="5"/>
        <v>0</v>
      </c>
      <c r="DG17" s="1242">
        <f t="shared" si="6"/>
        <v>0</v>
      </c>
      <c r="DH17" s="1129">
        <f t="shared" si="7"/>
        <v>0</v>
      </c>
      <c r="DI17" s="1129">
        <f t="shared" si="8"/>
        <v>0</v>
      </c>
      <c r="DJ17" s="1237">
        <f t="shared" si="9"/>
        <v>0</v>
      </c>
      <c r="DK17" s="1240">
        <f t="shared" si="10"/>
        <v>24</v>
      </c>
      <c r="DL17" s="1129">
        <f t="shared" si="11"/>
        <v>410</v>
      </c>
      <c r="DM17" s="1131">
        <f t="shared" si="12"/>
        <v>54.780000000000008</v>
      </c>
      <c r="DN17" s="1241">
        <f t="shared" si="13"/>
        <v>0</v>
      </c>
      <c r="DO17" s="1239">
        <f t="shared" si="14"/>
        <v>70</v>
      </c>
      <c r="DP17" s="1131">
        <f t="shared" si="15"/>
        <v>-54.190909090909095</v>
      </c>
      <c r="DQ17" s="1239">
        <f t="shared" si="16"/>
        <v>-0.90909090909090917</v>
      </c>
      <c r="DR17" s="1239">
        <f t="shared" si="17"/>
        <v>-6.1413139745916503</v>
      </c>
      <c r="DS17" s="1239">
        <f t="shared" si="18"/>
        <v>9.2482637071404827</v>
      </c>
      <c r="DT17" s="1239">
        <f t="shared" si="19"/>
        <v>-2.6558854031630794</v>
      </c>
      <c r="DU17" s="1131">
        <f t="shared" si="20"/>
        <v>57</v>
      </c>
      <c r="DV17" s="1131" t="e">
        <f>#REF!-CB17</f>
        <v>#REF!</v>
      </c>
      <c r="DW17" s="1197">
        <f t="shared" si="21"/>
        <v>-3.7692717785843897</v>
      </c>
      <c r="DX17" s="1239">
        <f t="shared" si="22"/>
        <v>-5.3333333333333339</v>
      </c>
      <c r="DY17" s="1239">
        <f t="shared" si="23"/>
        <v>8.7966666666666669</v>
      </c>
      <c r="DZ17" s="1131">
        <f t="shared" si="24"/>
        <v>2520</v>
      </c>
      <c r="EA17" s="1197">
        <f t="shared" si="25"/>
        <v>22.167600000000004</v>
      </c>
      <c r="EB17" s="1240">
        <f t="shared" si="26"/>
        <v>-16.502352941176476</v>
      </c>
      <c r="EC17" s="1131">
        <f t="shared" si="27"/>
        <v>14.344114596836917</v>
      </c>
      <c r="ED17" s="1131">
        <f t="shared" si="28"/>
        <v>93.316987036792284</v>
      </c>
      <c r="EE17" s="1131" t="e">
        <f t="shared" si="29"/>
        <v>#VALUE!</v>
      </c>
      <c r="EF17" s="1131" t="e">
        <f t="shared" si="30"/>
        <v>#VALUE!</v>
      </c>
      <c r="EG17" s="1131" t="e">
        <f t="shared" si="31"/>
        <v>#VALUE!</v>
      </c>
      <c r="EH17" s="1131">
        <f t="shared" si="32"/>
        <v>29.813929411764704</v>
      </c>
      <c r="EI17" s="1131">
        <f t="shared" si="33"/>
        <v>-20</v>
      </c>
      <c r="EJ17" s="1197">
        <f t="shared" si="34"/>
        <v>-6.7120833333333332</v>
      </c>
      <c r="EK17" s="1131">
        <f t="shared" si="35"/>
        <v>-663.55200000000013</v>
      </c>
      <c r="EL17" s="1131">
        <f t="shared" si="36"/>
        <v>64.255713549243808</v>
      </c>
      <c r="EM17" s="1131">
        <f t="shared" si="37"/>
        <v>0.81806639994837749</v>
      </c>
      <c r="EN17" s="1131">
        <f t="shared" si="40"/>
        <v>-149.05804509803923</v>
      </c>
      <c r="EO17" s="1131">
        <f t="shared" si="41"/>
        <v>740</v>
      </c>
      <c r="EP17" s="1197">
        <f t="shared" si="42"/>
        <v>-92.260969647358323</v>
      </c>
      <c r="EQ17" s="1129">
        <f t="shared" si="43"/>
        <v>0</v>
      </c>
      <c r="ER17" s="1131">
        <f t="shared" si="44"/>
        <v>0</v>
      </c>
      <c r="ES17" s="1197">
        <f t="shared" si="45"/>
        <v>-2.6450026027397255</v>
      </c>
    </row>
    <row r="18" spans="1:149">
      <c r="A18" s="657">
        <f>Eingabedaten!A21</f>
        <v>4.05</v>
      </c>
      <c r="B18" s="592" t="str">
        <f>Eingabedaten!C21</f>
        <v>Schulfachraum (Spezialraum)</v>
      </c>
      <c r="C18" s="654"/>
      <c r="D18" s="387"/>
      <c r="E18" s="387"/>
      <c r="F18" s="1227"/>
      <c r="G18" s="1130"/>
      <c r="H18" s="1130"/>
      <c r="I18" s="1257"/>
      <c r="J18" s="1257"/>
      <c r="K18" s="1130"/>
      <c r="L18" s="1130"/>
      <c r="M18" s="1130"/>
      <c r="N18" s="1229"/>
      <c r="O18" s="1255">
        <v>10</v>
      </c>
      <c r="P18" s="1133">
        <v>0</v>
      </c>
      <c r="Q18" s="1130">
        <v>1770</v>
      </c>
      <c r="R18" s="1133">
        <v>17.7</v>
      </c>
      <c r="S18" s="1228">
        <v>17.7</v>
      </c>
      <c r="T18" s="1133">
        <v>0</v>
      </c>
      <c r="U18" s="1255"/>
      <c r="V18" s="1255">
        <v>70</v>
      </c>
      <c r="W18" s="1836">
        <v>0.80831408775981517</v>
      </c>
      <c r="X18" s="1228"/>
      <c r="Y18" s="1228">
        <v>6.3360000000000003</v>
      </c>
      <c r="Z18" s="1228">
        <v>7.1819621855551183</v>
      </c>
      <c r="AA18" s="1228">
        <v>11.045918367346939</v>
      </c>
      <c r="AB18" s="1133">
        <v>1310</v>
      </c>
      <c r="AC18" s="1196">
        <v>14.47015306122449</v>
      </c>
      <c r="AD18" s="1257">
        <v>5.8</v>
      </c>
      <c r="AE18" s="1133">
        <v>3030</v>
      </c>
      <c r="AF18" s="1228">
        <v>3.19</v>
      </c>
      <c r="AG18" s="1133">
        <v>2520</v>
      </c>
      <c r="AH18" s="1199">
        <v>8.0388000000000002</v>
      </c>
      <c r="AI18" s="1255">
        <v>45.741983193277314</v>
      </c>
      <c r="AJ18" s="1133">
        <v>37.84591836734694</v>
      </c>
      <c r="AK18" s="1133">
        <v>214.68</v>
      </c>
      <c r="AL18" s="1133" t="s">
        <v>16</v>
      </c>
      <c r="AM18" s="1133" t="s">
        <v>16</v>
      </c>
      <c r="AN18" s="1133" t="s">
        <v>16</v>
      </c>
      <c r="AO18" s="1133">
        <v>58.511531092436975</v>
      </c>
      <c r="AP18" s="1133">
        <v>0</v>
      </c>
      <c r="AQ18" s="1133">
        <v>67.51400336134455</v>
      </c>
      <c r="AR18" s="1133">
        <v>0</v>
      </c>
      <c r="AS18" s="1199">
        <v>0</v>
      </c>
      <c r="AT18" s="1199">
        <v>0</v>
      </c>
      <c r="AU18" s="1133">
        <v>122.13647058823531</v>
      </c>
      <c r="AV18" s="1133">
        <v>60.980966325036597</v>
      </c>
      <c r="AW18" s="1133">
        <v>-2.4852855051244509</v>
      </c>
      <c r="AX18" s="1228">
        <v>54.063334453781522</v>
      </c>
      <c r="AY18" s="1133">
        <v>2090</v>
      </c>
      <c r="AZ18" s="1257">
        <v>1.2511986301369864</v>
      </c>
      <c r="BA18" s="1196">
        <v>113.14245678791383</v>
      </c>
      <c r="BB18" s="1130"/>
      <c r="BC18" s="1133"/>
      <c r="BD18" s="1196">
        <v>3.1740031232876711</v>
      </c>
      <c r="BG18" s="654"/>
      <c r="BH18" s="387"/>
      <c r="BI18" s="387"/>
      <c r="BJ18" s="1227"/>
      <c r="BK18" s="1130"/>
      <c r="BL18" s="1130"/>
      <c r="BM18" s="1257"/>
      <c r="BN18" s="1130"/>
      <c r="BO18" s="1130"/>
      <c r="BP18" s="1229"/>
      <c r="BQ18" s="1255">
        <v>9.5</v>
      </c>
      <c r="BR18" s="1130">
        <v>1770</v>
      </c>
      <c r="BS18" s="1133">
        <v>16.815000000000001</v>
      </c>
      <c r="BT18" s="1256"/>
      <c r="BU18" s="1228"/>
      <c r="BV18" s="1133">
        <v>55.1</v>
      </c>
      <c r="BW18" s="1228">
        <v>0.80831408775981517</v>
      </c>
      <c r="BX18" s="1228">
        <v>14.032927145449831</v>
      </c>
      <c r="BY18" s="1228">
        <v>0</v>
      </c>
      <c r="BZ18" s="1228">
        <v>14.032927145449831</v>
      </c>
      <c r="CA18" s="1133">
        <v>1180</v>
      </c>
      <c r="CB18" s="1133">
        <v>0</v>
      </c>
      <c r="CC18" s="1199">
        <v>16.558854031630801</v>
      </c>
      <c r="CD18" s="1228">
        <v>6</v>
      </c>
      <c r="CE18" s="1228">
        <v>0</v>
      </c>
      <c r="CF18" s="1133">
        <v>0</v>
      </c>
      <c r="CG18" s="1199">
        <v>0</v>
      </c>
      <c r="CH18" s="1255">
        <v>46.520873949579837</v>
      </c>
      <c r="CI18" s="1133">
        <v>37.532927145449833</v>
      </c>
      <c r="CJ18" s="1133">
        <v>222.13902965911367</v>
      </c>
      <c r="CK18" s="1133" t="s">
        <v>16</v>
      </c>
      <c r="CL18" s="1133" t="s">
        <v>16</v>
      </c>
      <c r="CM18" s="1133" t="s">
        <v>16</v>
      </c>
      <c r="CN18" s="1133">
        <v>48</v>
      </c>
      <c r="CO18" s="1133">
        <v>80</v>
      </c>
      <c r="CP18" s="1199">
        <v>3.7108571428571429</v>
      </c>
      <c r="CQ18" s="1133">
        <v>243.09647058823532</v>
      </c>
      <c r="CR18" s="1133">
        <v>30.638042510356573</v>
      </c>
      <c r="CS18" s="1133">
        <v>-3</v>
      </c>
      <c r="CT18" s="1133">
        <v>111.12981512605043</v>
      </c>
      <c r="CU18" s="1133">
        <v>1360</v>
      </c>
      <c r="CV18" s="1199">
        <v>151.26286264300978</v>
      </c>
      <c r="CW18" s="1130"/>
      <c r="CX18" s="1133"/>
      <c r="CY18" s="1199">
        <v>3.1740031232876711</v>
      </c>
      <c r="DA18" s="654">
        <f t="shared" si="0"/>
        <v>0</v>
      </c>
      <c r="DB18" s="387">
        <f t="shared" si="1"/>
        <v>0</v>
      </c>
      <c r="DC18" s="387">
        <f t="shared" si="2"/>
        <v>0</v>
      </c>
      <c r="DD18" s="1227">
        <f t="shared" si="3"/>
        <v>0</v>
      </c>
      <c r="DE18" s="1130">
        <f t="shared" si="4"/>
        <v>0</v>
      </c>
      <c r="DF18" s="1130">
        <f t="shared" si="5"/>
        <v>0</v>
      </c>
      <c r="DG18" s="1257">
        <f t="shared" si="6"/>
        <v>0</v>
      </c>
      <c r="DH18" s="1130">
        <f t="shared" si="7"/>
        <v>0</v>
      </c>
      <c r="DI18" s="1130">
        <f t="shared" si="8"/>
        <v>0</v>
      </c>
      <c r="DJ18" s="1229">
        <f t="shared" si="9"/>
        <v>0</v>
      </c>
      <c r="DK18" s="1255">
        <f t="shared" si="10"/>
        <v>0.5</v>
      </c>
      <c r="DL18" s="1130">
        <f t="shared" si="11"/>
        <v>0</v>
      </c>
      <c r="DM18" s="1133">
        <f t="shared" si="12"/>
        <v>0.88499999999999801</v>
      </c>
      <c r="DN18" s="1256">
        <f t="shared" si="13"/>
        <v>0</v>
      </c>
      <c r="DO18" s="1228">
        <f t="shared" si="14"/>
        <v>70</v>
      </c>
      <c r="DP18" s="1133">
        <f t="shared" si="15"/>
        <v>-54.291685912240183</v>
      </c>
      <c r="DQ18" s="1228">
        <f t="shared" si="16"/>
        <v>-0.80831408775981517</v>
      </c>
      <c r="DR18" s="1228">
        <f t="shared" si="17"/>
        <v>-7.6969271454498305</v>
      </c>
      <c r="DS18" s="1228">
        <f t="shared" si="18"/>
        <v>7.1819621855551183</v>
      </c>
      <c r="DT18" s="1228">
        <f t="shared" si="19"/>
        <v>-2.9870087781028918</v>
      </c>
      <c r="DU18" s="1133">
        <f t="shared" si="20"/>
        <v>130</v>
      </c>
      <c r="DV18" s="1133" t="e">
        <f>#REF!-CB18</f>
        <v>#REF!</v>
      </c>
      <c r="DW18" s="1199">
        <f t="shared" si="21"/>
        <v>-2.0887009704063111</v>
      </c>
      <c r="DX18" s="1228">
        <f t="shared" si="22"/>
        <v>-0.20000000000000018</v>
      </c>
      <c r="DY18" s="1228">
        <f t="shared" si="23"/>
        <v>3.19</v>
      </c>
      <c r="DZ18" s="1133">
        <f t="shared" si="24"/>
        <v>2520</v>
      </c>
      <c r="EA18" s="1199">
        <f t="shared" si="25"/>
        <v>8.0388000000000002</v>
      </c>
      <c r="EB18" s="1255">
        <f t="shared" si="26"/>
        <v>-0.77889075630252336</v>
      </c>
      <c r="EC18" s="1133">
        <f t="shared" si="27"/>
        <v>0.31299122189710715</v>
      </c>
      <c r="ED18" s="1133">
        <f t="shared" si="28"/>
        <v>-7.4590296591136678</v>
      </c>
      <c r="EE18" s="1133" t="e">
        <f t="shared" si="29"/>
        <v>#VALUE!</v>
      </c>
      <c r="EF18" s="1133" t="e">
        <f t="shared" si="30"/>
        <v>#VALUE!</v>
      </c>
      <c r="EG18" s="1133" t="e">
        <f t="shared" si="31"/>
        <v>#VALUE!</v>
      </c>
      <c r="EH18" s="1133">
        <f t="shared" si="32"/>
        <v>19.51400336134455</v>
      </c>
      <c r="EI18" s="1133">
        <f t="shared" si="33"/>
        <v>-80</v>
      </c>
      <c r="EJ18" s="1199">
        <f t="shared" si="34"/>
        <v>-3.7108571428571429</v>
      </c>
      <c r="EK18" s="1133">
        <f t="shared" si="35"/>
        <v>-120.96000000000001</v>
      </c>
      <c r="EL18" s="1133">
        <f t="shared" si="36"/>
        <v>30.342923814680024</v>
      </c>
      <c r="EM18" s="1133">
        <f t="shared" si="37"/>
        <v>0.5147144948755491</v>
      </c>
      <c r="EN18" s="1133">
        <f t="shared" si="40"/>
        <v>-57.066480672268909</v>
      </c>
      <c r="EO18" s="1133">
        <f t="shared" si="41"/>
        <v>730</v>
      </c>
      <c r="EP18" s="1199">
        <f t="shared" si="42"/>
        <v>-38.120405855095953</v>
      </c>
      <c r="EQ18" s="1130">
        <f t="shared" si="43"/>
        <v>0</v>
      </c>
      <c r="ER18" s="1133">
        <f t="shared" si="44"/>
        <v>0</v>
      </c>
      <c r="ES18" s="1199">
        <f t="shared" si="45"/>
        <v>0</v>
      </c>
    </row>
    <row r="19" spans="1:149">
      <c r="A19" s="1592">
        <f>Eingabedaten!A22</f>
        <v>5.01</v>
      </c>
      <c r="B19" s="655" t="str">
        <f>Eingabedaten!C22</f>
        <v>Lebensmittelverkauf</v>
      </c>
      <c r="C19" s="637"/>
      <c r="D19" s="379"/>
      <c r="E19" s="379"/>
      <c r="F19" s="1238"/>
      <c r="G19" s="1129"/>
      <c r="H19" s="1129"/>
      <c r="I19" s="1129"/>
      <c r="J19" s="1129"/>
      <c r="K19" s="1129"/>
      <c r="L19" s="1129"/>
      <c r="M19" s="1129"/>
      <c r="N19" s="1250"/>
      <c r="O19" s="1240">
        <v>3</v>
      </c>
      <c r="P19" s="1131">
        <v>120</v>
      </c>
      <c r="Q19" s="1129">
        <v>4010</v>
      </c>
      <c r="R19" s="1131">
        <v>12.03</v>
      </c>
      <c r="S19" s="1249">
        <v>12.03</v>
      </c>
      <c r="T19" s="1198">
        <v>481.2</v>
      </c>
      <c r="U19" s="1131"/>
      <c r="V19" s="1240">
        <v>70</v>
      </c>
      <c r="W19" s="1834">
        <v>0.89605734767025091</v>
      </c>
      <c r="X19" s="1239"/>
      <c r="Y19" s="1239">
        <v>6.3360000000000003</v>
      </c>
      <c r="Z19" s="1239">
        <v>11</v>
      </c>
      <c r="AA19" s="1239">
        <v>14.946428571428571</v>
      </c>
      <c r="AB19" s="1131">
        <v>4006</v>
      </c>
      <c r="AC19" s="1254">
        <v>59.875392857142856</v>
      </c>
      <c r="AD19" s="1242">
        <v>3.625</v>
      </c>
      <c r="AE19" s="1131">
        <v>4910</v>
      </c>
      <c r="AF19" s="1239">
        <v>3.2987500000000001</v>
      </c>
      <c r="AG19" s="1131">
        <v>3670</v>
      </c>
      <c r="AH19" s="1198">
        <v>12.106412500000001</v>
      </c>
      <c r="AI19" s="1240">
        <v>9.0254117647058827</v>
      </c>
      <c r="AJ19" s="1131">
        <v>28.446428571428569</v>
      </c>
      <c r="AK19" s="1131">
        <v>377.14285714285722</v>
      </c>
      <c r="AL19" s="1131" t="s">
        <v>16</v>
      </c>
      <c r="AM19" s="1131" t="s">
        <v>16</v>
      </c>
      <c r="AN19" s="1131" t="s">
        <v>16</v>
      </c>
      <c r="AO19" s="1131">
        <v>26.230288235294111</v>
      </c>
      <c r="AP19" s="1239">
        <v>0</v>
      </c>
      <c r="AQ19" s="1131">
        <v>155.36591092436976</v>
      </c>
      <c r="AR19" s="1131">
        <v>0</v>
      </c>
      <c r="AS19" s="1243">
        <v>0</v>
      </c>
      <c r="AT19" s="1198">
        <v>0</v>
      </c>
      <c r="AU19" s="1131">
        <v>484.89411764705881</v>
      </c>
      <c r="AV19" s="1131">
        <v>82.492236024844729</v>
      </c>
      <c r="AW19" s="1131">
        <v>-2.162616459627329</v>
      </c>
      <c r="AX19" s="1239">
        <v>35.958070588235294</v>
      </c>
      <c r="AY19" s="1131">
        <v>2410</v>
      </c>
      <c r="AZ19" s="1242">
        <v>1.2318350456621003</v>
      </c>
      <c r="BA19" s="1254">
        <v>86.712530981456084</v>
      </c>
      <c r="BB19" s="1129"/>
      <c r="BC19" s="1131"/>
      <c r="BD19" s="1254">
        <v>2.7231000000000005</v>
      </c>
      <c r="BG19" s="637"/>
      <c r="BH19" s="379"/>
      <c r="BI19" s="379"/>
      <c r="BJ19" s="1238"/>
      <c r="BK19" s="1129"/>
      <c r="BL19" s="1129"/>
      <c r="BM19" s="1129"/>
      <c r="BN19" s="1129"/>
      <c r="BO19" s="1129"/>
      <c r="BP19" s="1250"/>
      <c r="BQ19" s="1240">
        <v>60</v>
      </c>
      <c r="BR19" s="1129">
        <v>3630</v>
      </c>
      <c r="BS19" s="1198">
        <v>217.8</v>
      </c>
      <c r="BT19" s="1242"/>
      <c r="BU19" s="1239"/>
      <c r="BV19" s="1131">
        <v>45.1</v>
      </c>
      <c r="BW19" s="1239">
        <v>0.89605734767025091</v>
      </c>
      <c r="BX19" s="1239">
        <v>9.2793791574279378</v>
      </c>
      <c r="BY19" s="1239">
        <v>12</v>
      </c>
      <c r="BZ19" s="1239">
        <v>21.27937915742794</v>
      </c>
      <c r="CA19" s="1131">
        <v>2670</v>
      </c>
      <c r="CB19" s="1131">
        <v>3260</v>
      </c>
      <c r="CC19" s="1198">
        <v>63.895942350332589</v>
      </c>
      <c r="CD19" s="1239">
        <v>3.75</v>
      </c>
      <c r="CE19" s="1239">
        <v>0</v>
      </c>
      <c r="CF19" s="1131">
        <v>0</v>
      </c>
      <c r="CG19" s="1198">
        <v>0</v>
      </c>
      <c r="CH19" s="1240">
        <v>25.456000000000003</v>
      </c>
      <c r="CI19" s="1131">
        <v>18.079379157427937</v>
      </c>
      <c r="CJ19" s="1131">
        <v>115.01454428368255</v>
      </c>
      <c r="CK19" s="1131" t="s">
        <v>16</v>
      </c>
      <c r="CL19" s="1131" t="s">
        <v>16</v>
      </c>
      <c r="CM19" s="1131" t="s">
        <v>16</v>
      </c>
      <c r="CN19" s="1131">
        <v>28</v>
      </c>
      <c r="CO19" s="1131">
        <v>190</v>
      </c>
      <c r="CP19" s="1198">
        <v>5.395975</v>
      </c>
      <c r="CQ19" s="1131">
        <v>898.00784313725489</v>
      </c>
      <c r="CR19" s="1131">
        <v>43.162206539966462</v>
      </c>
      <c r="CS19" s="1131">
        <v>-3</v>
      </c>
      <c r="CT19" s="1131">
        <v>69.595607843137259</v>
      </c>
      <c r="CU19" s="1131">
        <v>530</v>
      </c>
      <c r="CV19" s="1198">
        <v>36.629110536743916</v>
      </c>
      <c r="CW19" s="1129"/>
      <c r="CX19" s="1131"/>
      <c r="CY19" s="1198">
        <v>2.7231000000000005</v>
      </c>
      <c r="DA19" s="637">
        <f t="shared" si="0"/>
        <v>0</v>
      </c>
      <c r="DB19" s="379">
        <f t="shared" si="1"/>
        <v>0</v>
      </c>
      <c r="DC19" s="379">
        <f t="shared" si="2"/>
        <v>0</v>
      </c>
      <c r="DD19" s="1238">
        <f t="shared" si="3"/>
        <v>0</v>
      </c>
      <c r="DE19" s="1129">
        <f t="shared" si="4"/>
        <v>0</v>
      </c>
      <c r="DF19" s="1129">
        <f t="shared" si="5"/>
        <v>0</v>
      </c>
      <c r="DG19" s="1129">
        <f t="shared" si="6"/>
        <v>0</v>
      </c>
      <c r="DH19" s="1129">
        <f t="shared" si="7"/>
        <v>0</v>
      </c>
      <c r="DI19" s="1129">
        <f t="shared" si="8"/>
        <v>0</v>
      </c>
      <c r="DJ19" s="1250">
        <f t="shared" si="9"/>
        <v>0</v>
      </c>
      <c r="DK19" s="1240">
        <f t="shared" si="10"/>
        <v>-57</v>
      </c>
      <c r="DL19" s="1129">
        <f t="shared" si="11"/>
        <v>380</v>
      </c>
      <c r="DM19" s="1198">
        <f t="shared" si="12"/>
        <v>-205.77</v>
      </c>
      <c r="DN19" s="1242">
        <f t="shared" si="13"/>
        <v>0</v>
      </c>
      <c r="DO19" s="1239">
        <f t="shared" si="14"/>
        <v>70</v>
      </c>
      <c r="DP19" s="1131">
        <f t="shared" si="15"/>
        <v>-44.203942652329751</v>
      </c>
      <c r="DQ19" s="1239">
        <f t="shared" si="16"/>
        <v>-0.89605734767025091</v>
      </c>
      <c r="DR19" s="1239">
        <f t="shared" si="17"/>
        <v>-2.9433791574279375</v>
      </c>
      <c r="DS19" s="1239">
        <f t="shared" si="18"/>
        <v>-1</v>
      </c>
      <c r="DT19" s="1239">
        <f t="shared" si="19"/>
        <v>-6.3329505859993684</v>
      </c>
      <c r="DU19" s="1131">
        <f t="shared" si="20"/>
        <v>1336</v>
      </c>
      <c r="DV19" s="1131" t="e">
        <f>#REF!-CB19</f>
        <v>#REF!</v>
      </c>
      <c r="DW19" s="1198">
        <f t="shared" si="21"/>
        <v>-4.0205494931897334</v>
      </c>
      <c r="DX19" s="1239">
        <f t="shared" si="22"/>
        <v>-0.125</v>
      </c>
      <c r="DY19" s="1239">
        <f t="shared" si="23"/>
        <v>3.2987500000000001</v>
      </c>
      <c r="DZ19" s="1131">
        <f t="shared" si="24"/>
        <v>3670</v>
      </c>
      <c r="EA19" s="1198">
        <f t="shared" si="25"/>
        <v>12.106412500000001</v>
      </c>
      <c r="EB19" s="1240">
        <f t="shared" si="26"/>
        <v>-16.43058823529412</v>
      </c>
      <c r="EC19" s="1131">
        <f t="shared" si="27"/>
        <v>10.367049414000633</v>
      </c>
      <c r="ED19" s="1131">
        <f t="shared" si="28"/>
        <v>262.12831285917468</v>
      </c>
      <c r="EE19" s="1131" t="e">
        <f t="shared" si="29"/>
        <v>#VALUE!</v>
      </c>
      <c r="EF19" s="1131" t="e">
        <f t="shared" si="30"/>
        <v>#VALUE!</v>
      </c>
      <c r="EG19" s="1131" t="e">
        <f t="shared" si="31"/>
        <v>#VALUE!</v>
      </c>
      <c r="EH19" s="1131">
        <f t="shared" si="32"/>
        <v>127.36591092436976</v>
      </c>
      <c r="EI19" s="1131">
        <f t="shared" si="33"/>
        <v>-190</v>
      </c>
      <c r="EJ19" s="1198">
        <f t="shared" si="34"/>
        <v>-5.395975</v>
      </c>
      <c r="EK19" s="1131">
        <f t="shared" si="35"/>
        <v>-413.11372549019609</v>
      </c>
      <c r="EL19" s="1131">
        <f t="shared" si="36"/>
        <v>39.330029484878267</v>
      </c>
      <c r="EM19" s="1131">
        <f t="shared" si="37"/>
        <v>0.83738354037267104</v>
      </c>
      <c r="EN19" s="1131">
        <f t="shared" si="40"/>
        <v>-33.637537254901964</v>
      </c>
      <c r="EO19" s="1131">
        <f t="shared" si="41"/>
        <v>1880</v>
      </c>
      <c r="EP19" s="1198">
        <f t="shared" si="42"/>
        <v>50.083420444712168</v>
      </c>
      <c r="EQ19" s="1129">
        <f t="shared" si="43"/>
        <v>0</v>
      </c>
      <c r="ER19" s="1131">
        <f t="shared" si="44"/>
        <v>0</v>
      </c>
      <c r="ES19" s="1198">
        <f t="shared" si="45"/>
        <v>0</v>
      </c>
    </row>
    <row r="20" spans="1:149">
      <c r="A20" s="633">
        <f>Eingabedaten!A23</f>
        <v>5.0199999999999996</v>
      </c>
      <c r="B20" s="463" t="str">
        <f>Eingabedaten!C23</f>
        <v>Fachgeschäft</v>
      </c>
      <c r="C20" s="637"/>
      <c r="D20" s="379"/>
      <c r="E20" s="379"/>
      <c r="F20" s="1238"/>
      <c r="G20" s="1129"/>
      <c r="H20" s="1129"/>
      <c r="I20" s="1129"/>
      <c r="J20" s="1129"/>
      <c r="K20" s="1129"/>
      <c r="L20" s="1129"/>
      <c r="M20" s="1129"/>
      <c r="N20" s="1237"/>
      <c r="O20" s="1240">
        <v>3</v>
      </c>
      <c r="P20" s="1131">
        <v>0</v>
      </c>
      <c r="Q20" s="1129">
        <v>3630</v>
      </c>
      <c r="R20" s="1131">
        <v>10.89</v>
      </c>
      <c r="S20" s="1239">
        <v>10.89</v>
      </c>
      <c r="T20" s="1131">
        <v>0</v>
      </c>
      <c r="U20" s="1240"/>
      <c r="V20" s="1240">
        <v>70</v>
      </c>
      <c r="W20" s="1834">
        <v>0.89605734767025091</v>
      </c>
      <c r="X20" s="1239"/>
      <c r="Y20" s="1239">
        <v>6.3360000000000003</v>
      </c>
      <c r="Z20" s="1239">
        <v>11</v>
      </c>
      <c r="AA20" s="1239">
        <v>14.946428571428571</v>
      </c>
      <c r="AB20" s="1131">
        <v>4006</v>
      </c>
      <c r="AC20" s="1243">
        <v>59.875392857142856</v>
      </c>
      <c r="AD20" s="1242">
        <v>3.625</v>
      </c>
      <c r="AE20" s="1131">
        <v>4910</v>
      </c>
      <c r="AF20" s="1239">
        <v>3.2987500000000001</v>
      </c>
      <c r="AG20" s="1131">
        <v>3670</v>
      </c>
      <c r="AH20" s="1197">
        <v>12.106412500000001</v>
      </c>
      <c r="AI20" s="1240">
        <v>9.0254117647058827</v>
      </c>
      <c r="AJ20" s="1131">
        <v>28.446428571428569</v>
      </c>
      <c r="AK20" s="1131">
        <v>373.84285714285721</v>
      </c>
      <c r="AL20" s="1131" t="s">
        <v>16</v>
      </c>
      <c r="AM20" s="1131" t="s">
        <v>16</v>
      </c>
      <c r="AN20" s="1131" t="s">
        <v>16</v>
      </c>
      <c r="AO20" s="1131">
        <v>26.230288235294111</v>
      </c>
      <c r="AP20" s="1239">
        <v>0</v>
      </c>
      <c r="AQ20" s="1131">
        <v>35.36591092436975</v>
      </c>
      <c r="AR20" s="1131">
        <v>0</v>
      </c>
      <c r="AS20" s="1243">
        <v>0</v>
      </c>
      <c r="AT20" s="1197">
        <v>0</v>
      </c>
      <c r="AU20" s="1131">
        <v>484.89411764705881</v>
      </c>
      <c r="AV20" s="1131">
        <v>82.492236024844729</v>
      </c>
      <c r="AW20" s="1131">
        <v>-2.162616459627329</v>
      </c>
      <c r="AX20" s="1239">
        <v>35.958070588235294</v>
      </c>
      <c r="AY20" s="1131">
        <v>2440</v>
      </c>
      <c r="AZ20" s="1242">
        <v>1.2318350456621003</v>
      </c>
      <c r="BA20" s="1243">
        <v>87.674473937548285</v>
      </c>
      <c r="BB20" s="1129"/>
      <c r="BC20" s="1131"/>
      <c r="BD20" s="1243">
        <v>2.7231000000000005</v>
      </c>
      <c r="BG20" s="637"/>
      <c r="BH20" s="379"/>
      <c r="BI20" s="379"/>
      <c r="BJ20" s="1238"/>
      <c r="BK20" s="1129"/>
      <c r="BL20" s="1129"/>
      <c r="BM20" s="1129"/>
      <c r="BN20" s="1129"/>
      <c r="BO20" s="1129"/>
      <c r="BP20" s="1237"/>
      <c r="BQ20" s="1240">
        <v>3</v>
      </c>
      <c r="BR20" s="1129">
        <v>3630</v>
      </c>
      <c r="BS20" s="1131">
        <v>10.89</v>
      </c>
      <c r="BT20" s="1241"/>
      <c r="BU20" s="1239"/>
      <c r="BV20" s="1131">
        <v>45.1</v>
      </c>
      <c r="BW20" s="1239">
        <v>0.89605734767025091</v>
      </c>
      <c r="BX20" s="1239">
        <v>9.2793791574279378</v>
      </c>
      <c r="BY20" s="1239">
        <v>24</v>
      </c>
      <c r="BZ20" s="1239">
        <v>33.27937915742794</v>
      </c>
      <c r="CA20" s="1131">
        <v>2670</v>
      </c>
      <c r="CB20" s="1131">
        <v>3260</v>
      </c>
      <c r="CC20" s="1197">
        <v>103.01594235033259</v>
      </c>
      <c r="CD20" s="1239">
        <v>3.75</v>
      </c>
      <c r="CE20" s="1239">
        <v>0</v>
      </c>
      <c r="CF20" s="1131">
        <v>0</v>
      </c>
      <c r="CG20" s="1197">
        <v>0</v>
      </c>
      <c r="CH20" s="1240">
        <v>25.456000000000003</v>
      </c>
      <c r="CI20" s="1131">
        <v>45.079379157427937</v>
      </c>
      <c r="CJ20" s="1131">
        <v>482.51454428368254</v>
      </c>
      <c r="CK20" s="1131" t="s">
        <v>16</v>
      </c>
      <c r="CL20" s="1131" t="s">
        <v>16</v>
      </c>
      <c r="CM20" s="1131" t="s">
        <v>16</v>
      </c>
      <c r="CN20" s="1131">
        <v>46</v>
      </c>
      <c r="CO20" s="1131">
        <v>790</v>
      </c>
      <c r="CP20" s="1197">
        <v>36.260275</v>
      </c>
      <c r="CQ20" s="1131">
        <v>898.00784313725489</v>
      </c>
      <c r="CR20" s="1131">
        <v>43.162206539966462</v>
      </c>
      <c r="CS20" s="1131">
        <v>-3</v>
      </c>
      <c r="CT20" s="1131">
        <v>69.595607843137259</v>
      </c>
      <c r="CU20" s="1131">
        <v>1020</v>
      </c>
      <c r="CV20" s="1197">
        <v>71.055317211559327</v>
      </c>
      <c r="CW20" s="1129"/>
      <c r="CX20" s="1131"/>
      <c r="CY20" s="1197">
        <v>2.7231000000000005</v>
      </c>
      <c r="DA20" s="637">
        <f t="shared" si="0"/>
        <v>0</v>
      </c>
      <c r="DB20" s="379">
        <f t="shared" si="1"/>
        <v>0</v>
      </c>
      <c r="DC20" s="379">
        <f t="shared" si="2"/>
        <v>0</v>
      </c>
      <c r="DD20" s="1238">
        <f t="shared" si="3"/>
        <v>0</v>
      </c>
      <c r="DE20" s="1129">
        <f t="shared" si="4"/>
        <v>0</v>
      </c>
      <c r="DF20" s="1129">
        <f t="shared" si="5"/>
        <v>0</v>
      </c>
      <c r="DG20" s="1129">
        <f t="shared" si="6"/>
        <v>0</v>
      </c>
      <c r="DH20" s="1129">
        <f t="shared" si="7"/>
        <v>0</v>
      </c>
      <c r="DI20" s="1129">
        <f t="shared" si="8"/>
        <v>0</v>
      </c>
      <c r="DJ20" s="1237">
        <f t="shared" si="9"/>
        <v>0</v>
      </c>
      <c r="DK20" s="1240">
        <f t="shared" si="10"/>
        <v>0</v>
      </c>
      <c r="DL20" s="1129">
        <f t="shared" si="11"/>
        <v>0</v>
      </c>
      <c r="DM20" s="1131">
        <f t="shared" si="12"/>
        <v>0</v>
      </c>
      <c r="DN20" s="1241">
        <f t="shared" si="13"/>
        <v>0</v>
      </c>
      <c r="DO20" s="1239">
        <f t="shared" si="14"/>
        <v>70</v>
      </c>
      <c r="DP20" s="1131">
        <f t="shared" si="15"/>
        <v>-44.203942652329751</v>
      </c>
      <c r="DQ20" s="1239">
        <f t="shared" si="16"/>
        <v>-0.89605734767025091</v>
      </c>
      <c r="DR20" s="1239">
        <f t="shared" si="17"/>
        <v>-2.9433791574279375</v>
      </c>
      <c r="DS20" s="1239">
        <f t="shared" si="18"/>
        <v>-13</v>
      </c>
      <c r="DT20" s="1239">
        <f t="shared" si="19"/>
        <v>-18.33295058599937</v>
      </c>
      <c r="DU20" s="1131">
        <f t="shared" si="20"/>
        <v>1336</v>
      </c>
      <c r="DV20" s="1131" t="e">
        <f>#REF!-CB20</f>
        <v>#REF!</v>
      </c>
      <c r="DW20" s="1197">
        <f t="shared" si="21"/>
        <v>-43.140549493189738</v>
      </c>
      <c r="DX20" s="1239">
        <f t="shared" si="22"/>
        <v>-0.125</v>
      </c>
      <c r="DY20" s="1239">
        <f t="shared" si="23"/>
        <v>3.2987500000000001</v>
      </c>
      <c r="DZ20" s="1131">
        <f t="shared" si="24"/>
        <v>3670</v>
      </c>
      <c r="EA20" s="1197">
        <f t="shared" si="25"/>
        <v>12.106412500000001</v>
      </c>
      <c r="EB20" s="1240">
        <f t="shared" si="26"/>
        <v>-16.43058823529412</v>
      </c>
      <c r="EC20" s="1131">
        <f t="shared" si="27"/>
        <v>-16.632950585999367</v>
      </c>
      <c r="ED20" s="1131">
        <f t="shared" si="28"/>
        <v>-108.67168714082533</v>
      </c>
      <c r="EE20" s="1131" t="e">
        <f t="shared" si="29"/>
        <v>#VALUE!</v>
      </c>
      <c r="EF20" s="1131" t="e">
        <f t="shared" si="30"/>
        <v>#VALUE!</v>
      </c>
      <c r="EG20" s="1131" t="e">
        <f t="shared" si="31"/>
        <v>#VALUE!</v>
      </c>
      <c r="EH20" s="1131">
        <f t="shared" si="32"/>
        <v>-10.63408907563025</v>
      </c>
      <c r="EI20" s="1131">
        <f t="shared" si="33"/>
        <v>-790</v>
      </c>
      <c r="EJ20" s="1197">
        <f t="shared" si="34"/>
        <v>-36.260275</v>
      </c>
      <c r="EK20" s="1131">
        <f t="shared" si="35"/>
        <v>-413.11372549019609</v>
      </c>
      <c r="EL20" s="1131">
        <f t="shared" si="36"/>
        <v>39.330029484878267</v>
      </c>
      <c r="EM20" s="1131">
        <f t="shared" si="37"/>
        <v>0.83738354037267104</v>
      </c>
      <c r="EN20" s="1131">
        <f t="shared" si="40"/>
        <v>-33.637537254901964</v>
      </c>
      <c r="EO20" s="1131">
        <f t="shared" si="41"/>
        <v>1420</v>
      </c>
      <c r="EP20" s="1197">
        <f t="shared" si="42"/>
        <v>16.619156725988958</v>
      </c>
      <c r="EQ20" s="1129">
        <f t="shared" si="43"/>
        <v>0</v>
      </c>
      <c r="ER20" s="1131">
        <f t="shared" si="44"/>
        <v>0</v>
      </c>
      <c r="ES20" s="1197">
        <f t="shared" si="45"/>
        <v>0</v>
      </c>
    </row>
    <row r="21" spans="1:149">
      <c r="A21" s="634">
        <f>Eingabedaten!A24</f>
        <v>5.03</v>
      </c>
      <c r="B21" s="463" t="str">
        <f>Eingabedaten!C24</f>
        <v>Verkauf Möbel, Bau, Garten</v>
      </c>
      <c r="C21" s="637"/>
      <c r="D21" s="379"/>
      <c r="E21" s="379"/>
      <c r="F21" s="1238"/>
      <c r="G21" s="1129"/>
      <c r="H21" s="1129"/>
      <c r="I21" s="1129"/>
      <c r="J21" s="1129"/>
      <c r="K21" s="1129"/>
      <c r="L21" s="1129"/>
      <c r="M21" s="1129"/>
      <c r="N21" s="1237"/>
      <c r="O21" s="1240">
        <v>3</v>
      </c>
      <c r="P21" s="1131">
        <v>0</v>
      </c>
      <c r="Q21" s="1129">
        <v>3410</v>
      </c>
      <c r="R21" s="1131">
        <v>10.23</v>
      </c>
      <c r="S21" s="1239">
        <v>10.23</v>
      </c>
      <c r="T21" s="1131">
        <v>0</v>
      </c>
      <c r="U21" s="1240"/>
      <c r="V21" s="1240">
        <v>70</v>
      </c>
      <c r="W21" s="1834">
        <v>0.89605734767025091</v>
      </c>
      <c r="X21" s="1239"/>
      <c r="Y21" s="1239">
        <v>6.3360000000000003</v>
      </c>
      <c r="Z21" s="1239">
        <v>11</v>
      </c>
      <c r="AA21" s="1239">
        <v>11.957142857142857</v>
      </c>
      <c r="AB21" s="1131">
        <v>4006</v>
      </c>
      <c r="AC21" s="1243">
        <v>47.900314285714288</v>
      </c>
      <c r="AD21" s="1242">
        <v>1.9333333333333333</v>
      </c>
      <c r="AE21" s="1131">
        <v>6260</v>
      </c>
      <c r="AF21" s="1239">
        <v>1.7593333333333334</v>
      </c>
      <c r="AG21" s="1131">
        <v>6260</v>
      </c>
      <c r="AH21" s="1197">
        <v>11.013426666666666</v>
      </c>
      <c r="AI21" s="1240">
        <v>7.4014117647058821</v>
      </c>
      <c r="AJ21" s="1131">
        <v>20.557142857142857</v>
      </c>
      <c r="AK21" s="1131">
        <v>280.19428571428568</v>
      </c>
      <c r="AL21" s="1131" t="s">
        <v>16</v>
      </c>
      <c r="AM21" s="1131" t="s">
        <v>16</v>
      </c>
      <c r="AN21" s="1131" t="s">
        <v>16</v>
      </c>
      <c r="AO21" s="1131">
        <v>19.570988235294116</v>
      </c>
      <c r="AP21" s="1131">
        <v>0</v>
      </c>
      <c r="AQ21" s="1131">
        <v>26.231558543417368</v>
      </c>
      <c r="AR21" s="1131">
        <v>0</v>
      </c>
      <c r="AS21" s="1197">
        <v>0</v>
      </c>
      <c r="AT21" s="1197">
        <v>0</v>
      </c>
      <c r="AU21" s="1131">
        <v>484.89411764705881</v>
      </c>
      <c r="AV21" s="1131">
        <v>82.492236024844729</v>
      </c>
      <c r="AW21" s="1131">
        <v>-2.162616459627329</v>
      </c>
      <c r="AX21" s="1239">
        <v>35.958070588235294</v>
      </c>
      <c r="AY21" s="1131">
        <v>2560</v>
      </c>
      <c r="AZ21" s="1242">
        <v>0.88359969558599682</v>
      </c>
      <c r="BA21" s="1243">
        <v>92.225568513684308</v>
      </c>
      <c r="BB21" s="1129"/>
      <c r="BC21" s="1131"/>
      <c r="BD21" s="1243">
        <v>1.4523200000000003</v>
      </c>
      <c r="BG21" s="637"/>
      <c r="BH21" s="379"/>
      <c r="BI21" s="379"/>
      <c r="BJ21" s="1238"/>
      <c r="BK21" s="1129"/>
      <c r="BL21" s="1129"/>
      <c r="BM21" s="1129"/>
      <c r="BN21" s="1129"/>
      <c r="BO21" s="1129"/>
      <c r="BP21" s="1237"/>
      <c r="BQ21" s="1240">
        <v>3</v>
      </c>
      <c r="BR21" s="1129">
        <v>3410</v>
      </c>
      <c r="BS21" s="1131">
        <v>10.23</v>
      </c>
      <c r="BT21" s="1241"/>
      <c r="BU21" s="1239"/>
      <c r="BV21" s="1131">
        <v>45.1</v>
      </c>
      <c r="BW21" s="1239">
        <v>0.89605734767025091</v>
      </c>
      <c r="BX21" s="1239">
        <v>9.2793791574279378</v>
      </c>
      <c r="BY21" s="1239">
        <v>12</v>
      </c>
      <c r="BZ21" s="1239">
        <v>21.27937915742794</v>
      </c>
      <c r="CA21" s="1131">
        <v>2420</v>
      </c>
      <c r="CB21" s="1131">
        <v>3000</v>
      </c>
      <c r="CC21" s="1197">
        <v>58.456097560975607</v>
      </c>
      <c r="CD21" s="1239">
        <v>2</v>
      </c>
      <c r="CE21" s="1239">
        <v>0</v>
      </c>
      <c r="CF21" s="1131">
        <v>0</v>
      </c>
      <c r="CG21" s="1197">
        <v>0</v>
      </c>
      <c r="CH21" s="1240">
        <v>22.096000000000004</v>
      </c>
      <c r="CI21" s="1131">
        <v>28.979379157427939</v>
      </c>
      <c r="CJ21" s="1131">
        <v>282.87454428368255</v>
      </c>
      <c r="CK21" s="1131" t="s">
        <v>16</v>
      </c>
      <c r="CL21" s="1131" t="s">
        <v>16</v>
      </c>
      <c r="CM21" s="1131" t="s">
        <v>16</v>
      </c>
      <c r="CN21" s="1131">
        <v>32</v>
      </c>
      <c r="CO21" s="1131">
        <v>480</v>
      </c>
      <c r="CP21" s="1197">
        <v>15.251025</v>
      </c>
      <c r="CQ21" s="1131">
        <v>674.00784313725489</v>
      </c>
      <c r="CR21" s="1131">
        <v>57.506749208713465</v>
      </c>
      <c r="CS21" s="1131">
        <v>-2</v>
      </c>
      <c r="CT21" s="1131">
        <v>50.550588235294114</v>
      </c>
      <c r="CU21" s="1131">
        <v>1320</v>
      </c>
      <c r="CV21" s="1197">
        <v>66.478029531274998</v>
      </c>
      <c r="CW21" s="1129"/>
      <c r="CX21" s="1131"/>
      <c r="CY21" s="1197">
        <v>1.4523200000000003</v>
      </c>
      <c r="DA21" s="637">
        <f t="shared" si="0"/>
        <v>0</v>
      </c>
      <c r="DB21" s="379">
        <f t="shared" si="1"/>
        <v>0</v>
      </c>
      <c r="DC21" s="379">
        <f t="shared" si="2"/>
        <v>0</v>
      </c>
      <c r="DD21" s="1238">
        <f t="shared" si="3"/>
        <v>0</v>
      </c>
      <c r="DE21" s="1129">
        <f t="shared" si="4"/>
        <v>0</v>
      </c>
      <c r="DF21" s="1129">
        <f t="shared" si="5"/>
        <v>0</v>
      </c>
      <c r="DG21" s="1129">
        <f t="shared" si="6"/>
        <v>0</v>
      </c>
      <c r="DH21" s="1129">
        <f t="shared" si="7"/>
        <v>0</v>
      </c>
      <c r="DI21" s="1129">
        <f t="shared" si="8"/>
        <v>0</v>
      </c>
      <c r="DJ21" s="1237">
        <f t="shared" si="9"/>
        <v>0</v>
      </c>
      <c r="DK21" s="1240">
        <f t="shared" si="10"/>
        <v>0</v>
      </c>
      <c r="DL21" s="1129">
        <f t="shared" si="11"/>
        <v>0</v>
      </c>
      <c r="DM21" s="1131">
        <f t="shared" si="12"/>
        <v>0</v>
      </c>
      <c r="DN21" s="1241">
        <f t="shared" si="13"/>
        <v>0</v>
      </c>
      <c r="DO21" s="1239">
        <f t="shared" si="14"/>
        <v>70</v>
      </c>
      <c r="DP21" s="1131">
        <f t="shared" si="15"/>
        <v>-44.203942652329751</v>
      </c>
      <c r="DQ21" s="1239">
        <f t="shared" si="16"/>
        <v>-0.89605734767025091</v>
      </c>
      <c r="DR21" s="1239">
        <f t="shared" si="17"/>
        <v>-2.9433791574279375</v>
      </c>
      <c r="DS21" s="1239">
        <f t="shared" si="18"/>
        <v>-1</v>
      </c>
      <c r="DT21" s="1239">
        <f t="shared" si="19"/>
        <v>-9.3222363002850823</v>
      </c>
      <c r="DU21" s="1131">
        <f t="shared" si="20"/>
        <v>1586</v>
      </c>
      <c r="DV21" s="1131" t="e">
        <f>#REF!-CB21</f>
        <v>#REF!</v>
      </c>
      <c r="DW21" s="1197">
        <f t="shared" si="21"/>
        <v>-10.555783275261319</v>
      </c>
      <c r="DX21" s="1239">
        <f t="shared" si="22"/>
        <v>-6.6666666666666652E-2</v>
      </c>
      <c r="DY21" s="1239">
        <f t="shared" si="23"/>
        <v>1.7593333333333334</v>
      </c>
      <c r="DZ21" s="1131">
        <f t="shared" si="24"/>
        <v>6260</v>
      </c>
      <c r="EA21" s="1197">
        <f t="shared" si="25"/>
        <v>11.013426666666666</v>
      </c>
      <c r="EB21" s="1240">
        <f t="shared" si="26"/>
        <v>-14.694588235294122</v>
      </c>
      <c r="EC21" s="1131">
        <f t="shared" si="27"/>
        <v>-8.422236300285082</v>
      </c>
      <c r="ED21" s="1131">
        <f t="shared" si="28"/>
        <v>-2.6802585693968695</v>
      </c>
      <c r="EE21" s="1131" t="e">
        <f t="shared" si="29"/>
        <v>#VALUE!</v>
      </c>
      <c r="EF21" s="1131" t="e">
        <f t="shared" si="30"/>
        <v>#VALUE!</v>
      </c>
      <c r="EG21" s="1131" t="e">
        <f t="shared" si="31"/>
        <v>#VALUE!</v>
      </c>
      <c r="EH21" s="1131">
        <f t="shared" si="32"/>
        <v>-5.7684414565826323</v>
      </c>
      <c r="EI21" s="1131">
        <f t="shared" si="33"/>
        <v>-480</v>
      </c>
      <c r="EJ21" s="1197">
        <f t="shared" si="34"/>
        <v>-15.251025</v>
      </c>
      <c r="EK21" s="1131">
        <f t="shared" si="35"/>
        <v>-189.11372549019609</v>
      </c>
      <c r="EL21" s="1131">
        <f t="shared" si="36"/>
        <v>24.985486816131264</v>
      </c>
      <c r="EM21" s="1131">
        <f t="shared" si="37"/>
        <v>-0.16261645962732896</v>
      </c>
      <c r="EN21" s="1131">
        <f t="shared" si="40"/>
        <v>-14.59251764705882</v>
      </c>
      <c r="EO21" s="1131">
        <f t="shared" si="41"/>
        <v>1240</v>
      </c>
      <c r="EP21" s="1197">
        <f t="shared" si="42"/>
        <v>25.74753898240931</v>
      </c>
      <c r="EQ21" s="1129">
        <f t="shared" si="43"/>
        <v>0</v>
      </c>
      <c r="ER21" s="1131">
        <f t="shared" si="44"/>
        <v>0</v>
      </c>
      <c r="ES21" s="1197">
        <f t="shared" si="45"/>
        <v>0</v>
      </c>
    </row>
    <row r="22" spans="1:149">
      <c r="A22" s="1472">
        <f>Eingabedaten!A25</f>
        <v>6.01</v>
      </c>
      <c r="B22" s="388" t="str">
        <f>Eingabedaten!C25</f>
        <v>Restaurant</v>
      </c>
      <c r="C22" s="653"/>
      <c r="D22" s="386"/>
      <c r="E22" s="386"/>
      <c r="F22" s="1247"/>
      <c r="G22" s="1248"/>
      <c r="H22" s="1248"/>
      <c r="I22" s="1248"/>
      <c r="J22" s="1248"/>
      <c r="K22" s="1248"/>
      <c r="L22" s="1248"/>
      <c r="M22" s="1248"/>
      <c r="N22" s="1250"/>
      <c r="O22" s="1251">
        <v>3</v>
      </c>
      <c r="P22" s="1132">
        <v>0</v>
      </c>
      <c r="Q22" s="1248">
        <v>2250</v>
      </c>
      <c r="R22" s="1132">
        <v>6.75</v>
      </c>
      <c r="S22" s="1249">
        <v>6.75</v>
      </c>
      <c r="T22" s="1132">
        <v>0</v>
      </c>
      <c r="U22" s="1251"/>
      <c r="V22" s="1251">
        <v>70</v>
      </c>
      <c r="W22" s="1835">
        <v>0.90909090909090917</v>
      </c>
      <c r="X22" s="1249"/>
      <c r="Y22" s="1249">
        <v>6.3360000000000003</v>
      </c>
      <c r="Z22" s="1249">
        <v>8.2314579927708156</v>
      </c>
      <c r="AA22" s="1249">
        <v>5.8928571428571423</v>
      </c>
      <c r="AB22" s="1132">
        <v>2627</v>
      </c>
      <c r="AC22" s="1254">
        <v>15.480535714285713</v>
      </c>
      <c r="AD22" s="1253">
        <v>14.5</v>
      </c>
      <c r="AE22" s="1132">
        <v>4700</v>
      </c>
      <c r="AF22" s="1249">
        <v>13.195</v>
      </c>
      <c r="AG22" s="1132">
        <v>3270</v>
      </c>
      <c r="AH22" s="1198">
        <v>43.147649999999999</v>
      </c>
      <c r="AI22" s="1251">
        <v>35.989647058823529</v>
      </c>
      <c r="AJ22" s="1132">
        <v>50.892857142857139</v>
      </c>
      <c r="AK22" s="1132">
        <v>261.87857142857143</v>
      </c>
      <c r="AL22" s="1132" t="s">
        <v>16</v>
      </c>
      <c r="AM22" s="1132" t="s">
        <v>16</v>
      </c>
      <c r="AN22" s="1132" t="s">
        <v>16</v>
      </c>
      <c r="AO22" s="1132">
        <v>60.817752941176458</v>
      </c>
      <c r="AP22" s="1132">
        <v>0</v>
      </c>
      <c r="AQ22" s="1132">
        <v>65.035835294117646</v>
      </c>
      <c r="AR22" s="1132">
        <v>0</v>
      </c>
      <c r="AS22" s="1198">
        <v>0</v>
      </c>
      <c r="AT22" s="1198">
        <v>0</v>
      </c>
      <c r="AU22" s="1132">
        <v>212.29552941176473</v>
      </c>
      <c r="AV22" s="1132">
        <v>68.508272596690958</v>
      </c>
      <c r="AW22" s="1132">
        <v>-2.3723759110496356</v>
      </c>
      <c r="AX22" s="1249">
        <v>45.514356862745103</v>
      </c>
      <c r="AY22" s="1132">
        <v>3870</v>
      </c>
      <c r="AZ22" s="1253">
        <v>4.1093607305936075</v>
      </c>
      <c r="BA22" s="1254">
        <v>175.95861732252044</v>
      </c>
      <c r="BB22" s="1248"/>
      <c r="BC22" s="1132"/>
      <c r="BD22" s="1254">
        <v>108.92400000000002</v>
      </c>
      <c r="BG22" s="653"/>
      <c r="BH22" s="386"/>
      <c r="BI22" s="386"/>
      <c r="BJ22" s="1247"/>
      <c r="BK22" s="1248"/>
      <c r="BL22" s="1248"/>
      <c r="BM22" s="1248"/>
      <c r="BN22" s="1248"/>
      <c r="BO22" s="1248"/>
      <c r="BP22" s="1250"/>
      <c r="BQ22" s="1251">
        <v>3</v>
      </c>
      <c r="BR22" s="1248">
        <v>2250</v>
      </c>
      <c r="BS22" s="1132">
        <v>6.75</v>
      </c>
      <c r="BT22" s="1252"/>
      <c r="BU22" s="1249"/>
      <c r="BV22" s="1132">
        <v>40.099999999999994</v>
      </c>
      <c r="BW22" s="1249">
        <v>0.90909090909090917</v>
      </c>
      <c r="BX22" s="1249">
        <v>6.8578553615960098</v>
      </c>
      <c r="BY22" s="1249">
        <v>0</v>
      </c>
      <c r="BZ22" s="1249">
        <v>6.8578553615960098</v>
      </c>
      <c r="CA22" s="1132">
        <v>2430</v>
      </c>
      <c r="CB22" s="1132">
        <v>0</v>
      </c>
      <c r="CC22" s="1198">
        <v>16.664588528678305</v>
      </c>
      <c r="CD22" s="1249">
        <v>18</v>
      </c>
      <c r="CE22" s="1249">
        <v>16.38</v>
      </c>
      <c r="CF22" s="1132">
        <v>1740</v>
      </c>
      <c r="CG22" s="1198">
        <v>28.501199999999997</v>
      </c>
      <c r="CH22" s="1251">
        <v>39.956000000000003</v>
      </c>
      <c r="CI22" s="1132">
        <v>44.857855361596009</v>
      </c>
      <c r="CJ22" s="1132">
        <v>248.55634932444843</v>
      </c>
      <c r="CK22" s="1132" t="s">
        <v>16</v>
      </c>
      <c r="CL22" s="1132" t="s">
        <v>16</v>
      </c>
      <c r="CM22" s="1132" t="s">
        <v>16</v>
      </c>
      <c r="CN22" s="1132">
        <v>41</v>
      </c>
      <c r="CO22" s="1132">
        <v>60</v>
      </c>
      <c r="CP22" s="1198">
        <v>2.5955555555555554</v>
      </c>
      <c r="CQ22" s="1132">
        <v>599.36752941176474</v>
      </c>
      <c r="CR22" s="1132">
        <v>24.265578774802613</v>
      </c>
      <c r="CS22" s="1132">
        <v>-3</v>
      </c>
      <c r="CT22" s="1132">
        <v>133.1927843137255</v>
      </c>
      <c r="CU22" s="1132">
        <v>1330</v>
      </c>
      <c r="CV22" s="1198">
        <v>177.04641462894276</v>
      </c>
      <c r="CW22" s="1248"/>
      <c r="CX22" s="1132"/>
      <c r="CY22" s="1198">
        <v>108.92400000000002</v>
      </c>
      <c r="DA22" s="653">
        <f t="shared" si="0"/>
        <v>0</v>
      </c>
      <c r="DB22" s="386">
        <f t="shared" si="1"/>
        <v>0</v>
      </c>
      <c r="DC22" s="386">
        <f t="shared" si="2"/>
        <v>0</v>
      </c>
      <c r="DD22" s="1247">
        <f t="shared" si="3"/>
        <v>0</v>
      </c>
      <c r="DE22" s="1248">
        <f t="shared" si="4"/>
        <v>0</v>
      </c>
      <c r="DF22" s="1248">
        <f t="shared" si="5"/>
        <v>0</v>
      </c>
      <c r="DG22" s="1248">
        <f t="shared" si="6"/>
        <v>0</v>
      </c>
      <c r="DH22" s="1248">
        <f t="shared" si="7"/>
        <v>0</v>
      </c>
      <c r="DI22" s="1248">
        <f t="shared" si="8"/>
        <v>0</v>
      </c>
      <c r="DJ22" s="1250">
        <f t="shared" si="9"/>
        <v>0</v>
      </c>
      <c r="DK22" s="1251">
        <f t="shared" si="10"/>
        <v>0</v>
      </c>
      <c r="DL22" s="1248">
        <f t="shared" si="11"/>
        <v>0</v>
      </c>
      <c r="DM22" s="1132">
        <f t="shared" si="12"/>
        <v>0</v>
      </c>
      <c r="DN22" s="1252">
        <f t="shared" si="13"/>
        <v>0</v>
      </c>
      <c r="DO22" s="1249">
        <f t="shared" si="14"/>
        <v>70</v>
      </c>
      <c r="DP22" s="1132">
        <f t="shared" si="15"/>
        <v>-39.190909090909088</v>
      </c>
      <c r="DQ22" s="1249">
        <f t="shared" si="16"/>
        <v>-0.90909090909090917</v>
      </c>
      <c r="DR22" s="1249">
        <f t="shared" si="17"/>
        <v>-0.52185536159600954</v>
      </c>
      <c r="DS22" s="1249">
        <f t="shared" si="18"/>
        <v>8.2314579927708156</v>
      </c>
      <c r="DT22" s="1249">
        <f t="shared" si="19"/>
        <v>-0.96499821873886749</v>
      </c>
      <c r="DU22" s="1132">
        <f t="shared" si="20"/>
        <v>197</v>
      </c>
      <c r="DV22" s="1132" t="e">
        <f>#REF!-CB22</f>
        <v>#REF!</v>
      </c>
      <c r="DW22" s="1198">
        <f t="shared" si="21"/>
        <v>-1.1840528143925919</v>
      </c>
      <c r="DX22" s="1249">
        <f t="shared" si="22"/>
        <v>-3.5</v>
      </c>
      <c r="DY22" s="1249">
        <f t="shared" si="23"/>
        <v>-3.1849999999999987</v>
      </c>
      <c r="DZ22" s="1132">
        <f t="shared" si="24"/>
        <v>1530</v>
      </c>
      <c r="EA22" s="1198">
        <f t="shared" si="25"/>
        <v>14.646450000000002</v>
      </c>
      <c r="EB22" s="1251">
        <f t="shared" si="26"/>
        <v>-3.9663529411764742</v>
      </c>
      <c r="EC22" s="1132">
        <f t="shared" si="27"/>
        <v>6.0350017812611298</v>
      </c>
      <c r="ED22" s="1132">
        <f t="shared" si="28"/>
        <v>13.322222104123</v>
      </c>
      <c r="EE22" s="1132" t="e">
        <f t="shared" si="29"/>
        <v>#VALUE!</v>
      </c>
      <c r="EF22" s="1132" t="e">
        <f t="shared" si="30"/>
        <v>#VALUE!</v>
      </c>
      <c r="EG22" s="1132" t="e">
        <f t="shared" si="31"/>
        <v>#VALUE!</v>
      </c>
      <c r="EH22" s="1132">
        <f t="shared" si="32"/>
        <v>24.035835294117646</v>
      </c>
      <c r="EI22" s="1132">
        <f t="shared" si="33"/>
        <v>-60</v>
      </c>
      <c r="EJ22" s="1198">
        <f t="shared" si="34"/>
        <v>-2.5955555555555554</v>
      </c>
      <c r="EK22" s="1132">
        <f t="shared" si="35"/>
        <v>-387.072</v>
      </c>
      <c r="EL22" s="1132">
        <f t="shared" si="36"/>
        <v>44.242693821888345</v>
      </c>
      <c r="EM22" s="1132">
        <f t="shared" si="37"/>
        <v>0.62762408895036437</v>
      </c>
      <c r="EN22" s="1132">
        <f t="shared" si="40"/>
        <v>-87.678427450980394</v>
      </c>
      <c r="EO22" s="1132">
        <f t="shared" si="41"/>
        <v>2540</v>
      </c>
      <c r="EP22" s="1198">
        <f t="shared" si="42"/>
        <v>-1.087797306422317</v>
      </c>
      <c r="EQ22" s="1248">
        <f t="shared" si="43"/>
        <v>0</v>
      </c>
      <c r="ER22" s="1132">
        <f t="shared" si="44"/>
        <v>0</v>
      </c>
      <c r="ES22" s="1198">
        <f t="shared" si="45"/>
        <v>0</v>
      </c>
    </row>
    <row r="23" spans="1:149">
      <c r="A23" s="634">
        <f>Eingabedaten!A26</f>
        <v>6.02</v>
      </c>
      <c r="B23" s="463" t="str">
        <f>Eingabedaten!C26</f>
        <v>Selbstbedienungsrestaurant</v>
      </c>
      <c r="C23" s="637"/>
      <c r="D23" s="379"/>
      <c r="E23" s="379"/>
      <c r="F23" s="1238"/>
      <c r="G23" s="1129"/>
      <c r="H23" s="1129"/>
      <c r="I23" s="1129"/>
      <c r="J23" s="1129"/>
      <c r="K23" s="1129"/>
      <c r="L23" s="1129"/>
      <c r="M23" s="1129"/>
      <c r="N23" s="1237"/>
      <c r="O23" s="1240">
        <v>3</v>
      </c>
      <c r="P23" s="1131">
        <v>0</v>
      </c>
      <c r="Q23" s="1129">
        <v>1750</v>
      </c>
      <c r="R23" s="1131">
        <v>5.25</v>
      </c>
      <c r="S23" s="1239">
        <v>5.25</v>
      </c>
      <c r="T23" s="1131">
        <v>0</v>
      </c>
      <c r="U23" s="1240"/>
      <c r="V23" s="1240">
        <v>70</v>
      </c>
      <c r="W23" s="1834">
        <v>1.0204081632653061</v>
      </c>
      <c r="X23" s="1239"/>
      <c r="Y23" s="1239">
        <v>6.3360000000000003</v>
      </c>
      <c r="Z23" s="1239">
        <v>9.8172693524086636</v>
      </c>
      <c r="AA23" s="1239">
        <v>5.25</v>
      </c>
      <c r="AB23" s="1131">
        <v>1564</v>
      </c>
      <c r="AC23" s="1243">
        <v>8.2110000000000003</v>
      </c>
      <c r="AD23" s="1242">
        <v>14.5</v>
      </c>
      <c r="AE23" s="1131">
        <v>2400</v>
      </c>
      <c r="AF23" s="1239">
        <v>13.195</v>
      </c>
      <c r="AG23" s="1131">
        <v>1450</v>
      </c>
      <c r="AH23" s="1197">
        <v>19.132750000000001</v>
      </c>
      <c r="AI23" s="1240">
        <v>24.931228235294121</v>
      </c>
      <c r="AJ23" s="1131">
        <v>50.25</v>
      </c>
      <c r="AK23" s="1131">
        <v>145.80000000000001</v>
      </c>
      <c r="AL23" s="1131" t="s">
        <v>16</v>
      </c>
      <c r="AM23" s="1131" t="s">
        <v>16</v>
      </c>
      <c r="AN23" s="1131" t="s">
        <v>16</v>
      </c>
      <c r="AO23" s="1131">
        <v>52.626859764705884</v>
      </c>
      <c r="AP23" s="1131">
        <v>0</v>
      </c>
      <c r="AQ23" s="1131">
        <v>58.488141176470592</v>
      </c>
      <c r="AR23" s="1131">
        <v>0</v>
      </c>
      <c r="AS23" s="1197">
        <v>0</v>
      </c>
      <c r="AT23" s="1197">
        <v>0</v>
      </c>
      <c r="AU23" s="1131">
        <v>399.90588235294126</v>
      </c>
      <c r="AV23" s="1131">
        <v>93.021887502941851</v>
      </c>
      <c r="AW23" s="1131">
        <v>-2.0046716874558719</v>
      </c>
      <c r="AX23" s="1239">
        <v>30.497494117647065</v>
      </c>
      <c r="AY23" s="1131">
        <v>3240</v>
      </c>
      <c r="AZ23" s="1242">
        <v>2.2452054794520548</v>
      </c>
      <c r="BA23" s="1243">
        <v>98.754495234891166</v>
      </c>
      <c r="BB23" s="1131"/>
      <c r="BC23" s="1131"/>
      <c r="BD23" s="1243">
        <v>108.92400000000002</v>
      </c>
      <c r="BG23" s="637"/>
      <c r="BH23" s="379"/>
      <c r="BI23" s="379"/>
      <c r="BJ23" s="1238"/>
      <c r="BK23" s="1129"/>
      <c r="BL23" s="1129"/>
      <c r="BM23" s="1129"/>
      <c r="BN23" s="1129"/>
      <c r="BO23" s="1129"/>
      <c r="BP23" s="1237"/>
      <c r="BQ23" s="1240">
        <v>3</v>
      </c>
      <c r="BR23" s="1129">
        <v>1750</v>
      </c>
      <c r="BS23" s="1131">
        <v>5.25</v>
      </c>
      <c r="BT23" s="1241"/>
      <c r="BU23" s="1239"/>
      <c r="BV23" s="1131">
        <v>40.099999999999994</v>
      </c>
      <c r="BW23" s="1239">
        <v>1.0204081632653061</v>
      </c>
      <c r="BX23" s="1239">
        <v>6.1097256857855369</v>
      </c>
      <c r="BY23" s="1239">
        <v>0</v>
      </c>
      <c r="BZ23" s="1239">
        <v>6.1097256857855369</v>
      </c>
      <c r="CA23" s="1131">
        <v>1440</v>
      </c>
      <c r="CB23" s="1131">
        <v>0</v>
      </c>
      <c r="CC23" s="1197">
        <v>8.7980049875311721</v>
      </c>
      <c r="CD23" s="1239">
        <v>18</v>
      </c>
      <c r="CE23" s="1239">
        <v>16.38</v>
      </c>
      <c r="CF23" s="1131">
        <v>960</v>
      </c>
      <c r="CG23" s="1197">
        <v>15.7248</v>
      </c>
      <c r="CH23" s="1240">
        <v>31.116000000000007</v>
      </c>
      <c r="CI23" s="1131">
        <v>44.109725685785534</v>
      </c>
      <c r="CJ23" s="1131">
        <v>160.53006721064224</v>
      </c>
      <c r="CK23" s="1131" t="s">
        <v>16</v>
      </c>
      <c r="CL23" s="1131" t="s">
        <v>16</v>
      </c>
      <c r="CM23" s="1131" t="s">
        <v>16</v>
      </c>
      <c r="CN23" s="1131">
        <v>33</v>
      </c>
      <c r="CO23" s="1131">
        <v>70</v>
      </c>
      <c r="CP23" s="1197">
        <v>2.273825</v>
      </c>
      <c r="CQ23" s="1131">
        <v>1475.1058823529413</v>
      </c>
      <c r="CR23" s="1131">
        <v>25.218528679895361</v>
      </c>
      <c r="CS23" s="1131">
        <v>-3</v>
      </c>
      <c r="CT23" s="1131">
        <v>118.0084705882353</v>
      </c>
      <c r="CU23" s="1131">
        <v>840</v>
      </c>
      <c r="CV23" s="1197">
        <v>99.571049504367494</v>
      </c>
      <c r="CW23" s="1131"/>
      <c r="CX23" s="1131"/>
      <c r="CY23" s="1197">
        <v>108.92400000000002</v>
      </c>
      <c r="DA23" s="637">
        <f t="shared" si="0"/>
        <v>0</v>
      </c>
      <c r="DB23" s="379">
        <f t="shared" si="1"/>
        <v>0</v>
      </c>
      <c r="DC23" s="379">
        <f t="shared" si="2"/>
        <v>0</v>
      </c>
      <c r="DD23" s="1238">
        <f t="shared" si="3"/>
        <v>0</v>
      </c>
      <c r="DE23" s="1129">
        <f t="shared" si="4"/>
        <v>0</v>
      </c>
      <c r="DF23" s="1129">
        <f t="shared" si="5"/>
        <v>0</v>
      </c>
      <c r="DG23" s="1129">
        <f t="shared" si="6"/>
        <v>0</v>
      </c>
      <c r="DH23" s="1129">
        <f t="shared" si="7"/>
        <v>0</v>
      </c>
      <c r="DI23" s="1129">
        <f t="shared" si="8"/>
        <v>0</v>
      </c>
      <c r="DJ23" s="1237">
        <f t="shared" si="9"/>
        <v>0</v>
      </c>
      <c r="DK23" s="1240">
        <f t="shared" si="10"/>
        <v>0</v>
      </c>
      <c r="DL23" s="1129">
        <f t="shared" si="11"/>
        <v>0</v>
      </c>
      <c r="DM23" s="1131">
        <f t="shared" si="12"/>
        <v>0</v>
      </c>
      <c r="DN23" s="1241">
        <f t="shared" si="13"/>
        <v>0</v>
      </c>
      <c r="DO23" s="1239">
        <f t="shared" si="14"/>
        <v>70</v>
      </c>
      <c r="DP23" s="1131">
        <f t="shared" si="15"/>
        <v>-39.079591836734686</v>
      </c>
      <c r="DQ23" s="1239">
        <f t="shared" si="16"/>
        <v>-1.0204081632653061</v>
      </c>
      <c r="DR23" s="1239">
        <f t="shared" si="17"/>
        <v>0.22627431421446342</v>
      </c>
      <c r="DS23" s="1239">
        <f t="shared" si="18"/>
        <v>9.8172693524086636</v>
      </c>
      <c r="DT23" s="1239">
        <f t="shared" si="19"/>
        <v>-0.85972568578553688</v>
      </c>
      <c r="DU23" s="1131">
        <f t="shared" si="20"/>
        <v>124</v>
      </c>
      <c r="DV23" s="1131" t="e">
        <f>#REF!-CB23</f>
        <v>#REF!</v>
      </c>
      <c r="DW23" s="1197">
        <f t="shared" si="21"/>
        <v>-0.58700498753117181</v>
      </c>
      <c r="DX23" s="1239">
        <f t="shared" si="22"/>
        <v>-3.5</v>
      </c>
      <c r="DY23" s="1239">
        <f t="shared" si="23"/>
        <v>-3.1849999999999987</v>
      </c>
      <c r="DZ23" s="1131">
        <f t="shared" si="24"/>
        <v>490</v>
      </c>
      <c r="EA23" s="1197">
        <f t="shared" si="25"/>
        <v>3.4079500000000014</v>
      </c>
      <c r="EB23" s="1240">
        <f t="shared" si="26"/>
        <v>-6.1847717647058857</v>
      </c>
      <c r="EC23" s="1131">
        <f t="shared" si="27"/>
        <v>6.1402743142144658</v>
      </c>
      <c r="ED23" s="1131">
        <f t="shared" si="28"/>
        <v>-14.730067210642233</v>
      </c>
      <c r="EE23" s="1131" t="e">
        <f t="shared" si="29"/>
        <v>#VALUE!</v>
      </c>
      <c r="EF23" s="1131" t="e">
        <f t="shared" si="30"/>
        <v>#VALUE!</v>
      </c>
      <c r="EG23" s="1131" t="e">
        <f t="shared" si="31"/>
        <v>#VALUE!</v>
      </c>
      <c r="EH23" s="1131">
        <f t="shared" si="32"/>
        <v>25.488141176470592</v>
      </c>
      <c r="EI23" s="1131">
        <f t="shared" si="33"/>
        <v>-70</v>
      </c>
      <c r="EJ23" s="1197">
        <f t="shared" si="34"/>
        <v>-2.273825</v>
      </c>
      <c r="EK23" s="1131">
        <f t="shared" si="35"/>
        <v>-1075.2</v>
      </c>
      <c r="EL23" s="1131">
        <f t="shared" si="36"/>
        <v>67.803358823046494</v>
      </c>
      <c r="EM23" s="1131">
        <f t="shared" si="37"/>
        <v>0.99532831254412812</v>
      </c>
      <c r="EN23" s="1131">
        <f t="shared" si="40"/>
        <v>-87.510976470588233</v>
      </c>
      <c r="EO23" s="1131">
        <f t="shared" si="41"/>
        <v>2400</v>
      </c>
      <c r="EP23" s="1197">
        <f t="shared" si="42"/>
        <v>-0.81655426947632748</v>
      </c>
      <c r="EQ23" s="1131">
        <f t="shared" si="43"/>
        <v>0</v>
      </c>
      <c r="ER23" s="1131">
        <f t="shared" si="44"/>
        <v>0</v>
      </c>
      <c r="ES23" s="1197">
        <f t="shared" si="45"/>
        <v>0</v>
      </c>
    </row>
    <row r="24" spans="1:149">
      <c r="A24" s="634">
        <f>Eingabedaten!A27</f>
        <v>6.03</v>
      </c>
      <c r="B24" s="463" t="str">
        <f>Eingabedaten!C27</f>
        <v>Küche zu Restaurant</v>
      </c>
      <c r="C24" s="637"/>
      <c r="D24" s="379"/>
      <c r="E24" s="379"/>
      <c r="F24" s="1238"/>
      <c r="G24" s="1129"/>
      <c r="H24" s="1129"/>
      <c r="I24" s="1129"/>
      <c r="J24" s="1129"/>
      <c r="K24" s="1129"/>
      <c r="L24" s="1129"/>
      <c r="M24" s="1129"/>
      <c r="N24" s="1237"/>
      <c r="O24" s="1240">
        <v>20</v>
      </c>
      <c r="P24" s="1131">
        <v>230</v>
      </c>
      <c r="Q24" s="1129">
        <v>2530</v>
      </c>
      <c r="R24" s="1131">
        <v>50.6</v>
      </c>
      <c r="S24" s="1239">
        <v>50.6</v>
      </c>
      <c r="T24" s="1131">
        <v>581.9</v>
      </c>
      <c r="U24" s="1240"/>
      <c r="V24" s="1240">
        <v>70</v>
      </c>
      <c r="W24" s="1834">
        <v>0.71428571428571419</v>
      </c>
      <c r="X24" s="1239"/>
      <c r="Y24" s="1239">
        <v>6.3360000000000003</v>
      </c>
      <c r="Z24" s="1239">
        <v>6.6247701284943536</v>
      </c>
      <c r="AA24" s="1239">
        <v>12.500000000000002</v>
      </c>
      <c r="AB24" s="1131">
        <v>2458</v>
      </c>
      <c r="AC24" s="1243">
        <v>30.725000000000005</v>
      </c>
      <c r="AD24" s="1242">
        <v>9.6666666666666679</v>
      </c>
      <c r="AE24" s="1131">
        <v>4800</v>
      </c>
      <c r="AF24" s="1239">
        <v>8.7966666666666686</v>
      </c>
      <c r="AG24" s="1131">
        <v>3750</v>
      </c>
      <c r="AH24" s="1197">
        <v>32.987500000000004</v>
      </c>
      <c r="AI24" s="1240">
        <v>48.522541176470597</v>
      </c>
      <c r="AJ24" s="1131">
        <v>42.7</v>
      </c>
      <c r="AK24" s="1131">
        <v>319.22000000000003</v>
      </c>
      <c r="AL24" s="1131" t="s">
        <v>16</v>
      </c>
      <c r="AM24" s="1131" t="s">
        <v>16</v>
      </c>
      <c r="AN24" s="1131" t="s">
        <v>16</v>
      </c>
      <c r="AO24" s="1131">
        <v>63.855778823529413</v>
      </c>
      <c r="AP24" s="1131">
        <v>0</v>
      </c>
      <c r="AQ24" s="1131">
        <v>283.23237647058818</v>
      </c>
      <c r="AR24" s="1131">
        <v>0</v>
      </c>
      <c r="AS24" s="1197">
        <v>0</v>
      </c>
      <c r="AT24" s="1197">
        <v>0</v>
      </c>
      <c r="AU24" s="1131">
        <v>77.144470588235293</v>
      </c>
      <c r="AV24" s="1131">
        <v>54.318863919186015</v>
      </c>
      <c r="AW24" s="1131">
        <v>-2.5852170412122097</v>
      </c>
      <c r="AX24" s="1239">
        <v>64.469670588235303</v>
      </c>
      <c r="AY24" s="1131">
        <v>2600</v>
      </c>
      <c r="AZ24" s="1242">
        <v>2.8662100456621005</v>
      </c>
      <c r="BA24" s="1243">
        <v>167.56970588239261</v>
      </c>
      <c r="BB24" s="1129"/>
      <c r="BC24" s="1131"/>
      <c r="BD24" s="1197">
        <v>0</v>
      </c>
      <c r="BG24" s="637"/>
      <c r="BH24" s="379"/>
      <c r="BI24" s="379"/>
      <c r="BJ24" s="1238"/>
      <c r="BK24" s="1129"/>
      <c r="BL24" s="1129"/>
      <c r="BM24" s="1129"/>
      <c r="BN24" s="1129"/>
      <c r="BO24" s="1129"/>
      <c r="BP24" s="1237"/>
      <c r="BQ24" s="1240">
        <v>250</v>
      </c>
      <c r="BR24" s="1129">
        <v>2530</v>
      </c>
      <c r="BS24" s="1131">
        <v>632.5</v>
      </c>
      <c r="BT24" s="1241"/>
      <c r="BU24" s="1239"/>
      <c r="BV24" s="1131">
        <v>55.1</v>
      </c>
      <c r="BW24" s="1239">
        <v>0.71428571428571419</v>
      </c>
      <c r="BX24" s="1239">
        <v>15.880217785843922</v>
      </c>
      <c r="BY24" s="1239">
        <v>0</v>
      </c>
      <c r="BZ24" s="1239">
        <v>15.880217785843922</v>
      </c>
      <c r="CA24" s="1131">
        <v>2310</v>
      </c>
      <c r="CB24" s="1131">
        <v>0</v>
      </c>
      <c r="CC24" s="1197">
        <v>36.683303085299464</v>
      </c>
      <c r="CD24" s="1239">
        <v>20</v>
      </c>
      <c r="CE24" s="1239">
        <v>18.2</v>
      </c>
      <c r="CF24" s="1131">
        <v>2480</v>
      </c>
      <c r="CG24" s="1197">
        <v>45.136000000000003</v>
      </c>
      <c r="CH24" s="1240">
        <v>50.568313725490199</v>
      </c>
      <c r="CI24" s="1131">
        <v>283.88021778584391</v>
      </c>
      <c r="CJ24" s="1131">
        <v>2637.2728414590251</v>
      </c>
      <c r="CK24" s="1131" t="s">
        <v>16</v>
      </c>
      <c r="CL24" s="1131" t="s">
        <v>16</v>
      </c>
      <c r="CM24" s="1131" t="s">
        <v>16</v>
      </c>
      <c r="CN24" s="1131">
        <v>195</v>
      </c>
      <c r="CO24" s="1131">
        <v>890</v>
      </c>
      <c r="CP24" s="1197">
        <v>173.52527777777777</v>
      </c>
      <c r="CQ24" s="1131">
        <v>185.4324705882353</v>
      </c>
      <c r="CR24" s="1131">
        <v>22.597983981484305</v>
      </c>
      <c r="CS24" s="1131">
        <v>-3</v>
      </c>
      <c r="CT24" s="1131">
        <v>159.67796078431374</v>
      </c>
      <c r="CU24" s="1131">
        <v>620</v>
      </c>
      <c r="CV24" s="1197">
        <v>98.348367200118815</v>
      </c>
      <c r="CW24" s="1129"/>
      <c r="CX24" s="1131"/>
      <c r="CY24" s="1197">
        <v>0</v>
      </c>
      <c r="DA24" s="637">
        <f t="shared" si="0"/>
        <v>0</v>
      </c>
      <c r="DB24" s="379">
        <f t="shared" si="1"/>
        <v>0</v>
      </c>
      <c r="DC24" s="379">
        <f t="shared" si="2"/>
        <v>0</v>
      </c>
      <c r="DD24" s="1238">
        <f t="shared" si="3"/>
        <v>0</v>
      </c>
      <c r="DE24" s="1129">
        <f t="shared" si="4"/>
        <v>0</v>
      </c>
      <c r="DF24" s="1129">
        <f t="shared" si="5"/>
        <v>0</v>
      </c>
      <c r="DG24" s="1129">
        <f t="shared" si="6"/>
        <v>0</v>
      </c>
      <c r="DH24" s="1129">
        <f t="shared" si="7"/>
        <v>0</v>
      </c>
      <c r="DI24" s="1129">
        <f t="shared" si="8"/>
        <v>0</v>
      </c>
      <c r="DJ24" s="1237">
        <f t="shared" si="9"/>
        <v>0</v>
      </c>
      <c r="DK24" s="1240">
        <f t="shared" si="10"/>
        <v>-230</v>
      </c>
      <c r="DL24" s="1129">
        <f t="shared" si="11"/>
        <v>0</v>
      </c>
      <c r="DM24" s="1131">
        <f t="shared" si="12"/>
        <v>-581.9</v>
      </c>
      <c r="DN24" s="1241">
        <f t="shared" si="13"/>
        <v>0</v>
      </c>
      <c r="DO24" s="1239">
        <f t="shared" si="14"/>
        <v>70</v>
      </c>
      <c r="DP24" s="1131">
        <f t="shared" si="15"/>
        <v>-54.385714285714286</v>
      </c>
      <c r="DQ24" s="1239">
        <f t="shared" si="16"/>
        <v>-0.71428571428571419</v>
      </c>
      <c r="DR24" s="1239">
        <f t="shared" si="17"/>
        <v>-9.5442177858439212</v>
      </c>
      <c r="DS24" s="1239">
        <f t="shared" si="18"/>
        <v>6.6247701284943536</v>
      </c>
      <c r="DT24" s="1239">
        <f t="shared" si="19"/>
        <v>-3.3802177858439197</v>
      </c>
      <c r="DU24" s="1131">
        <f t="shared" si="20"/>
        <v>148</v>
      </c>
      <c r="DV24" s="1131" t="e">
        <f>#REF!-CB24</f>
        <v>#REF!</v>
      </c>
      <c r="DW24" s="1197">
        <f t="shared" si="21"/>
        <v>-5.958303085299459</v>
      </c>
      <c r="DX24" s="1239">
        <f t="shared" si="22"/>
        <v>-10.333333333333332</v>
      </c>
      <c r="DY24" s="1239">
        <f t="shared" si="23"/>
        <v>-9.4033333333333307</v>
      </c>
      <c r="DZ24" s="1131">
        <f t="shared" si="24"/>
        <v>1270</v>
      </c>
      <c r="EA24" s="1197">
        <f t="shared" si="25"/>
        <v>-12.148499999999999</v>
      </c>
      <c r="EB24" s="1240">
        <f t="shared" si="26"/>
        <v>-2.0457725490196026</v>
      </c>
      <c r="EC24" s="1131">
        <f t="shared" si="27"/>
        <v>-241.18021778584392</v>
      </c>
      <c r="ED24" s="1131">
        <f t="shared" si="28"/>
        <v>-2318.0528414590253</v>
      </c>
      <c r="EE24" s="1131" t="e">
        <f t="shared" si="29"/>
        <v>#VALUE!</v>
      </c>
      <c r="EF24" s="1131" t="e">
        <f t="shared" si="30"/>
        <v>#VALUE!</v>
      </c>
      <c r="EG24" s="1131" t="e">
        <f t="shared" si="31"/>
        <v>#VALUE!</v>
      </c>
      <c r="EH24" s="1131">
        <f t="shared" si="32"/>
        <v>88.232376470588179</v>
      </c>
      <c r="EI24" s="1131">
        <f t="shared" si="33"/>
        <v>-890</v>
      </c>
      <c r="EJ24" s="1197">
        <f t="shared" si="34"/>
        <v>-173.52527777777777</v>
      </c>
      <c r="EK24" s="1131">
        <f t="shared" si="35"/>
        <v>-108.28800000000001</v>
      </c>
      <c r="EL24" s="1131">
        <f t="shared" si="36"/>
        <v>31.72087993770171</v>
      </c>
      <c r="EM24" s="1131">
        <f t="shared" si="37"/>
        <v>0.41478295878779026</v>
      </c>
      <c r="EN24" s="1131">
        <f t="shared" si="40"/>
        <v>-95.208290196078437</v>
      </c>
      <c r="EO24" s="1131">
        <f t="shared" si="41"/>
        <v>1980</v>
      </c>
      <c r="EP24" s="1197">
        <f t="shared" si="42"/>
        <v>69.221338682273796</v>
      </c>
      <c r="EQ24" s="1129">
        <f t="shared" si="43"/>
        <v>0</v>
      </c>
      <c r="ER24" s="1131">
        <f t="shared" si="44"/>
        <v>0</v>
      </c>
      <c r="ES24" s="1197">
        <f t="shared" si="45"/>
        <v>0</v>
      </c>
    </row>
    <row r="25" spans="1:149">
      <c r="A25" s="638">
        <f>Eingabedaten!A28</f>
        <v>6.04</v>
      </c>
      <c r="B25" s="592" t="str">
        <f>Eingabedaten!C28</f>
        <v>Küche zu Selbstbedienungsrest.</v>
      </c>
      <c r="C25" s="654"/>
      <c r="D25" s="387"/>
      <c r="E25" s="387"/>
      <c r="F25" s="1227"/>
      <c r="G25" s="1130"/>
      <c r="H25" s="1130"/>
      <c r="I25" s="1130"/>
      <c r="J25" s="1130"/>
      <c r="K25" s="1130"/>
      <c r="L25" s="1130"/>
      <c r="M25" s="1130"/>
      <c r="N25" s="1229"/>
      <c r="O25" s="1255">
        <v>20</v>
      </c>
      <c r="P25" s="1133">
        <v>230</v>
      </c>
      <c r="Q25" s="1130">
        <v>1730</v>
      </c>
      <c r="R25" s="1133">
        <v>34.6</v>
      </c>
      <c r="S25" s="1228">
        <v>34.6</v>
      </c>
      <c r="T25" s="1133">
        <v>397.9</v>
      </c>
      <c r="U25" s="1255"/>
      <c r="V25" s="1255">
        <v>70</v>
      </c>
      <c r="W25" s="1836">
        <v>0.90909090909090917</v>
      </c>
      <c r="X25" s="1228"/>
      <c r="Y25" s="1228">
        <v>6.3360000000000003</v>
      </c>
      <c r="Z25" s="1228">
        <v>9.2482637071404827</v>
      </c>
      <c r="AA25" s="1228">
        <v>9.8214285714285712</v>
      </c>
      <c r="AB25" s="1133">
        <v>1895</v>
      </c>
      <c r="AC25" s="1196">
        <v>18.611607142857142</v>
      </c>
      <c r="AD25" s="1257">
        <v>9.6666666666666679</v>
      </c>
      <c r="AE25" s="1133">
        <v>3130</v>
      </c>
      <c r="AF25" s="1228">
        <v>8.7966666666666686</v>
      </c>
      <c r="AG25" s="1133">
        <v>2280</v>
      </c>
      <c r="AH25" s="1199">
        <v>20.056400000000004</v>
      </c>
      <c r="AI25" s="1255">
        <v>26.812737254901968</v>
      </c>
      <c r="AJ25" s="1133">
        <v>40.021428571428572</v>
      </c>
      <c r="AK25" s="1133">
        <v>181</v>
      </c>
      <c r="AL25" s="1133" t="s">
        <v>16</v>
      </c>
      <c r="AM25" s="1133" t="s">
        <v>16</v>
      </c>
      <c r="AN25" s="1133" t="s">
        <v>16</v>
      </c>
      <c r="AO25" s="1133">
        <v>46.783916078431382</v>
      </c>
      <c r="AP25" s="1228">
        <v>0</v>
      </c>
      <c r="AQ25" s="1133">
        <v>272.0351215686274</v>
      </c>
      <c r="AR25" s="1133">
        <v>0</v>
      </c>
      <c r="AS25" s="1196">
        <v>0</v>
      </c>
      <c r="AT25" s="1199">
        <v>0</v>
      </c>
      <c r="AU25" s="1133">
        <v>175.02494117647058</v>
      </c>
      <c r="AV25" s="1133">
        <v>81.204426663225149</v>
      </c>
      <c r="AW25" s="1133">
        <v>-2.1819336000516225</v>
      </c>
      <c r="AX25" s="1228">
        <v>36.076935294117646</v>
      </c>
      <c r="AY25" s="1133">
        <v>2490</v>
      </c>
      <c r="AZ25" s="1257">
        <v>1.9733828006088281</v>
      </c>
      <c r="BA25" s="1196">
        <v>89.655548788541566</v>
      </c>
      <c r="BB25" s="1130"/>
      <c r="BC25" s="1133"/>
      <c r="BD25" s="1199">
        <v>0</v>
      </c>
      <c r="BG25" s="654"/>
      <c r="BH25" s="387"/>
      <c r="BI25" s="387"/>
      <c r="BJ25" s="1227"/>
      <c r="BK25" s="1130"/>
      <c r="BL25" s="1130"/>
      <c r="BM25" s="1130"/>
      <c r="BN25" s="1130"/>
      <c r="BO25" s="1130"/>
      <c r="BP25" s="1229"/>
      <c r="BQ25" s="1255">
        <v>250</v>
      </c>
      <c r="BR25" s="1130">
        <v>1730</v>
      </c>
      <c r="BS25" s="1133">
        <v>432.5</v>
      </c>
      <c r="BT25" s="1256"/>
      <c r="BU25" s="1228"/>
      <c r="BV25" s="1133">
        <v>55.1</v>
      </c>
      <c r="BW25" s="1228">
        <v>0.90909090909090917</v>
      </c>
      <c r="BX25" s="1228">
        <v>12.477313974591651</v>
      </c>
      <c r="BY25" s="1228">
        <v>0</v>
      </c>
      <c r="BZ25" s="1228">
        <v>12.477313974591651</v>
      </c>
      <c r="CA25" s="1133">
        <v>1830</v>
      </c>
      <c r="CB25" s="1133">
        <v>0</v>
      </c>
      <c r="CC25" s="1199">
        <v>22.833484573502719</v>
      </c>
      <c r="CD25" s="1228">
        <v>20</v>
      </c>
      <c r="CE25" s="1228">
        <v>18.2</v>
      </c>
      <c r="CF25" s="1133">
        <v>1460</v>
      </c>
      <c r="CG25" s="1199">
        <v>26.571999999999999</v>
      </c>
      <c r="CH25" s="1255">
        <v>31.876156862745102</v>
      </c>
      <c r="CI25" s="1133">
        <v>280.47731397459165</v>
      </c>
      <c r="CJ25" s="1133">
        <v>1800.7010109688674</v>
      </c>
      <c r="CK25" s="1133" t="s">
        <v>16</v>
      </c>
      <c r="CL25" s="1133" t="s">
        <v>16</v>
      </c>
      <c r="CM25" s="1133" t="s">
        <v>16</v>
      </c>
      <c r="CN25" s="1133">
        <v>173</v>
      </c>
      <c r="CO25" s="1133">
        <v>910</v>
      </c>
      <c r="CP25" s="1199">
        <v>157.74972222222223</v>
      </c>
      <c r="CQ25" s="1133">
        <v>608.17694117647056</v>
      </c>
      <c r="CR25" s="1133">
        <v>23.369514754220138</v>
      </c>
      <c r="CS25" s="1133">
        <v>-3</v>
      </c>
      <c r="CT25" s="1133">
        <v>130.92698039215688</v>
      </c>
      <c r="CU25" s="1133">
        <v>370</v>
      </c>
      <c r="CV25" s="1199">
        <v>47.837206785633377</v>
      </c>
      <c r="CW25" s="1130"/>
      <c r="CX25" s="1133"/>
      <c r="CY25" s="1199">
        <v>0</v>
      </c>
      <c r="DA25" s="654">
        <f t="shared" si="0"/>
        <v>0</v>
      </c>
      <c r="DB25" s="387">
        <f t="shared" si="1"/>
        <v>0</v>
      </c>
      <c r="DC25" s="387">
        <f t="shared" si="2"/>
        <v>0</v>
      </c>
      <c r="DD25" s="1227">
        <f t="shared" si="3"/>
        <v>0</v>
      </c>
      <c r="DE25" s="1130">
        <f t="shared" si="4"/>
        <v>0</v>
      </c>
      <c r="DF25" s="1130">
        <f t="shared" si="5"/>
        <v>0</v>
      </c>
      <c r="DG25" s="1130">
        <f t="shared" si="6"/>
        <v>0</v>
      </c>
      <c r="DH25" s="1130">
        <f t="shared" si="7"/>
        <v>0</v>
      </c>
      <c r="DI25" s="1130">
        <f t="shared" si="8"/>
        <v>0</v>
      </c>
      <c r="DJ25" s="1229">
        <f t="shared" si="9"/>
        <v>0</v>
      </c>
      <c r="DK25" s="1255">
        <f t="shared" si="10"/>
        <v>-230</v>
      </c>
      <c r="DL25" s="1130">
        <f t="shared" si="11"/>
        <v>0</v>
      </c>
      <c r="DM25" s="1133">
        <f t="shared" si="12"/>
        <v>-397.9</v>
      </c>
      <c r="DN25" s="1256">
        <f t="shared" si="13"/>
        <v>0</v>
      </c>
      <c r="DO25" s="1228">
        <f t="shared" si="14"/>
        <v>70</v>
      </c>
      <c r="DP25" s="1133">
        <f t="shared" si="15"/>
        <v>-54.190909090909095</v>
      </c>
      <c r="DQ25" s="1228">
        <f t="shared" si="16"/>
        <v>-0.90909090909090917</v>
      </c>
      <c r="DR25" s="1228">
        <f t="shared" si="17"/>
        <v>-6.1413139745916503</v>
      </c>
      <c r="DS25" s="1228">
        <f t="shared" si="18"/>
        <v>9.2482637071404827</v>
      </c>
      <c r="DT25" s="1228">
        <f t="shared" si="19"/>
        <v>-2.6558854031630794</v>
      </c>
      <c r="DU25" s="1133">
        <f t="shared" si="20"/>
        <v>65</v>
      </c>
      <c r="DV25" s="1133" t="e">
        <f>#REF!-CB25</f>
        <v>#REF!</v>
      </c>
      <c r="DW25" s="1199">
        <f t="shared" si="21"/>
        <v>-4.2218774306455771</v>
      </c>
      <c r="DX25" s="1228">
        <f t="shared" si="22"/>
        <v>-10.333333333333332</v>
      </c>
      <c r="DY25" s="1228">
        <f t="shared" si="23"/>
        <v>-9.4033333333333307</v>
      </c>
      <c r="DZ25" s="1133">
        <f t="shared" si="24"/>
        <v>820</v>
      </c>
      <c r="EA25" s="1199">
        <f t="shared" si="25"/>
        <v>-6.5155999999999956</v>
      </c>
      <c r="EB25" s="1255">
        <f t="shared" si="26"/>
        <v>-5.0634196078431337</v>
      </c>
      <c r="EC25" s="1133">
        <f t="shared" si="27"/>
        <v>-240.45588540316308</v>
      </c>
      <c r="ED25" s="1133">
        <f t="shared" si="28"/>
        <v>-1619.7010109688674</v>
      </c>
      <c r="EE25" s="1133" t="e">
        <f t="shared" si="29"/>
        <v>#VALUE!</v>
      </c>
      <c r="EF25" s="1133" t="e">
        <f t="shared" si="30"/>
        <v>#VALUE!</v>
      </c>
      <c r="EG25" s="1133" t="e">
        <f t="shared" si="31"/>
        <v>#VALUE!</v>
      </c>
      <c r="EH25" s="1133">
        <f t="shared" si="32"/>
        <v>99.035121568627403</v>
      </c>
      <c r="EI25" s="1133">
        <f t="shared" si="33"/>
        <v>-910</v>
      </c>
      <c r="EJ25" s="1199">
        <f t="shared" si="34"/>
        <v>-157.74972222222223</v>
      </c>
      <c r="EK25" s="1133">
        <f t="shared" si="35"/>
        <v>-433.15199999999999</v>
      </c>
      <c r="EL25" s="1133">
        <f t="shared" si="36"/>
        <v>57.834911909005015</v>
      </c>
      <c r="EM25" s="1133">
        <f t="shared" si="37"/>
        <v>0.81806639994837749</v>
      </c>
      <c r="EN25" s="1133">
        <f t="shared" si="40"/>
        <v>-94.850045098039232</v>
      </c>
      <c r="EO25" s="1133">
        <f t="shared" si="41"/>
        <v>2120</v>
      </c>
      <c r="EP25" s="1199">
        <f t="shared" si="42"/>
        <v>41.818342002908189</v>
      </c>
      <c r="EQ25" s="1130">
        <f t="shared" si="43"/>
        <v>0</v>
      </c>
      <c r="ER25" s="1133">
        <f t="shared" si="44"/>
        <v>0</v>
      </c>
      <c r="ES25" s="1199">
        <f t="shared" si="45"/>
        <v>0</v>
      </c>
    </row>
    <row r="26" spans="1:149">
      <c r="A26" s="634">
        <f>Eingabedaten!A29</f>
        <v>7.01</v>
      </c>
      <c r="B26" s="463" t="str">
        <f>Eingabedaten!C29</f>
        <v>Vorstellungsraum</v>
      </c>
      <c r="C26" s="637"/>
      <c r="D26" s="379"/>
      <c r="E26" s="379"/>
      <c r="F26" s="1238"/>
      <c r="G26" s="1129"/>
      <c r="H26" s="1129"/>
      <c r="I26" s="1129"/>
      <c r="J26" s="1129"/>
      <c r="K26" s="1129"/>
      <c r="L26" s="1129"/>
      <c r="M26" s="1129"/>
      <c r="N26" s="1237"/>
      <c r="O26" s="1240">
        <v>3</v>
      </c>
      <c r="P26" s="1131">
        <v>0</v>
      </c>
      <c r="Q26" s="1129">
        <v>2300</v>
      </c>
      <c r="R26" s="1131">
        <v>6.9</v>
      </c>
      <c r="S26" s="1239">
        <v>6.9</v>
      </c>
      <c r="T26" s="1131">
        <v>0</v>
      </c>
      <c r="U26" s="1240"/>
      <c r="V26" s="1240">
        <v>70</v>
      </c>
      <c r="W26" s="1834">
        <v>0.76923076923076927</v>
      </c>
      <c r="X26" s="1239"/>
      <c r="Y26" s="1239">
        <v>6.3360000000000003</v>
      </c>
      <c r="Z26" s="1239">
        <v>11</v>
      </c>
      <c r="AA26" s="1239">
        <v>6.9642857142857135</v>
      </c>
      <c r="AB26" s="1131">
        <v>3005</v>
      </c>
      <c r="AC26" s="1243">
        <v>20.927678571428569</v>
      </c>
      <c r="AD26" s="1242">
        <v>9.6666666666666661</v>
      </c>
      <c r="AE26" s="1131">
        <v>4380</v>
      </c>
      <c r="AF26" s="1239">
        <v>8.7966666666666669</v>
      </c>
      <c r="AG26" s="1131">
        <v>3810</v>
      </c>
      <c r="AH26" s="1197">
        <v>33.515300000000003</v>
      </c>
      <c r="AI26" s="1240">
        <v>16.378352941176473</v>
      </c>
      <c r="AJ26" s="1131">
        <v>37.964285714285715</v>
      </c>
      <c r="AK26" s="1131">
        <v>308.84285714285716</v>
      </c>
      <c r="AL26" s="1131" t="s">
        <v>16</v>
      </c>
      <c r="AM26" s="1131" t="s">
        <v>16</v>
      </c>
      <c r="AN26" s="1131" t="s">
        <v>16</v>
      </c>
      <c r="AO26" s="1131">
        <v>38.039847058823533</v>
      </c>
      <c r="AP26" s="1131">
        <v>0</v>
      </c>
      <c r="AQ26" s="1131">
        <v>41.94263865546219</v>
      </c>
      <c r="AR26" s="1131">
        <v>0</v>
      </c>
      <c r="AS26" s="1197">
        <v>0</v>
      </c>
      <c r="AT26" s="1197">
        <v>0</v>
      </c>
      <c r="AU26" s="1131">
        <v>703.62352941176482</v>
      </c>
      <c r="AV26" s="1131">
        <v>63.329320492241827</v>
      </c>
      <c r="AW26" s="1131">
        <v>-2.4500601926163723</v>
      </c>
      <c r="AX26" s="1239">
        <v>54.442976470588242</v>
      </c>
      <c r="AY26" s="1131">
        <v>2940</v>
      </c>
      <c r="AZ26" s="1242">
        <v>2.6416666666666662</v>
      </c>
      <c r="BA26" s="1243">
        <v>160.19391156959381</v>
      </c>
      <c r="BB26" s="1129"/>
      <c r="BC26" s="1131"/>
      <c r="BD26" s="1243">
        <v>7.2616000000000014</v>
      </c>
      <c r="BG26" s="637"/>
      <c r="BH26" s="379"/>
      <c r="BI26" s="379"/>
      <c r="BJ26" s="1238"/>
      <c r="BK26" s="1129"/>
      <c r="BL26" s="1129"/>
      <c r="BM26" s="1129"/>
      <c r="BN26" s="1129"/>
      <c r="BO26" s="1129"/>
      <c r="BP26" s="1237"/>
      <c r="BQ26" s="1240">
        <v>3</v>
      </c>
      <c r="BR26" s="1129">
        <v>2300</v>
      </c>
      <c r="BS26" s="1131">
        <v>6.9</v>
      </c>
      <c r="BT26" s="1241"/>
      <c r="BU26" s="1239"/>
      <c r="BV26" s="1131">
        <v>45.1</v>
      </c>
      <c r="BW26" s="1239">
        <v>0.76923076923076927</v>
      </c>
      <c r="BX26" s="1239">
        <v>10.809312638580931</v>
      </c>
      <c r="BY26" s="1239">
        <v>0</v>
      </c>
      <c r="BZ26" s="1239">
        <v>10.809312638580931</v>
      </c>
      <c r="CA26" s="1131">
        <v>3000</v>
      </c>
      <c r="CB26" s="1131">
        <v>0</v>
      </c>
      <c r="CC26" s="1197">
        <v>32.427937915742795</v>
      </c>
      <c r="CD26" s="1239">
        <v>12</v>
      </c>
      <c r="CE26" s="1239">
        <v>10.92</v>
      </c>
      <c r="CF26" s="1131">
        <v>1730</v>
      </c>
      <c r="CG26" s="1197">
        <v>18.891599999999997</v>
      </c>
      <c r="CH26" s="1240">
        <v>18.618352941176468</v>
      </c>
      <c r="CI26" s="1131">
        <v>37.109312638580931</v>
      </c>
      <c r="CJ26" s="1131">
        <v>333.19175166297117</v>
      </c>
      <c r="CK26" s="1131" t="s">
        <v>16</v>
      </c>
      <c r="CL26" s="1131" t="s">
        <v>16</v>
      </c>
      <c r="CM26" s="1131" t="s">
        <v>16</v>
      </c>
      <c r="CN26" s="1131">
        <v>42</v>
      </c>
      <c r="CO26" s="1131">
        <v>50</v>
      </c>
      <c r="CP26" s="1197">
        <v>1.9337</v>
      </c>
      <c r="CQ26" s="1131">
        <v>1241.2235294117647</v>
      </c>
      <c r="CR26" s="1131">
        <v>35.900060661207156</v>
      </c>
      <c r="CS26" s="1131">
        <v>-3</v>
      </c>
      <c r="CT26" s="1131">
        <v>99.297882352941173</v>
      </c>
      <c r="CU26" s="1131">
        <v>1600</v>
      </c>
      <c r="CV26" s="1197">
        <v>158.66937928988193</v>
      </c>
      <c r="CW26" s="1129"/>
      <c r="CX26" s="1131"/>
      <c r="CY26" s="1197">
        <v>7.2616000000000014</v>
      </c>
      <c r="DA26" s="637">
        <f t="shared" si="0"/>
        <v>0</v>
      </c>
      <c r="DB26" s="379">
        <f t="shared" si="1"/>
        <v>0</v>
      </c>
      <c r="DC26" s="379">
        <f t="shared" si="2"/>
        <v>0</v>
      </c>
      <c r="DD26" s="1238">
        <f t="shared" si="3"/>
        <v>0</v>
      </c>
      <c r="DE26" s="1129">
        <f t="shared" si="4"/>
        <v>0</v>
      </c>
      <c r="DF26" s="1129">
        <f t="shared" si="5"/>
        <v>0</v>
      </c>
      <c r="DG26" s="1129">
        <f t="shared" si="6"/>
        <v>0</v>
      </c>
      <c r="DH26" s="1129">
        <f t="shared" si="7"/>
        <v>0</v>
      </c>
      <c r="DI26" s="1129">
        <f t="shared" si="8"/>
        <v>0</v>
      </c>
      <c r="DJ26" s="1237">
        <f t="shared" si="9"/>
        <v>0</v>
      </c>
      <c r="DK26" s="1240">
        <f t="shared" si="10"/>
        <v>0</v>
      </c>
      <c r="DL26" s="1129">
        <f t="shared" si="11"/>
        <v>0</v>
      </c>
      <c r="DM26" s="1131">
        <f t="shared" si="12"/>
        <v>0</v>
      </c>
      <c r="DN26" s="1241">
        <f t="shared" si="13"/>
        <v>0</v>
      </c>
      <c r="DO26" s="1239">
        <f t="shared" si="14"/>
        <v>70</v>
      </c>
      <c r="DP26" s="1131">
        <f t="shared" si="15"/>
        <v>-44.330769230769235</v>
      </c>
      <c r="DQ26" s="1239">
        <f t="shared" si="16"/>
        <v>-0.76923076923076927</v>
      </c>
      <c r="DR26" s="1239">
        <f t="shared" si="17"/>
        <v>-4.4733126385809303</v>
      </c>
      <c r="DS26" s="1239">
        <f t="shared" si="18"/>
        <v>11</v>
      </c>
      <c r="DT26" s="1239">
        <f t="shared" si="19"/>
        <v>-3.8450269242952171</v>
      </c>
      <c r="DU26" s="1131">
        <f t="shared" si="20"/>
        <v>5</v>
      </c>
      <c r="DV26" s="1131" t="e">
        <f>#REF!-CB26</f>
        <v>#REF!</v>
      </c>
      <c r="DW26" s="1197">
        <f t="shared" si="21"/>
        <v>-11.500259344314227</v>
      </c>
      <c r="DX26" s="1239">
        <f t="shared" si="22"/>
        <v>-2.3333333333333339</v>
      </c>
      <c r="DY26" s="1239">
        <f t="shared" si="23"/>
        <v>-2.1233333333333331</v>
      </c>
      <c r="DZ26" s="1131">
        <f t="shared" si="24"/>
        <v>2080</v>
      </c>
      <c r="EA26" s="1197">
        <f t="shared" si="25"/>
        <v>14.623700000000007</v>
      </c>
      <c r="EB26" s="1240">
        <f t="shared" si="26"/>
        <v>-2.2399999999999949</v>
      </c>
      <c r="EC26" s="1131">
        <f t="shared" si="27"/>
        <v>0.85497307570478398</v>
      </c>
      <c r="ED26" s="1131">
        <f t="shared" si="28"/>
        <v>-24.348894520114015</v>
      </c>
      <c r="EE26" s="1131" t="e">
        <f t="shared" si="29"/>
        <v>#VALUE!</v>
      </c>
      <c r="EF26" s="1131" t="e">
        <f t="shared" si="30"/>
        <v>#VALUE!</v>
      </c>
      <c r="EG26" s="1131" t="e">
        <f t="shared" si="31"/>
        <v>#VALUE!</v>
      </c>
      <c r="EH26" s="1131">
        <f t="shared" si="32"/>
        <v>-5.7361344537810055E-2</v>
      </c>
      <c r="EI26" s="1131">
        <f t="shared" si="33"/>
        <v>-50</v>
      </c>
      <c r="EJ26" s="1197">
        <f t="shared" si="34"/>
        <v>-1.9337</v>
      </c>
      <c r="EK26" s="1131">
        <f t="shared" si="35"/>
        <v>-537.59999999999991</v>
      </c>
      <c r="EL26" s="1131">
        <f t="shared" si="36"/>
        <v>27.42925983103467</v>
      </c>
      <c r="EM26" s="1131">
        <f t="shared" si="37"/>
        <v>0.54993980738362769</v>
      </c>
      <c r="EN26" s="1131">
        <f t="shared" si="40"/>
        <v>-44.854905882352931</v>
      </c>
      <c r="EO26" s="1131">
        <f t="shared" si="41"/>
        <v>1340</v>
      </c>
      <c r="EP26" s="1197">
        <f t="shared" si="42"/>
        <v>1.5245322797118774</v>
      </c>
      <c r="EQ26" s="1129">
        <f t="shared" si="43"/>
        <v>0</v>
      </c>
      <c r="ER26" s="1131">
        <f t="shared" si="44"/>
        <v>0</v>
      </c>
      <c r="ES26" s="1197">
        <f t="shared" si="45"/>
        <v>0</v>
      </c>
    </row>
    <row r="27" spans="1:149">
      <c r="A27" s="634">
        <f>Eingabedaten!A30</f>
        <v>7.02</v>
      </c>
      <c r="B27" s="463" t="str">
        <f>Eingabedaten!C30</f>
        <v>Mehrzweckhalle</v>
      </c>
      <c r="C27" s="637"/>
      <c r="D27" s="379"/>
      <c r="E27" s="379"/>
      <c r="F27" s="1238"/>
      <c r="G27" s="1129"/>
      <c r="H27" s="1129"/>
      <c r="I27" s="1129"/>
      <c r="J27" s="1129"/>
      <c r="K27" s="1129"/>
      <c r="L27" s="1129"/>
      <c r="M27" s="1129"/>
      <c r="N27" s="1237"/>
      <c r="O27" s="1240">
        <v>6</v>
      </c>
      <c r="P27" s="1131">
        <v>0</v>
      </c>
      <c r="Q27" s="1129">
        <v>2900</v>
      </c>
      <c r="R27" s="1131">
        <v>17.399999999999999</v>
      </c>
      <c r="S27" s="1239">
        <v>17.399999999999999</v>
      </c>
      <c r="T27" s="1131">
        <v>0</v>
      </c>
      <c r="U27" s="1240"/>
      <c r="V27" s="1240">
        <v>70</v>
      </c>
      <c r="W27" s="1834">
        <v>0.76923076923076927</v>
      </c>
      <c r="X27" s="1239"/>
      <c r="Y27" s="1239">
        <v>6.3360000000000003</v>
      </c>
      <c r="Z27" s="1239">
        <v>6.8530117428551129</v>
      </c>
      <c r="AA27" s="1239">
        <v>6.9642857142857135</v>
      </c>
      <c r="AB27" s="1131">
        <v>2968</v>
      </c>
      <c r="AC27" s="1243">
        <v>20.669999999999998</v>
      </c>
      <c r="AD27" s="1242">
        <v>9.6666666666666661</v>
      </c>
      <c r="AE27" s="1131">
        <v>5430</v>
      </c>
      <c r="AF27" s="1239">
        <v>8.7966666666666669</v>
      </c>
      <c r="AG27" s="1131">
        <v>4670</v>
      </c>
      <c r="AH27" s="1197">
        <v>41.080433333333332</v>
      </c>
      <c r="AI27" s="1240">
        <v>42.846588235294121</v>
      </c>
      <c r="AJ27" s="1131">
        <v>40.964285714285715</v>
      </c>
      <c r="AK27" s="1131">
        <v>379.2928571428572</v>
      </c>
      <c r="AL27" s="1131" t="s">
        <v>16</v>
      </c>
      <c r="AM27" s="1131" t="s">
        <v>16</v>
      </c>
      <c r="AN27" s="1131" t="s">
        <v>16</v>
      </c>
      <c r="AO27" s="1131">
        <v>58.667611764705889</v>
      </c>
      <c r="AP27" s="1239">
        <v>72.191341176470601</v>
      </c>
      <c r="AQ27" s="1131">
        <v>72.191341176470601</v>
      </c>
      <c r="AR27" s="1131">
        <v>0</v>
      </c>
      <c r="AS27" s="1243">
        <v>0.26174782042474276</v>
      </c>
      <c r="AT27" s="1197">
        <v>0</v>
      </c>
      <c r="AU27" s="1131">
        <v>788.17254901960791</v>
      </c>
      <c r="AV27" s="1131">
        <v>53.693826374238739</v>
      </c>
      <c r="AW27" s="1131">
        <v>-2.5945926043864187</v>
      </c>
      <c r="AX27" s="1239">
        <v>61.269760784313746</v>
      </c>
      <c r="AY27" s="1131">
        <v>2050</v>
      </c>
      <c r="AZ27" s="1242">
        <v>3.2030251141552504</v>
      </c>
      <c r="BA27" s="1243">
        <v>125.77974561637893</v>
      </c>
      <c r="BB27" s="1129"/>
      <c r="BC27" s="1131"/>
      <c r="BD27" s="1243">
        <v>7.2616000000000014</v>
      </c>
      <c r="BG27" s="637"/>
      <c r="BH27" s="379"/>
      <c r="BI27" s="379"/>
      <c r="BJ27" s="1238"/>
      <c r="BK27" s="1129"/>
      <c r="BL27" s="1129"/>
      <c r="BM27" s="1129"/>
      <c r="BN27" s="1129"/>
      <c r="BO27" s="1129"/>
      <c r="BP27" s="1237"/>
      <c r="BQ27" s="1240">
        <v>6</v>
      </c>
      <c r="BR27" s="1129">
        <v>2900</v>
      </c>
      <c r="BS27" s="1131">
        <v>17.399999999999999</v>
      </c>
      <c r="BT27" s="1241"/>
      <c r="BU27" s="1239"/>
      <c r="BV27" s="1131">
        <v>45.1</v>
      </c>
      <c r="BW27" s="1239">
        <v>0.76923076923076927</v>
      </c>
      <c r="BX27" s="1239">
        <v>10.809312638580931</v>
      </c>
      <c r="BY27" s="1239">
        <v>0</v>
      </c>
      <c r="BZ27" s="1239">
        <v>10.809312638580931</v>
      </c>
      <c r="CA27" s="1131">
        <v>2770</v>
      </c>
      <c r="CB27" s="1131">
        <v>0</v>
      </c>
      <c r="CC27" s="1197">
        <v>29.941796008869179</v>
      </c>
      <c r="CD27" s="1239">
        <v>12</v>
      </c>
      <c r="CE27" s="1239">
        <v>10.92</v>
      </c>
      <c r="CF27" s="1131">
        <v>2570</v>
      </c>
      <c r="CG27" s="1197">
        <v>28.064400000000003</v>
      </c>
      <c r="CH27" s="1240">
        <v>40.86188235294118</v>
      </c>
      <c r="CI27" s="1131">
        <v>40.109312638580931</v>
      </c>
      <c r="CJ27" s="1131">
        <v>357.52491912551994</v>
      </c>
      <c r="CK27" s="1131" t="s">
        <v>16</v>
      </c>
      <c r="CL27" s="1131" t="s">
        <v>16</v>
      </c>
      <c r="CM27" s="1131" t="s">
        <v>16</v>
      </c>
      <c r="CN27" s="1131">
        <v>52</v>
      </c>
      <c r="CO27" s="1131">
        <v>140</v>
      </c>
      <c r="CP27" s="1197">
        <v>7.0721249999999998</v>
      </c>
      <c r="CQ27" s="1131">
        <v>1325.7725490196081</v>
      </c>
      <c r="CR27" s="1131">
        <v>31.921010908918806</v>
      </c>
      <c r="CS27" s="1131">
        <v>-3</v>
      </c>
      <c r="CT27" s="1131">
        <v>106.06180392156864</v>
      </c>
      <c r="CU27" s="1131">
        <v>1480</v>
      </c>
      <c r="CV27" s="1197">
        <v>157.29049107610962</v>
      </c>
      <c r="CW27" s="1129"/>
      <c r="CX27" s="1131"/>
      <c r="CY27" s="1197">
        <v>7.2616000000000014</v>
      </c>
      <c r="DA27" s="637">
        <f t="shared" si="0"/>
        <v>0</v>
      </c>
      <c r="DB27" s="379">
        <f t="shared" si="1"/>
        <v>0</v>
      </c>
      <c r="DC27" s="379">
        <f t="shared" si="2"/>
        <v>0</v>
      </c>
      <c r="DD27" s="1238">
        <f t="shared" si="3"/>
        <v>0</v>
      </c>
      <c r="DE27" s="1129">
        <f t="shared" si="4"/>
        <v>0</v>
      </c>
      <c r="DF27" s="1129">
        <f t="shared" si="5"/>
        <v>0</v>
      </c>
      <c r="DG27" s="1129">
        <f t="shared" si="6"/>
        <v>0</v>
      </c>
      <c r="DH27" s="1129">
        <f t="shared" si="7"/>
        <v>0</v>
      </c>
      <c r="DI27" s="1129">
        <f t="shared" si="8"/>
        <v>0</v>
      </c>
      <c r="DJ27" s="1237">
        <f t="shared" si="9"/>
        <v>0</v>
      </c>
      <c r="DK27" s="1240">
        <f t="shared" si="10"/>
        <v>0</v>
      </c>
      <c r="DL27" s="1129">
        <f t="shared" si="11"/>
        <v>0</v>
      </c>
      <c r="DM27" s="1131">
        <f t="shared" si="12"/>
        <v>0</v>
      </c>
      <c r="DN27" s="1241">
        <f t="shared" si="13"/>
        <v>0</v>
      </c>
      <c r="DO27" s="1239">
        <f t="shared" si="14"/>
        <v>70</v>
      </c>
      <c r="DP27" s="1131">
        <f t="shared" si="15"/>
        <v>-44.330769230769235</v>
      </c>
      <c r="DQ27" s="1239">
        <f t="shared" si="16"/>
        <v>-0.76923076923076927</v>
      </c>
      <c r="DR27" s="1239">
        <f t="shared" si="17"/>
        <v>-4.4733126385809303</v>
      </c>
      <c r="DS27" s="1239">
        <f t="shared" si="18"/>
        <v>6.8530117428551129</v>
      </c>
      <c r="DT27" s="1239">
        <f t="shared" si="19"/>
        <v>-3.8450269242952171</v>
      </c>
      <c r="DU27" s="1131">
        <f t="shared" si="20"/>
        <v>198</v>
      </c>
      <c r="DV27" s="1131" t="e">
        <f>#REF!-CB27</f>
        <v>#REF!</v>
      </c>
      <c r="DW27" s="1197">
        <f t="shared" si="21"/>
        <v>-9.2717960088691811</v>
      </c>
      <c r="DX27" s="1239">
        <f t="shared" si="22"/>
        <v>-2.3333333333333339</v>
      </c>
      <c r="DY27" s="1239">
        <f t="shared" si="23"/>
        <v>-2.1233333333333331</v>
      </c>
      <c r="DZ27" s="1131">
        <f t="shared" si="24"/>
        <v>2100</v>
      </c>
      <c r="EA27" s="1197">
        <f t="shared" si="25"/>
        <v>13.016033333333329</v>
      </c>
      <c r="EB27" s="1240">
        <f t="shared" si="26"/>
        <v>1.9847058823529409</v>
      </c>
      <c r="EC27" s="1131">
        <f t="shared" si="27"/>
        <v>0.85497307570478398</v>
      </c>
      <c r="ED27" s="1131">
        <f t="shared" si="28"/>
        <v>21.767938017337258</v>
      </c>
      <c r="EE27" s="1131" t="e">
        <f t="shared" si="29"/>
        <v>#VALUE!</v>
      </c>
      <c r="EF27" s="1131" t="e">
        <f t="shared" si="30"/>
        <v>#VALUE!</v>
      </c>
      <c r="EG27" s="1131" t="e">
        <f t="shared" si="31"/>
        <v>#VALUE!</v>
      </c>
      <c r="EH27" s="1131">
        <f t="shared" si="32"/>
        <v>20.191341176470601</v>
      </c>
      <c r="EI27" s="1131">
        <f t="shared" si="33"/>
        <v>-140</v>
      </c>
      <c r="EJ27" s="1197">
        <f t="shared" si="34"/>
        <v>-7.0721249999999998</v>
      </c>
      <c r="EK27" s="1131">
        <f t="shared" si="35"/>
        <v>-537.60000000000014</v>
      </c>
      <c r="EL27" s="1131">
        <f t="shared" si="36"/>
        <v>21.772815465319933</v>
      </c>
      <c r="EM27" s="1131">
        <f t="shared" si="37"/>
        <v>0.4054073956135813</v>
      </c>
      <c r="EN27" s="1131">
        <f t="shared" si="40"/>
        <v>-44.792043137254893</v>
      </c>
      <c r="EO27" s="1131">
        <f t="shared" si="41"/>
        <v>570</v>
      </c>
      <c r="EP27" s="1197">
        <f t="shared" si="42"/>
        <v>-31.510745459730686</v>
      </c>
      <c r="EQ27" s="1129">
        <f t="shared" si="43"/>
        <v>0</v>
      </c>
      <c r="ER27" s="1131">
        <f t="shared" si="44"/>
        <v>0</v>
      </c>
      <c r="ES27" s="1197">
        <f t="shared" si="45"/>
        <v>0</v>
      </c>
    </row>
    <row r="28" spans="1:149">
      <c r="A28" s="634">
        <f>Eingabedaten!A31</f>
        <v>7.03</v>
      </c>
      <c r="B28" s="463" t="str">
        <f>Eingabedaten!C31</f>
        <v>Ausstellungshalle</v>
      </c>
      <c r="C28" s="637"/>
      <c r="D28" s="379"/>
      <c r="E28" s="379"/>
      <c r="F28" s="1238"/>
      <c r="G28" s="1129"/>
      <c r="H28" s="1129"/>
      <c r="I28" s="1129"/>
      <c r="J28" s="1129"/>
      <c r="K28" s="1129"/>
      <c r="L28" s="1129"/>
      <c r="M28" s="1129"/>
      <c r="N28" s="1237"/>
      <c r="O28" s="1240">
        <v>15</v>
      </c>
      <c r="P28" s="1131">
        <v>0</v>
      </c>
      <c r="Q28" s="1129">
        <v>2900</v>
      </c>
      <c r="R28" s="1131">
        <v>43.5</v>
      </c>
      <c r="S28" s="1239">
        <v>43.5</v>
      </c>
      <c r="T28" s="1131">
        <v>0</v>
      </c>
      <c r="U28" s="1240"/>
      <c r="V28" s="1240">
        <v>70</v>
      </c>
      <c r="W28" s="1834">
        <v>0.76923076923076927</v>
      </c>
      <c r="X28" s="1239"/>
      <c r="Y28" s="1239">
        <v>6.3360000000000003</v>
      </c>
      <c r="Z28" s="1239">
        <v>8.5024885930043634</v>
      </c>
      <c r="AA28" s="1239">
        <v>13.928571428571427</v>
      </c>
      <c r="AB28" s="1131">
        <v>3381</v>
      </c>
      <c r="AC28" s="1243">
        <v>47.092499999999994</v>
      </c>
      <c r="AD28" s="1242">
        <v>9.6666666666666661</v>
      </c>
      <c r="AE28" s="1131">
        <v>5430</v>
      </c>
      <c r="AF28" s="1239">
        <v>8.7966666666666669</v>
      </c>
      <c r="AG28" s="1131">
        <v>4670</v>
      </c>
      <c r="AH28" s="1197">
        <v>41.080433333333332</v>
      </c>
      <c r="AI28" s="1240">
        <v>42.846588235294121</v>
      </c>
      <c r="AJ28" s="1131">
        <v>56.928571428571431</v>
      </c>
      <c r="AK28" s="1131">
        <v>500.98571428571438</v>
      </c>
      <c r="AL28" s="1131" t="s">
        <v>16</v>
      </c>
      <c r="AM28" s="1131" t="s">
        <v>16</v>
      </c>
      <c r="AN28" s="1131" t="s">
        <v>16</v>
      </c>
      <c r="AO28" s="1131">
        <v>69.842611764705879</v>
      </c>
      <c r="AP28" s="1239">
        <v>81.191341176470601</v>
      </c>
      <c r="AQ28" s="1131">
        <v>81.191341176470601</v>
      </c>
      <c r="AR28" s="1131">
        <v>80</v>
      </c>
      <c r="AS28" s="1243">
        <v>6.749026798518031</v>
      </c>
      <c r="AT28" s="1197">
        <v>0</v>
      </c>
      <c r="AU28" s="1131">
        <v>788.17254901960791</v>
      </c>
      <c r="AV28" s="1131">
        <v>53.693826374238739</v>
      </c>
      <c r="AW28" s="1131">
        <v>-2.5945926043864187</v>
      </c>
      <c r="AX28" s="1239">
        <v>61.269760784313746</v>
      </c>
      <c r="AY28" s="1131">
        <v>1680</v>
      </c>
      <c r="AZ28" s="1242">
        <v>3.2030251141552504</v>
      </c>
      <c r="BA28" s="1243">
        <v>102.75881415268503</v>
      </c>
      <c r="BB28" s="1129"/>
      <c r="BC28" s="1131"/>
      <c r="BD28" s="1243">
        <v>7.2616000000000014</v>
      </c>
      <c r="BG28" s="637"/>
      <c r="BH28" s="379"/>
      <c r="BI28" s="379"/>
      <c r="BJ28" s="1238"/>
      <c r="BK28" s="1129"/>
      <c r="BL28" s="1129"/>
      <c r="BM28" s="1129"/>
      <c r="BN28" s="1129"/>
      <c r="BO28" s="1129"/>
      <c r="BP28" s="1237"/>
      <c r="BQ28" s="1240">
        <v>15</v>
      </c>
      <c r="BR28" s="1129">
        <v>2900</v>
      </c>
      <c r="BS28" s="1131">
        <v>43.5</v>
      </c>
      <c r="BT28" s="1241"/>
      <c r="BU28" s="1239"/>
      <c r="BV28" s="1131">
        <v>45.1</v>
      </c>
      <c r="BW28" s="1239">
        <v>0.76923076923076927</v>
      </c>
      <c r="BX28" s="1239">
        <v>10.809312638580931</v>
      </c>
      <c r="BY28" s="1239">
        <v>0</v>
      </c>
      <c r="BZ28" s="1239">
        <v>10.809312638580931</v>
      </c>
      <c r="CA28" s="1131">
        <v>2770</v>
      </c>
      <c r="CB28" s="1131">
        <v>0</v>
      </c>
      <c r="CC28" s="1197">
        <v>29.941796008869179</v>
      </c>
      <c r="CD28" s="1239">
        <v>12</v>
      </c>
      <c r="CE28" s="1239">
        <v>10.92</v>
      </c>
      <c r="CF28" s="1131">
        <v>2570</v>
      </c>
      <c r="CG28" s="1197">
        <v>28.064400000000003</v>
      </c>
      <c r="CH28" s="1240">
        <v>40.86188235294118</v>
      </c>
      <c r="CI28" s="1131">
        <v>49.109312638580931</v>
      </c>
      <c r="CJ28" s="1131">
        <v>458.32491912551995</v>
      </c>
      <c r="CK28" s="1131" t="s">
        <v>16</v>
      </c>
      <c r="CL28" s="1131" t="s">
        <v>16</v>
      </c>
      <c r="CM28" s="1131" t="s">
        <v>16</v>
      </c>
      <c r="CN28" s="1131">
        <v>60</v>
      </c>
      <c r="CO28" s="1131">
        <v>200</v>
      </c>
      <c r="CP28" s="1197">
        <v>12.175750000000001</v>
      </c>
      <c r="CQ28" s="1131">
        <v>1325.7725490196081</v>
      </c>
      <c r="CR28" s="1131">
        <v>31.921010908918806</v>
      </c>
      <c r="CS28" s="1131">
        <v>-3</v>
      </c>
      <c r="CT28" s="1131">
        <v>106.06180392156864</v>
      </c>
      <c r="CU28" s="1131">
        <v>1380</v>
      </c>
      <c r="CV28" s="1197">
        <v>146.61948555537373</v>
      </c>
      <c r="CW28" s="1129"/>
      <c r="CX28" s="1131"/>
      <c r="CY28" s="1197">
        <v>7.2616000000000014</v>
      </c>
      <c r="DA28" s="637">
        <f t="shared" si="0"/>
        <v>0</v>
      </c>
      <c r="DB28" s="379">
        <f t="shared" si="1"/>
        <v>0</v>
      </c>
      <c r="DC28" s="379">
        <f t="shared" si="2"/>
        <v>0</v>
      </c>
      <c r="DD28" s="1238">
        <f t="shared" si="3"/>
        <v>0</v>
      </c>
      <c r="DE28" s="1129">
        <f t="shared" si="4"/>
        <v>0</v>
      </c>
      <c r="DF28" s="1129">
        <f t="shared" si="5"/>
        <v>0</v>
      </c>
      <c r="DG28" s="1129">
        <f t="shared" si="6"/>
        <v>0</v>
      </c>
      <c r="DH28" s="1129">
        <f t="shared" si="7"/>
        <v>0</v>
      </c>
      <c r="DI28" s="1129">
        <f t="shared" si="8"/>
        <v>0</v>
      </c>
      <c r="DJ28" s="1237">
        <f t="shared" si="9"/>
        <v>0</v>
      </c>
      <c r="DK28" s="1240">
        <f t="shared" si="10"/>
        <v>0</v>
      </c>
      <c r="DL28" s="1129">
        <f t="shared" si="11"/>
        <v>0</v>
      </c>
      <c r="DM28" s="1131">
        <f t="shared" si="12"/>
        <v>0</v>
      </c>
      <c r="DN28" s="1241">
        <f t="shared" si="13"/>
        <v>0</v>
      </c>
      <c r="DO28" s="1239">
        <f t="shared" si="14"/>
        <v>70</v>
      </c>
      <c r="DP28" s="1131">
        <f t="shared" si="15"/>
        <v>-44.330769230769235</v>
      </c>
      <c r="DQ28" s="1239">
        <f t="shared" si="16"/>
        <v>-0.76923076923076927</v>
      </c>
      <c r="DR28" s="1239">
        <f t="shared" si="17"/>
        <v>-4.4733126385809303</v>
      </c>
      <c r="DS28" s="1239">
        <f t="shared" si="18"/>
        <v>8.5024885930043634</v>
      </c>
      <c r="DT28" s="1239">
        <f t="shared" si="19"/>
        <v>3.1192587899904964</v>
      </c>
      <c r="DU28" s="1131">
        <f t="shared" si="20"/>
        <v>611</v>
      </c>
      <c r="DV28" s="1131" t="e">
        <f>#REF!-CB28</f>
        <v>#REF!</v>
      </c>
      <c r="DW28" s="1197">
        <f t="shared" si="21"/>
        <v>17.150703991130815</v>
      </c>
      <c r="DX28" s="1239">
        <f t="shared" si="22"/>
        <v>-2.3333333333333339</v>
      </c>
      <c r="DY28" s="1239">
        <f t="shared" si="23"/>
        <v>-2.1233333333333331</v>
      </c>
      <c r="DZ28" s="1131">
        <f t="shared" si="24"/>
        <v>2100</v>
      </c>
      <c r="EA28" s="1197">
        <f t="shared" si="25"/>
        <v>13.016033333333329</v>
      </c>
      <c r="EB28" s="1240">
        <f t="shared" si="26"/>
        <v>1.9847058823529409</v>
      </c>
      <c r="EC28" s="1131">
        <f t="shared" si="27"/>
        <v>7.8192587899904993</v>
      </c>
      <c r="ED28" s="1131">
        <f t="shared" si="28"/>
        <v>42.660795160194425</v>
      </c>
      <c r="EE28" s="1131" t="e">
        <f t="shared" si="29"/>
        <v>#VALUE!</v>
      </c>
      <c r="EF28" s="1131" t="e">
        <f t="shared" si="30"/>
        <v>#VALUE!</v>
      </c>
      <c r="EG28" s="1131" t="e">
        <f t="shared" si="31"/>
        <v>#VALUE!</v>
      </c>
      <c r="EH28" s="1131">
        <f t="shared" si="32"/>
        <v>21.191341176470601</v>
      </c>
      <c r="EI28" s="1131">
        <f t="shared" si="33"/>
        <v>-120</v>
      </c>
      <c r="EJ28" s="1197">
        <f t="shared" si="34"/>
        <v>-12.175750000000001</v>
      </c>
      <c r="EK28" s="1131">
        <f t="shared" si="35"/>
        <v>-537.60000000000014</v>
      </c>
      <c r="EL28" s="1131">
        <f t="shared" si="36"/>
        <v>21.772815465319933</v>
      </c>
      <c r="EM28" s="1131">
        <f t="shared" si="37"/>
        <v>0.4054073956135813</v>
      </c>
      <c r="EN28" s="1131">
        <f t="shared" si="40"/>
        <v>-44.792043137254893</v>
      </c>
      <c r="EO28" s="1131">
        <f t="shared" si="41"/>
        <v>300</v>
      </c>
      <c r="EP28" s="1197">
        <f t="shared" si="42"/>
        <v>-43.860671402688695</v>
      </c>
      <c r="EQ28" s="1129">
        <f t="shared" si="43"/>
        <v>0</v>
      </c>
      <c r="ER28" s="1131">
        <f t="shared" si="44"/>
        <v>0</v>
      </c>
      <c r="ES28" s="1197">
        <f t="shared" si="45"/>
        <v>0</v>
      </c>
    </row>
    <row r="29" spans="1:149">
      <c r="A29" s="1301">
        <f>Eingabedaten!A32</f>
        <v>8.01</v>
      </c>
      <c r="B29" s="388" t="str">
        <f>Eingabedaten!C32</f>
        <v xml:space="preserve">Bettenzimmer </v>
      </c>
      <c r="C29" s="653"/>
      <c r="D29" s="386"/>
      <c r="E29" s="386"/>
      <c r="F29" s="1247"/>
      <c r="G29" s="1248"/>
      <c r="H29" s="1248"/>
      <c r="I29" s="1248"/>
      <c r="J29" s="1248"/>
      <c r="K29" s="1248"/>
      <c r="L29" s="1248"/>
      <c r="M29" s="1248"/>
      <c r="N29" s="1250"/>
      <c r="O29" s="1251">
        <v>8</v>
      </c>
      <c r="P29" s="1132">
        <v>0</v>
      </c>
      <c r="Q29" s="1248">
        <v>1750</v>
      </c>
      <c r="R29" s="1132">
        <v>14</v>
      </c>
      <c r="S29" s="1249">
        <v>14</v>
      </c>
      <c r="T29" s="1132">
        <v>0</v>
      </c>
      <c r="U29" s="1251"/>
      <c r="V29" s="1251">
        <v>70</v>
      </c>
      <c r="W29" s="1835">
        <v>0.78947368421052633</v>
      </c>
      <c r="X29" s="1249"/>
      <c r="Y29" s="1249">
        <v>7.6032000000000011</v>
      </c>
      <c r="Z29" s="1249">
        <v>7.6404249839959864</v>
      </c>
      <c r="AA29" s="1249">
        <v>6.7857142857142856</v>
      </c>
      <c r="AB29" s="1132">
        <v>1554</v>
      </c>
      <c r="AC29" s="1254">
        <v>10.545</v>
      </c>
      <c r="AD29" s="1253">
        <v>1.9333333333333333</v>
      </c>
      <c r="AE29" s="1132">
        <v>0</v>
      </c>
      <c r="AF29" s="1249">
        <v>0</v>
      </c>
      <c r="AG29" s="1132">
        <v>0</v>
      </c>
      <c r="AH29" s="1198">
        <v>0</v>
      </c>
      <c r="AI29" s="1251">
        <v>40.974274509803926</v>
      </c>
      <c r="AJ29" s="1132">
        <v>20.385714285714286</v>
      </c>
      <c r="AK29" s="1132">
        <v>202.75714285714284</v>
      </c>
      <c r="AL29" s="1132" t="s">
        <v>16</v>
      </c>
      <c r="AM29" s="1132" t="s">
        <v>16</v>
      </c>
      <c r="AN29" s="1132" t="s">
        <v>16</v>
      </c>
      <c r="AO29" s="1132">
        <v>42.951992156862744</v>
      </c>
      <c r="AP29" s="1249">
        <v>47.991369934640524</v>
      </c>
      <c r="AQ29" s="1132">
        <v>47.991369934640524</v>
      </c>
      <c r="AR29" s="1132">
        <v>10</v>
      </c>
      <c r="AS29" s="1254">
        <v>0.27596119297729971</v>
      </c>
      <c r="AT29" s="1198">
        <v>0</v>
      </c>
      <c r="AU29" s="1132">
        <v>54.517647058823528</v>
      </c>
      <c r="AV29" s="1132">
        <v>70.457919723780762</v>
      </c>
      <c r="AW29" s="1132">
        <v>-2.3431312041432886</v>
      </c>
      <c r="AX29" s="1249">
        <v>48.222571895424842</v>
      </c>
      <c r="AY29" s="1132">
        <v>1850</v>
      </c>
      <c r="AZ29" s="1253">
        <v>1.9333333333333333</v>
      </c>
      <c r="BA29" s="1254">
        <v>88.999439770117746</v>
      </c>
      <c r="BB29" s="1248"/>
      <c r="BC29" s="1132"/>
      <c r="BD29" s="1254">
        <v>67.744000000000014</v>
      </c>
      <c r="BG29" s="653"/>
      <c r="BH29" s="386"/>
      <c r="BI29" s="386"/>
      <c r="BJ29" s="1247"/>
      <c r="BK29" s="1248"/>
      <c r="BL29" s="1248"/>
      <c r="BM29" s="1248"/>
      <c r="BN29" s="1248"/>
      <c r="BO29" s="1248"/>
      <c r="BP29" s="1250"/>
      <c r="BQ29" s="1251">
        <v>6</v>
      </c>
      <c r="BR29" s="1248">
        <v>1750</v>
      </c>
      <c r="BS29" s="1132">
        <v>10.5</v>
      </c>
      <c r="BT29" s="1252"/>
      <c r="BU29" s="1249"/>
      <c r="BV29" s="1132">
        <v>35.1</v>
      </c>
      <c r="BW29" s="1249">
        <v>0.78947368421052633</v>
      </c>
      <c r="BX29" s="1249">
        <v>4.5109211775878437</v>
      </c>
      <c r="BY29" s="1249">
        <v>0</v>
      </c>
      <c r="BZ29" s="1249">
        <v>4.5109211775878437</v>
      </c>
      <c r="CA29" s="1132">
        <v>3020</v>
      </c>
      <c r="CB29" s="1132">
        <v>0</v>
      </c>
      <c r="CC29" s="1198">
        <v>13.622981956315289</v>
      </c>
      <c r="CD29" s="1249">
        <v>2.4</v>
      </c>
      <c r="CE29" s="1249">
        <v>0</v>
      </c>
      <c r="CF29" s="1132">
        <v>0</v>
      </c>
      <c r="CG29" s="1198">
        <v>0</v>
      </c>
      <c r="CH29" s="1251">
        <v>36.840862745098043</v>
      </c>
      <c r="CI29" s="1132">
        <v>15.210921177587842</v>
      </c>
      <c r="CJ29" s="1132">
        <v>173.55810292900239</v>
      </c>
      <c r="CK29" s="1132" t="s">
        <v>16</v>
      </c>
      <c r="CL29" s="1132" t="s">
        <v>16</v>
      </c>
      <c r="CM29" s="1132" t="s">
        <v>16</v>
      </c>
      <c r="CN29" s="1132">
        <v>30</v>
      </c>
      <c r="CO29" s="1132">
        <v>230</v>
      </c>
      <c r="CP29" s="1198">
        <v>6.9675000000000002</v>
      </c>
      <c r="CQ29" s="1132">
        <v>71.221647058823521</v>
      </c>
      <c r="CR29" s="1132">
        <v>53.933040846801376</v>
      </c>
      <c r="CS29" s="1132">
        <v>-2</v>
      </c>
      <c r="CT29" s="1132">
        <v>63.308130718954239</v>
      </c>
      <c r="CU29" s="1132">
        <v>1730</v>
      </c>
      <c r="CV29" s="1198">
        <v>109.26804724374223</v>
      </c>
      <c r="CW29" s="1248"/>
      <c r="CX29" s="1132"/>
      <c r="CY29" s="1198">
        <v>67.744000000000014</v>
      </c>
      <c r="DA29" s="653">
        <f t="shared" si="0"/>
        <v>0</v>
      </c>
      <c r="DB29" s="386">
        <f t="shared" si="1"/>
        <v>0</v>
      </c>
      <c r="DC29" s="386">
        <f t="shared" si="2"/>
        <v>0</v>
      </c>
      <c r="DD29" s="1247">
        <f t="shared" si="3"/>
        <v>0</v>
      </c>
      <c r="DE29" s="1248">
        <f t="shared" si="4"/>
        <v>0</v>
      </c>
      <c r="DF29" s="1248">
        <f t="shared" si="5"/>
        <v>0</v>
      </c>
      <c r="DG29" s="1248">
        <f t="shared" si="6"/>
        <v>0</v>
      </c>
      <c r="DH29" s="1248">
        <f t="shared" si="7"/>
        <v>0</v>
      </c>
      <c r="DI29" s="1248">
        <f t="shared" si="8"/>
        <v>0</v>
      </c>
      <c r="DJ29" s="1250">
        <f t="shared" si="9"/>
        <v>0</v>
      </c>
      <c r="DK29" s="1251">
        <f t="shared" si="10"/>
        <v>2</v>
      </c>
      <c r="DL29" s="1248">
        <f t="shared" si="11"/>
        <v>0</v>
      </c>
      <c r="DM29" s="1132">
        <f t="shared" si="12"/>
        <v>3.5</v>
      </c>
      <c r="DN29" s="1252">
        <f t="shared" si="13"/>
        <v>0</v>
      </c>
      <c r="DO29" s="1249">
        <f t="shared" si="14"/>
        <v>70</v>
      </c>
      <c r="DP29" s="1132">
        <f t="shared" si="15"/>
        <v>-34.310526315789474</v>
      </c>
      <c r="DQ29" s="1249">
        <f t="shared" si="16"/>
        <v>-0.78947368421052633</v>
      </c>
      <c r="DR29" s="1249">
        <f t="shared" si="17"/>
        <v>3.0922788224121573</v>
      </c>
      <c r="DS29" s="1249">
        <f t="shared" si="18"/>
        <v>7.6404249839959864</v>
      </c>
      <c r="DT29" s="1249">
        <f t="shared" si="19"/>
        <v>2.2747931081264419</v>
      </c>
      <c r="DU29" s="1132">
        <f t="shared" si="20"/>
        <v>-1466</v>
      </c>
      <c r="DV29" s="1132" t="e">
        <f>#REF!-CB29</f>
        <v>#REF!</v>
      </c>
      <c r="DW29" s="1198">
        <f t="shared" si="21"/>
        <v>-3.0779819563152895</v>
      </c>
      <c r="DX29" s="1249">
        <f t="shared" si="22"/>
        <v>-0.46666666666666656</v>
      </c>
      <c r="DY29" s="1249">
        <f t="shared" si="23"/>
        <v>0</v>
      </c>
      <c r="DZ29" s="1132">
        <f t="shared" si="24"/>
        <v>0</v>
      </c>
      <c r="EA29" s="1198">
        <f t="shared" si="25"/>
        <v>0</v>
      </c>
      <c r="EB29" s="1251">
        <f t="shared" si="26"/>
        <v>4.1334117647058832</v>
      </c>
      <c r="EC29" s="1132">
        <f t="shared" si="27"/>
        <v>5.174793108126444</v>
      </c>
      <c r="ED29" s="1132">
        <f t="shared" si="28"/>
        <v>29.199039928140451</v>
      </c>
      <c r="EE29" s="1132" t="e">
        <f t="shared" si="29"/>
        <v>#VALUE!</v>
      </c>
      <c r="EF29" s="1132" t="e">
        <f t="shared" si="30"/>
        <v>#VALUE!</v>
      </c>
      <c r="EG29" s="1132" t="e">
        <f t="shared" si="31"/>
        <v>#VALUE!</v>
      </c>
      <c r="EH29" s="1132">
        <f t="shared" si="32"/>
        <v>17.991369934640524</v>
      </c>
      <c r="EI29" s="1132">
        <f t="shared" si="33"/>
        <v>-220</v>
      </c>
      <c r="EJ29" s="1198">
        <f t="shared" si="34"/>
        <v>-6.9675000000000002</v>
      </c>
      <c r="EK29" s="1132">
        <f t="shared" si="35"/>
        <v>-16.703999999999994</v>
      </c>
      <c r="EL29" s="1132">
        <f t="shared" si="36"/>
        <v>16.524878876979386</v>
      </c>
      <c r="EM29" s="1132">
        <f t="shared" si="37"/>
        <v>-0.34313120414328857</v>
      </c>
      <c r="EN29" s="1132">
        <f t="shared" si="40"/>
        <v>-15.085558823529396</v>
      </c>
      <c r="EO29" s="1132">
        <f t="shared" si="41"/>
        <v>120</v>
      </c>
      <c r="EP29" s="1198">
        <f t="shared" si="42"/>
        <v>-20.268607473624485</v>
      </c>
      <c r="EQ29" s="1248">
        <f t="shared" si="43"/>
        <v>0</v>
      </c>
      <c r="ER29" s="1132">
        <f t="shared" si="44"/>
        <v>0</v>
      </c>
      <c r="ES29" s="1198">
        <f t="shared" si="45"/>
        <v>0</v>
      </c>
    </row>
    <row r="30" spans="1:149">
      <c r="A30" s="634">
        <f>Eingabedaten!A33</f>
        <v>8.02</v>
      </c>
      <c r="B30" s="463" t="str">
        <f>Eingabedaten!C33</f>
        <v xml:space="preserve">Stationszimmer </v>
      </c>
      <c r="C30" s="637"/>
      <c r="D30" s="379"/>
      <c r="E30" s="379"/>
      <c r="F30" s="1238"/>
      <c r="G30" s="1129"/>
      <c r="H30" s="1129"/>
      <c r="I30" s="1129"/>
      <c r="J30" s="1129"/>
      <c r="K30" s="1129"/>
      <c r="L30" s="1129"/>
      <c r="M30" s="1129"/>
      <c r="N30" s="1237"/>
      <c r="O30" s="1240">
        <v>15</v>
      </c>
      <c r="P30" s="1131">
        <v>0</v>
      </c>
      <c r="Q30" s="1129">
        <v>3150</v>
      </c>
      <c r="R30" s="1131">
        <v>47.25</v>
      </c>
      <c r="S30" s="1239">
        <v>47.25</v>
      </c>
      <c r="T30" s="1131">
        <v>0</v>
      </c>
      <c r="U30" s="1240"/>
      <c r="V30" s="1240">
        <v>70</v>
      </c>
      <c r="W30" s="1834">
        <v>0.71428571428571419</v>
      </c>
      <c r="X30" s="1239"/>
      <c r="Y30" s="1239">
        <v>6.3360000000000003</v>
      </c>
      <c r="Z30" s="1239">
        <v>6.6247701284943536</v>
      </c>
      <c r="AA30" s="1239">
        <v>12.500000000000002</v>
      </c>
      <c r="AB30" s="1131">
        <v>5730</v>
      </c>
      <c r="AC30" s="1243">
        <v>71.625000000000014</v>
      </c>
      <c r="AD30" s="1242">
        <v>9.6666666666666661</v>
      </c>
      <c r="AE30" s="1131">
        <v>0</v>
      </c>
      <c r="AF30" s="1239">
        <v>0</v>
      </c>
      <c r="AG30" s="1131">
        <v>0</v>
      </c>
      <c r="AH30" s="1197">
        <v>0</v>
      </c>
      <c r="AI30" s="1240">
        <v>55.588580392156871</v>
      </c>
      <c r="AJ30" s="1131">
        <v>55.5</v>
      </c>
      <c r="AK30" s="1131">
        <v>501.90000000000015</v>
      </c>
      <c r="AL30" s="1131" t="s">
        <v>16</v>
      </c>
      <c r="AM30" s="1131" t="s">
        <v>16</v>
      </c>
      <c r="AN30" s="1131" t="s">
        <v>16</v>
      </c>
      <c r="AO30" s="1131">
        <v>77.762006274509801</v>
      </c>
      <c r="AP30" s="1239">
        <v>90.611717647058825</v>
      </c>
      <c r="AQ30" s="1131">
        <v>90.611717647058825</v>
      </c>
      <c r="AR30" s="1131">
        <v>190</v>
      </c>
      <c r="AS30" s="1243">
        <v>17.434127401163078</v>
      </c>
      <c r="AT30" s="1197">
        <v>0</v>
      </c>
      <c r="AU30" s="1131">
        <v>46.785882352941179</v>
      </c>
      <c r="AV30" s="1131">
        <v>82.640313820156905</v>
      </c>
      <c r="AW30" s="1131">
        <v>-2.1603952926976464</v>
      </c>
      <c r="AX30" s="1239">
        <v>39.846490196078435</v>
      </c>
      <c r="AY30" s="1131">
        <v>1710</v>
      </c>
      <c r="AZ30" s="1242">
        <v>4.726712328767122</v>
      </c>
      <c r="BA30" s="1243">
        <v>68.162783189850344</v>
      </c>
      <c r="BB30" s="1129"/>
      <c r="BC30" s="1131"/>
      <c r="BD30" s="1197">
        <v>0</v>
      </c>
      <c r="BG30" s="637"/>
      <c r="BH30" s="379"/>
      <c r="BI30" s="379"/>
      <c r="BJ30" s="1238"/>
      <c r="BK30" s="1129"/>
      <c r="BL30" s="1129"/>
      <c r="BM30" s="1129"/>
      <c r="BN30" s="1129"/>
      <c r="BO30" s="1129"/>
      <c r="BP30" s="1237"/>
      <c r="BQ30" s="1240">
        <v>15</v>
      </c>
      <c r="BR30" s="1129">
        <v>3150</v>
      </c>
      <c r="BS30" s="1131">
        <v>47.25</v>
      </c>
      <c r="BT30" s="1241"/>
      <c r="BU30" s="1239"/>
      <c r="BV30" s="1131">
        <v>55.1</v>
      </c>
      <c r="BW30" s="1239">
        <v>0.71428571428571419</v>
      </c>
      <c r="BX30" s="1239">
        <v>15.880217785843922</v>
      </c>
      <c r="BY30" s="1239">
        <v>0</v>
      </c>
      <c r="BZ30" s="1239">
        <v>15.880217785843922</v>
      </c>
      <c r="CA30" s="1131">
        <v>5480</v>
      </c>
      <c r="CB30" s="1131">
        <v>0</v>
      </c>
      <c r="CC30" s="1197">
        <v>87.0235934664247</v>
      </c>
      <c r="CD30" s="1239">
        <v>12</v>
      </c>
      <c r="CE30" s="1239">
        <v>0</v>
      </c>
      <c r="CF30" s="1131">
        <v>0</v>
      </c>
      <c r="CG30" s="1197">
        <v>0</v>
      </c>
      <c r="CH30" s="1240">
        <v>58.498352941176478</v>
      </c>
      <c r="CI30" s="1131">
        <v>54.180217785843922</v>
      </c>
      <c r="CJ30" s="1131">
        <v>601.10424017622427</v>
      </c>
      <c r="CK30" s="1131" t="s">
        <v>16</v>
      </c>
      <c r="CL30" s="1131" t="s">
        <v>16</v>
      </c>
      <c r="CM30" s="1131" t="s">
        <v>16</v>
      </c>
      <c r="CN30" s="1131">
        <v>65</v>
      </c>
      <c r="CO30" s="1131">
        <v>400</v>
      </c>
      <c r="CP30" s="1197">
        <v>25.998333333333335</v>
      </c>
      <c r="CQ30" s="1131">
        <v>171.2018823529412</v>
      </c>
      <c r="CR30" s="1131">
        <v>22.583863838770323</v>
      </c>
      <c r="CS30" s="1131">
        <v>-3</v>
      </c>
      <c r="CT30" s="1131">
        <v>152.17945098039218</v>
      </c>
      <c r="CU30" s="1131">
        <v>490</v>
      </c>
      <c r="CV30" s="1197">
        <v>74.653654031774451</v>
      </c>
      <c r="CW30" s="1129"/>
      <c r="CX30" s="1131"/>
      <c r="CY30" s="1197">
        <v>0</v>
      </c>
      <c r="DA30" s="637">
        <f t="shared" si="0"/>
        <v>0</v>
      </c>
      <c r="DB30" s="379">
        <f t="shared" si="1"/>
        <v>0</v>
      </c>
      <c r="DC30" s="379">
        <f t="shared" si="2"/>
        <v>0</v>
      </c>
      <c r="DD30" s="1238">
        <f t="shared" si="3"/>
        <v>0</v>
      </c>
      <c r="DE30" s="1129">
        <f t="shared" si="4"/>
        <v>0</v>
      </c>
      <c r="DF30" s="1129">
        <f t="shared" si="5"/>
        <v>0</v>
      </c>
      <c r="DG30" s="1129">
        <f t="shared" si="6"/>
        <v>0</v>
      </c>
      <c r="DH30" s="1129">
        <f t="shared" si="7"/>
        <v>0</v>
      </c>
      <c r="DI30" s="1129">
        <f t="shared" si="8"/>
        <v>0</v>
      </c>
      <c r="DJ30" s="1237">
        <f t="shared" si="9"/>
        <v>0</v>
      </c>
      <c r="DK30" s="1240">
        <f t="shared" si="10"/>
        <v>0</v>
      </c>
      <c r="DL30" s="1129">
        <f t="shared" si="11"/>
        <v>0</v>
      </c>
      <c r="DM30" s="1131">
        <f t="shared" si="12"/>
        <v>0</v>
      </c>
      <c r="DN30" s="1241">
        <f t="shared" si="13"/>
        <v>0</v>
      </c>
      <c r="DO30" s="1239">
        <f t="shared" si="14"/>
        <v>70</v>
      </c>
      <c r="DP30" s="1131">
        <f t="shared" si="15"/>
        <v>-54.385714285714286</v>
      </c>
      <c r="DQ30" s="1239">
        <f t="shared" si="16"/>
        <v>-0.71428571428571419</v>
      </c>
      <c r="DR30" s="1239">
        <f t="shared" si="17"/>
        <v>-9.5442177858439212</v>
      </c>
      <c r="DS30" s="1239">
        <f t="shared" si="18"/>
        <v>6.6247701284943536</v>
      </c>
      <c r="DT30" s="1239">
        <f t="shared" si="19"/>
        <v>-3.3802177858439197</v>
      </c>
      <c r="DU30" s="1131">
        <f t="shared" si="20"/>
        <v>250</v>
      </c>
      <c r="DV30" s="1131" t="e">
        <f>#REF!-CB30</f>
        <v>#REF!</v>
      </c>
      <c r="DW30" s="1197">
        <f t="shared" si="21"/>
        <v>-15.398593466424686</v>
      </c>
      <c r="DX30" s="1239">
        <f t="shared" si="22"/>
        <v>-2.3333333333333339</v>
      </c>
      <c r="DY30" s="1239">
        <f t="shared" si="23"/>
        <v>0</v>
      </c>
      <c r="DZ30" s="1131">
        <f t="shared" si="24"/>
        <v>0</v>
      </c>
      <c r="EA30" s="1197">
        <f t="shared" si="25"/>
        <v>0</v>
      </c>
      <c r="EB30" s="1240">
        <f t="shared" si="26"/>
        <v>-2.9097725490196069</v>
      </c>
      <c r="EC30" s="1131">
        <f t="shared" si="27"/>
        <v>1.3197822141560778</v>
      </c>
      <c r="ED30" s="1131">
        <f t="shared" si="28"/>
        <v>-99.204240176224118</v>
      </c>
      <c r="EE30" s="1131" t="e">
        <f t="shared" si="29"/>
        <v>#VALUE!</v>
      </c>
      <c r="EF30" s="1131" t="e">
        <f t="shared" si="30"/>
        <v>#VALUE!</v>
      </c>
      <c r="EG30" s="1131" t="e">
        <f t="shared" si="31"/>
        <v>#VALUE!</v>
      </c>
      <c r="EH30" s="1131">
        <f t="shared" si="32"/>
        <v>25.611717647058825</v>
      </c>
      <c r="EI30" s="1131">
        <f t="shared" si="33"/>
        <v>-210</v>
      </c>
      <c r="EJ30" s="1197">
        <f t="shared" si="34"/>
        <v>-25.998333333333335</v>
      </c>
      <c r="EK30" s="1131">
        <f t="shared" si="35"/>
        <v>-124.41600000000003</v>
      </c>
      <c r="EL30" s="1131">
        <f t="shared" si="36"/>
        <v>60.056449981386578</v>
      </c>
      <c r="EM30" s="1131">
        <f t="shared" si="37"/>
        <v>0.83960470730235359</v>
      </c>
      <c r="EN30" s="1131">
        <f t="shared" si="40"/>
        <v>-112.33296078431374</v>
      </c>
      <c r="EO30" s="1131">
        <f t="shared" si="41"/>
        <v>1220</v>
      </c>
      <c r="EP30" s="1197">
        <f t="shared" si="42"/>
        <v>-6.4908708419241066</v>
      </c>
      <c r="EQ30" s="1129">
        <f t="shared" si="43"/>
        <v>0</v>
      </c>
      <c r="ER30" s="1131">
        <f t="shared" si="44"/>
        <v>0</v>
      </c>
      <c r="ES30" s="1197">
        <f t="shared" si="45"/>
        <v>0</v>
      </c>
    </row>
    <row r="31" spans="1:149">
      <c r="A31" s="638">
        <f>Eingabedaten!A34</f>
        <v>8.0299999999999994</v>
      </c>
      <c r="B31" s="592" t="str">
        <f>Eingabedaten!C34</f>
        <v>Behandlungsraum</v>
      </c>
      <c r="C31" s="654"/>
      <c r="D31" s="387"/>
      <c r="E31" s="387"/>
      <c r="F31" s="1227"/>
      <c r="G31" s="1130"/>
      <c r="H31" s="1130"/>
      <c r="I31" s="1130"/>
      <c r="J31" s="1130"/>
      <c r="K31" s="1130"/>
      <c r="L31" s="1130"/>
      <c r="M31" s="1130"/>
      <c r="N31" s="1229"/>
      <c r="O31" s="1255">
        <v>20</v>
      </c>
      <c r="P31" s="1133">
        <v>20</v>
      </c>
      <c r="Q31" s="1130">
        <v>2180</v>
      </c>
      <c r="R31" s="1133">
        <v>43.6</v>
      </c>
      <c r="S31" s="1228">
        <v>43.6</v>
      </c>
      <c r="T31" s="1133">
        <v>43.6</v>
      </c>
      <c r="U31" s="1255"/>
      <c r="V31" s="1255">
        <v>70</v>
      </c>
      <c r="W31" s="1836">
        <v>0.71428571428571419</v>
      </c>
      <c r="X31" s="1228"/>
      <c r="Y31" s="1228">
        <v>6.3360000000000003</v>
      </c>
      <c r="Z31" s="1228">
        <v>7.6755366655352493</v>
      </c>
      <c r="AA31" s="1228">
        <v>18.750000000000004</v>
      </c>
      <c r="AB31" s="1133">
        <v>1922</v>
      </c>
      <c r="AC31" s="1196">
        <v>36.037500000000009</v>
      </c>
      <c r="AD31" s="1257">
        <v>5.8</v>
      </c>
      <c r="AE31" s="1133">
        <v>0</v>
      </c>
      <c r="AF31" s="1228">
        <v>0</v>
      </c>
      <c r="AG31" s="1133">
        <v>0</v>
      </c>
      <c r="AH31" s="1199">
        <v>0</v>
      </c>
      <c r="AI31" s="1255">
        <v>54.564329411764703</v>
      </c>
      <c r="AJ31" s="1133">
        <v>55.55</v>
      </c>
      <c r="AK31" s="1133">
        <v>286.95999999999998</v>
      </c>
      <c r="AL31" s="1133" t="s">
        <v>16</v>
      </c>
      <c r="AM31" s="1133" t="s">
        <v>16</v>
      </c>
      <c r="AN31" s="1133" t="s">
        <v>16</v>
      </c>
      <c r="AO31" s="1133">
        <v>77.080030588235289</v>
      </c>
      <c r="AP31" s="1228">
        <v>86.432564705882356</v>
      </c>
      <c r="AQ31" s="1133">
        <v>106.43256470588236</v>
      </c>
      <c r="AR31" s="1133">
        <v>50</v>
      </c>
      <c r="AS31" s="1196">
        <v>4.3669331071856234</v>
      </c>
      <c r="AT31" s="1199">
        <v>0</v>
      </c>
      <c r="AU31" s="1133">
        <v>65.42117647058825</v>
      </c>
      <c r="AV31" s="1133">
        <v>61.576391886059547</v>
      </c>
      <c r="AW31" s="1133">
        <v>-2.4763541217091065</v>
      </c>
      <c r="AX31" s="1228">
        <v>58.10918627450981</v>
      </c>
      <c r="AY31" s="1133">
        <v>1500</v>
      </c>
      <c r="AZ31" s="1257">
        <v>1.9324200913242009</v>
      </c>
      <c r="BA31" s="1196">
        <v>87.203888871344631</v>
      </c>
      <c r="BB31" s="1130"/>
      <c r="BC31" s="1133"/>
      <c r="BD31" s="1199">
        <v>0</v>
      </c>
      <c r="BG31" s="654"/>
      <c r="BH31" s="387"/>
      <c r="BI31" s="387"/>
      <c r="BJ31" s="1227"/>
      <c r="BK31" s="1130"/>
      <c r="BL31" s="1130"/>
      <c r="BM31" s="1130"/>
      <c r="BN31" s="1130"/>
      <c r="BO31" s="1130"/>
      <c r="BP31" s="1229"/>
      <c r="BQ31" s="1255">
        <v>30</v>
      </c>
      <c r="BR31" s="1130">
        <v>2180</v>
      </c>
      <c r="BS31" s="1133">
        <v>65.400000000000006</v>
      </c>
      <c r="BT31" s="1256"/>
      <c r="BU31" s="1228"/>
      <c r="BV31" s="1133">
        <v>55.1</v>
      </c>
      <c r="BW31" s="1228">
        <v>0.71428571428571419</v>
      </c>
      <c r="BX31" s="1228">
        <v>15.880217785843922</v>
      </c>
      <c r="BY31" s="1228">
        <v>0</v>
      </c>
      <c r="BZ31" s="1228">
        <v>15.880217785843922</v>
      </c>
      <c r="CA31" s="1133">
        <v>1450</v>
      </c>
      <c r="CB31" s="1133">
        <v>0</v>
      </c>
      <c r="CC31" s="1199">
        <v>23.026315789473689</v>
      </c>
      <c r="CD31" s="1228">
        <v>7.2</v>
      </c>
      <c r="CE31" s="1228">
        <v>0</v>
      </c>
      <c r="CF31" s="1133">
        <v>0</v>
      </c>
      <c r="CG31" s="1199">
        <v>0</v>
      </c>
      <c r="CH31" s="1255">
        <v>52.388235294117649</v>
      </c>
      <c r="CI31" s="1133">
        <v>59.880217785843925</v>
      </c>
      <c r="CJ31" s="1133">
        <v>362.58184453194121</v>
      </c>
      <c r="CK31" s="1133" t="s">
        <v>16</v>
      </c>
      <c r="CL31" s="1133" t="s">
        <v>16</v>
      </c>
      <c r="CM31" s="1133" t="s">
        <v>16</v>
      </c>
      <c r="CN31" s="1133">
        <v>57</v>
      </c>
      <c r="CO31" s="1133">
        <v>320</v>
      </c>
      <c r="CP31" s="1199">
        <v>18.392499999999998</v>
      </c>
      <c r="CQ31" s="1133">
        <v>134.54117647058823</v>
      </c>
      <c r="CR31" s="1133">
        <v>29.941762854144809</v>
      </c>
      <c r="CS31" s="1133">
        <v>-3</v>
      </c>
      <c r="CT31" s="1133">
        <v>123.32941176470588</v>
      </c>
      <c r="CU31" s="1133">
        <v>610</v>
      </c>
      <c r="CV31" s="1199">
        <v>75.743536726688376</v>
      </c>
      <c r="CW31" s="1130"/>
      <c r="CX31" s="1133"/>
      <c r="CY31" s="1199">
        <v>0</v>
      </c>
      <c r="DA31" s="654">
        <f t="shared" si="0"/>
        <v>0</v>
      </c>
      <c r="DB31" s="387">
        <f t="shared" si="1"/>
        <v>0</v>
      </c>
      <c r="DC31" s="387">
        <f t="shared" si="2"/>
        <v>0</v>
      </c>
      <c r="DD31" s="1227">
        <f t="shared" si="3"/>
        <v>0</v>
      </c>
      <c r="DE31" s="1130">
        <f t="shared" si="4"/>
        <v>0</v>
      </c>
      <c r="DF31" s="1130">
        <f t="shared" si="5"/>
        <v>0</v>
      </c>
      <c r="DG31" s="1130">
        <f t="shared" si="6"/>
        <v>0</v>
      </c>
      <c r="DH31" s="1130">
        <f t="shared" si="7"/>
        <v>0</v>
      </c>
      <c r="DI31" s="1130">
        <f t="shared" si="8"/>
        <v>0</v>
      </c>
      <c r="DJ31" s="1229">
        <f t="shared" si="9"/>
        <v>0</v>
      </c>
      <c r="DK31" s="1255">
        <f t="shared" si="10"/>
        <v>-10</v>
      </c>
      <c r="DL31" s="1130">
        <f t="shared" si="11"/>
        <v>0</v>
      </c>
      <c r="DM31" s="1133">
        <f t="shared" si="12"/>
        <v>-21.800000000000004</v>
      </c>
      <c r="DN31" s="1256">
        <f t="shared" si="13"/>
        <v>0</v>
      </c>
      <c r="DO31" s="1228">
        <f t="shared" si="14"/>
        <v>70</v>
      </c>
      <c r="DP31" s="1133">
        <f t="shared" si="15"/>
        <v>-54.385714285714286</v>
      </c>
      <c r="DQ31" s="1228">
        <f t="shared" si="16"/>
        <v>-0.71428571428571419</v>
      </c>
      <c r="DR31" s="1228">
        <f t="shared" si="17"/>
        <v>-9.5442177858439212</v>
      </c>
      <c r="DS31" s="1228">
        <f t="shared" si="18"/>
        <v>7.6755366655352493</v>
      </c>
      <c r="DT31" s="1228">
        <f t="shared" si="19"/>
        <v>2.869782214156082</v>
      </c>
      <c r="DU31" s="1133">
        <f t="shared" si="20"/>
        <v>472</v>
      </c>
      <c r="DV31" s="1133" t="e">
        <f>#REF!-CB31</f>
        <v>#REF!</v>
      </c>
      <c r="DW31" s="1199">
        <f t="shared" si="21"/>
        <v>13.01118421052632</v>
      </c>
      <c r="DX31" s="1228">
        <f t="shared" si="22"/>
        <v>-1.4000000000000004</v>
      </c>
      <c r="DY31" s="1228">
        <f t="shared" si="23"/>
        <v>0</v>
      </c>
      <c r="DZ31" s="1133">
        <f t="shared" si="24"/>
        <v>0</v>
      </c>
      <c r="EA31" s="1199">
        <f t="shared" si="25"/>
        <v>0</v>
      </c>
      <c r="EB31" s="1255">
        <f t="shared" si="26"/>
        <v>2.1760941176470538</v>
      </c>
      <c r="EC31" s="1133">
        <f t="shared" si="27"/>
        <v>-4.3302177858439279</v>
      </c>
      <c r="ED31" s="1133">
        <f t="shared" si="28"/>
        <v>-75.621844531941235</v>
      </c>
      <c r="EE31" s="1133" t="e">
        <f t="shared" si="29"/>
        <v>#VALUE!</v>
      </c>
      <c r="EF31" s="1133" t="e">
        <f t="shared" si="30"/>
        <v>#VALUE!</v>
      </c>
      <c r="EG31" s="1133" t="e">
        <f t="shared" si="31"/>
        <v>#VALUE!</v>
      </c>
      <c r="EH31" s="1133">
        <f t="shared" si="32"/>
        <v>49.432564705882356</v>
      </c>
      <c r="EI31" s="1133">
        <f t="shared" si="33"/>
        <v>-270</v>
      </c>
      <c r="EJ31" s="1199">
        <f t="shared" si="34"/>
        <v>-18.392499999999998</v>
      </c>
      <c r="EK31" s="1133">
        <f t="shared" si="35"/>
        <v>-69.119999999999976</v>
      </c>
      <c r="EL31" s="1133">
        <f t="shared" si="36"/>
        <v>31.634629031914738</v>
      </c>
      <c r="EM31" s="1133">
        <f t="shared" si="37"/>
        <v>0.52364587829089349</v>
      </c>
      <c r="EN31" s="1133">
        <f t="shared" si="40"/>
        <v>-65.220225490196071</v>
      </c>
      <c r="EO31" s="1133">
        <f t="shared" si="41"/>
        <v>890</v>
      </c>
      <c r="EP31" s="1199">
        <f t="shared" si="42"/>
        <v>11.460352144656255</v>
      </c>
      <c r="EQ31" s="1130">
        <f t="shared" si="43"/>
        <v>0</v>
      </c>
      <c r="ER31" s="1133">
        <f t="shared" si="44"/>
        <v>0</v>
      </c>
      <c r="ES31" s="1199">
        <f t="shared" si="45"/>
        <v>0</v>
      </c>
    </row>
    <row r="32" spans="1:149">
      <c r="A32" s="1472">
        <f>Eingabedaten!A35</f>
        <v>9.01</v>
      </c>
      <c r="B32" s="388" t="str">
        <f>Eingabedaten!C35</f>
        <v>Produktion (grobe Arbeit)</v>
      </c>
      <c r="C32" s="653"/>
      <c r="D32" s="386"/>
      <c r="E32" s="386"/>
      <c r="F32" s="1247"/>
      <c r="G32" s="1248"/>
      <c r="H32" s="1248"/>
      <c r="I32" s="1248"/>
      <c r="J32" s="1248"/>
      <c r="K32" s="1248"/>
      <c r="L32" s="1248"/>
      <c r="M32" s="1248"/>
      <c r="N32" s="1250"/>
      <c r="O32" s="1251">
        <v>10</v>
      </c>
      <c r="P32" s="1132">
        <v>30</v>
      </c>
      <c r="Q32" s="1248">
        <v>3360</v>
      </c>
      <c r="R32" s="1132">
        <v>33.6</v>
      </c>
      <c r="S32" s="1249">
        <v>33.6</v>
      </c>
      <c r="T32" s="1132">
        <v>100.8</v>
      </c>
      <c r="U32" s="1251"/>
      <c r="V32" s="1251">
        <v>70</v>
      </c>
      <c r="W32" s="1835">
        <v>0.76923076923076927</v>
      </c>
      <c r="X32" s="1249"/>
      <c r="Y32" s="1249">
        <v>6.3360000000000003</v>
      </c>
      <c r="Z32" s="1249">
        <v>6.8530117428551129</v>
      </c>
      <c r="AA32" s="1249">
        <v>6.9642857142857135</v>
      </c>
      <c r="AB32" s="1132">
        <v>4145</v>
      </c>
      <c r="AC32" s="1254">
        <v>28.866964285714282</v>
      </c>
      <c r="AD32" s="1253">
        <v>3.2222222222222223</v>
      </c>
      <c r="AE32" s="1132">
        <v>5110</v>
      </c>
      <c r="AF32" s="1249">
        <v>2.9322222222222223</v>
      </c>
      <c r="AG32" s="1132">
        <v>4090</v>
      </c>
      <c r="AH32" s="1198">
        <v>11.992788888888889</v>
      </c>
      <c r="AI32" s="1251">
        <v>29.938373856209154</v>
      </c>
      <c r="AJ32" s="1132">
        <v>18.897619047619045</v>
      </c>
      <c r="AK32" s="1132">
        <v>190.34619047619046</v>
      </c>
      <c r="AL32" s="1132" t="s">
        <v>16</v>
      </c>
      <c r="AM32" s="1132" t="s">
        <v>16</v>
      </c>
      <c r="AN32" s="1132" t="s">
        <v>16</v>
      </c>
      <c r="AO32" s="1132">
        <v>34.185195032679736</v>
      </c>
      <c r="AP32" s="1249">
        <v>0</v>
      </c>
      <c r="AQ32" s="1132">
        <v>67.638504575163395</v>
      </c>
      <c r="AR32" s="1132">
        <v>0</v>
      </c>
      <c r="AS32" s="1198">
        <v>0</v>
      </c>
      <c r="AT32" s="1198">
        <v>0</v>
      </c>
      <c r="AU32" s="1132">
        <v>788.17254901960791</v>
      </c>
      <c r="AV32" s="1132">
        <v>53.693826374238739</v>
      </c>
      <c r="AW32" s="1132">
        <v>-2.5945926043864187</v>
      </c>
      <c r="AX32" s="1249">
        <v>55.358466666666686</v>
      </c>
      <c r="AY32" s="1132">
        <v>1520</v>
      </c>
      <c r="AZ32" s="1253">
        <v>1.1523148148148148</v>
      </c>
      <c r="BA32" s="1254">
        <v>83.958276475684798</v>
      </c>
      <c r="BB32" s="1248"/>
      <c r="BC32" s="1132"/>
      <c r="BD32" s="1254">
        <v>2.4220800000000007</v>
      </c>
      <c r="BG32" s="653"/>
      <c r="BH32" s="386"/>
      <c r="BI32" s="386"/>
      <c r="BJ32" s="1247"/>
      <c r="BK32" s="1248"/>
      <c r="BL32" s="1248"/>
      <c r="BM32" s="1248"/>
      <c r="BN32" s="1248"/>
      <c r="BO32" s="1248"/>
      <c r="BP32" s="1250"/>
      <c r="BQ32" s="1251">
        <v>15</v>
      </c>
      <c r="BR32" s="1248">
        <v>3360</v>
      </c>
      <c r="BS32" s="1132">
        <v>50.4</v>
      </c>
      <c r="BT32" s="1252"/>
      <c r="BU32" s="1249"/>
      <c r="BV32" s="1132">
        <v>45.1</v>
      </c>
      <c r="BW32" s="1249">
        <v>0.76923076923076927</v>
      </c>
      <c r="BX32" s="1249">
        <v>10.809312638580931</v>
      </c>
      <c r="BY32" s="1249">
        <v>0</v>
      </c>
      <c r="BZ32" s="1249">
        <v>10.809312638580931</v>
      </c>
      <c r="CA32" s="1132">
        <v>3980</v>
      </c>
      <c r="CB32" s="1132">
        <v>0</v>
      </c>
      <c r="CC32" s="1198">
        <v>43.021064301552109</v>
      </c>
      <c r="CD32" s="1249">
        <v>10</v>
      </c>
      <c r="CE32" s="1249">
        <v>9.1</v>
      </c>
      <c r="CF32" s="1132">
        <v>4990</v>
      </c>
      <c r="CG32" s="1198">
        <v>45.408999999999999</v>
      </c>
      <c r="CH32" s="1251">
        <v>26.964156862745103</v>
      </c>
      <c r="CI32" s="1132">
        <v>31.809312638580931</v>
      </c>
      <c r="CJ32" s="1132">
        <v>432.67942023416742</v>
      </c>
      <c r="CK32" s="1132" t="s">
        <v>16</v>
      </c>
      <c r="CL32" s="1132" t="s">
        <v>16</v>
      </c>
      <c r="CM32" s="1132" t="s">
        <v>16</v>
      </c>
      <c r="CN32" s="1132">
        <v>28</v>
      </c>
      <c r="CO32" s="1132">
        <v>0</v>
      </c>
      <c r="CP32" s="1198">
        <v>0.12565000000000001</v>
      </c>
      <c r="CQ32" s="1132">
        <v>1197.7725490196081</v>
      </c>
      <c r="CR32" s="1132">
        <v>35.33225071374315</v>
      </c>
      <c r="CS32" s="1132">
        <v>-3</v>
      </c>
      <c r="CT32" s="1132">
        <v>86.838509803921582</v>
      </c>
      <c r="CU32" s="1132">
        <v>1290</v>
      </c>
      <c r="CV32" s="1198">
        <v>111.71323198443056</v>
      </c>
      <c r="CW32" s="1248"/>
      <c r="CX32" s="1132"/>
      <c r="CY32" s="1198">
        <v>2.4220800000000007</v>
      </c>
      <c r="DA32" s="653">
        <f t="shared" si="0"/>
        <v>0</v>
      </c>
      <c r="DB32" s="386">
        <f t="shared" si="1"/>
        <v>0</v>
      </c>
      <c r="DC32" s="386">
        <f t="shared" si="2"/>
        <v>0</v>
      </c>
      <c r="DD32" s="1247">
        <f t="shared" si="3"/>
        <v>0</v>
      </c>
      <c r="DE32" s="1248">
        <f t="shared" si="4"/>
        <v>0</v>
      </c>
      <c r="DF32" s="1248">
        <f t="shared" si="5"/>
        <v>0</v>
      </c>
      <c r="DG32" s="1248">
        <f t="shared" si="6"/>
        <v>0</v>
      </c>
      <c r="DH32" s="1248">
        <f t="shared" si="7"/>
        <v>0</v>
      </c>
      <c r="DI32" s="1248">
        <f t="shared" si="8"/>
        <v>0</v>
      </c>
      <c r="DJ32" s="1250">
        <f t="shared" si="9"/>
        <v>0</v>
      </c>
      <c r="DK32" s="1251">
        <f t="shared" si="10"/>
        <v>-5</v>
      </c>
      <c r="DL32" s="1248">
        <f t="shared" si="11"/>
        <v>0</v>
      </c>
      <c r="DM32" s="1132">
        <f t="shared" si="12"/>
        <v>-16.799999999999997</v>
      </c>
      <c r="DN32" s="1252">
        <f t="shared" si="13"/>
        <v>0</v>
      </c>
      <c r="DO32" s="1249">
        <f t="shared" si="14"/>
        <v>70</v>
      </c>
      <c r="DP32" s="1132">
        <f t="shared" si="15"/>
        <v>-44.330769230769235</v>
      </c>
      <c r="DQ32" s="1249">
        <f t="shared" si="16"/>
        <v>-0.76923076923076927</v>
      </c>
      <c r="DR32" s="1249">
        <f t="shared" si="17"/>
        <v>-4.4733126385809303</v>
      </c>
      <c r="DS32" s="1249">
        <f t="shared" si="18"/>
        <v>6.8530117428551129</v>
      </c>
      <c r="DT32" s="1249">
        <f t="shared" si="19"/>
        <v>-3.8450269242952171</v>
      </c>
      <c r="DU32" s="1132">
        <f t="shared" si="20"/>
        <v>165</v>
      </c>
      <c r="DV32" s="1132" t="e">
        <f>#REF!-CB32</f>
        <v>#REF!</v>
      </c>
      <c r="DW32" s="1198">
        <f t="shared" si="21"/>
        <v>-14.154100015837827</v>
      </c>
      <c r="DX32" s="1249">
        <f t="shared" si="22"/>
        <v>-6.7777777777777777</v>
      </c>
      <c r="DY32" s="1249">
        <f t="shared" si="23"/>
        <v>-6.1677777777777774</v>
      </c>
      <c r="DZ32" s="1132">
        <f t="shared" si="24"/>
        <v>-900</v>
      </c>
      <c r="EA32" s="1198">
        <f t="shared" si="25"/>
        <v>-33.41621111111111</v>
      </c>
      <c r="EB32" s="1251">
        <f t="shared" si="26"/>
        <v>2.9742169934640508</v>
      </c>
      <c r="EC32" s="1132">
        <f t="shared" si="27"/>
        <v>-12.911693590961885</v>
      </c>
      <c r="ED32" s="1132">
        <f t="shared" si="28"/>
        <v>-242.33322975797697</v>
      </c>
      <c r="EE32" s="1132" t="e">
        <f t="shared" si="29"/>
        <v>#VALUE!</v>
      </c>
      <c r="EF32" s="1132" t="e">
        <f t="shared" si="30"/>
        <v>#VALUE!</v>
      </c>
      <c r="EG32" s="1132" t="e">
        <f t="shared" si="31"/>
        <v>#VALUE!</v>
      </c>
      <c r="EH32" s="1132">
        <f t="shared" si="32"/>
        <v>39.638504575163395</v>
      </c>
      <c r="EI32" s="1132">
        <f t="shared" si="33"/>
        <v>0</v>
      </c>
      <c r="EJ32" s="1198">
        <f t="shared" si="34"/>
        <v>-0.12565000000000001</v>
      </c>
      <c r="EK32" s="1132">
        <f t="shared" si="35"/>
        <v>-409.60000000000014</v>
      </c>
      <c r="EL32" s="1132">
        <f t="shared" si="36"/>
        <v>18.361575660495589</v>
      </c>
      <c r="EM32" s="1132">
        <f t="shared" si="37"/>
        <v>0.4054073956135813</v>
      </c>
      <c r="EN32" s="1132">
        <f t="shared" si="40"/>
        <v>-31.480043137254896</v>
      </c>
      <c r="EO32" s="1132">
        <f t="shared" si="41"/>
        <v>230</v>
      </c>
      <c r="EP32" s="1198">
        <f t="shared" si="42"/>
        <v>-27.754955508745766</v>
      </c>
      <c r="EQ32" s="1248">
        <f t="shared" si="43"/>
        <v>0</v>
      </c>
      <c r="ER32" s="1132">
        <f t="shared" si="44"/>
        <v>0</v>
      </c>
      <c r="ES32" s="1198">
        <f t="shared" si="45"/>
        <v>0</v>
      </c>
    </row>
    <row r="33" spans="1:149">
      <c r="A33" s="634">
        <f>Eingabedaten!A36</f>
        <v>9.02</v>
      </c>
      <c r="B33" s="463" t="str">
        <f>Eingabedaten!C36</f>
        <v>Produktion (feine Arbeit)</v>
      </c>
      <c r="C33" s="637"/>
      <c r="D33" s="379"/>
      <c r="E33" s="379"/>
      <c r="F33" s="1238"/>
      <c r="G33" s="1129"/>
      <c r="H33" s="1129"/>
      <c r="I33" s="1129"/>
      <c r="J33" s="1129"/>
      <c r="K33" s="1129"/>
      <c r="L33" s="1129"/>
      <c r="M33" s="1129"/>
      <c r="N33" s="1237"/>
      <c r="O33" s="1240">
        <v>10</v>
      </c>
      <c r="P33" s="1131">
        <v>20</v>
      </c>
      <c r="Q33" s="1129">
        <v>2440</v>
      </c>
      <c r="R33" s="1131">
        <v>24.4</v>
      </c>
      <c r="S33" s="1239">
        <v>24.4</v>
      </c>
      <c r="T33" s="1131">
        <v>48.8</v>
      </c>
      <c r="U33" s="1240"/>
      <c r="V33" s="1240">
        <v>70</v>
      </c>
      <c r="W33" s="1834">
        <v>0.76923076923076927</v>
      </c>
      <c r="X33" s="1239"/>
      <c r="Y33" s="1239">
        <v>6.3360000000000003</v>
      </c>
      <c r="Z33" s="1239">
        <v>8.0319195316203054</v>
      </c>
      <c r="AA33" s="1239">
        <v>11.607142857142856</v>
      </c>
      <c r="AB33" s="1131">
        <v>1677</v>
      </c>
      <c r="AC33" s="1243">
        <v>19.46517857142857</v>
      </c>
      <c r="AD33" s="1242">
        <v>1.9333333333333333</v>
      </c>
      <c r="AE33" s="1131">
        <v>3900</v>
      </c>
      <c r="AF33" s="1239">
        <v>1.7593333333333334</v>
      </c>
      <c r="AG33" s="1131">
        <v>3900</v>
      </c>
      <c r="AH33" s="1197">
        <v>6.8614000000000006</v>
      </c>
      <c r="AI33" s="1240">
        <v>35.422588235294121</v>
      </c>
      <c r="AJ33" s="1131">
        <v>27.207142857142856</v>
      </c>
      <c r="AK33" s="1131">
        <v>138.32</v>
      </c>
      <c r="AL33" s="1131" t="s">
        <v>16</v>
      </c>
      <c r="AM33" s="1131" t="s">
        <v>16</v>
      </c>
      <c r="AN33" s="1131" t="s">
        <v>16</v>
      </c>
      <c r="AO33" s="1131">
        <v>43.840811764705883</v>
      </c>
      <c r="AP33" s="1131">
        <v>0</v>
      </c>
      <c r="AQ33" s="1131">
        <v>67.109741176470607</v>
      </c>
      <c r="AR33" s="1131">
        <v>0</v>
      </c>
      <c r="AS33" s="1197">
        <v>0</v>
      </c>
      <c r="AT33" s="1197">
        <v>0</v>
      </c>
      <c r="AU33" s="1131">
        <v>788.17254901960791</v>
      </c>
      <c r="AV33" s="1131">
        <v>53.693826374238739</v>
      </c>
      <c r="AW33" s="1131">
        <v>-2.5945926043864187</v>
      </c>
      <c r="AX33" s="1239">
        <v>61.269760784313746</v>
      </c>
      <c r="AY33" s="1131">
        <v>1260</v>
      </c>
      <c r="AZ33" s="1242">
        <v>0.66358447488584471</v>
      </c>
      <c r="BA33" s="1243">
        <v>77.428060286991681</v>
      </c>
      <c r="BB33" s="1129"/>
      <c r="BC33" s="1131"/>
      <c r="BD33" s="1243">
        <v>2.4220800000000007</v>
      </c>
      <c r="BG33" s="637"/>
      <c r="BH33" s="379"/>
      <c r="BI33" s="379"/>
      <c r="BJ33" s="1238"/>
      <c r="BK33" s="1129"/>
      <c r="BL33" s="1129"/>
      <c r="BM33" s="1129"/>
      <c r="BN33" s="1129"/>
      <c r="BO33" s="1129"/>
      <c r="BP33" s="1237"/>
      <c r="BQ33" s="1240">
        <v>15</v>
      </c>
      <c r="BR33" s="1129">
        <v>2440</v>
      </c>
      <c r="BS33" s="1131">
        <v>36.6</v>
      </c>
      <c r="BT33" s="1241"/>
      <c r="BU33" s="1239"/>
      <c r="BV33" s="1131">
        <v>55.1</v>
      </c>
      <c r="BW33" s="1239">
        <v>0.76923076923076927</v>
      </c>
      <c r="BX33" s="1239">
        <v>14.745916515426497</v>
      </c>
      <c r="BY33" s="1239">
        <v>0</v>
      </c>
      <c r="BZ33" s="1239">
        <v>14.745916515426497</v>
      </c>
      <c r="CA33" s="1131">
        <v>1560</v>
      </c>
      <c r="CB33" s="1131">
        <v>0</v>
      </c>
      <c r="CC33" s="1197">
        <v>23.003629764065337</v>
      </c>
      <c r="CD33" s="1239">
        <v>10</v>
      </c>
      <c r="CE33" s="1239">
        <v>9.1</v>
      </c>
      <c r="CF33" s="1131">
        <v>2700</v>
      </c>
      <c r="CG33" s="1197">
        <v>24.57</v>
      </c>
      <c r="CH33" s="1240">
        <v>38.941882352941178</v>
      </c>
      <c r="CI33" s="1131">
        <v>34.445916515426497</v>
      </c>
      <c r="CJ33" s="1131">
        <v>250.54466161921198</v>
      </c>
      <c r="CK33" s="1131" t="s">
        <v>16</v>
      </c>
      <c r="CL33" s="1131" t="s">
        <v>16</v>
      </c>
      <c r="CM33" s="1131" t="s">
        <v>16</v>
      </c>
      <c r="CN33" s="1131">
        <v>42</v>
      </c>
      <c r="CO33" s="1131">
        <v>80</v>
      </c>
      <c r="CP33" s="1197">
        <v>3.2949000000000002</v>
      </c>
      <c r="CQ33" s="1131">
        <v>1197.7725490196081</v>
      </c>
      <c r="CR33" s="1131">
        <v>35.33225071374315</v>
      </c>
      <c r="CS33" s="1131">
        <v>-3</v>
      </c>
      <c r="CT33" s="1131">
        <v>92.827372549019614</v>
      </c>
      <c r="CU33" s="1131">
        <v>1310</v>
      </c>
      <c r="CV33" s="1197">
        <v>122.04290245724094</v>
      </c>
      <c r="CW33" s="1129"/>
      <c r="CX33" s="1131"/>
      <c r="CY33" s="1197">
        <v>2.4220800000000007</v>
      </c>
      <c r="DA33" s="637">
        <f t="shared" si="0"/>
        <v>0</v>
      </c>
      <c r="DB33" s="379">
        <f t="shared" si="1"/>
        <v>0</v>
      </c>
      <c r="DC33" s="379">
        <f t="shared" si="2"/>
        <v>0</v>
      </c>
      <c r="DD33" s="1238">
        <f t="shared" si="3"/>
        <v>0</v>
      </c>
      <c r="DE33" s="1129">
        <f t="shared" si="4"/>
        <v>0</v>
      </c>
      <c r="DF33" s="1129">
        <f t="shared" si="5"/>
        <v>0</v>
      </c>
      <c r="DG33" s="1129">
        <f t="shared" si="6"/>
        <v>0</v>
      </c>
      <c r="DH33" s="1129">
        <f t="shared" si="7"/>
        <v>0</v>
      </c>
      <c r="DI33" s="1129">
        <f t="shared" si="8"/>
        <v>0</v>
      </c>
      <c r="DJ33" s="1237">
        <f t="shared" si="9"/>
        <v>0</v>
      </c>
      <c r="DK33" s="1240">
        <f t="shared" si="10"/>
        <v>-5</v>
      </c>
      <c r="DL33" s="1129">
        <f t="shared" si="11"/>
        <v>0</v>
      </c>
      <c r="DM33" s="1131">
        <f t="shared" si="12"/>
        <v>-12.200000000000003</v>
      </c>
      <c r="DN33" s="1241">
        <f t="shared" si="13"/>
        <v>0</v>
      </c>
      <c r="DO33" s="1239">
        <f t="shared" si="14"/>
        <v>70</v>
      </c>
      <c r="DP33" s="1131">
        <f t="shared" si="15"/>
        <v>-54.330769230769235</v>
      </c>
      <c r="DQ33" s="1239">
        <f t="shared" si="16"/>
        <v>-0.76923076923076927</v>
      </c>
      <c r="DR33" s="1239">
        <f t="shared" si="17"/>
        <v>-8.409916515426497</v>
      </c>
      <c r="DS33" s="1239">
        <f t="shared" si="18"/>
        <v>8.0319195316203054</v>
      </c>
      <c r="DT33" s="1239">
        <f t="shared" si="19"/>
        <v>-3.1387736582836414</v>
      </c>
      <c r="DU33" s="1131">
        <f t="shared" si="20"/>
        <v>117</v>
      </c>
      <c r="DV33" s="1131" t="e">
        <f>#REF!-CB33</f>
        <v>#REF!</v>
      </c>
      <c r="DW33" s="1197">
        <f t="shared" si="21"/>
        <v>-3.5384511926367672</v>
      </c>
      <c r="DX33" s="1239">
        <f t="shared" si="22"/>
        <v>-8.0666666666666664</v>
      </c>
      <c r="DY33" s="1239">
        <f t="shared" si="23"/>
        <v>-7.3406666666666665</v>
      </c>
      <c r="DZ33" s="1131">
        <f t="shared" si="24"/>
        <v>1200</v>
      </c>
      <c r="EA33" s="1197">
        <f t="shared" si="25"/>
        <v>-17.708600000000001</v>
      </c>
      <c r="EB33" s="1240">
        <f t="shared" si="26"/>
        <v>-3.5192941176470569</v>
      </c>
      <c r="EC33" s="1131">
        <f t="shared" si="27"/>
        <v>-7.2387736582836411</v>
      </c>
      <c r="ED33" s="1131">
        <f t="shared" si="28"/>
        <v>-112.22466161921199</v>
      </c>
      <c r="EE33" s="1131" t="e">
        <f t="shared" si="29"/>
        <v>#VALUE!</v>
      </c>
      <c r="EF33" s="1131" t="e">
        <f t="shared" si="30"/>
        <v>#VALUE!</v>
      </c>
      <c r="EG33" s="1131" t="e">
        <f t="shared" si="31"/>
        <v>#VALUE!</v>
      </c>
      <c r="EH33" s="1131">
        <f t="shared" si="32"/>
        <v>25.109741176470607</v>
      </c>
      <c r="EI33" s="1131">
        <f t="shared" si="33"/>
        <v>-80</v>
      </c>
      <c r="EJ33" s="1197">
        <f t="shared" si="34"/>
        <v>-3.2949000000000002</v>
      </c>
      <c r="EK33" s="1131">
        <f t="shared" si="35"/>
        <v>-409.60000000000014</v>
      </c>
      <c r="EL33" s="1131">
        <f t="shared" si="36"/>
        <v>18.361575660495589</v>
      </c>
      <c r="EM33" s="1131">
        <f t="shared" si="37"/>
        <v>0.4054073956135813</v>
      </c>
      <c r="EN33" s="1131">
        <f t="shared" si="40"/>
        <v>-31.557611764705868</v>
      </c>
      <c r="EO33" s="1131">
        <f t="shared" si="41"/>
        <v>-50</v>
      </c>
      <c r="EP33" s="1197">
        <f t="shared" si="42"/>
        <v>-44.614842170249261</v>
      </c>
      <c r="EQ33" s="1129">
        <f t="shared" si="43"/>
        <v>0</v>
      </c>
      <c r="ER33" s="1131">
        <f t="shared" si="44"/>
        <v>0</v>
      </c>
      <c r="ES33" s="1197">
        <f t="shared" si="45"/>
        <v>0</v>
      </c>
    </row>
    <row r="34" spans="1:149">
      <c r="A34" s="638">
        <f>Eingabedaten!A37</f>
        <v>9.0299999999999994</v>
      </c>
      <c r="B34" s="592" t="str">
        <f>Eingabedaten!C37</f>
        <v>Laborraum</v>
      </c>
      <c r="C34" s="654"/>
      <c r="D34" s="387"/>
      <c r="E34" s="387"/>
      <c r="F34" s="1227"/>
      <c r="G34" s="1130"/>
      <c r="H34" s="1130"/>
      <c r="I34" s="1130"/>
      <c r="J34" s="1130"/>
      <c r="K34" s="1130"/>
      <c r="L34" s="1130"/>
      <c r="M34" s="1130"/>
      <c r="N34" s="1229"/>
      <c r="O34" s="1255">
        <v>10</v>
      </c>
      <c r="P34" s="1133">
        <v>30</v>
      </c>
      <c r="Q34" s="1130">
        <v>2440</v>
      </c>
      <c r="R34" s="1133">
        <v>24.4</v>
      </c>
      <c r="S34" s="1228">
        <v>24.4</v>
      </c>
      <c r="T34" s="1133">
        <v>73.2</v>
      </c>
      <c r="U34" s="1255"/>
      <c r="V34" s="1255">
        <v>70</v>
      </c>
      <c r="W34" s="1836">
        <v>0.69860279441117767</v>
      </c>
      <c r="X34" s="1228"/>
      <c r="Y34" s="1228">
        <v>6.3360000000000003</v>
      </c>
      <c r="Z34" s="1228">
        <v>6.3544829562679208</v>
      </c>
      <c r="AA34" s="1228">
        <v>12.780612244897959</v>
      </c>
      <c r="AB34" s="1133">
        <v>1327</v>
      </c>
      <c r="AC34" s="1196">
        <v>16.959872448979592</v>
      </c>
      <c r="AD34" s="1257">
        <v>1.9333333333333333</v>
      </c>
      <c r="AE34" s="1133">
        <v>3900</v>
      </c>
      <c r="AF34" s="1228">
        <v>1.7593333333333334</v>
      </c>
      <c r="AG34" s="1133">
        <v>3900</v>
      </c>
      <c r="AH34" s="1199">
        <v>6.8614000000000006</v>
      </c>
      <c r="AI34" s="1255">
        <v>55.229310924369756</v>
      </c>
      <c r="AJ34" s="1133">
        <v>28.380612244897961</v>
      </c>
      <c r="AK34" s="1133">
        <v>138.32</v>
      </c>
      <c r="AL34" s="1133" t="s">
        <v>16</v>
      </c>
      <c r="AM34" s="1133" t="s">
        <v>16</v>
      </c>
      <c r="AN34" s="1133" t="s">
        <v>16</v>
      </c>
      <c r="AO34" s="1133">
        <v>58.526946218487396</v>
      </c>
      <c r="AP34" s="1133">
        <v>0</v>
      </c>
      <c r="AQ34" s="1133">
        <v>94.701337815126053</v>
      </c>
      <c r="AR34" s="1133">
        <v>0</v>
      </c>
      <c r="AS34" s="1199">
        <v>0</v>
      </c>
      <c r="AT34" s="1199">
        <v>0</v>
      </c>
      <c r="AU34" s="1133">
        <v>162.84862745098039</v>
      </c>
      <c r="AV34" s="1133">
        <v>49.346439855128303</v>
      </c>
      <c r="AW34" s="1133">
        <v>-2.6598034021730754</v>
      </c>
      <c r="AX34" s="1228">
        <v>72.490445938375359</v>
      </c>
      <c r="AY34" s="1133">
        <v>1570</v>
      </c>
      <c r="AZ34" s="1257">
        <v>0.66358447488584471</v>
      </c>
      <c r="BA34" s="1196">
        <v>113.61783360263072</v>
      </c>
      <c r="BB34" s="1130"/>
      <c r="BC34" s="1133"/>
      <c r="BD34" s="1196">
        <v>2.4220800000000007</v>
      </c>
      <c r="BG34" s="654"/>
      <c r="BH34" s="387"/>
      <c r="BI34" s="387"/>
      <c r="BJ34" s="1227"/>
      <c r="BK34" s="1130"/>
      <c r="BL34" s="1130"/>
      <c r="BM34" s="1130"/>
      <c r="BN34" s="1130"/>
      <c r="BO34" s="1130"/>
      <c r="BP34" s="1229"/>
      <c r="BQ34" s="1255">
        <v>25</v>
      </c>
      <c r="BR34" s="1130">
        <v>2440</v>
      </c>
      <c r="BS34" s="1133">
        <v>61</v>
      </c>
      <c r="BT34" s="1256"/>
      <c r="BU34" s="1228"/>
      <c r="BV34" s="1133">
        <v>55.1</v>
      </c>
      <c r="BW34" s="1228">
        <v>0.69860279441117767</v>
      </c>
      <c r="BX34" s="1228">
        <v>16.236712470832252</v>
      </c>
      <c r="BY34" s="1228">
        <v>0</v>
      </c>
      <c r="BZ34" s="1228">
        <v>16.236712470832252</v>
      </c>
      <c r="CA34" s="1133">
        <v>1140</v>
      </c>
      <c r="CB34" s="1133">
        <v>0</v>
      </c>
      <c r="CC34" s="1199">
        <v>18.509852216748769</v>
      </c>
      <c r="CD34" s="1228">
        <v>20</v>
      </c>
      <c r="CE34" s="1228">
        <v>18.2</v>
      </c>
      <c r="CF34" s="1133">
        <v>1630</v>
      </c>
      <c r="CG34" s="1199">
        <v>29.666</v>
      </c>
      <c r="CH34" s="1255">
        <v>65.675831932773121</v>
      </c>
      <c r="CI34" s="1133">
        <v>45.936712470832248</v>
      </c>
      <c r="CJ34" s="1133">
        <v>279.6764776597193</v>
      </c>
      <c r="CK34" s="1133" t="s">
        <v>16</v>
      </c>
      <c r="CL34" s="1133" t="s">
        <v>16</v>
      </c>
      <c r="CM34" s="1133" t="s">
        <v>16</v>
      </c>
      <c r="CN34" s="1133">
        <v>65</v>
      </c>
      <c r="CO34" s="1133">
        <v>100</v>
      </c>
      <c r="CP34" s="1199">
        <v>6.4029999999999996</v>
      </c>
      <c r="CQ34" s="1133">
        <v>366.68862745098045</v>
      </c>
      <c r="CR34" s="1133">
        <v>21.915051077154732</v>
      </c>
      <c r="CS34" s="1133">
        <v>-3</v>
      </c>
      <c r="CT34" s="1133">
        <v>167.62908683473393</v>
      </c>
      <c r="CU34" s="1133">
        <v>1260</v>
      </c>
      <c r="CV34" s="1199">
        <v>210.53423854034915</v>
      </c>
      <c r="CW34" s="1130"/>
      <c r="CX34" s="1133"/>
      <c r="CY34" s="1199">
        <v>2.4220800000000007</v>
      </c>
      <c r="DA34" s="654">
        <f t="shared" si="0"/>
        <v>0</v>
      </c>
      <c r="DB34" s="387">
        <f t="shared" si="1"/>
        <v>0</v>
      </c>
      <c r="DC34" s="387">
        <f t="shared" si="2"/>
        <v>0</v>
      </c>
      <c r="DD34" s="1227">
        <f t="shared" si="3"/>
        <v>0</v>
      </c>
      <c r="DE34" s="1130">
        <f t="shared" si="4"/>
        <v>0</v>
      </c>
      <c r="DF34" s="1130">
        <f t="shared" si="5"/>
        <v>0</v>
      </c>
      <c r="DG34" s="1130">
        <f t="shared" si="6"/>
        <v>0</v>
      </c>
      <c r="DH34" s="1130">
        <f t="shared" si="7"/>
        <v>0</v>
      </c>
      <c r="DI34" s="1130">
        <f t="shared" si="8"/>
        <v>0</v>
      </c>
      <c r="DJ34" s="1229">
        <f t="shared" si="9"/>
        <v>0</v>
      </c>
      <c r="DK34" s="1255">
        <f t="shared" si="10"/>
        <v>-15</v>
      </c>
      <c r="DL34" s="1130">
        <f t="shared" si="11"/>
        <v>0</v>
      </c>
      <c r="DM34" s="1133">
        <f t="shared" si="12"/>
        <v>-36.6</v>
      </c>
      <c r="DN34" s="1256">
        <f t="shared" si="13"/>
        <v>0</v>
      </c>
      <c r="DO34" s="1228">
        <f t="shared" si="14"/>
        <v>70</v>
      </c>
      <c r="DP34" s="1133">
        <f t="shared" si="15"/>
        <v>-54.401397205588822</v>
      </c>
      <c r="DQ34" s="1228">
        <f t="shared" si="16"/>
        <v>-0.69860279441117767</v>
      </c>
      <c r="DR34" s="1228">
        <f t="shared" si="17"/>
        <v>-9.9007124708322518</v>
      </c>
      <c r="DS34" s="1228">
        <f t="shared" si="18"/>
        <v>6.3544829562679208</v>
      </c>
      <c r="DT34" s="1228">
        <f t="shared" si="19"/>
        <v>-3.4561002259342928</v>
      </c>
      <c r="DU34" s="1133">
        <f t="shared" si="20"/>
        <v>187</v>
      </c>
      <c r="DV34" s="1133" t="e">
        <f>#REF!-CB34</f>
        <v>#REF!</v>
      </c>
      <c r="DW34" s="1199">
        <f t="shared" si="21"/>
        <v>-1.5499797677691767</v>
      </c>
      <c r="DX34" s="1228">
        <f t="shared" si="22"/>
        <v>-18.066666666666666</v>
      </c>
      <c r="DY34" s="1228">
        <f t="shared" si="23"/>
        <v>-16.440666666666665</v>
      </c>
      <c r="DZ34" s="1133">
        <f t="shared" si="24"/>
        <v>2270</v>
      </c>
      <c r="EA34" s="1199">
        <f t="shared" si="25"/>
        <v>-22.804600000000001</v>
      </c>
      <c r="EB34" s="1255">
        <f t="shared" si="26"/>
        <v>-10.446521008403366</v>
      </c>
      <c r="EC34" s="1133">
        <f t="shared" si="27"/>
        <v>-17.556100225934287</v>
      </c>
      <c r="ED34" s="1133">
        <f t="shared" si="28"/>
        <v>-141.3564776597193</v>
      </c>
      <c r="EE34" s="1133" t="e">
        <f t="shared" si="29"/>
        <v>#VALUE!</v>
      </c>
      <c r="EF34" s="1133" t="e">
        <f t="shared" si="30"/>
        <v>#VALUE!</v>
      </c>
      <c r="EG34" s="1133" t="e">
        <f t="shared" si="31"/>
        <v>#VALUE!</v>
      </c>
      <c r="EH34" s="1133">
        <f t="shared" si="32"/>
        <v>29.701337815126053</v>
      </c>
      <c r="EI34" s="1133">
        <f t="shared" si="33"/>
        <v>-100</v>
      </c>
      <c r="EJ34" s="1199">
        <f t="shared" si="34"/>
        <v>-6.4029999999999996</v>
      </c>
      <c r="EK34" s="1133">
        <f t="shared" si="35"/>
        <v>-203.84000000000006</v>
      </c>
      <c r="EL34" s="1133">
        <f t="shared" si="36"/>
        <v>27.43138877797357</v>
      </c>
      <c r="EM34" s="1133">
        <f t="shared" si="37"/>
        <v>0.34019659782692457</v>
      </c>
      <c r="EN34" s="1133">
        <f t="shared" si="40"/>
        <v>-95.138640896358567</v>
      </c>
      <c r="EO34" s="1133">
        <f t="shared" si="41"/>
        <v>310</v>
      </c>
      <c r="EP34" s="1199">
        <f t="shared" si="42"/>
        <v>-96.916404937718426</v>
      </c>
      <c r="EQ34" s="1130">
        <f t="shared" si="43"/>
        <v>0</v>
      </c>
      <c r="ER34" s="1133">
        <f t="shared" si="44"/>
        <v>0</v>
      </c>
      <c r="ES34" s="1199">
        <f t="shared" si="45"/>
        <v>0</v>
      </c>
    </row>
    <row r="35" spans="1:149">
      <c r="A35" s="634">
        <f>Eingabedaten!A38</f>
        <v>10.01</v>
      </c>
      <c r="B35" s="463" t="str">
        <f>Eingabedaten!C38</f>
        <v>Lagerhalle</v>
      </c>
      <c r="C35" s="637"/>
      <c r="D35" s="379"/>
      <c r="E35" s="379"/>
      <c r="F35" s="1238"/>
      <c r="G35" s="1129"/>
      <c r="H35" s="1129"/>
      <c r="I35" s="1129"/>
      <c r="J35" s="1129"/>
      <c r="K35" s="1129"/>
      <c r="L35" s="1129"/>
      <c r="M35" s="1129"/>
      <c r="N35" s="1237"/>
      <c r="O35" s="1240">
        <v>3</v>
      </c>
      <c r="P35" s="1131">
        <v>0</v>
      </c>
      <c r="Q35" s="1129">
        <v>3160</v>
      </c>
      <c r="R35" s="1131">
        <v>9.48</v>
      </c>
      <c r="S35" s="1239">
        <v>9.48</v>
      </c>
      <c r="T35" s="1131">
        <v>0</v>
      </c>
      <c r="U35" s="1240"/>
      <c r="V35" s="1240">
        <v>70</v>
      </c>
      <c r="W35" s="1834">
        <v>0.73746312684365778</v>
      </c>
      <c r="X35" s="1239"/>
      <c r="Y35" s="1239">
        <v>6.3360000000000003</v>
      </c>
      <c r="Z35" s="1239">
        <v>6.8530117428551129</v>
      </c>
      <c r="AA35" s="1239">
        <v>7.2642857142857142</v>
      </c>
      <c r="AB35" s="1131">
        <v>4145</v>
      </c>
      <c r="AC35" s="1243">
        <v>30.110464285714286</v>
      </c>
      <c r="AD35" s="1242">
        <v>1.2083333333333335</v>
      </c>
      <c r="AE35" s="1131">
        <v>0</v>
      </c>
      <c r="AF35" s="1239">
        <v>0</v>
      </c>
      <c r="AG35" s="1131">
        <v>0</v>
      </c>
      <c r="AH35" s="1197">
        <v>0</v>
      </c>
      <c r="AI35" s="1240">
        <v>37.378086274509812</v>
      </c>
      <c r="AJ35" s="1131">
        <v>12.039285714285715</v>
      </c>
      <c r="AK35" s="1131">
        <v>89.597857142857151</v>
      </c>
      <c r="AL35" s="1131" t="s">
        <v>16</v>
      </c>
      <c r="AM35" s="1131" t="s">
        <v>16</v>
      </c>
      <c r="AN35" s="1131" t="s">
        <v>16</v>
      </c>
      <c r="AO35" s="1131">
        <v>0</v>
      </c>
      <c r="AP35" s="1131">
        <v>0</v>
      </c>
      <c r="AQ35" s="1131">
        <v>0</v>
      </c>
      <c r="AR35" s="1131">
        <v>0</v>
      </c>
      <c r="AS35" s="1197">
        <v>0</v>
      </c>
      <c r="AT35" s="1197">
        <v>0</v>
      </c>
      <c r="AU35" s="1131">
        <v>967.37254901960796</v>
      </c>
      <c r="AV35" s="1131">
        <v>43.747365007296899</v>
      </c>
      <c r="AW35" s="1131">
        <v>-2.7437895248905466</v>
      </c>
      <c r="AX35" s="1239">
        <v>68.305666666666681</v>
      </c>
      <c r="AY35" s="1131">
        <v>1050</v>
      </c>
      <c r="AZ35" s="1242">
        <v>0.6919520547945206</v>
      </c>
      <c r="BA35" s="1243">
        <v>71.863972588285904</v>
      </c>
      <c r="BB35" s="1129"/>
      <c r="BC35" s="1131"/>
      <c r="BD35" s="1243">
        <v>0.9082800000000002</v>
      </c>
      <c r="BG35" s="637"/>
      <c r="BH35" s="379"/>
      <c r="BI35" s="379"/>
      <c r="BJ35" s="1238"/>
      <c r="BK35" s="1129"/>
      <c r="BL35" s="1129"/>
      <c r="BM35" s="1129"/>
      <c r="BN35" s="1129"/>
      <c r="BO35" s="1129"/>
      <c r="BP35" s="1237"/>
      <c r="BQ35" s="1240">
        <v>0</v>
      </c>
      <c r="BR35" s="1129">
        <v>3160</v>
      </c>
      <c r="BS35" s="1131">
        <v>0</v>
      </c>
      <c r="BT35" s="1241"/>
      <c r="BU35" s="1239"/>
      <c r="BV35" s="1131">
        <v>35.1</v>
      </c>
      <c r="BW35" s="1239">
        <v>0.73746312684365778</v>
      </c>
      <c r="BX35" s="1239">
        <v>4.8290598290598297</v>
      </c>
      <c r="BY35" s="1239">
        <v>0</v>
      </c>
      <c r="BZ35" s="1239">
        <v>4.8290598290598297</v>
      </c>
      <c r="CA35" s="1131">
        <v>3940</v>
      </c>
      <c r="CB35" s="1131">
        <v>0</v>
      </c>
      <c r="CC35" s="1197">
        <v>19.026495726495728</v>
      </c>
      <c r="CD35" s="1239">
        <v>1.5</v>
      </c>
      <c r="CE35" s="1239">
        <v>0</v>
      </c>
      <c r="CF35" s="1131">
        <v>0</v>
      </c>
      <c r="CG35" s="1197">
        <v>0</v>
      </c>
      <c r="CH35" s="1240">
        <v>20.975294117647064</v>
      </c>
      <c r="CI35" s="1131">
        <v>7.1290598290598295</v>
      </c>
      <c r="CJ35" s="1131">
        <v>90.450261256793098</v>
      </c>
      <c r="CK35" s="1131" t="s">
        <v>16</v>
      </c>
      <c r="CL35" s="1131" t="s">
        <v>16</v>
      </c>
      <c r="CM35" s="1131" t="s">
        <v>16</v>
      </c>
      <c r="CN35" s="1131">
        <v>0</v>
      </c>
      <c r="CO35" s="1131">
        <v>0</v>
      </c>
      <c r="CP35" s="1197">
        <v>0</v>
      </c>
      <c r="CQ35" s="1131">
        <v>749.77254901960805</v>
      </c>
      <c r="CR35" s="1131">
        <v>56.443784258755578</v>
      </c>
      <c r="CS35" s="1131">
        <v>-2</v>
      </c>
      <c r="CT35" s="1131">
        <v>52.484078431372566</v>
      </c>
      <c r="CU35" s="1131">
        <v>1670</v>
      </c>
      <c r="CV35" s="1197">
        <v>87.657328201426523</v>
      </c>
      <c r="CW35" s="1129"/>
      <c r="CX35" s="1131"/>
      <c r="CY35" s="1197">
        <v>0.9082800000000002</v>
      </c>
      <c r="DA35" s="637">
        <f t="shared" si="0"/>
        <v>0</v>
      </c>
      <c r="DB35" s="379">
        <f t="shared" si="1"/>
        <v>0</v>
      </c>
      <c r="DC35" s="379">
        <f t="shared" si="2"/>
        <v>0</v>
      </c>
      <c r="DD35" s="1238">
        <f t="shared" si="3"/>
        <v>0</v>
      </c>
      <c r="DE35" s="1129">
        <f t="shared" si="4"/>
        <v>0</v>
      </c>
      <c r="DF35" s="1129">
        <f t="shared" si="5"/>
        <v>0</v>
      </c>
      <c r="DG35" s="1129">
        <f t="shared" si="6"/>
        <v>0</v>
      </c>
      <c r="DH35" s="1129">
        <f t="shared" si="7"/>
        <v>0</v>
      </c>
      <c r="DI35" s="1129">
        <f t="shared" si="8"/>
        <v>0</v>
      </c>
      <c r="DJ35" s="1237">
        <f t="shared" si="9"/>
        <v>0</v>
      </c>
      <c r="DK35" s="1240">
        <f t="shared" si="10"/>
        <v>3</v>
      </c>
      <c r="DL35" s="1129">
        <f t="shared" si="11"/>
        <v>0</v>
      </c>
      <c r="DM35" s="1131">
        <f t="shared" si="12"/>
        <v>9.48</v>
      </c>
      <c r="DN35" s="1241">
        <f t="shared" si="13"/>
        <v>0</v>
      </c>
      <c r="DO35" s="1239">
        <f t="shared" si="14"/>
        <v>70</v>
      </c>
      <c r="DP35" s="1131">
        <f t="shared" si="15"/>
        <v>-34.362536873156344</v>
      </c>
      <c r="DQ35" s="1239">
        <f t="shared" si="16"/>
        <v>-0.73746312684365778</v>
      </c>
      <c r="DR35" s="1239">
        <f t="shared" si="17"/>
        <v>1.5069401709401706</v>
      </c>
      <c r="DS35" s="1239">
        <f t="shared" si="18"/>
        <v>6.8530117428551129</v>
      </c>
      <c r="DT35" s="1239">
        <f t="shared" si="19"/>
        <v>2.4352258852258846</v>
      </c>
      <c r="DU35" s="1131">
        <f t="shared" si="20"/>
        <v>205</v>
      </c>
      <c r="DV35" s="1131" t="e">
        <f>#REF!-CB35</f>
        <v>#REF!</v>
      </c>
      <c r="DW35" s="1197">
        <f t="shared" si="21"/>
        <v>11.083968559218558</v>
      </c>
      <c r="DX35" s="1239">
        <f t="shared" si="22"/>
        <v>-0.29166666666666652</v>
      </c>
      <c r="DY35" s="1239">
        <f t="shared" si="23"/>
        <v>0</v>
      </c>
      <c r="DZ35" s="1131">
        <f t="shared" si="24"/>
        <v>0</v>
      </c>
      <c r="EA35" s="1197">
        <f t="shared" si="25"/>
        <v>0</v>
      </c>
      <c r="EB35" s="1240">
        <f t="shared" si="26"/>
        <v>16.402792156862748</v>
      </c>
      <c r="EC35" s="1131">
        <f t="shared" si="27"/>
        <v>4.9102258852258851</v>
      </c>
      <c r="ED35" s="1131">
        <f t="shared" si="28"/>
        <v>-0.85240411393594684</v>
      </c>
      <c r="EE35" s="1131" t="e">
        <f t="shared" si="29"/>
        <v>#VALUE!</v>
      </c>
      <c r="EF35" s="1131" t="e">
        <f t="shared" si="30"/>
        <v>#VALUE!</v>
      </c>
      <c r="EG35" s="1131" t="e">
        <f t="shared" si="31"/>
        <v>#VALUE!</v>
      </c>
      <c r="EH35" s="1131">
        <f t="shared" si="32"/>
        <v>0</v>
      </c>
      <c r="EI35" s="1131">
        <f t="shared" si="33"/>
        <v>0</v>
      </c>
      <c r="EJ35" s="1197">
        <f t="shared" si="34"/>
        <v>0</v>
      </c>
      <c r="EK35" s="1131">
        <f t="shared" si="35"/>
        <v>217.59999999999991</v>
      </c>
      <c r="EL35" s="1131">
        <f t="shared" si="36"/>
        <v>-12.696419251458678</v>
      </c>
      <c r="EM35" s="1131">
        <f t="shared" si="37"/>
        <v>-0.74378952489054662</v>
      </c>
      <c r="EN35" s="1131">
        <f t="shared" si="40"/>
        <v>15.821588235294115</v>
      </c>
      <c r="EO35" s="1131">
        <f t="shared" si="41"/>
        <v>-620</v>
      </c>
      <c r="EP35" s="1197">
        <f t="shared" si="42"/>
        <v>-15.793355613140619</v>
      </c>
      <c r="EQ35" s="1129">
        <f t="shared" si="43"/>
        <v>0</v>
      </c>
      <c r="ER35" s="1131">
        <f t="shared" si="44"/>
        <v>0</v>
      </c>
      <c r="ES35" s="1197">
        <f t="shared" si="45"/>
        <v>0</v>
      </c>
    </row>
    <row r="36" spans="1:149">
      <c r="A36" s="1472">
        <f>Eingabedaten!A39</f>
        <v>11.01</v>
      </c>
      <c r="B36" s="388" t="str">
        <f>Eingabedaten!C39</f>
        <v>Turnhalle</v>
      </c>
      <c r="C36" s="653"/>
      <c r="D36" s="386"/>
      <c r="E36" s="386"/>
      <c r="F36" s="1247"/>
      <c r="G36" s="1248"/>
      <c r="H36" s="1248"/>
      <c r="I36" s="1253"/>
      <c r="J36" s="1253"/>
      <c r="K36" s="1248"/>
      <c r="L36" s="1248"/>
      <c r="M36" s="1248"/>
      <c r="N36" s="1250"/>
      <c r="O36" s="1251">
        <v>2</v>
      </c>
      <c r="P36" s="1132">
        <v>0</v>
      </c>
      <c r="Q36" s="1248">
        <v>2590</v>
      </c>
      <c r="R36" s="1132">
        <v>5.18</v>
      </c>
      <c r="S36" s="1249">
        <v>5.18</v>
      </c>
      <c r="T36" s="1132">
        <v>0</v>
      </c>
      <c r="U36" s="1251"/>
      <c r="V36" s="1251">
        <v>70</v>
      </c>
      <c r="W36" s="1835">
        <v>0.79155672823219003</v>
      </c>
      <c r="X36" s="1249"/>
      <c r="Y36" s="1249">
        <v>6.3360000000000003</v>
      </c>
      <c r="Z36" s="1249">
        <v>8.0319195316203054</v>
      </c>
      <c r="AA36" s="1249">
        <v>11.279761904761903</v>
      </c>
      <c r="AB36" s="1132">
        <v>2244</v>
      </c>
      <c r="AC36" s="1254">
        <v>25.311785714285712</v>
      </c>
      <c r="AD36" s="1253">
        <v>3.625</v>
      </c>
      <c r="AE36" s="1132">
        <v>0</v>
      </c>
      <c r="AF36" s="1249">
        <v>0</v>
      </c>
      <c r="AG36" s="1132">
        <v>0</v>
      </c>
      <c r="AH36" s="1198">
        <v>0</v>
      </c>
      <c r="AI36" s="1251">
        <v>42.109929411764703</v>
      </c>
      <c r="AJ36" s="1132">
        <v>16.479761904761904</v>
      </c>
      <c r="AK36" s="1132">
        <v>97.359285714285718</v>
      </c>
      <c r="AL36" s="1132" t="s">
        <v>16</v>
      </c>
      <c r="AM36" s="1132" t="s">
        <v>16</v>
      </c>
      <c r="AN36" s="1132" t="s">
        <v>16</v>
      </c>
      <c r="AO36" s="1132">
        <v>0</v>
      </c>
      <c r="AP36" s="1132">
        <v>0</v>
      </c>
      <c r="AQ36" s="1132">
        <v>0</v>
      </c>
      <c r="AR36" s="1132">
        <v>0</v>
      </c>
      <c r="AS36" s="1198">
        <v>0</v>
      </c>
      <c r="AT36" s="1198">
        <v>0</v>
      </c>
      <c r="AU36" s="1132">
        <v>1378.5882352941178</v>
      </c>
      <c r="AV36" s="1132">
        <v>44.045058883768554</v>
      </c>
      <c r="AW36" s="1132">
        <v>-2.7393241167434716</v>
      </c>
      <c r="AX36" s="1249">
        <v>64.884000000000015</v>
      </c>
      <c r="AY36" s="1132">
        <v>1230</v>
      </c>
      <c r="AZ36" s="1253">
        <v>1.4652682648401827</v>
      </c>
      <c r="BA36" s="1254">
        <v>79.66891557091931</v>
      </c>
      <c r="BB36" s="1248"/>
      <c r="BC36" s="1132"/>
      <c r="BD36" s="1254">
        <v>63.48006246575342</v>
      </c>
      <c r="BG36" s="653"/>
      <c r="BH36" s="386"/>
      <c r="BI36" s="386"/>
      <c r="BJ36" s="1247"/>
      <c r="BK36" s="1248"/>
      <c r="BL36" s="1248"/>
      <c r="BM36" s="1253"/>
      <c r="BN36" s="1248"/>
      <c r="BO36" s="1248"/>
      <c r="BP36" s="1250"/>
      <c r="BQ36" s="1251">
        <v>0</v>
      </c>
      <c r="BR36" s="1248">
        <v>4270</v>
      </c>
      <c r="BS36" s="1132">
        <v>0</v>
      </c>
      <c r="BT36" s="1252"/>
      <c r="BU36" s="1249"/>
      <c r="BV36" s="1132">
        <v>45.1</v>
      </c>
      <c r="BW36" s="1249">
        <v>0.79155672823219003</v>
      </c>
      <c r="BX36" s="1249">
        <v>10.504434589800443</v>
      </c>
      <c r="BY36" s="1249">
        <v>0</v>
      </c>
      <c r="BZ36" s="1249">
        <v>10.504434589800443</v>
      </c>
      <c r="CA36" s="1132">
        <v>1920</v>
      </c>
      <c r="CB36" s="1132">
        <v>0</v>
      </c>
      <c r="CC36" s="1198">
        <v>20.168514412416851</v>
      </c>
      <c r="CD36" s="1249">
        <v>4.5</v>
      </c>
      <c r="CE36" s="1249">
        <v>0</v>
      </c>
      <c r="CF36" s="1132">
        <v>0</v>
      </c>
      <c r="CG36" s="1198">
        <v>0</v>
      </c>
      <c r="CH36" s="1251">
        <v>20.97529411764706</v>
      </c>
      <c r="CI36" s="1132">
        <v>16.504434589800443</v>
      </c>
      <c r="CJ36" s="1132">
        <v>115.08650111497667</v>
      </c>
      <c r="CK36" s="1132" t="s">
        <v>16</v>
      </c>
      <c r="CL36" s="1132" t="s">
        <v>16</v>
      </c>
      <c r="CM36" s="1132" t="s">
        <v>16</v>
      </c>
      <c r="CN36" s="1132">
        <v>0</v>
      </c>
      <c r="CO36" s="1132">
        <v>0</v>
      </c>
      <c r="CP36" s="1198">
        <v>0</v>
      </c>
      <c r="CQ36" s="1132">
        <v>1628.1882352941177</v>
      </c>
      <c r="CR36" s="1132">
        <v>37.292985346397295</v>
      </c>
      <c r="CS36" s="1132">
        <v>-3</v>
      </c>
      <c r="CT36" s="1132">
        <v>78.695764705882354</v>
      </c>
      <c r="CU36" s="1132">
        <v>1160</v>
      </c>
      <c r="CV36" s="1198">
        <v>91.503538398056492</v>
      </c>
      <c r="CW36" s="1248"/>
      <c r="CX36" s="1132"/>
      <c r="CY36" s="1198">
        <v>52.900052054794521</v>
      </c>
      <c r="DA36" s="653">
        <f t="shared" si="0"/>
        <v>0</v>
      </c>
      <c r="DB36" s="386">
        <f t="shared" si="1"/>
        <v>0</v>
      </c>
      <c r="DC36" s="386">
        <f t="shared" si="2"/>
        <v>0</v>
      </c>
      <c r="DD36" s="1247">
        <f t="shared" si="3"/>
        <v>0</v>
      </c>
      <c r="DE36" s="1248">
        <f t="shared" si="4"/>
        <v>0</v>
      </c>
      <c r="DF36" s="1248">
        <f t="shared" si="5"/>
        <v>0</v>
      </c>
      <c r="DG36" s="1253">
        <f t="shared" si="6"/>
        <v>0</v>
      </c>
      <c r="DH36" s="1248">
        <f t="shared" si="7"/>
        <v>0</v>
      </c>
      <c r="DI36" s="1248">
        <f t="shared" si="8"/>
        <v>0</v>
      </c>
      <c r="DJ36" s="1250">
        <f t="shared" si="9"/>
        <v>0</v>
      </c>
      <c r="DK36" s="1251">
        <f t="shared" si="10"/>
        <v>2</v>
      </c>
      <c r="DL36" s="1248">
        <f t="shared" si="11"/>
        <v>-1680</v>
      </c>
      <c r="DM36" s="1132">
        <f t="shared" si="12"/>
        <v>5.18</v>
      </c>
      <c r="DN36" s="1252">
        <f t="shared" si="13"/>
        <v>0</v>
      </c>
      <c r="DO36" s="1249">
        <f t="shared" si="14"/>
        <v>70</v>
      </c>
      <c r="DP36" s="1132">
        <f t="shared" si="15"/>
        <v>-44.308443271767814</v>
      </c>
      <c r="DQ36" s="1249">
        <f t="shared" si="16"/>
        <v>-0.79155672823219003</v>
      </c>
      <c r="DR36" s="1249">
        <f t="shared" si="17"/>
        <v>-4.1684345898004427</v>
      </c>
      <c r="DS36" s="1249">
        <f t="shared" si="18"/>
        <v>8.0319195316203054</v>
      </c>
      <c r="DT36" s="1249">
        <f t="shared" si="19"/>
        <v>0.77532731496146035</v>
      </c>
      <c r="DU36" s="1132">
        <f t="shared" si="20"/>
        <v>324</v>
      </c>
      <c r="DV36" s="1132" t="e">
        <f>#REF!-CB36</f>
        <v>#REF!</v>
      </c>
      <c r="DW36" s="1198">
        <f t="shared" si="21"/>
        <v>5.1432713018688609</v>
      </c>
      <c r="DX36" s="1249">
        <f t="shared" si="22"/>
        <v>-0.875</v>
      </c>
      <c r="DY36" s="1249">
        <f t="shared" si="23"/>
        <v>0</v>
      </c>
      <c r="DZ36" s="1132">
        <f t="shared" si="24"/>
        <v>0</v>
      </c>
      <c r="EA36" s="1198">
        <f t="shared" si="25"/>
        <v>0</v>
      </c>
      <c r="EB36" s="1251">
        <f t="shared" si="26"/>
        <v>21.134635294117643</v>
      </c>
      <c r="EC36" s="1132">
        <f t="shared" si="27"/>
        <v>-2.4672685038538589E-2</v>
      </c>
      <c r="ED36" s="1132">
        <f t="shared" si="28"/>
        <v>-17.727215400690952</v>
      </c>
      <c r="EE36" s="1132" t="e">
        <f t="shared" si="29"/>
        <v>#VALUE!</v>
      </c>
      <c r="EF36" s="1132" t="e">
        <f t="shared" si="30"/>
        <v>#VALUE!</v>
      </c>
      <c r="EG36" s="1132" t="e">
        <f t="shared" si="31"/>
        <v>#VALUE!</v>
      </c>
      <c r="EH36" s="1132">
        <f t="shared" si="32"/>
        <v>0</v>
      </c>
      <c r="EI36" s="1132">
        <f t="shared" si="33"/>
        <v>0</v>
      </c>
      <c r="EJ36" s="1198">
        <f t="shared" si="34"/>
        <v>0</v>
      </c>
      <c r="EK36" s="1132">
        <f t="shared" si="35"/>
        <v>-249.59999999999991</v>
      </c>
      <c r="EL36" s="1132">
        <f t="shared" si="36"/>
        <v>6.7520735373712597</v>
      </c>
      <c r="EM36" s="1132">
        <f t="shared" si="37"/>
        <v>0.26067588325652835</v>
      </c>
      <c r="EN36" s="1132">
        <f t="shared" si="40"/>
        <v>-13.811764705882339</v>
      </c>
      <c r="EO36" s="1132">
        <f t="shared" si="41"/>
        <v>70</v>
      </c>
      <c r="EP36" s="1198">
        <f t="shared" si="42"/>
        <v>-11.834622827137181</v>
      </c>
      <c r="EQ36" s="1248">
        <f t="shared" si="43"/>
        <v>0</v>
      </c>
      <c r="ER36" s="1132">
        <f t="shared" si="44"/>
        <v>0</v>
      </c>
      <c r="ES36" s="1198">
        <f t="shared" si="45"/>
        <v>10.580010410958899</v>
      </c>
    </row>
    <row r="37" spans="1:149">
      <c r="A37" s="634">
        <f>Eingabedaten!A40</f>
        <v>11.02</v>
      </c>
      <c r="B37" s="463" t="str">
        <f>Eingabedaten!C40</f>
        <v>Fitnessraum</v>
      </c>
      <c r="C37" s="637"/>
      <c r="D37" s="379"/>
      <c r="E37" s="379"/>
      <c r="F37" s="1238"/>
      <c r="G37" s="1129"/>
      <c r="H37" s="1129"/>
      <c r="I37" s="1129"/>
      <c r="J37" s="1129"/>
      <c r="K37" s="1129"/>
      <c r="L37" s="1129"/>
      <c r="M37" s="1129"/>
      <c r="N37" s="1237"/>
      <c r="O37" s="1240">
        <v>3</v>
      </c>
      <c r="P37" s="1131">
        <v>0</v>
      </c>
      <c r="Q37" s="1129">
        <v>3410</v>
      </c>
      <c r="R37" s="1131">
        <v>10.23</v>
      </c>
      <c r="S37" s="1239">
        <v>10.23</v>
      </c>
      <c r="T37" s="1131">
        <v>0</v>
      </c>
      <c r="U37" s="1240"/>
      <c r="V37" s="1240">
        <v>70</v>
      </c>
      <c r="W37" s="1834">
        <v>0.83798882681564235</v>
      </c>
      <c r="X37" s="1239"/>
      <c r="Y37" s="1239">
        <v>6.3360000000000003</v>
      </c>
      <c r="Z37" s="1239">
        <v>8.2314579927708156</v>
      </c>
      <c r="AA37" s="1239">
        <v>6.3928571428571441</v>
      </c>
      <c r="AB37" s="1131">
        <v>3126</v>
      </c>
      <c r="AC37" s="1243">
        <v>19.984071428571433</v>
      </c>
      <c r="AD37" s="1242">
        <v>7.25</v>
      </c>
      <c r="AE37" s="1131">
        <v>5320</v>
      </c>
      <c r="AF37" s="1239">
        <v>6.5975000000000001</v>
      </c>
      <c r="AG37" s="1131">
        <v>4470</v>
      </c>
      <c r="AH37" s="1197">
        <v>29.490825000000001</v>
      </c>
      <c r="AI37" s="1240">
        <v>31.100705882352941</v>
      </c>
      <c r="AJ37" s="1131">
        <v>15.792857142857144</v>
      </c>
      <c r="AK37" s="1131">
        <v>133.01857142857145</v>
      </c>
      <c r="AL37" s="1131" t="s">
        <v>16</v>
      </c>
      <c r="AM37" s="1131" t="s">
        <v>16</v>
      </c>
      <c r="AN37" s="1131" t="s">
        <v>16</v>
      </c>
      <c r="AO37" s="1131">
        <v>32.825494117647061</v>
      </c>
      <c r="AP37" s="1131">
        <v>0</v>
      </c>
      <c r="AQ37" s="1131">
        <v>40.282360784313717</v>
      </c>
      <c r="AR37" s="1131">
        <v>0</v>
      </c>
      <c r="AS37" s="1197">
        <v>0</v>
      </c>
      <c r="AT37" s="1197">
        <v>0</v>
      </c>
      <c r="AU37" s="1131">
        <v>175.02494117647058</v>
      </c>
      <c r="AV37" s="1131">
        <v>81.204426663225149</v>
      </c>
      <c r="AW37" s="1131">
        <v>-2.1819336000516225</v>
      </c>
      <c r="AX37" s="1239">
        <v>33.646033333333335</v>
      </c>
      <c r="AY37" s="1131">
        <v>2360</v>
      </c>
      <c r="AZ37" s="1242">
        <v>2.410388127853881</v>
      </c>
      <c r="BA37" s="1243">
        <v>79.46091601919322</v>
      </c>
      <c r="BB37" s="1129"/>
      <c r="BC37" s="1131"/>
      <c r="BD37" s="1243">
        <v>87.139200000000017</v>
      </c>
      <c r="BG37" s="637"/>
      <c r="BH37" s="379"/>
      <c r="BI37" s="379"/>
      <c r="BJ37" s="1238"/>
      <c r="BK37" s="1129"/>
      <c r="BL37" s="1129"/>
      <c r="BM37" s="1129"/>
      <c r="BN37" s="1129"/>
      <c r="BO37" s="1129"/>
      <c r="BP37" s="1237"/>
      <c r="BQ37" s="1240">
        <v>3</v>
      </c>
      <c r="BR37" s="1129">
        <v>5710</v>
      </c>
      <c r="BS37" s="1131">
        <v>17.13</v>
      </c>
      <c r="BT37" s="1241"/>
      <c r="BU37" s="1239"/>
      <c r="BV37" s="1131">
        <v>45.1</v>
      </c>
      <c r="BW37" s="1239">
        <v>0.83798882681564235</v>
      </c>
      <c r="BX37" s="1239">
        <v>9.9223946784922408</v>
      </c>
      <c r="BY37" s="1239">
        <v>0</v>
      </c>
      <c r="BZ37" s="1239">
        <v>9.9223946784922408</v>
      </c>
      <c r="CA37" s="1131">
        <v>3000</v>
      </c>
      <c r="CB37" s="1131">
        <v>0</v>
      </c>
      <c r="CC37" s="1197">
        <v>29.767184035476724</v>
      </c>
      <c r="CD37" s="1239">
        <v>9</v>
      </c>
      <c r="CE37" s="1239">
        <v>0</v>
      </c>
      <c r="CF37" s="1131">
        <v>0</v>
      </c>
      <c r="CG37" s="1197">
        <v>0</v>
      </c>
      <c r="CH37" s="1240">
        <v>38.40305882352942</v>
      </c>
      <c r="CI37" s="1131">
        <v>24.922394678492239</v>
      </c>
      <c r="CJ37" s="1131">
        <v>284.55693266525736</v>
      </c>
      <c r="CK37" s="1131" t="s">
        <v>16</v>
      </c>
      <c r="CL37" s="1131" t="s">
        <v>16</v>
      </c>
      <c r="CM37" s="1131" t="s">
        <v>16</v>
      </c>
      <c r="CN37" s="1131">
        <v>32</v>
      </c>
      <c r="CO37" s="1131">
        <v>30</v>
      </c>
      <c r="CP37" s="1197">
        <v>0.91506944444444449</v>
      </c>
      <c r="CQ37" s="1131">
        <v>562.09694117647064</v>
      </c>
      <c r="CR37" s="1131">
        <v>25.285318169945146</v>
      </c>
      <c r="CS37" s="1131">
        <v>-3</v>
      </c>
      <c r="CT37" s="1131">
        <v>113.20007843137256</v>
      </c>
      <c r="CU37" s="1131">
        <v>960</v>
      </c>
      <c r="CV37" s="1197">
        <v>108.29644633200176</v>
      </c>
      <c r="CW37" s="1129"/>
      <c r="CX37" s="1131"/>
      <c r="CY37" s="1197">
        <v>87.139200000000017</v>
      </c>
      <c r="DA37" s="637">
        <f t="shared" si="0"/>
        <v>0</v>
      </c>
      <c r="DB37" s="379">
        <f t="shared" si="1"/>
        <v>0</v>
      </c>
      <c r="DC37" s="379">
        <f t="shared" si="2"/>
        <v>0</v>
      </c>
      <c r="DD37" s="1238">
        <f t="shared" si="3"/>
        <v>0</v>
      </c>
      <c r="DE37" s="1129">
        <f t="shared" si="4"/>
        <v>0</v>
      </c>
      <c r="DF37" s="1129">
        <f t="shared" si="5"/>
        <v>0</v>
      </c>
      <c r="DG37" s="1129">
        <f t="shared" si="6"/>
        <v>0</v>
      </c>
      <c r="DH37" s="1129">
        <f t="shared" si="7"/>
        <v>0</v>
      </c>
      <c r="DI37" s="1129">
        <f t="shared" si="8"/>
        <v>0</v>
      </c>
      <c r="DJ37" s="1237">
        <f t="shared" si="9"/>
        <v>0</v>
      </c>
      <c r="DK37" s="1240">
        <f t="shared" si="10"/>
        <v>0</v>
      </c>
      <c r="DL37" s="1129">
        <f t="shared" si="11"/>
        <v>-2300</v>
      </c>
      <c r="DM37" s="1131">
        <f t="shared" si="12"/>
        <v>-6.8999999999999986</v>
      </c>
      <c r="DN37" s="1241">
        <f t="shared" si="13"/>
        <v>0</v>
      </c>
      <c r="DO37" s="1239">
        <f t="shared" si="14"/>
        <v>70</v>
      </c>
      <c r="DP37" s="1131">
        <f t="shared" si="15"/>
        <v>-44.262011173184362</v>
      </c>
      <c r="DQ37" s="1239">
        <f t="shared" si="16"/>
        <v>-0.83798882681564235</v>
      </c>
      <c r="DR37" s="1239">
        <f t="shared" si="17"/>
        <v>-3.5863946784922405</v>
      </c>
      <c r="DS37" s="1239">
        <f t="shared" si="18"/>
        <v>8.2314579927708156</v>
      </c>
      <c r="DT37" s="1239">
        <f t="shared" si="19"/>
        <v>-3.5295375356350966</v>
      </c>
      <c r="DU37" s="1131">
        <f t="shared" si="20"/>
        <v>126</v>
      </c>
      <c r="DV37" s="1131" t="e">
        <f>#REF!-CB37</f>
        <v>#REF!</v>
      </c>
      <c r="DW37" s="1197">
        <f t="shared" si="21"/>
        <v>-9.7831126069052914</v>
      </c>
      <c r="DX37" s="1239">
        <f t="shared" si="22"/>
        <v>-1.75</v>
      </c>
      <c r="DY37" s="1239">
        <f t="shared" si="23"/>
        <v>6.5975000000000001</v>
      </c>
      <c r="DZ37" s="1131">
        <f t="shared" si="24"/>
        <v>4470</v>
      </c>
      <c r="EA37" s="1197">
        <f t="shared" si="25"/>
        <v>29.490825000000001</v>
      </c>
      <c r="EB37" s="1240">
        <f t="shared" si="26"/>
        <v>-7.3023529411764798</v>
      </c>
      <c r="EC37" s="1131">
        <f t="shared" si="27"/>
        <v>-9.1295375356350945</v>
      </c>
      <c r="ED37" s="1131">
        <f t="shared" si="28"/>
        <v>-151.53836123668592</v>
      </c>
      <c r="EE37" s="1131" t="e">
        <f t="shared" si="29"/>
        <v>#VALUE!</v>
      </c>
      <c r="EF37" s="1131" t="e">
        <f t="shared" si="30"/>
        <v>#VALUE!</v>
      </c>
      <c r="EG37" s="1131" t="e">
        <f t="shared" si="31"/>
        <v>#VALUE!</v>
      </c>
      <c r="EH37" s="1131">
        <f t="shared" si="32"/>
        <v>8.2823607843137168</v>
      </c>
      <c r="EI37" s="1131">
        <f t="shared" si="33"/>
        <v>-30</v>
      </c>
      <c r="EJ37" s="1197">
        <f t="shared" si="34"/>
        <v>-0.91506944444444449</v>
      </c>
      <c r="EK37" s="1131">
        <f t="shared" si="35"/>
        <v>-387.07200000000006</v>
      </c>
      <c r="EL37" s="1131">
        <f t="shared" si="36"/>
        <v>55.919108493280007</v>
      </c>
      <c r="EM37" s="1131">
        <f t="shared" si="37"/>
        <v>0.81806639994837749</v>
      </c>
      <c r="EN37" s="1131">
        <f t="shared" si="40"/>
        <v>-79.554045098039225</v>
      </c>
      <c r="EO37" s="1131">
        <f t="shared" si="41"/>
        <v>1400</v>
      </c>
      <c r="EP37" s="1197">
        <f t="shared" si="42"/>
        <v>-28.835530312808544</v>
      </c>
      <c r="EQ37" s="1129">
        <f t="shared" si="43"/>
        <v>0</v>
      </c>
      <c r="ER37" s="1131">
        <f t="shared" si="44"/>
        <v>0</v>
      </c>
      <c r="ES37" s="1197">
        <f t="shared" si="45"/>
        <v>0</v>
      </c>
    </row>
    <row r="38" spans="1:149">
      <c r="A38" s="638">
        <f>Eingabedaten!A41</f>
        <v>11.03</v>
      </c>
      <c r="B38" s="592" t="str">
        <f>Eingabedaten!C41</f>
        <v>Schwimmhalle</v>
      </c>
      <c r="C38" s="654"/>
      <c r="D38" s="387"/>
      <c r="E38" s="387"/>
      <c r="F38" s="1227"/>
      <c r="G38" s="1130"/>
      <c r="H38" s="1130"/>
      <c r="I38" s="1130"/>
      <c r="J38" s="1130"/>
      <c r="K38" s="1130"/>
      <c r="L38" s="1130"/>
      <c r="M38" s="1130"/>
      <c r="N38" s="1229"/>
      <c r="O38" s="1255">
        <v>4</v>
      </c>
      <c r="P38" s="1133">
        <v>150</v>
      </c>
      <c r="Q38" s="1130">
        <v>3410</v>
      </c>
      <c r="R38" s="1133">
        <v>13.64</v>
      </c>
      <c r="S38" s="1228">
        <v>13.64</v>
      </c>
      <c r="T38" s="1133">
        <v>511.5</v>
      </c>
      <c r="U38" s="1255"/>
      <c r="V38" s="1255">
        <v>70</v>
      </c>
      <c r="W38" s="1836">
        <v>0.73746312684365778</v>
      </c>
      <c r="X38" s="1228"/>
      <c r="Y38" s="1228">
        <v>6.3360000000000003</v>
      </c>
      <c r="Z38" s="1228">
        <v>6.8530117428551129</v>
      </c>
      <c r="AA38" s="1228">
        <v>7.2642857142857142</v>
      </c>
      <c r="AB38" s="1133">
        <v>2812</v>
      </c>
      <c r="AC38" s="1196">
        <v>20.42717142857143</v>
      </c>
      <c r="AD38" s="1257">
        <v>4.8333333333333339</v>
      </c>
      <c r="AE38" s="1133">
        <v>5320</v>
      </c>
      <c r="AF38" s="1228">
        <v>4.3983333333333343</v>
      </c>
      <c r="AG38" s="1133">
        <v>4470</v>
      </c>
      <c r="AH38" s="1199">
        <v>19.660550000000004</v>
      </c>
      <c r="AI38" s="1255">
        <v>40.374352941176475</v>
      </c>
      <c r="AJ38" s="1133">
        <v>18.364285714285714</v>
      </c>
      <c r="AK38" s="1133">
        <v>156.95285714285714</v>
      </c>
      <c r="AL38" s="1133" t="s">
        <v>16</v>
      </c>
      <c r="AM38" s="1133" t="s">
        <v>16</v>
      </c>
      <c r="AN38" s="1133" t="s">
        <v>16</v>
      </c>
      <c r="AO38" s="1133">
        <v>0</v>
      </c>
      <c r="AP38" s="1133">
        <v>0</v>
      </c>
      <c r="AQ38" s="1133">
        <v>0</v>
      </c>
      <c r="AR38" s="1133">
        <v>0</v>
      </c>
      <c r="AS38" s="1199">
        <v>0</v>
      </c>
      <c r="AT38" s="1199">
        <v>0</v>
      </c>
      <c r="AU38" s="1133">
        <v>788.17254901960791</v>
      </c>
      <c r="AV38" s="1133">
        <v>53.693826374238739</v>
      </c>
      <c r="AW38" s="1133">
        <v>-2.5945926043864187</v>
      </c>
      <c r="AX38" s="1228">
        <v>67.181054901960806</v>
      </c>
      <c r="AY38" s="1133">
        <v>2940</v>
      </c>
      <c r="AZ38" s="1257">
        <v>1.6765601217656014</v>
      </c>
      <c r="BA38" s="1196">
        <v>197.4876605048342</v>
      </c>
      <c r="BB38" s="1130"/>
      <c r="BC38" s="1133"/>
      <c r="BD38" s="1196">
        <v>145.23200000000006</v>
      </c>
      <c r="BG38" s="654"/>
      <c r="BH38" s="387"/>
      <c r="BI38" s="387"/>
      <c r="BJ38" s="1227"/>
      <c r="BK38" s="1130"/>
      <c r="BL38" s="1130"/>
      <c r="BM38" s="1130"/>
      <c r="BN38" s="1130"/>
      <c r="BO38" s="1130"/>
      <c r="BP38" s="1229"/>
      <c r="BQ38" s="1255">
        <v>3</v>
      </c>
      <c r="BR38" s="1130">
        <v>5710</v>
      </c>
      <c r="BS38" s="1133">
        <v>17.13</v>
      </c>
      <c r="BT38" s="1256"/>
      <c r="BU38" s="1228"/>
      <c r="BV38" s="1133">
        <v>45.1</v>
      </c>
      <c r="BW38" s="1228">
        <v>0.73746312684365778</v>
      </c>
      <c r="BX38" s="1228">
        <v>11.274944567627495</v>
      </c>
      <c r="BY38" s="1228">
        <v>0</v>
      </c>
      <c r="BZ38" s="1228">
        <v>11.274944567627495</v>
      </c>
      <c r="CA38" s="1133">
        <v>2630</v>
      </c>
      <c r="CB38" s="1133">
        <v>0</v>
      </c>
      <c r="CC38" s="1199">
        <v>29.653104212860313</v>
      </c>
      <c r="CD38" s="1228">
        <v>3.6</v>
      </c>
      <c r="CE38" s="1228">
        <v>3.2760000000000002</v>
      </c>
      <c r="CF38" s="1133">
        <v>4510</v>
      </c>
      <c r="CG38" s="1199">
        <v>14.774760000000001</v>
      </c>
      <c r="CH38" s="1255">
        <v>24.916156862745105</v>
      </c>
      <c r="CI38" s="1133">
        <v>21.274944567627493</v>
      </c>
      <c r="CJ38" s="1133">
        <v>197.22297797776389</v>
      </c>
      <c r="CK38" s="1133" t="s">
        <v>16</v>
      </c>
      <c r="CL38" s="1133" t="s">
        <v>16</v>
      </c>
      <c r="CM38" s="1133" t="s">
        <v>16</v>
      </c>
      <c r="CN38" s="1133">
        <v>0</v>
      </c>
      <c r="CO38" s="1133">
        <v>0</v>
      </c>
      <c r="CP38" s="1199">
        <v>2.0125000000000001E-2</v>
      </c>
      <c r="CQ38" s="1133">
        <v>788.17254901960791</v>
      </c>
      <c r="CR38" s="1133">
        <v>53.693826374238739</v>
      </c>
      <c r="CS38" s="1133">
        <v>-2</v>
      </c>
      <c r="CT38" s="1133">
        <v>66.994666666666674</v>
      </c>
      <c r="CU38" s="1133">
        <v>2220</v>
      </c>
      <c r="CV38" s="1199">
        <v>148.46762183849592</v>
      </c>
      <c r="CW38" s="1130"/>
      <c r="CX38" s="1133"/>
      <c r="CY38" s="1199">
        <v>174.27840000000003</v>
      </c>
      <c r="DA38" s="654">
        <f t="shared" si="0"/>
        <v>0</v>
      </c>
      <c r="DB38" s="387">
        <f t="shared" si="1"/>
        <v>0</v>
      </c>
      <c r="DC38" s="387">
        <f t="shared" si="2"/>
        <v>0</v>
      </c>
      <c r="DD38" s="1227">
        <f t="shared" si="3"/>
        <v>0</v>
      </c>
      <c r="DE38" s="1130">
        <f t="shared" si="4"/>
        <v>0</v>
      </c>
      <c r="DF38" s="1130">
        <f t="shared" si="5"/>
        <v>0</v>
      </c>
      <c r="DG38" s="1130">
        <f t="shared" si="6"/>
        <v>0</v>
      </c>
      <c r="DH38" s="1130">
        <f t="shared" si="7"/>
        <v>0</v>
      </c>
      <c r="DI38" s="1130">
        <f t="shared" si="8"/>
        <v>0</v>
      </c>
      <c r="DJ38" s="1229">
        <f t="shared" si="9"/>
        <v>0</v>
      </c>
      <c r="DK38" s="1255">
        <f t="shared" si="10"/>
        <v>1</v>
      </c>
      <c r="DL38" s="1130">
        <f t="shared" si="11"/>
        <v>-2300</v>
      </c>
      <c r="DM38" s="1133">
        <f t="shared" si="12"/>
        <v>-3.4899999999999984</v>
      </c>
      <c r="DN38" s="1256">
        <f t="shared" si="13"/>
        <v>0</v>
      </c>
      <c r="DO38" s="1228">
        <f t="shared" si="14"/>
        <v>70</v>
      </c>
      <c r="DP38" s="1133">
        <f t="shared" si="15"/>
        <v>-44.362536873156344</v>
      </c>
      <c r="DQ38" s="1228">
        <f t="shared" si="16"/>
        <v>-0.73746312684365778</v>
      </c>
      <c r="DR38" s="1228">
        <f t="shared" si="17"/>
        <v>-4.9389445676274946</v>
      </c>
      <c r="DS38" s="1228">
        <f t="shared" si="18"/>
        <v>6.8530117428551129</v>
      </c>
      <c r="DT38" s="1228">
        <f t="shared" si="19"/>
        <v>-4.0106588533417806</v>
      </c>
      <c r="DU38" s="1133">
        <f t="shared" si="20"/>
        <v>182</v>
      </c>
      <c r="DV38" s="1133" t="e">
        <f>#REF!-CB38</f>
        <v>#REF!</v>
      </c>
      <c r="DW38" s="1199">
        <f t="shared" si="21"/>
        <v>-9.225932784288883</v>
      </c>
      <c r="DX38" s="1228">
        <f t="shared" si="22"/>
        <v>1.2333333333333338</v>
      </c>
      <c r="DY38" s="1228">
        <f t="shared" si="23"/>
        <v>1.1223333333333341</v>
      </c>
      <c r="DZ38" s="1133">
        <f t="shared" si="24"/>
        <v>-40</v>
      </c>
      <c r="EA38" s="1199">
        <f t="shared" si="25"/>
        <v>4.8857900000000036</v>
      </c>
      <c r="EB38" s="1255">
        <f t="shared" si="26"/>
        <v>15.458196078431371</v>
      </c>
      <c r="EC38" s="1133">
        <f t="shared" si="27"/>
        <v>-2.9106588533417792</v>
      </c>
      <c r="ED38" s="1133">
        <f t="shared" si="28"/>
        <v>-40.270120834906749</v>
      </c>
      <c r="EE38" s="1133" t="e">
        <f t="shared" si="29"/>
        <v>#VALUE!</v>
      </c>
      <c r="EF38" s="1133" t="e">
        <f t="shared" si="30"/>
        <v>#VALUE!</v>
      </c>
      <c r="EG38" s="1133" t="e">
        <f t="shared" si="31"/>
        <v>#VALUE!</v>
      </c>
      <c r="EH38" s="1133">
        <f t="shared" si="32"/>
        <v>0</v>
      </c>
      <c r="EI38" s="1133">
        <f t="shared" si="33"/>
        <v>0</v>
      </c>
      <c r="EJ38" s="1199">
        <f t="shared" si="34"/>
        <v>-2.0125000000000001E-2</v>
      </c>
      <c r="EK38" s="1133">
        <f t="shared" si="35"/>
        <v>0</v>
      </c>
      <c r="EL38" s="1133">
        <f t="shared" si="36"/>
        <v>0</v>
      </c>
      <c r="EM38" s="1133">
        <f t="shared" si="37"/>
        <v>-0.5945926043864187</v>
      </c>
      <c r="EN38" s="1133">
        <f t="shared" si="40"/>
        <v>0.18638823529413173</v>
      </c>
      <c r="EO38" s="1133">
        <f t="shared" si="41"/>
        <v>720</v>
      </c>
      <c r="EP38" s="1199">
        <f t="shared" si="42"/>
        <v>49.02003866633828</v>
      </c>
      <c r="EQ38" s="1130">
        <f t="shared" si="43"/>
        <v>0</v>
      </c>
      <c r="ER38" s="1133">
        <f t="shared" si="44"/>
        <v>0</v>
      </c>
      <c r="ES38" s="1199">
        <f t="shared" si="45"/>
        <v>-29.046399999999977</v>
      </c>
    </row>
    <row r="39" spans="1:149">
      <c r="A39" s="1472">
        <f>Eingabedaten!A42</f>
        <v>12.01</v>
      </c>
      <c r="B39" s="388" t="str">
        <f>Eingabedaten!C42</f>
        <v>Verkehrsfläche</v>
      </c>
      <c r="C39" s="653"/>
      <c r="D39" s="386"/>
      <c r="E39" s="386"/>
      <c r="F39" s="1247"/>
      <c r="G39" s="1248"/>
      <c r="H39" s="1248"/>
      <c r="I39" s="1248"/>
      <c r="J39" s="1248"/>
      <c r="K39" s="1248"/>
      <c r="L39" s="1248"/>
      <c r="M39" s="1248"/>
      <c r="N39" s="1250"/>
      <c r="O39" s="1251">
        <v>0</v>
      </c>
      <c r="P39" s="1132">
        <v>0</v>
      </c>
      <c r="Q39" s="1248">
        <v>0</v>
      </c>
      <c r="R39" s="1132">
        <v>0</v>
      </c>
      <c r="S39" s="1249">
        <v>0</v>
      </c>
      <c r="T39" s="1132">
        <v>0</v>
      </c>
      <c r="U39" s="1251"/>
      <c r="V39" s="1251">
        <v>70</v>
      </c>
      <c r="W39" s="1835">
        <v>0.50607287449392702</v>
      </c>
      <c r="X39" s="1249"/>
      <c r="Y39" s="1249">
        <v>7.6032000000000011</v>
      </c>
      <c r="Z39" s="1249">
        <v>7.6032000000000011</v>
      </c>
      <c r="AA39" s="1249">
        <v>3.5285714285714294</v>
      </c>
      <c r="AB39" s="1132">
        <v>1402</v>
      </c>
      <c r="AC39" s="1254">
        <v>4.9470571428571439</v>
      </c>
      <c r="AD39" s="1253">
        <v>0.5</v>
      </c>
      <c r="AE39" s="1132">
        <v>0</v>
      </c>
      <c r="AF39" s="1249">
        <v>0</v>
      </c>
      <c r="AG39" s="1132">
        <v>0</v>
      </c>
      <c r="AH39" s="1198">
        <v>0</v>
      </c>
      <c r="AI39" s="1251">
        <v>60.102352941176477</v>
      </c>
      <c r="AJ39" s="1132">
        <v>3.5285714285714294</v>
      </c>
      <c r="AK39" s="1132">
        <v>0</v>
      </c>
      <c r="AL39" s="1132" t="s">
        <v>16</v>
      </c>
      <c r="AM39" s="1132" t="s">
        <v>16</v>
      </c>
      <c r="AN39" s="1132" t="s">
        <v>16</v>
      </c>
      <c r="AO39" s="1132">
        <v>0</v>
      </c>
      <c r="AP39" s="1132">
        <v>0</v>
      </c>
      <c r="AQ39" s="1132">
        <v>0</v>
      </c>
      <c r="AR39" s="1132">
        <v>0</v>
      </c>
      <c r="AS39" s="1198">
        <v>0</v>
      </c>
      <c r="AT39" s="1198">
        <v>0</v>
      </c>
      <c r="AU39" s="1132">
        <v>22.235294117647058</v>
      </c>
      <c r="AV39" s="1132">
        <v>113.15343915343915</v>
      </c>
      <c r="AW39" s="1132">
        <v>-1.7026984126984126</v>
      </c>
      <c r="AX39" s="1249">
        <v>33.578294117647062</v>
      </c>
      <c r="AY39" s="1132">
        <v>620</v>
      </c>
      <c r="AZ39" s="1253">
        <v>0.33493150684931505</v>
      </c>
      <c r="BA39" s="1254">
        <v>20.66006602052056</v>
      </c>
      <c r="BB39" s="1248"/>
      <c r="BC39" s="1132"/>
      <c r="BD39" s="1198">
        <v>0</v>
      </c>
      <c r="BG39" s="653"/>
      <c r="BH39" s="386"/>
      <c r="BI39" s="386"/>
      <c r="BJ39" s="1247"/>
      <c r="BK39" s="1248"/>
      <c r="BL39" s="1248"/>
      <c r="BM39" s="1248"/>
      <c r="BN39" s="1248"/>
      <c r="BO39" s="1248"/>
      <c r="BP39" s="1250"/>
      <c r="BQ39" s="1251">
        <v>0</v>
      </c>
      <c r="BR39" s="1248">
        <v>0</v>
      </c>
      <c r="BS39" s="1132">
        <v>0</v>
      </c>
      <c r="BT39" s="1252"/>
      <c r="BU39" s="1249"/>
      <c r="BV39" s="1132">
        <v>35.1</v>
      </c>
      <c r="BW39" s="1249">
        <v>0.50607287449392702</v>
      </c>
      <c r="BX39" s="1249">
        <v>7.0370370370370381</v>
      </c>
      <c r="BY39" s="1249">
        <v>0</v>
      </c>
      <c r="BZ39" s="1249">
        <v>7.0370370370370381</v>
      </c>
      <c r="CA39" s="1132">
        <v>2970</v>
      </c>
      <c r="CB39" s="1132">
        <v>0</v>
      </c>
      <c r="CC39" s="1198">
        <v>20.900000000000002</v>
      </c>
      <c r="CD39" s="1249">
        <v>2</v>
      </c>
      <c r="CE39" s="1249">
        <v>0</v>
      </c>
      <c r="CF39" s="1132">
        <v>0</v>
      </c>
      <c r="CG39" s="1198">
        <v>0</v>
      </c>
      <c r="CH39" s="1251">
        <v>8.9894117647058831</v>
      </c>
      <c r="CI39" s="1132">
        <v>7.0370370370370381</v>
      </c>
      <c r="CJ39" s="1132">
        <v>45.173709565444362</v>
      </c>
      <c r="CK39" s="1132" t="s">
        <v>16</v>
      </c>
      <c r="CL39" s="1132" t="s">
        <v>16</v>
      </c>
      <c r="CM39" s="1132" t="s">
        <v>16</v>
      </c>
      <c r="CN39" s="1132">
        <v>0</v>
      </c>
      <c r="CO39" s="1132">
        <v>0</v>
      </c>
      <c r="CP39" s="1198">
        <v>0</v>
      </c>
      <c r="CQ39" s="1132">
        <v>21.708235294117646</v>
      </c>
      <c r="CR39" s="1132">
        <v>115.90071536960764</v>
      </c>
      <c r="CS39" s="1132">
        <v>-1</v>
      </c>
      <c r="CT39" s="1132">
        <v>29.306117647058823</v>
      </c>
      <c r="CU39" s="1132">
        <v>650</v>
      </c>
      <c r="CV39" s="1198">
        <v>19.008204939284418</v>
      </c>
      <c r="CW39" s="1248"/>
      <c r="CX39" s="1132"/>
      <c r="CY39" s="1198">
        <v>0</v>
      </c>
      <c r="DA39" s="653">
        <f t="shared" si="0"/>
        <v>0</v>
      </c>
      <c r="DB39" s="386">
        <f t="shared" si="1"/>
        <v>0</v>
      </c>
      <c r="DC39" s="386">
        <f t="shared" si="2"/>
        <v>0</v>
      </c>
      <c r="DD39" s="1247">
        <f t="shared" si="3"/>
        <v>0</v>
      </c>
      <c r="DE39" s="1248">
        <f t="shared" si="4"/>
        <v>0</v>
      </c>
      <c r="DF39" s="1248">
        <f t="shared" si="5"/>
        <v>0</v>
      </c>
      <c r="DG39" s="1248">
        <f t="shared" si="6"/>
        <v>0</v>
      </c>
      <c r="DH39" s="1248">
        <f t="shared" si="7"/>
        <v>0</v>
      </c>
      <c r="DI39" s="1248">
        <f t="shared" si="8"/>
        <v>0</v>
      </c>
      <c r="DJ39" s="1250">
        <f t="shared" si="9"/>
        <v>0</v>
      </c>
      <c r="DK39" s="1251">
        <f t="shared" si="10"/>
        <v>0</v>
      </c>
      <c r="DL39" s="1248">
        <f t="shared" si="11"/>
        <v>0</v>
      </c>
      <c r="DM39" s="1132">
        <f t="shared" si="12"/>
        <v>0</v>
      </c>
      <c r="DN39" s="1252">
        <f t="shared" si="13"/>
        <v>0</v>
      </c>
      <c r="DO39" s="1249">
        <f t="shared" si="14"/>
        <v>70</v>
      </c>
      <c r="DP39" s="1132">
        <f t="shared" si="15"/>
        <v>-34.593927125506077</v>
      </c>
      <c r="DQ39" s="1249">
        <f t="shared" si="16"/>
        <v>-0.50607287449392702</v>
      </c>
      <c r="DR39" s="1249">
        <f t="shared" si="17"/>
        <v>0.56616296296296298</v>
      </c>
      <c r="DS39" s="1249">
        <f t="shared" si="18"/>
        <v>7.6032000000000011</v>
      </c>
      <c r="DT39" s="1249">
        <f t="shared" si="19"/>
        <v>-3.5084656084656087</v>
      </c>
      <c r="DU39" s="1132">
        <f t="shared" si="20"/>
        <v>-1568</v>
      </c>
      <c r="DV39" s="1132" t="e">
        <f>#REF!-CB39</f>
        <v>#REF!</v>
      </c>
      <c r="DW39" s="1198">
        <f t="shared" si="21"/>
        <v>-15.952942857142858</v>
      </c>
      <c r="DX39" s="1249">
        <f t="shared" si="22"/>
        <v>-1.5</v>
      </c>
      <c r="DY39" s="1249">
        <f t="shared" si="23"/>
        <v>0</v>
      </c>
      <c r="DZ39" s="1132">
        <f t="shared" si="24"/>
        <v>0</v>
      </c>
      <c r="EA39" s="1198">
        <f t="shared" si="25"/>
        <v>0</v>
      </c>
      <c r="EB39" s="1251">
        <f t="shared" si="26"/>
        <v>51.112941176470592</v>
      </c>
      <c r="EC39" s="1132">
        <f t="shared" si="27"/>
        <v>-3.5084656084656087</v>
      </c>
      <c r="ED39" s="1132">
        <f t="shared" si="28"/>
        <v>-45.173709565444362</v>
      </c>
      <c r="EE39" s="1132" t="e">
        <f t="shared" si="29"/>
        <v>#VALUE!</v>
      </c>
      <c r="EF39" s="1132" t="e">
        <f t="shared" si="30"/>
        <v>#VALUE!</v>
      </c>
      <c r="EG39" s="1132" t="e">
        <f t="shared" si="31"/>
        <v>#VALUE!</v>
      </c>
      <c r="EH39" s="1132">
        <f t="shared" si="32"/>
        <v>0</v>
      </c>
      <c r="EI39" s="1132">
        <f t="shared" si="33"/>
        <v>0</v>
      </c>
      <c r="EJ39" s="1198">
        <f t="shared" si="34"/>
        <v>0</v>
      </c>
      <c r="EK39" s="1132">
        <f t="shared" si="35"/>
        <v>0.52705882352941202</v>
      </c>
      <c r="EL39" s="1132">
        <f t="shared" si="36"/>
        <v>-2.7472762161684869</v>
      </c>
      <c r="EM39" s="1132">
        <f t="shared" si="37"/>
        <v>-0.7026984126984126</v>
      </c>
      <c r="EN39" s="1132">
        <f t="shared" si="40"/>
        <v>4.2721764705882386</v>
      </c>
      <c r="EO39" s="1132">
        <f t="shared" si="41"/>
        <v>-30</v>
      </c>
      <c r="EP39" s="1198">
        <f t="shared" si="42"/>
        <v>1.6518610812361416</v>
      </c>
      <c r="EQ39" s="1248">
        <f t="shared" si="43"/>
        <v>0</v>
      </c>
      <c r="ER39" s="1132">
        <f t="shared" si="44"/>
        <v>0</v>
      </c>
      <c r="ES39" s="1198">
        <f t="shared" si="45"/>
        <v>0</v>
      </c>
    </row>
    <row r="40" spans="1:149">
      <c r="A40" s="634">
        <f>Eingabedaten!A43</f>
        <v>12.02</v>
      </c>
      <c r="B40" s="463" t="str">
        <f>Eingabedaten!C43</f>
        <v>Verkehrsfläche 24 h</v>
      </c>
      <c r="C40" s="637"/>
      <c r="D40" s="379"/>
      <c r="E40" s="379"/>
      <c r="F40" s="1238"/>
      <c r="G40" s="1129"/>
      <c r="H40" s="1129"/>
      <c r="I40" s="1129"/>
      <c r="J40" s="1129"/>
      <c r="K40" s="1129"/>
      <c r="L40" s="1129"/>
      <c r="M40" s="1129"/>
      <c r="N40" s="1237"/>
      <c r="O40" s="1240">
        <v>0</v>
      </c>
      <c r="P40" s="1131">
        <v>0</v>
      </c>
      <c r="Q40" s="1129">
        <v>0</v>
      </c>
      <c r="R40" s="1131">
        <v>0</v>
      </c>
      <c r="S40" s="1239">
        <v>0</v>
      </c>
      <c r="T40" s="1131">
        <v>0</v>
      </c>
      <c r="U40" s="1240"/>
      <c r="V40" s="1240">
        <v>70</v>
      </c>
      <c r="W40" s="1834">
        <v>0.50607287449392702</v>
      </c>
      <c r="X40" s="1239"/>
      <c r="Y40" s="1239">
        <v>7.6032000000000011</v>
      </c>
      <c r="Z40" s="1239">
        <v>7.6032000000000011</v>
      </c>
      <c r="AA40" s="1239">
        <v>7.0571428571428587</v>
      </c>
      <c r="AB40" s="1131">
        <v>3008</v>
      </c>
      <c r="AC40" s="1243">
        <v>21.227885714285719</v>
      </c>
      <c r="AD40" s="1242">
        <v>0.5</v>
      </c>
      <c r="AE40" s="1131">
        <v>0</v>
      </c>
      <c r="AF40" s="1239">
        <v>0</v>
      </c>
      <c r="AG40" s="1131">
        <v>0</v>
      </c>
      <c r="AH40" s="1197">
        <v>0</v>
      </c>
      <c r="AI40" s="1240">
        <v>59.230588235294128</v>
      </c>
      <c r="AJ40" s="1131">
        <v>7.0571428571428587</v>
      </c>
      <c r="AK40" s="1131">
        <v>70.571428571428584</v>
      </c>
      <c r="AL40" s="1131" t="s">
        <v>16</v>
      </c>
      <c r="AM40" s="1131" t="s">
        <v>16</v>
      </c>
      <c r="AN40" s="1131" t="s">
        <v>16</v>
      </c>
      <c r="AO40" s="1131">
        <v>46.401411764705884</v>
      </c>
      <c r="AP40" s="1239">
        <v>59.143411764705888</v>
      </c>
      <c r="AQ40" s="1131">
        <v>59.143411764705888</v>
      </c>
      <c r="AR40" s="1131">
        <v>130</v>
      </c>
      <c r="AS40" s="1197">
        <v>7.9744367502117166</v>
      </c>
      <c r="AT40" s="1197">
        <v>0</v>
      </c>
      <c r="AU40" s="1131">
        <v>22.235294117647058</v>
      </c>
      <c r="AV40" s="1131">
        <v>113.15343915343915</v>
      </c>
      <c r="AW40" s="1131">
        <v>-1.7026984126984126</v>
      </c>
      <c r="AX40" s="1239">
        <v>33.578294117647062</v>
      </c>
      <c r="AY40" s="1131">
        <v>590</v>
      </c>
      <c r="AZ40" s="1242">
        <v>0.34543378995433788</v>
      </c>
      <c r="BA40" s="1243">
        <v>19.958937658470898</v>
      </c>
      <c r="BB40" s="1129"/>
      <c r="BC40" s="1131"/>
      <c r="BD40" s="1197">
        <v>0</v>
      </c>
      <c r="BG40" s="637"/>
      <c r="BH40" s="379"/>
      <c r="BI40" s="379"/>
      <c r="BJ40" s="1238"/>
      <c r="BK40" s="1129"/>
      <c r="BL40" s="1129"/>
      <c r="BM40" s="1129"/>
      <c r="BN40" s="1129"/>
      <c r="BO40" s="1129"/>
      <c r="BP40" s="1237"/>
      <c r="BQ40" s="1240">
        <v>0</v>
      </c>
      <c r="BR40" s="1129">
        <v>0</v>
      </c>
      <c r="BS40" s="1131">
        <v>0</v>
      </c>
      <c r="BT40" s="1241"/>
      <c r="BU40" s="1239"/>
      <c r="BV40" s="1131">
        <v>40.099999999999994</v>
      </c>
      <c r="BW40" s="1239">
        <v>0.50607287449392702</v>
      </c>
      <c r="BX40" s="1239">
        <v>12.319201995012474</v>
      </c>
      <c r="BY40" s="1239">
        <v>0</v>
      </c>
      <c r="BZ40" s="1239">
        <v>12.319201995012474</v>
      </c>
      <c r="CA40" s="1131">
        <v>6440</v>
      </c>
      <c r="CB40" s="1131">
        <v>0</v>
      </c>
      <c r="CC40" s="1197">
        <v>79.335660847880334</v>
      </c>
      <c r="CD40" s="1239">
        <v>2</v>
      </c>
      <c r="CE40" s="1239">
        <v>0</v>
      </c>
      <c r="CF40" s="1131">
        <v>0</v>
      </c>
      <c r="CG40" s="1197">
        <v>0</v>
      </c>
      <c r="CH40" s="1240">
        <v>15.501882352941177</v>
      </c>
      <c r="CI40" s="1131">
        <v>12.319201995012474</v>
      </c>
      <c r="CJ40" s="1131">
        <v>239.57402993912567</v>
      </c>
      <c r="CK40" s="1131" t="s">
        <v>16</v>
      </c>
      <c r="CL40" s="1131" t="s">
        <v>16</v>
      </c>
      <c r="CM40" s="1131" t="s">
        <v>16</v>
      </c>
      <c r="CN40" s="1131">
        <v>20</v>
      </c>
      <c r="CO40" s="1131">
        <v>810</v>
      </c>
      <c r="CP40" s="1197">
        <v>16.142499999999998</v>
      </c>
      <c r="CQ40" s="1131">
        <v>21.708235294117646</v>
      </c>
      <c r="CR40" s="1131">
        <v>115.90071536960764</v>
      </c>
      <c r="CS40" s="1131">
        <v>-1</v>
      </c>
      <c r="CT40" s="1131">
        <v>29.306117647058823</v>
      </c>
      <c r="CU40" s="1131">
        <v>250</v>
      </c>
      <c r="CV40" s="1197">
        <v>7.2821950718818762</v>
      </c>
      <c r="CW40" s="1129"/>
      <c r="CX40" s="1131"/>
      <c r="CY40" s="1197">
        <v>0</v>
      </c>
      <c r="DA40" s="637">
        <f t="shared" si="0"/>
        <v>0</v>
      </c>
      <c r="DB40" s="379">
        <f t="shared" si="1"/>
        <v>0</v>
      </c>
      <c r="DC40" s="379">
        <f t="shared" si="2"/>
        <v>0</v>
      </c>
      <c r="DD40" s="1238">
        <f t="shared" si="3"/>
        <v>0</v>
      </c>
      <c r="DE40" s="1129">
        <f t="shared" si="4"/>
        <v>0</v>
      </c>
      <c r="DF40" s="1129">
        <f t="shared" si="5"/>
        <v>0</v>
      </c>
      <c r="DG40" s="1129">
        <f t="shared" si="6"/>
        <v>0</v>
      </c>
      <c r="DH40" s="1129">
        <f t="shared" si="7"/>
        <v>0</v>
      </c>
      <c r="DI40" s="1129">
        <f t="shared" si="8"/>
        <v>0</v>
      </c>
      <c r="DJ40" s="1237">
        <f t="shared" si="9"/>
        <v>0</v>
      </c>
      <c r="DK40" s="1240">
        <f t="shared" si="10"/>
        <v>0</v>
      </c>
      <c r="DL40" s="1129">
        <f t="shared" si="11"/>
        <v>0</v>
      </c>
      <c r="DM40" s="1131">
        <f t="shared" si="12"/>
        <v>0</v>
      </c>
      <c r="DN40" s="1241">
        <f t="shared" si="13"/>
        <v>0</v>
      </c>
      <c r="DO40" s="1239">
        <f t="shared" si="14"/>
        <v>70</v>
      </c>
      <c r="DP40" s="1131">
        <f t="shared" si="15"/>
        <v>-39.59392712550607</v>
      </c>
      <c r="DQ40" s="1239">
        <f t="shared" si="16"/>
        <v>-0.50607287449392702</v>
      </c>
      <c r="DR40" s="1239">
        <f t="shared" si="17"/>
        <v>-4.7160019950124727</v>
      </c>
      <c r="DS40" s="1239">
        <f t="shared" si="18"/>
        <v>7.6032000000000011</v>
      </c>
      <c r="DT40" s="1239">
        <f t="shared" si="19"/>
        <v>-5.2620591378696151</v>
      </c>
      <c r="DU40" s="1131">
        <f t="shared" si="20"/>
        <v>-3432</v>
      </c>
      <c r="DV40" s="1131" t="e">
        <f>#REF!-CB40</f>
        <v>#REF!</v>
      </c>
      <c r="DW40" s="1197">
        <f t="shared" si="21"/>
        <v>-58.107775133594615</v>
      </c>
      <c r="DX40" s="1239">
        <f t="shared" si="22"/>
        <v>-1.5</v>
      </c>
      <c r="DY40" s="1239">
        <f t="shared" si="23"/>
        <v>0</v>
      </c>
      <c r="DZ40" s="1131">
        <f t="shared" si="24"/>
        <v>0</v>
      </c>
      <c r="EA40" s="1197">
        <f t="shared" si="25"/>
        <v>0</v>
      </c>
      <c r="EB40" s="1240">
        <f t="shared" si="26"/>
        <v>43.728705882352955</v>
      </c>
      <c r="EC40" s="1131">
        <f t="shared" si="27"/>
        <v>-5.2620591378696151</v>
      </c>
      <c r="ED40" s="1131">
        <f t="shared" si="28"/>
        <v>-169.00260136769708</v>
      </c>
      <c r="EE40" s="1131" t="e">
        <f t="shared" si="29"/>
        <v>#VALUE!</v>
      </c>
      <c r="EF40" s="1131" t="e">
        <f t="shared" si="30"/>
        <v>#VALUE!</v>
      </c>
      <c r="EG40" s="1131" t="e">
        <f t="shared" si="31"/>
        <v>#VALUE!</v>
      </c>
      <c r="EH40" s="1131">
        <f t="shared" si="32"/>
        <v>39.143411764705888</v>
      </c>
      <c r="EI40" s="1131">
        <f t="shared" si="33"/>
        <v>-680</v>
      </c>
      <c r="EJ40" s="1197">
        <f t="shared" si="34"/>
        <v>-16.142499999999998</v>
      </c>
      <c r="EK40" s="1131">
        <f t="shared" si="35"/>
        <v>0.52705882352941202</v>
      </c>
      <c r="EL40" s="1131">
        <f t="shared" si="36"/>
        <v>-2.7472762161684869</v>
      </c>
      <c r="EM40" s="1131">
        <f t="shared" si="37"/>
        <v>-0.7026984126984126</v>
      </c>
      <c r="EN40" s="1131">
        <f t="shared" si="40"/>
        <v>4.2721764705882386</v>
      </c>
      <c r="EO40" s="1131">
        <f t="shared" si="41"/>
        <v>340</v>
      </c>
      <c r="EP40" s="1197">
        <f t="shared" si="42"/>
        <v>12.676742586589022</v>
      </c>
      <c r="EQ40" s="1129">
        <f t="shared" si="43"/>
        <v>0</v>
      </c>
      <c r="ER40" s="1131">
        <f t="shared" si="44"/>
        <v>0</v>
      </c>
      <c r="ES40" s="1197">
        <f t="shared" si="45"/>
        <v>0</v>
      </c>
    </row>
    <row r="41" spans="1:149">
      <c r="A41" s="634">
        <f>Eingabedaten!A44</f>
        <v>12.03</v>
      </c>
      <c r="B41" s="463" t="str">
        <f>Eingabedaten!C44</f>
        <v>Treppenhaus</v>
      </c>
      <c r="C41" s="637"/>
      <c r="D41" s="379"/>
      <c r="E41" s="379"/>
      <c r="F41" s="1238"/>
      <c r="G41" s="1129"/>
      <c r="H41" s="1129"/>
      <c r="I41" s="1129"/>
      <c r="J41" s="1129"/>
      <c r="K41" s="1129"/>
      <c r="L41" s="1129"/>
      <c r="M41" s="1129"/>
      <c r="N41" s="1237"/>
      <c r="O41" s="1240">
        <v>0</v>
      </c>
      <c r="P41" s="1131">
        <v>0</v>
      </c>
      <c r="Q41" s="1129">
        <v>0</v>
      </c>
      <c r="R41" s="1131">
        <v>0</v>
      </c>
      <c r="S41" s="1239">
        <v>0</v>
      </c>
      <c r="T41" s="1131">
        <v>0</v>
      </c>
      <c r="U41" s="1240"/>
      <c r="V41" s="1240">
        <v>70</v>
      </c>
      <c r="W41" s="1834">
        <v>0.50607287449392702</v>
      </c>
      <c r="X41" s="1239"/>
      <c r="Y41" s="1239">
        <v>7.6032000000000011</v>
      </c>
      <c r="Z41" s="1239">
        <v>7.6032000000000011</v>
      </c>
      <c r="AA41" s="1239">
        <v>3.5285714285714294</v>
      </c>
      <c r="AB41" s="1131">
        <v>1402</v>
      </c>
      <c r="AC41" s="1243">
        <v>4.9470571428571439</v>
      </c>
      <c r="AD41" s="1242">
        <v>0.5</v>
      </c>
      <c r="AE41" s="1131">
        <v>0</v>
      </c>
      <c r="AF41" s="1239">
        <v>0</v>
      </c>
      <c r="AG41" s="1131">
        <v>0</v>
      </c>
      <c r="AH41" s="1197">
        <v>0</v>
      </c>
      <c r="AI41" s="1240">
        <v>60.102352941176477</v>
      </c>
      <c r="AJ41" s="1131">
        <v>3.5285714285714294</v>
      </c>
      <c r="AK41" s="1131">
        <v>0</v>
      </c>
      <c r="AL41" s="1131" t="s">
        <v>16</v>
      </c>
      <c r="AM41" s="1131" t="s">
        <v>16</v>
      </c>
      <c r="AN41" s="1131" t="s">
        <v>16</v>
      </c>
      <c r="AO41" s="1131">
        <v>0</v>
      </c>
      <c r="AP41" s="1131">
        <v>0</v>
      </c>
      <c r="AQ41" s="1131">
        <v>0</v>
      </c>
      <c r="AR41" s="1131">
        <v>0</v>
      </c>
      <c r="AS41" s="1197">
        <v>0</v>
      </c>
      <c r="AT41" s="1197">
        <v>0</v>
      </c>
      <c r="AU41" s="1131">
        <v>22.235294117647058</v>
      </c>
      <c r="AV41" s="1131">
        <v>113.15343915343915</v>
      </c>
      <c r="AW41" s="1131">
        <v>-1.7026984126984126</v>
      </c>
      <c r="AX41" s="1239">
        <v>30.243000000000002</v>
      </c>
      <c r="AY41" s="1131">
        <v>530</v>
      </c>
      <c r="AZ41" s="1242">
        <v>0.33493150684931505</v>
      </c>
      <c r="BA41" s="1243">
        <v>16.156690436544931</v>
      </c>
      <c r="BB41" s="1129"/>
      <c r="BC41" s="1131"/>
      <c r="BD41" s="1197">
        <v>0</v>
      </c>
      <c r="BG41" s="637"/>
      <c r="BH41" s="379"/>
      <c r="BI41" s="379"/>
      <c r="BJ41" s="1238"/>
      <c r="BK41" s="1129"/>
      <c r="BL41" s="1129"/>
      <c r="BM41" s="1129"/>
      <c r="BN41" s="1129"/>
      <c r="BO41" s="1129"/>
      <c r="BP41" s="1237"/>
      <c r="BQ41" s="1240">
        <v>0</v>
      </c>
      <c r="BR41" s="1129">
        <v>0</v>
      </c>
      <c r="BS41" s="1131">
        <v>0</v>
      </c>
      <c r="BT41" s="1241"/>
      <c r="BU41" s="1239"/>
      <c r="BV41" s="1131">
        <v>35.1</v>
      </c>
      <c r="BW41" s="1239">
        <v>0.50607287449392702</v>
      </c>
      <c r="BX41" s="1239">
        <v>7.0370370370370381</v>
      </c>
      <c r="BY41" s="1239">
        <v>0</v>
      </c>
      <c r="BZ41" s="1239">
        <v>7.0370370370370381</v>
      </c>
      <c r="CA41" s="1131">
        <v>2970</v>
      </c>
      <c r="CB41" s="1131">
        <v>0</v>
      </c>
      <c r="CC41" s="1197">
        <v>20.900000000000002</v>
      </c>
      <c r="CD41" s="1239">
        <v>2</v>
      </c>
      <c r="CE41" s="1239">
        <v>0</v>
      </c>
      <c r="CF41" s="1131">
        <v>0</v>
      </c>
      <c r="CG41" s="1197">
        <v>0</v>
      </c>
      <c r="CH41" s="1240">
        <v>8.9894117647058831</v>
      </c>
      <c r="CI41" s="1131">
        <v>7.0370370370370381</v>
      </c>
      <c r="CJ41" s="1131">
        <v>45.173709565444362</v>
      </c>
      <c r="CK41" s="1131" t="s">
        <v>16</v>
      </c>
      <c r="CL41" s="1131" t="s">
        <v>16</v>
      </c>
      <c r="CM41" s="1131" t="s">
        <v>16</v>
      </c>
      <c r="CN41" s="1131">
        <v>0</v>
      </c>
      <c r="CO41" s="1131">
        <v>0</v>
      </c>
      <c r="CP41" s="1197">
        <v>0</v>
      </c>
      <c r="CQ41" s="1131">
        <v>21.708235294117646</v>
      </c>
      <c r="CR41" s="1131">
        <v>115.90071536960764</v>
      </c>
      <c r="CS41" s="1131">
        <v>-1</v>
      </c>
      <c r="CT41" s="1131">
        <v>29.306117647058823</v>
      </c>
      <c r="CU41" s="1131">
        <v>650</v>
      </c>
      <c r="CV41" s="1197">
        <v>19.008204939284418</v>
      </c>
      <c r="CW41" s="1129"/>
      <c r="CX41" s="1131"/>
      <c r="CY41" s="1197">
        <v>0</v>
      </c>
      <c r="DA41" s="637">
        <f t="shared" si="0"/>
        <v>0</v>
      </c>
      <c r="DB41" s="379">
        <f t="shared" si="1"/>
        <v>0</v>
      </c>
      <c r="DC41" s="379">
        <f t="shared" si="2"/>
        <v>0</v>
      </c>
      <c r="DD41" s="1238">
        <f t="shared" si="3"/>
        <v>0</v>
      </c>
      <c r="DE41" s="1129">
        <f t="shared" si="4"/>
        <v>0</v>
      </c>
      <c r="DF41" s="1129">
        <f t="shared" si="5"/>
        <v>0</v>
      </c>
      <c r="DG41" s="1129">
        <f t="shared" si="6"/>
        <v>0</v>
      </c>
      <c r="DH41" s="1129">
        <f t="shared" si="7"/>
        <v>0</v>
      </c>
      <c r="DI41" s="1129">
        <f t="shared" si="8"/>
        <v>0</v>
      </c>
      <c r="DJ41" s="1237">
        <f t="shared" si="9"/>
        <v>0</v>
      </c>
      <c r="DK41" s="1240">
        <f t="shared" si="10"/>
        <v>0</v>
      </c>
      <c r="DL41" s="1129">
        <f t="shared" si="11"/>
        <v>0</v>
      </c>
      <c r="DM41" s="1131">
        <f t="shared" si="12"/>
        <v>0</v>
      </c>
      <c r="DN41" s="1241">
        <f t="shared" si="13"/>
        <v>0</v>
      </c>
      <c r="DO41" s="1239">
        <f t="shared" si="14"/>
        <v>70</v>
      </c>
      <c r="DP41" s="1131">
        <f t="shared" si="15"/>
        <v>-34.593927125506077</v>
      </c>
      <c r="DQ41" s="1239">
        <f t="shared" si="16"/>
        <v>-0.50607287449392702</v>
      </c>
      <c r="DR41" s="1239">
        <f t="shared" si="17"/>
        <v>0.56616296296296298</v>
      </c>
      <c r="DS41" s="1239">
        <f t="shared" si="18"/>
        <v>7.6032000000000011</v>
      </c>
      <c r="DT41" s="1239">
        <f t="shared" si="19"/>
        <v>-3.5084656084656087</v>
      </c>
      <c r="DU41" s="1131">
        <f t="shared" si="20"/>
        <v>-1568</v>
      </c>
      <c r="DV41" s="1131" t="e">
        <f>#REF!-CB41</f>
        <v>#REF!</v>
      </c>
      <c r="DW41" s="1197">
        <f t="shared" si="21"/>
        <v>-15.952942857142858</v>
      </c>
      <c r="DX41" s="1239">
        <f t="shared" si="22"/>
        <v>-1.5</v>
      </c>
      <c r="DY41" s="1239">
        <f t="shared" si="23"/>
        <v>0</v>
      </c>
      <c r="DZ41" s="1131">
        <f t="shared" si="24"/>
        <v>0</v>
      </c>
      <c r="EA41" s="1197">
        <f t="shared" si="25"/>
        <v>0</v>
      </c>
      <c r="EB41" s="1240">
        <f t="shared" si="26"/>
        <v>51.112941176470592</v>
      </c>
      <c r="EC41" s="1131">
        <f t="shared" si="27"/>
        <v>-3.5084656084656087</v>
      </c>
      <c r="ED41" s="1131">
        <f t="shared" si="28"/>
        <v>-45.173709565444362</v>
      </c>
      <c r="EE41" s="1131" t="e">
        <f t="shared" si="29"/>
        <v>#VALUE!</v>
      </c>
      <c r="EF41" s="1131" t="e">
        <f t="shared" si="30"/>
        <v>#VALUE!</v>
      </c>
      <c r="EG41" s="1131" t="e">
        <f t="shared" si="31"/>
        <v>#VALUE!</v>
      </c>
      <c r="EH41" s="1131">
        <f t="shared" si="32"/>
        <v>0</v>
      </c>
      <c r="EI41" s="1131">
        <f t="shared" si="33"/>
        <v>0</v>
      </c>
      <c r="EJ41" s="1197">
        <f t="shared" si="34"/>
        <v>0</v>
      </c>
      <c r="EK41" s="1131">
        <f t="shared" si="35"/>
        <v>0.52705882352941202</v>
      </c>
      <c r="EL41" s="1131">
        <f t="shared" si="36"/>
        <v>-2.7472762161684869</v>
      </c>
      <c r="EM41" s="1131">
        <f t="shared" si="37"/>
        <v>-0.7026984126984126</v>
      </c>
      <c r="EN41" s="1131">
        <f t="shared" si="40"/>
        <v>0.93688235294117916</v>
      </c>
      <c r="EO41" s="1131">
        <f t="shared" si="41"/>
        <v>-120</v>
      </c>
      <c r="EP41" s="1197">
        <f t="shared" si="42"/>
        <v>-2.8515145027394873</v>
      </c>
      <c r="EQ41" s="1129">
        <f t="shared" si="43"/>
        <v>0</v>
      </c>
      <c r="ER41" s="1131">
        <f t="shared" si="44"/>
        <v>0</v>
      </c>
      <c r="ES41" s="1197">
        <f t="shared" si="45"/>
        <v>0</v>
      </c>
    </row>
    <row r="42" spans="1:149">
      <c r="A42" s="634">
        <f>Eingabedaten!A45</f>
        <v>12.04</v>
      </c>
      <c r="B42" s="463" t="str">
        <f>Eingabedaten!C45</f>
        <v>Nebenraum</v>
      </c>
      <c r="C42" s="637"/>
      <c r="D42" s="379"/>
      <c r="E42" s="379"/>
      <c r="F42" s="1238"/>
      <c r="G42" s="1129"/>
      <c r="H42" s="1129"/>
      <c r="I42" s="1129"/>
      <c r="J42" s="1129"/>
      <c r="K42" s="1129"/>
      <c r="L42" s="1129"/>
      <c r="M42" s="1129"/>
      <c r="N42" s="1237"/>
      <c r="O42" s="1240">
        <v>0</v>
      </c>
      <c r="P42" s="1131">
        <v>0</v>
      </c>
      <c r="Q42" s="1129">
        <v>0</v>
      </c>
      <c r="R42" s="1131">
        <v>0</v>
      </c>
      <c r="S42" s="1239">
        <v>0</v>
      </c>
      <c r="T42" s="1131">
        <v>0</v>
      </c>
      <c r="U42" s="1240"/>
      <c r="V42" s="1240">
        <v>70</v>
      </c>
      <c r="W42" s="1834">
        <v>0.59453032104637327</v>
      </c>
      <c r="X42" s="1239"/>
      <c r="Y42" s="1239">
        <v>7.6032000000000011</v>
      </c>
      <c r="Z42" s="1239">
        <v>7.6032000000000011</v>
      </c>
      <c r="AA42" s="1239">
        <v>3.003571428571429</v>
      </c>
      <c r="AB42" s="1131">
        <v>1402</v>
      </c>
      <c r="AC42" s="1243">
        <v>4.2110071428571434</v>
      </c>
      <c r="AD42" s="1242">
        <v>0.5</v>
      </c>
      <c r="AE42" s="1131">
        <v>0</v>
      </c>
      <c r="AF42" s="1239">
        <v>0</v>
      </c>
      <c r="AG42" s="1131">
        <v>0</v>
      </c>
      <c r="AH42" s="1197">
        <v>0</v>
      </c>
      <c r="AI42" s="1240">
        <v>27.611764705882358</v>
      </c>
      <c r="AJ42" s="1131">
        <v>3.003571428571429</v>
      </c>
      <c r="AK42" s="1131">
        <v>0</v>
      </c>
      <c r="AL42" s="1131" t="s">
        <v>16</v>
      </c>
      <c r="AM42" s="1131" t="s">
        <v>16</v>
      </c>
      <c r="AN42" s="1131" t="s">
        <v>16</v>
      </c>
      <c r="AO42" s="1131">
        <v>0</v>
      </c>
      <c r="AP42" s="1131">
        <v>0</v>
      </c>
      <c r="AQ42" s="1131">
        <v>0</v>
      </c>
      <c r="AR42" s="1131">
        <v>0</v>
      </c>
      <c r="AS42" s="1197">
        <v>0</v>
      </c>
      <c r="AT42" s="1197">
        <v>0</v>
      </c>
      <c r="AU42" s="1131">
        <v>21.976470588235294</v>
      </c>
      <c r="AV42" s="1131">
        <v>104.11134903640257</v>
      </c>
      <c r="AW42" s="1131">
        <v>-1.8383297644539613</v>
      </c>
      <c r="AX42" s="1239">
        <v>30.040000000000003</v>
      </c>
      <c r="AY42" s="1131">
        <v>1350</v>
      </c>
      <c r="AZ42" s="1242">
        <v>0.33493150684931505</v>
      </c>
      <c r="BA42" s="1243">
        <v>40.443824115718328</v>
      </c>
      <c r="BB42" s="1129"/>
      <c r="BC42" s="1131"/>
      <c r="BD42" s="1197">
        <v>0</v>
      </c>
      <c r="BG42" s="637"/>
      <c r="BH42" s="379"/>
      <c r="BI42" s="379"/>
      <c r="BJ42" s="1238"/>
      <c r="BK42" s="1129"/>
      <c r="BL42" s="1129"/>
      <c r="BM42" s="1129"/>
      <c r="BN42" s="1129"/>
      <c r="BO42" s="1129"/>
      <c r="BP42" s="1237"/>
      <c r="BQ42" s="1240">
        <v>0</v>
      </c>
      <c r="BR42" s="1129">
        <v>0</v>
      </c>
      <c r="BS42" s="1131">
        <v>0</v>
      </c>
      <c r="BT42" s="1241"/>
      <c r="BU42" s="1239"/>
      <c r="BV42" s="1131">
        <v>35.1</v>
      </c>
      <c r="BW42" s="1239">
        <v>0.59453032104637327</v>
      </c>
      <c r="BX42" s="1239">
        <v>5.9900284900284912</v>
      </c>
      <c r="BY42" s="1239">
        <v>0</v>
      </c>
      <c r="BZ42" s="1239">
        <v>5.9900284900284912</v>
      </c>
      <c r="CA42" s="1131">
        <v>2170</v>
      </c>
      <c r="CB42" s="1131">
        <v>0</v>
      </c>
      <c r="CC42" s="1197">
        <v>12.998361823361826</v>
      </c>
      <c r="CD42" s="1239">
        <v>0.5</v>
      </c>
      <c r="CE42" s="1239">
        <v>0</v>
      </c>
      <c r="CF42" s="1131">
        <v>0</v>
      </c>
      <c r="CG42" s="1197">
        <v>0</v>
      </c>
      <c r="CH42" s="1240">
        <v>17.978823529411766</v>
      </c>
      <c r="CI42" s="1131">
        <v>5.9900284900284912</v>
      </c>
      <c r="CJ42" s="1131">
        <v>1.1966846696036487E-2</v>
      </c>
      <c r="CK42" s="1131" t="s">
        <v>16</v>
      </c>
      <c r="CL42" s="1131" t="s">
        <v>16</v>
      </c>
      <c r="CM42" s="1131" t="s">
        <v>16</v>
      </c>
      <c r="CN42" s="1131">
        <v>0</v>
      </c>
      <c r="CO42" s="1131">
        <v>0</v>
      </c>
      <c r="CP42" s="1197">
        <v>0</v>
      </c>
      <c r="CQ42" s="1131">
        <v>19.096470588235295</v>
      </c>
      <c r="CR42" s="1131">
        <v>119.81271562345982</v>
      </c>
      <c r="CS42" s="1131">
        <v>-1</v>
      </c>
      <c r="CT42" s="1131">
        <v>25.780235294117649</v>
      </c>
      <c r="CU42" s="1131">
        <v>1320</v>
      </c>
      <c r="CV42" s="1197">
        <v>34.126284261026164</v>
      </c>
      <c r="CW42" s="1129"/>
      <c r="CX42" s="1131"/>
      <c r="CY42" s="1197">
        <v>0</v>
      </c>
      <c r="DA42" s="637">
        <f t="shared" si="0"/>
        <v>0</v>
      </c>
      <c r="DB42" s="379">
        <f t="shared" si="1"/>
        <v>0</v>
      </c>
      <c r="DC42" s="379">
        <f t="shared" si="2"/>
        <v>0</v>
      </c>
      <c r="DD42" s="1238">
        <f t="shared" si="3"/>
        <v>0</v>
      </c>
      <c r="DE42" s="1129">
        <f t="shared" si="4"/>
        <v>0</v>
      </c>
      <c r="DF42" s="1129">
        <f t="shared" si="5"/>
        <v>0</v>
      </c>
      <c r="DG42" s="1129">
        <f t="shared" si="6"/>
        <v>0</v>
      </c>
      <c r="DH42" s="1129">
        <f t="shared" si="7"/>
        <v>0</v>
      </c>
      <c r="DI42" s="1129">
        <f t="shared" si="8"/>
        <v>0</v>
      </c>
      <c r="DJ42" s="1237">
        <f t="shared" si="9"/>
        <v>0</v>
      </c>
      <c r="DK42" s="1240">
        <f t="shared" si="10"/>
        <v>0</v>
      </c>
      <c r="DL42" s="1129">
        <f t="shared" si="11"/>
        <v>0</v>
      </c>
      <c r="DM42" s="1131">
        <f t="shared" si="12"/>
        <v>0</v>
      </c>
      <c r="DN42" s="1241">
        <f t="shared" si="13"/>
        <v>0</v>
      </c>
      <c r="DO42" s="1239">
        <f t="shared" si="14"/>
        <v>70</v>
      </c>
      <c r="DP42" s="1131">
        <f t="shared" si="15"/>
        <v>-34.505469678953631</v>
      </c>
      <c r="DQ42" s="1239">
        <f t="shared" si="16"/>
        <v>-0.59453032104637327</v>
      </c>
      <c r="DR42" s="1239">
        <f t="shared" si="17"/>
        <v>1.6131715099715098</v>
      </c>
      <c r="DS42" s="1239">
        <f t="shared" si="18"/>
        <v>7.6032000000000011</v>
      </c>
      <c r="DT42" s="1239">
        <f t="shared" si="19"/>
        <v>-2.9864570614570622</v>
      </c>
      <c r="DU42" s="1131">
        <f t="shared" si="20"/>
        <v>-768</v>
      </c>
      <c r="DV42" s="1131" t="e">
        <f>#REF!-CB42</f>
        <v>#REF!</v>
      </c>
      <c r="DW42" s="1197">
        <f t="shared" si="21"/>
        <v>-8.7873546805046825</v>
      </c>
      <c r="DX42" s="1239">
        <f t="shared" si="22"/>
        <v>0</v>
      </c>
      <c r="DY42" s="1239">
        <f t="shared" si="23"/>
        <v>0</v>
      </c>
      <c r="DZ42" s="1131">
        <f t="shared" si="24"/>
        <v>0</v>
      </c>
      <c r="EA42" s="1197">
        <f t="shared" si="25"/>
        <v>0</v>
      </c>
      <c r="EB42" s="1240">
        <f t="shared" si="26"/>
        <v>9.6329411764705917</v>
      </c>
      <c r="EC42" s="1131">
        <f t="shared" si="27"/>
        <v>-2.9864570614570622</v>
      </c>
      <c r="ED42" s="1131">
        <f t="shared" si="28"/>
        <v>-1.1966846696036487E-2</v>
      </c>
      <c r="EE42" s="1131" t="e">
        <f t="shared" si="29"/>
        <v>#VALUE!</v>
      </c>
      <c r="EF42" s="1131" t="e">
        <f t="shared" si="30"/>
        <v>#VALUE!</v>
      </c>
      <c r="EG42" s="1131" t="e">
        <f t="shared" si="31"/>
        <v>#VALUE!</v>
      </c>
      <c r="EH42" s="1131">
        <f t="shared" si="32"/>
        <v>0</v>
      </c>
      <c r="EI42" s="1131">
        <f t="shared" si="33"/>
        <v>0</v>
      </c>
      <c r="EJ42" s="1197">
        <f t="shared" si="34"/>
        <v>0</v>
      </c>
      <c r="EK42" s="1131">
        <f t="shared" si="35"/>
        <v>2.879999999999999</v>
      </c>
      <c r="EL42" s="1131">
        <f t="shared" si="36"/>
        <v>-15.701366587057251</v>
      </c>
      <c r="EM42" s="1131">
        <f t="shared" si="37"/>
        <v>-0.83832976445396135</v>
      </c>
      <c r="EN42" s="1131">
        <f t="shared" si="40"/>
        <v>4.259764705882354</v>
      </c>
      <c r="EO42" s="1131">
        <f t="shared" si="41"/>
        <v>30</v>
      </c>
      <c r="EP42" s="1197">
        <f t="shared" si="42"/>
        <v>6.3175398546921642</v>
      </c>
      <c r="EQ42" s="1129">
        <f t="shared" si="43"/>
        <v>0</v>
      </c>
      <c r="ER42" s="1131">
        <f t="shared" si="44"/>
        <v>0</v>
      </c>
      <c r="ES42" s="1197">
        <f t="shared" si="45"/>
        <v>0</v>
      </c>
    </row>
    <row r="43" spans="1:149">
      <c r="A43" s="634">
        <f>Eingabedaten!A46</f>
        <v>12.05</v>
      </c>
      <c r="B43" s="463" t="str">
        <f>Eingabedaten!C46</f>
        <v>Küche, Teeküche</v>
      </c>
      <c r="C43" s="637"/>
      <c r="D43" s="379"/>
      <c r="E43" s="379"/>
      <c r="F43" s="1238"/>
      <c r="G43" s="1129"/>
      <c r="H43" s="1129"/>
      <c r="I43" s="1129"/>
      <c r="J43" s="1129"/>
      <c r="K43" s="1129"/>
      <c r="L43" s="1129"/>
      <c r="M43" s="1129"/>
      <c r="N43" s="1237"/>
      <c r="O43" s="1240">
        <v>50</v>
      </c>
      <c r="P43" s="1131">
        <v>0</v>
      </c>
      <c r="Q43" s="1129">
        <v>1430</v>
      </c>
      <c r="R43" s="1131">
        <v>71.5</v>
      </c>
      <c r="S43" s="1239">
        <v>71.5</v>
      </c>
      <c r="T43" s="1131">
        <v>0</v>
      </c>
      <c r="U43" s="1240"/>
      <c r="V43" s="1240">
        <v>70</v>
      </c>
      <c r="W43" s="1834">
        <v>0.69930069930069916</v>
      </c>
      <c r="X43" s="1239"/>
      <c r="Y43" s="1239">
        <v>7.6032000000000011</v>
      </c>
      <c r="Z43" s="1239">
        <v>7.9080358293711033</v>
      </c>
      <c r="AA43" s="1239">
        <v>5.1071428571428585</v>
      </c>
      <c r="AB43" s="1131">
        <v>826</v>
      </c>
      <c r="AC43" s="1243">
        <v>4.2185000000000015</v>
      </c>
      <c r="AD43" s="1242">
        <v>14.5</v>
      </c>
      <c r="AE43" s="1131">
        <v>2860</v>
      </c>
      <c r="AF43" s="1239">
        <v>13.195</v>
      </c>
      <c r="AG43" s="1131">
        <v>1910</v>
      </c>
      <c r="AH43" s="1197">
        <v>25.202450000000002</v>
      </c>
      <c r="AI43" s="1240">
        <v>52.539764705882355</v>
      </c>
      <c r="AJ43" s="1131">
        <v>97.107142857142861</v>
      </c>
      <c r="AK43" s="1131">
        <v>488.20000000000005</v>
      </c>
      <c r="AL43" s="1131" t="s">
        <v>16</v>
      </c>
      <c r="AM43" s="1131" t="s">
        <v>16</v>
      </c>
      <c r="AN43" s="1131" t="s">
        <v>16</v>
      </c>
      <c r="AO43" s="1131">
        <v>0</v>
      </c>
      <c r="AP43" s="1131">
        <v>0</v>
      </c>
      <c r="AQ43" s="1131">
        <v>0</v>
      </c>
      <c r="AR43" s="1131">
        <v>0</v>
      </c>
      <c r="AS43" s="1197">
        <v>0</v>
      </c>
      <c r="AT43" s="1197">
        <v>0</v>
      </c>
      <c r="AU43" s="1131">
        <v>21.976470588235294</v>
      </c>
      <c r="AV43" s="1131">
        <v>104.11134903640257</v>
      </c>
      <c r="AW43" s="1131">
        <v>-1.8383297644539613</v>
      </c>
      <c r="AX43" s="1239">
        <v>33.336470588235301</v>
      </c>
      <c r="AY43" s="1131">
        <v>3170</v>
      </c>
      <c r="AZ43" s="1242">
        <v>4.93607305936073</v>
      </c>
      <c r="BA43" s="1243">
        <v>105.51346048969558</v>
      </c>
      <c r="BB43" s="1129"/>
      <c r="BC43" s="1131"/>
      <c r="BD43" s="1197">
        <v>0</v>
      </c>
      <c r="BG43" s="637"/>
      <c r="BH43" s="379"/>
      <c r="BI43" s="379"/>
      <c r="BJ43" s="1238"/>
      <c r="BK43" s="1129"/>
      <c r="BL43" s="1129"/>
      <c r="BM43" s="1129"/>
      <c r="BN43" s="1129"/>
      <c r="BO43" s="1129"/>
      <c r="BP43" s="1237"/>
      <c r="BQ43" s="1240">
        <v>50</v>
      </c>
      <c r="BR43" s="1129">
        <v>1430</v>
      </c>
      <c r="BS43" s="1131">
        <v>71.5</v>
      </c>
      <c r="BT43" s="1241"/>
      <c r="BU43" s="1239"/>
      <c r="BV43" s="1131">
        <v>40.099999999999994</v>
      </c>
      <c r="BW43" s="1239">
        <v>0.69930069930069916</v>
      </c>
      <c r="BX43" s="1239">
        <v>8.9152119700748163</v>
      </c>
      <c r="BY43" s="1239">
        <v>0</v>
      </c>
      <c r="BZ43" s="1239">
        <v>8.9152119700748163</v>
      </c>
      <c r="CA43" s="1131">
        <v>1240</v>
      </c>
      <c r="CB43" s="1131">
        <v>0</v>
      </c>
      <c r="CC43" s="1197">
        <v>11.054862842892772</v>
      </c>
      <c r="CD43" s="1239">
        <v>20</v>
      </c>
      <c r="CE43" s="1239">
        <v>0</v>
      </c>
      <c r="CF43" s="1131">
        <v>0</v>
      </c>
      <c r="CG43" s="1197">
        <v>0</v>
      </c>
      <c r="CH43" s="1240">
        <v>17.978823529411766</v>
      </c>
      <c r="CI43" s="1131">
        <v>93.915211970074822</v>
      </c>
      <c r="CJ43" s="1131">
        <v>466.40090333664625</v>
      </c>
      <c r="CK43" s="1131" t="s">
        <v>16</v>
      </c>
      <c r="CL43" s="1131" t="s">
        <v>16</v>
      </c>
      <c r="CM43" s="1131" t="s">
        <v>16</v>
      </c>
      <c r="CN43" s="1131">
        <v>0</v>
      </c>
      <c r="CO43" s="1131">
        <v>0</v>
      </c>
      <c r="CP43" s="1197">
        <v>0</v>
      </c>
      <c r="CQ43" s="1131">
        <v>143.8964705882353</v>
      </c>
      <c r="CR43" s="1131">
        <v>15.90032049185689</v>
      </c>
      <c r="CS43" s="1131">
        <v>-3</v>
      </c>
      <c r="CT43" s="1131">
        <v>223.0395294117647</v>
      </c>
      <c r="CU43" s="1131">
        <v>510</v>
      </c>
      <c r="CV43" s="1197">
        <v>114.40941766095507</v>
      </c>
      <c r="CW43" s="1129"/>
      <c r="CX43" s="1131"/>
      <c r="CY43" s="1197">
        <v>0</v>
      </c>
      <c r="DA43" s="637">
        <f t="shared" si="0"/>
        <v>0</v>
      </c>
      <c r="DB43" s="379">
        <f t="shared" si="1"/>
        <v>0</v>
      </c>
      <c r="DC43" s="379">
        <f t="shared" si="2"/>
        <v>0</v>
      </c>
      <c r="DD43" s="1238">
        <f t="shared" si="3"/>
        <v>0</v>
      </c>
      <c r="DE43" s="1129">
        <f t="shared" si="4"/>
        <v>0</v>
      </c>
      <c r="DF43" s="1129">
        <f t="shared" si="5"/>
        <v>0</v>
      </c>
      <c r="DG43" s="1129">
        <f t="shared" si="6"/>
        <v>0</v>
      </c>
      <c r="DH43" s="1129">
        <f t="shared" si="7"/>
        <v>0</v>
      </c>
      <c r="DI43" s="1129">
        <f t="shared" si="8"/>
        <v>0</v>
      </c>
      <c r="DJ43" s="1237">
        <f t="shared" si="9"/>
        <v>0</v>
      </c>
      <c r="DK43" s="1240">
        <f t="shared" si="10"/>
        <v>0</v>
      </c>
      <c r="DL43" s="1129">
        <f t="shared" si="11"/>
        <v>0</v>
      </c>
      <c r="DM43" s="1131">
        <f t="shared" si="12"/>
        <v>0</v>
      </c>
      <c r="DN43" s="1241">
        <f t="shared" si="13"/>
        <v>0</v>
      </c>
      <c r="DO43" s="1239">
        <f t="shared" si="14"/>
        <v>70</v>
      </c>
      <c r="DP43" s="1131">
        <f t="shared" si="15"/>
        <v>-39.400699300699294</v>
      </c>
      <c r="DQ43" s="1239">
        <f t="shared" si="16"/>
        <v>-0.69930069930069916</v>
      </c>
      <c r="DR43" s="1239">
        <f t="shared" si="17"/>
        <v>-1.3120119700748152</v>
      </c>
      <c r="DS43" s="1239">
        <f t="shared" si="18"/>
        <v>7.9080358293711033</v>
      </c>
      <c r="DT43" s="1239">
        <f t="shared" si="19"/>
        <v>-3.8080691129319577</v>
      </c>
      <c r="DU43" s="1131">
        <f t="shared" si="20"/>
        <v>-414</v>
      </c>
      <c r="DV43" s="1131" t="e">
        <f>#REF!-CB43</f>
        <v>#REF!</v>
      </c>
      <c r="DW43" s="1197">
        <f t="shared" si="21"/>
        <v>-6.836362842892771</v>
      </c>
      <c r="DX43" s="1239">
        <f t="shared" si="22"/>
        <v>-5.5</v>
      </c>
      <c r="DY43" s="1239">
        <f t="shared" si="23"/>
        <v>13.195</v>
      </c>
      <c r="DZ43" s="1131">
        <f t="shared" si="24"/>
        <v>1910</v>
      </c>
      <c r="EA43" s="1197">
        <f t="shared" si="25"/>
        <v>25.202450000000002</v>
      </c>
      <c r="EB43" s="1240">
        <f t="shared" si="26"/>
        <v>34.560941176470592</v>
      </c>
      <c r="EC43" s="1131">
        <f t="shared" si="27"/>
        <v>3.1919308870680396</v>
      </c>
      <c r="ED43" s="1131">
        <f t="shared" si="28"/>
        <v>21.799096663353794</v>
      </c>
      <c r="EE43" s="1131" t="e">
        <f t="shared" si="29"/>
        <v>#VALUE!</v>
      </c>
      <c r="EF43" s="1131" t="e">
        <f t="shared" si="30"/>
        <v>#VALUE!</v>
      </c>
      <c r="EG43" s="1131" t="e">
        <f t="shared" si="31"/>
        <v>#VALUE!</v>
      </c>
      <c r="EH43" s="1131">
        <f t="shared" si="32"/>
        <v>0</v>
      </c>
      <c r="EI43" s="1131">
        <f t="shared" si="33"/>
        <v>0</v>
      </c>
      <c r="EJ43" s="1197">
        <f t="shared" si="34"/>
        <v>0</v>
      </c>
      <c r="EK43" s="1131">
        <f t="shared" si="35"/>
        <v>-121.92000000000002</v>
      </c>
      <c r="EL43" s="1131">
        <f t="shared" si="36"/>
        <v>88.211028544545684</v>
      </c>
      <c r="EM43" s="1131">
        <f t="shared" si="37"/>
        <v>1.1616702355460387</v>
      </c>
      <c r="EN43" s="1131">
        <f t="shared" si="40"/>
        <v>-189.7030588235294</v>
      </c>
      <c r="EO43" s="1131">
        <f t="shared" si="41"/>
        <v>2660</v>
      </c>
      <c r="EP43" s="1197">
        <f t="shared" si="42"/>
        <v>-8.8959571712594965</v>
      </c>
      <c r="EQ43" s="1129">
        <f t="shared" si="43"/>
        <v>0</v>
      </c>
      <c r="ER43" s="1131">
        <f t="shared" si="44"/>
        <v>0</v>
      </c>
      <c r="ES43" s="1197">
        <f t="shared" si="45"/>
        <v>0</v>
      </c>
    </row>
    <row r="44" spans="1:149">
      <c r="A44" s="634">
        <f>Eingabedaten!A47</f>
        <v>12.06</v>
      </c>
      <c r="B44" s="463" t="str">
        <f>Eingabedaten!C47</f>
        <v xml:space="preserve">WC, Bad, Dusche </v>
      </c>
      <c r="C44" s="637"/>
      <c r="D44" s="379"/>
      <c r="E44" s="379"/>
      <c r="F44" s="1238"/>
      <c r="G44" s="1129"/>
      <c r="H44" s="1129"/>
      <c r="I44" s="1129"/>
      <c r="J44" s="1129"/>
      <c r="K44" s="1129"/>
      <c r="L44" s="1129"/>
      <c r="M44" s="1129"/>
      <c r="N44" s="1237"/>
      <c r="O44" s="1240">
        <v>0</v>
      </c>
      <c r="P44" s="1131">
        <v>0</v>
      </c>
      <c r="Q44" s="1129">
        <v>0</v>
      </c>
      <c r="R44" s="1131">
        <v>0</v>
      </c>
      <c r="S44" s="1239">
        <v>0</v>
      </c>
      <c r="T44" s="1131">
        <v>0</v>
      </c>
      <c r="U44" s="1240"/>
      <c r="V44" s="1240">
        <v>70</v>
      </c>
      <c r="W44" s="1834">
        <v>0.59453032104637327</v>
      </c>
      <c r="X44" s="1239"/>
      <c r="Y44" s="1239">
        <v>7.6032000000000011</v>
      </c>
      <c r="Z44" s="1239">
        <v>7.9080358293711033</v>
      </c>
      <c r="AA44" s="1239">
        <v>6.007142857142858</v>
      </c>
      <c r="AB44" s="1131">
        <v>826</v>
      </c>
      <c r="AC44" s="1243">
        <v>4.9619</v>
      </c>
      <c r="AD44" s="1242">
        <v>8</v>
      </c>
      <c r="AE44" s="1131">
        <v>3120</v>
      </c>
      <c r="AF44" s="1239">
        <v>3.2</v>
      </c>
      <c r="AG44" s="1131">
        <v>2410</v>
      </c>
      <c r="AH44" s="1197">
        <v>7.7119999999999997</v>
      </c>
      <c r="AI44" s="1240">
        <v>44.818164705882353</v>
      </c>
      <c r="AJ44" s="1131">
        <v>6.007142857142858</v>
      </c>
      <c r="AK44" s="1131">
        <v>0</v>
      </c>
      <c r="AL44" s="1131" t="s">
        <v>16</v>
      </c>
      <c r="AM44" s="1131" t="s">
        <v>16</v>
      </c>
      <c r="AN44" s="1131" t="s">
        <v>16</v>
      </c>
      <c r="AO44" s="1131">
        <v>0</v>
      </c>
      <c r="AP44" s="1131">
        <v>0</v>
      </c>
      <c r="AQ44" s="1131">
        <v>0</v>
      </c>
      <c r="AR44" s="1131">
        <v>0</v>
      </c>
      <c r="AS44" s="1197">
        <v>0</v>
      </c>
      <c r="AT44" s="1197">
        <v>0</v>
      </c>
      <c r="AU44" s="1131">
        <v>21.976470588235294</v>
      </c>
      <c r="AV44" s="1131">
        <v>104.11134903640257</v>
      </c>
      <c r="AW44" s="1131">
        <v>-1.8383297644539613</v>
      </c>
      <c r="AX44" s="1239">
        <v>33.336470588235301</v>
      </c>
      <c r="AY44" s="1131">
        <v>3790</v>
      </c>
      <c r="AZ44" s="1242">
        <v>3.0424657534246573</v>
      </c>
      <c r="BA44" s="1243">
        <v>126.4398304884695</v>
      </c>
      <c r="BB44" s="1129"/>
      <c r="BC44" s="1131"/>
      <c r="BD44" s="1197">
        <v>0</v>
      </c>
      <c r="BG44" s="637"/>
      <c r="BH44" s="379"/>
      <c r="BI44" s="379"/>
      <c r="BJ44" s="1238"/>
      <c r="BK44" s="1129"/>
      <c r="BL44" s="1129"/>
      <c r="BM44" s="1129"/>
      <c r="BN44" s="1129"/>
      <c r="BO44" s="1129"/>
      <c r="BP44" s="1237"/>
      <c r="BQ44" s="1240">
        <v>0</v>
      </c>
      <c r="BR44" s="1129">
        <v>0</v>
      </c>
      <c r="BS44" s="1131">
        <v>0</v>
      </c>
      <c r="BT44" s="1241"/>
      <c r="BU44" s="1239"/>
      <c r="BV44" s="1131">
        <v>40.099999999999994</v>
      </c>
      <c r="BW44" s="1239">
        <v>0.59453032104637327</v>
      </c>
      <c r="BX44" s="1239">
        <v>10.48628428927681</v>
      </c>
      <c r="BY44" s="1239">
        <v>0</v>
      </c>
      <c r="BZ44" s="1239">
        <v>10.48628428927681</v>
      </c>
      <c r="CA44" s="1131">
        <v>1240</v>
      </c>
      <c r="CB44" s="1131">
        <v>0</v>
      </c>
      <c r="CC44" s="1197">
        <v>13.002992518703243</v>
      </c>
      <c r="CD44" s="1239">
        <v>16</v>
      </c>
      <c r="CE44" s="1239">
        <v>0</v>
      </c>
      <c r="CF44" s="1131">
        <v>0</v>
      </c>
      <c r="CG44" s="1197">
        <v>0</v>
      </c>
      <c r="CH44" s="1240">
        <v>17.978823529411766</v>
      </c>
      <c r="CI44" s="1131">
        <v>10.48628428927681</v>
      </c>
      <c r="CJ44" s="1131">
        <v>12.233789798768562</v>
      </c>
      <c r="CK44" s="1131" t="s">
        <v>16</v>
      </c>
      <c r="CL44" s="1131" t="s">
        <v>16</v>
      </c>
      <c r="CM44" s="1131" t="s">
        <v>16</v>
      </c>
      <c r="CN44" s="1131">
        <v>0</v>
      </c>
      <c r="CO44" s="1131">
        <v>0</v>
      </c>
      <c r="CP44" s="1197">
        <v>0</v>
      </c>
      <c r="CQ44" s="1131">
        <v>118.29647058823531</v>
      </c>
      <c r="CR44" s="1131">
        <v>19.341236375208844</v>
      </c>
      <c r="CS44" s="1131">
        <v>-3</v>
      </c>
      <c r="CT44" s="1131">
        <v>189.27435294117649</v>
      </c>
      <c r="CU44" s="1131">
        <v>700</v>
      </c>
      <c r="CV44" s="1197">
        <v>132.32107161073881</v>
      </c>
      <c r="CW44" s="1129"/>
      <c r="CX44" s="1131"/>
      <c r="CY44" s="1197">
        <v>0</v>
      </c>
      <c r="DA44" s="637">
        <f t="shared" si="0"/>
        <v>0</v>
      </c>
      <c r="DB44" s="379">
        <f t="shared" si="1"/>
        <v>0</v>
      </c>
      <c r="DC44" s="379">
        <f t="shared" si="2"/>
        <v>0</v>
      </c>
      <c r="DD44" s="1238">
        <f t="shared" si="3"/>
        <v>0</v>
      </c>
      <c r="DE44" s="1129">
        <f t="shared" si="4"/>
        <v>0</v>
      </c>
      <c r="DF44" s="1129">
        <f t="shared" si="5"/>
        <v>0</v>
      </c>
      <c r="DG44" s="1129">
        <f t="shared" si="6"/>
        <v>0</v>
      </c>
      <c r="DH44" s="1129">
        <f t="shared" si="7"/>
        <v>0</v>
      </c>
      <c r="DI44" s="1129">
        <f t="shared" si="8"/>
        <v>0</v>
      </c>
      <c r="DJ44" s="1237">
        <f t="shared" si="9"/>
        <v>0</v>
      </c>
      <c r="DK44" s="1240">
        <f t="shared" si="10"/>
        <v>0</v>
      </c>
      <c r="DL44" s="1129">
        <f t="shared" si="11"/>
        <v>0</v>
      </c>
      <c r="DM44" s="1131">
        <f t="shared" si="12"/>
        <v>0</v>
      </c>
      <c r="DN44" s="1241">
        <f t="shared" si="13"/>
        <v>0</v>
      </c>
      <c r="DO44" s="1239">
        <f t="shared" si="14"/>
        <v>70</v>
      </c>
      <c r="DP44" s="1131">
        <f t="shared" si="15"/>
        <v>-39.505469678953624</v>
      </c>
      <c r="DQ44" s="1239">
        <f t="shared" si="16"/>
        <v>-0.59453032104637327</v>
      </c>
      <c r="DR44" s="1239">
        <f t="shared" si="17"/>
        <v>-2.8830842892768089</v>
      </c>
      <c r="DS44" s="1239">
        <f t="shared" si="18"/>
        <v>7.9080358293711033</v>
      </c>
      <c r="DT44" s="1239">
        <f t="shared" si="19"/>
        <v>-4.479141432133952</v>
      </c>
      <c r="DU44" s="1131">
        <f t="shared" si="20"/>
        <v>-414</v>
      </c>
      <c r="DV44" s="1131" t="e">
        <f>#REF!-CB44</f>
        <v>#REF!</v>
      </c>
      <c r="DW44" s="1197">
        <f t="shared" si="21"/>
        <v>-8.0410925187032429</v>
      </c>
      <c r="DX44" s="1239">
        <f t="shared" si="22"/>
        <v>-8</v>
      </c>
      <c r="DY44" s="1239">
        <f t="shared" si="23"/>
        <v>3.2</v>
      </c>
      <c r="DZ44" s="1131">
        <f t="shared" si="24"/>
        <v>2410</v>
      </c>
      <c r="EA44" s="1197">
        <f t="shared" si="25"/>
        <v>7.7119999999999997</v>
      </c>
      <c r="EB44" s="1240">
        <f t="shared" si="26"/>
        <v>26.839341176470587</v>
      </c>
      <c r="EC44" s="1131">
        <f t="shared" si="27"/>
        <v>-4.479141432133952</v>
      </c>
      <c r="ED44" s="1131">
        <f t="shared" si="28"/>
        <v>-12.233789798768562</v>
      </c>
      <c r="EE44" s="1131" t="e">
        <f t="shared" si="29"/>
        <v>#VALUE!</v>
      </c>
      <c r="EF44" s="1131" t="e">
        <f t="shared" si="30"/>
        <v>#VALUE!</v>
      </c>
      <c r="EG44" s="1131" t="e">
        <f t="shared" si="31"/>
        <v>#VALUE!</v>
      </c>
      <c r="EH44" s="1131">
        <f t="shared" si="32"/>
        <v>0</v>
      </c>
      <c r="EI44" s="1131">
        <f t="shared" si="33"/>
        <v>0</v>
      </c>
      <c r="EJ44" s="1197">
        <f t="shared" si="34"/>
        <v>0</v>
      </c>
      <c r="EK44" s="1131">
        <f t="shared" si="35"/>
        <v>-96.320000000000022</v>
      </c>
      <c r="EL44" s="1131">
        <f t="shared" si="36"/>
        <v>84.770112661193735</v>
      </c>
      <c r="EM44" s="1131">
        <f t="shared" si="37"/>
        <v>1.1616702355460387</v>
      </c>
      <c r="EN44" s="1131">
        <f t="shared" si="40"/>
        <v>-155.93788235294119</v>
      </c>
      <c r="EO44" s="1131">
        <f t="shared" si="41"/>
        <v>3090</v>
      </c>
      <c r="EP44" s="1197">
        <f t="shared" si="42"/>
        <v>-5.8812411222693157</v>
      </c>
      <c r="EQ44" s="1129">
        <f t="shared" si="43"/>
        <v>0</v>
      </c>
      <c r="ER44" s="1131">
        <f t="shared" si="44"/>
        <v>0</v>
      </c>
      <c r="ES44" s="1197">
        <f t="shared" si="45"/>
        <v>0</v>
      </c>
    </row>
    <row r="45" spans="1:149">
      <c r="A45" s="633">
        <f>Eingabedaten!A48</f>
        <v>12.07</v>
      </c>
      <c r="B45" s="463" t="str">
        <f>Eingabedaten!C48</f>
        <v>WC</v>
      </c>
      <c r="C45" s="637"/>
      <c r="D45" s="379"/>
      <c r="E45" s="379"/>
      <c r="F45" s="1238"/>
      <c r="G45" s="1129"/>
      <c r="H45" s="1129"/>
      <c r="I45" s="1129"/>
      <c r="J45" s="1129"/>
      <c r="K45" s="1129"/>
      <c r="L45" s="1129"/>
      <c r="M45" s="1129"/>
      <c r="N45" s="1237"/>
      <c r="O45" s="1240">
        <v>0</v>
      </c>
      <c r="P45" s="1131">
        <v>0</v>
      </c>
      <c r="Q45" s="1129">
        <v>0</v>
      </c>
      <c r="R45" s="1131">
        <v>0</v>
      </c>
      <c r="S45" s="1239">
        <v>0</v>
      </c>
      <c r="T45" s="1131">
        <v>0</v>
      </c>
      <c r="U45" s="1240"/>
      <c r="V45" s="1240">
        <v>70</v>
      </c>
      <c r="W45" s="1834">
        <v>0.36231884057971009</v>
      </c>
      <c r="X45" s="1239"/>
      <c r="Y45" s="1239">
        <v>7.6032000000000011</v>
      </c>
      <c r="Z45" s="1239">
        <v>7.6032000000000011</v>
      </c>
      <c r="AA45" s="1239">
        <v>9.8571428571428577</v>
      </c>
      <c r="AB45" s="1131">
        <v>794</v>
      </c>
      <c r="AC45" s="1243">
        <v>7.8265714285714294</v>
      </c>
      <c r="AD45" s="1242">
        <v>8</v>
      </c>
      <c r="AE45" s="1131">
        <v>3120</v>
      </c>
      <c r="AF45" s="1239">
        <v>3.2</v>
      </c>
      <c r="AG45" s="1131">
        <v>2410</v>
      </c>
      <c r="AH45" s="1197">
        <v>7.7119999999999997</v>
      </c>
      <c r="AI45" s="1240">
        <v>84.555811764705894</v>
      </c>
      <c r="AJ45" s="1131">
        <v>9.8571428571428577</v>
      </c>
      <c r="AK45" s="1131">
        <v>0</v>
      </c>
      <c r="AL45" s="1131" t="s">
        <v>16</v>
      </c>
      <c r="AM45" s="1131" t="s">
        <v>16</v>
      </c>
      <c r="AN45" s="1131" t="s">
        <v>16</v>
      </c>
      <c r="AO45" s="1131">
        <v>0</v>
      </c>
      <c r="AP45" s="1131">
        <v>0</v>
      </c>
      <c r="AQ45" s="1131">
        <v>0</v>
      </c>
      <c r="AR45" s="1131">
        <v>0</v>
      </c>
      <c r="AS45" s="1197">
        <v>0</v>
      </c>
      <c r="AT45" s="1197">
        <v>0</v>
      </c>
      <c r="AU45" s="1131">
        <v>8.5882352941176485</v>
      </c>
      <c r="AV45" s="1131">
        <v>72.052054794520529</v>
      </c>
      <c r="AW45" s="1131">
        <v>-2.319219178082192</v>
      </c>
      <c r="AX45" s="1239">
        <v>66.170676470588248</v>
      </c>
      <c r="AY45" s="1131">
        <v>2750</v>
      </c>
      <c r="AZ45" s="1242">
        <v>3.0424657534246573</v>
      </c>
      <c r="BA45" s="1243">
        <v>182.23432242856265</v>
      </c>
      <c r="BB45" s="1129"/>
      <c r="BC45" s="1131"/>
      <c r="BD45" s="1197">
        <v>0</v>
      </c>
      <c r="BG45" s="637"/>
      <c r="BH45" s="379"/>
      <c r="BI45" s="379"/>
      <c r="BJ45" s="1238"/>
      <c r="BK45" s="1129"/>
      <c r="BL45" s="1129"/>
      <c r="BM45" s="1129"/>
      <c r="BN45" s="1129"/>
      <c r="BO45" s="1129"/>
      <c r="BP45" s="1237"/>
      <c r="BQ45" s="1240">
        <v>0</v>
      </c>
      <c r="BR45" s="1129">
        <v>0</v>
      </c>
      <c r="BS45" s="1131">
        <v>0</v>
      </c>
      <c r="BT45" s="1241"/>
      <c r="BU45" s="1239"/>
      <c r="BV45" s="1131">
        <v>40.099999999999994</v>
      </c>
      <c r="BW45" s="1239">
        <v>0.36231884057971009</v>
      </c>
      <c r="BX45" s="1239">
        <v>17.206982543640905</v>
      </c>
      <c r="BY45" s="1239">
        <v>0</v>
      </c>
      <c r="BZ45" s="1239">
        <v>17.206982543640905</v>
      </c>
      <c r="CA45" s="1131">
        <v>2300</v>
      </c>
      <c r="CB45" s="1131">
        <v>0</v>
      </c>
      <c r="CC45" s="1197">
        <v>39.576059850374087</v>
      </c>
      <c r="CD45" s="1239">
        <v>8</v>
      </c>
      <c r="CE45" s="1239">
        <v>0</v>
      </c>
      <c r="CF45" s="1131">
        <v>0</v>
      </c>
      <c r="CG45" s="1197">
        <v>0</v>
      </c>
      <c r="CH45" s="1240">
        <v>44.947058823529417</v>
      </c>
      <c r="CI45" s="1131">
        <v>17.206982543640905</v>
      </c>
      <c r="CJ45" s="1131">
        <v>223.55329012981105</v>
      </c>
      <c r="CK45" s="1131" t="s">
        <v>16</v>
      </c>
      <c r="CL45" s="1131" t="s">
        <v>16</v>
      </c>
      <c r="CM45" s="1131" t="s">
        <v>16</v>
      </c>
      <c r="CN45" s="1131">
        <v>0</v>
      </c>
      <c r="CO45" s="1131">
        <v>0</v>
      </c>
      <c r="CP45" s="1197">
        <v>0</v>
      </c>
      <c r="CQ45" s="1131">
        <v>17.612235294117649</v>
      </c>
      <c r="CR45" s="1131">
        <v>35.134665740394368</v>
      </c>
      <c r="CS45" s="1131">
        <v>-3</v>
      </c>
      <c r="CT45" s="1131">
        <v>136.49482352941178</v>
      </c>
      <c r="CU45" s="1131">
        <v>1020</v>
      </c>
      <c r="CV45" s="1197">
        <v>139.82305633681014</v>
      </c>
      <c r="CW45" s="1129"/>
      <c r="CX45" s="1131"/>
      <c r="CY45" s="1197">
        <v>0</v>
      </c>
      <c r="DA45" s="637">
        <f t="shared" si="0"/>
        <v>0</v>
      </c>
      <c r="DB45" s="379">
        <f t="shared" si="1"/>
        <v>0</v>
      </c>
      <c r="DC45" s="379">
        <f t="shared" si="2"/>
        <v>0</v>
      </c>
      <c r="DD45" s="1238">
        <f t="shared" si="3"/>
        <v>0</v>
      </c>
      <c r="DE45" s="1129">
        <f t="shared" si="4"/>
        <v>0</v>
      </c>
      <c r="DF45" s="1129">
        <f t="shared" si="5"/>
        <v>0</v>
      </c>
      <c r="DG45" s="1129">
        <f t="shared" si="6"/>
        <v>0</v>
      </c>
      <c r="DH45" s="1129">
        <f t="shared" si="7"/>
        <v>0</v>
      </c>
      <c r="DI45" s="1129">
        <f t="shared" si="8"/>
        <v>0</v>
      </c>
      <c r="DJ45" s="1237">
        <f t="shared" si="9"/>
        <v>0</v>
      </c>
      <c r="DK45" s="1240">
        <f t="shared" si="10"/>
        <v>0</v>
      </c>
      <c r="DL45" s="1129">
        <f t="shared" si="11"/>
        <v>0</v>
      </c>
      <c r="DM45" s="1131">
        <f t="shared" si="12"/>
        <v>0</v>
      </c>
      <c r="DN45" s="1241">
        <f t="shared" si="13"/>
        <v>0</v>
      </c>
      <c r="DO45" s="1239">
        <f t="shared" si="14"/>
        <v>70</v>
      </c>
      <c r="DP45" s="1131">
        <f t="shared" si="15"/>
        <v>-39.737681159420283</v>
      </c>
      <c r="DQ45" s="1239">
        <f t="shared" si="16"/>
        <v>-0.36231884057971009</v>
      </c>
      <c r="DR45" s="1239">
        <f t="shared" si="17"/>
        <v>-9.6037825436409037</v>
      </c>
      <c r="DS45" s="1239">
        <f t="shared" si="18"/>
        <v>7.6032000000000011</v>
      </c>
      <c r="DT45" s="1239">
        <f t="shared" si="19"/>
        <v>-7.3498396864980471</v>
      </c>
      <c r="DU45" s="1131">
        <f t="shared" si="20"/>
        <v>-1506</v>
      </c>
      <c r="DV45" s="1131" t="e">
        <f>#REF!-CB45</f>
        <v>#REF!</v>
      </c>
      <c r="DW45" s="1197">
        <f t="shared" si="21"/>
        <v>-31.749488421802656</v>
      </c>
      <c r="DX45" s="1239">
        <f t="shared" si="22"/>
        <v>0</v>
      </c>
      <c r="DY45" s="1239">
        <f t="shared" si="23"/>
        <v>3.2</v>
      </c>
      <c r="DZ45" s="1131">
        <f t="shared" si="24"/>
        <v>2410</v>
      </c>
      <c r="EA45" s="1197">
        <f t="shared" si="25"/>
        <v>7.7119999999999997</v>
      </c>
      <c r="EB45" s="1240">
        <f t="shared" si="26"/>
        <v>39.608752941176476</v>
      </c>
      <c r="EC45" s="1131">
        <f t="shared" si="27"/>
        <v>-7.3498396864980471</v>
      </c>
      <c r="ED45" s="1131">
        <f t="shared" si="28"/>
        <v>-223.55329012981105</v>
      </c>
      <c r="EE45" s="1131" t="e">
        <f t="shared" si="29"/>
        <v>#VALUE!</v>
      </c>
      <c r="EF45" s="1131" t="e">
        <f t="shared" si="30"/>
        <v>#VALUE!</v>
      </c>
      <c r="EG45" s="1131" t="e">
        <f t="shared" si="31"/>
        <v>#VALUE!</v>
      </c>
      <c r="EH45" s="1131">
        <f t="shared" si="32"/>
        <v>0</v>
      </c>
      <c r="EI45" s="1131">
        <f t="shared" si="33"/>
        <v>0</v>
      </c>
      <c r="EJ45" s="1197">
        <f t="shared" si="34"/>
        <v>0</v>
      </c>
      <c r="EK45" s="1131">
        <f t="shared" si="35"/>
        <v>-9.0240000000000009</v>
      </c>
      <c r="EL45" s="1131">
        <f t="shared" si="36"/>
        <v>36.917389054126161</v>
      </c>
      <c r="EM45" s="1131">
        <f t="shared" si="37"/>
        <v>0.68078082191780798</v>
      </c>
      <c r="EN45" s="1131">
        <f t="shared" si="40"/>
        <v>-70.324147058823527</v>
      </c>
      <c r="EO45" s="1131">
        <f t="shared" si="41"/>
        <v>1730</v>
      </c>
      <c r="EP45" s="1197">
        <f t="shared" si="42"/>
        <v>42.411266091752509</v>
      </c>
      <c r="EQ45" s="1129">
        <f t="shared" si="43"/>
        <v>0</v>
      </c>
      <c r="ER45" s="1131">
        <f t="shared" si="44"/>
        <v>0</v>
      </c>
      <c r="ES45" s="1197">
        <f t="shared" si="45"/>
        <v>0</v>
      </c>
    </row>
    <row r="46" spans="1:149">
      <c r="A46" s="634">
        <f>Eingabedaten!A49</f>
        <v>12.08</v>
      </c>
      <c r="B46" s="463" t="str">
        <f>Eingabedaten!C49</f>
        <v>Garderobe, Dusche</v>
      </c>
      <c r="C46" s="637"/>
      <c r="D46" s="379"/>
      <c r="E46" s="379"/>
      <c r="F46" s="1238"/>
      <c r="G46" s="1129"/>
      <c r="H46" s="1129"/>
      <c r="I46" s="1129"/>
      <c r="J46" s="1129"/>
      <c r="K46" s="1129"/>
      <c r="L46" s="1129"/>
      <c r="M46" s="1129"/>
      <c r="N46" s="1237"/>
      <c r="O46" s="1240">
        <v>0</v>
      </c>
      <c r="P46" s="1131">
        <v>0</v>
      </c>
      <c r="Q46" s="1129">
        <v>0</v>
      </c>
      <c r="R46" s="1131">
        <v>0</v>
      </c>
      <c r="S46" s="1239">
        <v>0</v>
      </c>
      <c r="T46" s="1131">
        <v>0</v>
      </c>
      <c r="U46" s="1240"/>
      <c r="V46" s="1240">
        <v>70</v>
      </c>
      <c r="W46" s="1834">
        <v>0.63025210084033612</v>
      </c>
      <c r="X46" s="1239"/>
      <c r="Y46" s="1239">
        <v>6.3360000000000003</v>
      </c>
      <c r="Z46" s="1239">
        <v>6.7545569677893358</v>
      </c>
      <c r="AA46" s="1239">
        <v>5.6666666666666661</v>
      </c>
      <c r="AB46" s="1131">
        <v>846</v>
      </c>
      <c r="AC46" s="1243">
        <v>4.7939999999999996</v>
      </c>
      <c r="AD46" s="1242">
        <v>8</v>
      </c>
      <c r="AE46" s="1131">
        <v>3120</v>
      </c>
      <c r="AF46" s="1239">
        <v>3.2</v>
      </c>
      <c r="AG46" s="1131">
        <v>2410</v>
      </c>
      <c r="AH46" s="1197">
        <v>7.7119999999999997</v>
      </c>
      <c r="AI46" s="1240">
        <v>44.818164705882353</v>
      </c>
      <c r="AJ46" s="1131">
        <v>5.6666666666666661</v>
      </c>
      <c r="AK46" s="1131">
        <v>0</v>
      </c>
      <c r="AL46" s="1131" t="s">
        <v>16</v>
      </c>
      <c r="AM46" s="1131" t="s">
        <v>16</v>
      </c>
      <c r="AN46" s="1131" t="s">
        <v>16</v>
      </c>
      <c r="AO46" s="1131">
        <v>0</v>
      </c>
      <c r="AP46" s="1131">
        <v>0</v>
      </c>
      <c r="AQ46" s="1131">
        <v>0</v>
      </c>
      <c r="AR46" s="1131">
        <v>0</v>
      </c>
      <c r="AS46" s="1197">
        <v>0</v>
      </c>
      <c r="AT46" s="1197">
        <v>0</v>
      </c>
      <c r="AU46" s="1131">
        <v>42.437647058823529</v>
      </c>
      <c r="AV46" s="1131">
        <v>93.907185628742525</v>
      </c>
      <c r="AW46" s="1131">
        <v>-1.9913922155688621</v>
      </c>
      <c r="AX46" s="1239">
        <v>35.943970588235295</v>
      </c>
      <c r="AY46" s="1131">
        <v>3510</v>
      </c>
      <c r="AZ46" s="1242">
        <v>3.0424657534246573</v>
      </c>
      <c r="BA46" s="1243">
        <v>126.13033654046282</v>
      </c>
      <c r="BB46" s="1129"/>
      <c r="BC46" s="1131"/>
      <c r="BD46" s="1197">
        <v>0</v>
      </c>
      <c r="BG46" s="637"/>
      <c r="BH46" s="379"/>
      <c r="BI46" s="379"/>
      <c r="BJ46" s="1238"/>
      <c r="BK46" s="1129"/>
      <c r="BL46" s="1129"/>
      <c r="BM46" s="1129"/>
      <c r="BN46" s="1129"/>
      <c r="BO46" s="1129"/>
      <c r="BP46" s="1237"/>
      <c r="BQ46" s="1240">
        <v>0</v>
      </c>
      <c r="BR46" s="1129">
        <v>0</v>
      </c>
      <c r="BS46" s="1131">
        <v>0</v>
      </c>
      <c r="BT46" s="1241"/>
      <c r="BU46" s="1239"/>
      <c r="BV46" s="1131">
        <v>40.099999999999994</v>
      </c>
      <c r="BW46" s="1239">
        <v>0.63025210084033612</v>
      </c>
      <c r="BX46" s="1239">
        <v>9.8919368246051551</v>
      </c>
      <c r="BY46" s="1239">
        <v>0</v>
      </c>
      <c r="BZ46" s="1239">
        <v>9.8919368246051551</v>
      </c>
      <c r="CA46" s="1131">
        <v>1490</v>
      </c>
      <c r="CB46" s="1131">
        <v>0</v>
      </c>
      <c r="CC46" s="1197">
        <v>14.738985868661681</v>
      </c>
      <c r="CD46" s="1239">
        <v>20</v>
      </c>
      <c r="CE46" s="1239">
        <v>0</v>
      </c>
      <c r="CF46" s="1131">
        <v>0</v>
      </c>
      <c r="CG46" s="1197">
        <v>0</v>
      </c>
      <c r="CH46" s="1240">
        <v>17.978823529411766</v>
      </c>
      <c r="CI46" s="1131">
        <v>9.8919368246051551</v>
      </c>
      <c r="CJ46" s="1131">
        <v>11.540396242992143</v>
      </c>
      <c r="CK46" s="1131" t="s">
        <v>16</v>
      </c>
      <c r="CL46" s="1131" t="s">
        <v>16</v>
      </c>
      <c r="CM46" s="1131" t="s">
        <v>16</v>
      </c>
      <c r="CN46" s="1131">
        <v>0</v>
      </c>
      <c r="CO46" s="1131">
        <v>0</v>
      </c>
      <c r="CP46" s="1197">
        <v>0</v>
      </c>
      <c r="CQ46" s="1131">
        <v>259.01364705882355</v>
      </c>
      <c r="CR46" s="1131">
        <v>15.386061874550331</v>
      </c>
      <c r="CS46" s="1131">
        <v>-3</v>
      </c>
      <c r="CT46" s="1131">
        <v>230.2343529411765</v>
      </c>
      <c r="CU46" s="1131">
        <v>660</v>
      </c>
      <c r="CV46" s="1197">
        <v>152.46954204666341</v>
      </c>
      <c r="CW46" s="1129"/>
      <c r="CX46" s="1131"/>
      <c r="CY46" s="1197">
        <v>0</v>
      </c>
      <c r="DA46" s="637">
        <f t="shared" si="0"/>
        <v>0</v>
      </c>
      <c r="DB46" s="379">
        <f t="shared" si="1"/>
        <v>0</v>
      </c>
      <c r="DC46" s="379">
        <f t="shared" si="2"/>
        <v>0</v>
      </c>
      <c r="DD46" s="1238">
        <f t="shared" si="3"/>
        <v>0</v>
      </c>
      <c r="DE46" s="1129">
        <f t="shared" si="4"/>
        <v>0</v>
      </c>
      <c r="DF46" s="1129">
        <f t="shared" si="5"/>
        <v>0</v>
      </c>
      <c r="DG46" s="1129">
        <f t="shared" si="6"/>
        <v>0</v>
      </c>
      <c r="DH46" s="1129">
        <f t="shared" si="7"/>
        <v>0</v>
      </c>
      <c r="DI46" s="1129">
        <f t="shared" si="8"/>
        <v>0</v>
      </c>
      <c r="DJ46" s="1237">
        <f t="shared" si="9"/>
        <v>0</v>
      </c>
      <c r="DK46" s="1240">
        <f t="shared" si="10"/>
        <v>0</v>
      </c>
      <c r="DL46" s="1129">
        <f t="shared" si="11"/>
        <v>0</v>
      </c>
      <c r="DM46" s="1131">
        <f t="shared" si="12"/>
        <v>0</v>
      </c>
      <c r="DN46" s="1241">
        <f t="shared" si="13"/>
        <v>0</v>
      </c>
      <c r="DO46" s="1239">
        <f t="shared" si="14"/>
        <v>70</v>
      </c>
      <c r="DP46" s="1131">
        <f t="shared" si="15"/>
        <v>-39.469747899159657</v>
      </c>
      <c r="DQ46" s="1239">
        <f t="shared" si="16"/>
        <v>-0.63025210084033612</v>
      </c>
      <c r="DR46" s="1239">
        <f t="shared" si="17"/>
        <v>-3.5559368246051548</v>
      </c>
      <c r="DS46" s="1239">
        <f t="shared" si="18"/>
        <v>6.7545569677893358</v>
      </c>
      <c r="DT46" s="1239">
        <f t="shared" si="19"/>
        <v>-4.225270157938489</v>
      </c>
      <c r="DU46" s="1131">
        <f t="shared" si="20"/>
        <v>-644</v>
      </c>
      <c r="DV46" s="1131" t="e">
        <f>#REF!-CB46</f>
        <v>#REF!</v>
      </c>
      <c r="DW46" s="1197">
        <f t="shared" si="21"/>
        <v>-9.9449858686616821</v>
      </c>
      <c r="DX46" s="1239">
        <f t="shared" si="22"/>
        <v>-12</v>
      </c>
      <c r="DY46" s="1239">
        <f t="shared" si="23"/>
        <v>3.2</v>
      </c>
      <c r="DZ46" s="1131">
        <f t="shared" si="24"/>
        <v>2410</v>
      </c>
      <c r="EA46" s="1197">
        <f t="shared" si="25"/>
        <v>7.7119999999999997</v>
      </c>
      <c r="EB46" s="1240">
        <f t="shared" si="26"/>
        <v>26.839341176470587</v>
      </c>
      <c r="EC46" s="1131">
        <f t="shared" si="27"/>
        <v>-4.225270157938489</v>
      </c>
      <c r="ED46" s="1131">
        <f t="shared" si="28"/>
        <v>-11.540396242992143</v>
      </c>
      <c r="EE46" s="1131" t="e">
        <f t="shared" si="29"/>
        <v>#VALUE!</v>
      </c>
      <c r="EF46" s="1131" t="e">
        <f t="shared" si="30"/>
        <v>#VALUE!</v>
      </c>
      <c r="EG46" s="1131" t="e">
        <f t="shared" si="31"/>
        <v>#VALUE!</v>
      </c>
      <c r="EH46" s="1131">
        <f t="shared" si="32"/>
        <v>0</v>
      </c>
      <c r="EI46" s="1131">
        <f t="shared" si="33"/>
        <v>0</v>
      </c>
      <c r="EJ46" s="1197">
        <f t="shared" si="34"/>
        <v>0</v>
      </c>
      <c r="EK46" s="1131">
        <f t="shared" si="35"/>
        <v>-216.57600000000002</v>
      </c>
      <c r="EL46" s="1131">
        <f t="shared" si="36"/>
        <v>78.521123754192189</v>
      </c>
      <c r="EM46" s="1131">
        <f t="shared" si="37"/>
        <v>1.0086077844311379</v>
      </c>
      <c r="EN46" s="1131">
        <f t="shared" si="40"/>
        <v>-194.29038235294121</v>
      </c>
      <c r="EO46" s="1131">
        <f t="shared" si="41"/>
        <v>2850</v>
      </c>
      <c r="EP46" s="1197">
        <f t="shared" si="42"/>
        <v>-26.339205506200585</v>
      </c>
      <c r="EQ46" s="1129">
        <f t="shared" si="43"/>
        <v>0</v>
      </c>
      <c r="ER46" s="1131">
        <f t="shared" si="44"/>
        <v>0</v>
      </c>
      <c r="ES46" s="1197">
        <f t="shared" si="45"/>
        <v>0</v>
      </c>
    </row>
    <row r="47" spans="1:149">
      <c r="A47" s="634">
        <f>Eingabedaten!A50</f>
        <v>12.09</v>
      </c>
      <c r="B47" s="463" t="str">
        <f>Eingabedaten!C50</f>
        <v>Parkhaus</v>
      </c>
      <c r="C47" s="637"/>
      <c r="D47" s="379"/>
      <c r="E47" s="379"/>
      <c r="F47" s="1238"/>
      <c r="G47" s="1129"/>
      <c r="H47" s="1129"/>
      <c r="I47" s="1129"/>
      <c r="J47" s="1129"/>
      <c r="K47" s="1129"/>
      <c r="L47" s="1129"/>
      <c r="M47" s="1129"/>
      <c r="N47" s="1237"/>
      <c r="O47" s="1240">
        <v>2</v>
      </c>
      <c r="P47" s="1131">
        <v>0</v>
      </c>
      <c r="Q47" s="1129">
        <v>2130</v>
      </c>
      <c r="R47" s="1131">
        <v>4.26</v>
      </c>
      <c r="S47" s="1239">
        <v>4.26</v>
      </c>
      <c r="T47" s="1131">
        <v>0</v>
      </c>
      <c r="U47" s="1240"/>
      <c r="V47" s="1240">
        <v>70</v>
      </c>
      <c r="W47" s="1834">
        <v>0.96525096525096532</v>
      </c>
      <c r="X47" s="1239"/>
      <c r="Y47" s="1239">
        <v>4.4351999999999991</v>
      </c>
      <c r="Z47" s="1239">
        <v>11</v>
      </c>
      <c r="AA47" s="1239">
        <v>1.3875</v>
      </c>
      <c r="AB47" s="1131">
        <v>1606</v>
      </c>
      <c r="AC47" s="1243">
        <v>2.2283249999999999</v>
      </c>
      <c r="AD47" s="1242">
        <v>0</v>
      </c>
      <c r="AE47" s="1131">
        <v>5480</v>
      </c>
      <c r="AF47" s="1239">
        <v>0</v>
      </c>
      <c r="AG47" s="1131">
        <v>5480</v>
      </c>
      <c r="AH47" s="1197">
        <v>0</v>
      </c>
      <c r="AI47" s="1240">
        <v>0.67200000000000004</v>
      </c>
      <c r="AJ47" s="1131">
        <v>3.3875000000000002</v>
      </c>
      <c r="AK47" s="1131">
        <v>29.86249999999999</v>
      </c>
      <c r="AL47" s="1131" t="s">
        <v>16</v>
      </c>
      <c r="AM47" s="1131" t="s">
        <v>16</v>
      </c>
      <c r="AN47" s="1131" t="s">
        <v>16</v>
      </c>
      <c r="AO47" s="1131">
        <v>0</v>
      </c>
      <c r="AP47" s="1131">
        <v>0</v>
      </c>
      <c r="AQ47" s="1131">
        <v>0</v>
      </c>
      <c r="AR47" s="1131">
        <v>0</v>
      </c>
      <c r="AS47" s="1197">
        <v>0</v>
      </c>
      <c r="AT47" s="1197">
        <v>0</v>
      </c>
      <c r="AU47" s="1131">
        <v>0</v>
      </c>
      <c r="AV47" s="1131">
        <v>0</v>
      </c>
      <c r="AW47" s="1131">
        <v>-3</v>
      </c>
      <c r="AX47" s="1239">
        <v>0</v>
      </c>
      <c r="AY47" s="1131">
        <v>0</v>
      </c>
      <c r="AZ47" s="1242">
        <v>0</v>
      </c>
      <c r="BA47" s="1243">
        <v>0</v>
      </c>
      <c r="BB47" s="1129"/>
      <c r="BC47" s="1131"/>
      <c r="BD47" s="1197">
        <v>0</v>
      </c>
      <c r="BG47" s="637"/>
      <c r="BH47" s="379"/>
      <c r="BI47" s="379"/>
      <c r="BJ47" s="1238"/>
      <c r="BK47" s="1129"/>
      <c r="BL47" s="1129"/>
      <c r="BM47" s="1129"/>
      <c r="BN47" s="1129"/>
      <c r="BO47" s="1129"/>
      <c r="BP47" s="1237"/>
      <c r="BQ47" s="1240">
        <v>2</v>
      </c>
      <c r="BR47" s="1129">
        <v>2130</v>
      </c>
      <c r="BS47" s="1131">
        <v>4.26</v>
      </c>
      <c r="BT47" s="1241"/>
      <c r="BU47" s="1239"/>
      <c r="BV47" s="1131">
        <v>33.849999999999994</v>
      </c>
      <c r="BW47" s="1239">
        <v>0.96525096525096532</v>
      </c>
      <c r="BX47" s="1239">
        <v>2.8692762186115219</v>
      </c>
      <c r="BY47" s="1239">
        <v>0</v>
      </c>
      <c r="BZ47" s="1239">
        <v>2.8692762186115219</v>
      </c>
      <c r="CA47" s="1131">
        <v>3210</v>
      </c>
      <c r="CB47" s="1131">
        <v>0</v>
      </c>
      <c r="CC47" s="1197">
        <v>9.2103766617429859</v>
      </c>
      <c r="CD47" s="1239">
        <v>2</v>
      </c>
      <c r="CE47" s="1239">
        <v>0</v>
      </c>
      <c r="CF47" s="1131">
        <v>0</v>
      </c>
      <c r="CG47" s="1197">
        <v>0</v>
      </c>
      <c r="CH47" s="1240">
        <v>0</v>
      </c>
      <c r="CI47" s="1131">
        <v>4.8692762186115219</v>
      </c>
      <c r="CJ47" s="1131">
        <v>51.900590841949779</v>
      </c>
      <c r="CK47" s="1131" t="s">
        <v>16</v>
      </c>
      <c r="CL47" s="1131" t="s">
        <v>16</v>
      </c>
      <c r="CM47" s="1131" t="s">
        <v>16</v>
      </c>
      <c r="CN47" s="1131">
        <v>0</v>
      </c>
      <c r="CO47" s="1131">
        <v>0</v>
      </c>
      <c r="CP47" s="1197">
        <v>0</v>
      </c>
      <c r="CQ47" s="1131">
        <v>294.39999999999998</v>
      </c>
      <c r="CR47" s="1131">
        <v>122.28260869565219</v>
      </c>
      <c r="CS47" s="1131">
        <v>-1</v>
      </c>
      <c r="CT47" s="1131">
        <v>0</v>
      </c>
      <c r="CU47" s="1131">
        <v>0</v>
      </c>
      <c r="CV47" s="1197">
        <v>0</v>
      </c>
      <c r="CW47" s="1129"/>
      <c r="CX47" s="1131"/>
      <c r="CY47" s="1197">
        <v>0</v>
      </c>
      <c r="DA47" s="637">
        <f t="shared" si="0"/>
        <v>0</v>
      </c>
      <c r="DB47" s="379">
        <f t="shared" si="1"/>
        <v>0</v>
      </c>
      <c r="DC47" s="379">
        <f t="shared" si="2"/>
        <v>0</v>
      </c>
      <c r="DD47" s="1238">
        <f t="shared" si="3"/>
        <v>0</v>
      </c>
      <c r="DE47" s="1129">
        <f t="shared" si="4"/>
        <v>0</v>
      </c>
      <c r="DF47" s="1129">
        <f t="shared" si="5"/>
        <v>0</v>
      </c>
      <c r="DG47" s="1129">
        <f t="shared" si="6"/>
        <v>0</v>
      </c>
      <c r="DH47" s="1129">
        <f t="shared" si="7"/>
        <v>0</v>
      </c>
      <c r="DI47" s="1129">
        <f t="shared" si="8"/>
        <v>0</v>
      </c>
      <c r="DJ47" s="1237">
        <f t="shared" si="9"/>
        <v>0</v>
      </c>
      <c r="DK47" s="1240">
        <f t="shared" si="10"/>
        <v>0</v>
      </c>
      <c r="DL47" s="1129">
        <f t="shared" si="11"/>
        <v>0</v>
      </c>
      <c r="DM47" s="1131">
        <f t="shared" si="12"/>
        <v>0</v>
      </c>
      <c r="DN47" s="1241">
        <f t="shared" si="13"/>
        <v>0</v>
      </c>
      <c r="DO47" s="1239">
        <f t="shared" si="14"/>
        <v>70</v>
      </c>
      <c r="DP47" s="1131">
        <f t="shared" si="15"/>
        <v>-32.884749034749028</v>
      </c>
      <c r="DQ47" s="1239">
        <f t="shared" si="16"/>
        <v>-0.96525096525096532</v>
      </c>
      <c r="DR47" s="1239">
        <f t="shared" si="17"/>
        <v>1.5659237813884772</v>
      </c>
      <c r="DS47" s="1239">
        <f t="shared" si="18"/>
        <v>11</v>
      </c>
      <c r="DT47" s="1239">
        <f t="shared" si="19"/>
        <v>-1.481776218611522</v>
      </c>
      <c r="DU47" s="1131">
        <f t="shared" si="20"/>
        <v>-1604</v>
      </c>
      <c r="DV47" s="1131" t="e">
        <f>#REF!-CB47</f>
        <v>#REF!</v>
      </c>
      <c r="DW47" s="1197">
        <f t="shared" si="21"/>
        <v>-6.982051661742986</v>
      </c>
      <c r="DX47" s="1239">
        <f t="shared" si="22"/>
        <v>-2</v>
      </c>
      <c r="DY47" s="1239">
        <f t="shared" si="23"/>
        <v>0</v>
      </c>
      <c r="DZ47" s="1131">
        <f t="shared" si="24"/>
        <v>5480</v>
      </c>
      <c r="EA47" s="1197">
        <f t="shared" si="25"/>
        <v>0</v>
      </c>
      <c r="EB47" s="1240">
        <f t="shared" si="26"/>
        <v>0.67200000000000004</v>
      </c>
      <c r="EC47" s="1131">
        <f t="shared" si="27"/>
        <v>-1.4817762186115218</v>
      </c>
      <c r="ED47" s="1131">
        <f t="shared" si="28"/>
        <v>-22.038090841949789</v>
      </c>
      <c r="EE47" s="1131" t="e">
        <f t="shared" si="29"/>
        <v>#VALUE!</v>
      </c>
      <c r="EF47" s="1131" t="e">
        <f t="shared" si="30"/>
        <v>#VALUE!</v>
      </c>
      <c r="EG47" s="1131" t="e">
        <f t="shared" si="31"/>
        <v>#VALUE!</v>
      </c>
      <c r="EH47" s="1131">
        <f t="shared" si="32"/>
        <v>0</v>
      </c>
      <c r="EI47" s="1131">
        <f t="shared" si="33"/>
        <v>0</v>
      </c>
      <c r="EJ47" s="1197">
        <f t="shared" si="34"/>
        <v>0</v>
      </c>
      <c r="EK47" s="1131">
        <f t="shared" si="35"/>
        <v>-294.39999999999998</v>
      </c>
      <c r="EL47" s="1131">
        <f t="shared" si="36"/>
        <v>-122.28260869565219</v>
      </c>
      <c r="EM47" s="1131">
        <f t="shared" si="37"/>
        <v>-2</v>
      </c>
      <c r="EN47" s="1131">
        <f t="shared" si="40"/>
        <v>0</v>
      </c>
      <c r="EO47" s="1131">
        <f t="shared" si="41"/>
        <v>0</v>
      </c>
      <c r="EP47" s="1197">
        <f t="shared" si="42"/>
        <v>0</v>
      </c>
      <c r="EQ47" s="1129">
        <f t="shared" si="43"/>
        <v>0</v>
      </c>
      <c r="ER47" s="1131">
        <f t="shared" si="44"/>
        <v>0</v>
      </c>
      <c r="ES47" s="1197">
        <f t="shared" si="45"/>
        <v>0</v>
      </c>
    </row>
    <row r="48" spans="1:149">
      <c r="A48" s="634">
        <f>Eingabedaten!A51</f>
        <v>12.1</v>
      </c>
      <c r="B48" s="463" t="str">
        <f>Eingabedaten!C51</f>
        <v>Wasch- und Trockenraum</v>
      </c>
      <c r="C48" s="637"/>
      <c r="D48" s="379"/>
      <c r="E48" s="379"/>
      <c r="F48" s="1238"/>
      <c r="G48" s="1129"/>
      <c r="H48" s="1129"/>
      <c r="I48" s="1129"/>
      <c r="J48" s="1129"/>
      <c r="K48" s="1129"/>
      <c r="L48" s="1129"/>
      <c r="M48" s="1129"/>
      <c r="N48" s="1237"/>
      <c r="O48" s="1240">
        <v>25</v>
      </c>
      <c r="P48" s="1131">
        <v>0</v>
      </c>
      <c r="Q48" s="1129">
        <v>1720</v>
      </c>
      <c r="R48" s="1131">
        <v>43</v>
      </c>
      <c r="S48" s="1239">
        <v>43</v>
      </c>
      <c r="T48" s="1131">
        <v>0</v>
      </c>
      <c r="U48" s="1240"/>
      <c r="V48" s="1240">
        <v>70</v>
      </c>
      <c r="W48" s="1834">
        <v>0.63025210084033612</v>
      </c>
      <c r="X48" s="1239"/>
      <c r="Y48" s="1239">
        <v>6.3360000000000003</v>
      </c>
      <c r="Z48" s="1239">
        <v>7.4687787687700089</v>
      </c>
      <c r="AA48" s="1239">
        <v>8.5</v>
      </c>
      <c r="AB48" s="1131">
        <v>1090</v>
      </c>
      <c r="AC48" s="1243">
        <v>9.2650000000000006</v>
      </c>
      <c r="AD48" s="1242">
        <v>4</v>
      </c>
      <c r="AE48" s="1131">
        <v>0</v>
      </c>
      <c r="AF48" s="1239">
        <v>0</v>
      </c>
      <c r="AG48" s="1131">
        <v>0</v>
      </c>
      <c r="AH48" s="1197">
        <v>0</v>
      </c>
      <c r="AI48" s="1240">
        <v>34.219764705882355</v>
      </c>
      <c r="AJ48" s="1131">
        <v>33.5</v>
      </c>
      <c r="AK48" s="1131">
        <v>182.5</v>
      </c>
      <c r="AL48" s="1131" t="s">
        <v>16</v>
      </c>
      <c r="AM48" s="1131" t="s">
        <v>16</v>
      </c>
      <c r="AN48" s="1131" t="s">
        <v>16</v>
      </c>
      <c r="AO48" s="1131">
        <v>0</v>
      </c>
      <c r="AP48" s="1131">
        <v>0</v>
      </c>
      <c r="AQ48" s="1131">
        <v>0</v>
      </c>
      <c r="AR48" s="1131">
        <v>0</v>
      </c>
      <c r="AS48" s="1197">
        <v>0</v>
      </c>
      <c r="AT48" s="1197">
        <v>0</v>
      </c>
      <c r="AU48" s="1131">
        <v>42.437647058823529</v>
      </c>
      <c r="AV48" s="1131">
        <v>93.907185628742525</v>
      </c>
      <c r="AW48" s="1131">
        <v>-1.9913922155688621</v>
      </c>
      <c r="AX48" s="1239">
        <v>11.188676470588234</v>
      </c>
      <c r="AY48" s="1131">
        <v>3440</v>
      </c>
      <c r="AZ48" s="1242">
        <v>1.0813926940639269</v>
      </c>
      <c r="BA48" s="1243">
        <v>38.533936555581924</v>
      </c>
      <c r="BB48" s="1129"/>
      <c r="BC48" s="1131"/>
      <c r="BD48" s="1197">
        <v>0</v>
      </c>
      <c r="BG48" s="637"/>
      <c r="BH48" s="379"/>
      <c r="BI48" s="379"/>
      <c r="BJ48" s="1238"/>
      <c r="BK48" s="1129"/>
      <c r="BL48" s="1129"/>
      <c r="BM48" s="1129"/>
      <c r="BN48" s="1129"/>
      <c r="BO48" s="1129"/>
      <c r="BP48" s="1237"/>
      <c r="BQ48" s="1240">
        <v>25</v>
      </c>
      <c r="BR48" s="1129">
        <v>1720</v>
      </c>
      <c r="BS48" s="1131">
        <v>43</v>
      </c>
      <c r="BT48" s="1241"/>
      <c r="BU48" s="1239"/>
      <c r="BV48" s="1131">
        <v>40.099999999999994</v>
      </c>
      <c r="BW48" s="1239">
        <v>0.63025210084033612</v>
      </c>
      <c r="BX48" s="1239">
        <v>9.8919368246051551</v>
      </c>
      <c r="BY48" s="1239">
        <v>0</v>
      </c>
      <c r="BZ48" s="1239">
        <v>9.8919368246051551</v>
      </c>
      <c r="CA48" s="1131">
        <v>1730</v>
      </c>
      <c r="CB48" s="1131">
        <v>0</v>
      </c>
      <c r="CC48" s="1197">
        <v>17.11305070656692</v>
      </c>
      <c r="CD48" s="1239">
        <v>4</v>
      </c>
      <c r="CE48" s="1239">
        <v>0</v>
      </c>
      <c r="CF48" s="1131">
        <v>0</v>
      </c>
      <c r="CG48" s="1197">
        <v>0</v>
      </c>
      <c r="CH48" s="1240">
        <v>17.978823529411766</v>
      </c>
      <c r="CI48" s="1131">
        <v>34.891936824605153</v>
      </c>
      <c r="CJ48" s="1131">
        <v>194.04039624299207</v>
      </c>
      <c r="CK48" s="1131" t="s">
        <v>16</v>
      </c>
      <c r="CL48" s="1131" t="s">
        <v>16</v>
      </c>
      <c r="CM48" s="1131" t="s">
        <v>16</v>
      </c>
      <c r="CN48" s="1131">
        <v>0</v>
      </c>
      <c r="CO48" s="1131">
        <v>0</v>
      </c>
      <c r="CP48" s="1197">
        <v>0</v>
      </c>
      <c r="CQ48" s="1131">
        <v>74.69364705882353</v>
      </c>
      <c r="CR48" s="1131">
        <v>53.353935132683155</v>
      </c>
      <c r="CS48" s="1131">
        <v>-2</v>
      </c>
      <c r="CT48" s="1131">
        <v>0</v>
      </c>
      <c r="CU48" s="1131">
        <v>0</v>
      </c>
      <c r="CV48" s="1197">
        <v>0</v>
      </c>
      <c r="CW48" s="1129"/>
      <c r="CX48" s="1131"/>
      <c r="CY48" s="1197">
        <v>0</v>
      </c>
      <c r="DA48" s="637">
        <f t="shared" si="0"/>
        <v>0</v>
      </c>
      <c r="DB48" s="379">
        <f t="shared" si="1"/>
        <v>0</v>
      </c>
      <c r="DC48" s="379">
        <f t="shared" si="2"/>
        <v>0</v>
      </c>
      <c r="DD48" s="1238">
        <f t="shared" si="3"/>
        <v>0</v>
      </c>
      <c r="DE48" s="1129">
        <f t="shared" si="4"/>
        <v>0</v>
      </c>
      <c r="DF48" s="1129">
        <f t="shared" si="5"/>
        <v>0</v>
      </c>
      <c r="DG48" s="1129">
        <f t="shared" si="6"/>
        <v>0</v>
      </c>
      <c r="DH48" s="1129">
        <f t="shared" si="7"/>
        <v>0</v>
      </c>
      <c r="DI48" s="1129">
        <f t="shared" si="8"/>
        <v>0</v>
      </c>
      <c r="DJ48" s="1237">
        <f t="shared" si="9"/>
        <v>0</v>
      </c>
      <c r="DK48" s="1240">
        <f t="shared" si="10"/>
        <v>0</v>
      </c>
      <c r="DL48" s="1129">
        <f t="shared" si="11"/>
        <v>0</v>
      </c>
      <c r="DM48" s="1131">
        <f t="shared" si="12"/>
        <v>0</v>
      </c>
      <c r="DN48" s="1241">
        <f t="shared" si="13"/>
        <v>0</v>
      </c>
      <c r="DO48" s="1239">
        <f t="shared" si="14"/>
        <v>70</v>
      </c>
      <c r="DP48" s="1131">
        <f t="shared" si="15"/>
        <v>-39.469747899159657</v>
      </c>
      <c r="DQ48" s="1239">
        <f t="shared" si="16"/>
        <v>-0.63025210084033612</v>
      </c>
      <c r="DR48" s="1239">
        <f t="shared" si="17"/>
        <v>-3.5559368246051548</v>
      </c>
      <c r="DS48" s="1239">
        <f t="shared" si="18"/>
        <v>7.4687787687700089</v>
      </c>
      <c r="DT48" s="1239">
        <f t="shared" si="19"/>
        <v>-1.3919368246051551</v>
      </c>
      <c r="DU48" s="1131">
        <f t="shared" si="20"/>
        <v>-640</v>
      </c>
      <c r="DV48" s="1131" t="e">
        <f>#REF!-CB48</f>
        <v>#REF!</v>
      </c>
      <c r="DW48" s="1197">
        <f t="shared" si="21"/>
        <v>-7.8480507065669194</v>
      </c>
      <c r="DX48" s="1239">
        <f t="shared" si="22"/>
        <v>0</v>
      </c>
      <c r="DY48" s="1239">
        <f t="shared" si="23"/>
        <v>0</v>
      </c>
      <c r="DZ48" s="1131">
        <f t="shared" si="24"/>
        <v>0</v>
      </c>
      <c r="EA48" s="1197">
        <f t="shared" si="25"/>
        <v>0</v>
      </c>
      <c r="EB48" s="1240">
        <f t="shared" si="26"/>
        <v>16.240941176470589</v>
      </c>
      <c r="EC48" s="1131">
        <f t="shared" si="27"/>
        <v>-1.3919368246051533</v>
      </c>
      <c r="ED48" s="1131">
        <f t="shared" si="28"/>
        <v>-11.540396242992074</v>
      </c>
      <c r="EE48" s="1131" t="e">
        <f t="shared" si="29"/>
        <v>#VALUE!</v>
      </c>
      <c r="EF48" s="1131" t="e">
        <f t="shared" si="30"/>
        <v>#VALUE!</v>
      </c>
      <c r="EG48" s="1131" t="e">
        <f t="shared" si="31"/>
        <v>#VALUE!</v>
      </c>
      <c r="EH48" s="1131">
        <f t="shared" si="32"/>
        <v>0</v>
      </c>
      <c r="EI48" s="1131">
        <f t="shared" si="33"/>
        <v>0</v>
      </c>
      <c r="EJ48" s="1197">
        <f t="shared" si="34"/>
        <v>0</v>
      </c>
      <c r="EK48" s="1131">
        <f t="shared" si="35"/>
        <v>-32.256</v>
      </c>
      <c r="EL48" s="1131">
        <f t="shared" si="36"/>
        <v>40.55325049605937</v>
      </c>
      <c r="EM48" s="1131">
        <f t="shared" si="37"/>
        <v>8.6077844311378549E-3</v>
      </c>
      <c r="EN48" s="1131">
        <f t="shared" si="40"/>
        <v>11.188676470588234</v>
      </c>
      <c r="EO48" s="1131">
        <f t="shared" si="41"/>
        <v>3440</v>
      </c>
      <c r="EP48" s="1197">
        <f t="shared" si="42"/>
        <v>38.533936555581924</v>
      </c>
      <c r="EQ48" s="1129">
        <f t="shared" si="43"/>
        <v>0</v>
      </c>
      <c r="ER48" s="1131">
        <f t="shared" si="44"/>
        <v>0</v>
      </c>
      <c r="ES48" s="1197">
        <f t="shared" si="45"/>
        <v>0</v>
      </c>
    </row>
    <row r="49" spans="1:149">
      <c r="A49" s="656">
        <f>Eingabedaten!A52</f>
        <v>12.11</v>
      </c>
      <c r="B49" s="463" t="str">
        <f>Eingabedaten!C52</f>
        <v>Kühlraum</v>
      </c>
      <c r="C49" s="637"/>
      <c r="D49" s="379"/>
      <c r="E49" s="379"/>
      <c r="F49" s="1238"/>
      <c r="G49" s="1129"/>
      <c r="H49" s="1129"/>
      <c r="I49" s="1129"/>
      <c r="J49" s="1129"/>
      <c r="K49" s="1129"/>
      <c r="L49" s="1129"/>
      <c r="M49" s="1129"/>
      <c r="N49" s="1237"/>
      <c r="O49" s="1240">
        <v>0</v>
      </c>
      <c r="P49" s="1131">
        <v>120</v>
      </c>
      <c r="Q49" s="1129">
        <v>3180</v>
      </c>
      <c r="R49" s="1131">
        <v>0</v>
      </c>
      <c r="S49" s="1239">
        <v>0</v>
      </c>
      <c r="T49" s="1131">
        <v>381.6</v>
      </c>
      <c r="U49" s="1240"/>
      <c r="V49" s="1240">
        <v>70</v>
      </c>
      <c r="W49" s="1834">
        <v>0.63025210084033612</v>
      </c>
      <c r="X49" s="1239"/>
      <c r="Y49" s="1239">
        <v>6.3360000000000003</v>
      </c>
      <c r="Z49" s="1239">
        <v>11</v>
      </c>
      <c r="AA49" s="1239">
        <v>2.833333333333333</v>
      </c>
      <c r="AB49" s="1131">
        <v>52</v>
      </c>
      <c r="AC49" s="1243">
        <v>0.14733333333333332</v>
      </c>
      <c r="AD49" s="1242">
        <v>0</v>
      </c>
      <c r="AE49" s="1131">
        <v>0</v>
      </c>
      <c r="AF49" s="1239">
        <v>0</v>
      </c>
      <c r="AG49" s="1131">
        <v>0</v>
      </c>
      <c r="AH49" s="1197">
        <v>0</v>
      </c>
      <c r="AI49" s="1240">
        <v>19.636705882352942</v>
      </c>
      <c r="AJ49" s="1131">
        <v>2.833333333333333</v>
      </c>
      <c r="AK49" s="1131">
        <v>0</v>
      </c>
      <c r="AL49" s="1131" t="s">
        <v>16</v>
      </c>
      <c r="AM49" s="1131" t="s">
        <v>16</v>
      </c>
      <c r="AN49" s="1131" t="s">
        <v>16</v>
      </c>
      <c r="AO49" s="1131">
        <v>0</v>
      </c>
      <c r="AP49" s="1131">
        <v>0</v>
      </c>
      <c r="AQ49" s="1131">
        <v>0</v>
      </c>
      <c r="AR49" s="1131">
        <v>0</v>
      </c>
      <c r="AS49" s="1197">
        <v>0</v>
      </c>
      <c r="AT49" s="1197">
        <v>0</v>
      </c>
      <c r="AU49" s="1131">
        <v>18.63529411764706</v>
      </c>
      <c r="AV49" s="1131">
        <v>214.43181818181816</v>
      </c>
      <c r="AW49" s="1131">
        <v>-0.18352272727272778</v>
      </c>
      <c r="AX49" s="1239">
        <v>3.9773529411764712</v>
      </c>
      <c r="AY49" s="1131">
        <v>0</v>
      </c>
      <c r="AZ49" s="1242">
        <v>0</v>
      </c>
      <c r="BA49" s="1243">
        <v>0</v>
      </c>
      <c r="BB49" s="1129"/>
      <c r="BC49" s="1131"/>
      <c r="BD49" s="1197">
        <v>0</v>
      </c>
      <c r="BG49" s="637"/>
      <c r="BH49" s="379"/>
      <c r="BI49" s="379"/>
      <c r="BJ49" s="1238"/>
      <c r="BK49" s="1129"/>
      <c r="BL49" s="1129"/>
      <c r="BM49" s="1129"/>
      <c r="BN49" s="1129"/>
      <c r="BO49" s="1129"/>
      <c r="BP49" s="1237"/>
      <c r="BQ49" s="1240">
        <v>120</v>
      </c>
      <c r="BR49" s="1129">
        <v>3730</v>
      </c>
      <c r="BS49" s="1131">
        <v>447.6</v>
      </c>
      <c r="BT49" s="1241"/>
      <c r="BU49" s="1239"/>
      <c r="BV49" s="1131">
        <v>35.1</v>
      </c>
      <c r="BW49" s="1239">
        <v>0.63025210084033612</v>
      </c>
      <c r="BX49" s="1239">
        <v>5.6505223171889831</v>
      </c>
      <c r="BY49" s="1239">
        <v>0</v>
      </c>
      <c r="BZ49" s="1239">
        <v>5.6505223171889831</v>
      </c>
      <c r="CA49" s="1131">
        <v>0</v>
      </c>
      <c r="CB49" s="1131">
        <v>0</v>
      </c>
      <c r="CC49" s="1197">
        <v>0</v>
      </c>
      <c r="CD49" s="1239">
        <v>0</v>
      </c>
      <c r="CE49" s="1239">
        <v>0</v>
      </c>
      <c r="CF49" s="1131">
        <v>0</v>
      </c>
      <c r="CG49" s="1197">
        <v>0</v>
      </c>
      <c r="CH49" s="1240">
        <v>18.409411764705883</v>
      </c>
      <c r="CI49" s="1131">
        <v>5.6505223171889831</v>
      </c>
      <c r="CJ49" s="1131">
        <v>11.301044634377966</v>
      </c>
      <c r="CK49" s="1131" t="s">
        <v>16</v>
      </c>
      <c r="CL49" s="1131" t="s">
        <v>16</v>
      </c>
      <c r="CM49" s="1131" t="s">
        <v>16</v>
      </c>
      <c r="CN49" s="1131">
        <v>0</v>
      </c>
      <c r="CO49" s="1131">
        <v>0</v>
      </c>
      <c r="CP49" s="1197">
        <v>0</v>
      </c>
      <c r="CQ49" s="1131">
        <v>22.09129411764706</v>
      </c>
      <c r="CR49" s="1131">
        <v>197.67062883435582</v>
      </c>
      <c r="CS49" s="1131">
        <v>-1</v>
      </c>
      <c r="CT49" s="1131">
        <v>0</v>
      </c>
      <c r="CU49" s="1131">
        <v>0</v>
      </c>
      <c r="CV49" s="1197">
        <v>0</v>
      </c>
      <c r="CW49" s="1129"/>
      <c r="CX49" s="1131"/>
      <c r="CY49" s="1197">
        <v>0</v>
      </c>
      <c r="DA49" s="637">
        <f t="shared" si="0"/>
        <v>0</v>
      </c>
      <c r="DB49" s="379">
        <f t="shared" si="1"/>
        <v>0</v>
      </c>
      <c r="DC49" s="379">
        <f t="shared" si="2"/>
        <v>0</v>
      </c>
      <c r="DD49" s="1238">
        <f t="shared" si="3"/>
        <v>0</v>
      </c>
      <c r="DE49" s="1129">
        <f t="shared" si="4"/>
        <v>0</v>
      </c>
      <c r="DF49" s="1129">
        <f t="shared" si="5"/>
        <v>0</v>
      </c>
      <c r="DG49" s="1129">
        <f t="shared" si="6"/>
        <v>0</v>
      </c>
      <c r="DH49" s="1129">
        <f t="shared" si="7"/>
        <v>0</v>
      </c>
      <c r="DI49" s="1129">
        <f t="shared" si="8"/>
        <v>0</v>
      </c>
      <c r="DJ49" s="1237">
        <f t="shared" si="9"/>
        <v>0</v>
      </c>
      <c r="DK49" s="1240">
        <f t="shared" si="10"/>
        <v>-120</v>
      </c>
      <c r="DL49" s="1129">
        <f t="shared" si="11"/>
        <v>-550</v>
      </c>
      <c r="DM49" s="1131">
        <f t="shared" si="12"/>
        <v>-447.6</v>
      </c>
      <c r="DN49" s="1241">
        <f t="shared" si="13"/>
        <v>0</v>
      </c>
      <c r="DO49" s="1239">
        <f t="shared" si="14"/>
        <v>70</v>
      </c>
      <c r="DP49" s="1131">
        <f t="shared" si="15"/>
        <v>-34.469747899159664</v>
      </c>
      <c r="DQ49" s="1239">
        <f t="shared" si="16"/>
        <v>-0.63025210084033612</v>
      </c>
      <c r="DR49" s="1239">
        <f t="shared" si="17"/>
        <v>0.68547768281101717</v>
      </c>
      <c r="DS49" s="1239">
        <f t="shared" si="18"/>
        <v>11</v>
      </c>
      <c r="DT49" s="1239">
        <f t="shared" si="19"/>
        <v>-2.8171889838556501</v>
      </c>
      <c r="DU49" s="1131">
        <f t="shared" si="20"/>
        <v>52</v>
      </c>
      <c r="DV49" s="1131" t="e">
        <f>#REF!-CB49</f>
        <v>#REF!</v>
      </c>
      <c r="DW49" s="1197">
        <f t="shared" si="21"/>
        <v>0.14733333333333332</v>
      </c>
      <c r="DX49" s="1239">
        <f t="shared" si="22"/>
        <v>0</v>
      </c>
      <c r="DY49" s="1239">
        <f t="shared" si="23"/>
        <v>0</v>
      </c>
      <c r="DZ49" s="1131">
        <f t="shared" si="24"/>
        <v>0</v>
      </c>
      <c r="EA49" s="1197">
        <f t="shared" si="25"/>
        <v>0</v>
      </c>
      <c r="EB49" s="1240">
        <f t="shared" si="26"/>
        <v>1.2272941176470589</v>
      </c>
      <c r="EC49" s="1131">
        <f t="shared" si="27"/>
        <v>-2.8171889838556501</v>
      </c>
      <c r="ED49" s="1131">
        <f t="shared" si="28"/>
        <v>-11.301044634377966</v>
      </c>
      <c r="EE49" s="1131" t="e">
        <f t="shared" si="29"/>
        <v>#VALUE!</v>
      </c>
      <c r="EF49" s="1131" t="e">
        <f t="shared" si="30"/>
        <v>#VALUE!</v>
      </c>
      <c r="EG49" s="1131" t="e">
        <f t="shared" si="31"/>
        <v>#VALUE!</v>
      </c>
      <c r="EH49" s="1131">
        <f t="shared" si="32"/>
        <v>0</v>
      </c>
      <c r="EI49" s="1131">
        <f t="shared" si="33"/>
        <v>0</v>
      </c>
      <c r="EJ49" s="1197">
        <f t="shared" si="34"/>
        <v>0</v>
      </c>
      <c r="EK49" s="1131">
        <f t="shared" si="35"/>
        <v>-3.4559999999999995</v>
      </c>
      <c r="EL49" s="1131">
        <f t="shared" si="36"/>
        <v>16.761189347462334</v>
      </c>
      <c r="EM49" s="1131">
        <f t="shared" si="37"/>
        <v>0.81647727272727222</v>
      </c>
      <c r="EN49" s="1131">
        <f t="shared" si="40"/>
        <v>3.9773529411764712</v>
      </c>
      <c r="EO49" s="1131">
        <f t="shared" si="41"/>
        <v>0</v>
      </c>
      <c r="EP49" s="1197">
        <f t="shared" si="42"/>
        <v>0</v>
      </c>
      <c r="EQ49" s="1129">
        <f t="shared" si="43"/>
        <v>0</v>
      </c>
      <c r="ER49" s="1131">
        <f t="shared" si="44"/>
        <v>0</v>
      </c>
      <c r="ES49" s="1197">
        <f t="shared" si="45"/>
        <v>0</v>
      </c>
    </row>
    <row r="50" spans="1:149">
      <c r="A50" s="657">
        <f>Eingabedaten!A53</f>
        <v>12.12</v>
      </c>
      <c r="B50" s="1258" t="str">
        <f>Eingabedaten!C53</f>
        <v>Serverraum</v>
      </c>
      <c r="C50" s="1259"/>
      <c r="D50" s="1260"/>
      <c r="E50" s="1260"/>
      <c r="F50" s="1227"/>
      <c r="G50" s="1130"/>
      <c r="H50" s="1130"/>
      <c r="I50" s="1130"/>
      <c r="J50" s="1130"/>
      <c r="K50" s="1130"/>
      <c r="L50" s="1130"/>
      <c r="M50" s="1130"/>
      <c r="N50" s="1229"/>
      <c r="O50" s="1255">
        <v>0</v>
      </c>
      <c r="P50" s="1133">
        <v>200</v>
      </c>
      <c r="Q50" s="1130">
        <v>7010</v>
      </c>
      <c r="R50" s="1133">
        <v>0</v>
      </c>
      <c r="S50" s="1228">
        <v>0</v>
      </c>
      <c r="T50" s="1133">
        <v>1402</v>
      </c>
      <c r="U50" s="1255"/>
      <c r="V50" s="1255">
        <v>70</v>
      </c>
      <c r="W50" s="1836">
        <v>0.53705692803437166</v>
      </c>
      <c r="X50" s="1228"/>
      <c r="Y50" s="1228">
        <v>6.3360000000000003</v>
      </c>
      <c r="Z50" s="1228">
        <v>11</v>
      </c>
      <c r="AA50" s="1228">
        <v>6.65</v>
      </c>
      <c r="AB50" s="1133">
        <v>73</v>
      </c>
      <c r="AC50" s="1196">
        <v>0.48545000000000005</v>
      </c>
      <c r="AD50" s="1257">
        <v>0.5</v>
      </c>
      <c r="AE50" s="1133">
        <v>5480</v>
      </c>
      <c r="AF50" s="1228">
        <v>0.45500000000000002</v>
      </c>
      <c r="AG50" s="1133">
        <v>5480</v>
      </c>
      <c r="AH50" s="1199">
        <v>2.4934000000000003</v>
      </c>
      <c r="AI50" s="1255">
        <v>4.7830588235294123</v>
      </c>
      <c r="AJ50" s="1133">
        <v>6.65</v>
      </c>
      <c r="AK50" s="1133">
        <v>73.150000000000006</v>
      </c>
      <c r="AL50" s="1133" t="s">
        <v>16</v>
      </c>
      <c r="AM50" s="1133" t="s">
        <v>16</v>
      </c>
      <c r="AN50" s="1133" t="s">
        <v>16</v>
      </c>
      <c r="AO50" s="1133">
        <v>8.0031411764705886</v>
      </c>
      <c r="AP50" s="1133">
        <v>0</v>
      </c>
      <c r="AQ50" s="1133">
        <v>211.43305882352942</v>
      </c>
      <c r="AR50" s="1133">
        <v>0</v>
      </c>
      <c r="AS50" s="1199">
        <v>0</v>
      </c>
      <c r="AT50" s="1199">
        <v>0</v>
      </c>
      <c r="AU50" s="1133">
        <v>18.183529411764709</v>
      </c>
      <c r="AV50" s="1133">
        <v>133.41744306418218</v>
      </c>
      <c r="AW50" s="1133">
        <v>-1.3987383540372673</v>
      </c>
      <c r="AX50" s="1228">
        <v>8.0905235294117652</v>
      </c>
      <c r="AY50" s="1133">
        <v>0</v>
      </c>
      <c r="AZ50" s="1257">
        <v>0.36249999999999999</v>
      </c>
      <c r="BA50" s="1196">
        <v>0</v>
      </c>
      <c r="BB50" s="1130"/>
      <c r="BC50" s="1133"/>
      <c r="BD50" s="1199">
        <v>0</v>
      </c>
      <c r="BG50" s="1259"/>
      <c r="BH50" s="1260"/>
      <c r="BI50" s="1260"/>
      <c r="BJ50" s="1227"/>
      <c r="BK50" s="1130"/>
      <c r="BL50" s="1130"/>
      <c r="BM50" s="1130"/>
      <c r="BN50" s="1130"/>
      <c r="BO50" s="1130"/>
      <c r="BP50" s="1229"/>
      <c r="BQ50" s="1255">
        <v>150</v>
      </c>
      <c r="BR50" s="1130">
        <v>7010</v>
      </c>
      <c r="BS50" s="1133">
        <v>1051.5</v>
      </c>
      <c r="BT50" s="1256"/>
      <c r="BU50" s="1228"/>
      <c r="BV50" s="1133">
        <v>35.1</v>
      </c>
      <c r="BW50" s="1228">
        <v>0.53705692803437166</v>
      </c>
      <c r="BX50" s="1228">
        <v>6.6310541310541309</v>
      </c>
      <c r="BY50" s="1228">
        <v>0</v>
      </c>
      <c r="BZ50" s="1228">
        <v>6.6310541310541309</v>
      </c>
      <c r="CA50" s="1133">
        <v>0</v>
      </c>
      <c r="CB50" s="1133">
        <v>0</v>
      </c>
      <c r="CC50" s="1199">
        <v>0</v>
      </c>
      <c r="CD50" s="1228">
        <v>2</v>
      </c>
      <c r="CE50" s="1228">
        <v>0</v>
      </c>
      <c r="CF50" s="1133">
        <v>0</v>
      </c>
      <c r="CG50" s="1199">
        <v>0</v>
      </c>
      <c r="CH50" s="1255">
        <v>8.1430588235294117</v>
      </c>
      <c r="CI50" s="1133">
        <v>156.63105413105413</v>
      </c>
      <c r="CJ50" s="1133">
        <v>3613.2621082621081</v>
      </c>
      <c r="CK50" s="1133" t="s">
        <v>16</v>
      </c>
      <c r="CL50" s="1133" t="s">
        <v>16</v>
      </c>
      <c r="CM50" s="1133" t="s">
        <v>16</v>
      </c>
      <c r="CN50" s="1133">
        <v>152</v>
      </c>
      <c r="CO50" s="1133">
        <v>5760</v>
      </c>
      <c r="CP50" s="1199">
        <v>876</v>
      </c>
      <c r="CQ50" s="1133">
        <v>27.143529411764707</v>
      </c>
      <c r="CR50" s="1133">
        <v>89.376733703190013</v>
      </c>
      <c r="CS50" s="1133">
        <v>-2</v>
      </c>
      <c r="CT50" s="1133">
        <v>38.00094117647059</v>
      </c>
      <c r="CU50" s="1133">
        <v>0</v>
      </c>
      <c r="CV50" s="1199">
        <v>0.10733573321185544</v>
      </c>
      <c r="CW50" s="1130"/>
      <c r="CX50" s="1133"/>
      <c r="CY50" s="1199">
        <v>0</v>
      </c>
      <c r="DA50" s="1259">
        <f t="shared" si="0"/>
        <v>0</v>
      </c>
      <c r="DB50" s="1260">
        <f t="shared" si="1"/>
        <v>0</v>
      </c>
      <c r="DC50" s="1260">
        <f t="shared" si="2"/>
        <v>0</v>
      </c>
      <c r="DD50" s="1227">
        <f t="shared" si="3"/>
        <v>0</v>
      </c>
      <c r="DE50" s="1130">
        <f t="shared" si="4"/>
        <v>0</v>
      </c>
      <c r="DF50" s="1130">
        <f t="shared" si="5"/>
        <v>0</v>
      </c>
      <c r="DG50" s="1130">
        <f t="shared" si="6"/>
        <v>0</v>
      </c>
      <c r="DH50" s="1130">
        <f t="shared" si="7"/>
        <v>0</v>
      </c>
      <c r="DI50" s="1130">
        <f t="shared" si="8"/>
        <v>0</v>
      </c>
      <c r="DJ50" s="1229">
        <f t="shared" si="9"/>
        <v>0</v>
      </c>
      <c r="DK50" s="1255">
        <f t="shared" si="10"/>
        <v>-150</v>
      </c>
      <c r="DL50" s="1130">
        <f t="shared" si="11"/>
        <v>0</v>
      </c>
      <c r="DM50" s="1133">
        <f t="shared" si="12"/>
        <v>-1051.5</v>
      </c>
      <c r="DN50" s="1256">
        <f t="shared" si="13"/>
        <v>0</v>
      </c>
      <c r="DO50" s="1228">
        <f t="shared" si="14"/>
        <v>70</v>
      </c>
      <c r="DP50" s="1133">
        <f t="shared" si="15"/>
        <v>-34.562943071965627</v>
      </c>
      <c r="DQ50" s="1228">
        <f t="shared" si="16"/>
        <v>-0.53705692803437166</v>
      </c>
      <c r="DR50" s="1228">
        <f t="shared" si="17"/>
        <v>-0.29505413105413059</v>
      </c>
      <c r="DS50" s="1228">
        <f t="shared" si="18"/>
        <v>11</v>
      </c>
      <c r="DT50" s="1228">
        <f t="shared" si="19"/>
        <v>1.8945868945869471E-2</v>
      </c>
      <c r="DU50" s="1133">
        <f t="shared" si="20"/>
        <v>73</v>
      </c>
      <c r="DV50" s="1133" t="e">
        <f>#REF!-CB50</f>
        <v>#REF!</v>
      </c>
      <c r="DW50" s="1199">
        <f t="shared" si="21"/>
        <v>0.48545000000000005</v>
      </c>
      <c r="DX50" s="1228">
        <f t="shared" si="22"/>
        <v>-1.5</v>
      </c>
      <c r="DY50" s="1228">
        <f t="shared" si="23"/>
        <v>0.45500000000000002</v>
      </c>
      <c r="DZ50" s="1133">
        <f t="shared" si="24"/>
        <v>5480</v>
      </c>
      <c r="EA50" s="1199">
        <f t="shared" si="25"/>
        <v>2.4934000000000003</v>
      </c>
      <c r="EB50" s="1255">
        <f t="shared" si="26"/>
        <v>-3.3599999999999994</v>
      </c>
      <c r="EC50" s="1133">
        <f t="shared" si="27"/>
        <v>-149.98105413105412</v>
      </c>
      <c r="ED50" s="1133">
        <f t="shared" si="28"/>
        <v>-3540.112108262108</v>
      </c>
      <c r="EE50" s="1133" t="e">
        <f t="shared" si="29"/>
        <v>#VALUE!</v>
      </c>
      <c r="EF50" s="1133" t="e">
        <f t="shared" si="30"/>
        <v>#VALUE!</v>
      </c>
      <c r="EG50" s="1133" t="e">
        <f t="shared" si="31"/>
        <v>#VALUE!</v>
      </c>
      <c r="EH50" s="1133">
        <f t="shared" si="32"/>
        <v>59.433058823529421</v>
      </c>
      <c r="EI50" s="1133">
        <f t="shared" si="33"/>
        <v>-5760</v>
      </c>
      <c r="EJ50" s="1199">
        <f t="shared" si="34"/>
        <v>-876</v>
      </c>
      <c r="EK50" s="1133">
        <f t="shared" si="35"/>
        <v>-8.9599999999999973</v>
      </c>
      <c r="EL50" s="1133">
        <f t="shared" si="36"/>
        <v>44.040709360992167</v>
      </c>
      <c r="EM50" s="1133">
        <f t="shared" si="37"/>
        <v>0.60126164596273268</v>
      </c>
      <c r="EN50" s="1133">
        <f t="shared" si="40"/>
        <v>-29.910417647058825</v>
      </c>
      <c r="EO50" s="1133">
        <f t="shared" si="41"/>
        <v>0</v>
      </c>
      <c r="EP50" s="1199">
        <f t="shared" si="42"/>
        <v>-0.10733573321185544</v>
      </c>
      <c r="EQ50" s="1130">
        <f t="shared" si="43"/>
        <v>0</v>
      </c>
      <c r="ER50" s="1133">
        <f t="shared" si="44"/>
        <v>0</v>
      </c>
      <c r="ES50" s="1199">
        <f>BD50-CY50</f>
        <v>0</v>
      </c>
    </row>
    <row r="55" spans="1:149">
      <c r="AI55" s="1264"/>
    </row>
  </sheetData>
  <sheetProtection algorithmName="SHA-512" hashValue="KV0azPDy2CtWoEnnyVp7K4uD/qA9+AoOw/avl6d40+bpTjCn4rNuq1oIrcrDj5JhW0JFU9WVZqG/2L4VPP16kg==" saltValue="iu+0QufjHrFAGMvTs/8DnQ==" spinCount="100000" sheet="1" objects="1" scenarios="1"/>
  <pageMargins left="0.70866141732283472" right="0.70866141732283472" top="0.74803149606299213" bottom="0.74803149606299213" header="0.31496062992125984" footer="0.31496062992125984"/>
  <pageSetup paperSize="8" scale="73" fitToHeight="0" orientation="landscape" r:id="rId1"/>
  <headerFooter>
    <oddHeader>&amp;R&amp;D&amp;CSIA 2024 Raum-Datenblätter</oddHeader>
    <oddFooter>&amp;R&amp;P/&amp;N&amp;CSIA 2024, Copyright © 2021 by SIA Zurich</oddFooter>
  </headerFooter>
  <colBreaks count="1" manualBreakCount="1">
    <brk id="34"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blKZ_Raum_2024">
    <tabColor theme="9" tint="0.59999389629810485"/>
  </sheetPr>
  <dimension ref="A2:AV51"/>
  <sheetViews>
    <sheetView showRowColHeaders="0" topLeftCell="K1" zoomScale="80" zoomScaleNormal="80" workbookViewId="0">
      <selection activeCell="AV7" sqref="AV7:AV51"/>
    </sheetView>
  </sheetViews>
  <sheetFormatPr baseColWidth="10" defaultColWidth="11.4609375" defaultRowHeight="12.45"/>
  <cols>
    <col min="1" max="1" width="6" style="210" bestFit="1" customWidth="1"/>
    <col min="2" max="2" width="28.23046875" style="210" bestFit="1" customWidth="1"/>
    <col min="3" max="7" width="7.53515625" style="238" customWidth="1"/>
    <col min="8" max="8" width="9.53515625" style="238" customWidth="1"/>
    <col min="9" max="9" width="7.53515625" style="238" customWidth="1"/>
    <col min="10" max="10" width="1.765625" style="238" customWidth="1"/>
    <col min="11" max="17" width="7.53515625" style="210" customWidth="1"/>
    <col min="18" max="18" width="1.765625" style="210" customWidth="1"/>
    <col min="19" max="25" width="8.23046875" style="210" customWidth="1"/>
    <col min="26" max="26" width="8.53515625" style="210" customWidth="1"/>
    <col min="27" max="27" width="5.53515625" style="210" bestFit="1" customWidth="1"/>
    <col min="28" max="28" width="27.4609375" style="210" customWidth="1"/>
    <col min="29" max="34" width="6.53515625" style="210" customWidth="1"/>
    <col min="35" max="35" width="2" style="210" customWidth="1"/>
    <col min="36" max="41" width="6.53515625" style="210" customWidth="1"/>
    <col min="42" max="42" width="2.23046875" style="210" customWidth="1"/>
    <col min="43" max="48" width="6.53515625" style="210" customWidth="1"/>
    <col min="49" max="16384" width="11.4609375" style="210"/>
  </cols>
  <sheetData>
    <row r="2" spans="1:48" ht="17.600000000000001">
      <c r="A2" s="416"/>
      <c r="B2" s="416" t="s">
        <v>467</v>
      </c>
      <c r="C2" s="417"/>
      <c r="D2" s="417"/>
      <c r="E2" s="417"/>
      <c r="F2" s="417"/>
      <c r="G2" s="417"/>
      <c r="H2" s="417"/>
      <c r="I2" s="417"/>
      <c r="J2" s="417"/>
      <c r="K2" s="416"/>
      <c r="L2" s="416"/>
      <c r="M2" s="416"/>
      <c r="N2" s="416"/>
      <c r="O2" s="416"/>
      <c r="P2" s="416"/>
      <c r="Q2" s="416"/>
      <c r="R2" s="416"/>
      <c r="S2" s="416"/>
      <c r="T2" s="416"/>
      <c r="U2" s="416"/>
      <c r="V2" s="416"/>
      <c r="W2" s="416"/>
      <c r="X2" s="416"/>
      <c r="Y2" s="416"/>
      <c r="AA2" s="418"/>
      <c r="AB2" s="418" t="s">
        <v>468</v>
      </c>
      <c r="AC2" s="419"/>
      <c r="AD2" s="419"/>
      <c r="AE2" s="419"/>
      <c r="AF2" s="419"/>
      <c r="AG2" s="419"/>
      <c r="AH2" s="419"/>
      <c r="AI2" s="419"/>
      <c r="AJ2" s="418"/>
      <c r="AK2" s="418"/>
      <c r="AL2" s="418"/>
      <c r="AM2" s="418"/>
      <c r="AN2" s="418"/>
      <c r="AO2" s="418"/>
      <c r="AP2" s="418"/>
      <c r="AQ2" s="418"/>
      <c r="AR2" s="418"/>
      <c r="AS2" s="418"/>
      <c r="AT2" s="418"/>
      <c r="AU2" s="418"/>
      <c r="AV2" s="418"/>
    </row>
    <row r="4" spans="1:48">
      <c r="A4" s="420"/>
      <c r="B4" s="421"/>
      <c r="C4" s="422" t="s">
        <v>459</v>
      </c>
      <c r="D4" s="423"/>
      <c r="E4" s="423"/>
      <c r="F4" s="423"/>
      <c r="G4" s="423"/>
      <c r="H4" s="423"/>
      <c r="I4" s="424"/>
      <c r="J4" s="367"/>
      <c r="K4" s="425" t="s">
        <v>460</v>
      </c>
      <c r="L4" s="426"/>
      <c r="M4" s="426"/>
      <c r="N4" s="426"/>
      <c r="O4" s="426"/>
      <c r="P4" s="426"/>
      <c r="Q4" s="427"/>
      <c r="R4" s="367"/>
      <c r="S4" s="428" t="s">
        <v>461</v>
      </c>
      <c r="T4" s="1095"/>
      <c r="U4" s="454"/>
      <c r="V4" s="454"/>
      <c r="W4" s="454"/>
      <c r="X4" s="454"/>
      <c r="Y4" s="455"/>
      <c r="AA4" s="420"/>
      <c r="AB4" s="421"/>
      <c r="AC4" s="429" t="s">
        <v>459</v>
      </c>
      <c r="AD4" s="430"/>
      <c r="AE4" s="430"/>
      <c r="AF4" s="430"/>
      <c r="AG4" s="430"/>
      <c r="AH4" s="430"/>
      <c r="AI4" s="433"/>
      <c r="AJ4" s="431" t="s">
        <v>460</v>
      </c>
      <c r="AK4" s="432"/>
      <c r="AL4" s="432"/>
      <c r="AM4" s="432"/>
      <c r="AN4" s="432"/>
      <c r="AO4" s="432"/>
      <c r="AP4" s="433"/>
      <c r="AQ4" s="434" t="s">
        <v>461</v>
      </c>
      <c r="AR4" s="1096"/>
      <c r="AS4" s="453"/>
      <c r="AT4" s="453"/>
      <c r="AU4" s="453"/>
      <c r="AV4" s="453"/>
    </row>
    <row r="5" spans="1:48" ht="95.25" customHeight="1">
      <c r="A5" s="435"/>
      <c r="B5" s="435" t="s">
        <v>462</v>
      </c>
      <c r="C5" s="436" t="s">
        <v>51</v>
      </c>
      <c r="D5" s="436" t="s">
        <v>1181</v>
      </c>
      <c r="E5" s="436" t="s">
        <v>17</v>
      </c>
      <c r="F5" s="436" t="s">
        <v>19</v>
      </c>
      <c r="G5" s="436" t="s">
        <v>463</v>
      </c>
      <c r="H5" s="436" t="s">
        <v>464</v>
      </c>
      <c r="I5" s="436" t="s">
        <v>268</v>
      </c>
      <c r="J5" s="367"/>
      <c r="K5" s="436" t="s">
        <v>51</v>
      </c>
      <c r="L5" s="436" t="s">
        <v>1181</v>
      </c>
      <c r="M5" s="436" t="s">
        <v>17</v>
      </c>
      <c r="N5" s="436" t="s">
        <v>19</v>
      </c>
      <c r="O5" s="436" t="s">
        <v>463</v>
      </c>
      <c r="P5" s="436" t="s">
        <v>464</v>
      </c>
      <c r="Q5" s="436" t="s">
        <v>268</v>
      </c>
      <c r="R5" s="367"/>
      <c r="S5" s="436" t="s">
        <v>51</v>
      </c>
      <c r="T5" s="436" t="s">
        <v>1181</v>
      </c>
      <c r="U5" s="436" t="s">
        <v>17</v>
      </c>
      <c r="V5" s="436" t="s">
        <v>19</v>
      </c>
      <c r="W5" s="436" t="s">
        <v>463</v>
      </c>
      <c r="X5" s="436" t="s">
        <v>464</v>
      </c>
      <c r="Y5" s="436" t="s">
        <v>268</v>
      </c>
      <c r="AA5" s="435"/>
      <c r="AB5" s="435" t="s">
        <v>462</v>
      </c>
      <c r="AC5" s="436" t="s">
        <v>51</v>
      </c>
      <c r="AD5" s="436" t="s">
        <v>1181</v>
      </c>
      <c r="AE5" s="436" t="s">
        <v>17</v>
      </c>
      <c r="AF5" s="436" t="s">
        <v>19</v>
      </c>
      <c r="AG5" s="436" t="s">
        <v>463</v>
      </c>
      <c r="AH5" s="436" t="s">
        <v>464</v>
      </c>
      <c r="AI5" s="433"/>
      <c r="AJ5" s="436" t="s">
        <v>51</v>
      </c>
      <c r="AK5" s="436" t="s">
        <v>1181</v>
      </c>
      <c r="AL5" s="436" t="s">
        <v>17</v>
      </c>
      <c r="AM5" s="436" t="s">
        <v>19</v>
      </c>
      <c r="AN5" s="436" t="s">
        <v>463</v>
      </c>
      <c r="AO5" s="436" t="s">
        <v>464</v>
      </c>
      <c r="AP5" s="433"/>
      <c r="AQ5" s="436" t="s">
        <v>51</v>
      </c>
      <c r="AR5" s="436" t="s">
        <v>1181</v>
      </c>
      <c r="AS5" s="436" t="s">
        <v>17</v>
      </c>
      <c r="AT5" s="436" t="s">
        <v>19</v>
      </c>
      <c r="AU5" s="436" t="s">
        <v>463</v>
      </c>
      <c r="AV5" s="436" t="s">
        <v>464</v>
      </c>
    </row>
    <row r="6" spans="1:48">
      <c r="A6" s="435"/>
      <c r="B6" s="435"/>
      <c r="C6" s="437" t="s">
        <v>134</v>
      </c>
      <c r="D6" s="437" t="s">
        <v>134</v>
      </c>
      <c r="E6" s="437" t="s">
        <v>134</v>
      </c>
      <c r="F6" s="437" t="s">
        <v>134</v>
      </c>
      <c r="G6" s="437" t="s">
        <v>134</v>
      </c>
      <c r="H6" s="437" t="s">
        <v>134</v>
      </c>
      <c r="I6" s="437" t="s">
        <v>134</v>
      </c>
      <c r="J6" s="367"/>
      <c r="K6" s="437" t="s">
        <v>134</v>
      </c>
      <c r="L6" s="437" t="s">
        <v>134</v>
      </c>
      <c r="M6" s="437" t="s">
        <v>134</v>
      </c>
      <c r="N6" s="437" t="s">
        <v>134</v>
      </c>
      <c r="O6" s="437" t="s">
        <v>134</v>
      </c>
      <c r="P6" s="437" t="s">
        <v>134</v>
      </c>
      <c r="Q6" s="437" t="s">
        <v>134</v>
      </c>
      <c r="R6" s="367"/>
      <c r="S6" s="437" t="s">
        <v>134</v>
      </c>
      <c r="T6" s="437" t="s">
        <v>134</v>
      </c>
      <c r="U6" s="437" t="s">
        <v>134</v>
      </c>
      <c r="V6" s="437" t="s">
        <v>134</v>
      </c>
      <c r="W6" s="437" t="s">
        <v>134</v>
      </c>
      <c r="X6" s="437" t="s">
        <v>134</v>
      </c>
      <c r="Y6" s="437" t="s">
        <v>134</v>
      </c>
      <c r="AA6" s="435"/>
      <c r="AB6" s="435"/>
      <c r="AC6" s="437" t="s">
        <v>24</v>
      </c>
      <c r="AD6" s="437" t="s">
        <v>24</v>
      </c>
      <c r="AE6" s="437" t="s">
        <v>24</v>
      </c>
      <c r="AF6" s="437" t="s">
        <v>24</v>
      </c>
      <c r="AG6" s="437" t="s">
        <v>24</v>
      </c>
      <c r="AH6" s="437" t="s">
        <v>24</v>
      </c>
      <c r="AI6" s="433"/>
      <c r="AJ6" s="437" t="s">
        <v>24</v>
      </c>
      <c r="AK6" s="437" t="s">
        <v>24</v>
      </c>
      <c r="AL6" s="437" t="s">
        <v>24</v>
      </c>
      <c r="AM6" s="437" t="s">
        <v>24</v>
      </c>
      <c r="AN6" s="437" t="s">
        <v>24</v>
      </c>
      <c r="AO6" s="437" t="s">
        <v>24</v>
      </c>
      <c r="AP6" s="433"/>
      <c r="AQ6" s="437" t="s">
        <v>24</v>
      </c>
      <c r="AR6" s="437" t="s">
        <v>24</v>
      </c>
      <c r="AS6" s="437" t="s">
        <v>24</v>
      </c>
      <c r="AT6" s="437" t="s">
        <v>24</v>
      </c>
      <c r="AU6" s="437" t="s">
        <v>24</v>
      </c>
      <c r="AV6" s="437" t="s">
        <v>24</v>
      </c>
    </row>
    <row r="7" spans="1:48">
      <c r="A7" s="1562">
        <f>Eingabedaten!A9</f>
        <v>1.01</v>
      </c>
      <c r="B7" s="435" t="str">
        <f>Eingabedaten!C9</f>
        <v>Wohnen MFH</v>
      </c>
      <c r="C7" s="456">
        <f>'Resultate Standard'!$S6</f>
        <v>21.6</v>
      </c>
      <c r="D7" s="1097">
        <f>'Resultate Standard'!$T6</f>
        <v>0</v>
      </c>
      <c r="E7" s="457">
        <f>'Resultate Standard'!$AC6</f>
        <v>2.5203750000000005</v>
      </c>
      <c r="F7" s="456">
        <f>'Resultate Standard'!$AH6</f>
        <v>4.0646400000000007</v>
      </c>
      <c r="G7" s="456">
        <f>'Resultate Standard'!$AS6</f>
        <v>4.9837705373583496</v>
      </c>
      <c r="H7" s="456">
        <f>'Resultate Standard'!$BA6</f>
        <v>14.853826963696013</v>
      </c>
      <c r="I7" s="456">
        <f>'Resultate Standard'!$BD6</f>
        <v>16.936000000000003</v>
      </c>
      <c r="J7" s="367"/>
      <c r="K7" s="456">
        <f>'Resultate Zielwert'!$S6</f>
        <v>10.8</v>
      </c>
      <c r="L7" s="1097">
        <f>'Resultate Zielwert'!$T6</f>
        <v>0</v>
      </c>
      <c r="M7" s="457">
        <f>'Resultate Zielwert'!$AC6</f>
        <v>1.1038194444444445</v>
      </c>
      <c r="N7" s="456">
        <f>'Resultate Zielwert'!$AH6</f>
        <v>1.8142400000000003</v>
      </c>
      <c r="O7" s="456">
        <f>'Resultate Zielwert'!$AS6</f>
        <v>2.7573988470164092</v>
      </c>
      <c r="P7" s="456">
        <f>'Resultate Zielwert'!$BA6</f>
        <v>10.295092187550507</v>
      </c>
      <c r="Q7" s="456">
        <f>'Resultate Zielwert'!$BD6</f>
        <v>16.936000000000003</v>
      </c>
      <c r="R7" s="367"/>
      <c r="S7" s="456">
        <f>'Resultate Bestand'!$S6</f>
        <v>25.92</v>
      </c>
      <c r="T7" s="1097">
        <f>'Resultate Bestand'!$T6</f>
        <v>0</v>
      </c>
      <c r="U7" s="457">
        <f>'Resultate Bestand'!$AC6</f>
        <v>3.2404821428571435</v>
      </c>
      <c r="V7" s="456">
        <f>'Resultate Bestand'!$AH6</f>
        <v>0</v>
      </c>
      <c r="W7" s="456">
        <f>'Resultate Bestand'!$AS6</f>
        <v>0</v>
      </c>
      <c r="X7" s="456">
        <f>'Resultate Bestand'!$BA6</f>
        <v>103.48468160361931</v>
      </c>
      <c r="Y7" s="456">
        <f>'Resultate Bestand'!$BD6</f>
        <v>16.936000000000003</v>
      </c>
      <c r="AA7" s="438">
        <f>A7</f>
        <v>1.01</v>
      </c>
      <c r="AB7" s="435" t="str">
        <f>B7</f>
        <v>Wohnen MFH</v>
      </c>
      <c r="AC7" s="439">
        <f>'Resultate Standard'!$O6</f>
        <v>10</v>
      </c>
      <c r="AD7" s="1098">
        <f>'Resultate Standard'!$P6</f>
        <v>0</v>
      </c>
      <c r="AE7" s="439">
        <f>'Resultate Standard'!$AA6</f>
        <v>2.9791666666666674</v>
      </c>
      <c r="AF7" s="439">
        <f>'Resultate Standard'!$AF6</f>
        <v>0.46400000000000008</v>
      </c>
      <c r="AG7" s="439">
        <f>'Resultate Standard'!$AP6</f>
        <v>20.553281394957988</v>
      </c>
      <c r="AH7" s="439">
        <f>'Resultate Standard'!$AX6</f>
        <v>15.500120588235296</v>
      </c>
      <c r="AI7" s="433"/>
      <c r="AJ7" s="439">
        <f>'Resultate Zielwert'!$O6</f>
        <v>5</v>
      </c>
      <c r="AK7" s="1098">
        <f>'Resultate Zielwert'!$P6</f>
        <v>0</v>
      </c>
      <c r="AL7" s="439">
        <f>'Resultate Zielwert'!$AA6</f>
        <v>1.9097222222222221</v>
      </c>
      <c r="AM7" s="439">
        <f>'Resultate Zielwert'!$AF6</f>
        <v>0.28171428571428575</v>
      </c>
      <c r="AN7" s="439">
        <f>'Resultate Zielwert'!$AP6</f>
        <v>14.240663435563025</v>
      </c>
      <c r="AO7" s="439">
        <f>'Resultate Zielwert'!$AX6</f>
        <v>11.59279411764706</v>
      </c>
      <c r="AP7" s="433"/>
      <c r="AQ7" s="439">
        <f>'Resultate Bestand'!$O6</f>
        <v>12</v>
      </c>
      <c r="AR7" s="1098">
        <f>'Resultate Bestand'!$T6</f>
        <v>0</v>
      </c>
      <c r="AS7" s="439">
        <f>'Resultate Bestand'!$AA6</f>
        <v>3.8303571428571437</v>
      </c>
      <c r="AT7" s="439">
        <f>'Resultate Bestand'!$AF6</f>
        <v>0</v>
      </c>
      <c r="AU7" s="439">
        <f>'Resultate Bestand'!$AP6</f>
        <v>0</v>
      </c>
      <c r="AV7" s="439">
        <f>'Resultate Bestand'!$AX6</f>
        <v>53.893647058823539</v>
      </c>
    </row>
    <row r="8" spans="1:48">
      <c r="A8" s="1562">
        <f>Eingabedaten!A10</f>
        <v>1.02</v>
      </c>
      <c r="B8" s="435" t="str">
        <f>Eingabedaten!C10</f>
        <v>Wohnen EFH</v>
      </c>
      <c r="C8" s="456">
        <f>'Resultate Standard'!$S7</f>
        <v>17.8</v>
      </c>
      <c r="D8" s="1097">
        <f>'Resultate Standard'!$T7</f>
        <v>0</v>
      </c>
      <c r="E8" s="457">
        <f>'Resultate Standard'!$AC7</f>
        <v>2.5203750000000005</v>
      </c>
      <c r="F8" s="456">
        <f>'Resultate Standard'!$AH7</f>
        <v>2.0831279999999999</v>
      </c>
      <c r="G8" s="456">
        <f>'Resultate Standard'!$AS7</f>
        <v>1.9700502433015938</v>
      </c>
      <c r="H8" s="456">
        <f>'Resultate Standard'!$BA7</f>
        <v>24.217696734376666</v>
      </c>
      <c r="I8" s="456">
        <f>'Resultate Standard'!$BD7</f>
        <v>13.548800000000002</v>
      </c>
      <c r="J8" s="367"/>
      <c r="K8" s="456">
        <f>'Resultate Zielwert'!$S7</f>
        <v>8.9</v>
      </c>
      <c r="L8" s="1097">
        <f>'Resultate Zielwert'!$T7</f>
        <v>0</v>
      </c>
      <c r="M8" s="457">
        <f>'Resultate Zielwert'!$AC7</f>
        <v>1.1038194444444445</v>
      </c>
      <c r="N8" s="456">
        <f>'Resultate Zielwert'!$AH7</f>
        <v>0.83294959999999996</v>
      </c>
      <c r="O8" s="456">
        <f>'Resultate Zielwert'!$AS7</f>
        <v>1.0097607654588956</v>
      </c>
      <c r="P8" s="456">
        <f>'Resultate Zielwert'!$BA7</f>
        <v>15.880890965221152</v>
      </c>
      <c r="Q8" s="456">
        <f>'Resultate Zielwert'!$BD7</f>
        <v>13.548800000000002</v>
      </c>
      <c r="R8" s="367"/>
      <c r="S8" s="456">
        <f>'Resultate Bestand'!$S7</f>
        <v>21.36</v>
      </c>
      <c r="T8" s="1097">
        <f>'Resultate Bestand'!$T7</f>
        <v>0</v>
      </c>
      <c r="U8" s="457">
        <f>'Resultate Bestand'!$AC7</f>
        <v>3.2404821428571435</v>
      </c>
      <c r="V8" s="456">
        <f>'Resultate Bestand'!$AH7</f>
        <v>0</v>
      </c>
      <c r="W8" s="456">
        <f>'Resultate Bestand'!$AS7</f>
        <v>0</v>
      </c>
      <c r="X8" s="456">
        <f>'Resultate Bestand'!$BA7</f>
        <v>164.9364473976139</v>
      </c>
      <c r="Y8" s="456">
        <f>'Resultate Bestand'!$BD7</f>
        <v>13.548800000000002</v>
      </c>
      <c r="AA8" s="438">
        <f>A8</f>
        <v>1.02</v>
      </c>
      <c r="AB8" s="435" t="str">
        <f>B8</f>
        <v>Wohnen EFH</v>
      </c>
      <c r="AC8" s="439">
        <f>'Resultate Standard'!$O7</f>
        <v>10</v>
      </c>
      <c r="AD8" s="1098">
        <f>'Resultate Standard'!$P7</f>
        <v>0</v>
      </c>
      <c r="AE8" s="439">
        <f>'Resultate Standard'!$AA7</f>
        <v>2.9791666666666674</v>
      </c>
      <c r="AF8" s="439">
        <f>'Resultate Standard'!$AF7</f>
        <v>0.23779999999999996</v>
      </c>
      <c r="AG8" s="439">
        <f>'Resultate Standard'!$AP7</f>
        <v>20.075569623529418</v>
      </c>
      <c r="AH8" s="439">
        <f>'Resultate Standard'!$AX7</f>
        <v>19.009120588235294</v>
      </c>
      <c r="AI8" s="433"/>
      <c r="AJ8" s="439">
        <f>'Resultate Zielwert'!$O7</f>
        <v>5</v>
      </c>
      <c r="AK8" s="1098">
        <f>'Resultate Zielwert'!$P7</f>
        <v>0</v>
      </c>
      <c r="AL8" s="439">
        <f>'Resultate Zielwert'!$AA7</f>
        <v>1.9097222222222221</v>
      </c>
      <c r="AM8" s="439">
        <f>'Resultate Zielwert'!$AF7</f>
        <v>0.12933999999999998</v>
      </c>
      <c r="AN8" s="439">
        <f>'Resultate Zielwert'!$AP7</f>
        <v>14.053562640188236</v>
      </c>
      <c r="AO8" s="439">
        <f>'Resultate Zielwert'!$AX7</f>
        <v>13.436911764705886</v>
      </c>
      <c r="AP8" s="433"/>
      <c r="AQ8" s="439">
        <f>'Resultate Bestand'!$O7</f>
        <v>12</v>
      </c>
      <c r="AR8" s="1098">
        <f>'Resultate Bestand'!$T7</f>
        <v>0</v>
      </c>
      <c r="AS8" s="439">
        <f>'Resultate Bestand'!$AA7</f>
        <v>3.8303571428571437</v>
      </c>
      <c r="AT8" s="439">
        <f>'Resultate Bestand'!$AF7</f>
        <v>0</v>
      </c>
      <c r="AU8" s="439">
        <f>'Resultate Bestand'!$AP7</f>
        <v>0</v>
      </c>
      <c r="AV8" s="439">
        <f>'Resultate Bestand'!$AX7</f>
        <v>70.406588235294123</v>
      </c>
    </row>
    <row r="9" spans="1:48">
      <c r="A9" s="1562">
        <f>Eingabedaten!A11</f>
        <v>2.0099999999999998</v>
      </c>
      <c r="B9" s="435" t="str">
        <f>Eingabedaten!C11</f>
        <v xml:space="preserve">Hotelzimmer </v>
      </c>
      <c r="C9" s="456">
        <f>'Resultate Standard'!$S8</f>
        <v>22.08</v>
      </c>
      <c r="D9" s="1097">
        <f>'Resultate Standard'!$T8</f>
        <v>0</v>
      </c>
      <c r="E9" s="457">
        <f>'Resultate Standard'!$AC8</f>
        <v>4.0337916666666676</v>
      </c>
      <c r="F9" s="456">
        <f>'Resultate Standard'!$AH8</f>
        <v>7.7623333333333342</v>
      </c>
      <c r="G9" s="456">
        <f>'Resultate Standard'!$AS8</f>
        <v>6.171230830811707</v>
      </c>
      <c r="H9" s="456">
        <f>'Resultate Standard'!$BA8</f>
        <v>16.01682655712278</v>
      </c>
      <c r="I9" s="456">
        <f>'Resultate Standard'!$BD8</f>
        <v>39.517333333333333</v>
      </c>
      <c r="J9" s="367"/>
      <c r="K9" s="456">
        <f>'Resultate Zielwert'!$S8</f>
        <v>11.04</v>
      </c>
      <c r="L9" s="1097">
        <f>'Resultate Zielwert'!$T8</f>
        <v>0</v>
      </c>
      <c r="M9" s="457">
        <f>'Resultate Zielwert'!$AC8</f>
        <v>2.0625</v>
      </c>
      <c r="N9" s="456">
        <f>'Resultate Zielwert'!$AH8</f>
        <v>3.575893333333334</v>
      </c>
      <c r="O9" s="456">
        <f>'Resultate Zielwert'!$AS8</f>
        <v>4.0834655005850102</v>
      </c>
      <c r="P9" s="456">
        <f>'Resultate Zielwert'!$BA8</f>
        <v>10.473669295744653</v>
      </c>
      <c r="Q9" s="456">
        <f>'Resultate Zielwert'!$BD8</f>
        <v>39.517333333333333</v>
      </c>
      <c r="R9" s="367"/>
      <c r="S9" s="456">
        <f>'Resultate Bestand'!$S8</f>
        <v>33.119999999999997</v>
      </c>
      <c r="T9" s="1097">
        <f>'Resultate Bestand'!$T8</f>
        <v>0</v>
      </c>
      <c r="U9" s="457">
        <f>'Resultate Bestand'!$AC8</f>
        <v>5.1863035714285726</v>
      </c>
      <c r="V9" s="456">
        <f>'Resultate Bestand'!$AH8</f>
        <v>12.843133333333332</v>
      </c>
      <c r="W9" s="456">
        <f>'Resultate Bestand'!$AS8</f>
        <v>0</v>
      </c>
      <c r="X9" s="456">
        <f>'Resultate Bestand'!$BA8</f>
        <v>102.50188967825707</v>
      </c>
      <c r="Y9" s="456">
        <f>'Resultate Bestand'!$BD8</f>
        <v>39.517333333333333</v>
      </c>
      <c r="AA9" s="438">
        <f t="shared" ref="AA9:AA51" si="0">A9</f>
        <v>2.0099999999999998</v>
      </c>
      <c r="AB9" s="435" t="str">
        <f t="shared" ref="AB9:AB51" si="1">B9</f>
        <v xml:space="preserve">Hotelzimmer </v>
      </c>
      <c r="AC9" s="439">
        <f>'Resultate Standard'!$O8</f>
        <v>12</v>
      </c>
      <c r="AD9" s="1098">
        <f>'Resultate Standard'!$P8</f>
        <v>0</v>
      </c>
      <c r="AE9" s="439">
        <f>'Resultate Standard'!$AA8</f>
        <v>5.9583333333333348</v>
      </c>
      <c r="AF9" s="439">
        <f>'Resultate Standard'!$AF8</f>
        <v>1.0633333333333335</v>
      </c>
      <c r="AG9" s="439">
        <f>'Resultate Standard'!$AP8</f>
        <v>21.769929411764707</v>
      </c>
      <c r="AH9" s="439">
        <f>'Resultate Standard'!$AX8</f>
        <v>15.500120588235296</v>
      </c>
      <c r="AI9" s="433"/>
      <c r="AJ9" s="439">
        <f>'Resultate Zielwert'!$O8</f>
        <v>6</v>
      </c>
      <c r="AK9" s="1098">
        <f>'Resultate Zielwert'!$P8</f>
        <v>0</v>
      </c>
      <c r="AL9" s="439">
        <f>'Resultate Zielwert'!$AA8</f>
        <v>3.8194444444444442</v>
      </c>
      <c r="AM9" s="439">
        <f>'Resultate Zielwert'!$AF8</f>
        <v>0.65733333333333344</v>
      </c>
      <c r="AN9" s="439">
        <f>'Resultate Zielwert'!$AP8</f>
        <v>14.746732330039215</v>
      </c>
      <c r="AO9" s="439">
        <f>'Resultate Zielwert'!$AX8</f>
        <v>11.59279411764706</v>
      </c>
      <c r="AP9" s="433"/>
      <c r="AQ9" s="439">
        <f>'Resultate Bestand'!$O8</f>
        <v>18</v>
      </c>
      <c r="AR9" s="1098">
        <f>'Resultate Bestand'!$T8</f>
        <v>0</v>
      </c>
      <c r="AS9" s="439">
        <f>'Resultate Bestand'!$AA8</f>
        <v>7.6607142857142874</v>
      </c>
      <c r="AT9" s="439">
        <f>'Resultate Bestand'!$AF8</f>
        <v>1.7593333333333334</v>
      </c>
      <c r="AU9" s="439">
        <f>'Resultate Bestand'!$AP8</f>
        <v>0</v>
      </c>
      <c r="AV9" s="439">
        <f>'Resultate Bestand'!$AX8</f>
        <v>48.78964705882354</v>
      </c>
    </row>
    <row r="10" spans="1:48">
      <c r="A10" s="1562">
        <f>Eingabedaten!A12</f>
        <v>2.02</v>
      </c>
      <c r="B10" s="435" t="str">
        <f>Eingabedaten!C12</f>
        <v>Empfang, Lobby</v>
      </c>
      <c r="C10" s="456">
        <f>'Resultate Standard'!$S9</f>
        <v>20.93</v>
      </c>
      <c r="D10" s="1097">
        <f>'Resultate Standard'!$T9</f>
        <v>0</v>
      </c>
      <c r="E10" s="457">
        <f>'Resultate Standard'!$AC9</f>
        <v>21.054027777777776</v>
      </c>
      <c r="F10" s="456">
        <f>'Resultate Standard'!$AH9</f>
        <v>13.8446</v>
      </c>
      <c r="G10" s="456">
        <f>'Resultate Standard'!$AS9</f>
        <v>20.63311217112328</v>
      </c>
      <c r="H10" s="456">
        <f>'Resultate Standard'!$BA9</f>
        <v>9.9544986308410159</v>
      </c>
      <c r="I10" s="456">
        <f>'Resultate Standard'!$BD9</f>
        <v>0</v>
      </c>
      <c r="J10" s="367"/>
      <c r="K10" s="456">
        <f>'Resultate Zielwert'!$S9</f>
        <v>8.9700000000000006</v>
      </c>
      <c r="L10" s="1097">
        <f>'Resultate Zielwert'!$T9</f>
        <v>0</v>
      </c>
      <c r="M10" s="457">
        <f>'Resultate Zielwert'!$AC9</f>
        <v>10.396367521367521</v>
      </c>
      <c r="N10" s="456">
        <f>'Resultate Zielwert'!$AH9</f>
        <v>7.2766800000000007</v>
      </c>
      <c r="O10" s="456">
        <f>'Resultate Zielwert'!$AS9</f>
        <v>16.739145452144246</v>
      </c>
      <c r="P10" s="456">
        <f>'Resultate Zielwert'!$BA9</f>
        <v>4.2585957132921832</v>
      </c>
      <c r="Q10" s="456">
        <f>'Resultate Zielwert'!$BD9</f>
        <v>0</v>
      </c>
      <c r="R10" s="367"/>
      <c r="S10" s="456">
        <f>'Resultate Bestand'!$S9</f>
        <v>44.85</v>
      </c>
      <c r="T10" s="1097">
        <f>'Resultate Bestand'!$T9</f>
        <v>0</v>
      </c>
      <c r="U10" s="457">
        <f>'Resultate Bestand'!$AC9</f>
        <v>27.069464285714282</v>
      </c>
      <c r="V10" s="456">
        <f>'Resultate Bestand'!$AH9</f>
        <v>22.906519999999997</v>
      </c>
      <c r="W10" s="456">
        <f>'Resultate Bestand'!$AS9</f>
        <v>8.8984902707223377</v>
      </c>
      <c r="X10" s="456">
        <f>'Resultate Bestand'!$BA9</f>
        <v>59.359122937777826</v>
      </c>
      <c r="Y10" s="456">
        <f>'Resultate Bestand'!$BD9</f>
        <v>0</v>
      </c>
      <c r="AA10" s="438">
        <f t="shared" si="0"/>
        <v>2.02</v>
      </c>
      <c r="AB10" s="435" t="str">
        <f t="shared" si="1"/>
        <v>Empfang, Lobby</v>
      </c>
      <c r="AC10" s="439">
        <f>'Resultate Standard'!$O9</f>
        <v>7</v>
      </c>
      <c r="AD10" s="1098">
        <f>'Resultate Standard'!$P9</f>
        <v>0</v>
      </c>
      <c r="AE10" s="439">
        <f>'Resultate Standard'!$AA9</f>
        <v>5.1388888888888884</v>
      </c>
      <c r="AF10" s="439">
        <f>'Resultate Standard'!$AF9</f>
        <v>3.19</v>
      </c>
      <c r="AG10" s="439">
        <f>'Resultate Standard'!$AP9</f>
        <v>41.711546771241842</v>
      </c>
      <c r="AH10" s="439">
        <f>'Resultate Standard'!$AX9</f>
        <v>14.852167320261438</v>
      </c>
      <c r="AI10" s="433"/>
      <c r="AJ10" s="439">
        <f>'Resultate Zielwert'!$O9</f>
        <v>3</v>
      </c>
      <c r="AK10" s="1098">
        <f>'Resultate Zielwert'!$P9</f>
        <v>0</v>
      </c>
      <c r="AL10" s="439">
        <f>'Resultate Zielwert'!$AA9</f>
        <v>3.2941595441595437</v>
      </c>
      <c r="AM10" s="439">
        <f>'Resultate Zielwert'!$AF9</f>
        <v>1.972</v>
      </c>
      <c r="AN10" s="439">
        <f>'Resultate Zielwert'!$AP9</f>
        <v>32.945477228758172</v>
      </c>
      <c r="AO10" s="439">
        <f>'Resultate Zielwert'!$AX9</f>
        <v>11.84407843137255</v>
      </c>
      <c r="AP10" s="433"/>
      <c r="AQ10" s="439">
        <f>'Resultate Bestand'!$O9</f>
        <v>15</v>
      </c>
      <c r="AR10" s="1098">
        <f>'Resultate Bestand'!$T9</f>
        <v>0</v>
      </c>
      <c r="AS10" s="439">
        <f>'Resultate Bestand'!$AA9</f>
        <v>6.6071428571428568</v>
      </c>
      <c r="AT10" s="439">
        <f>'Resultate Bestand'!$AF9</f>
        <v>5.2779999999999996</v>
      </c>
      <c r="AU10" s="439">
        <f>'Resultate Bestand'!$AP9</f>
        <v>60.058373856209151</v>
      </c>
      <c r="AV10" s="439">
        <f>'Resultate Bestand'!$AX9</f>
        <v>39.164554248366009</v>
      </c>
    </row>
    <row r="11" spans="1:48">
      <c r="A11" s="1562">
        <f>Eingabedaten!A13</f>
        <v>3.01</v>
      </c>
      <c r="B11" s="435" t="str">
        <f>Eingabedaten!C13</f>
        <v>Einzel-, Gruppenbüro</v>
      </c>
      <c r="C11" s="456">
        <f>'Resultate Standard'!$S10</f>
        <v>32.01</v>
      </c>
      <c r="D11" s="1097">
        <f>'Resultate Standard'!$T10</f>
        <v>0</v>
      </c>
      <c r="E11" s="457">
        <f>'Resultate Standard'!$AC10</f>
        <v>13.445833333333333</v>
      </c>
      <c r="F11" s="456">
        <f>'Resultate Standard'!$AH10</f>
        <v>4.4432142857142862</v>
      </c>
      <c r="G11" s="456">
        <f>'Resultate Standard'!$AS10</f>
        <v>14.430134539350295</v>
      </c>
      <c r="H11" s="456">
        <f>'Resultate Standard'!$BA10</f>
        <v>10.76159676840914</v>
      </c>
      <c r="I11" s="456">
        <f>'Resultate Standard'!$BD10</f>
        <v>2.5950857142857147</v>
      </c>
      <c r="J11" s="367"/>
      <c r="K11" s="456">
        <f>'Resultate Zielwert'!$S10</f>
        <v>17.46</v>
      </c>
      <c r="L11" s="1097">
        <f>'Resultate Zielwert'!$T10</f>
        <v>0</v>
      </c>
      <c r="M11" s="457">
        <f>'Resultate Zielwert'!$AC10</f>
        <v>1.6639957264957266</v>
      </c>
      <c r="N11" s="456">
        <f>'Resultate Zielwert'!$AH10</f>
        <v>1.9297428571428574</v>
      </c>
      <c r="O11" s="456">
        <f>'Resultate Zielwert'!$AS10</f>
        <v>5.2320633783383244</v>
      </c>
      <c r="P11" s="456">
        <f>'Resultate Zielwert'!$BA10</f>
        <v>9.8054468506331105</v>
      </c>
      <c r="Q11" s="456">
        <f>'Resultate Zielwert'!$BD10</f>
        <v>2.5950857142857147</v>
      </c>
      <c r="R11" s="367"/>
      <c r="S11" s="456">
        <f>'Resultate Bestand'!$S10</f>
        <v>52.38</v>
      </c>
      <c r="T11" s="1097">
        <f>'Resultate Bestand'!$T10</f>
        <v>0</v>
      </c>
      <c r="U11" s="457">
        <f>'Resultate Bestand'!$AC10</f>
        <v>17.287500000000005</v>
      </c>
      <c r="V11" s="456">
        <f>'Resultate Bestand'!$AH10</f>
        <v>7.3515000000000006</v>
      </c>
      <c r="W11" s="456">
        <f>'Resultate Bestand'!$AS10</f>
        <v>4.5630273875502505</v>
      </c>
      <c r="X11" s="456">
        <f>'Resultate Bestand'!$BA10</f>
        <v>67.095197137449262</v>
      </c>
      <c r="Y11" s="456">
        <f>'Resultate Bestand'!$BD10</f>
        <v>2.5950857142857147</v>
      </c>
      <c r="AA11" s="438">
        <f t="shared" si="0"/>
        <v>3.01</v>
      </c>
      <c r="AB11" s="435" t="str">
        <f t="shared" si="1"/>
        <v>Einzel-, Gruppenbüro</v>
      </c>
      <c r="AC11" s="439">
        <f>'Resultate Standard'!$O10</f>
        <v>11</v>
      </c>
      <c r="AD11" s="1098">
        <f>'Resultate Standard'!$P10</f>
        <v>0</v>
      </c>
      <c r="AE11" s="439">
        <f>'Resultate Standard'!$AA10</f>
        <v>9.7222222222222232</v>
      </c>
      <c r="AF11" s="439">
        <f>'Resultate Standard'!$AF10</f>
        <v>1.1392857142857145</v>
      </c>
      <c r="AG11" s="439">
        <f>'Resultate Standard'!$AP10</f>
        <v>43.656469243697479</v>
      </c>
      <c r="AH11" s="439">
        <f>'Resultate Standard'!$AX10</f>
        <v>19.82335098039216</v>
      </c>
      <c r="AI11" s="433"/>
      <c r="AJ11" s="439">
        <f>'Resultate Zielwert'!$O10</f>
        <v>6</v>
      </c>
      <c r="AK11" s="1098">
        <f>'Resultate Zielwert'!$P10</f>
        <v>0</v>
      </c>
      <c r="AL11" s="439">
        <f>'Resultate Zielwert'!$AA10</f>
        <v>6.232193732193732</v>
      </c>
      <c r="AM11" s="439">
        <f>'Resultate Zielwert'!$AF10</f>
        <v>0.7042857142857144</v>
      </c>
      <c r="AN11" s="439">
        <f>'Resultate Zielwert'!$AP10</f>
        <v>31.311380168067227</v>
      </c>
      <c r="AO11" s="439">
        <f>'Resultate Zielwert'!$AX10</f>
        <v>15.144684313725492</v>
      </c>
      <c r="AP11" s="433"/>
      <c r="AQ11" s="439">
        <f>'Resultate Bestand'!$O10</f>
        <v>18</v>
      </c>
      <c r="AR11" s="1098">
        <f>'Resultate Bestand'!$T10</f>
        <v>0</v>
      </c>
      <c r="AS11" s="439">
        <f>'Resultate Bestand'!$AA10</f>
        <v>12.500000000000002</v>
      </c>
      <c r="AT11" s="439">
        <f>'Resultate Bestand'!$AF10</f>
        <v>1.8850000000000002</v>
      </c>
      <c r="AU11" s="439">
        <f>'Resultate Bestand'!$AP10</f>
        <v>65.611632492997202</v>
      </c>
      <c r="AV11" s="439">
        <f>'Resultate Bestand'!$AX10</f>
        <v>50.167131372549022</v>
      </c>
    </row>
    <row r="12" spans="1:48">
      <c r="A12" s="1562">
        <f>Eingabedaten!A14</f>
        <v>3.02</v>
      </c>
      <c r="B12" s="435" t="str">
        <f>Eingabedaten!C14</f>
        <v>Grossraumbüro</v>
      </c>
      <c r="C12" s="456">
        <f>'Resultate Standard'!$S11</f>
        <v>43.65</v>
      </c>
      <c r="D12" s="1097">
        <f>'Resultate Standard'!$T11</f>
        <v>0</v>
      </c>
      <c r="E12" s="457">
        <f>'Resultate Standard'!$AC11</f>
        <v>14.750694444444441</v>
      </c>
      <c r="F12" s="456">
        <f>'Resultate Standard'!$AH11</f>
        <v>6.2205000000000004</v>
      </c>
      <c r="G12" s="456">
        <f>'Resultate Standard'!$AS11</f>
        <v>22.522730030268949</v>
      </c>
      <c r="H12" s="456">
        <f>'Resultate Standard'!$BA11</f>
        <v>1.8931654459333342</v>
      </c>
      <c r="I12" s="456">
        <f>'Resultate Standard'!$BD11</f>
        <v>3.6331200000000008</v>
      </c>
      <c r="J12" s="367"/>
      <c r="K12" s="456">
        <f>'Resultate Zielwert'!$S11</f>
        <v>29.1</v>
      </c>
      <c r="L12" s="1097">
        <f>'Resultate Zielwert'!$T11</f>
        <v>0</v>
      </c>
      <c r="M12" s="457">
        <f>'Resultate Zielwert'!$AC11</f>
        <v>3.8928952991452981</v>
      </c>
      <c r="N12" s="456">
        <f>'Resultate Zielwert'!$AH11</f>
        <v>2.7016399999999998</v>
      </c>
      <c r="O12" s="456">
        <f>'Resultate Zielwert'!$AS11</f>
        <v>12.273826949554088</v>
      </c>
      <c r="P12" s="456">
        <f>'Resultate Zielwert'!$BA11</f>
        <v>1.9991640367702697</v>
      </c>
      <c r="Q12" s="456">
        <f>'Resultate Zielwert'!$BD11</f>
        <v>3.6331200000000008</v>
      </c>
      <c r="R12" s="367"/>
      <c r="S12" s="456">
        <f>'Resultate Bestand'!$S11</f>
        <v>58.2</v>
      </c>
      <c r="T12" s="1097">
        <f>'Resultate Bestand'!$T11</f>
        <v>0</v>
      </c>
      <c r="U12" s="457">
        <f>'Resultate Bestand'!$AC11</f>
        <v>18.96517857142857</v>
      </c>
      <c r="V12" s="456">
        <f>'Resultate Bestand'!$AH11</f>
        <v>10.292099999999998</v>
      </c>
      <c r="W12" s="456">
        <f>'Resultate Bestand'!$AS11</f>
        <v>6.1460743125130044</v>
      </c>
      <c r="X12" s="456">
        <f>'Resultate Bestand'!$BA11</f>
        <v>48.529661339641557</v>
      </c>
      <c r="Y12" s="456">
        <f>'Resultate Bestand'!$BD11</f>
        <v>3.6331200000000008</v>
      </c>
      <c r="AA12" s="438">
        <f t="shared" si="0"/>
        <v>3.02</v>
      </c>
      <c r="AB12" s="435" t="str">
        <f t="shared" si="1"/>
        <v>Grossraumbüro</v>
      </c>
      <c r="AC12" s="439">
        <f>'Resultate Standard'!$O11</f>
        <v>15</v>
      </c>
      <c r="AD12" s="1098">
        <f>'Resultate Standard'!$P11</f>
        <v>0</v>
      </c>
      <c r="AE12" s="439">
        <f>'Resultate Standard'!$AA11</f>
        <v>7.6388888888888875</v>
      </c>
      <c r="AF12" s="439">
        <f>'Resultate Standard'!$AF11</f>
        <v>1.595</v>
      </c>
      <c r="AG12" s="439">
        <f>'Resultate Standard'!$AP11</f>
        <v>38.024635764705877</v>
      </c>
      <c r="AH12" s="439">
        <f>'Resultate Standard'!$AX11</f>
        <v>12.556125490196077</v>
      </c>
      <c r="AI12" s="433"/>
      <c r="AJ12" s="439">
        <f>'Resultate Zielwert'!$O11</f>
        <v>10</v>
      </c>
      <c r="AK12" s="1098">
        <f>'Resultate Zielwert'!$P11</f>
        <v>0</v>
      </c>
      <c r="AL12" s="439">
        <f>'Resultate Zielwert'!$AA11</f>
        <v>4.8967236467236459</v>
      </c>
      <c r="AM12" s="439">
        <f>'Resultate Zielwert'!$AF11</f>
        <v>0.98599999999999999</v>
      </c>
      <c r="AN12" s="439">
        <f>'Resultate Zielwert'!$AP11</f>
        <v>29.068722823529409</v>
      </c>
      <c r="AO12" s="439">
        <f>'Resultate Zielwert'!$AX11</f>
        <v>9.8051176470588253</v>
      </c>
      <c r="AP12" s="433"/>
      <c r="AQ12" s="439">
        <f>'Resultate Bestand'!$O11</f>
        <v>20</v>
      </c>
      <c r="AR12" s="1098">
        <f>'Resultate Bestand'!$T11</f>
        <v>0</v>
      </c>
      <c r="AS12" s="439">
        <f>'Resultate Bestand'!$AA11</f>
        <v>9.8214285714285712</v>
      </c>
      <c r="AT12" s="439">
        <f>'Resultate Bestand'!$AF11</f>
        <v>2.6389999999999998</v>
      </c>
      <c r="AU12" s="439">
        <f>'Resultate Bestand'!$AP11</f>
        <v>52.367529411764707</v>
      </c>
      <c r="AV12" s="439">
        <f>'Resultate Bestand'!$AX11</f>
        <v>37.292386274509802</v>
      </c>
    </row>
    <row r="13" spans="1:48">
      <c r="A13" s="1562">
        <f>Eingabedaten!A15</f>
        <v>3.03</v>
      </c>
      <c r="B13" s="435" t="str">
        <f>Eingabedaten!C15</f>
        <v>Sitzungszimmer</v>
      </c>
      <c r="C13" s="456">
        <f>'Resultate Standard'!$S12</f>
        <v>11.28</v>
      </c>
      <c r="D13" s="1097">
        <f>'Resultate Standard'!$T12</f>
        <v>0</v>
      </c>
      <c r="E13" s="457">
        <f>'Resultate Standard'!$AC12</f>
        <v>7.3402777777777777</v>
      </c>
      <c r="F13" s="456">
        <f>'Resultate Standard'!$AH12</f>
        <v>5.7951666666666659</v>
      </c>
      <c r="G13" s="456">
        <f>'Resultate Standard'!$AS12</f>
        <v>7.6126663130843584</v>
      </c>
      <c r="H13" s="456">
        <f>'Resultate Standard'!$BA12</f>
        <v>18.41339519815179</v>
      </c>
      <c r="I13" s="456">
        <f>'Resultate Standard'!$BD12</f>
        <v>0</v>
      </c>
      <c r="J13" s="367"/>
      <c r="K13" s="456">
        <f>'Resultate Zielwert'!$S12</f>
        <v>5.64</v>
      </c>
      <c r="L13" s="1097">
        <f>'Resultate Zielwert'!$T12</f>
        <v>0</v>
      </c>
      <c r="M13" s="457">
        <f>'Resultate Zielwert'!$AC12</f>
        <v>0.90990028490028496</v>
      </c>
      <c r="N13" s="456">
        <f>'Resultate Zielwert'!$AH12</f>
        <v>3.5824666666666669</v>
      </c>
      <c r="O13" s="456">
        <f>'Resultate Zielwert'!$AS12</f>
        <v>4.6175137741005718</v>
      </c>
      <c r="P13" s="456">
        <f>'Resultate Zielwert'!$BA12</f>
        <v>12.760188792503513</v>
      </c>
      <c r="Q13" s="456">
        <f>'Resultate Zielwert'!$BD12</f>
        <v>0</v>
      </c>
      <c r="R13" s="367"/>
      <c r="S13" s="456">
        <f>'Resultate Bestand'!$S12</f>
        <v>16.920000000000002</v>
      </c>
      <c r="T13" s="1097">
        <f>'Resultate Bestand'!$T12</f>
        <v>0</v>
      </c>
      <c r="U13" s="457">
        <f>'Resultate Bestand'!$AC12</f>
        <v>9.4375000000000018</v>
      </c>
      <c r="V13" s="456">
        <f>'Resultate Bestand'!$AH12</f>
        <v>15.834</v>
      </c>
      <c r="W13" s="456">
        <f>'Resultate Bestand'!$AS12</f>
        <v>0</v>
      </c>
      <c r="X13" s="456">
        <f>'Resultate Bestand'!$BA12</f>
        <v>102.87718047633325</v>
      </c>
      <c r="Y13" s="456">
        <f>'Resultate Bestand'!$BD12</f>
        <v>0</v>
      </c>
      <c r="AA13" s="438">
        <f t="shared" si="0"/>
        <v>3.03</v>
      </c>
      <c r="AB13" s="435" t="str">
        <f t="shared" si="1"/>
        <v>Sitzungszimmer</v>
      </c>
      <c r="AC13" s="439">
        <f>'Resultate Standard'!$O12</f>
        <v>8</v>
      </c>
      <c r="AD13" s="1098">
        <f>'Resultate Standard'!$P12</f>
        <v>0</v>
      </c>
      <c r="AE13" s="439">
        <f>'Resultate Standard'!$AA12</f>
        <v>9.7222222222222232</v>
      </c>
      <c r="AF13" s="439">
        <f>'Resultate Standard'!$AF12</f>
        <v>5.3166666666666664</v>
      </c>
      <c r="AG13" s="439">
        <f>'Resultate Standard'!$AP12</f>
        <v>69.821311372549019</v>
      </c>
      <c r="AH13" s="439">
        <f>'Resultate Standard'!$AX12</f>
        <v>19.82335098039216</v>
      </c>
      <c r="AI13" s="433"/>
      <c r="AJ13" s="439">
        <f>'Resultate Zielwert'!$O12</f>
        <v>4</v>
      </c>
      <c r="AK13" s="1098">
        <f>'Resultate Zielwert'!$P12</f>
        <v>0</v>
      </c>
      <c r="AL13" s="439">
        <f>'Resultate Zielwert'!$AA12</f>
        <v>6.232193732193732</v>
      </c>
      <c r="AM13" s="439">
        <f>'Resultate Zielwert'!$AF12</f>
        <v>3.2866666666666666</v>
      </c>
      <c r="AN13" s="439">
        <f>'Resultate Zielwert'!$AP12</f>
        <v>56.843444705882348</v>
      </c>
      <c r="AO13" s="439">
        <f>'Resultate Zielwert'!$AX12</f>
        <v>15.144684313725492</v>
      </c>
      <c r="AP13" s="433"/>
      <c r="AQ13" s="439">
        <f>'Resultate Bestand'!$O12</f>
        <v>12</v>
      </c>
      <c r="AR13" s="1098">
        <f>'Resultate Bestand'!$T12</f>
        <v>0</v>
      </c>
      <c r="AS13" s="439">
        <f>'Resultate Bestand'!$AA12</f>
        <v>12.500000000000002</v>
      </c>
      <c r="AT13" s="439">
        <f>'Resultate Bestand'!$AF12</f>
        <v>8.7966666666666669</v>
      </c>
      <c r="AU13" s="439">
        <f>'Resultate Bestand'!$AP12</f>
        <v>0</v>
      </c>
      <c r="AV13" s="439">
        <f>'Resultate Bestand'!$AX12</f>
        <v>50.167131372549022</v>
      </c>
    </row>
    <row r="14" spans="1:48">
      <c r="A14" s="1562">
        <f>Eingabedaten!A16</f>
        <v>3.04</v>
      </c>
      <c r="B14" s="435" t="str">
        <f>Eingabedaten!C16</f>
        <v>Schalterhalle, Empfang</v>
      </c>
      <c r="C14" s="456">
        <f>'Resultate Standard'!$S13</f>
        <v>11.64</v>
      </c>
      <c r="D14" s="1097">
        <f>'Resultate Standard'!$T13</f>
        <v>0</v>
      </c>
      <c r="E14" s="457">
        <f>'Resultate Standard'!$AC13</f>
        <v>8.1203055555555554</v>
      </c>
      <c r="F14" s="456">
        <f>'Resultate Standard'!$AH13</f>
        <v>5.1837499999999999</v>
      </c>
      <c r="G14" s="456">
        <f>'Resultate Standard'!$AS13</f>
        <v>5.4342964331961694</v>
      </c>
      <c r="H14" s="456">
        <f>'Resultate Standard'!$BA13</f>
        <v>12.089743328874869</v>
      </c>
      <c r="I14" s="456">
        <f>'Resultate Standard'!$BD13</f>
        <v>0</v>
      </c>
      <c r="J14" s="367"/>
      <c r="K14" s="456">
        <f>'Resultate Zielwert'!$S13</f>
        <v>5.82</v>
      </c>
      <c r="L14" s="1097">
        <f>'Resultate Zielwert'!$T13</f>
        <v>0</v>
      </c>
      <c r="M14" s="457">
        <f>'Resultate Zielwert'!$AC13</f>
        <v>2.4804131054131053</v>
      </c>
      <c r="N14" s="456">
        <f>'Resultate Zielwert'!$AH13</f>
        <v>2.2513666666666667</v>
      </c>
      <c r="O14" s="456">
        <f>'Resultate Zielwert'!$AS13</f>
        <v>2.7727382550737736</v>
      </c>
      <c r="P14" s="456">
        <f>'Resultate Zielwert'!$BA13</f>
        <v>8.833679631660992</v>
      </c>
      <c r="Q14" s="456">
        <f>'Resultate Zielwert'!$BD13</f>
        <v>0</v>
      </c>
      <c r="R14" s="367"/>
      <c r="S14" s="456">
        <f>'Resultate Bestand'!$S13</f>
        <v>29.1</v>
      </c>
      <c r="T14" s="1097">
        <f>'Resultate Bestand'!$T13</f>
        <v>0</v>
      </c>
      <c r="U14" s="457">
        <f>'Resultate Bestand'!$AC13</f>
        <v>10.440392857142859</v>
      </c>
      <c r="V14" s="456">
        <f>'Resultate Bestand'!$AH13</f>
        <v>8.5767500000000005</v>
      </c>
      <c r="W14" s="456">
        <f>'Resultate Bestand'!$AS13</f>
        <v>2.0918257083511249</v>
      </c>
      <c r="X14" s="456">
        <f>'Resultate Bestand'!$BA13</f>
        <v>52.281197868793484</v>
      </c>
      <c r="Y14" s="456">
        <f>'Resultate Bestand'!$BD13</f>
        <v>0</v>
      </c>
      <c r="AA14" s="438">
        <f t="shared" si="0"/>
        <v>3.04</v>
      </c>
      <c r="AB14" s="435" t="str">
        <f t="shared" si="1"/>
        <v>Schalterhalle, Empfang</v>
      </c>
      <c r="AC14" s="439">
        <f>'Resultate Standard'!$O13</f>
        <v>4</v>
      </c>
      <c r="AD14" s="1098">
        <f>'Resultate Standard'!$P13</f>
        <v>0</v>
      </c>
      <c r="AE14" s="439">
        <f>'Resultate Standard'!$AA13</f>
        <v>5.5277777777777786</v>
      </c>
      <c r="AF14" s="439">
        <f>'Resultate Standard'!$AF13</f>
        <v>1.3291666666666666</v>
      </c>
      <c r="AG14" s="439">
        <f>'Resultate Standard'!$AP13</f>
        <v>29.388740915032681</v>
      </c>
      <c r="AH14" s="439">
        <f>'Resultate Standard'!$AX13</f>
        <v>14.338807843137255</v>
      </c>
      <c r="AI14" s="433"/>
      <c r="AJ14" s="439">
        <f>'Resultate Zielwert'!$O13</f>
        <v>2</v>
      </c>
      <c r="AK14" s="1098">
        <f>'Resultate Zielwert'!$P13</f>
        <v>0</v>
      </c>
      <c r="AL14" s="439">
        <f>'Resultate Zielwert'!$AA13</f>
        <v>3.5434472934472931</v>
      </c>
      <c r="AM14" s="439">
        <f>'Resultate Zielwert'!$AF13</f>
        <v>0.82166666666666666</v>
      </c>
      <c r="AN14" s="439">
        <f>'Resultate Zielwert'!$AP13</f>
        <v>22.354390588235297</v>
      </c>
      <c r="AO14" s="439">
        <f>'Resultate Zielwert'!$AX13</f>
        <v>11.428496732026145</v>
      </c>
      <c r="AP14" s="433"/>
      <c r="AQ14" s="439">
        <f>'Resultate Bestand'!$O13</f>
        <v>10</v>
      </c>
      <c r="AR14" s="1098">
        <f>'Resultate Bestand'!$T13</f>
        <v>0</v>
      </c>
      <c r="AS14" s="439">
        <f>'Resultate Bestand'!$AA13</f>
        <v>7.1071428571428577</v>
      </c>
      <c r="AT14" s="439">
        <f>'Resultate Bestand'!$AF13</f>
        <v>2.1991666666666667</v>
      </c>
      <c r="AU14" s="439">
        <f>'Resultate Bestand'!$AP13</f>
        <v>45.707602614379084</v>
      </c>
      <c r="AV14" s="439">
        <f>'Resultate Bestand'!$AX13</f>
        <v>37.889050980392156</v>
      </c>
    </row>
    <row r="15" spans="1:48">
      <c r="A15" s="1562">
        <f>Eingabedaten!A17</f>
        <v>4.01</v>
      </c>
      <c r="B15" s="435" t="str">
        <f>Eingabedaten!C17</f>
        <v>Schulzimmer</v>
      </c>
      <c r="C15" s="456">
        <f>'Resultate Standard'!$S14</f>
        <v>14.16</v>
      </c>
      <c r="D15" s="1097">
        <f>'Resultate Standard'!$T14</f>
        <v>0</v>
      </c>
      <c r="E15" s="457">
        <f>'Resultate Standard'!$AC14</f>
        <v>11.254563492063493</v>
      </c>
      <c r="F15" s="456">
        <f>'Resultate Standard'!$AH14</f>
        <v>4.2397999999999998</v>
      </c>
      <c r="G15" s="456">
        <f>'Resultate Standard'!$AS14</f>
        <v>10.331204735219744</v>
      </c>
      <c r="H15" s="456">
        <f>'Resultate Standard'!$BA14</f>
        <v>15.912593796418303</v>
      </c>
      <c r="I15" s="456">
        <f>'Resultate Standard'!$BD14</f>
        <v>3.9675039041095888</v>
      </c>
      <c r="J15" s="367"/>
      <c r="K15" s="456">
        <f>'Resultate Zielwert'!$S14</f>
        <v>7.08</v>
      </c>
      <c r="L15" s="1097">
        <f>'Resultate Zielwert'!$T14</f>
        <v>0</v>
      </c>
      <c r="M15" s="457">
        <f>'Resultate Zielwert'!$AC14</f>
        <v>1.8228912291412294</v>
      </c>
      <c r="N15" s="456">
        <f>'Resultate Zielwert'!$AH14</f>
        <v>2.7808100000000002</v>
      </c>
      <c r="O15" s="456">
        <f>'Resultate Zielwert'!$AS14</f>
        <v>5.8918493130591285</v>
      </c>
      <c r="P15" s="456">
        <f>'Resultate Zielwert'!$BA14</f>
        <v>11.376908438645764</v>
      </c>
      <c r="Q15" s="456">
        <f>'Resultate Zielwert'!$BD14</f>
        <v>3.9675039041095888</v>
      </c>
      <c r="R15" s="367"/>
      <c r="S15" s="456">
        <f>'Resultate Bestand'!$S14</f>
        <v>21.24</v>
      </c>
      <c r="T15" s="1097">
        <f>'Resultate Bestand'!$T14</f>
        <v>0</v>
      </c>
      <c r="U15" s="457">
        <f>'Resultate Bestand'!$AC14</f>
        <v>14.47015306122449</v>
      </c>
      <c r="V15" s="456">
        <f>'Resultate Bestand'!$AH14</f>
        <v>0</v>
      </c>
      <c r="W15" s="456">
        <f>'Resultate Bestand'!$AS14</f>
        <v>0</v>
      </c>
      <c r="X15" s="456">
        <f>'Resultate Bestand'!$BA14</f>
        <v>126.38845093337406</v>
      </c>
      <c r="Y15" s="456">
        <f>'Resultate Bestand'!$BD14</f>
        <v>3.9675039041095888</v>
      </c>
      <c r="AA15" s="438">
        <f t="shared" si="0"/>
        <v>4.01</v>
      </c>
      <c r="AB15" s="435" t="str">
        <f t="shared" si="1"/>
        <v>Schulzimmer</v>
      </c>
      <c r="AC15" s="439">
        <f>'Resultate Standard'!$O14</f>
        <v>8</v>
      </c>
      <c r="AD15" s="1098">
        <f>'Resultate Standard'!$P14</f>
        <v>0</v>
      </c>
      <c r="AE15" s="439">
        <f>'Resultate Standard'!$AA14</f>
        <v>8.5912698412698418</v>
      </c>
      <c r="AF15" s="439">
        <f>'Resultate Standard'!$AF14</f>
        <v>2.4650000000000003</v>
      </c>
      <c r="AG15" s="439">
        <f>'Resultate Standard'!$AP14</f>
        <v>54.796008739495797</v>
      </c>
      <c r="AH15" s="439">
        <f>'Resultate Standard'!$AX14</f>
        <v>19.377043697478996</v>
      </c>
      <c r="AI15" s="433"/>
      <c r="AJ15" s="439">
        <f>'Resultate Zielwert'!$O14</f>
        <v>4</v>
      </c>
      <c r="AK15" s="1098">
        <f>'Resultate Zielwert'!$P14</f>
        <v>0</v>
      </c>
      <c r="AL15" s="439">
        <f>'Resultate Zielwert'!$AA14</f>
        <v>5.5072242572242578</v>
      </c>
      <c r="AM15" s="439">
        <f>'Resultate Zielwert'!$AF14</f>
        <v>1.6167500000000001</v>
      </c>
      <c r="AN15" s="439">
        <f>'Resultate Zielwert'!$AP14</f>
        <v>43.880469243697476</v>
      </c>
      <c r="AO15" s="439">
        <f>'Resultate Zielwert'!$AX14</f>
        <v>14.499828571428573</v>
      </c>
      <c r="AP15" s="433"/>
      <c r="AQ15" s="439">
        <f>'Resultate Bestand'!$O14</f>
        <v>12</v>
      </c>
      <c r="AR15" s="1098">
        <f>'Resultate Bestand'!$T14</f>
        <v>0</v>
      </c>
      <c r="AS15" s="439">
        <f>'Resultate Bestand'!$AA14</f>
        <v>11.045918367346939</v>
      </c>
      <c r="AT15" s="439">
        <f>'Resultate Bestand'!$AF14</f>
        <v>0</v>
      </c>
      <c r="AU15" s="439">
        <f>'Resultate Bestand'!$AP14</f>
        <v>0</v>
      </c>
      <c r="AV15" s="439">
        <f>'Resultate Bestand'!$AX14</f>
        <v>60.188134453781529</v>
      </c>
    </row>
    <row r="16" spans="1:48">
      <c r="A16" s="1562">
        <f>Eingabedaten!A18</f>
        <v>4.0199999999999996</v>
      </c>
      <c r="B16" s="435" t="str">
        <f>Eingabedaten!C18</f>
        <v>Lehrerzimmer</v>
      </c>
      <c r="C16" s="456">
        <f>'Resultate Standard'!$S15</f>
        <v>6.04</v>
      </c>
      <c r="D16" s="1097">
        <f>'Resultate Standard'!$T15</f>
        <v>0</v>
      </c>
      <c r="E16" s="457">
        <f>'Resultate Standard'!$AC15</f>
        <v>6.7433333333333341</v>
      </c>
      <c r="F16" s="456">
        <f>'Resultate Standard'!$AH15</f>
        <v>2.9580000000000006</v>
      </c>
      <c r="G16" s="456">
        <f>'Resultate Standard'!$AS15</f>
        <v>4.5705353286407115</v>
      </c>
      <c r="H16" s="456">
        <f>'Resultate Standard'!$BA15</f>
        <v>27.008858712198027</v>
      </c>
      <c r="I16" s="456">
        <f>'Resultate Standard'!$BD15</f>
        <v>0</v>
      </c>
      <c r="J16" s="367"/>
      <c r="K16" s="456">
        <f>'Resultate Zielwert'!$S15</f>
        <v>3.02</v>
      </c>
      <c r="L16" s="1097">
        <f>'Resultate Zielwert'!$T15</f>
        <v>0</v>
      </c>
      <c r="M16" s="457">
        <f>'Resultate Zielwert'!$AC15</f>
        <v>0.68055555555555558</v>
      </c>
      <c r="N16" s="456">
        <f>'Resultate Zielwert'!$AH15</f>
        <v>1.9401000000000002</v>
      </c>
      <c r="O16" s="456">
        <f>'Resultate Zielwert'!$AS15</f>
        <v>3.0089743575012369</v>
      </c>
      <c r="P16" s="456">
        <f>'Resultate Zielwert'!$BA15</f>
        <v>17.354539749863328</v>
      </c>
      <c r="Q16" s="456">
        <f>'Resultate Zielwert'!$BD15</f>
        <v>0</v>
      </c>
      <c r="R16" s="367"/>
      <c r="S16" s="456">
        <f>'Resultate Bestand'!$S15</f>
        <v>9.06</v>
      </c>
      <c r="T16" s="1097">
        <f>'Resultate Bestand'!$T15</f>
        <v>0</v>
      </c>
      <c r="U16" s="457">
        <f>'Resultate Bestand'!$AC15</f>
        <v>8.6700000000000017</v>
      </c>
      <c r="V16" s="456">
        <f>'Resultate Bestand'!$AH15</f>
        <v>0</v>
      </c>
      <c r="W16" s="456">
        <f>'Resultate Bestand'!$AS15</f>
        <v>0</v>
      </c>
      <c r="X16" s="456">
        <f>'Resultate Bestand'!$BA15</f>
        <v>165.1980871892124</v>
      </c>
      <c r="Y16" s="456">
        <f>'Resultate Bestand'!$BD15</f>
        <v>0</v>
      </c>
      <c r="AA16" s="438">
        <f t="shared" si="0"/>
        <v>4.0199999999999996</v>
      </c>
      <c r="AB16" s="435" t="str">
        <f t="shared" si="1"/>
        <v>Lehrerzimmer</v>
      </c>
      <c r="AC16" s="439">
        <f>'Resultate Standard'!$O15</f>
        <v>4</v>
      </c>
      <c r="AD16" s="1098">
        <f>'Resultate Standard'!$P15</f>
        <v>0</v>
      </c>
      <c r="AE16" s="439">
        <f>'Resultate Standard'!$AA15</f>
        <v>5.8333333333333339</v>
      </c>
      <c r="AF16" s="439">
        <f>'Resultate Standard'!$AF15</f>
        <v>2.4650000000000003</v>
      </c>
      <c r="AG16" s="439">
        <f>'Resultate Standard'!$AP15</f>
        <v>43.890511372549021</v>
      </c>
      <c r="AH16" s="439">
        <f>'Resultate Standard'!$AX15</f>
        <v>23.264850980392154</v>
      </c>
      <c r="AI16" s="433"/>
      <c r="AJ16" s="439">
        <f>'Resultate Zielwert'!$O15</f>
        <v>2</v>
      </c>
      <c r="AK16" s="1098">
        <f>'Resultate Zielwert'!$P15</f>
        <v>0</v>
      </c>
      <c r="AL16" s="439">
        <f>'Resultate Zielwert'!$AA15</f>
        <v>3.7393162393162394</v>
      </c>
      <c r="AM16" s="439">
        <f>'Resultate Zielwert'!$AF15</f>
        <v>1.6167500000000001</v>
      </c>
      <c r="AN16" s="439">
        <f>'Resultate Zielwert'!$AP15</f>
        <v>34.215742745098041</v>
      </c>
      <c r="AO16" s="439">
        <f>'Resultate Zielwert'!$AX15</f>
        <v>17.141301960784315</v>
      </c>
      <c r="AP16" s="433"/>
      <c r="AQ16" s="439">
        <f>'Resultate Bestand'!$O15</f>
        <v>6</v>
      </c>
      <c r="AR16" s="1098">
        <f>'Resultate Bestand'!$T15</f>
        <v>0</v>
      </c>
      <c r="AS16" s="439">
        <f>'Resultate Bestand'!$AA15</f>
        <v>7.5000000000000018</v>
      </c>
      <c r="AT16" s="439">
        <f>'Resultate Bestand'!$AF15</f>
        <v>0</v>
      </c>
      <c r="AU16" s="439">
        <f>'Resultate Bestand'!$AP15</f>
        <v>0</v>
      </c>
      <c r="AV16" s="439">
        <f>'Resultate Bestand'!$AX15</f>
        <v>72.737372549019611</v>
      </c>
    </row>
    <row r="17" spans="1:48">
      <c r="A17" s="1562">
        <f>Eingabedaten!A19</f>
        <v>4.03</v>
      </c>
      <c r="B17" s="435" t="str">
        <f>Eingabedaten!C19</f>
        <v>Bibliothek</v>
      </c>
      <c r="C17" s="456">
        <f>'Resultate Standard'!$S16</f>
        <v>3.02</v>
      </c>
      <c r="D17" s="1097">
        <f>'Resultate Standard'!$T16</f>
        <v>0</v>
      </c>
      <c r="E17" s="457">
        <f>'Resultate Standard'!$AC16</f>
        <v>6.8841666666666654</v>
      </c>
      <c r="F17" s="456">
        <f>'Resultate Standard'!$AH16</f>
        <v>2.8593999999999999</v>
      </c>
      <c r="G17" s="456">
        <f>'Resultate Standard'!$AS16</f>
        <v>3.1150122065978558</v>
      </c>
      <c r="H17" s="456">
        <f>'Resultate Standard'!$BA16</f>
        <v>16.302303608778768</v>
      </c>
      <c r="I17" s="456">
        <f>'Resultate Standard'!$BD16</f>
        <v>0</v>
      </c>
      <c r="J17" s="367"/>
      <c r="K17" s="456">
        <f>'Resultate Zielwert'!$S16</f>
        <v>1.51</v>
      </c>
      <c r="L17" s="1097">
        <f>'Resultate Zielwert'!$T16</f>
        <v>0</v>
      </c>
      <c r="M17" s="457">
        <f>'Resultate Zielwert'!$AC16</f>
        <v>1.516025641025641</v>
      </c>
      <c r="N17" s="456">
        <f>'Resultate Zielwert'!$AH16</f>
        <v>1.5520800000000001</v>
      </c>
      <c r="O17" s="456">
        <f>'Resultate Zielwert'!$AS16</f>
        <v>2.6413290890029235</v>
      </c>
      <c r="P17" s="456">
        <f>'Resultate Zielwert'!$BA16</f>
        <v>8.9350103846598863</v>
      </c>
      <c r="Q17" s="456">
        <f>'Resultate Zielwert'!$BD16</f>
        <v>0</v>
      </c>
      <c r="R17" s="367"/>
      <c r="S17" s="456">
        <f>'Resultate Bestand'!$S16</f>
        <v>4.53</v>
      </c>
      <c r="T17" s="1097">
        <f>'Resultate Bestand'!$T16</f>
        <v>0</v>
      </c>
      <c r="U17" s="457">
        <f>'Resultate Bestand'!$AC16</f>
        <v>8.8510714285714283</v>
      </c>
      <c r="V17" s="456">
        <f>'Resultate Bestand'!$AH16</f>
        <v>0</v>
      </c>
      <c r="W17" s="456">
        <f>'Resultate Bestand'!$AS16</f>
        <v>0</v>
      </c>
      <c r="X17" s="456">
        <f>'Resultate Bestand'!$BA16</f>
        <v>92.326270471455388</v>
      </c>
      <c r="Y17" s="456">
        <f>'Resultate Bestand'!$BD16</f>
        <v>0</v>
      </c>
      <c r="AA17" s="438">
        <f t="shared" si="0"/>
        <v>4.03</v>
      </c>
      <c r="AB17" s="435" t="str">
        <f t="shared" si="1"/>
        <v>Bibliothek</v>
      </c>
      <c r="AC17" s="439">
        <f>'Resultate Standard'!$O16</f>
        <v>2</v>
      </c>
      <c r="AD17" s="1098">
        <f>'Resultate Standard'!$P16</f>
        <v>0</v>
      </c>
      <c r="AE17" s="439">
        <f>'Resultate Standard'!$AA16</f>
        <v>4.5833333333333321</v>
      </c>
      <c r="AF17" s="439">
        <f>'Resultate Standard'!$AF16</f>
        <v>1.972</v>
      </c>
      <c r="AG17" s="439">
        <f>'Resultate Standard'!$AP16</f>
        <v>26.962655529411769</v>
      </c>
      <c r="AH17" s="439">
        <f>'Resultate Standard'!$AX16</f>
        <v>12.556125490196077</v>
      </c>
      <c r="AI17" s="433"/>
      <c r="AJ17" s="439">
        <f>'Resultate Zielwert'!$O16</f>
        <v>1</v>
      </c>
      <c r="AK17" s="1098">
        <f>'Resultate Zielwert'!$P16</f>
        <v>0</v>
      </c>
      <c r="AL17" s="439">
        <f>'Resultate Zielwert'!$AA16</f>
        <v>2.9380341880341878</v>
      </c>
      <c r="AM17" s="439">
        <f>'Resultate Zielwert'!$AF16</f>
        <v>1.2934000000000001</v>
      </c>
      <c r="AN17" s="439">
        <f>'Resultate Zielwert'!$AP16</f>
        <v>23.869516705882358</v>
      </c>
      <c r="AO17" s="439">
        <f>'Resultate Zielwert'!$AX16</f>
        <v>9.8051176470588253</v>
      </c>
      <c r="AP17" s="433"/>
      <c r="AQ17" s="439">
        <f>'Resultate Bestand'!$O16</f>
        <v>3</v>
      </c>
      <c r="AR17" s="1098">
        <f>'Resultate Bestand'!$T16</f>
        <v>0</v>
      </c>
      <c r="AS17" s="439">
        <f>'Resultate Bestand'!$AA16</f>
        <v>5.8928571428571423</v>
      </c>
      <c r="AT17" s="439">
        <f>'Resultate Bestand'!$AF16</f>
        <v>0</v>
      </c>
      <c r="AU17" s="439">
        <f>'Resultate Bestand'!$AP16</f>
        <v>0</v>
      </c>
      <c r="AV17" s="439">
        <f>'Resultate Bestand'!$AX16</f>
        <v>43.41718627450981</v>
      </c>
    </row>
    <row r="18" spans="1:48">
      <c r="A18" s="1562">
        <f>Eingabedaten!A20</f>
        <v>4.04</v>
      </c>
      <c r="B18" s="435" t="str">
        <f>Eingabedaten!C20</f>
        <v>Hörsaal</v>
      </c>
      <c r="C18" s="456">
        <f>'Resultate Standard'!$S17</f>
        <v>43.6</v>
      </c>
      <c r="D18" s="1097">
        <f>'Resultate Standard'!$T17</f>
        <v>0</v>
      </c>
      <c r="E18" s="457">
        <f>'Resultate Standard'!$AC17</f>
        <v>12.886805555555554</v>
      </c>
      <c r="F18" s="456">
        <f>'Resultate Standard'!$AH17</f>
        <v>9.1446666666666658</v>
      </c>
      <c r="G18" s="456">
        <f>'Resultate Standard'!$AS17</f>
        <v>31.632011877622929</v>
      </c>
      <c r="H18" s="456">
        <f>'Resultate Standard'!$BA17</f>
        <v>1.5668089762001363</v>
      </c>
      <c r="I18" s="456">
        <f>'Resultate Standard'!$BD17</f>
        <v>5.290005205479452</v>
      </c>
      <c r="J18" s="367"/>
      <c r="K18" s="456">
        <f>'Resultate Zielwert'!$S17</f>
        <v>21.8</v>
      </c>
      <c r="L18" s="1097">
        <f>'Resultate Zielwert'!$T17</f>
        <v>0</v>
      </c>
      <c r="M18" s="457">
        <f>'Resultate Zielwert'!$AC17</f>
        <v>3.4032229344729337</v>
      </c>
      <c r="N18" s="456">
        <f>'Resultate Zielwert'!$AH17</f>
        <v>5.6530666666666667</v>
      </c>
      <c r="O18" s="456">
        <f>'Resultate Zielwert'!$AS17</f>
        <v>17.670848559665853</v>
      </c>
      <c r="P18" s="456">
        <f>'Resultate Zielwert'!$BA17</f>
        <v>2.1461301141673812</v>
      </c>
      <c r="Q18" s="456">
        <f>'Resultate Zielwert'!$BD17</f>
        <v>5.290005205479452</v>
      </c>
      <c r="R18" s="367"/>
      <c r="S18" s="456">
        <f>'Resultate Bestand'!$S17</f>
        <v>65.400000000000006</v>
      </c>
      <c r="T18" s="1097">
        <f>'Resultate Bestand'!$T17</f>
        <v>0</v>
      </c>
      <c r="U18" s="457">
        <f>'Resultate Bestand'!$AC17</f>
        <v>16.568750000000001</v>
      </c>
      <c r="V18" s="456">
        <f>'Resultate Bestand'!$AH17</f>
        <v>22.167600000000004</v>
      </c>
      <c r="W18" s="456">
        <f>'Resultate Bestand'!$AS17</f>
        <v>9.101661112835032</v>
      </c>
      <c r="X18" s="456">
        <f>'Resultate Bestand'!$BA17</f>
        <v>57.373023070717565</v>
      </c>
      <c r="Y18" s="456">
        <f>'Resultate Bestand'!$BD17</f>
        <v>5.290005205479452</v>
      </c>
      <c r="AA18" s="438">
        <f t="shared" si="0"/>
        <v>4.04</v>
      </c>
      <c r="AB18" s="435" t="str">
        <f t="shared" si="1"/>
        <v>Hörsaal</v>
      </c>
      <c r="AC18" s="439">
        <f>'Resultate Standard'!$O17</f>
        <v>20</v>
      </c>
      <c r="AD18" s="1098">
        <f>'Resultate Standard'!$P17</f>
        <v>0</v>
      </c>
      <c r="AE18" s="439">
        <f>'Resultate Standard'!$AA17</f>
        <v>7.6388888888888875</v>
      </c>
      <c r="AF18" s="439">
        <f>'Resultate Standard'!$AF17</f>
        <v>5.3166666666666664</v>
      </c>
      <c r="AG18" s="439">
        <f>'Resultate Standard'!$AP17</f>
        <v>65.781691764705883</v>
      </c>
      <c r="AH18" s="439">
        <f>'Resultate Standard'!$AX17</f>
        <v>12.556125490196077</v>
      </c>
      <c r="AI18" s="433"/>
      <c r="AJ18" s="439">
        <f>'Resultate Zielwert'!$O17</f>
        <v>10</v>
      </c>
      <c r="AK18" s="1098">
        <f>'Resultate Zielwert'!$P17</f>
        <v>0</v>
      </c>
      <c r="AL18" s="439">
        <f>'Resultate Zielwert'!$AA17</f>
        <v>4.8967236467236459</v>
      </c>
      <c r="AM18" s="439">
        <f>'Resultate Zielwert'!$AF17</f>
        <v>3.2866666666666666</v>
      </c>
      <c r="AN18" s="439">
        <f>'Resultate Zielwert'!$AP17</f>
        <v>51.241138823529404</v>
      </c>
      <c r="AO18" s="439">
        <f>'Resultate Zielwert'!$AX17</f>
        <v>9.8051176470588253</v>
      </c>
      <c r="AP18" s="433"/>
      <c r="AQ18" s="439">
        <f>'Resultate Bestand'!$O17</f>
        <v>30</v>
      </c>
      <c r="AR18" s="1098">
        <f>'Resultate Bestand'!$T17</f>
        <v>0</v>
      </c>
      <c r="AS18" s="439">
        <f>'Resultate Bestand'!$AA17</f>
        <v>9.8214285714285712</v>
      </c>
      <c r="AT18" s="439">
        <f>'Resultate Bestand'!$AF17</f>
        <v>8.7966666666666669</v>
      </c>
      <c r="AU18" s="439">
        <f>'Resultate Bestand'!$AP17</f>
        <v>87.813929411764704</v>
      </c>
      <c r="AV18" s="439">
        <f>'Resultate Bestand'!$AX17</f>
        <v>37.292386274509802</v>
      </c>
    </row>
    <row r="19" spans="1:48">
      <c r="A19" s="1562">
        <f>Eingabedaten!A21</f>
        <v>4.05</v>
      </c>
      <c r="B19" s="435" t="str">
        <f>Eingabedaten!C21</f>
        <v>Schulfachraum (Spezialraum)</v>
      </c>
      <c r="C19" s="456">
        <f>'Resultate Standard'!$S18</f>
        <v>7.08</v>
      </c>
      <c r="D19" s="1097">
        <f>'Resultate Standard'!$T18</f>
        <v>0</v>
      </c>
      <c r="E19" s="457">
        <f>'Resultate Standard'!$AC18</f>
        <v>11.254563492063493</v>
      </c>
      <c r="F19" s="456">
        <f>'Resultate Standard'!$AH18</f>
        <v>4.9694399999999996</v>
      </c>
      <c r="G19" s="456">
        <f>'Resultate Standard'!$AS18</f>
        <v>5.8079551317610028</v>
      </c>
      <c r="H19" s="456">
        <f>'Resultate Standard'!$BA18</f>
        <v>22.144183297781986</v>
      </c>
      <c r="I19" s="456">
        <f>'Resultate Standard'!$BD18</f>
        <v>3.1740031232876711</v>
      </c>
      <c r="J19" s="367"/>
      <c r="K19" s="456">
        <f>'Resultate Zielwert'!$S18</f>
        <v>3.54</v>
      </c>
      <c r="L19" s="1097">
        <f>'Resultate Zielwert'!$T18</f>
        <v>0</v>
      </c>
      <c r="M19" s="457">
        <f>'Resultate Zielwert'!$AC18</f>
        <v>1.8228912291412294</v>
      </c>
      <c r="N19" s="456">
        <f>'Resultate Zielwert'!$AH18</f>
        <v>2.2246480000000002</v>
      </c>
      <c r="O19" s="456">
        <f>'Resultate Zielwert'!$AS18</f>
        <v>3.9710379855684197</v>
      </c>
      <c r="P19" s="456">
        <f>'Resultate Zielwert'!$BA18</f>
        <v>12.954753106709633</v>
      </c>
      <c r="Q19" s="456">
        <f>'Resultate Zielwert'!$BD18</f>
        <v>3.1740031232876711</v>
      </c>
      <c r="R19" s="367"/>
      <c r="S19" s="456">
        <f>'Resultate Bestand'!$S18</f>
        <v>17.7</v>
      </c>
      <c r="T19" s="1097">
        <f>'Resultate Bestand'!$T18</f>
        <v>0</v>
      </c>
      <c r="U19" s="457">
        <f>'Resultate Bestand'!$AC18</f>
        <v>14.47015306122449</v>
      </c>
      <c r="V19" s="456">
        <f>'Resultate Bestand'!$AH18</f>
        <v>8.0388000000000002</v>
      </c>
      <c r="W19" s="456">
        <f>'Resultate Bestand'!$AS18</f>
        <v>0</v>
      </c>
      <c r="X19" s="456">
        <f>'Resultate Bestand'!$BA18</f>
        <v>113.14245678791383</v>
      </c>
      <c r="Y19" s="456">
        <f>'Resultate Bestand'!$BD18</f>
        <v>3.1740031232876711</v>
      </c>
      <c r="AA19" s="438">
        <f t="shared" si="0"/>
        <v>4.05</v>
      </c>
      <c r="AB19" s="435" t="str">
        <f t="shared" si="1"/>
        <v>Schulfachraum (Spezialraum)</v>
      </c>
      <c r="AC19" s="439">
        <f>'Resultate Standard'!$O18</f>
        <v>4</v>
      </c>
      <c r="AD19" s="1098">
        <f>'Resultate Standard'!$P18</f>
        <v>0</v>
      </c>
      <c r="AE19" s="439">
        <f>'Resultate Standard'!$AA18</f>
        <v>8.5912698412698418</v>
      </c>
      <c r="AF19" s="439">
        <f>'Resultate Standard'!$AF18</f>
        <v>1.972</v>
      </c>
      <c r="AG19" s="439">
        <f>'Resultate Standard'!$AP18</f>
        <v>45.919496739495791</v>
      </c>
      <c r="AH19" s="439">
        <f>'Resultate Standard'!$AX18</f>
        <v>19.377043697478996</v>
      </c>
      <c r="AI19" s="433"/>
      <c r="AJ19" s="439">
        <f>'Resultate Zielwert'!$O18</f>
        <v>2</v>
      </c>
      <c r="AK19" s="1098">
        <f>'Resultate Zielwert'!$P18</f>
        <v>0</v>
      </c>
      <c r="AL19" s="439">
        <f>'Resultate Zielwert'!$AA18</f>
        <v>5.5072242572242578</v>
      </c>
      <c r="AM19" s="439">
        <f>'Resultate Zielwert'!$AF18</f>
        <v>1.2934000000000001</v>
      </c>
      <c r="AN19" s="439">
        <f>'Resultate Zielwert'!$AP18</f>
        <v>37.129237243697474</v>
      </c>
      <c r="AO19" s="439">
        <f>'Resultate Zielwert'!$AX18</f>
        <v>14.499828571428573</v>
      </c>
      <c r="AP19" s="433"/>
      <c r="AQ19" s="439">
        <f>'Resultate Bestand'!$O18</f>
        <v>10</v>
      </c>
      <c r="AR19" s="1098">
        <f>'Resultate Bestand'!$T18</f>
        <v>0</v>
      </c>
      <c r="AS19" s="439">
        <f>'Resultate Bestand'!$AA18</f>
        <v>11.045918367346939</v>
      </c>
      <c r="AT19" s="439">
        <f>'Resultate Bestand'!$AF18</f>
        <v>3.19</v>
      </c>
      <c r="AU19" s="439">
        <f>'Resultate Bestand'!$AP18</f>
        <v>0</v>
      </c>
      <c r="AV19" s="439">
        <f>'Resultate Bestand'!$AX18</f>
        <v>54.063334453781522</v>
      </c>
    </row>
    <row r="20" spans="1:48">
      <c r="A20" s="1562">
        <f>Eingabedaten!A22</f>
        <v>5.01</v>
      </c>
      <c r="B20" s="435" t="str">
        <f>Eingabedaten!C22</f>
        <v>Lebensmittelverkauf</v>
      </c>
      <c r="C20" s="456">
        <f>'Resultate Standard'!$S19</f>
        <v>8.02</v>
      </c>
      <c r="D20" s="1097">
        <f>'Resultate Standard'!$T19</f>
        <v>401</v>
      </c>
      <c r="E20" s="457">
        <f>'Resultate Standard'!$AC19</f>
        <v>46.569749999999999</v>
      </c>
      <c r="F20" s="456">
        <f>'Resultate Standard'!$AH19</f>
        <v>7.3170625000000005</v>
      </c>
      <c r="G20" s="456">
        <f>'Resultate Standard'!$AS19</f>
        <v>23.643795487460274</v>
      </c>
      <c r="H20" s="456">
        <f>'Resultate Standard'!$BA19</f>
        <v>0.5825805913929244</v>
      </c>
      <c r="I20" s="456">
        <f>'Resultate Standard'!$BD19</f>
        <v>2.7231000000000005</v>
      </c>
      <c r="J20" s="367"/>
      <c r="K20" s="456">
        <f>'Resultate Zielwert'!$S19</f>
        <v>4.01</v>
      </c>
      <c r="L20" s="1097">
        <f>'Resultate Zielwert'!$T19</f>
        <v>320.8</v>
      </c>
      <c r="M20" s="457">
        <f>'Resultate Zielwert'!$AC19</f>
        <v>29.852403846153841</v>
      </c>
      <c r="N20" s="456">
        <f>'Resultate Zielwert'!$AH19</f>
        <v>3.0073000000000003</v>
      </c>
      <c r="O20" s="456">
        <f>'Resultate Zielwert'!$AS19</f>
        <v>22.9733566588522</v>
      </c>
      <c r="P20" s="456">
        <f>'Resultate Zielwert'!$BA19</f>
        <v>4.4989952065780998E-2</v>
      </c>
      <c r="Q20" s="456">
        <f>'Resultate Zielwert'!$BD19</f>
        <v>2.7231000000000005</v>
      </c>
      <c r="R20" s="367"/>
      <c r="S20" s="456">
        <f>'Resultate Bestand'!$S19</f>
        <v>12.03</v>
      </c>
      <c r="T20" s="1097">
        <f>'Resultate Bestand'!$T19</f>
        <v>481.2</v>
      </c>
      <c r="U20" s="457">
        <f>'Resultate Bestand'!$AC19</f>
        <v>59.875392857142856</v>
      </c>
      <c r="V20" s="456">
        <f>'Resultate Bestand'!$AH19</f>
        <v>12.106412500000001</v>
      </c>
      <c r="W20" s="456">
        <f>'Resultate Bestand'!$AS19</f>
        <v>0</v>
      </c>
      <c r="X20" s="456">
        <f>'Resultate Bestand'!$BA19</f>
        <v>86.712530981456084</v>
      </c>
      <c r="Y20" s="456">
        <f>'Resultate Bestand'!$BD19</f>
        <v>2.7231000000000005</v>
      </c>
      <c r="AA20" s="438">
        <f t="shared" si="0"/>
        <v>5.01</v>
      </c>
      <c r="AB20" s="435" t="str">
        <f t="shared" si="1"/>
        <v>Lebensmittelverkauf</v>
      </c>
      <c r="AC20" s="439">
        <f>'Resultate Standard'!$O19</f>
        <v>2</v>
      </c>
      <c r="AD20" s="1098">
        <f>'Resultate Standard'!$P19</f>
        <v>100</v>
      </c>
      <c r="AE20" s="439">
        <f>'Resultate Standard'!$AA19</f>
        <v>11.625</v>
      </c>
      <c r="AF20" s="439">
        <f>'Resultate Standard'!$AF19</f>
        <v>1.9937500000000001</v>
      </c>
      <c r="AG20" s="439">
        <f>'Resultate Standard'!$AP19</f>
        <v>26.596120000000003</v>
      </c>
      <c r="AH20" s="439">
        <f>'Resultate Standard'!$AX19</f>
        <v>8.3600000000000012</v>
      </c>
      <c r="AI20" s="433"/>
      <c r="AJ20" s="439">
        <f>'Resultate Zielwert'!$O19</f>
        <v>1</v>
      </c>
      <c r="AK20" s="1098">
        <f>'Resultate Zielwert'!$P19</f>
        <v>80</v>
      </c>
      <c r="AL20" s="439">
        <f>'Resultate Zielwert'!$AA19</f>
        <v>7.4519230769230758</v>
      </c>
      <c r="AM20" s="439">
        <f>'Resultate Zielwert'!$AF19</f>
        <v>1.2325000000000002</v>
      </c>
      <c r="AN20" s="439">
        <f>'Resultate Zielwert'!$AP19</f>
        <v>20.822878371040723</v>
      </c>
      <c r="AO20" s="439">
        <f>'Resultate Zielwert'!$AX19</f>
        <v>6.3670588235294119</v>
      </c>
      <c r="AP20" s="433"/>
      <c r="AQ20" s="439">
        <f>'Resultate Bestand'!$O19</f>
        <v>3</v>
      </c>
      <c r="AR20" s="1098">
        <f>'Resultate Bestand'!$T19</f>
        <v>481.2</v>
      </c>
      <c r="AS20" s="439">
        <f>'Resultate Bestand'!$AA19</f>
        <v>14.946428571428571</v>
      </c>
      <c r="AT20" s="439">
        <f>'Resultate Bestand'!$AF19</f>
        <v>3.2987500000000001</v>
      </c>
      <c r="AU20" s="439">
        <f>'Resultate Bestand'!$AP19</f>
        <v>0</v>
      </c>
      <c r="AV20" s="439">
        <f>'Resultate Bestand'!$AX19</f>
        <v>35.958070588235294</v>
      </c>
    </row>
    <row r="21" spans="1:48">
      <c r="A21" s="1562">
        <f>Eingabedaten!A23</f>
        <v>5.0199999999999996</v>
      </c>
      <c r="B21" s="435" t="str">
        <f>Eingabedaten!C23</f>
        <v>Fachgeschäft</v>
      </c>
      <c r="C21" s="456">
        <f>'Resultate Standard'!$S20</f>
        <v>7.26</v>
      </c>
      <c r="D21" s="1097">
        <f>'Resultate Standard'!$T20</f>
        <v>0</v>
      </c>
      <c r="E21" s="457">
        <f>'Resultate Standard'!$AC20</f>
        <v>46.569749999999999</v>
      </c>
      <c r="F21" s="456">
        <f>'Resultate Standard'!$AH20</f>
        <v>7.3170625000000005</v>
      </c>
      <c r="G21" s="456">
        <f>'Resultate Standard'!$AS20</f>
        <v>23.071192747734237</v>
      </c>
      <c r="H21" s="456">
        <f>'Resultate Standard'!$BA20</f>
        <v>0.64363818642413462</v>
      </c>
      <c r="I21" s="456">
        <f>'Resultate Standard'!$BD20</f>
        <v>2.7231000000000005</v>
      </c>
      <c r="J21" s="367"/>
      <c r="K21" s="456">
        <f>'Resultate Zielwert'!$S20</f>
        <v>3.63</v>
      </c>
      <c r="L21" s="1097">
        <f>'Resultate Zielwert'!$T20</f>
        <v>0</v>
      </c>
      <c r="M21" s="457">
        <f>'Resultate Zielwert'!$AC20</f>
        <v>29.852403846153841</v>
      </c>
      <c r="N21" s="456">
        <f>'Resultate Zielwert'!$AH20</f>
        <v>3.0073000000000003</v>
      </c>
      <c r="O21" s="456">
        <f>'Resultate Zielwert'!$AS20</f>
        <v>22.593356658852201</v>
      </c>
      <c r="P21" s="456">
        <f>'Resultate Zielwert'!$BA20</f>
        <v>4.957922207061384E-2</v>
      </c>
      <c r="Q21" s="456">
        <f>'Resultate Zielwert'!$BD20</f>
        <v>2.7231000000000005</v>
      </c>
      <c r="R21" s="367"/>
      <c r="S21" s="456">
        <f>'Resultate Bestand'!$S20</f>
        <v>10.89</v>
      </c>
      <c r="T21" s="1097">
        <f>'Resultate Bestand'!$T20</f>
        <v>0</v>
      </c>
      <c r="U21" s="457">
        <f>'Resultate Bestand'!$AC20</f>
        <v>59.875392857142856</v>
      </c>
      <c r="V21" s="456">
        <f>'Resultate Bestand'!$AH20</f>
        <v>12.106412500000001</v>
      </c>
      <c r="W21" s="456">
        <f>'Resultate Bestand'!$AS20</f>
        <v>0</v>
      </c>
      <c r="X21" s="456">
        <f>'Resultate Bestand'!$BA20</f>
        <v>87.674473937548285</v>
      </c>
      <c r="Y21" s="456">
        <f>'Resultate Bestand'!$BD20</f>
        <v>2.7231000000000005</v>
      </c>
      <c r="AA21" s="438">
        <f t="shared" si="0"/>
        <v>5.0199999999999996</v>
      </c>
      <c r="AB21" s="435" t="str">
        <f t="shared" si="1"/>
        <v>Fachgeschäft</v>
      </c>
      <c r="AC21" s="439">
        <f>'Resultate Standard'!$O20</f>
        <v>2</v>
      </c>
      <c r="AD21" s="1098">
        <f>'Resultate Standard'!$P20</f>
        <v>0</v>
      </c>
      <c r="AE21" s="439">
        <f>'Resultate Standard'!$AA20</f>
        <v>11.625</v>
      </c>
      <c r="AF21" s="439">
        <f>'Resultate Standard'!$AF20</f>
        <v>1.9937500000000001</v>
      </c>
      <c r="AG21" s="439">
        <f>'Resultate Standard'!$AP20</f>
        <v>26.596120000000003</v>
      </c>
      <c r="AH21" s="439">
        <f>'Resultate Standard'!$AX20</f>
        <v>8.3600000000000012</v>
      </c>
      <c r="AI21" s="433"/>
      <c r="AJ21" s="439">
        <f>'Resultate Zielwert'!$O20</f>
        <v>1</v>
      </c>
      <c r="AK21" s="1098">
        <f>'Resultate Zielwert'!$P20</f>
        <v>0</v>
      </c>
      <c r="AL21" s="439">
        <f>'Resultate Zielwert'!$AA20</f>
        <v>7.4519230769230758</v>
      </c>
      <c r="AM21" s="439">
        <f>'Resultate Zielwert'!$AF20</f>
        <v>1.2325000000000002</v>
      </c>
      <c r="AN21" s="439">
        <f>'Resultate Zielwert'!$AP20</f>
        <v>20.822878371040723</v>
      </c>
      <c r="AO21" s="439">
        <f>'Resultate Zielwert'!$AX20</f>
        <v>6.3670588235294119</v>
      </c>
      <c r="AP21" s="433"/>
      <c r="AQ21" s="439">
        <f>'Resultate Bestand'!$O20</f>
        <v>3</v>
      </c>
      <c r="AR21" s="1098">
        <f>'Resultate Bestand'!$T20</f>
        <v>0</v>
      </c>
      <c r="AS21" s="439">
        <f>'Resultate Bestand'!$AA20</f>
        <v>14.946428571428571</v>
      </c>
      <c r="AT21" s="439">
        <f>'Resultate Bestand'!$AF20</f>
        <v>3.2987500000000001</v>
      </c>
      <c r="AU21" s="439">
        <f>'Resultate Bestand'!$AP20</f>
        <v>0</v>
      </c>
      <c r="AV21" s="439">
        <f>'Resultate Bestand'!$AX20</f>
        <v>35.958070588235294</v>
      </c>
    </row>
    <row r="22" spans="1:48">
      <c r="A22" s="1562">
        <f>Eingabedaten!A24</f>
        <v>5.03</v>
      </c>
      <c r="B22" s="435" t="str">
        <f>Eingabedaten!C24</f>
        <v>Verkauf Möbel, Bau, Garten</v>
      </c>
      <c r="C22" s="456">
        <f>'Resultate Standard'!$S21</f>
        <v>6.82</v>
      </c>
      <c r="D22" s="1097">
        <f>'Resultate Standard'!$T21</f>
        <v>0</v>
      </c>
      <c r="E22" s="457">
        <f>'Resultate Standard'!$AC21</f>
        <v>37.255800000000001</v>
      </c>
      <c r="F22" s="456">
        <f>'Resultate Standard'!$AH21</f>
        <v>6.6564666666666668</v>
      </c>
      <c r="G22" s="456">
        <f>'Resultate Standard'!$AS21</f>
        <v>13.799540998208217</v>
      </c>
      <c r="H22" s="456">
        <f>'Resultate Standard'!$BA21</f>
        <v>1.7244472232910455</v>
      </c>
      <c r="I22" s="456">
        <f>'Resultate Standard'!$BD21</f>
        <v>1.4523200000000003</v>
      </c>
      <c r="J22" s="367"/>
      <c r="K22" s="456">
        <f>'Resultate Zielwert'!$S21</f>
        <v>3.41</v>
      </c>
      <c r="L22" s="1097">
        <f>'Resultate Zielwert'!$T21</f>
        <v>0</v>
      </c>
      <c r="M22" s="457">
        <f>'Resultate Zielwert'!$AC21</f>
        <v>23.881923076923073</v>
      </c>
      <c r="N22" s="456">
        <f>'Resultate Zielwert'!$AH21</f>
        <v>2.4124133333333337</v>
      </c>
      <c r="O22" s="456">
        <f>'Resultate Zielwert'!$AS21</f>
        <v>10.381431342261552</v>
      </c>
      <c r="P22" s="456">
        <f>'Resultate Zielwert'!$BA21</f>
        <v>1.0143891674095527</v>
      </c>
      <c r="Q22" s="456">
        <f>'Resultate Zielwert'!$BD21</f>
        <v>1.4523200000000003</v>
      </c>
      <c r="R22" s="367"/>
      <c r="S22" s="456">
        <f>'Resultate Bestand'!$S21</f>
        <v>10.23</v>
      </c>
      <c r="T22" s="1097">
        <f>'Resultate Bestand'!$T21</f>
        <v>0</v>
      </c>
      <c r="U22" s="457">
        <f>'Resultate Bestand'!$AC21</f>
        <v>47.900314285714288</v>
      </c>
      <c r="V22" s="456">
        <f>'Resultate Bestand'!$AH21</f>
        <v>11.013426666666666</v>
      </c>
      <c r="W22" s="456">
        <f>'Resultate Bestand'!$AS21</f>
        <v>0</v>
      </c>
      <c r="X22" s="456">
        <f>'Resultate Bestand'!$BA21</f>
        <v>92.225568513684308</v>
      </c>
      <c r="Y22" s="456">
        <f>'Resultate Bestand'!$BD21</f>
        <v>1.4523200000000003</v>
      </c>
      <c r="AA22" s="438">
        <f t="shared" si="0"/>
        <v>5.03</v>
      </c>
      <c r="AB22" s="435" t="str">
        <f t="shared" si="1"/>
        <v>Verkauf Möbel, Bau, Garten</v>
      </c>
      <c r="AC22" s="439">
        <f>'Resultate Standard'!$O21</f>
        <v>2</v>
      </c>
      <c r="AD22" s="1098">
        <f>'Resultate Standard'!$P21</f>
        <v>0</v>
      </c>
      <c r="AE22" s="439">
        <f>'Resultate Standard'!$AA21</f>
        <v>9.3000000000000007</v>
      </c>
      <c r="AF22" s="439">
        <f>'Resultate Standard'!$AF21</f>
        <v>1.0633333333333335</v>
      </c>
      <c r="AG22" s="439">
        <f>'Resultate Standard'!$AP21</f>
        <v>18.698784</v>
      </c>
      <c r="AH22" s="439">
        <f>'Resultate Standard'!$AX21</f>
        <v>8.3600000000000012</v>
      </c>
      <c r="AI22" s="433"/>
      <c r="AJ22" s="439">
        <f>'Resultate Zielwert'!$O21</f>
        <v>1</v>
      </c>
      <c r="AK22" s="1098">
        <f>'Resultate Zielwert'!$P21</f>
        <v>0</v>
      </c>
      <c r="AL22" s="439">
        <f>'Resultate Zielwert'!$AA21</f>
        <v>5.9615384615384608</v>
      </c>
      <c r="AM22" s="439">
        <f>'Resultate Zielwert'!$AF21</f>
        <v>0.65733333333333344</v>
      </c>
      <c r="AN22" s="439">
        <f>'Resultate Zielwert'!$AP21</f>
        <v>13.884664422322775</v>
      </c>
      <c r="AO22" s="439">
        <f>'Resultate Zielwert'!$AX21</f>
        <v>6.3670588235294119</v>
      </c>
      <c r="AP22" s="433"/>
      <c r="AQ22" s="439">
        <f>'Resultate Bestand'!$O21</f>
        <v>3</v>
      </c>
      <c r="AR22" s="1098">
        <f>'Resultate Bestand'!$T21</f>
        <v>0</v>
      </c>
      <c r="AS22" s="439">
        <f>'Resultate Bestand'!$AA21</f>
        <v>11.957142857142857</v>
      </c>
      <c r="AT22" s="439">
        <f>'Resultate Bestand'!$AF21</f>
        <v>1.7593333333333334</v>
      </c>
      <c r="AU22" s="439">
        <f>'Resultate Bestand'!$AP21</f>
        <v>0</v>
      </c>
      <c r="AV22" s="439">
        <f>'Resultate Bestand'!$AX21</f>
        <v>35.958070588235294</v>
      </c>
    </row>
    <row r="23" spans="1:48">
      <c r="A23" s="1562">
        <f>Eingabedaten!A25</f>
        <v>6.01</v>
      </c>
      <c r="B23" s="435" t="str">
        <f>Eingabedaten!C25</f>
        <v>Restaurant</v>
      </c>
      <c r="C23" s="456">
        <f>'Resultate Standard'!$S22</f>
        <v>4.5</v>
      </c>
      <c r="D23" s="1097">
        <f>'Resultate Standard'!$T22</f>
        <v>0</v>
      </c>
      <c r="E23" s="457">
        <f>'Resultate Standard'!$AC22</f>
        <v>12.040416666666664</v>
      </c>
      <c r="F23" s="456">
        <f>'Resultate Standard'!$AH22</f>
        <v>13.15875</v>
      </c>
      <c r="G23" s="456">
        <f>'Resultate Standard'!$AS22</f>
        <v>10.57499040333151</v>
      </c>
      <c r="H23" s="456">
        <f>'Resultate Standard'!$BA22</f>
        <v>17.607994832464932</v>
      </c>
      <c r="I23" s="456">
        <f>'Resultate Standard'!$BD22</f>
        <v>108.92400000000002</v>
      </c>
      <c r="J23" s="367"/>
      <c r="K23" s="456">
        <f>'Resultate Zielwert'!$S22</f>
        <v>2.25</v>
      </c>
      <c r="L23" s="1097">
        <f>'Resultate Zielwert'!$T22</f>
        <v>0</v>
      </c>
      <c r="M23" s="457">
        <f>'Resultate Zielwert'!$AC22</f>
        <v>3.3434829059829059</v>
      </c>
      <c r="N23" s="456">
        <f>'Resultate Zielwert'!$AH22</f>
        <v>8.134500000000001</v>
      </c>
      <c r="O23" s="456">
        <f>'Resultate Zielwert'!$AS22</f>
        <v>9.769152420313981</v>
      </c>
      <c r="P23" s="456">
        <f>'Resultate Zielwert'!$BA22</f>
        <v>10.918893514834393</v>
      </c>
      <c r="Q23" s="456">
        <f>'Resultate Zielwert'!$BD22</f>
        <v>108.92400000000002</v>
      </c>
      <c r="R23" s="367"/>
      <c r="S23" s="456">
        <f>'Resultate Bestand'!$S22</f>
        <v>6.75</v>
      </c>
      <c r="T23" s="1097">
        <f>'Resultate Bestand'!$T22</f>
        <v>0</v>
      </c>
      <c r="U23" s="457">
        <f>'Resultate Bestand'!$AC22</f>
        <v>15.480535714285713</v>
      </c>
      <c r="V23" s="456">
        <f>'Resultate Bestand'!$AH22</f>
        <v>43.147649999999999</v>
      </c>
      <c r="W23" s="456">
        <f>'Resultate Bestand'!$AS22</f>
        <v>0</v>
      </c>
      <c r="X23" s="456">
        <f>'Resultate Bestand'!$BA22</f>
        <v>175.95861732252044</v>
      </c>
      <c r="Y23" s="456">
        <f>'Resultate Bestand'!$BD22</f>
        <v>108.92400000000002</v>
      </c>
      <c r="AA23" s="438">
        <f t="shared" si="0"/>
        <v>6.01</v>
      </c>
      <c r="AB23" s="435" t="str">
        <f t="shared" si="1"/>
        <v>Restaurant</v>
      </c>
      <c r="AC23" s="439">
        <f>'Resultate Standard'!$O22</f>
        <v>2</v>
      </c>
      <c r="AD23" s="1098">
        <f>'Resultate Standard'!$P22</f>
        <v>0</v>
      </c>
      <c r="AE23" s="439">
        <f>'Resultate Standard'!$AA22</f>
        <v>4.5833333333333321</v>
      </c>
      <c r="AF23" s="439">
        <f>'Resultate Standard'!$AF22</f>
        <v>7.9750000000000005</v>
      </c>
      <c r="AG23" s="439">
        <f>'Resultate Standard'!$AP22</f>
        <v>55.066703529411768</v>
      </c>
      <c r="AH23" s="439">
        <f>'Resultate Standard'!$AX22</f>
        <v>14.276125490196081</v>
      </c>
      <c r="AI23" s="433"/>
      <c r="AJ23" s="439">
        <f>'Resultate Zielwert'!$O22</f>
        <v>1</v>
      </c>
      <c r="AK23" s="1098">
        <f>'Resultate Zielwert'!$P22</f>
        <v>0</v>
      </c>
      <c r="AL23" s="439">
        <f>'Resultate Zielwert'!$AA22</f>
        <v>2.9380341880341878</v>
      </c>
      <c r="AM23" s="439">
        <f>'Resultate Zielwert'!$AF22</f>
        <v>4.9300000000000006</v>
      </c>
      <c r="AN23" s="439">
        <f>'Resultate Zielwert'!$AP22</f>
        <v>51.390915294117654</v>
      </c>
      <c r="AO23" s="439">
        <f>'Resultate Zielwert'!$AX22</f>
        <v>10.727176470588237</v>
      </c>
      <c r="AP23" s="433"/>
      <c r="AQ23" s="439">
        <f>'Resultate Bestand'!$O22</f>
        <v>3</v>
      </c>
      <c r="AR23" s="1098">
        <f>'Resultate Bestand'!$T22</f>
        <v>0</v>
      </c>
      <c r="AS23" s="439">
        <f>'Resultate Bestand'!$AA22</f>
        <v>5.8928571428571423</v>
      </c>
      <c r="AT23" s="439">
        <f>'Resultate Bestand'!$AF22</f>
        <v>13.195</v>
      </c>
      <c r="AU23" s="439">
        <f>'Resultate Bestand'!$AP22</f>
        <v>0</v>
      </c>
      <c r="AV23" s="439">
        <f>'Resultate Bestand'!$AX22</f>
        <v>45.514356862745103</v>
      </c>
    </row>
    <row r="24" spans="1:48">
      <c r="A24" s="1562">
        <f>Eingabedaten!A26</f>
        <v>6.02</v>
      </c>
      <c r="B24" s="435" t="str">
        <f>Eingabedaten!C26</f>
        <v>Selbstbedienungsrestaurant</v>
      </c>
      <c r="C24" s="456">
        <f>'Resultate Standard'!$S23</f>
        <v>3.5</v>
      </c>
      <c r="D24" s="1097">
        <f>'Resultate Standard'!$T23</f>
        <v>0</v>
      </c>
      <c r="E24" s="457">
        <f>'Resultate Standard'!$AC23</f>
        <v>6.386333333333333</v>
      </c>
      <c r="F24" s="456">
        <f>'Resultate Standard'!$AH23</f>
        <v>6.8585000000000012</v>
      </c>
      <c r="G24" s="456">
        <f>'Resultate Standard'!$AS23</f>
        <v>5.871023497556167</v>
      </c>
      <c r="H24" s="456">
        <f>'Resultate Standard'!$BA23</f>
        <v>10.528582397238287</v>
      </c>
      <c r="I24" s="456">
        <f>'Resultate Standard'!$BD23</f>
        <v>108.92400000000002</v>
      </c>
      <c r="J24" s="367"/>
      <c r="K24" s="456">
        <f>'Resultate Zielwert'!$S23</f>
        <v>1.75</v>
      </c>
      <c r="L24" s="1097">
        <f>'Resultate Zielwert'!$T23</f>
        <v>0</v>
      </c>
      <c r="M24" s="457">
        <f>'Resultate Zielwert'!$AC23</f>
        <v>1.8191773504273501</v>
      </c>
      <c r="N24" s="456">
        <f>'Resultate Zielwert'!$AH23</f>
        <v>4.2397999999999998</v>
      </c>
      <c r="O24" s="456">
        <f>'Resultate Zielwert'!$AS23</f>
        <v>5.3771450649102706</v>
      </c>
      <c r="P24" s="456">
        <f>'Resultate Zielwert'!$BA23</f>
        <v>6.652144964056447</v>
      </c>
      <c r="Q24" s="456">
        <f>'Resultate Zielwert'!$BD23</f>
        <v>108.92400000000002</v>
      </c>
      <c r="R24" s="367"/>
      <c r="S24" s="456">
        <f>'Resultate Bestand'!$S23</f>
        <v>5.25</v>
      </c>
      <c r="T24" s="1097">
        <f>'Resultate Bestand'!$T23</f>
        <v>0</v>
      </c>
      <c r="U24" s="457">
        <f>'Resultate Bestand'!$AC23</f>
        <v>8.2110000000000003</v>
      </c>
      <c r="V24" s="456">
        <f>'Resultate Bestand'!$AH23</f>
        <v>19.132750000000001</v>
      </c>
      <c r="W24" s="456">
        <f>'Resultate Bestand'!$AS23</f>
        <v>0</v>
      </c>
      <c r="X24" s="456">
        <f>'Resultate Bestand'!$BA23</f>
        <v>98.754495234891166</v>
      </c>
      <c r="Y24" s="456">
        <f>'Resultate Bestand'!$BD23</f>
        <v>108.92400000000002</v>
      </c>
      <c r="AA24" s="438">
        <f t="shared" si="0"/>
        <v>6.02</v>
      </c>
      <c r="AB24" s="435" t="str">
        <f t="shared" si="1"/>
        <v>Selbstbedienungsrestaurant</v>
      </c>
      <c r="AC24" s="439">
        <f>'Resultate Standard'!$O23</f>
        <v>2</v>
      </c>
      <c r="AD24" s="1098">
        <f>'Resultate Standard'!$P23</f>
        <v>0</v>
      </c>
      <c r="AE24" s="439">
        <f>'Resultate Standard'!$AA23</f>
        <v>4.083333333333333</v>
      </c>
      <c r="AF24" s="439">
        <f>'Resultate Standard'!$AF23</f>
        <v>7.9750000000000005</v>
      </c>
      <c r="AG24" s="439">
        <f>'Resultate Standard'!$AP23</f>
        <v>52.47081882352942</v>
      </c>
      <c r="AH24" s="439">
        <f>'Resultate Standard'!$AX23</f>
        <v>9.5592352941176486</v>
      </c>
      <c r="AI24" s="433"/>
      <c r="AJ24" s="439">
        <f>'Resultate Zielwert'!$O23</f>
        <v>1</v>
      </c>
      <c r="AK24" s="1098">
        <f>'Resultate Zielwert'!$P23</f>
        <v>0</v>
      </c>
      <c r="AL24" s="439">
        <f>'Resultate Zielwert'!$AA23</f>
        <v>2.6175213675213671</v>
      </c>
      <c r="AM24" s="439">
        <f>'Resultate Zielwert'!$AF23</f>
        <v>4.9300000000000006</v>
      </c>
      <c r="AN24" s="439">
        <f>'Resultate Zielwert'!$AP23</f>
        <v>50.803830588235293</v>
      </c>
      <c r="AO24" s="439">
        <f>'Resultate Zielwert'!$AX23</f>
        <v>7.530705882352942</v>
      </c>
      <c r="AP24" s="433"/>
      <c r="AQ24" s="439">
        <f>'Resultate Bestand'!$O23</f>
        <v>3</v>
      </c>
      <c r="AR24" s="1098">
        <f>'Resultate Bestand'!$T23</f>
        <v>0</v>
      </c>
      <c r="AS24" s="439">
        <f>'Resultate Bestand'!$AA23</f>
        <v>5.25</v>
      </c>
      <c r="AT24" s="439">
        <f>'Resultate Bestand'!$AF23</f>
        <v>13.195</v>
      </c>
      <c r="AU24" s="439">
        <f>'Resultate Bestand'!$AP23</f>
        <v>0</v>
      </c>
      <c r="AV24" s="439">
        <f>'Resultate Bestand'!$AX23</f>
        <v>30.497494117647065</v>
      </c>
    </row>
    <row r="25" spans="1:48">
      <c r="A25" s="1562">
        <f>Eingabedaten!A27</f>
        <v>6.03</v>
      </c>
      <c r="B25" s="435" t="str">
        <f>Eingabedaten!C27</f>
        <v>Küche zu Restaurant</v>
      </c>
      <c r="C25" s="456">
        <f>'Resultate Standard'!$S24</f>
        <v>25.3</v>
      </c>
      <c r="D25" s="1097">
        <f>'Resultate Standard'!$T24</f>
        <v>480.7</v>
      </c>
      <c r="E25" s="457">
        <f>'Resultate Standard'!$AC24</f>
        <v>23.897222222222222</v>
      </c>
      <c r="F25" s="456">
        <f>'Resultate Standard'!$AH24</f>
        <v>13.717000000000002</v>
      </c>
      <c r="G25" s="456">
        <f>'Resultate Standard'!$AS24</f>
        <v>10.260824133875831</v>
      </c>
      <c r="H25" s="456">
        <f>'Resultate Standard'!$BA24</f>
        <v>26.489435322074975</v>
      </c>
      <c r="I25" s="456">
        <f>'Resultate Standard'!$BD24</f>
        <v>0</v>
      </c>
      <c r="J25" s="367"/>
      <c r="K25" s="456">
        <f>'Resultate Zielwert'!$S24</f>
        <v>25.3</v>
      </c>
      <c r="L25" s="1097">
        <f>'Resultate Zielwert'!$T24</f>
        <v>354.2</v>
      </c>
      <c r="M25" s="457">
        <f>'Resultate Zielwert'!$AC24</f>
        <v>10.706908831908832</v>
      </c>
      <c r="N25" s="456">
        <f>'Resultate Zielwert'!$AH24</f>
        <v>8.4796000000000014</v>
      </c>
      <c r="O25" s="456">
        <f>'Resultate Zielwert'!$AS24</f>
        <v>8.2024631770451908</v>
      </c>
      <c r="P25" s="456">
        <f>'Resultate Zielwert'!$BA24</f>
        <v>16.613126114158732</v>
      </c>
      <c r="Q25" s="456">
        <f>'Resultate Zielwert'!$BD24</f>
        <v>0</v>
      </c>
      <c r="R25" s="367"/>
      <c r="S25" s="456">
        <f>'Resultate Bestand'!$S24</f>
        <v>50.6</v>
      </c>
      <c r="T25" s="1097">
        <f>'Resultate Bestand'!$T24</f>
        <v>581.9</v>
      </c>
      <c r="U25" s="457">
        <f>'Resultate Bestand'!$AC24</f>
        <v>30.725000000000005</v>
      </c>
      <c r="V25" s="456">
        <f>'Resultate Bestand'!$AH24</f>
        <v>32.987500000000004</v>
      </c>
      <c r="W25" s="456">
        <f>'Resultate Bestand'!$AS24</f>
        <v>0</v>
      </c>
      <c r="X25" s="456">
        <f>'Resultate Bestand'!$BA24</f>
        <v>167.56970588239261</v>
      </c>
      <c r="Y25" s="456">
        <f>'Resultate Bestand'!$BD24</f>
        <v>0</v>
      </c>
      <c r="AA25" s="438">
        <f t="shared" si="0"/>
        <v>6.03</v>
      </c>
      <c r="AB25" s="435" t="str">
        <f t="shared" si="1"/>
        <v>Küche zu Restaurant</v>
      </c>
      <c r="AC25" s="439">
        <f>'Resultate Standard'!$O24</f>
        <v>10</v>
      </c>
      <c r="AD25" s="1098">
        <f>'Resultate Standard'!$P24</f>
        <v>190</v>
      </c>
      <c r="AE25" s="439">
        <f>'Resultate Standard'!$AA24</f>
        <v>9.7222222222222232</v>
      </c>
      <c r="AF25" s="439">
        <f>'Resultate Standard'!$AF24</f>
        <v>5.3166666666666673</v>
      </c>
      <c r="AG25" s="439">
        <f>'Resultate Standard'!$AP24</f>
        <v>37.90705098039215</v>
      </c>
      <c r="AH25" s="439">
        <f>'Resultate Standard'!$AX24</f>
        <v>22.48081176470588</v>
      </c>
      <c r="AI25" s="433"/>
      <c r="AJ25" s="439">
        <f>'Resultate Zielwert'!$O24</f>
        <v>10</v>
      </c>
      <c r="AK25" s="1098">
        <f>'Resultate Zielwert'!$P24</f>
        <v>140</v>
      </c>
      <c r="AL25" s="439">
        <f>'Resultate Zielwert'!$AA24</f>
        <v>6.232193732193732</v>
      </c>
      <c r="AM25" s="439">
        <f>'Resultate Zielwert'!$AF24</f>
        <v>3.2866666666666675</v>
      </c>
      <c r="AN25" s="439">
        <f>'Resultate Zielwert'!$AP24</f>
        <v>37.868658823529408</v>
      </c>
      <c r="AO25" s="439">
        <f>'Resultate Zielwert'!$AX24</f>
        <v>16.549223529411766</v>
      </c>
      <c r="AP25" s="433"/>
      <c r="AQ25" s="439">
        <f>'Resultate Bestand'!$O24</f>
        <v>20</v>
      </c>
      <c r="AR25" s="1098">
        <f>'Resultate Bestand'!$T24</f>
        <v>581.9</v>
      </c>
      <c r="AS25" s="439">
        <f>'Resultate Bestand'!$AA24</f>
        <v>12.500000000000002</v>
      </c>
      <c r="AT25" s="439">
        <f>'Resultate Bestand'!$AF24</f>
        <v>8.7966666666666686</v>
      </c>
      <c r="AU25" s="439">
        <f>'Resultate Bestand'!$AP24</f>
        <v>0</v>
      </c>
      <c r="AV25" s="439">
        <f>'Resultate Bestand'!$AX24</f>
        <v>64.469670588235303</v>
      </c>
    </row>
    <row r="26" spans="1:48">
      <c r="A26" s="1562">
        <f>Eingabedaten!A28</f>
        <v>6.04</v>
      </c>
      <c r="B26" s="435" t="str">
        <f>Eingabedaten!C28</f>
        <v>Küche zu Selbstbedienungsrest.</v>
      </c>
      <c r="C26" s="456">
        <f>'Resultate Standard'!$S25</f>
        <v>17.3</v>
      </c>
      <c r="D26" s="1097">
        <f>'Resultate Standard'!$T25</f>
        <v>328.7</v>
      </c>
      <c r="E26" s="457">
        <f>'Resultate Standard'!$AC25</f>
        <v>14.475694444444443</v>
      </c>
      <c r="F26" s="456">
        <f>'Resultate Standard'!$AH25</f>
        <v>7.815500000000001</v>
      </c>
      <c r="G26" s="456">
        <f>'Resultate Standard'!$AS25</f>
        <v>6.7650230800620994</v>
      </c>
      <c r="H26" s="456">
        <f>'Resultate Standard'!$BA25</f>
        <v>12.944734690411709</v>
      </c>
      <c r="I26" s="456">
        <f>'Resultate Standard'!$BD25</f>
        <v>0</v>
      </c>
      <c r="J26" s="367"/>
      <c r="K26" s="456">
        <f>'Resultate Zielwert'!$S25</f>
        <v>17.3</v>
      </c>
      <c r="L26" s="1097">
        <f>'Resultate Zielwert'!$T25</f>
        <v>242.2</v>
      </c>
      <c r="M26" s="457">
        <f>'Resultate Zielwert'!$AC25</f>
        <v>7.643785612535611</v>
      </c>
      <c r="N26" s="456">
        <f>'Resultate Zielwert'!$AH25</f>
        <v>4.8314000000000012</v>
      </c>
      <c r="O26" s="456">
        <f>'Resultate Zielwert'!$AS25</f>
        <v>6.0141392957914954</v>
      </c>
      <c r="P26" s="456">
        <f>'Resultate Zielwert'!$BA25</f>
        <v>7.9352710051231403</v>
      </c>
      <c r="Q26" s="456">
        <f>'Resultate Zielwert'!$BD25</f>
        <v>0</v>
      </c>
      <c r="R26" s="367"/>
      <c r="S26" s="456">
        <f>'Resultate Bestand'!$S25</f>
        <v>34.6</v>
      </c>
      <c r="T26" s="1097">
        <f>'Resultate Bestand'!$T25</f>
        <v>397.9</v>
      </c>
      <c r="U26" s="457">
        <f>'Resultate Bestand'!$AC25</f>
        <v>18.611607142857142</v>
      </c>
      <c r="V26" s="456">
        <f>'Resultate Bestand'!$AH25</f>
        <v>20.056400000000004</v>
      </c>
      <c r="W26" s="456">
        <f>'Resultate Bestand'!$AS25</f>
        <v>0</v>
      </c>
      <c r="X26" s="456">
        <f>'Resultate Bestand'!$BA25</f>
        <v>89.655548788541566</v>
      </c>
      <c r="Y26" s="456">
        <f>'Resultate Bestand'!$BD25</f>
        <v>0</v>
      </c>
      <c r="AA26" s="438">
        <f t="shared" si="0"/>
        <v>6.04</v>
      </c>
      <c r="AB26" s="435" t="str">
        <f t="shared" si="1"/>
        <v>Küche zu Selbstbedienungsrest.</v>
      </c>
      <c r="AC26" s="439">
        <f>'Resultate Standard'!$O25</f>
        <v>10</v>
      </c>
      <c r="AD26" s="1098">
        <f>'Resultate Standard'!$P25</f>
        <v>190</v>
      </c>
      <c r="AE26" s="439">
        <f>'Resultate Standard'!$AA25</f>
        <v>7.6388888888888875</v>
      </c>
      <c r="AF26" s="439">
        <f>'Resultate Standard'!$AF25</f>
        <v>5.3166666666666673</v>
      </c>
      <c r="AG26" s="439">
        <f>'Resultate Standard'!$AP25</f>
        <v>29.36765882352941</v>
      </c>
      <c r="AH26" s="439">
        <f>'Resultate Standard'!$AX25</f>
        <v>12.11610588235294</v>
      </c>
      <c r="AI26" s="433"/>
      <c r="AJ26" s="439">
        <f>'Resultate Zielwert'!$O25</f>
        <v>10</v>
      </c>
      <c r="AK26" s="1098">
        <f>'Resultate Zielwert'!$P25</f>
        <v>140</v>
      </c>
      <c r="AL26" s="439">
        <f>'Resultate Zielwert'!$AA25</f>
        <v>4.8967236467236459</v>
      </c>
      <c r="AM26" s="439">
        <f>'Resultate Zielwert'!$AF25</f>
        <v>3.2866666666666675</v>
      </c>
      <c r="AN26" s="439">
        <f>'Resultate Zielwert'!$AP25</f>
        <v>29.34846274509804</v>
      </c>
      <c r="AO26" s="439">
        <f>'Resultate Zielwert'!$AX25</f>
        <v>9.4610784313725489</v>
      </c>
      <c r="AP26" s="433"/>
      <c r="AQ26" s="439">
        <f>'Resultate Bestand'!$O25</f>
        <v>20</v>
      </c>
      <c r="AR26" s="1098">
        <f>'Resultate Bestand'!$T25</f>
        <v>397.9</v>
      </c>
      <c r="AS26" s="439">
        <f>'Resultate Bestand'!$AA25</f>
        <v>9.8214285714285712</v>
      </c>
      <c r="AT26" s="439">
        <f>'Resultate Bestand'!$AF25</f>
        <v>8.7966666666666686</v>
      </c>
      <c r="AU26" s="439">
        <f>'Resultate Bestand'!$AP25</f>
        <v>0</v>
      </c>
      <c r="AV26" s="439">
        <f>'Resultate Bestand'!$AX25</f>
        <v>36.076935294117646</v>
      </c>
    </row>
    <row r="27" spans="1:48">
      <c r="A27" s="1562">
        <f>Eingabedaten!A29</f>
        <v>7.01</v>
      </c>
      <c r="B27" s="435" t="str">
        <f>Eingabedaten!C29</f>
        <v>Vorstellungsraum</v>
      </c>
      <c r="C27" s="456">
        <f>'Resultate Standard'!$S26</f>
        <v>4.5999999999999996</v>
      </c>
      <c r="D27" s="1097">
        <f>'Resultate Standard'!$T26</f>
        <v>0</v>
      </c>
      <c r="E27" s="457">
        <f>'Resultate Standard'!$AC26</f>
        <v>16.27708333333333</v>
      </c>
      <c r="F27" s="456">
        <f>'Resultate Standard'!$AH26</f>
        <v>11.6435</v>
      </c>
      <c r="G27" s="456">
        <f>'Resultate Standard'!$AS26</f>
        <v>12.785532108354348</v>
      </c>
      <c r="H27" s="456">
        <f>'Resultate Standard'!$BA26</f>
        <v>8.016789706577752</v>
      </c>
      <c r="I27" s="456">
        <f>'Resultate Standard'!$BD26</f>
        <v>7.2616000000000014</v>
      </c>
      <c r="J27" s="367"/>
      <c r="K27" s="456">
        <f>'Resultate Zielwert'!$S26</f>
        <v>2.2999999999999998</v>
      </c>
      <c r="L27" s="1097">
        <f>'Resultate Zielwert'!$T26</f>
        <v>0</v>
      </c>
      <c r="M27" s="457">
        <f>'Resultate Zielwert'!$AC26</f>
        <v>10.434027777777777</v>
      </c>
      <c r="N27" s="456">
        <f>'Resultate Zielwert'!$AH26</f>
        <v>7.1978</v>
      </c>
      <c r="O27" s="456">
        <f>'Resultate Zielwert'!$AS26</f>
        <v>15.352038757184358</v>
      </c>
      <c r="P27" s="456">
        <f>'Resultate Zielwert'!$BA26</f>
        <v>3.1866436452362614</v>
      </c>
      <c r="Q27" s="456">
        <f>'Resultate Zielwert'!$BD26</f>
        <v>7.2616000000000014</v>
      </c>
      <c r="R27" s="367"/>
      <c r="S27" s="456">
        <f>'Resultate Bestand'!$S26</f>
        <v>6.9</v>
      </c>
      <c r="T27" s="1097">
        <f>'Resultate Bestand'!$T26</f>
        <v>0</v>
      </c>
      <c r="U27" s="457">
        <f>'Resultate Bestand'!$AC26</f>
        <v>20.927678571428569</v>
      </c>
      <c r="V27" s="456">
        <f>'Resultate Bestand'!$AH26</f>
        <v>33.515300000000003</v>
      </c>
      <c r="W27" s="456">
        <f>'Resultate Bestand'!$AS26</f>
        <v>0</v>
      </c>
      <c r="X27" s="456">
        <f>'Resultate Bestand'!$BA26</f>
        <v>160.19391156959381</v>
      </c>
      <c r="Y27" s="456">
        <f>'Resultate Bestand'!$BD26</f>
        <v>7.2616000000000014</v>
      </c>
      <c r="AA27" s="438">
        <f t="shared" si="0"/>
        <v>7.01</v>
      </c>
      <c r="AB27" s="435" t="str">
        <f t="shared" si="1"/>
        <v>Vorstellungsraum</v>
      </c>
      <c r="AC27" s="439">
        <f>'Resultate Standard'!$O26</f>
        <v>2</v>
      </c>
      <c r="AD27" s="1098">
        <f>'Resultate Standard'!$P26</f>
        <v>0</v>
      </c>
      <c r="AE27" s="439">
        <f>'Resultate Standard'!$AA26</f>
        <v>5.4166666666666661</v>
      </c>
      <c r="AF27" s="439">
        <f>'Resultate Standard'!$AF26</f>
        <v>5.3166666666666664</v>
      </c>
      <c r="AG27" s="439">
        <f>'Resultate Standard'!$AP26</f>
        <v>38.451766666666664</v>
      </c>
      <c r="AH27" s="439">
        <f>'Resultate Standard'!$AX26</f>
        <v>12.967500000000001</v>
      </c>
      <c r="AI27" s="433"/>
      <c r="AJ27" s="439">
        <f>'Resultate Zielwert'!$O26</f>
        <v>1</v>
      </c>
      <c r="AK27" s="1098">
        <f>'Resultate Zielwert'!$P26</f>
        <v>0</v>
      </c>
      <c r="AL27" s="439">
        <f>'Resultate Zielwert'!$AA26</f>
        <v>3.4722222222222219</v>
      </c>
      <c r="AM27" s="439">
        <f>'Resultate Zielwert'!$AF26</f>
        <v>3.2866666666666666</v>
      </c>
      <c r="AN27" s="439">
        <f>'Resultate Zielwert'!$AP26</f>
        <v>35.421716339869278</v>
      </c>
      <c r="AO27" s="439">
        <f>'Resultate Zielwert'!$AX26</f>
        <v>10.256647058823532</v>
      </c>
      <c r="AP27" s="433"/>
      <c r="AQ27" s="439">
        <f>'Resultate Bestand'!$O26</f>
        <v>3</v>
      </c>
      <c r="AR27" s="1098">
        <f>'Resultate Bestand'!$T26</f>
        <v>0</v>
      </c>
      <c r="AS27" s="439">
        <f>'Resultate Bestand'!$AA26</f>
        <v>6.9642857142857135</v>
      </c>
      <c r="AT27" s="439">
        <f>'Resultate Bestand'!$AF26</f>
        <v>8.7966666666666669</v>
      </c>
      <c r="AU27" s="439">
        <f>'Resultate Bestand'!$AP26</f>
        <v>0</v>
      </c>
      <c r="AV27" s="439">
        <f>'Resultate Bestand'!$AX26</f>
        <v>54.442976470588242</v>
      </c>
    </row>
    <row r="28" spans="1:48">
      <c r="A28" s="1562">
        <f>Eingabedaten!A30</f>
        <v>7.02</v>
      </c>
      <c r="B28" s="435" t="str">
        <f>Eingabedaten!C30</f>
        <v>Mehrzweckhalle</v>
      </c>
      <c r="C28" s="456">
        <f>'Resultate Standard'!$S27</f>
        <v>11.6</v>
      </c>
      <c r="D28" s="1097">
        <f>'Resultate Standard'!$T27</f>
        <v>0</v>
      </c>
      <c r="E28" s="457">
        <f>'Resultate Standard'!$AC27</f>
        <v>16.076666666666664</v>
      </c>
      <c r="F28" s="456">
        <f>'Resultate Standard'!$AH27</f>
        <v>16.268999999999998</v>
      </c>
      <c r="G28" s="456">
        <f>'Resultate Standard'!$AS27</f>
        <v>22.885080033282183</v>
      </c>
      <c r="H28" s="456">
        <f>'Resultate Standard'!$BA27</f>
        <v>11.119383032634344</v>
      </c>
      <c r="I28" s="456">
        <f>'Resultate Standard'!$BD27</f>
        <v>7.2616000000000014</v>
      </c>
      <c r="J28" s="367"/>
      <c r="K28" s="456">
        <f>'Resultate Zielwert'!$S27</f>
        <v>5.8</v>
      </c>
      <c r="L28" s="1097">
        <f>'Resultate Zielwert'!$T27</f>
        <v>0</v>
      </c>
      <c r="M28" s="457">
        <f>'Resultate Zielwert'!$AC27</f>
        <v>6.9548611111111107</v>
      </c>
      <c r="N28" s="456">
        <f>'Resultate Zielwert'!$AH27</f>
        <v>10.0572</v>
      </c>
      <c r="O28" s="456">
        <f>'Resultate Zielwert'!$AS27</f>
        <v>20.184343785977124</v>
      </c>
      <c r="P28" s="456">
        <f>'Resultate Zielwert'!$BA27</f>
        <v>6.0441365560673175</v>
      </c>
      <c r="Q28" s="456">
        <f>'Resultate Zielwert'!$BD27</f>
        <v>7.2616000000000014</v>
      </c>
      <c r="R28" s="367"/>
      <c r="S28" s="456">
        <f>'Resultate Bestand'!$S27</f>
        <v>17.399999999999999</v>
      </c>
      <c r="T28" s="1097">
        <f>'Resultate Bestand'!$T27</f>
        <v>0</v>
      </c>
      <c r="U28" s="457">
        <f>'Resultate Bestand'!$AC27</f>
        <v>20.669999999999998</v>
      </c>
      <c r="V28" s="456">
        <f>'Resultate Bestand'!$AH27</f>
        <v>41.080433333333332</v>
      </c>
      <c r="W28" s="456">
        <f>'Resultate Bestand'!$AS27</f>
        <v>0.26174782042474276</v>
      </c>
      <c r="X28" s="456">
        <f>'Resultate Bestand'!$BA27</f>
        <v>125.77974561637893</v>
      </c>
      <c r="Y28" s="456">
        <f>'Resultate Bestand'!$BD27</f>
        <v>7.2616000000000014</v>
      </c>
      <c r="AA28" s="438">
        <f t="shared" si="0"/>
        <v>7.02</v>
      </c>
      <c r="AB28" s="435" t="str">
        <f t="shared" si="1"/>
        <v>Mehrzweckhalle</v>
      </c>
      <c r="AC28" s="439">
        <f>'Resultate Standard'!$O27</f>
        <v>4</v>
      </c>
      <c r="AD28" s="1098">
        <f>'Resultate Standard'!$P27</f>
        <v>0</v>
      </c>
      <c r="AE28" s="439">
        <f>'Resultate Standard'!$AA27</f>
        <v>5.4166666666666661</v>
      </c>
      <c r="AF28" s="439">
        <f>'Resultate Standard'!$AF27</f>
        <v>5.3166666666666664</v>
      </c>
      <c r="AG28" s="439">
        <f>'Resultate Standard'!$AP27</f>
        <v>54.986656470588237</v>
      </c>
      <c r="AH28" s="439">
        <f>'Resultate Standard'!$AX27</f>
        <v>20.922515686274515</v>
      </c>
      <c r="AI28" s="433"/>
      <c r="AJ28" s="439">
        <f>'Resultate Zielwert'!$O27</f>
        <v>2</v>
      </c>
      <c r="AK28" s="1098">
        <f>'Resultate Zielwert'!$P27</f>
        <v>0</v>
      </c>
      <c r="AL28" s="439">
        <f>'Resultate Zielwert'!$AA27</f>
        <v>3.4722222222222219</v>
      </c>
      <c r="AM28" s="439">
        <f>'Resultate Zielwert'!$AF27</f>
        <v>3.2866666666666666</v>
      </c>
      <c r="AN28" s="439">
        <f>'Resultate Zielwert'!$AP27</f>
        <v>46.963962352941174</v>
      </c>
      <c r="AO28" s="439">
        <f>'Resultate Zielwert'!$AX27</f>
        <v>16.636031372549024</v>
      </c>
      <c r="AP28" s="433"/>
      <c r="AQ28" s="439">
        <f>'Resultate Bestand'!$O27</f>
        <v>6</v>
      </c>
      <c r="AR28" s="1098">
        <f>'Resultate Bestand'!$T27</f>
        <v>0</v>
      </c>
      <c r="AS28" s="439">
        <f>'Resultate Bestand'!$AA27</f>
        <v>6.9642857142857135</v>
      </c>
      <c r="AT28" s="439">
        <f>'Resultate Bestand'!$AF27</f>
        <v>8.7966666666666669</v>
      </c>
      <c r="AU28" s="439">
        <f>'Resultate Bestand'!$AP27</f>
        <v>72.191341176470601</v>
      </c>
      <c r="AV28" s="439">
        <f>'Resultate Bestand'!$AX27</f>
        <v>61.269760784313746</v>
      </c>
    </row>
    <row r="29" spans="1:48">
      <c r="A29" s="1562">
        <f>Eingabedaten!A31</f>
        <v>7.03</v>
      </c>
      <c r="B29" s="435" t="str">
        <f>Eingabedaten!C31</f>
        <v>Ausstellungshalle</v>
      </c>
      <c r="C29" s="456">
        <f>'Resultate Standard'!$S28</f>
        <v>20.3</v>
      </c>
      <c r="D29" s="1097">
        <f>'Resultate Standard'!$T28</f>
        <v>0</v>
      </c>
      <c r="E29" s="457">
        <f>'Resultate Standard'!$AC28</f>
        <v>36.627499999999998</v>
      </c>
      <c r="F29" s="456">
        <f>'Resultate Standard'!$AH28</f>
        <v>16.268999999999998</v>
      </c>
      <c r="G29" s="456">
        <f>'Resultate Standard'!$AS28</f>
        <v>38.560539438369531</v>
      </c>
      <c r="H29" s="456">
        <f>'Resultate Standard'!$BA28</f>
        <v>5.1494107675259686</v>
      </c>
      <c r="I29" s="456">
        <f>'Resultate Standard'!$BD28</f>
        <v>7.2616000000000014</v>
      </c>
      <c r="J29" s="367"/>
      <c r="K29" s="456">
        <f>'Resultate Zielwert'!$S28</f>
        <v>8.6999999999999993</v>
      </c>
      <c r="L29" s="1097">
        <f>'Resultate Zielwert'!$T28</f>
        <v>0</v>
      </c>
      <c r="M29" s="457">
        <f>'Resultate Zielwert'!$AC28</f>
        <v>19.444444444444443</v>
      </c>
      <c r="N29" s="456">
        <f>'Resultate Zielwert'!$AH28</f>
        <v>10.0572</v>
      </c>
      <c r="O29" s="456">
        <f>'Resultate Zielwert'!$AS28</f>
        <v>28.98008476437894</v>
      </c>
      <c r="P29" s="456">
        <f>'Resultate Zielwert'!$BA28</f>
        <v>3.4907321701253546</v>
      </c>
      <c r="Q29" s="456">
        <f>'Resultate Zielwert'!$BD28</f>
        <v>7.2616000000000014</v>
      </c>
      <c r="R29" s="367"/>
      <c r="S29" s="456">
        <f>'Resultate Bestand'!$S28</f>
        <v>43.5</v>
      </c>
      <c r="T29" s="1097">
        <f>'Resultate Bestand'!$T28</f>
        <v>0</v>
      </c>
      <c r="U29" s="457">
        <f>'Resultate Bestand'!$AC28</f>
        <v>47.092499999999994</v>
      </c>
      <c r="V29" s="456">
        <f>'Resultate Bestand'!$AH28</f>
        <v>41.080433333333332</v>
      </c>
      <c r="W29" s="456">
        <f>'Resultate Bestand'!$AS28</f>
        <v>6.749026798518031</v>
      </c>
      <c r="X29" s="456">
        <f>'Resultate Bestand'!$BA28</f>
        <v>102.75881415268503</v>
      </c>
      <c r="Y29" s="456">
        <f>'Resultate Bestand'!$BD28</f>
        <v>7.2616000000000014</v>
      </c>
      <c r="AA29" s="438">
        <f t="shared" si="0"/>
        <v>7.03</v>
      </c>
      <c r="AB29" s="435" t="str">
        <f t="shared" si="1"/>
        <v>Ausstellungshalle</v>
      </c>
      <c r="AC29" s="439">
        <f>'Resultate Standard'!$O28</f>
        <v>7</v>
      </c>
      <c r="AD29" s="1098">
        <f>'Resultate Standard'!$P28</f>
        <v>0</v>
      </c>
      <c r="AE29" s="439">
        <f>'Resultate Standard'!$AA28</f>
        <v>10.833333333333332</v>
      </c>
      <c r="AF29" s="439">
        <f>'Resultate Standard'!$AF28</f>
        <v>5.3166666666666664</v>
      </c>
      <c r="AG29" s="439">
        <f>'Resultate Standard'!$AP28</f>
        <v>57.986656470588237</v>
      </c>
      <c r="AH29" s="439">
        <f>'Resultate Standard'!$AX28</f>
        <v>20.922515686274515</v>
      </c>
      <c r="AI29" s="433"/>
      <c r="AJ29" s="439">
        <f>'Resultate Zielwert'!$O28</f>
        <v>3</v>
      </c>
      <c r="AK29" s="1098">
        <f>'Resultate Zielwert'!$P28</f>
        <v>0</v>
      </c>
      <c r="AL29" s="439">
        <f>'Resultate Zielwert'!$AA28</f>
        <v>6.9444444444444438</v>
      </c>
      <c r="AM29" s="439">
        <f>'Resultate Zielwert'!$AF28</f>
        <v>3.2866666666666666</v>
      </c>
      <c r="AN29" s="439">
        <f>'Resultate Zielwert'!$AP28</f>
        <v>47.963962352941174</v>
      </c>
      <c r="AO29" s="439">
        <f>'Resultate Zielwert'!$AX28</f>
        <v>16.636031372549024</v>
      </c>
      <c r="AP29" s="433"/>
      <c r="AQ29" s="439">
        <f>'Resultate Bestand'!$O28</f>
        <v>15</v>
      </c>
      <c r="AR29" s="1098">
        <f>'Resultate Bestand'!$T28</f>
        <v>0</v>
      </c>
      <c r="AS29" s="439">
        <f>'Resultate Bestand'!$AA28</f>
        <v>13.928571428571427</v>
      </c>
      <c r="AT29" s="439">
        <f>'Resultate Bestand'!$AF28</f>
        <v>8.7966666666666669</v>
      </c>
      <c r="AU29" s="439">
        <f>'Resultate Bestand'!$AP28</f>
        <v>81.191341176470601</v>
      </c>
      <c r="AV29" s="439">
        <f>'Resultate Bestand'!$AX28</f>
        <v>61.269760784313746</v>
      </c>
    </row>
    <row r="30" spans="1:48">
      <c r="A30" s="1562">
        <f>Eingabedaten!A32</f>
        <v>8.01</v>
      </c>
      <c r="B30" s="435" t="str">
        <f>Eingabedaten!C32</f>
        <v xml:space="preserve">Bettenzimmer </v>
      </c>
      <c r="C30" s="456">
        <f>'Resultate Standard'!$S29</f>
        <v>10.5</v>
      </c>
      <c r="D30" s="1097">
        <f>'Resultate Standard'!$T29</f>
        <v>0</v>
      </c>
      <c r="E30" s="457">
        <f>'Resultate Standard'!$AC29</f>
        <v>8.2016666666666662</v>
      </c>
      <c r="F30" s="456">
        <f>'Resultate Standard'!$AH29</f>
        <v>9.3148000000000017</v>
      </c>
      <c r="G30" s="456">
        <f>'Resultate Standard'!$AS29</f>
        <v>13.693829307923286</v>
      </c>
      <c r="H30" s="456">
        <f>'Resultate Standard'!$BA29</f>
        <v>10.843158550297417</v>
      </c>
      <c r="I30" s="456">
        <f>'Resultate Standard'!$BD29</f>
        <v>67.744000000000014</v>
      </c>
      <c r="J30" s="367"/>
      <c r="K30" s="456">
        <f>'Resultate Zielwert'!$S29</f>
        <v>7</v>
      </c>
      <c r="L30" s="1097">
        <f>'Resultate Zielwert'!$T29</f>
        <v>0</v>
      </c>
      <c r="M30" s="457">
        <f>'Resultate Zielwert'!$AC29</f>
        <v>2.7133190883190883</v>
      </c>
      <c r="N30" s="456">
        <f>'Resultate Zielwert'!$AH29</f>
        <v>5.7582400000000007</v>
      </c>
      <c r="O30" s="456">
        <f>'Resultate Zielwert'!$AS29</f>
        <v>11.344029682374098</v>
      </c>
      <c r="P30" s="456">
        <f>'Resultate Zielwert'!$BA29</f>
        <v>5.980942292102406</v>
      </c>
      <c r="Q30" s="456">
        <f>'Resultate Zielwert'!$BD29</f>
        <v>67.744000000000014</v>
      </c>
      <c r="R30" s="367"/>
      <c r="S30" s="456">
        <f>'Resultate Bestand'!$S29</f>
        <v>14</v>
      </c>
      <c r="T30" s="1097">
        <f>'Resultate Bestand'!$T29</f>
        <v>0</v>
      </c>
      <c r="U30" s="457">
        <f>'Resultate Bestand'!$AC29</f>
        <v>10.545</v>
      </c>
      <c r="V30" s="456">
        <f>'Resultate Bestand'!$AH29</f>
        <v>0</v>
      </c>
      <c r="W30" s="456">
        <f>'Resultate Bestand'!$AS29</f>
        <v>0.27596119297729971</v>
      </c>
      <c r="X30" s="456">
        <f>'Resultate Bestand'!$BA29</f>
        <v>88.999439770117746</v>
      </c>
      <c r="Y30" s="456">
        <f>'Resultate Bestand'!$BD29</f>
        <v>67.744000000000014</v>
      </c>
      <c r="AA30" s="438">
        <f t="shared" si="0"/>
        <v>8.01</v>
      </c>
      <c r="AB30" s="435" t="str">
        <f t="shared" si="1"/>
        <v xml:space="preserve">Bettenzimmer </v>
      </c>
      <c r="AC30" s="439">
        <f>'Resultate Standard'!$O29</f>
        <v>6</v>
      </c>
      <c r="AD30" s="1098">
        <f>'Resultate Standard'!$P29</f>
        <v>0</v>
      </c>
      <c r="AE30" s="439">
        <f>'Resultate Standard'!$AA29</f>
        <v>5.2777777777777777</v>
      </c>
      <c r="AF30" s="439">
        <f>'Resultate Standard'!$AF29</f>
        <v>1.0633333333333335</v>
      </c>
      <c r="AG30" s="439">
        <f>'Resultate Standard'!$AP29</f>
        <v>31.910762143790855</v>
      </c>
      <c r="AH30" s="439">
        <f>'Resultate Standard'!$AX29</f>
        <v>16.879408496732026</v>
      </c>
      <c r="AI30" s="433"/>
      <c r="AJ30" s="439">
        <f>'Resultate Zielwert'!$O29</f>
        <v>4</v>
      </c>
      <c r="AK30" s="1098">
        <f>'Resultate Zielwert'!$P29</f>
        <v>0</v>
      </c>
      <c r="AL30" s="439">
        <f>'Resultate Zielwert'!$AA29</f>
        <v>3.383190883190883</v>
      </c>
      <c r="AM30" s="439">
        <f>'Resultate Zielwert'!$AF29</f>
        <v>0.65733333333333344</v>
      </c>
      <c r="AN30" s="439">
        <f>'Resultate Zielwert'!$AP29</f>
        <v>24.607144366013074</v>
      </c>
      <c r="AO30" s="439">
        <f>'Resultate Zielwert'!$AX29</f>
        <v>12.964575163398694</v>
      </c>
      <c r="AP30" s="433"/>
      <c r="AQ30" s="439">
        <f>'Resultate Bestand'!$O29</f>
        <v>8</v>
      </c>
      <c r="AR30" s="1098">
        <f>'Resultate Bestand'!$T29</f>
        <v>0</v>
      </c>
      <c r="AS30" s="439">
        <f>'Resultate Bestand'!$AA29</f>
        <v>6.7857142857142856</v>
      </c>
      <c r="AT30" s="439">
        <f>'Resultate Bestand'!$AF29</f>
        <v>0</v>
      </c>
      <c r="AU30" s="439">
        <f>'Resultate Bestand'!$AP29</f>
        <v>47.991369934640524</v>
      </c>
      <c r="AV30" s="439">
        <f>'Resultate Bestand'!$AX29</f>
        <v>48.222571895424842</v>
      </c>
    </row>
    <row r="31" spans="1:48">
      <c r="A31" s="1562">
        <f>Eingabedaten!A33</f>
        <v>8.02</v>
      </c>
      <c r="B31" s="435" t="str">
        <f>Eingabedaten!C33</f>
        <v xml:space="preserve">Stationszimmer </v>
      </c>
      <c r="C31" s="456">
        <f>'Resultate Standard'!$S30</f>
        <v>31.5</v>
      </c>
      <c r="D31" s="1097">
        <f>'Resultate Standard'!$T30</f>
        <v>0</v>
      </c>
      <c r="E31" s="457">
        <f>'Resultate Standard'!$AC30</f>
        <v>55.708333333333336</v>
      </c>
      <c r="F31" s="456">
        <f>'Resultate Standard'!$AH30</f>
        <v>16.694333333333333</v>
      </c>
      <c r="G31" s="456">
        <f>'Resultate Standard'!$AS30</f>
        <v>73.031712842168758</v>
      </c>
      <c r="H31" s="456">
        <f>'Resultate Standard'!$BA30</f>
        <v>1.1928599041939563</v>
      </c>
      <c r="I31" s="456">
        <f>'Resultate Standard'!$BD30</f>
        <v>0</v>
      </c>
      <c r="J31" s="367"/>
      <c r="K31" s="456">
        <f>'Resultate Zielwert'!$S30</f>
        <v>15.75</v>
      </c>
      <c r="L31" s="1097">
        <f>'Resultate Zielwert'!$T30</f>
        <v>0</v>
      </c>
      <c r="M31" s="457">
        <f>'Resultate Zielwert'!$AC30</f>
        <v>28.312856125356127</v>
      </c>
      <c r="N31" s="456">
        <f>'Resultate Zielwert'!$AH30</f>
        <v>10.320133333333333</v>
      </c>
      <c r="O31" s="456">
        <f>'Resultate Zielwert'!$AS30</f>
        <v>49.281036093192292</v>
      </c>
      <c r="P31" s="456">
        <f>'Resultate Zielwert'!$BA30</f>
        <v>1.1676841081240208</v>
      </c>
      <c r="Q31" s="456">
        <f>'Resultate Zielwert'!$BD30</f>
        <v>0</v>
      </c>
      <c r="R31" s="367"/>
      <c r="S31" s="456">
        <f>'Resultate Bestand'!$S30</f>
        <v>47.25</v>
      </c>
      <c r="T31" s="1097">
        <f>'Resultate Bestand'!$T30</f>
        <v>0</v>
      </c>
      <c r="U31" s="457">
        <f>'Resultate Bestand'!$AC30</f>
        <v>71.625000000000014</v>
      </c>
      <c r="V31" s="456">
        <f>'Resultate Bestand'!$AH30</f>
        <v>0</v>
      </c>
      <c r="W31" s="456">
        <f>'Resultate Bestand'!$AS30</f>
        <v>17.434127401163078</v>
      </c>
      <c r="X31" s="456">
        <f>'Resultate Bestand'!$BA30</f>
        <v>68.162783189850344</v>
      </c>
      <c r="Y31" s="456">
        <f>'Resultate Bestand'!$BD30</f>
        <v>0</v>
      </c>
      <c r="AA31" s="438">
        <f t="shared" si="0"/>
        <v>8.02</v>
      </c>
      <c r="AB31" s="435" t="str">
        <f t="shared" si="1"/>
        <v xml:space="preserve">Stationszimmer </v>
      </c>
      <c r="AC31" s="439">
        <f>'Resultate Standard'!$O30</f>
        <v>10</v>
      </c>
      <c r="AD31" s="1098">
        <f>'Resultate Standard'!$P30</f>
        <v>0</v>
      </c>
      <c r="AE31" s="439">
        <f>'Resultate Standard'!$AA30</f>
        <v>9.7222222222222232</v>
      </c>
      <c r="AF31" s="439">
        <f>'Resultate Standard'!$AF30</f>
        <v>5.3166666666666664</v>
      </c>
      <c r="AG31" s="439">
        <f>'Resultate Standard'!$AP30</f>
        <v>64.635112156862746</v>
      </c>
      <c r="AH31" s="439">
        <f>'Resultate Standard'!$AX30</f>
        <v>16.381850980392155</v>
      </c>
      <c r="AI31" s="433"/>
      <c r="AJ31" s="439">
        <f>'Resultate Zielwert'!$O30</f>
        <v>5</v>
      </c>
      <c r="AK31" s="1098">
        <f>'Resultate Zielwert'!$P30</f>
        <v>0</v>
      </c>
      <c r="AL31" s="439">
        <f>'Resultate Zielwert'!$AA30</f>
        <v>6.232193732193732</v>
      </c>
      <c r="AM31" s="439">
        <f>'Resultate Zielwert'!$AF30</f>
        <v>3.2866666666666666</v>
      </c>
      <c r="AN31" s="439">
        <f>'Resultate Zielwert'!$AP30</f>
        <v>52.623214117647059</v>
      </c>
      <c r="AO31" s="439">
        <f>'Resultate Zielwert'!$AX30</f>
        <v>13.186000000000002</v>
      </c>
      <c r="AP31" s="433"/>
      <c r="AQ31" s="439">
        <f>'Resultate Bestand'!$O30</f>
        <v>15</v>
      </c>
      <c r="AR31" s="1098">
        <f>'Resultate Bestand'!$T30</f>
        <v>0</v>
      </c>
      <c r="AS31" s="439">
        <f>'Resultate Bestand'!$AA30</f>
        <v>12.500000000000002</v>
      </c>
      <c r="AT31" s="439">
        <f>'Resultate Bestand'!$AF30</f>
        <v>0</v>
      </c>
      <c r="AU31" s="439">
        <f>'Resultate Bestand'!$AP30</f>
        <v>90.611717647058825</v>
      </c>
      <c r="AV31" s="439">
        <f>'Resultate Bestand'!$AX30</f>
        <v>39.846490196078435</v>
      </c>
    </row>
    <row r="32" spans="1:48">
      <c r="A32" s="1562">
        <f>Eingabedaten!A34</f>
        <v>8.0299999999999994</v>
      </c>
      <c r="B32" s="435" t="str">
        <f>Eingabedaten!C34</f>
        <v>Behandlungsraum</v>
      </c>
      <c r="C32" s="456">
        <f>'Resultate Standard'!$S31</f>
        <v>32.700000000000003</v>
      </c>
      <c r="D32" s="1097">
        <f>'Resultate Standard'!$T31</f>
        <v>32.700000000000003</v>
      </c>
      <c r="E32" s="457">
        <f>'Resultate Standard'!$AC31</f>
        <v>28.029166666666669</v>
      </c>
      <c r="F32" s="456">
        <f>'Resultate Standard'!$AH31</f>
        <v>10.526999999999999</v>
      </c>
      <c r="G32" s="456">
        <f>'Resultate Standard'!$AS31</f>
        <v>24.439366838652052</v>
      </c>
      <c r="H32" s="456">
        <f>'Resultate Standard'!$BA31</f>
        <v>9.0281909308479538</v>
      </c>
      <c r="I32" s="456">
        <f>'Resultate Standard'!$BD31</f>
        <v>0</v>
      </c>
      <c r="J32" s="367"/>
      <c r="K32" s="456">
        <f>'Resultate Zielwert'!$S31</f>
        <v>21.8</v>
      </c>
      <c r="L32" s="1097">
        <f>'Resultate Zielwert'!$T31</f>
        <v>10.9</v>
      </c>
      <c r="M32" s="457">
        <f>'Resultate Zielwert'!$AC31</f>
        <v>10.731837606837606</v>
      </c>
      <c r="N32" s="456">
        <f>'Resultate Zielwert'!$AH31</f>
        <v>4.2200800000000003</v>
      </c>
      <c r="O32" s="456">
        <f>'Resultate Zielwert'!$AS31</f>
        <v>16.83167887407112</v>
      </c>
      <c r="P32" s="456">
        <f>'Resultate Zielwert'!$BA31</f>
        <v>4.7562271971402836</v>
      </c>
      <c r="Q32" s="456">
        <f>'Resultate Zielwert'!$BD31</f>
        <v>0</v>
      </c>
      <c r="R32" s="367"/>
      <c r="S32" s="456">
        <f>'Resultate Bestand'!$S31</f>
        <v>43.6</v>
      </c>
      <c r="T32" s="1097">
        <f>'Resultate Bestand'!$T31</f>
        <v>43.6</v>
      </c>
      <c r="U32" s="457">
        <f>'Resultate Bestand'!$AC31</f>
        <v>36.037500000000009</v>
      </c>
      <c r="V32" s="456">
        <f>'Resultate Bestand'!$AH31</f>
        <v>0</v>
      </c>
      <c r="W32" s="456">
        <f>'Resultate Bestand'!$AS31</f>
        <v>4.3669331071856234</v>
      </c>
      <c r="X32" s="456">
        <f>'Resultate Bestand'!$BA31</f>
        <v>87.203888871344631</v>
      </c>
      <c r="Y32" s="456">
        <f>'Resultate Bestand'!$BD31</f>
        <v>0</v>
      </c>
      <c r="AA32" s="438">
        <f t="shared" si="0"/>
        <v>8.0299999999999994</v>
      </c>
      <c r="AB32" s="435" t="str">
        <f t="shared" si="1"/>
        <v>Behandlungsraum</v>
      </c>
      <c r="AC32" s="439">
        <f>'Resultate Standard'!$O31</f>
        <v>15</v>
      </c>
      <c r="AD32" s="1098">
        <f>'Resultate Standard'!$P31</f>
        <v>15</v>
      </c>
      <c r="AE32" s="439">
        <f>'Resultate Standard'!$AA31</f>
        <v>14.583333333333334</v>
      </c>
      <c r="AF32" s="439">
        <f>'Resultate Standard'!$AF31</f>
        <v>3.19</v>
      </c>
      <c r="AG32" s="439">
        <f>'Resultate Standard'!$AP31</f>
        <v>60.196071529411768</v>
      </c>
      <c r="AH32" s="439">
        <f>'Resultate Standard'!$AX31</f>
        <v>20.497390196078435</v>
      </c>
      <c r="AI32" s="433"/>
      <c r="AJ32" s="439">
        <f>'Resultate Zielwert'!$O31</f>
        <v>10</v>
      </c>
      <c r="AK32" s="1098">
        <f>'Resultate Zielwert'!$P31</f>
        <v>5</v>
      </c>
      <c r="AL32" s="439">
        <f>'Resultate Zielwert'!$AA31</f>
        <v>9.3482905982905979</v>
      </c>
      <c r="AM32" s="439">
        <f>'Resultate Zielwert'!$AF31</f>
        <v>1.972</v>
      </c>
      <c r="AN32" s="439">
        <f>'Resultate Zielwert'!$AP31</f>
        <v>47.528833882352934</v>
      </c>
      <c r="AO32" s="439">
        <f>'Resultate Zielwert'!$AX31</f>
        <v>15.672056862745102</v>
      </c>
      <c r="AP32" s="433"/>
      <c r="AQ32" s="439">
        <f>'Resultate Bestand'!$O31</f>
        <v>20</v>
      </c>
      <c r="AR32" s="1098">
        <f>'Resultate Bestand'!$T31</f>
        <v>43.6</v>
      </c>
      <c r="AS32" s="439">
        <f>'Resultate Bestand'!$AA31</f>
        <v>18.750000000000004</v>
      </c>
      <c r="AT32" s="439">
        <f>'Resultate Bestand'!$AF31</f>
        <v>0</v>
      </c>
      <c r="AU32" s="439">
        <f>'Resultate Bestand'!$AP31</f>
        <v>86.432564705882356</v>
      </c>
      <c r="AV32" s="439">
        <f>'Resultate Bestand'!$AX31</f>
        <v>58.10918627450981</v>
      </c>
    </row>
    <row r="33" spans="1:48">
      <c r="A33" s="1562">
        <f>Eingabedaten!A35</f>
        <v>9.01</v>
      </c>
      <c r="B33" s="435" t="str">
        <f>Eingabedaten!C35</f>
        <v>Produktion (grobe Arbeit)</v>
      </c>
      <c r="C33" s="456">
        <f>'Resultate Standard'!$S32</f>
        <v>16.8</v>
      </c>
      <c r="D33" s="1097">
        <f>'Resultate Standard'!$T32</f>
        <v>50.4</v>
      </c>
      <c r="E33" s="457">
        <f>'Resultate Standard'!$AC32</f>
        <v>15.543749999999999</v>
      </c>
      <c r="F33" s="456">
        <f>'Resultate Standard'!$AH32</f>
        <v>7.2483888888888899</v>
      </c>
      <c r="G33" s="456">
        <f>'Resultate Standard'!$AS32</f>
        <v>4.956276018563738</v>
      </c>
      <c r="H33" s="456">
        <f>'Resultate Standard'!$BA32</f>
        <v>15.094722786649299</v>
      </c>
      <c r="I33" s="456">
        <f>'Resultate Standard'!$BD32</f>
        <v>2.4220800000000007</v>
      </c>
      <c r="J33" s="367"/>
      <c r="K33" s="456">
        <f>'Resultate Zielwert'!$S32</f>
        <v>16.8</v>
      </c>
      <c r="L33" s="1097">
        <f>'Resultate Zielwert'!$T32</f>
        <v>33.6</v>
      </c>
      <c r="M33" s="457">
        <f>'Resultate Zielwert'!$AC32</f>
        <v>4.7113715277777777</v>
      </c>
      <c r="N33" s="456">
        <f>'Resultate Zielwert'!$AH32</f>
        <v>3.5057777777777779</v>
      </c>
      <c r="O33" s="456">
        <f>'Resultate Zielwert'!$AS32</f>
        <v>3.5496163321360896</v>
      </c>
      <c r="P33" s="456">
        <f>'Resultate Zielwert'!$BA32</f>
        <v>8.7736270676034351</v>
      </c>
      <c r="Q33" s="456">
        <f>'Resultate Zielwert'!$BD32</f>
        <v>2.4220800000000007</v>
      </c>
      <c r="R33" s="367"/>
      <c r="S33" s="456">
        <f>'Resultate Bestand'!$S32</f>
        <v>33.6</v>
      </c>
      <c r="T33" s="1097">
        <f>'Resultate Bestand'!$T32</f>
        <v>100.8</v>
      </c>
      <c r="U33" s="457">
        <f>'Resultate Bestand'!$AC32</f>
        <v>28.866964285714282</v>
      </c>
      <c r="V33" s="456">
        <f>'Resultate Bestand'!$AH32</f>
        <v>11.992788888888889</v>
      </c>
      <c r="W33" s="456">
        <f>'Resultate Bestand'!$AS32</f>
        <v>0</v>
      </c>
      <c r="X33" s="456">
        <f>'Resultate Bestand'!$BA32</f>
        <v>83.958276475684798</v>
      </c>
      <c r="Y33" s="456">
        <f>'Resultate Bestand'!$BD32</f>
        <v>2.4220800000000007</v>
      </c>
      <c r="AA33" s="438">
        <f t="shared" si="0"/>
        <v>9.01</v>
      </c>
      <c r="AB33" s="435" t="str">
        <f t="shared" si="1"/>
        <v>Produktion (grobe Arbeit)</v>
      </c>
      <c r="AC33" s="439">
        <f>'Resultate Standard'!$O32</f>
        <v>5</v>
      </c>
      <c r="AD33" s="1098">
        <f>'Resultate Standard'!$P32</f>
        <v>15</v>
      </c>
      <c r="AE33" s="439">
        <f>'Resultate Standard'!$AA32</f>
        <v>3.75</v>
      </c>
      <c r="AF33" s="439">
        <f>'Resultate Standard'!$AF32</f>
        <v>1.7722222222222224</v>
      </c>
      <c r="AG33" s="439">
        <f>'Resultate Standard'!$AP32</f>
        <v>26.152069934640526</v>
      </c>
      <c r="AH33" s="439">
        <f>'Resultate Standard'!$AX32</f>
        <v>18.805633333333336</v>
      </c>
      <c r="AI33" s="433"/>
      <c r="AJ33" s="439">
        <f>'Resultate Zielwert'!$O32</f>
        <v>5</v>
      </c>
      <c r="AK33" s="1098">
        <f>'Resultate Zielwert'!$P32</f>
        <v>10</v>
      </c>
      <c r="AL33" s="439">
        <f>'Resultate Zielwert'!$AA32</f>
        <v>2.8211805555555554</v>
      </c>
      <c r="AM33" s="439">
        <f>'Resultate Zielwert'!$AF32</f>
        <v>1.0955555555555556</v>
      </c>
      <c r="AN33" s="439">
        <f>'Resultate Zielwert'!$AP32</f>
        <v>20.464939869281043</v>
      </c>
      <c r="AO33" s="439">
        <f>'Resultate Zielwert'!$AX32</f>
        <v>14.922266666666669</v>
      </c>
      <c r="AP33" s="433"/>
      <c r="AQ33" s="439">
        <f>'Resultate Bestand'!$O32</f>
        <v>10</v>
      </c>
      <c r="AR33" s="1098">
        <f>'Resultate Bestand'!$T32</f>
        <v>100.8</v>
      </c>
      <c r="AS33" s="439">
        <f>'Resultate Bestand'!$AA32</f>
        <v>6.9642857142857135</v>
      </c>
      <c r="AT33" s="439">
        <f>'Resultate Bestand'!$AF32</f>
        <v>2.9322222222222223</v>
      </c>
      <c r="AU33" s="439">
        <f>'Resultate Bestand'!$AP32</f>
        <v>0</v>
      </c>
      <c r="AV33" s="439">
        <f>'Resultate Bestand'!$AX32</f>
        <v>55.358466666666686</v>
      </c>
    </row>
    <row r="34" spans="1:48">
      <c r="A34" s="1562">
        <f>Eingabedaten!A36</f>
        <v>9.02</v>
      </c>
      <c r="B34" s="435" t="str">
        <f>Eingabedaten!C36</f>
        <v>Produktion (feine Arbeit)</v>
      </c>
      <c r="C34" s="456">
        <f>'Resultate Standard'!$S33</f>
        <v>12.2</v>
      </c>
      <c r="D34" s="1097">
        <f>'Resultate Standard'!$T33</f>
        <v>24.4</v>
      </c>
      <c r="E34" s="457">
        <f>'Resultate Standard'!$AC33</f>
        <v>10.481250000000001</v>
      </c>
      <c r="F34" s="456">
        <f>'Resultate Standard'!$AH33</f>
        <v>4.1470000000000011</v>
      </c>
      <c r="G34" s="456">
        <f>'Resultate Standard'!$AS33</f>
        <v>4.732962097128123</v>
      </c>
      <c r="H34" s="456">
        <f>'Resultate Standard'!$BA33</f>
        <v>12.552226055744933</v>
      </c>
      <c r="I34" s="456">
        <f>'Resultate Standard'!$BD33</f>
        <v>2.4220800000000007</v>
      </c>
      <c r="J34" s="367"/>
      <c r="K34" s="456">
        <f>'Resultate Zielwert'!$S33</f>
        <v>12.2</v>
      </c>
      <c r="L34" s="1097">
        <f>'Resultate Zielwert'!$T33</f>
        <v>12.2</v>
      </c>
      <c r="M34" s="457">
        <f>'Resultate Zielwert'!$AC33</f>
        <v>2.586082175925926</v>
      </c>
      <c r="N34" s="456">
        <f>'Resultate Zielwert'!$AH33</f>
        <v>1.8010933333333337</v>
      </c>
      <c r="O34" s="456">
        <f>'Resultate Zielwert'!$AS33</f>
        <v>3.3721952400254853</v>
      </c>
      <c r="P34" s="456">
        <f>'Resultate Zielwert'!$BA33</f>
        <v>7.5203829961795101</v>
      </c>
      <c r="Q34" s="456">
        <f>'Resultate Zielwert'!$BD33</f>
        <v>2.4220800000000007</v>
      </c>
      <c r="R34" s="367"/>
      <c r="S34" s="456">
        <f>'Resultate Bestand'!$S33</f>
        <v>24.4</v>
      </c>
      <c r="T34" s="1097">
        <f>'Resultate Bestand'!$T33</f>
        <v>48.8</v>
      </c>
      <c r="U34" s="457">
        <f>'Resultate Bestand'!$AC33</f>
        <v>19.46517857142857</v>
      </c>
      <c r="V34" s="456">
        <f>'Resultate Bestand'!$AH33</f>
        <v>6.8614000000000006</v>
      </c>
      <c r="W34" s="456">
        <f>'Resultate Bestand'!$AS33</f>
        <v>0</v>
      </c>
      <c r="X34" s="456">
        <f>'Resultate Bestand'!$BA33</f>
        <v>77.428060286991681</v>
      </c>
      <c r="Y34" s="456">
        <f>'Resultate Bestand'!$BD33</f>
        <v>2.4220800000000007</v>
      </c>
      <c r="AA34" s="438">
        <f t="shared" si="0"/>
        <v>9.02</v>
      </c>
      <c r="AB34" s="435" t="str">
        <f t="shared" si="1"/>
        <v>Produktion (feine Arbeit)</v>
      </c>
      <c r="AC34" s="439">
        <f>'Resultate Standard'!$O33</f>
        <v>5</v>
      </c>
      <c r="AD34" s="1098">
        <f>'Resultate Standard'!$P33</f>
        <v>10</v>
      </c>
      <c r="AE34" s="439">
        <f>'Resultate Standard'!$AA33</f>
        <v>6.25</v>
      </c>
      <c r="AF34" s="439">
        <f>'Resultate Standard'!$AF33</f>
        <v>1.0633333333333335</v>
      </c>
      <c r="AG34" s="439">
        <f>'Resultate Standard'!$AP33</f>
        <v>30.230337960784318</v>
      </c>
      <c r="AH34" s="439">
        <f>'Resultate Standard'!$AX33</f>
        <v>20.922515686274515</v>
      </c>
      <c r="AI34" s="433"/>
      <c r="AJ34" s="439">
        <f>'Resultate Zielwert'!$O33</f>
        <v>5</v>
      </c>
      <c r="AK34" s="1098">
        <f>'Resultate Zielwert'!$P33</f>
        <v>5</v>
      </c>
      <c r="AL34" s="439">
        <f>'Resultate Zielwert'!$AA33</f>
        <v>4.7019675925925926</v>
      </c>
      <c r="AM34" s="439">
        <f>'Resultate Zielwert'!$AF33</f>
        <v>0.65733333333333344</v>
      </c>
      <c r="AN34" s="439">
        <f>'Resultate Zielwert'!$AP33</f>
        <v>24.62405835294118</v>
      </c>
      <c r="AO34" s="439">
        <f>'Resultate Zielwert'!$AX33</f>
        <v>16.636031372549024</v>
      </c>
      <c r="AP34" s="433"/>
      <c r="AQ34" s="439">
        <f>'Resultate Bestand'!$O33</f>
        <v>10</v>
      </c>
      <c r="AR34" s="1098">
        <f>'Resultate Bestand'!$T33</f>
        <v>48.8</v>
      </c>
      <c r="AS34" s="439">
        <f>'Resultate Bestand'!$AA33</f>
        <v>11.607142857142856</v>
      </c>
      <c r="AT34" s="439">
        <f>'Resultate Bestand'!$AF33</f>
        <v>1.7593333333333334</v>
      </c>
      <c r="AU34" s="439">
        <f>'Resultate Bestand'!$AP33</f>
        <v>0</v>
      </c>
      <c r="AV34" s="439">
        <f>'Resultate Bestand'!$AX33</f>
        <v>61.269760784313746</v>
      </c>
    </row>
    <row r="35" spans="1:48">
      <c r="A35" s="1562">
        <f>Eingabedaten!A37</f>
        <v>9.0299999999999994</v>
      </c>
      <c r="B35" s="435" t="str">
        <f>Eingabedaten!C37</f>
        <v>Laborraum</v>
      </c>
      <c r="C35" s="456">
        <f>'Resultate Standard'!$S34</f>
        <v>12.2</v>
      </c>
      <c r="D35" s="1097">
        <f>'Resultate Standard'!$T34</f>
        <v>36.6</v>
      </c>
      <c r="E35" s="457">
        <f>'Resultate Standard'!$AC34</f>
        <v>13.191011904761904</v>
      </c>
      <c r="F35" s="456">
        <f>'Resultate Standard'!$AH34</f>
        <v>4.1470000000000011</v>
      </c>
      <c r="G35" s="456">
        <f>'Resultate Standard'!$AS34</f>
        <v>5.3191977705098026</v>
      </c>
      <c r="H35" s="456">
        <f>'Resultate Standard'!$BA34</f>
        <v>20.439720165467186</v>
      </c>
      <c r="I35" s="456">
        <f>'Resultate Standard'!$BD34</f>
        <v>2.4220800000000007</v>
      </c>
      <c r="J35" s="367"/>
      <c r="K35" s="456">
        <f>'Resultate Zielwert'!$S34</f>
        <v>12.2</v>
      </c>
      <c r="L35" s="1097">
        <f>'Resultate Zielwert'!$T34</f>
        <v>24.4</v>
      </c>
      <c r="M35" s="457">
        <f>'Resultate Zielwert'!$AC34</f>
        <v>2.7081425518925517</v>
      </c>
      <c r="N35" s="456">
        <f>'Resultate Zielwert'!$AH34</f>
        <v>1.8010933333333337</v>
      </c>
      <c r="O35" s="456">
        <f>'Resultate Zielwert'!$AS34</f>
        <v>3.2239598320844824</v>
      </c>
      <c r="P35" s="456">
        <f>'Resultate Zielwert'!$BA34</f>
        <v>12.730999335260602</v>
      </c>
      <c r="Q35" s="456">
        <f>'Resultate Zielwert'!$BD34</f>
        <v>2.4220800000000007</v>
      </c>
      <c r="R35" s="367"/>
      <c r="S35" s="456">
        <f>'Resultate Bestand'!$S34</f>
        <v>24.4</v>
      </c>
      <c r="T35" s="1097">
        <f>'Resultate Bestand'!$T34</f>
        <v>73.2</v>
      </c>
      <c r="U35" s="457">
        <f>'Resultate Bestand'!$AC34</f>
        <v>16.959872448979592</v>
      </c>
      <c r="V35" s="456">
        <f>'Resultate Bestand'!$AH34</f>
        <v>6.8614000000000006</v>
      </c>
      <c r="W35" s="456">
        <f>'Resultate Bestand'!$AS34</f>
        <v>0</v>
      </c>
      <c r="X35" s="456">
        <f>'Resultate Bestand'!$BA34</f>
        <v>113.61783360263072</v>
      </c>
      <c r="Y35" s="456">
        <f>'Resultate Bestand'!$BD34</f>
        <v>2.4220800000000007</v>
      </c>
      <c r="AA35" s="438">
        <f t="shared" si="0"/>
        <v>9.0299999999999994</v>
      </c>
      <c r="AB35" s="435" t="str">
        <f t="shared" si="1"/>
        <v>Laborraum</v>
      </c>
      <c r="AC35" s="439">
        <f>'Resultate Standard'!$O34</f>
        <v>5</v>
      </c>
      <c r="AD35" s="1098">
        <f>'Resultate Standard'!$P34</f>
        <v>15</v>
      </c>
      <c r="AE35" s="439">
        <f>'Resultate Standard'!$AA34</f>
        <v>9.9404761904761898</v>
      </c>
      <c r="AF35" s="439">
        <f>'Resultate Standard'!$AF34</f>
        <v>1.0633333333333335</v>
      </c>
      <c r="AG35" s="439">
        <f>'Resultate Standard'!$AP34</f>
        <v>42.965571854341732</v>
      </c>
      <c r="AH35" s="439">
        <f>'Resultate Standard'!$AX34</f>
        <v>26.242058263305324</v>
      </c>
      <c r="AI35" s="433"/>
      <c r="AJ35" s="439">
        <f>'Resultate Zielwert'!$O34</f>
        <v>5</v>
      </c>
      <c r="AK35" s="1098">
        <f>'Resultate Zielwert'!$P34</f>
        <v>10</v>
      </c>
      <c r="AL35" s="439">
        <f>'Resultate Zielwert'!$AA34</f>
        <v>6.3721001221001217</v>
      </c>
      <c r="AM35" s="439">
        <f>'Resultate Zielwert'!$AF34</f>
        <v>0.65733333333333344</v>
      </c>
      <c r="AN35" s="439">
        <f>'Resultate Zielwert'!$AP34</f>
        <v>33.351753142857142</v>
      </c>
      <c r="AO35" s="439">
        <f>'Resultate Zielwert'!$AX34</f>
        <v>19.739104761904766</v>
      </c>
      <c r="AP35" s="433"/>
      <c r="AQ35" s="439">
        <f>'Resultate Bestand'!$O34</f>
        <v>10</v>
      </c>
      <c r="AR35" s="1098">
        <f>'Resultate Bestand'!$T34</f>
        <v>73.2</v>
      </c>
      <c r="AS35" s="439">
        <f>'Resultate Bestand'!$AA34</f>
        <v>12.780612244897959</v>
      </c>
      <c r="AT35" s="439">
        <f>'Resultate Bestand'!$AF34</f>
        <v>1.7593333333333334</v>
      </c>
      <c r="AU35" s="439">
        <f>'Resultate Bestand'!$AP34</f>
        <v>0</v>
      </c>
      <c r="AV35" s="439">
        <f>'Resultate Bestand'!$AX34</f>
        <v>72.490445938375359</v>
      </c>
    </row>
    <row r="36" spans="1:48">
      <c r="A36" s="1562">
        <f>Eingabedaten!A38</f>
        <v>10.01</v>
      </c>
      <c r="B36" s="435" t="str">
        <f>Eingabedaten!C38</f>
        <v>Lagerhalle</v>
      </c>
      <c r="C36" s="456">
        <f>'Resultate Standard'!$S35</f>
        <v>6.32</v>
      </c>
      <c r="D36" s="1097">
        <f>'Resultate Standard'!$T35</f>
        <v>0</v>
      </c>
      <c r="E36" s="457">
        <f>'Resultate Standard'!$AC35</f>
        <v>16.213326923076924</v>
      </c>
      <c r="F36" s="456">
        <f>'Resultate Standard'!$AH35</f>
        <v>2.563600000000001</v>
      </c>
      <c r="G36" s="456">
        <f>'Resultate Standard'!$AS35</f>
        <v>0</v>
      </c>
      <c r="H36" s="456">
        <f>'Resultate Standard'!$BA35</f>
        <v>9.6329444067037233</v>
      </c>
      <c r="I36" s="456">
        <f>'Resultate Standard'!$BD35</f>
        <v>0.9082800000000002</v>
      </c>
      <c r="J36" s="367"/>
      <c r="K36" s="456">
        <f>'Resultate Zielwert'!$S35</f>
        <v>3.16</v>
      </c>
      <c r="L36" s="1097">
        <f>'Resultate Zielwert'!$T35</f>
        <v>0</v>
      </c>
      <c r="M36" s="457">
        <f>'Resultate Zielwert'!$AC35</f>
        <v>4.9143229166666673</v>
      </c>
      <c r="N36" s="456">
        <f>'Resultate Zielwert'!$AH35</f>
        <v>1.1020845833333337</v>
      </c>
      <c r="O36" s="456">
        <f>'Resultate Zielwert'!$AS35</f>
        <v>0</v>
      </c>
      <c r="P36" s="456">
        <f>'Resultate Zielwert'!$BA35</f>
        <v>7.9670791010373421</v>
      </c>
      <c r="Q36" s="456">
        <f>'Resultate Zielwert'!$BD35</f>
        <v>0.9082800000000002</v>
      </c>
      <c r="R36" s="367"/>
      <c r="S36" s="456">
        <f>'Resultate Bestand'!$S35</f>
        <v>9.48</v>
      </c>
      <c r="T36" s="1097">
        <f>'Resultate Bestand'!$T35</f>
        <v>0</v>
      </c>
      <c r="U36" s="457">
        <f>'Resultate Bestand'!$AC35</f>
        <v>30.110464285714286</v>
      </c>
      <c r="V36" s="456">
        <f>'Resultate Bestand'!$AH35</f>
        <v>0</v>
      </c>
      <c r="W36" s="456">
        <f>'Resultate Bestand'!$AS35</f>
        <v>0</v>
      </c>
      <c r="X36" s="456">
        <f>'Resultate Bestand'!$BA35</f>
        <v>71.863972588285904</v>
      </c>
      <c r="Y36" s="456">
        <f>'Resultate Bestand'!$BD35</f>
        <v>0.9082800000000002</v>
      </c>
      <c r="AA36" s="438">
        <f t="shared" si="0"/>
        <v>10.01</v>
      </c>
      <c r="AB36" s="435" t="str">
        <f t="shared" si="1"/>
        <v>Lagerhalle</v>
      </c>
      <c r="AC36" s="439">
        <f>'Resultate Standard'!$O35</f>
        <v>2</v>
      </c>
      <c r="AD36" s="1098">
        <f>'Resultate Standard'!$P35</f>
        <v>0</v>
      </c>
      <c r="AE36" s="439">
        <f>'Resultate Standard'!$AA35</f>
        <v>3.9115384615384619</v>
      </c>
      <c r="AF36" s="439">
        <f>'Resultate Standard'!$AF35</f>
        <v>0.41083333333333344</v>
      </c>
      <c r="AG36" s="439">
        <f>'Resultate Standard'!$AP35</f>
        <v>0</v>
      </c>
      <c r="AH36" s="439">
        <f>'Resultate Standard'!$AX35</f>
        <v>18.805633333333336</v>
      </c>
      <c r="AI36" s="433"/>
      <c r="AJ36" s="439">
        <f>'Resultate Zielwert'!$O35</f>
        <v>1</v>
      </c>
      <c r="AK36" s="1098">
        <f>'Resultate Zielwert'!$P35</f>
        <v>0</v>
      </c>
      <c r="AL36" s="439">
        <f>'Resultate Zielwert'!$AA35</f>
        <v>2.9427083333333335</v>
      </c>
      <c r="AM36" s="439">
        <f>'Resultate Zielwert'!$AF35</f>
        <v>0.26945833333333341</v>
      </c>
      <c r="AN36" s="439">
        <f>'Resultate Zielwert'!$AP35</f>
        <v>0</v>
      </c>
      <c r="AO36" s="439">
        <f>'Resultate Zielwert'!$AX35</f>
        <v>14.922266666666669</v>
      </c>
      <c r="AP36" s="433"/>
      <c r="AQ36" s="439">
        <f>'Resultate Bestand'!$O35</f>
        <v>3</v>
      </c>
      <c r="AR36" s="1098">
        <f>'Resultate Bestand'!$T35</f>
        <v>0</v>
      </c>
      <c r="AS36" s="439">
        <f>'Resultate Bestand'!$AA35</f>
        <v>7.2642857142857142</v>
      </c>
      <c r="AT36" s="439">
        <f>'Resultate Bestand'!$AF35</f>
        <v>0</v>
      </c>
      <c r="AU36" s="439">
        <f>'Resultate Bestand'!$AP35</f>
        <v>0</v>
      </c>
      <c r="AV36" s="439">
        <f>'Resultate Bestand'!$AX35</f>
        <v>68.305666666666681</v>
      </c>
    </row>
    <row r="37" spans="1:48">
      <c r="A37" s="1562">
        <f>Eingabedaten!A39</f>
        <v>11.01</v>
      </c>
      <c r="B37" s="435" t="str">
        <f>Eingabedaten!C39</f>
        <v>Turnhalle</v>
      </c>
      <c r="C37" s="456">
        <f>'Resultate Standard'!$S36</f>
        <v>2.59</v>
      </c>
      <c r="D37" s="1097">
        <f>'Resultate Standard'!$T36</f>
        <v>0</v>
      </c>
      <c r="E37" s="457">
        <f>'Resultate Standard'!$AC36</f>
        <v>19.686944444444439</v>
      </c>
      <c r="F37" s="456">
        <f>'Resultate Standard'!$AH36</f>
        <v>4.2028250000000007</v>
      </c>
      <c r="G37" s="456">
        <f>'Resultate Standard'!$AS36</f>
        <v>0</v>
      </c>
      <c r="H37" s="456">
        <f>'Resultate Standard'!$BA36</f>
        <v>29.411197237886949</v>
      </c>
      <c r="I37" s="456">
        <f>'Resultate Standard'!$BD36</f>
        <v>63.48006246575342</v>
      </c>
      <c r="J37" s="367"/>
      <c r="K37" s="456">
        <f>'Resultate Zielwert'!$S36</f>
        <v>0</v>
      </c>
      <c r="L37" s="1097">
        <f>'Resultate Zielwert'!$T36</f>
        <v>0</v>
      </c>
      <c r="M37" s="457">
        <f>'Resultate Zielwert'!$AC36</f>
        <v>5.0220649335232652</v>
      </c>
      <c r="N37" s="456">
        <f>'Resultate Zielwert'!$AH36</f>
        <v>2.1341100000000002</v>
      </c>
      <c r="O37" s="456">
        <f>'Resultate Zielwert'!$AS36</f>
        <v>0</v>
      </c>
      <c r="P37" s="456">
        <f>'Resultate Zielwert'!$BA36</f>
        <v>24.031142924194953</v>
      </c>
      <c r="Q37" s="456">
        <f>'Resultate Zielwert'!$BD36</f>
        <v>63.48006246575342</v>
      </c>
      <c r="R37" s="367"/>
      <c r="S37" s="456">
        <f>'Resultate Bestand'!$S36</f>
        <v>5.18</v>
      </c>
      <c r="T37" s="1097">
        <f>'Resultate Bestand'!$T36</f>
        <v>0</v>
      </c>
      <c r="U37" s="457">
        <f>'Resultate Bestand'!$AC36</f>
        <v>25.311785714285712</v>
      </c>
      <c r="V37" s="456">
        <f>'Resultate Bestand'!$AH36</f>
        <v>0</v>
      </c>
      <c r="W37" s="456">
        <f>'Resultate Bestand'!$AS36</f>
        <v>0</v>
      </c>
      <c r="X37" s="456">
        <f>'Resultate Bestand'!$BA36</f>
        <v>79.66891557091931</v>
      </c>
      <c r="Y37" s="456">
        <f>'Resultate Bestand'!$BD36</f>
        <v>63.48006246575342</v>
      </c>
      <c r="AA37" s="438">
        <f t="shared" si="0"/>
        <v>11.01</v>
      </c>
      <c r="AB37" s="435" t="str">
        <f t="shared" si="1"/>
        <v>Turnhalle</v>
      </c>
      <c r="AC37" s="439">
        <f>'Resultate Standard'!$O36</f>
        <v>1</v>
      </c>
      <c r="AD37" s="1098">
        <f>'Resultate Standard'!$P36</f>
        <v>0</v>
      </c>
      <c r="AE37" s="439">
        <f>'Resultate Standard'!$AA36</f>
        <v>8.773148148148147</v>
      </c>
      <c r="AF37" s="439">
        <f>'Resultate Standard'!$AF36</f>
        <v>1.2325000000000002</v>
      </c>
      <c r="AG37" s="439">
        <f>'Resultate Standard'!$AP36</f>
        <v>0</v>
      </c>
      <c r="AH37" s="439">
        <f>'Resultate Standard'!$AX36</f>
        <v>18.132866666666665</v>
      </c>
      <c r="AI37" s="433"/>
      <c r="AJ37" s="439">
        <f>'Resultate Zielwert'!$O36</f>
        <v>0</v>
      </c>
      <c r="AK37" s="1098">
        <f>'Resultate Zielwert'!$P36</f>
        <v>0</v>
      </c>
      <c r="AL37" s="439">
        <f>'Resultate Zielwert'!$AA36</f>
        <v>5.6238129154795811</v>
      </c>
      <c r="AM37" s="439">
        <f>'Resultate Zielwert'!$AF36</f>
        <v>0.80837500000000007</v>
      </c>
      <c r="AN37" s="439">
        <f>'Resultate Zielwert'!$AP36</f>
        <v>0</v>
      </c>
      <c r="AO37" s="439">
        <f>'Resultate Zielwert'!$AX36</f>
        <v>14.554933333333334</v>
      </c>
      <c r="AP37" s="433"/>
      <c r="AQ37" s="439">
        <f>'Resultate Bestand'!$O36</f>
        <v>2</v>
      </c>
      <c r="AR37" s="1098">
        <f>'Resultate Bestand'!$T36</f>
        <v>0</v>
      </c>
      <c r="AS37" s="439">
        <f>'Resultate Bestand'!$AA36</f>
        <v>11.279761904761903</v>
      </c>
      <c r="AT37" s="439">
        <f>'Resultate Bestand'!$AF36</f>
        <v>0</v>
      </c>
      <c r="AU37" s="439">
        <f>'Resultate Bestand'!$AP36</f>
        <v>0</v>
      </c>
      <c r="AV37" s="439">
        <f>'Resultate Bestand'!$AX36</f>
        <v>64.884000000000015</v>
      </c>
    </row>
    <row r="38" spans="1:48">
      <c r="A38" s="1562">
        <f>Eingabedaten!A40</f>
        <v>11.02</v>
      </c>
      <c r="B38" s="435" t="str">
        <f>Eingabedaten!C40</f>
        <v>Fitnessraum</v>
      </c>
      <c r="C38" s="456">
        <f>'Resultate Standard'!$S37</f>
        <v>6.82</v>
      </c>
      <c r="D38" s="1097">
        <f>'Resultate Standard'!$T37</f>
        <v>0</v>
      </c>
      <c r="E38" s="457">
        <f>'Resultate Standard'!$AC37</f>
        <v>15.543166666666668</v>
      </c>
      <c r="F38" s="456">
        <f>'Resultate Standard'!$AH37</f>
        <v>13.796750000000001</v>
      </c>
      <c r="G38" s="456">
        <f>'Resultate Standard'!$AS37</f>
        <v>3.7457334694669875</v>
      </c>
      <c r="H38" s="456">
        <f>'Resultate Standard'!$BA37</f>
        <v>11.86218645716934</v>
      </c>
      <c r="I38" s="456">
        <f>'Resultate Standard'!$BD37</f>
        <v>87.139200000000017</v>
      </c>
      <c r="J38" s="367"/>
      <c r="K38" s="456">
        <f>'Resultate Zielwert'!$S37</f>
        <v>3.41</v>
      </c>
      <c r="L38" s="1097">
        <f>'Resultate Zielwert'!$T37</f>
        <v>0</v>
      </c>
      <c r="M38" s="457">
        <f>'Resultate Zielwert'!$AC37</f>
        <v>4.0478988603988597</v>
      </c>
      <c r="N38" s="456">
        <f>'Resultate Zielwert'!$AH37</f>
        <v>8.5289000000000019</v>
      </c>
      <c r="O38" s="456">
        <f>'Resultate Zielwert'!$AS37</f>
        <v>1.2699722726479281</v>
      </c>
      <c r="P38" s="456">
        <f>'Resultate Zielwert'!$BA37</f>
        <v>10.668333904630339</v>
      </c>
      <c r="Q38" s="456">
        <f>'Resultate Zielwert'!$BD37</f>
        <v>87.139200000000017</v>
      </c>
      <c r="R38" s="367"/>
      <c r="S38" s="456">
        <f>'Resultate Bestand'!$S37</f>
        <v>10.23</v>
      </c>
      <c r="T38" s="1097">
        <f>'Resultate Bestand'!$T37</f>
        <v>0</v>
      </c>
      <c r="U38" s="457">
        <f>'Resultate Bestand'!$AC37</f>
        <v>19.984071428571433</v>
      </c>
      <c r="V38" s="456">
        <f>'Resultate Bestand'!$AH37</f>
        <v>29.490825000000001</v>
      </c>
      <c r="W38" s="456">
        <f>'Resultate Bestand'!$AS37</f>
        <v>0</v>
      </c>
      <c r="X38" s="456">
        <f>'Resultate Bestand'!$BA37</f>
        <v>79.46091601919322</v>
      </c>
      <c r="Y38" s="456">
        <f>'Resultate Bestand'!$BD37</f>
        <v>87.139200000000017</v>
      </c>
      <c r="AA38" s="438">
        <f t="shared" si="0"/>
        <v>11.02</v>
      </c>
      <c r="AB38" s="435" t="str">
        <f t="shared" si="1"/>
        <v>Fitnessraum</v>
      </c>
      <c r="AC38" s="439">
        <f>'Resultate Standard'!$O37</f>
        <v>2</v>
      </c>
      <c r="AD38" s="1098">
        <f>'Resultate Standard'!$P37</f>
        <v>0</v>
      </c>
      <c r="AE38" s="439">
        <f>'Resultate Standard'!$AA37</f>
        <v>4.9722222222222223</v>
      </c>
      <c r="AF38" s="439">
        <f>'Resultate Standard'!$AF37</f>
        <v>3.9875000000000003</v>
      </c>
      <c r="AG38" s="439">
        <f>'Resultate Standard'!$AP37</f>
        <v>27.008675686274511</v>
      </c>
      <c r="AH38" s="439">
        <f>'Resultate Standard'!$AX37</f>
        <v>11.236066666666666</v>
      </c>
      <c r="AI38" s="433"/>
      <c r="AJ38" s="439">
        <f>'Resultate Zielwert'!$O37</f>
        <v>1</v>
      </c>
      <c r="AK38" s="1098">
        <f>'Resultate Zielwert'!$P37</f>
        <v>0</v>
      </c>
      <c r="AL38" s="439">
        <f>'Resultate Zielwert'!$AA37</f>
        <v>3.1873219373219368</v>
      </c>
      <c r="AM38" s="439">
        <f>'Resultate Zielwert'!$AF37</f>
        <v>2.4650000000000003</v>
      </c>
      <c r="AN38" s="439">
        <f>'Resultate Zielwert'!$AP37</f>
        <v>21.157991372549017</v>
      </c>
      <c r="AO38" s="439">
        <f>'Resultate Zielwert'!$AX37</f>
        <v>8.7729999999999997</v>
      </c>
      <c r="AP38" s="433"/>
      <c r="AQ38" s="439">
        <f>'Resultate Bestand'!$O37</f>
        <v>3</v>
      </c>
      <c r="AR38" s="1098">
        <f>'Resultate Bestand'!$T37</f>
        <v>0</v>
      </c>
      <c r="AS38" s="439">
        <f>'Resultate Bestand'!$AA37</f>
        <v>6.3928571428571441</v>
      </c>
      <c r="AT38" s="439">
        <f>'Resultate Bestand'!$AF37</f>
        <v>6.5975000000000001</v>
      </c>
      <c r="AU38" s="439">
        <f>'Resultate Bestand'!$AP37</f>
        <v>0</v>
      </c>
      <c r="AV38" s="439">
        <f>'Resultate Bestand'!$AX37</f>
        <v>33.646033333333335</v>
      </c>
    </row>
    <row r="39" spans="1:48">
      <c r="A39" s="1562">
        <f>Eingabedaten!A41</f>
        <v>11.03</v>
      </c>
      <c r="B39" s="435" t="str">
        <f>Eingabedaten!C41</f>
        <v>Schwimmhalle</v>
      </c>
      <c r="C39" s="456">
        <f>'Resultate Standard'!$S38</f>
        <v>10.23</v>
      </c>
      <c r="D39" s="1097">
        <f>'Resultate Standard'!$T38</f>
        <v>341</v>
      </c>
      <c r="E39" s="457">
        <f>'Resultate Standard'!$AC38</f>
        <v>15.887800000000002</v>
      </c>
      <c r="F39" s="456">
        <f>'Resultate Standard'!$AH38</f>
        <v>11.882750000000001</v>
      </c>
      <c r="G39" s="456">
        <f>'Resultate Standard'!$AS38</f>
        <v>0</v>
      </c>
      <c r="H39" s="456">
        <f>'Resultate Standard'!$BA38</f>
        <v>43.74080469575118</v>
      </c>
      <c r="I39" s="456">
        <f>'Resultate Standard'!$BD38</f>
        <v>145.23200000000006</v>
      </c>
      <c r="J39" s="367"/>
      <c r="K39" s="456">
        <f>'Resultate Zielwert'!$S38</f>
        <v>6.82</v>
      </c>
      <c r="L39" s="1097">
        <f>'Resultate Zielwert'!$T38</f>
        <v>170.5</v>
      </c>
      <c r="M39" s="457">
        <f>'Resultate Zielwert'!$AC38</f>
        <v>3.502275641025641</v>
      </c>
      <c r="N39" s="456">
        <f>'Resultate Zielwert'!$AH38</f>
        <v>5.6859333333333355</v>
      </c>
      <c r="O39" s="456">
        <f>'Resultate Zielwert'!$AS38</f>
        <v>0</v>
      </c>
      <c r="P39" s="456">
        <f>'Resultate Zielwert'!$BA38</f>
        <v>27.214400829162148</v>
      </c>
      <c r="Q39" s="456">
        <f>'Resultate Zielwert'!$BD38</f>
        <v>145.23200000000006</v>
      </c>
      <c r="R39" s="367"/>
      <c r="S39" s="456">
        <f>'Resultate Bestand'!$S38</f>
        <v>13.64</v>
      </c>
      <c r="T39" s="1097">
        <f>'Resultate Bestand'!$T38</f>
        <v>511.5</v>
      </c>
      <c r="U39" s="457">
        <f>'Resultate Bestand'!$AC38</f>
        <v>20.42717142857143</v>
      </c>
      <c r="V39" s="456">
        <f>'Resultate Bestand'!$AH38</f>
        <v>19.660550000000004</v>
      </c>
      <c r="W39" s="456">
        <f>'Resultate Bestand'!$AS38</f>
        <v>0</v>
      </c>
      <c r="X39" s="456">
        <f>'Resultate Bestand'!$BA38</f>
        <v>197.4876605048342</v>
      </c>
      <c r="Y39" s="456">
        <f>'Resultate Bestand'!$BD38</f>
        <v>145.23200000000006</v>
      </c>
      <c r="AA39" s="438">
        <f t="shared" si="0"/>
        <v>11.03</v>
      </c>
      <c r="AB39" s="435" t="str">
        <f t="shared" si="1"/>
        <v>Schwimmhalle</v>
      </c>
      <c r="AC39" s="439">
        <f>'Resultate Standard'!$O38</f>
        <v>3</v>
      </c>
      <c r="AD39" s="1098">
        <f>'Resultate Standard'!$P38</f>
        <v>100</v>
      </c>
      <c r="AE39" s="439">
        <f>'Resultate Standard'!$AA38</f>
        <v>5.65</v>
      </c>
      <c r="AF39" s="439">
        <f>'Resultate Standard'!$AF38</f>
        <v>2.6583333333333337</v>
      </c>
      <c r="AG39" s="439">
        <f>'Resultate Standard'!$AP38</f>
        <v>0</v>
      </c>
      <c r="AH39" s="439">
        <f>'Resultate Standard'!$AX38</f>
        <v>23.039398039215691</v>
      </c>
      <c r="AI39" s="433"/>
      <c r="AJ39" s="439">
        <f>'Resultate Zielwert'!$O38</f>
        <v>2</v>
      </c>
      <c r="AK39" s="1098">
        <f>'Resultate Zielwert'!$P38</f>
        <v>50</v>
      </c>
      <c r="AL39" s="439">
        <f>'Resultate Zielwert'!$AA38</f>
        <v>3.6217948717948718</v>
      </c>
      <c r="AM39" s="439">
        <f>'Resultate Zielwert'!$AF38</f>
        <v>1.6433333333333338</v>
      </c>
      <c r="AN39" s="439">
        <f>'Resultate Zielwert'!$AP38</f>
        <v>0</v>
      </c>
      <c r="AO39" s="439">
        <f>'Resultate Zielwert'!$AX38</f>
        <v>18.349796078431375</v>
      </c>
      <c r="AP39" s="433"/>
      <c r="AQ39" s="439">
        <f>'Resultate Bestand'!$O38</f>
        <v>4</v>
      </c>
      <c r="AR39" s="1098">
        <f>'Resultate Bestand'!$T38</f>
        <v>511.5</v>
      </c>
      <c r="AS39" s="439">
        <f>'Resultate Bestand'!$AA38</f>
        <v>7.2642857142857142</v>
      </c>
      <c r="AT39" s="439">
        <f>'Resultate Bestand'!$AF38</f>
        <v>4.3983333333333343</v>
      </c>
      <c r="AU39" s="439">
        <f>'Resultate Bestand'!$AP38</f>
        <v>0</v>
      </c>
      <c r="AV39" s="439">
        <f>'Resultate Bestand'!$AX38</f>
        <v>67.181054901960806</v>
      </c>
    </row>
    <row r="40" spans="1:48">
      <c r="A40" s="1562">
        <f>Eingabedaten!A42</f>
        <v>12.01</v>
      </c>
      <c r="B40" s="435" t="str">
        <f>Eingabedaten!C42</f>
        <v>Verkehrsfläche</v>
      </c>
      <c r="C40" s="456">
        <f>'Resultate Standard'!$S39</f>
        <v>0</v>
      </c>
      <c r="D40" s="1097">
        <f>'Resultate Standard'!$T39</f>
        <v>0</v>
      </c>
      <c r="E40" s="457">
        <f>'Resultate Standard'!$AC39</f>
        <v>3.8477111111111122</v>
      </c>
      <c r="F40" s="456">
        <f>'Resultate Standard'!$AH39</f>
        <v>1.2155</v>
      </c>
      <c r="G40" s="456">
        <f>'Resultate Standard'!$AS39</f>
        <v>0</v>
      </c>
      <c r="H40" s="456">
        <f>'Resultate Standard'!$BA39</f>
        <v>17.681625271928997</v>
      </c>
      <c r="I40" s="456">
        <f>'Resultate Standard'!$BD39</f>
        <v>0</v>
      </c>
      <c r="J40" s="367"/>
      <c r="K40" s="456">
        <f>'Resultate Zielwert'!$S39</f>
        <v>0</v>
      </c>
      <c r="L40" s="1097">
        <f>'Resultate Zielwert'!$T39</f>
        <v>0</v>
      </c>
      <c r="M40" s="457">
        <f>'Resultate Zielwert'!$AC39</f>
        <v>0.4521296296296296</v>
      </c>
      <c r="N40" s="456">
        <f>'Resultate Zielwert'!$AH39</f>
        <v>0.27370000000000005</v>
      </c>
      <c r="O40" s="456">
        <f>'Resultate Zielwert'!$AS39</f>
        <v>0</v>
      </c>
      <c r="P40" s="456">
        <f>'Resultate Zielwert'!$BA39</f>
        <v>12.279819926368052</v>
      </c>
      <c r="Q40" s="456">
        <f>'Resultate Zielwert'!$BD39</f>
        <v>0</v>
      </c>
      <c r="R40" s="367"/>
      <c r="S40" s="456">
        <f>'Resultate Bestand'!$S39</f>
        <v>0</v>
      </c>
      <c r="T40" s="1097">
        <f>'Resultate Bestand'!$T39</f>
        <v>0</v>
      </c>
      <c r="U40" s="457">
        <f>'Resultate Bestand'!$AC39</f>
        <v>4.9470571428571439</v>
      </c>
      <c r="V40" s="456">
        <f>'Resultate Bestand'!$AH39</f>
        <v>0</v>
      </c>
      <c r="W40" s="456">
        <f>'Resultate Bestand'!$AS39</f>
        <v>0</v>
      </c>
      <c r="X40" s="456">
        <f>'Resultate Bestand'!$BA39</f>
        <v>20.66006602052056</v>
      </c>
      <c r="Y40" s="456">
        <f>'Resultate Bestand'!$BD39</f>
        <v>0</v>
      </c>
      <c r="AA40" s="438">
        <f t="shared" si="0"/>
        <v>12.01</v>
      </c>
      <c r="AB40" s="435" t="str">
        <f t="shared" si="1"/>
        <v>Verkehrsfläche</v>
      </c>
      <c r="AC40" s="439">
        <f>'Resultate Standard'!$O39</f>
        <v>0</v>
      </c>
      <c r="AD40" s="1098">
        <f>'Resultate Standard'!$P39</f>
        <v>0</v>
      </c>
      <c r="AE40" s="439">
        <f>'Resultate Standard'!$AA39</f>
        <v>2.7444444444444454</v>
      </c>
      <c r="AF40" s="439">
        <f>'Resultate Standard'!$AF39</f>
        <v>0.27500000000000002</v>
      </c>
      <c r="AG40" s="439">
        <f>'Resultate Standard'!$AP39</f>
        <v>0</v>
      </c>
      <c r="AH40" s="439">
        <f>'Resultate Standard'!$AX39</f>
        <v>19.551676470588237</v>
      </c>
      <c r="AI40" s="433"/>
      <c r="AJ40" s="439">
        <f>'Resultate Zielwert'!$O39</f>
        <v>0</v>
      </c>
      <c r="AK40" s="1098">
        <f>'Resultate Zielwert'!$P39</f>
        <v>0</v>
      </c>
      <c r="AL40" s="439">
        <f>'Resultate Zielwert'!$AA39</f>
        <v>1.7592592592592593</v>
      </c>
      <c r="AM40" s="439">
        <f>'Resultate Zielwert'!$AF39</f>
        <v>0.17</v>
      </c>
      <c r="AN40" s="439">
        <f>'Resultate Zielwert'!$AP39</f>
        <v>0</v>
      </c>
      <c r="AO40" s="439">
        <f>'Resultate Zielwert'!$AX39</f>
        <v>16.145882352941179</v>
      </c>
      <c r="AP40" s="433"/>
      <c r="AQ40" s="439">
        <f>'Resultate Bestand'!$O39</f>
        <v>0</v>
      </c>
      <c r="AR40" s="1098">
        <f>'Resultate Bestand'!$T39</f>
        <v>0</v>
      </c>
      <c r="AS40" s="439">
        <f>'Resultate Bestand'!$AA39</f>
        <v>3.5285714285714294</v>
      </c>
      <c r="AT40" s="439">
        <f>'Resultate Bestand'!$AF39</f>
        <v>0</v>
      </c>
      <c r="AU40" s="439">
        <f>'Resultate Bestand'!$AP39</f>
        <v>0</v>
      </c>
      <c r="AV40" s="439">
        <f>'Resultate Bestand'!$AX39</f>
        <v>33.578294117647062</v>
      </c>
    </row>
    <row r="41" spans="1:48">
      <c r="A41" s="1562">
        <f>Eingabedaten!A43</f>
        <v>12.02</v>
      </c>
      <c r="B41" s="435" t="str">
        <f>Eingabedaten!C43</f>
        <v>Verkehrsfläche 24 h</v>
      </c>
      <c r="C41" s="456">
        <f>'Resultate Standard'!$S40</f>
        <v>0</v>
      </c>
      <c r="D41" s="1097">
        <f>'Resultate Standard'!$T40</f>
        <v>0</v>
      </c>
      <c r="E41" s="457">
        <f>'Resultate Standard'!$AC40</f>
        <v>16.510577777777783</v>
      </c>
      <c r="F41" s="456">
        <f>'Resultate Standard'!$AH40</f>
        <v>1.7160000000000002</v>
      </c>
      <c r="G41" s="456">
        <f>'Resultate Standard'!$AS40</f>
        <v>7.8931048002870812</v>
      </c>
      <c r="H41" s="456">
        <f>'Resultate Standard'!$BA40</f>
        <v>14.006695748053533</v>
      </c>
      <c r="I41" s="456">
        <f>'Resultate Standard'!$BD40</f>
        <v>0</v>
      </c>
      <c r="J41" s="367"/>
      <c r="K41" s="456">
        <f>'Resultate Zielwert'!$S40</f>
        <v>0</v>
      </c>
      <c r="L41" s="1097">
        <f>'Resultate Zielwert'!$T40</f>
        <v>0</v>
      </c>
      <c r="M41" s="457">
        <f>'Resultate Zielwert'!$AC40</f>
        <v>3.163148148148148</v>
      </c>
      <c r="N41" s="456">
        <f>'Resultate Zielwert'!$AH40</f>
        <v>0.38590000000000002</v>
      </c>
      <c r="O41" s="456">
        <f>'Resultate Zielwert'!$AS40</f>
        <v>2.2200684682971303</v>
      </c>
      <c r="P41" s="456">
        <f>'Resultate Zielwert'!$BA40</f>
        <v>11.647262414573472</v>
      </c>
      <c r="Q41" s="456">
        <f>'Resultate Zielwert'!$BD40</f>
        <v>0</v>
      </c>
      <c r="R41" s="367"/>
      <c r="S41" s="456">
        <f>'Resultate Bestand'!$S40</f>
        <v>0</v>
      </c>
      <c r="T41" s="1097">
        <f>'Resultate Bestand'!$T40</f>
        <v>0</v>
      </c>
      <c r="U41" s="457">
        <f>'Resultate Bestand'!$AC40</f>
        <v>21.227885714285719</v>
      </c>
      <c r="V41" s="456">
        <f>'Resultate Bestand'!$AH40</f>
        <v>0</v>
      </c>
      <c r="W41" s="456">
        <f>'Resultate Bestand'!$AS40</f>
        <v>7.9744367502117166</v>
      </c>
      <c r="X41" s="456">
        <f>'Resultate Bestand'!$BA40</f>
        <v>19.958937658470898</v>
      </c>
      <c r="Y41" s="456">
        <f>'Resultate Bestand'!$BD40</f>
        <v>0</v>
      </c>
      <c r="AA41" s="438">
        <f t="shared" si="0"/>
        <v>12.02</v>
      </c>
      <c r="AB41" s="435" t="str">
        <f t="shared" si="1"/>
        <v>Verkehrsfläche 24 h</v>
      </c>
      <c r="AC41" s="439">
        <f>'Resultate Standard'!$O40</f>
        <v>0</v>
      </c>
      <c r="AD41" s="1098">
        <f>'Resultate Standard'!$P40</f>
        <v>0</v>
      </c>
      <c r="AE41" s="439">
        <f>'Resultate Standard'!$AA40</f>
        <v>5.4888888888888907</v>
      </c>
      <c r="AF41" s="439">
        <f>'Resultate Standard'!$AF40</f>
        <v>0.27500000000000002</v>
      </c>
      <c r="AG41" s="439">
        <f>'Resultate Standard'!$AP40</f>
        <v>41.831227058823536</v>
      </c>
      <c r="AH41" s="439">
        <f>'Resultate Standard'!$AX40</f>
        <v>19.551676470588237</v>
      </c>
      <c r="AI41" s="433"/>
      <c r="AJ41" s="439">
        <f>'Resultate Zielwert'!$O40</f>
        <v>0</v>
      </c>
      <c r="AK41" s="1098">
        <f>'Resultate Zielwert'!$P40</f>
        <v>0</v>
      </c>
      <c r="AL41" s="439">
        <f>'Resultate Zielwert'!$AA40</f>
        <v>3.5185185185185186</v>
      </c>
      <c r="AM41" s="439">
        <f>'Resultate Zielwert'!$AF40</f>
        <v>0.17</v>
      </c>
      <c r="AN41" s="439">
        <f>'Resultate Zielwert'!$AP40</f>
        <v>30.28495785411765</v>
      </c>
      <c r="AO41" s="439">
        <f>'Resultate Zielwert'!$AX40</f>
        <v>16.145882352941179</v>
      </c>
      <c r="AP41" s="433"/>
      <c r="AQ41" s="439">
        <f>'Resultate Bestand'!$O40</f>
        <v>0</v>
      </c>
      <c r="AR41" s="1098">
        <f>'Resultate Bestand'!$T40</f>
        <v>0</v>
      </c>
      <c r="AS41" s="439">
        <f>'Resultate Bestand'!$AA40</f>
        <v>7.0571428571428587</v>
      </c>
      <c r="AT41" s="439">
        <f>'Resultate Bestand'!$AF40</f>
        <v>0</v>
      </c>
      <c r="AU41" s="439">
        <f>'Resultate Bestand'!$AP40</f>
        <v>59.143411764705888</v>
      </c>
      <c r="AV41" s="439">
        <f>'Resultate Bestand'!$AX40</f>
        <v>33.578294117647062</v>
      </c>
    </row>
    <row r="42" spans="1:48">
      <c r="A42" s="1562">
        <f>Eingabedaten!A44</f>
        <v>12.03</v>
      </c>
      <c r="B42" s="435" t="str">
        <f>Eingabedaten!C44</f>
        <v>Treppenhaus</v>
      </c>
      <c r="C42" s="456">
        <f>'Resultate Standard'!$S41</f>
        <v>0</v>
      </c>
      <c r="D42" s="1097">
        <f>'Resultate Standard'!$T41</f>
        <v>0</v>
      </c>
      <c r="E42" s="457">
        <f>'Resultate Standard'!$AC41</f>
        <v>3.8477111111111122</v>
      </c>
      <c r="F42" s="456">
        <f>'Resultate Standard'!$AH41</f>
        <v>0</v>
      </c>
      <c r="G42" s="456">
        <f>'Resultate Standard'!$AS41</f>
        <v>0</v>
      </c>
      <c r="H42" s="456">
        <f>'Resultate Standard'!$BA41</f>
        <v>13.479092103971391</v>
      </c>
      <c r="I42" s="456">
        <f>'Resultate Standard'!$BD41</f>
        <v>0</v>
      </c>
      <c r="J42" s="367"/>
      <c r="K42" s="456">
        <f>'Resultate Zielwert'!$S41</f>
        <v>0</v>
      </c>
      <c r="L42" s="1097">
        <f>'Resultate Zielwert'!$T41</f>
        <v>0</v>
      </c>
      <c r="M42" s="457">
        <f>'Resultate Zielwert'!$AC41</f>
        <v>0.4521296296296296</v>
      </c>
      <c r="N42" s="456">
        <f>'Resultate Zielwert'!$AH41</f>
        <v>0</v>
      </c>
      <c r="O42" s="456">
        <f>'Resultate Zielwert'!$AS41</f>
        <v>0</v>
      </c>
      <c r="P42" s="456">
        <f>'Resultate Zielwert'!$BA41</f>
        <v>9.2854062177560515</v>
      </c>
      <c r="Q42" s="456">
        <f>'Resultate Zielwert'!$BD41</f>
        <v>0</v>
      </c>
      <c r="R42" s="367"/>
      <c r="S42" s="456">
        <f>'Resultate Bestand'!$S41</f>
        <v>0</v>
      </c>
      <c r="T42" s="1097">
        <f>'Resultate Bestand'!$T41</f>
        <v>0</v>
      </c>
      <c r="U42" s="457">
        <f>'Resultate Bestand'!$AC41</f>
        <v>4.9470571428571439</v>
      </c>
      <c r="V42" s="456">
        <f>'Resultate Bestand'!$AH41</f>
        <v>0</v>
      </c>
      <c r="W42" s="456">
        <f>'Resultate Bestand'!$AS41</f>
        <v>0</v>
      </c>
      <c r="X42" s="456">
        <f>'Resultate Bestand'!$BA41</f>
        <v>16.156690436544931</v>
      </c>
      <c r="Y42" s="456">
        <f>'Resultate Bestand'!$BD41</f>
        <v>0</v>
      </c>
      <c r="AA42" s="438">
        <f t="shared" si="0"/>
        <v>12.03</v>
      </c>
      <c r="AB42" s="435" t="str">
        <f t="shared" si="1"/>
        <v>Treppenhaus</v>
      </c>
      <c r="AC42" s="439">
        <f>'Resultate Standard'!$O41</f>
        <v>0</v>
      </c>
      <c r="AD42" s="1098">
        <f>'Resultate Standard'!$P41</f>
        <v>0</v>
      </c>
      <c r="AE42" s="439">
        <f>'Resultate Standard'!$AA41</f>
        <v>2.7444444444444454</v>
      </c>
      <c r="AF42" s="439">
        <f>'Resultate Standard'!$AF41</f>
        <v>0</v>
      </c>
      <c r="AG42" s="439">
        <f>'Resultate Standard'!$AP41</f>
        <v>0</v>
      </c>
      <c r="AH42" s="439">
        <f>'Resultate Standard'!$AX41</f>
        <v>17.535500000000003</v>
      </c>
      <c r="AI42" s="433"/>
      <c r="AJ42" s="439">
        <f>'Resultate Zielwert'!$O41</f>
        <v>0</v>
      </c>
      <c r="AK42" s="1098">
        <f>'Resultate Zielwert'!$P41</f>
        <v>0</v>
      </c>
      <c r="AL42" s="439">
        <f>'Resultate Zielwert'!$AA41</f>
        <v>1.7592592592592593</v>
      </c>
      <c r="AM42" s="439">
        <f>'Resultate Zielwert'!$AF41</f>
        <v>0</v>
      </c>
      <c r="AN42" s="439">
        <f>'Resultate Zielwert'!$AP41</f>
        <v>0</v>
      </c>
      <c r="AO42" s="439">
        <f>'Resultate Zielwert'!$AX41</f>
        <v>14.450000000000003</v>
      </c>
      <c r="AP42" s="433"/>
      <c r="AQ42" s="439">
        <f>'Resultate Bestand'!$O41</f>
        <v>0</v>
      </c>
      <c r="AR42" s="1098">
        <f>'Resultate Bestand'!$T41</f>
        <v>0</v>
      </c>
      <c r="AS42" s="439">
        <f>'Resultate Bestand'!$AA41</f>
        <v>3.5285714285714294</v>
      </c>
      <c r="AT42" s="439">
        <f>'Resultate Bestand'!$AF41</f>
        <v>0</v>
      </c>
      <c r="AU42" s="439">
        <f>'Resultate Bestand'!$AP41</f>
        <v>0</v>
      </c>
      <c r="AV42" s="439">
        <f>'Resultate Bestand'!$AX41</f>
        <v>30.243000000000002</v>
      </c>
    </row>
    <row r="43" spans="1:48">
      <c r="A43" s="1562">
        <f>Eingabedaten!A45</f>
        <v>12.04</v>
      </c>
      <c r="B43" s="435" t="str">
        <f>Eingabedaten!C45</f>
        <v>Nebenraum</v>
      </c>
      <c r="C43" s="456">
        <f>'Resultate Standard'!$S42</f>
        <v>0</v>
      </c>
      <c r="D43" s="1097">
        <f>'Resultate Standard'!$T42</f>
        <v>0</v>
      </c>
      <c r="E43" s="457">
        <f>'Resultate Standard'!$AC42</f>
        <v>3.2752277777777787</v>
      </c>
      <c r="F43" s="456">
        <f>'Resultate Standard'!$AH42</f>
        <v>0.61880000000000002</v>
      </c>
      <c r="G43" s="456">
        <f>'Resultate Standard'!$AS42</f>
        <v>0</v>
      </c>
      <c r="H43" s="456">
        <f>'Resultate Standard'!$BA42</f>
        <v>13.694354688484475</v>
      </c>
      <c r="I43" s="456">
        <f>'Resultate Standard'!$BD42</f>
        <v>0</v>
      </c>
      <c r="J43" s="367"/>
      <c r="K43" s="456">
        <f>'Resultate Zielwert'!$S42</f>
        <v>0</v>
      </c>
      <c r="L43" s="1097">
        <f>'Resultate Zielwert'!$T42</f>
        <v>0</v>
      </c>
      <c r="M43" s="457">
        <f>'Resultate Zielwert'!$AC42</f>
        <v>0.38485933048433052</v>
      </c>
      <c r="N43" s="456">
        <f>'Resultate Zielwert'!$AH42</f>
        <v>0.13363</v>
      </c>
      <c r="O43" s="456">
        <f>'Resultate Zielwert'!$AS42</f>
        <v>0</v>
      </c>
      <c r="P43" s="456">
        <f>'Resultate Zielwert'!$BA42</f>
        <v>9.5852246990149297</v>
      </c>
      <c r="Q43" s="456">
        <f>'Resultate Zielwert'!$BD42</f>
        <v>0</v>
      </c>
      <c r="R43" s="367"/>
      <c r="S43" s="456">
        <f>'Resultate Bestand'!$S42</f>
        <v>0</v>
      </c>
      <c r="T43" s="1097">
        <f>'Resultate Bestand'!$T42</f>
        <v>0</v>
      </c>
      <c r="U43" s="457">
        <f>'Resultate Bestand'!$AC42</f>
        <v>4.2110071428571434</v>
      </c>
      <c r="V43" s="456">
        <f>'Resultate Bestand'!$AH42</f>
        <v>0</v>
      </c>
      <c r="W43" s="456">
        <f>'Resultate Bestand'!$AS42</f>
        <v>0</v>
      </c>
      <c r="X43" s="456">
        <f>'Resultate Bestand'!$BA42</f>
        <v>40.443824115718328</v>
      </c>
      <c r="Y43" s="456">
        <f>'Resultate Bestand'!$BD42</f>
        <v>0</v>
      </c>
      <c r="AA43" s="438">
        <f t="shared" si="0"/>
        <v>12.04</v>
      </c>
      <c r="AB43" s="435" t="str">
        <f t="shared" si="1"/>
        <v>Nebenraum</v>
      </c>
      <c r="AC43" s="439">
        <f>'Resultate Standard'!$O42</f>
        <v>0</v>
      </c>
      <c r="AD43" s="1098">
        <f>'Resultate Standard'!$P42</f>
        <v>0</v>
      </c>
      <c r="AE43" s="439">
        <f>'Resultate Standard'!$AA42</f>
        <v>2.3361111111111117</v>
      </c>
      <c r="AF43" s="439">
        <f>'Resultate Standard'!$AF42</f>
        <v>0.14000000000000001</v>
      </c>
      <c r="AG43" s="439">
        <f>'Resultate Standard'!$AP42</f>
        <v>0</v>
      </c>
      <c r="AH43" s="439">
        <f>'Resultate Standard'!$AX42</f>
        <v>10.323</v>
      </c>
      <c r="AI43" s="433"/>
      <c r="AJ43" s="439">
        <f>'Resultate Zielwert'!$O42</f>
        <v>0</v>
      </c>
      <c r="AK43" s="1098">
        <f>'Resultate Zielwert'!$P42</f>
        <v>0</v>
      </c>
      <c r="AL43" s="439">
        <f>'Resultate Zielwert'!$AA42</f>
        <v>1.4975071225071226</v>
      </c>
      <c r="AM43" s="439">
        <f>'Resultate Zielwert'!$AF42</f>
        <v>8.3000000000000004E-2</v>
      </c>
      <c r="AN43" s="439">
        <f>'Resultate Zielwert'!$AP42</f>
        <v>0</v>
      </c>
      <c r="AO43" s="439">
        <f>'Resultate Zielwert'!$AX42</f>
        <v>8.31</v>
      </c>
      <c r="AP43" s="433"/>
      <c r="AQ43" s="439">
        <f>'Resultate Bestand'!$O42</f>
        <v>0</v>
      </c>
      <c r="AR43" s="1098">
        <f>'Resultate Bestand'!$T42</f>
        <v>0</v>
      </c>
      <c r="AS43" s="439">
        <f>'Resultate Bestand'!$AA42</f>
        <v>3.003571428571429</v>
      </c>
      <c r="AT43" s="439">
        <f>'Resultate Bestand'!$AF42</f>
        <v>0</v>
      </c>
      <c r="AU43" s="439">
        <f>'Resultate Bestand'!$AP42</f>
        <v>0</v>
      </c>
      <c r="AV43" s="439">
        <f>'Resultate Bestand'!$AX42</f>
        <v>30.040000000000003</v>
      </c>
    </row>
    <row r="44" spans="1:48">
      <c r="A44" s="1562">
        <f>Eingabedaten!A46</f>
        <v>12.05</v>
      </c>
      <c r="B44" s="435" t="str">
        <f>Eingabedaten!C46</f>
        <v>Küche, Teeküche</v>
      </c>
      <c r="C44" s="456">
        <f>'Resultate Standard'!$S43</f>
        <v>57.2</v>
      </c>
      <c r="D44" s="1097">
        <f>'Resultate Standard'!$T43</f>
        <v>0</v>
      </c>
      <c r="E44" s="457">
        <f>'Resultate Standard'!$AC43</f>
        <v>3.2810555555555565</v>
      </c>
      <c r="F44" s="456">
        <f>'Resultate Standard'!$AH43</f>
        <v>8.6927500000000002</v>
      </c>
      <c r="G44" s="456">
        <f>'Resultate Standard'!$AS43</f>
        <v>0</v>
      </c>
      <c r="H44" s="456">
        <f>'Resultate Standard'!$BA43</f>
        <v>0.70277247260989306</v>
      </c>
      <c r="I44" s="456">
        <f>'Resultate Standard'!$BD43</f>
        <v>0</v>
      </c>
      <c r="J44" s="367"/>
      <c r="K44" s="456">
        <f>'Resultate Zielwert'!$S43</f>
        <v>42.9</v>
      </c>
      <c r="L44" s="1097">
        <f>'Resultate Zielwert'!$T43</f>
        <v>0</v>
      </c>
      <c r="M44" s="457">
        <f>'Resultate Zielwert'!$AC43</f>
        <v>0.33611111111111108</v>
      </c>
      <c r="N44" s="456">
        <f>'Resultate Zielwert'!$AH43</f>
        <v>5.3737000000000004</v>
      </c>
      <c r="O44" s="456">
        <f>'Resultate Zielwert'!$AS43</f>
        <v>0</v>
      </c>
      <c r="P44" s="456">
        <f>'Resultate Zielwert'!$BA43</f>
        <v>0.3184492339927722</v>
      </c>
      <c r="Q44" s="456">
        <f>'Resultate Zielwert'!$BD43</f>
        <v>0</v>
      </c>
      <c r="R44" s="367"/>
      <c r="S44" s="456">
        <f>'Resultate Bestand'!$S43</f>
        <v>71.5</v>
      </c>
      <c r="T44" s="1097">
        <f>'Resultate Bestand'!$T43</f>
        <v>0</v>
      </c>
      <c r="U44" s="457">
        <f>'Resultate Bestand'!$AC43</f>
        <v>4.2185000000000015</v>
      </c>
      <c r="V44" s="456">
        <f>'Resultate Bestand'!$AH43</f>
        <v>25.202450000000002</v>
      </c>
      <c r="W44" s="456">
        <f>'Resultate Bestand'!$AS43</f>
        <v>0</v>
      </c>
      <c r="X44" s="456">
        <f>'Resultate Bestand'!$BA43</f>
        <v>105.51346048969558</v>
      </c>
      <c r="Y44" s="456">
        <f>'Resultate Bestand'!$BD43</f>
        <v>0</v>
      </c>
      <c r="AA44" s="438">
        <f t="shared" si="0"/>
        <v>12.05</v>
      </c>
      <c r="AB44" s="435" t="str">
        <f t="shared" si="1"/>
        <v>Küche, Teeküche</v>
      </c>
      <c r="AC44" s="439">
        <f>'Resultate Standard'!$O43</f>
        <v>40</v>
      </c>
      <c r="AD44" s="1098">
        <f>'Resultate Standard'!$P43</f>
        <v>0</v>
      </c>
      <c r="AE44" s="439">
        <f>'Resultate Standard'!$AA43</f>
        <v>3.9722222222222232</v>
      </c>
      <c r="AF44" s="439">
        <f>'Resultate Standard'!$AF43</f>
        <v>7.9750000000000005</v>
      </c>
      <c r="AG44" s="439">
        <f>'Resultate Standard'!$AP43</f>
        <v>0</v>
      </c>
      <c r="AH44" s="439">
        <f>'Resultate Standard'!$AX43</f>
        <v>11.537470588235294</v>
      </c>
      <c r="AI44" s="433"/>
      <c r="AJ44" s="439">
        <f>'Resultate Zielwert'!$O43</f>
        <v>30</v>
      </c>
      <c r="AK44" s="1098">
        <f>'Resultate Zielwert'!$P43</f>
        <v>0</v>
      </c>
      <c r="AL44" s="439">
        <f>'Resultate Zielwert'!$AA43</f>
        <v>2.5462962962962963</v>
      </c>
      <c r="AM44" s="439">
        <f>'Resultate Zielwert'!$AF43</f>
        <v>4.9300000000000006</v>
      </c>
      <c r="AN44" s="439">
        <f>'Resultate Zielwert'!$AP43</f>
        <v>0</v>
      </c>
      <c r="AO44" s="439">
        <f>'Resultate Zielwert'!$AX43</f>
        <v>9.2876470588235307</v>
      </c>
      <c r="AP44" s="433"/>
      <c r="AQ44" s="439">
        <f>'Resultate Bestand'!$O43</f>
        <v>50</v>
      </c>
      <c r="AR44" s="1098">
        <f>'Resultate Bestand'!$T43</f>
        <v>0</v>
      </c>
      <c r="AS44" s="439">
        <f>'Resultate Bestand'!$AA43</f>
        <v>5.1071428571428585</v>
      </c>
      <c r="AT44" s="439">
        <f>'Resultate Bestand'!$AF43</f>
        <v>13.195</v>
      </c>
      <c r="AU44" s="439">
        <f>'Resultate Bestand'!$AP43</f>
        <v>0</v>
      </c>
      <c r="AV44" s="439">
        <f>'Resultate Bestand'!$AX43</f>
        <v>33.336470588235301</v>
      </c>
    </row>
    <row r="45" spans="1:48">
      <c r="A45" s="1562">
        <f>Eingabedaten!A47</f>
        <v>12.06</v>
      </c>
      <c r="B45" s="435" t="str">
        <f>Eingabedaten!C47</f>
        <v xml:space="preserve">WC, Bad, Dusche </v>
      </c>
      <c r="C45" s="456">
        <f>'Resultate Standard'!$S44</f>
        <v>0</v>
      </c>
      <c r="D45" s="1097">
        <f>'Resultate Standard'!$T44</f>
        <v>0</v>
      </c>
      <c r="E45" s="457">
        <f>'Resultate Standard'!$AC44</f>
        <v>3.8592555555555568</v>
      </c>
      <c r="F45" s="456">
        <f>'Resultate Standard'!$AH44</f>
        <v>3.0912000000000002</v>
      </c>
      <c r="G45" s="456">
        <f>'Resultate Standard'!$AS44</f>
        <v>0</v>
      </c>
      <c r="H45" s="456">
        <f>'Resultate Standard'!$BA44</f>
        <v>54.916232691300749</v>
      </c>
      <c r="I45" s="456">
        <f>'Resultate Standard'!$BD44</f>
        <v>0</v>
      </c>
      <c r="J45" s="367"/>
      <c r="K45" s="456">
        <f>'Resultate Zielwert'!$S44</f>
        <v>0</v>
      </c>
      <c r="L45" s="1097">
        <f>'Resultate Zielwert'!$T44</f>
        <v>0</v>
      </c>
      <c r="M45" s="457">
        <f>'Resultate Zielwert'!$AC44</f>
        <v>0.39534188034188039</v>
      </c>
      <c r="N45" s="456">
        <f>'Resultate Zielwert'!$AH44</f>
        <v>1.83264</v>
      </c>
      <c r="O45" s="456">
        <f>'Resultate Zielwert'!$AS44</f>
        <v>0</v>
      </c>
      <c r="P45" s="456">
        <f>'Resultate Zielwert'!$BA44</f>
        <v>50.184980295071675</v>
      </c>
      <c r="Q45" s="456">
        <f>'Resultate Zielwert'!$BD44</f>
        <v>0</v>
      </c>
      <c r="R45" s="367"/>
      <c r="S45" s="456">
        <f>'Resultate Bestand'!$S44</f>
        <v>0</v>
      </c>
      <c r="T45" s="1097">
        <f>'Resultate Bestand'!$T44</f>
        <v>0</v>
      </c>
      <c r="U45" s="457">
        <f>'Resultate Bestand'!$AC44</f>
        <v>4.9619</v>
      </c>
      <c r="V45" s="456">
        <f>'Resultate Bestand'!$AH44</f>
        <v>7.7119999999999997</v>
      </c>
      <c r="W45" s="456">
        <f>'Resultate Bestand'!$AS44</f>
        <v>0</v>
      </c>
      <c r="X45" s="456">
        <f>'Resultate Bestand'!$BA44</f>
        <v>126.4398304884695</v>
      </c>
      <c r="Y45" s="456">
        <f>'Resultate Bestand'!$BD44</f>
        <v>0</v>
      </c>
      <c r="AA45" s="438">
        <f t="shared" si="0"/>
        <v>12.06</v>
      </c>
      <c r="AB45" s="435" t="str">
        <f t="shared" si="1"/>
        <v xml:space="preserve">WC, Bad, Dusche </v>
      </c>
      <c r="AC45" s="439">
        <f>'Resultate Standard'!$O44</f>
        <v>0</v>
      </c>
      <c r="AD45" s="1098">
        <f>'Resultate Standard'!$P44</f>
        <v>0</v>
      </c>
      <c r="AE45" s="439">
        <f>'Resultate Standard'!$AA44</f>
        <v>4.6722222222222234</v>
      </c>
      <c r="AF45" s="439">
        <f>'Resultate Standard'!$AF44</f>
        <v>2.2400000000000002</v>
      </c>
      <c r="AG45" s="439">
        <f>'Resultate Standard'!$AP44</f>
        <v>0</v>
      </c>
      <c r="AH45" s="439">
        <f>'Resultate Standard'!$AX44</f>
        <v>11.537470588235294</v>
      </c>
      <c r="AI45" s="433"/>
      <c r="AJ45" s="439">
        <f>'Resultate Zielwert'!$O44</f>
        <v>0</v>
      </c>
      <c r="AK45" s="1098">
        <f>'Resultate Zielwert'!$P44</f>
        <v>0</v>
      </c>
      <c r="AL45" s="439">
        <f>'Resultate Zielwert'!$AA44</f>
        <v>2.9950142450142452</v>
      </c>
      <c r="AM45" s="439">
        <f>'Resultate Zielwert'!$AF44</f>
        <v>1.3280000000000001</v>
      </c>
      <c r="AN45" s="439">
        <f>'Resultate Zielwert'!$AP44</f>
        <v>0</v>
      </c>
      <c r="AO45" s="439">
        <f>'Resultate Zielwert'!$AX44</f>
        <v>9.2876470588235307</v>
      </c>
      <c r="AP45" s="433"/>
      <c r="AQ45" s="439">
        <f>'Resultate Bestand'!$O44</f>
        <v>0</v>
      </c>
      <c r="AR45" s="1098">
        <f>'Resultate Bestand'!$T44</f>
        <v>0</v>
      </c>
      <c r="AS45" s="439">
        <f>'Resultate Bestand'!$AA44</f>
        <v>6.007142857142858</v>
      </c>
      <c r="AT45" s="439">
        <f>'Resultate Bestand'!$AF44</f>
        <v>3.2</v>
      </c>
      <c r="AU45" s="439">
        <f>'Resultate Bestand'!$AP44</f>
        <v>0</v>
      </c>
      <c r="AV45" s="439">
        <f>'Resultate Bestand'!$AX44</f>
        <v>33.336470588235301</v>
      </c>
    </row>
    <row r="46" spans="1:48">
      <c r="A46" s="1562">
        <f>Eingabedaten!A48</f>
        <v>12.07</v>
      </c>
      <c r="B46" s="435" t="str">
        <f>Eingabedaten!C48</f>
        <v>WC</v>
      </c>
      <c r="C46" s="456">
        <f>'Resultate Standard'!$S45</f>
        <v>0</v>
      </c>
      <c r="D46" s="1097">
        <f>'Resultate Standard'!$T45</f>
        <v>0</v>
      </c>
      <c r="E46" s="457">
        <f>'Resultate Standard'!$AC45</f>
        <v>6.0873333333333344</v>
      </c>
      <c r="F46" s="456">
        <f>'Resultate Standard'!$AH45</f>
        <v>3.0912000000000002</v>
      </c>
      <c r="G46" s="456">
        <f>'Resultate Standard'!$AS45</f>
        <v>0</v>
      </c>
      <c r="H46" s="456">
        <f>'Resultate Standard'!$BA45</f>
        <v>40.156865561864294</v>
      </c>
      <c r="I46" s="456">
        <f>'Resultate Standard'!$BD45</f>
        <v>0</v>
      </c>
      <c r="J46" s="367"/>
      <c r="K46" s="456">
        <f>'Resultate Zielwert'!$S45</f>
        <v>0</v>
      </c>
      <c r="L46" s="1097">
        <f>'Resultate Zielwert'!$T45</f>
        <v>0</v>
      </c>
      <c r="M46" s="457">
        <f>'Resultate Zielwert'!$AC45</f>
        <v>0.49145299145299143</v>
      </c>
      <c r="N46" s="456">
        <f>'Resultate Zielwert'!$AH45</f>
        <v>1.83264</v>
      </c>
      <c r="O46" s="456">
        <f>'Resultate Zielwert'!$AS45</f>
        <v>0</v>
      </c>
      <c r="P46" s="456">
        <f>'Resultate Zielwert'!$BA45</f>
        <v>27.699408848823808</v>
      </c>
      <c r="Q46" s="456">
        <f>'Resultate Zielwert'!$BD45</f>
        <v>0</v>
      </c>
      <c r="R46" s="367"/>
      <c r="S46" s="456">
        <f>'Resultate Bestand'!$S45</f>
        <v>0</v>
      </c>
      <c r="T46" s="1097">
        <f>'Resultate Bestand'!$T45</f>
        <v>0</v>
      </c>
      <c r="U46" s="457">
        <f>'Resultate Bestand'!$AC45</f>
        <v>7.8265714285714294</v>
      </c>
      <c r="V46" s="456">
        <f>'Resultate Bestand'!$AH45</f>
        <v>7.7119999999999997</v>
      </c>
      <c r="W46" s="456">
        <f>'Resultate Bestand'!$AS45</f>
        <v>0</v>
      </c>
      <c r="X46" s="456">
        <f>'Resultate Bestand'!$BA45</f>
        <v>182.23432242856265</v>
      </c>
      <c r="Y46" s="456">
        <f>'Resultate Bestand'!$BD45</f>
        <v>0</v>
      </c>
      <c r="AA46" s="438">
        <f t="shared" si="0"/>
        <v>12.07</v>
      </c>
      <c r="AB46" s="435" t="str">
        <f t="shared" si="1"/>
        <v>WC</v>
      </c>
      <c r="AC46" s="439">
        <f>'Resultate Standard'!$O45</f>
        <v>0</v>
      </c>
      <c r="AD46" s="1098">
        <f>'Resultate Standard'!$P45</f>
        <v>0</v>
      </c>
      <c r="AE46" s="439">
        <f>'Resultate Standard'!$AA45</f>
        <v>7.6666666666666679</v>
      </c>
      <c r="AF46" s="439">
        <f>'Resultate Standard'!$AF45</f>
        <v>2.2400000000000002</v>
      </c>
      <c r="AG46" s="439">
        <f>'Resultate Standard'!$AP45</f>
        <v>0</v>
      </c>
      <c r="AH46" s="439">
        <f>'Resultate Standard'!$AX45</f>
        <v>26.136176470588236</v>
      </c>
      <c r="AI46" s="433"/>
      <c r="AJ46" s="439">
        <f>'Resultate Zielwert'!$O45</f>
        <v>0</v>
      </c>
      <c r="AK46" s="1098">
        <f>'Resultate Zielwert'!$P45</f>
        <v>0</v>
      </c>
      <c r="AL46" s="439">
        <f>'Resultate Zielwert'!$AA45</f>
        <v>4.9145299145299148</v>
      </c>
      <c r="AM46" s="439">
        <f>'Resultate Zielwert'!$AF45</f>
        <v>1.3280000000000001</v>
      </c>
      <c r="AN46" s="439">
        <f>'Resultate Zielwert'!$AP45</f>
        <v>0</v>
      </c>
      <c r="AO46" s="439">
        <f>'Resultate Zielwert'!$AX45</f>
        <v>19.840617647058824</v>
      </c>
      <c r="AP46" s="433"/>
      <c r="AQ46" s="439">
        <f>'Resultate Bestand'!$O45</f>
        <v>0</v>
      </c>
      <c r="AR46" s="1098">
        <f>'Resultate Bestand'!$T45</f>
        <v>0</v>
      </c>
      <c r="AS46" s="439">
        <f>'Resultate Bestand'!$AA45</f>
        <v>9.8571428571428577</v>
      </c>
      <c r="AT46" s="439">
        <f>'Resultate Bestand'!$AF45</f>
        <v>3.2</v>
      </c>
      <c r="AU46" s="439">
        <f>'Resultate Bestand'!$AP45</f>
        <v>0</v>
      </c>
      <c r="AV46" s="439">
        <f>'Resultate Bestand'!$AX45</f>
        <v>66.170676470588248</v>
      </c>
    </row>
    <row r="47" spans="1:48">
      <c r="A47" s="1562">
        <f>Eingabedaten!A49</f>
        <v>12.08</v>
      </c>
      <c r="B47" s="435" t="str">
        <f>Eingabedaten!C49</f>
        <v>Garderobe, Dusche</v>
      </c>
      <c r="C47" s="456">
        <f>'Resultate Standard'!$S46</f>
        <v>0</v>
      </c>
      <c r="D47" s="1097">
        <f>'Resultate Standard'!$T46</f>
        <v>0</v>
      </c>
      <c r="E47" s="457">
        <f>'Resultate Standard'!$AC46</f>
        <v>3.7286666666666668</v>
      </c>
      <c r="F47" s="456">
        <f>'Resultate Standard'!$AH46</f>
        <v>3.0912000000000002</v>
      </c>
      <c r="G47" s="456">
        <f>'Resultate Standard'!$AS46</f>
        <v>0</v>
      </c>
      <c r="H47" s="456">
        <f>'Resultate Standard'!$BA46</f>
        <v>24.290614197971614</v>
      </c>
      <c r="I47" s="456">
        <f>'Resultate Standard'!$BD46</f>
        <v>0</v>
      </c>
      <c r="J47" s="367"/>
      <c r="K47" s="456">
        <f>'Resultate Zielwert'!$S46</f>
        <v>0</v>
      </c>
      <c r="L47" s="1097">
        <f>'Resultate Zielwert'!$T46</f>
        <v>0</v>
      </c>
      <c r="M47" s="457">
        <f>'Resultate Zielwert'!$AC46</f>
        <v>0.3983618233618233</v>
      </c>
      <c r="N47" s="456">
        <f>'Resultate Zielwert'!$AH46</f>
        <v>1.83264</v>
      </c>
      <c r="O47" s="456">
        <f>'Resultate Zielwert'!$AS46</f>
        <v>0</v>
      </c>
      <c r="P47" s="456">
        <f>'Resultate Zielwert'!$BA46</f>
        <v>18.003642287087548</v>
      </c>
      <c r="Q47" s="456">
        <f>'Resultate Zielwert'!$BD46</f>
        <v>0</v>
      </c>
      <c r="R47" s="367"/>
      <c r="S47" s="456">
        <f>'Resultate Bestand'!$S46</f>
        <v>0</v>
      </c>
      <c r="T47" s="1097">
        <f>'Resultate Bestand'!$T46</f>
        <v>0</v>
      </c>
      <c r="U47" s="457">
        <f>'Resultate Bestand'!$AC46</f>
        <v>4.7939999999999996</v>
      </c>
      <c r="V47" s="456">
        <f>'Resultate Bestand'!$AH46</f>
        <v>7.7119999999999997</v>
      </c>
      <c r="W47" s="456">
        <f>'Resultate Bestand'!$AS46</f>
        <v>0</v>
      </c>
      <c r="X47" s="456">
        <f>'Resultate Bestand'!$BA46</f>
        <v>126.13033654046282</v>
      </c>
      <c r="Y47" s="456">
        <f>'Resultate Bestand'!$BD46</f>
        <v>0</v>
      </c>
      <c r="AA47" s="438">
        <f t="shared" si="0"/>
        <v>12.08</v>
      </c>
      <c r="AB47" s="435" t="str">
        <f t="shared" si="1"/>
        <v>Garderobe, Dusche</v>
      </c>
      <c r="AC47" s="439">
        <f>'Resultate Standard'!$O46</f>
        <v>0</v>
      </c>
      <c r="AD47" s="1098">
        <f>'Resultate Standard'!$P46</f>
        <v>0</v>
      </c>
      <c r="AE47" s="439">
        <f>'Resultate Standard'!$AA46</f>
        <v>4.4074074074074074</v>
      </c>
      <c r="AF47" s="439">
        <f>'Resultate Standard'!$AF46</f>
        <v>2.2400000000000002</v>
      </c>
      <c r="AG47" s="439">
        <f>'Resultate Standard'!$AP46</f>
        <v>0</v>
      </c>
      <c r="AH47" s="439">
        <f>'Resultate Standard'!$AX46</f>
        <v>11.993470588235295</v>
      </c>
      <c r="AI47" s="433"/>
      <c r="AJ47" s="439">
        <f>'Resultate Zielwert'!$O46</f>
        <v>0</v>
      </c>
      <c r="AK47" s="1098">
        <f>'Resultate Zielwert'!$P46</f>
        <v>0</v>
      </c>
      <c r="AL47" s="439">
        <f>'Resultate Zielwert'!$AA46</f>
        <v>2.8252611585944916</v>
      </c>
      <c r="AM47" s="439">
        <f>'Resultate Zielwert'!$AF46</f>
        <v>1.3280000000000001</v>
      </c>
      <c r="AN47" s="439">
        <f>'Resultate Zielwert'!$AP46</f>
        <v>0</v>
      </c>
      <c r="AO47" s="439">
        <f>'Resultate Zielwert'!$AX46</f>
        <v>9.7436470588235302</v>
      </c>
      <c r="AP47" s="433"/>
      <c r="AQ47" s="439">
        <f>'Resultate Bestand'!$O46</f>
        <v>0</v>
      </c>
      <c r="AR47" s="1098">
        <f>'Resultate Bestand'!$T46</f>
        <v>0</v>
      </c>
      <c r="AS47" s="439">
        <f>'Resultate Bestand'!$AA46</f>
        <v>5.6666666666666661</v>
      </c>
      <c r="AT47" s="439">
        <f>'Resultate Bestand'!$AF46</f>
        <v>3.2</v>
      </c>
      <c r="AU47" s="439">
        <f>'Resultate Bestand'!$AP46</f>
        <v>0</v>
      </c>
      <c r="AV47" s="439">
        <f>'Resultate Bestand'!$AX46</f>
        <v>35.943970588235295</v>
      </c>
    </row>
    <row r="48" spans="1:48">
      <c r="A48" s="1562">
        <f>Eingabedaten!A50</f>
        <v>12.09</v>
      </c>
      <c r="B48" s="435" t="str">
        <f>Eingabedaten!C50</f>
        <v>Parkhaus</v>
      </c>
      <c r="C48" s="456">
        <f>'Resultate Standard'!$S47</f>
        <v>2.13</v>
      </c>
      <c r="D48" s="1097">
        <f>'Resultate Standard'!$T47</f>
        <v>0</v>
      </c>
      <c r="E48" s="457">
        <f>'Resultate Standard'!$AC47</f>
        <v>1.1998673076923074</v>
      </c>
      <c r="F48" s="456">
        <f>'Resultate Standard'!$AH47</f>
        <v>0</v>
      </c>
      <c r="G48" s="456">
        <f>'Resultate Standard'!$AS47</f>
        <v>0</v>
      </c>
      <c r="H48" s="456">
        <f>'Resultate Standard'!$BA47</f>
        <v>0</v>
      </c>
      <c r="I48" s="456">
        <f>'Resultate Standard'!$BD47</f>
        <v>0</v>
      </c>
      <c r="J48" s="367"/>
      <c r="K48" s="456">
        <f>'Resultate Zielwert'!$S47</f>
        <v>0</v>
      </c>
      <c r="L48" s="1097">
        <f>'Resultate Zielwert'!$T47</f>
        <v>0</v>
      </c>
      <c r="M48" s="457">
        <f>'Resultate Zielwert'!$AC47</f>
        <v>0.36084635416666655</v>
      </c>
      <c r="N48" s="456">
        <f>'Resultate Zielwert'!$AH47</f>
        <v>0</v>
      </c>
      <c r="O48" s="456">
        <f>'Resultate Zielwert'!$AS47</f>
        <v>0</v>
      </c>
      <c r="P48" s="456">
        <f>'Resultate Zielwert'!$BA47</f>
        <v>0</v>
      </c>
      <c r="Q48" s="456">
        <f>'Resultate Zielwert'!$BD47</f>
        <v>0</v>
      </c>
      <c r="R48" s="367"/>
      <c r="S48" s="456">
        <f>'Resultate Bestand'!$S47</f>
        <v>4.26</v>
      </c>
      <c r="T48" s="1097">
        <f>'Resultate Bestand'!$T47</f>
        <v>0</v>
      </c>
      <c r="U48" s="457">
        <f>'Resultate Bestand'!$AC47</f>
        <v>2.2283249999999999</v>
      </c>
      <c r="V48" s="456">
        <f>'Resultate Bestand'!$AH47</f>
        <v>0</v>
      </c>
      <c r="W48" s="456">
        <f>'Resultate Bestand'!$AS47</f>
        <v>0</v>
      </c>
      <c r="X48" s="456">
        <f>'Resultate Bestand'!$BA47</f>
        <v>0</v>
      </c>
      <c r="Y48" s="456">
        <f>'Resultate Bestand'!$BD47</f>
        <v>0</v>
      </c>
      <c r="AA48" s="438">
        <f t="shared" si="0"/>
        <v>12.09</v>
      </c>
      <c r="AB48" s="435" t="str">
        <f t="shared" si="1"/>
        <v>Parkhaus</v>
      </c>
      <c r="AC48" s="439">
        <f>'Resultate Standard'!$O47</f>
        <v>1</v>
      </c>
      <c r="AD48" s="1098">
        <f>'Resultate Standard'!$P47</f>
        <v>0</v>
      </c>
      <c r="AE48" s="439">
        <f>'Resultate Standard'!$AA47</f>
        <v>0.74711538461538451</v>
      </c>
      <c r="AF48" s="439">
        <f>'Resultate Standard'!$AF47</f>
        <v>0</v>
      </c>
      <c r="AG48" s="439">
        <f>'Resultate Standard'!$AP47</f>
        <v>0</v>
      </c>
      <c r="AH48" s="439">
        <f>'Resultate Standard'!$AX47</f>
        <v>0</v>
      </c>
      <c r="AI48" s="433"/>
      <c r="AJ48" s="439">
        <f>'Resultate Zielwert'!$O47</f>
        <v>0</v>
      </c>
      <c r="AK48" s="1098">
        <f>'Resultate Zielwert'!$P47</f>
        <v>0</v>
      </c>
      <c r="AL48" s="439">
        <f>'Resultate Zielwert'!$AA47</f>
        <v>0.5620659722222221</v>
      </c>
      <c r="AM48" s="439">
        <f>'Resultate Zielwert'!$AF47</f>
        <v>0</v>
      </c>
      <c r="AN48" s="439">
        <f>'Resultate Zielwert'!$AP47</f>
        <v>0</v>
      </c>
      <c r="AO48" s="439">
        <f>'Resultate Zielwert'!$AX47</f>
        <v>0</v>
      </c>
      <c r="AP48" s="433"/>
      <c r="AQ48" s="439">
        <f>'Resultate Bestand'!$O47</f>
        <v>2</v>
      </c>
      <c r="AR48" s="1098">
        <f>'Resultate Bestand'!$T47</f>
        <v>0</v>
      </c>
      <c r="AS48" s="439">
        <f>'Resultate Bestand'!$AA47</f>
        <v>1.3875</v>
      </c>
      <c r="AT48" s="439">
        <f>'Resultate Bestand'!$AF47</f>
        <v>0</v>
      </c>
      <c r="AU48" s="439">
        <f>'Resultate Bestand'!$AP47</f>
        <v>0</v>
      </c>
      <c r="AV48" s="439">
        <f>'Resultate Bestand'!$AX47</f>
        <v>0</v>
      </c>
    </row>
    <row r="49" spans="1:48">
      <c r="A49" s="1562">
        <f>Eingabedaten!A51</f>
        <v>12.1</v>
      </c>
      <c r="B49" s="435" t="str">
        <f>Eingabedaten!C51</f>
        <v>Wasch- und Trockenraum</v>
      </c>
      <c r="C49" s="456">
        <f>'Resultate Standard'!$S48</f>
        <v>34.4</v>
      </c>
      <c r="D49" s="1097">
        <f>'Resultate Standard'!$T48</f>
        <v>0</v>
      </c>
      <c r="E49" s="457">
        <f>'Resultate Standard'!$AC48</f>
        <v>7.2061111111111122</v>
      </c>
      <c r="F49" s="456">
        <f>'Resultate Standard'!$AH48</f>
        <v>2.6992000000000003</v>
      </c>
      <c r="G49" s="456">
        <f>'Resultate Standard'!$AS48</f>
        <v>0</v>
      </c>
      <c r="H49" s="456">
        <f>'Resultate Standard'!$BA48</f>
        <v>6.115773410874275</v>
      </c>
      <c r="I49" s="456">
        <f>'Resultate Standard'!$BD48</f>
        <v>0</v>
      </c>
      <c r="J49" s="367"/>
      <c r="K49" s="456">
        <f>'Resultate Zielwert'!$S48</f>
        <v>25.8</v>
      </c>
      <c r="L49" s="1097">
        <f>'Resultate Zielwert'!$T48</f>
        <v>0</v>
      </c>
      <c r="M49" s="457">
        <f>'Resultate Zielwert'!$AC48</f>
        <v>1.0340455840455838</v>
      </c>
      <c r="N49" s="456">
        <f>'Resultate Zielwert'!$AH48</f>
        <v>0.91632000000000002</v>
      </c>
      <c r="O49" s="456">
        <f>'Resultate Zielwert'!$AS48</f>
        <v>0</v>
      </c>
      <c r="P49" s="456">
        <f>'Resultate Zielwert'!$BA48</f>
        <v>3.6183261973137975</v>
      </c>
      <c r="Q49" s="456">
        <f>'Resultate Zielwert'!$BD48</f>
        <v>0</v>
      </c>
      <c r="R49" s="367"/>
      <c r="S49" s="456">
        <f>'Resultate Bestand'!$S48</f>
        <v>43</v>
      </c>
      <c r="T49" s="1097">
        <f>'Resultate Bestand'!$T48</f>
        <v>0</v>
      </c>
      <c r="U49" s="457">
        <f>'Resultate Bestand'!$AC48</f>
        <v>9.2650000000000006</v>
      </c>
      <c r="V49" s="456">
        <f>'Resultate Bestand'!$AH48</f>
        <v>0</v>
      </c>
      <c r="W49" s="456">
        <f>'Resultate Bestand'!$AS48</f>
        <v>0</v>
      </c>
      <c r="X49" s="456">
        <f>'Resultate Bestand'!$BA48</f>
        <v>38.533936555581924</v>
      </c>
      <c r="Y49" s="456">
        <f>'Resultate Bestand'!$BD48</f>
        <v>0</v>
      </c>
      <c r="AA49" s="438">
        <f t="shared" si="0"/>
        <v>12.1</v>
      </c>
      <c r="AB49" s="435" t="str">
        <f t="shared" si="1"/>
        <v>Wasch- und Trockenraum</v>
      </c>
      <c r="AC49" s="439">
        <f>'Resultate Standard'!$O48</f>
        <v>20</v>
      </c>
      <c r="AD49" s="1098">
        <f>'Resultate Standard'!$P48</f>
        <v>0</v>
      </c>
      <c r="AE49" s="439">
        <f>'Resultate Standard'!$AA48</f>
        <v>6.6111111111111116</v>
      </c>
      <c r="AF49" s="439">
        <f>'Resultate Standard'!$AF48</f>
        <v>1.1200000000000001</v>
      </c>
      <c r="AG49" s="439">
        <f>'Resultate Standard'!$AP48</f>
        <v>0</v>
      </c>
      <c r="AH49" s="439">
        <f>'Resultate Standard'!$AX48</f>
        <v>3.1561764705882358</v>
      </c>
      <c r="AI49" s="433"/>
      <c r="AJ49" s="439">
        <f>'Resultate Zielwert'!$O48</f>
        <v>15</v>
      </c>
      <c r="AK49" s="1098">
        <f>'Resultate Zielwert'!$P48</f>
        <v>0</v>
      </c>
      <c r="AL49" s="439">
        <f>'Resultate Zielwert'!$AA48</f>
        <v>4.2378917378917373</v>
      </c>
      <c r="AM49" s="439">
        <f>'Resultate Zielwert'!$AF48</f>
        <v>0.66400000000000003</v>
      </c>
      <c r="AN49" s="439">
        <f>'Resultate Zielwert'!$AP48</f>
        <v>0</v>
      </c>
      <c r="AO49" s="439">
        <f>'Resultate Zielwert'!$AX48</f>
        <v>2.5641176470588234</v>
      </c>
      <c r="AP49" s="433"/>
      <c r="AQ49" s="439">
        <f>'Resultate Bestand'!$O48</f>
        <v>25</v>
      </c>
      <c r="AR49" s="1098">
        <f>'Resultate Bestand'!$T48</f>
        <v>0</v>
      </c>
      <c r="AS49" s="439">
        <f>'Resultate Bestand'!$AA48</f>
        <v>8.5</v>
      </c>
      <c r="AT49" s="439">
        <f>'Resultate Bestand'!$AF48</f>
        <v>0</v>
      </c>
      <c r="AU49" s="439">
        <f>'Resultate Bestand'!$AP48</f>
        <v>0</v>
      </c>
      <c r="AV49" s="439">
        <f>'Resultate Bestand'!$AX48</f>
        <v>11.188676470588234</v>
      </c>
    </row>
    <row r="50" spans="1:48">
      <c r="A50" s="1562">
        <f>Eingabedaten!A52</f>
        <v>12.11</v>
      </c>
      <c r="B50" s="435" t="str">
        <f>Eingabedaten!C52</f>
        <v>Kühlraum</v>
      </c>
      <c r="C50" s="456">
        <f>'Resultate Standard'!$S49</f>
        <v>0</v>
      </c>
      <c r="D50" s="1097">
        <f>'Resultate Standard'!$T49</f>
        <v>318</v>
      </c>
      <c r="E50" s="457">
        <f>'Resultate Standard'!$AC49</f>
        <v>0.11459259259259259</v>
      </c>
      <c r="F50" s="456">
        <f>'Resultate Standard'!$AH49</f>
        <v>0</v>
      </c>
      <c r="G50" s="456">
        <f>'Resultate Standard'!$AS49</f>
        <v>0</v>
      </c>
      <c r="H50" s="456">
        <f>'Resultate Standard'!$BA49</f>
        <v>0</v>
      </c>
      <c r="I50" s="456">
        <f>'Resultate Standard'!$BD49</f>
        <v>0</v>
      </c>
      <c r="J50" s="367"/>
      <c r="K50" s="456">
        <f>'Resultate Zielwert'!$S49</f>
        <v>0</v>
      </c>
      <c r="L50" s="1097">
        <f>'Resultate Zielwert'!$T49</f>
        <v>254.4</v>
      </c>
      <c r="M50" s="457">
        <f>'Resultate Zielwert'!$AC49</f>
        <v>2.9665242165242162E-2</v>
      </c>
      <c r="N50" s="456">
        <f>'Resultate Zielwert'!$AH49</f>
        <v>0</v>
      </c>
      <c r="O50" s="456">
        <f>'Resultate Zielwert'!$AS49</f>
        <v>0</v>
      </c>
      <c r="P50" s="456">
        <f>'Resultate Zielwert'!$BA49</f>
        <v>0</v>
      </c>
      <c r="Q50" s="456">
        <f>'Resultate Zielwert'!$BD49</f>
        <v>0</v>
      </c>
      <c r="R50" s="367"/>
      <c r="S50" s="456">
        <f>'Resultate Bestand'!$S49</f>
        <v>0</v>
      </c>
      <c r="T50" s="1097">
        <f>'Resultate Bestand'!$T49</f>
        <v>381.6</v>
      </c>
      <c r="U50" s="457">
        <f>'Resultate Bestand'!$AC49</f>
        <v>0.14733333333333332</v>
      </c>
      <c r="V50" s="456">
        <f>'Resultate Bestand'!$AH49</f>
        <v>0</v>
      </c>
      <c r="W50" s="456">
        <f>'Resultate Bestand'!$AS49</f>
        <v>0</v>
      </c>
      <c r="X50" s="456">
        <f>'Resultate Bestand'!$BA49</f>
        <v>0</v>
      </c>
      <c r="Y50" s="456">
        <f>'Resultate Bestand'!$BD49</f>
        <v>0</v>
      </c>
      <c r="AA50" s="438">
        <f t="shared" si="0"/>
        <v>12.11</v>
      </c>
      <c r="AB50" s="435" t="str">
        <f t="shared" si="1"/>
        <v>Kühlraum</v>
      </c>
      <c r="AC50" s="439">
        <f>'Resultate Standard'!$O49</f>
        <v>0</v>
      </c>
      <c r="AD50" s="1098">
        <f>'Resultate Standard'!$P49</f>
        <v>100</v>
      </c>
      <c r="AE50" s="439">
        <f>'Resultate Standard'!$AA49</f>
        <v>2.2037037037037037</v>
      </c>
      <c r="AF50" s="439">
        <f>'Resultate Standard'!$AF49</f>
        <v>0</v>
      </c>
      <c r="AG50" s="439">
        <f>'Resultate Standard'!$AP49</f>
        <v>0</v>
      </c>
      <c r="AH50" s="439">
        <f>'Resultate Standard'!$AX49</f>
        <v>0.82500000000000007</v>
      </c>
      <c r="AI50" s="433"/>
      <c r="AJ50" s="439">
        <f>'Resultate Zielwert'!$O49</f>
        <v>0</v>
      </c>
      <c r="AK50" s="1098">
        <f>'Resultate Zielwert'!$P49</f>
        <v>80</v>
      </c>
      <c r="AL50" s="439">
        <f>'Resultate Zielwert'!$AA49</f>
        <v>1.4126305792972458</v>
      </c>
      <c r="AM50" s="439">
        <f>'Resultate Zielwert'!$AF49</f>
        <v>0</v>
      </c>
      <c r="AN50" s="439">
        <f>'Resultate Zielwert'!$AP49</f>
        <v>0</v>
      </c>
      <c r="AO50" s="439">
        <f>'Resultate Zielwert'!$AX49</f>
        <v>0.48529411764705888</v>
      </c>
      <c r="AP50" s="433"/>
      <c r="AQ50" s="439">
        <f>'Resultate Bestand'!$O49</f>
        <v>0</v>
      </c>
      <c r="AR50" s="1098">
        <f>'Resultate Bestand'!$T49</f>
        <v>381.6</v>
      </c>
      <c r="AS50" s="439">
        <f>'Resultate Bestand'!$AA49</f>
        <v>2.833333333333333</v>
      </c>
      <c r="AT50" s="439">
        <f>'Resultate Bestand'!$AF49</f>
        <v>0</v>
      </c>
      <c r="AU50" s="439">
        <f>'Resultate Bestand'!$AP49</f>
        <v>0</v>
      </c>
      <c r="AV50" s="439">
        <f>'Resultate Bestand'!$AX49</f>
        <v>3.9773529411764712</v>
      </c>
    </row>
    <row r="51" spans="1:48">
      <c r="A51" s="1562">
        <f>Eingabedaten!A53</f>
        <v>12.12</v>
      </c>
      <c r="B51" s="435" t="str">
        <f>Eingabedaten!C53</f>
        <v>Serverraum</v>
      </c>
      <c r="C51" s="456">
        <f>'Resultate Standard'!$S50</f>
        <v>0</v>
      </c>
      <c r="D51" s="1097">
        <f>'Resultate Standard'!$T50</f>
        <v>1051.5</v>
      </c>
      <c r="E51" s="457">
        <f>'Resultate Standard'!$AC50</f>
        <v>0.37757222222222214</v>
      </c>
      <c r="F51" s="456">
        <f>'Resultate Standard'!$AH50</f>
        <v>1.5070000000000001</v>
      </c>
      <c r="G51" s="456">
        <f>'Resultate Standard'!$AS50</f>
        <v>0</v>
      </c>
      <c r="H51" s="456">
        <f>'Resultate Standard'!$BA50</f>
        <v>0</v>
      </c>
      <c r="I51" s="456">
        <f>'Resultate Standard'!$BD50</f>
        <v>0</v>
      </c>
      <c r="J51" s="440"/>
      <c r="K51" s="456">
        <f>'Resultate Zielwert'!$S50</f>
        <v>0</v>
      </c>
      <c r="L51" s="1097">
        <f>'Resultate Zielwert'!$T50</f>
        <v>701</v>
      </c>
      <c r="M51" s="457">
        <f>'Resultate Zielwert'!$AC50</f>
        <v>0.24203347578347581</v>
      </c>
      <c r="N51" s="456">
        <f>'Resultate Zielwert'!$AH50</f>
        <v>0.5746</v>
      </c>
      <c r="O51" s="456">
        <f>'Resultate Zielwert'!$AS50</f>
        <v>0</v>
      </c>
      <c r="P51" s="456">
        <f>'Resultate Zielwert'!$BA50</f>
        <v>0</v>
      </c>
      <c r="Q51" s="456">
        <f>'Resultate Zielwert'!$BD50</f>
        <v>0</v>
      </c>
      <c r="R51" s="367"/>
      <c r="S51" s="456">
        <f>'Resultate Bestand'!$S50</f>
        <v>0</v>
      </c>
      <c r="T51" s="1097">
        <f>'Resultate Bestand'!$T50</f>
        <v>1402</v>
      </c>
      <c r="U51" s="457">
        <f>'Resultate Bestand'!$AC50</f>
        <v>0.48545000000000005</v>
      </c>
      <c r="V51" s="456">
        <f>'Resultate Bestand'!$AH50</f>
        <v>2.4934000000000003</v>
      </c>
      <c r="W51" s="456">
        <f>'Resultate Bestand'!$AS50</f>
        <v>0</v>
      </c>
      <c r="X51" s="456">
        <f>'Resultate Bestand'!$BA50</f>
        <v>0</v>
      </c>
      <c r="Y51" s="456">
        <f>'Resultate Bestand'!$BD50</f>
        <v>0</v>
      </c>
      <c r="AA51" s="438">
        <f t="shared" si="0"/>
        <v>12.12</v>
      </c>
      <c r="AB51" s="435" t="str">
        <f t="shared" si="1"/>
        <v>Serverraum</v>
      </c>
      <c r="AC51" s="439">
        <f>'Resultate Standard'!$O50</f>
        <v>0</v>
      </c>
      <c r="AD51" s="1098">
        <f>'Resultate Standard'!$P50</f>
        <v>150</v>
      </c>
      <c r="AE51" s="439">
        <f>'Resultate Standard'!$AA50</f>
        <v>5.1722222222222216</v>
      </c>
      <c r="AF51" s="439">
        <f>'Resultate Standard'!$AF50</f>
        <v>0.27500000000000002</v>
      </c>
      <c r="AG51" s="439">
        <f>'Resultate Standard'!$AP50</f>
        <v>6.5114222222222216</v>
      </c>
      <c r="AH51" s="439">
        <f>'Resultate Standard'!$AX50</f>
        <v>1.71</v>
      </c>
      <c r="AI51" s="433"/>
      <c r="AJ51" s="439">
        <f>'Resultate Zielwert'!$O50</f>
        <v>0</v>
      </c>
      <c r="AK51" s="1098">
        <f>'Resultate Zielwert'!$P50</f>
        <v>100</v>
      </c>
      <c r="AL51" s="439">
        <f>'Resultate Zielwert'!$AA50</f>
        <v>3.3155270655270659</v>
      </c>
      <c r="AM51" s="439">
        <f>'Resultate Zielwert'!$AF50</f>
        <v>0.17</v>
      </c>
      <c r="AN51" s="439">
        <f>'Resultate Zielwert'!$AP50</f>
        <v>4.2645247125858887</v>
      </c>
      <c r="AO51" s="439">
        <f>'Resultate Zielwert'!$AX50</f>
        <v>1.3023529411764709</v>
      </c>
      <c r="AP51" s="433"/>
      <c r="AQ51" s="439">
        <f>'Resultate Bestand'!$O50</f>
        <v>0</v>
      </c>
      <c r="AR51" s="1098">
        <f>'Resultate Bestand'!$T50</f>
        <v>1402</v>
      </c>
      <c r="AS51" s="439">
        <f>'Resultate Bestand'!$AA50</f>
        <v>6.65</v>
      </c>
      <c r="AT51" s="439">
        <f>'Resultate Bestand'!$AF50</f>
        <v>0.45500000000000002</v>
      </c>
      <c r="AU51" s="439">
        <f>'Resultate Bestand'!$AP50</f>
        <v>0</v>
      </c>
      <c r="AV51" s="439">
        <f>'Resultate Bestand'!$AX50</f>
        <v>8.0905235294117652</v>
      </c>
    </row>
  </sheetData>
  <pageMargins left="0.78740157499999996" right="0.78740157499999996" top="0.984251969" bottom="0.984251969" header="0.4921259845" footer="0.4921259845"/>
  <pageSetup paperSize="9" orientation="portrait" r:id="rId1"/>
  <headerFooter alignWithMargins="0">
    <oddHeader>&amp;CSIA 2024 Raum-Datenblätter</oddHeader>
    <oddFooter>&amp;CSIA 2024, Copyright © 2021 by SIA Zurich</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blFlächeE">
    <tabColor theme="9" tint="0.59999389629810485"/>
    <pageSetUpPr fitToPage="1"/>
  </sheetPr>
  <dimension ref="A1:HS217"/>
  <sheetViews>
    <sheetView showGridLines="0" topLeftCell="AE1" zoomScaleNormal="100" workbookViewId="0">
      <pane ySplit="2" topLeftCell="A3" activePane="bottomLeft" state="frozen"/>
      <selection pane="bottomLeft" activeCell="AE3" sqref="AE3:AY9"/>
    </sheetView>
  </sheetViews>
  <sheetFormatPr baseColWidth="10" defaultColWidth="11.4609375" defaultRowHeight="11.6"/>
  <cols>
    <col min="1" max="1" width="5.69140625" style="723" customWidth="1"/>
    <col min="2" max="2" width="26.23046875" style="723" customWidth="1"/>
    <col min="3" max="3" width="3.4609375" style="723" customWidth="1"/>
    <col min="4" max="25" width="3.765625" style="746" customWidth="1"/>
    <col min="26" max="28" width="5.23046875" style="723" customWidth="1"/>
    <col min="29" max="29" width="42.765625" style="723" customWidth="1"/>
    <col min="30" max="30" width="8.53515625" style="723" customWidth="1"/>
    <col min="31" max="33" width="5.23046875" style="723" customWidth="1"/>
    <col min="34" max="34" width="5.53515625" style="723" customWidth="1"/>
    <col min="35" max="39" width="5.23046875" style="723" customWidth="1"/>
    <col min="40" max="40" width="5.69140625" style="723" customWidth="1"/>
    <col min="41" max="51" width="5.23046875" style="723" customWidth="1"/>
    <col min="52" max="52" width="5.23046875" style="723" hidden="1" customWidth="1"/>
    <col min="53" max="53" width="11.4609375" style="723"/>
    <col min="54" max="54" width="10.23046875" style="723" customWidth="1"/>
    <col min="55" max="55" width="32.23046875" style="723" customWidth="1"/>
    <col min="56" max="56" width="8.53515625" style="723" customWidth="1"/>
    <col min="57" max="57" width="4.765625" style="723" customWidth="1"/>
    <col min="58" max="59" width="4.765625" style="723" hidden="1" customWidth="1"/>
    <col min="60" max="62" width="4.765625" style="723" customWidth="1"/>
    <col min="63" max="64" width="4.765625" style="723" hidden="1" customWidth="1"/>
    <col min="65" max="65" width="4.765625" style="723" customWidth="1"/>
    <col min="66" max="68" width="4.765625" style="723" hidden="1" customWidth="1"/>
    <col min="69" max="71" width="4.765625" style="723" customWidth="1"/>
    <col min="72" max="73" width="4.765625" style="723" hidden="1" customWidth="1"/>
    <col min="74" max="77" width="4.765625" style="723" customWidth="1"/>
    <col min="78" max="78" width="4.23046875" style="723" hidden="1" customWidth="1"/>
    <col min="79" max="79" width="11.4609375" style="723"/>
    <col min="80" max="80" width="40.53515625" style="723" customWidth="1"/>
    <col min="81" max="81" width="8.53515625" style="723" customWidth="1"/>
    <col min="82" max="82" width="3.765625" style="723" customWidth="1"/>
    <col min="83" max="84" width="3.765625" style="723" hidden="1" customWidth="1"/>
    <col min="85" max="87" width="3.765625" style="723" customWidth="1"/>
    <col min="88" max="89" width="3.765625" style="723" hidden="1" customWidth="1"/>
    <col min="90" max="90" width="3.765625" style="723" customWidth="1"/>
    <col min="91" max="93" width="3.765625" style="723" hidden="1" customWidth="1"/>
    <col min="94" max="96" width="3.765625" style="723" customWidth="1"/>
    <col min="97" max="98" width="3.765625" style="723" hidden="1" customWidth="1"/>
    <col min="99" max="102" width="3.765625" style="723" customWidth="1"/>
    <col min="103" max="103" width="3.53515625" style="723" hidden="1" customWidth="1"/>
    <col min="104" max="105" width="11.4609375" style="723"/>
    <col min="106" max="106" width="23" style="723" customWidth="1"/>
    <col min="107" max="107" width="8.53515625" style="723" customWidth="1"/>
    <col min="108" max="108" width="5" style="723" customWidth="1"/>
    <col min="109" max="111" width="5" style="723" hidden="1" customWidth="1"/>
    <col min="112" max="118" width="5" style="723" customWidth="1"/>
    <col min="119" max="119" width="5" style="723" hidden="1" customWidth="1"/>
    <col min="120" max="120" width="5" style="723" customWidth="1"/>
    <col min="121" max="127" width="5" style="723" hidden="1" customWidth="1"/>
    <col min="128" max="129" width="11.4609375" style="723"/>
    <col min="130" max="130" width="16.765625" style="723" customWidth="1"/>
    <col min="131" max="131" width="10.53515625" style="723" customWidth="1"/>
    <col min="132" max="132" width="4" style="723" customWidth="1"/>
    <col min="133" max="134" width="4" style="723" hidden="1" customWidth="1"/>
    <col min="135" max="135" width="4" style="723" customWidth="1"/>
    <col min="136" max="136" width="4.4609375" style="723" customWidth="1"/>
    <col min="137" max="137" width="4" style="723" customWidth="1"/>
    <col min="138" max="139" width="4" style="723" hidden="1" customWidth="1"/>
    <col min="140" max="140" width="4.53515625" style="723" customWidth="1"/>
    <col min="141" max="143" width="4" style="723" hidden="1" customWidth="1"/>
    <col min="144" max="144" width="4.69140625" style="723" customWidth="1"/>
    <col min="145" max="145" width="4" style="723" customWidth="1"/>
    <col min="146" max="146" width="4.4609375" style="723" customWidth="1"/>
    <col min="147" max="148" width="4" style="723" hidden="1" customWidth="1"/>
    <col min="149" max="151" width="4" style="723" customWidth="1"/>
    <col min="152" max="152" width="4" style="723" hidden="1" customWidth="1"/>
    <col min="153" max="153" width="11.4609375" style="723"/>
    <col min="154" max="154" width="20.23046875" style="723" customWidth="1"/>
    <col min="155" max="155" width="9" style="723" customWidth="1"/>
    <col min="156" max="156" width="4.23046875" style="723" customWidth="1"/>
    <col min="157" max="158" width="4.23046875" style="723" hidden="1" customWidth="1"/>
    <col min="159" max="161" width="4.23046875" style="723" customWidth="1"/>
    <col min="162" max="163" width="4.23046875" style="723" hidden="1" customWidth="1"/>
    <col min="164" max="164" width="4.23046875" style="723" customWidth="1"/>
    <col min="165" max="167" width="4.23046875" style="723" hidden="1" customWidth="1"/>
    <col min="168" max="170" width="4.23046875" style="723" customWidth="1"/>
    <col min="171" max="172" width="4.23046875" style="723" hidden="1" customWidth="1"/>
    <col min="173" max="175" width="4.23046875" style="723" customWidth="1"/>
    <col min="176" max="177" width="4.23046875" style="723" hidden="1" customWidth="1"/>
    <col min="178" max="178" width="4.23046875" style="723" customWidth="1"/>
    <col min="179" max="179" width="23" style="723" customWidth="1"/>
    <col min="180" max="180" width="8.765625" style="723" customWidth="1"/>
    <col min="181" max="181" width="4.765625" style="723" hidden="1" customWidth="1"/>
    <col min="182" max="185" width="4.765625" style="723" customWidth="1"/>
    <col min="186" max="186" width="4.765625" style="723" hidden="1" customWidth="1"/>
    <col min="187" max="188" width="4.765625" style="723" customWidth="1"/>
    <col min="189" max="189" width="4.765625" style="723" hidden="1" customWidth="1"/>
    <col min="190" max="190" width="5.23046875" style="723" customWidth="1"/>
    <col min="191" max="191" width="4.765625" style="723" customWidth="1"/>
    <col min="192" max="192" width="4.765625" style="723" hidden="1" customWidth="1"/>
    <col min="193" max="194" width="4.765625" style="723" customWidth="1"/>
    <col min="195" max="195" width="4.765625" style="723" hidden="1" customWidth="1"/>
    <col min="196" max="202" width="4.765625" style="723" customWidth="1"/>
    <col min="203" max="203" width="11.4609375" style="723"/>
    <col min="204" max="204" width="26.23046875" style="723" customWidth="1"/>
    <col min="205" max="205" width="9.69140625" style="723" customWidth="1"/>
    <col min="206" max="206" width="4.765625" style="723" hidden="1" customWidth="1"/>
    <col min="207" max="210" width="4.765625" style="723" customWidth="1"/>
    <col min="211" max="211" width="4.765625" style="723" hidden="1" customWidth="1"/>
    <col min="212" max="213" width="4.765625" style="723" customWidth="1"/>
    <col min="214" max="214" width="4.765625" style="723" hidden="1" customWidth="1"/>
    <col min="215" max="216" width="4.765625" style="723" customWidth="1"/>
    <col min="217" max="217" width="4.765625" style="723" hidden="1" customWidth="1"/>
    <col min="218" max="219" width="4.765625" style="723" customWidth="1"/>
    <col min="220" max="220" width="4.765625" style="723" hidden="1" customWidth="1"/>
    <col min="221" max="227" width="4.765625" style="723" customWidth="1"/>
    <col min="228" max="16384" width="11.4609375" style="723"/>
  </cols>
  <sheetData>
    <row r="1" spans="1:227">
      <c r="D1" s="724" t="s">
        <v>379</v>
      </c>
      <c r="E1" s="724" t="s">
        <v>1107</v>
      </c>
      <c r="F1" s="724" t="s">
        <v>1140</v>
      </c>
      <c r="G1" s="724" t="s">
        <v>380</v>
      </c>
      <c r="H1" s="724" t="s">
        <v>381</v>
      </c>
      <c r="I1" s="724" t="s">
        <v>382</v>
      </c>
      <c r="J1" s="724" t="s">
        <v>1138</v>
      </c>
      <c r="K1" s="724" t="s">
        <v>1139</v>
      </c>
      <c r="L1" s="724" t="s">
        <v>383</v>
      </c>
      <c r="M1" s="724" t="s">
        <v>1108</v>
      </c>
      <c r="N1" s="724" t="s">
        <v>1109</v>
      </c>
      <c r="O1" s="724" t="s">
        <v>1110</v>
      </c>
      <c r="P1" s="724" t="s">
        <v>384</v>
      </c>
      <c r="Q1" s="724" t="s">
        <v>385</v>
      </c>
      <c r="R1" s="724" t="s">
        <v>386</v>
      </c>
      <c r="S1" s="724" t="s">
        <v>1155</v>
      </c>
      <c r="T1" s="724" t="s">
        <v>1156</v>
      </c>
      <c r="U1" s="724" t="s">
        <v>387</v>
      </c>
      <c r="V1" s="724" t="s">
        <v>139</v>
      </c>
      <c r="W1" s="724" t="s">
        <v>388</v>
      </c>
      <c r="X1" s="724" t="s">
        <v>389</v>
      </c>
      <c r="Y1" s="724" t="s">
        <v>1111</v>
      </c>
      <c r="AA1" s="768"/>
      <c r="AC1" s="795" t="s">
        <v>1532</v>
      </c>
      <c r="AD1" s="796">
        <v>0.8</v>
      </c>
      <c r="AE1" s="725" t="str">
        <f t="shared" ref="AE1:AN2" si="0">D1</f>
        <v>I</v>
      </c>
      <c r="AF1" s="725" t="str">
        <f t="shared" si="0"/>
        <v>I.1</v>
      </c>
      <c r="AG1" s="724" t="str">
        <f t="shared" si="0"/>
        <v>I.2</v>
      </c>
      <c r="AH1" s="724" t="str">
        <f t="shared" si="0"/>
        <v>II</v>
      </c>
      <c r="AI1" s="724" t="str">
        <f t="shared" si="0"/>
        <v>III</v>
      </c>
      <c r="AJ1" s="724" t="str">
        <f t="shared" si="0"/>
        <v>IV</v>
      </c>
      <c r="AK1" s="724" t="str">
        <f t="shared" si="0"/>
        <v>IV.1</v>
      </c>
      <c r="AL1" s="724" t="str">
        <f t="shared" si="0"/>
        <v>IV.2</v>
      </c>
      <c r="AM1" s="724" t="str">
        <f t="shared" si="0"/>
        <v>V</v>
      </c>
      <c r="AN1" s="724" t="str">
        <f t="shared" si="0"/>
        <v>V.1</v>
      </c>
      <c r="AO1" s="724" t="str">
        <f t="shared" ref="AO1:AX2" si="1">N1</f>
        <v>V.2</v>
      </c>
      <c r="AP1" s="724" t="str">
        <f t="shared" si="1"/>
        <v>V.3</v>
      </c>
      <c r="AQ1" s="724" t="str">
        <f t="shared" si="1"/>
        <v>VI</v>
      </c>
      <c r="AR1" s="724" t="str">
        <f t="shared" si="1"/>
        <v>VII</v>
      </c>
      <c r="AS1" s="724" t="str">
        <f t="shared" si="1"/>
        <v>VIII</v>
      </c>
      <c r="AT1" s="724" t="str">
        <f t="shared" si="1"/>
        <v>VIII.1</v>
      </c>
      <c r="AU1" s="724" t="str">
        <f t="shared" si="1"/>
        <v>VIII.2</v>
      </c>
      <c r="AV1" s="724" t="str">
        <f t="shared" si="1"/>
        <v>IX</v>
      </c>
      <c r="AW1" s="724" t="str">
        <f t="shared" si="1"/>
        <v>X</v>
      </c>
      <c r="AX1" s="724" t="str">
        <f t="shared" si="1"/>
        <v>XI</v>
      </c>
      <c r="AY1" s="724" t="str">
        <f t="shared" ref="AY1:AZ2" si="2">X1</f>
        <v>XII</v>
      </c>
      <c r="AZ1" s="724" t="str">
        <f t="shared" si="2"/>
        <v>XIII</v>
      </c>
      <c r="BC1" s="726" t="s">
        <v>1125</v>
      </c>
      <c r="BD1" s="727"/>
      <c r="BE1" s="724" t="str">
        <f t="shared" ref="BE1:BN2" si="3">D1</f>
        <v>I</v>
      </c>
      <c r="BF1" s="724" t="str">
        <f t="shared" si="3"/>
        <v>I.1</v>
      </c>
      <c r="BG1" s="724" t="str">
        <f t="shared" si="3"/>
        <v>I.2</v>
      </c>
      <c r="BH1" s="724" t="str">
        <f t="shared" si="3"/>
        <v>II</v>
      </c>
      <c r="BI1" s="724" t="str">
        <f t="shared" si="3"/>
        <v>III</v>
      </c>
      <c r="BJ1" s="724" t="str">
        <f t="shared" si="3"/>
        <v>IV</v>
      </c>
      <c r="BK1" s="724" t="str">
        <f t="shared" si="3"/>
        <v>IV.1</v>
      </c>
      <c r="BL1" s="724" t="str">
        <f t="shared" si="3"/>
        <v>IV.2</v>
      </c>
      <c r="BM1" s="724" t="str">
        <f t="shared" si="3"/>
        <v>V</v>
      </c>
      <c r="BN1" s="724" t="str">
        <f t="shared" si="3"/>
        <v>V.1</v>
      </c>
      <c r="BO1" s="724" t="str">
        <f t="shared" ref="BO1:BX2" si="4">N1</f>
        <v>V.2</v>
      </c>
      <c r="BP1" s="724" t="str">
        <f t="shared" si="4"/>
        <v>V.3</v>
      </c>
      <c r="BQ1" s="724" t="str">
        <f t="shared" si="4"/>
        <v>VI</v>
      </c>
      <c r="BR1" s="724" t="str">
        <f t="shared" si="4"/>
        <v>VII</v>
      </c>
      <c r="BS1" s="724" t="str">
        <f t="shared" si="4"/>
        <v>VIII</v>
      </c>
      <c r="BT1" s="724" t="str">
        <f t="shared" si="4"/>
        <v>VIII.1</v>
      </c>
      <c r="BU1" s="724" t="str">
        <f t="shared" si="4"/>
        <v>VIII.2</v>
      </c>
      <c r="BV1" s="724" t="str">
        <f t="shared" si="4"/>
        <v>IX</v>
      </c>
      <c r="BW1" s="724" t="str">
        <f t="shared" si="4"/>
        <v>X</v>
      </c>
      <c r="BX1" s="724" t="str">
        <f t="shared" si="4"/>
        <v>XI</v>
      </c>
      <c r="BY1" s="724" t="str">
        <f t="shared" ref="BY1:BZ2" si="5">X1</f>
        <v>XII</v>
      </c>
      <c r="BZ1" s="724" t="str">
        <f t="shared" si="5"/>
        <v>XIII</v>
      </c>
      <c r="CB1" s="757" t="s">
        <v>1126</v>
      </c>
      <c r="CC1" s="727"/>
      <c r="CD1" s="724" t="str">
        <f t="shared" ref="CD1:CM2" si="6">D1</f>
        <v>I</v>
      </c>
      <c r="CE1" s="724" t="str">
        <f t="shared" si="6"/>
        <v>I.1</v>
      </c>
      <c r="CF1" s="724" t="str">
        <f t="shared" si="6"/>
        <v>I.2</v>
      </c>
      <c r="CG1" s="724" t="str">
        <f t="shared" si="6"/>
        <v>II</v>
      </c>
      <c r="CH1" s="724" t="str">
        <f t="shared" si="6"/>
        <v>III</v>
      </c>
      <c r="CI1" s="724" t="str">
        <f t="shared" si="6"/>
        <v>IV</v>
      </c>
      <c r="CJ1" s="724" t="str">
        <f t="shared" si="6"/>
        <v>IV.1</v>
      </c>
      <c r="CK1" s="724" t="str">
        <f t="shared" si="6"/>
        <v>IV.2</v>
      </c>
      <c r="CL1" s="724" t="str">
        <f t="shared" si="6"/>
        <v>V</v>
      </c>
      <c r="CM1" s="724" t="str">
        <f t="shared" si="6"/>
        <v>V.1</v>
      </c>
      <c r="CN1" s="724" t="str">
        <f t="shared" ref="CN1:CW2" si="7">N1</f>
        <v>V.2</v>
      </c>
      <c r="CO1" s="724" t="str">
        <f t="shared" si="7"/>
        <v>V.3</v>
      </c>
      <c r="CP1" s="724" t="str">
        <f t="shared" si="7"/>
        <v>VI</v>
      </c>
      <c r="CQ1" s="724" t="str">
        <f t="shared" si="7"/>
        <v>VII</v>
      </c>
      <c r="CR1" s="724" t="str">
        <f t="shared" si="7"/>
        <v>VIII</v>
      </c>
      <c r="CS1" s="724" t="str">
        <f t="shared" si="7"/>
        <v>VIII.1</v>
      </c>
      <c r="CT1" s="724" t="str">
        <f t="shared" si="7"/>
        <v>VIII.2</v>
      </c>
      <c r="CU1" s="724" t="str">
        <f t="shared" si="7"/>
        <v>IX</v>
      </c>
      <c r="CV1" s="724" t="str">
        <f t="shared" si="7"/>
        <v>X</v>
      </c>
      <c r="CW1" s="724" t="str">
        <f t="shared" si="7"/>
        <v>XI</v>
      </c>
      <c r="CX1" s="724" t="str">
        <f t="shared" ref="CX1:CY2" si="8">X1</f>
        <v>XII</v>
      </c>
      <c r="CY1" s="724" t="str">
        <f t="shared" si="8"/>
        <v>XIII</v>
      </c>
      <c r="DB1" s="726" t="s">
        <v>1964</v>
      </c>
      <c r="DC1" s="727"/>
      <c r="DD1" s="725" t="str">
        <f t="shared" ref="DD1:DR2" si="9">D1</f>
        <v>I</v>
      </c>
      <c r="DE1" s="725" t="str">
        <f t="shared" si="9"/>
        <v>I.1</v>
      </c>
      <c r="DF1" s="724" t="str">
        <f t="shared" si="9"/>
        <v>I.2</v>
      </c>
      <c r="DG1" s="724" t="str">
        <f t="shared" si="9"/>
        <v>II</v>
      </c>
      <c r="DH1" s="724" t="str">
        <f t="shared" si="9"/>
        <v>III</v>
      </c>
      <c r="DI1" s="724" t="str">
        <f t="shared" si="9"/>
        <v>IV</v>
      </c>
      <c r="DJ1" s="724" t="str">
        <f t="shared" si="9"/>
        <v>IV.1</v>
      </c>
      <c r="DK1" s="724" t="str">
        <f t="shared" si="9"/>
        <v>IV.2</v>
      </c>
      <c r="DL1" s="724" t="str">
        <f t="shared" si="9"/>
        <v>V</v>
      </c>
      <c r="DM1" s="724" t="str">
        <f t="shared" si="9"/>
        <v>V.1</v>
      </c>
      <c r="DN1" s="724" t="str">
        <f t="shared" si="9"/>
        <v>V.2</v>
      </c>
      <c r="DO1" s="724" t="str">
        <f t="shared" si="9"/>
        <v>V.3</v>
      </c>
      <c r="DP1" s="724" t="str">
        <f t="shared" si="9"/>
        <v>VI</v>
      </c>
      <c r="DQ1" s="724" t="str">
        <f t="shared" si="9"/>
        <v>VII</v>
      </c>
      <c r="DR1" s="724" t="str">
        <f t="shared" si="9"/>
        <v>VIII</v>
      </c>
      <c r="DS1" s="724" t="str">
        <f t="shared" ref="DS1:DW2" si="10">U1</f>
        <v>IX</v>
      </c>
      <c r="DT1" s="724" t="str">
        <f t="shared" si="10"/>
        <v>X</v>
      </c>
      <c r="DU1" s="724" t="str">
        <f t="shared" si="10"/>
        <v>XI</v>
      </c>
      <c r="DV1" s="724" t="str">
        <f t="shared" si="10"/>
        <v>XII</v>
      </c>
      <c r="DW1" s="724" t="str">
        <f t="shared" si="10"/>
        <v>XIII</v>
      </c>
      <c r="DZ1" s="726" t="s">
        <v>1294</v>
      </c>
      <c r="EA1" s="798"/>
      <c r="EB1" s="724" t="str">
        <f>$D1</f>
        <v>I</v>
      </c>
      <c r="EC1" s="724" t="str">
        <f t="shared" ref="EC1:EL2" si="11">E1</f>
        <v>I.1</v>
      </c>
      <c r="ED1" s="724" t="str">
        <f t="shared" si="11"/>
        <v>I.2</v>
      </c>
      <c r="EE1" s="724" t="str">
        <f t="shared" si="11"/>
        <v>II</v>
      </c>
      <c r="EF1" s="724" t="str">
        <f t="shared" si="11"/>
        <v>III</v>
      </c>
      <c r="EG1" s="724" t="str">
        <f t="shared" si="11"/>
        <v>IV</v>
      </c>
      <c r="EH1" s="724" t="str">
        <f t="shared" si="11"/>
        <v>IV.1</v>
      </c>
      <c r="EI1" s="724" t="str">
        <f t="shared" si="11"/>
        <v>IV.2</v>
      </c>
      <c r="EJ1" s="724" t="str">
        <f t="shared" si="11"/>
        <v>V</v>
      </c>
      <c r="EK1" s="724" t="str">
        <f t="shared" si="11"/>
        <v>V.1</v>
      </c>
      <c r="EL1" s="724" t="str">
        <f t="shared" si="11"/>
        <v>V.2</v>
      </c>
      <c r="EM1" s="724" t="str">
        <f t="shared" ref="EM1:EV2" si="12">O1</f>
        <v>V.3</v>
      </c>
      <c r="EN1" s="724" t="str">
        <f t="shared" si="12"/>
        <v>VI</v>
      </c>
      <c r="EO1" s="724" t="str">
        <f t="shared" si="12"/>
        <v>VII</v>
      </c>
      <c r="EP1" s="724" t="str">
        <f t="shared" si="12"/>
        <v>VIII</v>
      </c>
      <c r="EQ1" s="724" t="str">
        <f t="shared" si="12"/>
        <v>VIII.1</v>
      </c>
      <c r="ER1" s="724" t="str">
        <f t="shared" si="12"/>
        <v>VIII.2</v>
      </c>
      <c r="ES1" s="724" t="str">
        <f t="shared" si="12"/>
        <v>IX</v>
      </c>
      <c r="ET1" s="724" t="str">
        <f t="shared" si="12"/>
        <v>X</v>
      </c>
      <c r="EU1" s="724" t="str">
        <f t="shared" si="12"/>
        <v>XI</v>
      </c>
      <c r="EV1" s="725" t="str">
        <f t="shared" si="12"/>
        <v>XII</v>
      </c>
      <c r="EX1" s="726" t="s">
        <v>1295</v>
      </c>
      <c r="EY1" s="798"/>
      <c r="EZ1" s="724" t="str">
        <f t="shared" ref="EZ1:FI2" si="13">D1</f>
        <v>I</v>
      </c>
      <c r="FA1" s="724" t="str">
        <f t="shared" si="13"/>
        <v>I.1</v>
      </c>
      <c r="FB1" s="724" t="str">
        <f t="shared" si="13"/>
        <v>I.2</v>
      </c>
      <c r="FC1" s="724" t="str">
        <f t="shared" si="13"/>
        <v>II</v>
      </c>
      <c r="FD1" s="724" t="str">
        <f t="shared" si="13"/>
        <v>III</v>
      </c>
      <c r="FE1" s="724" t="str">
        <f t="shared" si="13"/>
        <v>IV</v>
      </c>
      <c r="FF1" s="724" t="str">
        <f t="shared" si="13"/>
        <v>IV.1</v>
      </c>
      <c r="FG1" s="724" t="str">
        <f t="shared" si="13"/>
        <v>IV.2</v>
      </c>
      <c r="FH1" s="724" t="str">
        <f t="shared" si="13"/>
        <v>V</v>
      </c>
      <c r="FI1" s="724" t="str">
        <f t="shared" si="13"/>
        <v>V.1</v>
      </c>
      <c r="FJ1" s="724" t="str">
        <f t="shared" ref="FJ1:FS2" si="14">N1</f>
        <v>V.2</v>
      </c>
      <c r="FK1" s="724" t="str">
        <f t="shared" si="14"/>
        <v>V.3</v>
      </c>
      <c r="FL1" s="724" t="str">
        <f t="shared" si="14"/>
        <v>VI</v>
      </c>
      <c r="FM1" s="724" t="str">
        <f t="shared" si="14"/>
        <v>VII</v>
      </c>
      <c r="FN1" s="724" t="str">
        <f t="shared" si="14"/>
        <v>VIII</v>
      </c>
      <c r="FO1" s="724" t="str">
        <f t="shared" si="14"/>
        <v>VIII.1</v>
      </c>
      <c r="FP1" s="724" t="str">
        <f t="shared" si="14"/>
        <v>VIII.2</v>
      </c>
      <c r="FQ1" s="724" t="str">
        <f t="shared" si="14"/>
        <v>IX</v>
      </c>
      <c r="FR1" s="724" t="str">
        <f t="shared" si="14"/>
        <v>X</v>
      </c>
      <c r="FS1" s="724" t="str">
        <f t="shared" si="14"/>
        <v>XI</v>
      </c>
      <c r="FT1" s="724" t="str">
        <f t="shared" ref="FT1:FU2" si="15">X1</f>
        <v>XII</v>
      </c>
      <c r="FU1" s="803" t="str">
        <f t="shared" si="15"/>
        <v>XIII</v>
      </c>
      <c r="FV1" s="746"/>
      <c r="FW1" s="726" t="s">
        <v>1655</v>
      </c>
      <c r="FX1" s="798"/>
      <c r="FY1" s="724" t="str">
        <f>D1</f>
        <v>I</v>
      </c>
      <c r="FZ1" s="724" t="str">
        <f t="shared" ref="FZ1:GM2" si="16">E1</f>
        <v>I.1</v>
      </c>
      <c r="GA1" s="724" t="str">
        <f t="shared" si="16"/>
        <v>I.2</v>
      </c>
      <c r="GB1" s="724" t="str">
        <f t="shared" si="16"/>
        <v>II</v>
      </c>
      <c r="GC1" s="724" t="str">
        <f t="shared" si="16"/>
        <v>III</v>
      </c>
      <c r="GD1" s="724" t="str">
        <f t="shared" si="16"/>
        <v>IV</v>
      </c>
      <c r="GE1" s="724" t="str">
        <f t="shared" si="16"/>
        <v>IV.1</v>
      </c>
      <c r="GF1" s="724" t="str">
        <f t="shared" si="16"/>
        <v>IV.2</v>
      </c>
      <c r="GG1" s="724" t="str">
        <f t="shared" si="16"/>
        <v>V</v>
      </c>
      <c r="GH1" s="724" t="str">
        <f t="shared" si="16"/>
        <v>V.1</v>
      </c>
      <c r="GI1" s="724" t="str">
        <f t="shared" si="16"/>
        <v>V.2</v>
      </c>
      <c r="GJ1" s="724" t="str">
        <f t="shared" si="16"/>
        <v>V.3</v>
      </c>
      <c r="GK1" s="724" t="str">
        <f t="shared" si="16"/>
        <v>VI</v>
      </c>
      <c r="GL1" s="724" t="str">
        <f t="shared" si="16"/>
        <v>VII</v>
      </c>
      <c r="GM1" s="724" t="str">
        <f t="shared" si="16"/>
        <v>VIII</v>
      </c>
      <c r="GN1" s="724" t="str">
        <f t="shared" ref="GN1:GT2" si="17">S1</f>
        <v>VIII.1</v>
      </c>
      <c r="GO1" s="724" t="str">
        <f t="shared" si="17"/>
        <v>VIII.2</v>
      </c>
      <c r="GP1" s="724" t="str">
        <f t="shared" si="17"/>
        <v>IX</v>
      </c>
      <c r="GQ1" s="724" t="str">
        <f t="shared" si="17"/>
        <v>X</v>
      </c>
      <c r="GR1" s="724" t="str">
        <f t="shared" si="17"/>
        <v>XI</v>
      </c>
      <c r="GS1" s="724" t="str">
        <f t="shared" si="17"/>
        <v>XII</v>
      </c>
      <c r="GT1" s="724" t="str">
        <f t="shared" si="17"/>
        <v>XIII</v>
      </c>
      <c r="GV1" s="726" t="s">
        <v>1656</v>
      </c>
      <c r="GW1" s="798"/>
      <c r="GX1" s="724" t="str">
        <f>D1</f>
        <v>I</v>
      </c>
      <c r="GY1" s="724" t="str">
        <f t="shared" ref="GY1:HQ1" si="18">E1</f>
        <v>I.1</v>
      </c>
      <c r="GZ1" s="724" t="str">
        <f t="shared" si="18"/>
        <v>I.2</v>
      </c>
      <c r="HA1" s="724" t="str">
        <f t="shared" si="18"/>
        <v>II</v>
      </c>
      <c r="HB1" s="724" t="str">
        <f t="shared" si="18"/>
        <v>III</v>
      </c>
      <c r="HC1" s="724" t="str">
        <f t="shared" si="18"/>
        <v>IV</v>
      </c>
      <c r="HD1" s="724" t="str">
        <f t="shared" si="18"/>
        <v>IV.1</v>
      </c>
      <c r="HE1" s="724" t="str">
        <f t="shared" si="18"/>
        <v>IV.2</v>
      </c>
      <c r="HF1" s="724" t="str">
        <f t="shared" si="18"/>
        <v>V</v>
      </c>
      <c r="HG1" s="724" t="str">
        <f t="shared" si="18"/>
        <v>V.1</v>
      </c>
      <c r="HH1" s="724" t="str">
        <f t="shared" si="18"/>
        <v>V.2</v>
      </c>
      <c r="HI1" s="724" t="str">
        <f t="shared" si="18"/>
        <v>V.3</v>
      </c>
      <c r="HJ1" s="724" t="str">
        <f t="shared" si="18"/>
        <v>VI</v>
      </c>
      <c r="HK1" s="724" t="str">
        <f t="shared" si="18"/>
        <v>VII</v>
      </c>
      <c r="HL1" s="724" t="str">
        <f t="shared" si="18"/>
        <v>VIII</v>
      </c>
      <c r="HM1" s="724" t="str">
        <f t="shared" si="18"/>
        <v>VIII.1</v>
      </c>
      <c r="HN1" s="724" t="str">
        <f t="shared" si="18"/>
        <v>VIII.2</v>
      </c>
      <c r="HO1" s="724" t="str">
        <f t="shared" si="18"/>
        <v>IX</v>
      </c>
      <c r="HP1" s="724" t="str">
        <f t="shared" si="18"/>
        <v>X</v>
      </c>
      <c r="HQ1" s="724" t="str">
        <f t="shared" si="18"/>
        <v>XI</v>
      </c>
      <c r="HR1" s="724" t="str">
        <f t="shared" ref="HR1" si="19">X1</f>
        <v>XII</v>
      </c>
      <c r="HS1" s="724" t="str">
        <f t="shared" ref="HS1" si="20">Y1</f>
        <v>XIII</v>
      </c>
    </row>
    <row r="2" spans="1:227" ht="121.5" customHeight="1">
      <c r="A2" s="728"/>
      <c r="B2" s="729" t="s">
        <v>462</v>
      </c>
      <c r="C2" s="730"/>
      <c r="D2" s="731" t="s">
        <v>572</v>
      </c>
      <c r="E2" s="731" t="s">
        <v>214</v>
      </c>
      <c r="F2" s="731" t="s">
        <v>125</v>
      </c>
      <c r="G2" s="731" t="s">
        <v>573</v>
      </c>
      <c r="H2" s="731" t="s">
        <v>126</v>
      </c>
      <c r="I2" s="731" t="s">
        <v>128</v>
      </c>
      <c r="J2" s="731" t="s">
        <v>1137</v>
      </c>
      <c r="K2" s="731" t="s">
        <v>1136</v>
      </c>
      <c r="L2" s="731" t="s">
        <v>61</v>
      </c>
      <c r="M2" s="731" t="s">
        <v>1141</v>
      </c>
      <c r="N2" s="731" t="s">
        <v>434</v>
      </c>
      <c r="O2" s="731" t="s">
        <v>433</v>
      </c>
      <c r="P2" s="731" t="s">
        <v>83</v>
      </c>
      <c r="Q2" s="731" t="s">
        <v>1103</v>
      </c>
      <c r="R2" s="731" t="s">
        <v>130</v>
      </c>
      <c r="S2" s="731" t="s">
        <v>130</v>
      </c>
      <c r="T2" s="731" t="s">
        <v>1157</v>
      </c>
      <c r="U2" s="731" t="s">
        <v>131</v>
      </c>
      <c r="V2" s="731" t="s">
        <v>216</v>
      </c>
      <c r="W2" s="731" t="s">
        <v>1104</v>
      </c>
      <c r="X2" s="731" t="s">
        <v>1105</v>
      </c>
      <c r="Y2" s="731" t="s">
        <v>1112</v>
      </c>
      <c r="AA2" s="731" t="s">
        <v>1123</v>
      </c>
      <c r="AC2" s="732"/>
      <c r="AD2" s="733"/>
      <c r="AE2" s="734" t="str">
        <f t="shared" si="0"/>
        <v>Wohnen MFH</v>
      </c>
      <c r="AF2" s="734" t="str">
        <f t="shared" si="0"/>
        <v>MFH</v>
      </c>
      <c r="AG2" s="731" t="str">
        <f t="shared" si="0"/>
        <v>Hotel</v>
      </c>
      <c r="AH2" s="731" t="str">
        <f t="shared" si="0"/>
        <v>Wohnen EFH</v>
      </c>
      <c r="AI2" s="731" t="str">
        <f t="shared" si="0"/>
        <v>Büro</v>
      </c>
      <c r="AJ2" s="731" t="str">
        <f t="shared" si="0"/>
        <v>Schule</v>
      </c>
      <c r="AK2" s="731" t="str">
        <f t="shared" si="0"/>
        <v>Volksschule</v>
      </c>
      <c r="AL2" s="731" t="str">
        <f t="shared" si="0"/>
        <v>Hochschule</v>
      </c>
      <c r="AM2" s="731" t="str">
        <f t="shared" si="0"/>
        <v>Verkauf</v>
      </c>
      <c r="AN2" s="731" t="str">
        <f t="shared" si="0"/>
        <v>Lebensmittelgeschäft</v>
      </c>
      <c r="AO2" s="731" t="str">
        <f t="shared" si="1"/>
        <v>Fachgeschäft</v>
      </c>
      <c r="AP2" s="731" t="str">
        <f t="shared" si="1"/>
        <v>Verkauf Möbel, Bau, Garten</v>
      </c>
      <c r="AQ2" s="731" t="str">
        <f t="shared" si="1"/>
        <v>Restaurant</v>
      </c>
      <c r="AR2" s="731" t="str">
        <f t="shared" si="1"/>
        <v>Versammlungslokal</v>
      </c>
      <c r="AS2" s="731" t="str">
        <f t="shared" si="1"/>
        <v>Spital</v>
      </c>
      <c r="AT2" s="731" t="str">
        <f t="shared" si="1"/>
        <v>Spital</v>
      </c>
      <c r="AU2" s="731" t="str">
        <f t="shared" si="1"/>
        <v>Pflege</v>
      </c>
      <c r="AV2" s="731" t="str">
        <f t="shared" si="1"/>
        <v>Industrie</v>
      </c>
      <c r="AW2" s="731" t="str">
        <f t="shared" si="1"/>
        <v>Lager</v>
      </c>
      <c r="AX2" s="731" t="str">
        <f t="shared" si="1"/>
        <v>Sportbaute</v>
      </c>
      <c r="AY2" s="731" t="str">
        <f t="shared" si="2"/>
        <v>Hallenbad</v>
      </c>
      <c r="AZ2" s="731" t="str">
        <f t="shared" si="2"/>
        <v>Parking</v>
      </c>
      <c r="BC2" s="735"/>
      <c r="BD2" s="733"/>
      <c r="BE2" s="731" t="str">
        <f t="shared" si="3"/>
        <v>Wohnen MFH</v>
      </c>
      <c r="BF2" s="731" t="str">
        <f t="shared" si="3"/>
        <v>MFH</v>
      </c>
      <c r="BG2" s="731" t="str">
        <f t="shared" si="3"/>
        <v>Hotel</v>
      </c>
      <c r="BH2" s="731" t="str">
        <f t="shared" si="3"/>
        <v>Wohnen EFH</v>
      </c>
      <c r="BI2" s="731" t="s">
        <v>215</v>
      </c>
      <c r="BJ2" s="731" t="str">
        <f t="shared" si="3"/>
        <v>Schule</v>
      </c>
      <c r="BK2" s="731" t="str">
        <f t="shared" si="3"/>
        <v>Volksschule</v>
      </c>
      <c r="BL2" s="731" t="str">
        <f t="shared" si="3"/>
        <v>Hochschule</v>
      </c>
      <c r="BM2" s="731" t="str">
        <f t="shared" si="3"/>
        <v>Verkauf</v>
      </c>
      <c r="BN2" s="731" t="str">
        <f t="shared" si="3"/>
        <v>Lebensmittelgeschäft</v>
      </c>
      <c r="BO2" s="731" t="str">
        <f t="shared" si="4"/>
        <v>Fachgeschäft</v>
      </c>
      <c r="BP2" s="731" t="str">
        <f t="shared" si="4"/>
        <v>Verkauf Möbel, Bau, Garten</v>
      </c>
      <c r="BQ2" s="731" t="str">
        <f t="shared" si="4"/>
        <v>Restaurant</v>
      </c>
      <c r="BR2" s="731" t="str">
        <f t="shared" si="4"/>
        <v>Versammlungslokal</v>
      </c>
      <c r="BS2" s="731" t="str">
        <f t="shared" si="4"/>
        <v>Spital</v>
      </c>
      <c r="BT2" s="731" t="str">
        <f t="shared" si="4"/>
        <v>Spital</v>
      </c>
      <c r="BU2" s="731" t="str">
        <f t="shared" si="4"/>
        <v>Pflege</v>
      </c>
      <c r="BV2" s="731" t="str">
        <f t="shared" si="4"/>
        <v>Industrie</v>
      </c>
      <c r="BW2" s="731" t="str">
        <f t="shared" si="4"/>
        <v>Lager</v>
      </c>
      <c r="BX2" s="731" t="str">
        <f t="shared" si="4"/>
        <v>Sportbaute</v>
      </c>
      <c r="BY2" s="731" t="str">
        <f t="shared" si="5"/>
        <v>Hallenbad</v>
      </c>
      <c r="BZ2" s="731" t="str">
        <f t="shared" si="5"/>
        <v>Parking</v>
      </c>
      <c r="CB2" s="763" t="s">
        <v>1553</v>
      </c>
      <c r="CC2" s="733"/>
      <c r="CD2" s="731" t="str">
        <f t="shared" si="6"/>
        <v>Wohnen MFH</v>
      </c>
      <c r="CE2" s="731" t="str">
        <f t="shared" si="6"/>
        <v>MFH</v>
      </c>
      <c r="CF2" s="731" t="str">
        <f t="shared" si="6"/>
        <v>Hotel</v>
      </c>
      <c r="CG2" s="731" t="str">
        <f t="shared" si="6"/>
        <v>Wohnen EFH</v>
      </c>
      <c r="CH2" s="731" t="str">
        <f t="shared" si="6"/>
        <v>Büro</v>
      </c>
      <c r="CI2" s="731" t="str">
        <f t="shared" si="6"/>
        <v>Schule</v>
      </c>
      <c r="CJ2" s="731" t="str">
        <f t="shared" si="6"/>
        <v>Volksschule</v>
      </c>
      <c r="CK2" s="731" t="str">
        <f t="shared" si="6"/>
        <v>Hochschule</v>
      </c>
      <c r="CL2" s="731" t="str">
        <f t="shared" si="6"/>
        <v>Verkauf</v>
      </c>
      <c r="CM2" s="731" t="str">
        <f t="shared" si="6"/>
        <v>Lebensmittelgeschäft</v>
      </c>
      <c r="CN2" s="731" t="str">
        <f t="shared" si="7"/>
        <v>Fachgeschäft</v>
      </c>
      <c r="CO2" s="731" t="str">
        <f t="shared" si="7"/>
        <v>Verkauf Möbel, Bau, Garten</v>
      </c>
      <c r="CP2" s="731" t="str">
        <f t="shared" si="7"/>
        <v>Restaurant</v>
      </c>
      <c r="CQ2" s="731" t="str">
        <f t="shared" si="7"/>
        <v>Versammlungslokal</v>
      </c>
      <c r="CR2" s="731" t="str">
        <f t="shared" si="7"/>
        <v>Spital</v>
      </c>
      <c r="CS2" s="731" t="str">
        <f t="shared" si="7"/>
        <v>Spital</v>
      </c>
      <c r="CT2" s="731" t="str">
        <f t="shared" si="7"/>
        <v>Pflege</v>
      </c>
      <c r="CU2" s="731" t="str">
        <f t="shared" si="7"/>
        <v>Industrie</v>
      </c>
      <c r="CV2" s="731" t="str">
        <f t="shared" si="7"/>
        <v>Lager</v>
      </c>
      <c r="CW2" s="731" t="str">
        <f t="shared" si="7"/>
        <v>Sportbaute</v>
      </c>
      <c r="CX2" s="731" t="str">
        <f t="shared" si="8"/>
        <v>Hallenbad</v>
      </c>
      <c r="CY2" s="731" t="str">
        <f t="shared" si="8"/>
        <v>Parking</v>
      </c>
      <c r="DB2" s="736"/>
      <c r="DC2" s="733"/>
      <c r="DD2" s="734" t="s">
        <v>104</v>
      </c>
      <c r="DE2" s="734" t="str">
        <f t="shared" si="9"/>
        <v>MFH</v>
      </c>
      <c r="DF2" s="731" t="str">
        <f t="shared" si="9"/>
        <v>Hotel</v>
      </c>
      <c r="DG2" s="731" t="str">
        <f t="shared" si="9"/>
        <v>Wohnen EFH</v>
      </c>
      <c r="DH2" s="731" t="str">
        <f t="shared" si="9"/>
        <v>Büro</v>
      </c>
      <c r="DI2" s="731" t="str">
        <f t="shared" si="9"/>
        <v>Schule</v>
      </c>
      <c r="DJ2" s="731" t="str">
        <f t="shared" si="9"/>
        <v>Volksschule</v>
      </c>
      <c r="DK2" s="731" t="str">
        <f t="shared" si="9"/>
        <v>Hochschule</v>
      </c>
      <c r="DL2" s="731" t="str">
        <f t="shared" si="9"/>
        <v>Verkauf</v>
      </c>
      <c r="DM2" s="731" t="str">
        <f t="shared" si="9"/>
        <v>Lebensmittelgeschäft</v>
      </c>
      <c r="DN2" s="731" t="str">
        <f t="shared" si="9"/>
        <v>Fachgeschäft</v>
      </c>
      <c r="DO2" s="731" t="str">
        <f t="shared" si="9"/>
        <v>Verkauf Möbel, Bau, Garten</v>
      </c>
      <c r="DP2" s="731" t="str">
        <f t="shared" si="9"/>
        <v>Restaurant</v>
      </c>
      <c r="DQ2" s="731" t="str">
        <f t="shared" si="9"/>
        <v>Versammlungslokal</v>
      </c>
      <c r="DR2" s="731" t="str">
        <f t="shared" si="9"/>
        <v>Spital</v>
      </c>
      <c r="DS2" s="731" t="str">
        <f t="shared" si="10"/>
        <v>Industrie</v>
      </c>
      <c r="DT2" s="731" t="str">
        <f t="shared" si="10"/>
        <v>Lager</v>
      </c>
      <c r="DU2" s="731" t="str">
        <f t="shared" si="10"/>
        <v>Sportbaute</v>
      </c>
      <c r="DV2" s="731" t="str">
        <f t="shared" si="10"/>
        <v>Hallenbad</v>
      </c>
      <c r="DW2" s="731" t="str">
        <f t="shared" si="10"/>
        <v>Parking</v>
      </c>
      <c r="DZ2" s="814" t="s">
        <v>1148</v>
      </c>
      <c r="EA2" s="799"/>
      <c r="EB2" s="731" t="str">
        <f>$D2</f>
        <v>Wohnen MFH</v>
      </c>
      <c r="EC2" s="731" t="str">
        <f t="shared" si="11"/>
        <v>MFH</v>
      </c>
      <c r="ED2" s="731" t="str">
        <f t="shared" si="11"/>
        <v>Hotel</v>
      </c>
      <c r="EE2" s="731" t="str">
        <f t="shared" si="11"/>
        <v>Wohnen EFH</v>
      </c>
      <c r="EF2" s="731" t="str">
        <f t="shared" si="11"/>
        <v>Büro</v>
      </c>
      <c r="EG2" s="731" t="str">
        <f t="shared" si="11"/>
        <v>Schule</v>
      </c>
      <c r="EH2" s="731" t="str">
        <f t="shared" si="11"/>
        <v>Volksschule</v>
      </c>
      <c r="EI2" s="731" t="str">
        <f t="shared" si="11"/>
        <v>Hochschule</v>
      </c>
      <c r="EJ2" s="731" t="str">
        <f t="shared" si="11"/>
        <v>Verkauf</v>
      </c>
      <c r="EK2" s="731" t="str">
        <f t="shared" si="11"/>
        <v>Lebensmittelgeschäft</v>
      </c>
      <c r="EL2" s="731" t="str">
        <f t="shared" si="11"/>
        <v>Fachgeschäft</v>
      </c>
      <c r="EM2" s="731" t="str">
        <f t="shared" si="12"/>
        <v>Verkauf Möbel, Bau, Garten</v>
      </c>
      <c r="EN2" s="731" t="str">
        <f t="shared" si="12"/>
        <v>Restaurant</v>
      </c>
      <c r="EO2" s="731" t="str">
        <f t="shared" si="12"/>
        <v>Versammlungslokal</v>
      </c>
      <c r="EP2" s="731" t="str">
        <f t="shared" si="12"/>
        <v>Spital</v>
      </c>
      <c r="EQ2" s="731" t="str">
        <f t="shared" si="12"/>
        <v>Spital</v>
      </c>
      <c r="ER2" s="731" t="str">
        <f t="shared" si="12"/>
        <v>Pflege</v>
      </c>
      <c r="ES2" s="731" t="str">
        <f t="shared" si="12"/>
        <v>Industrie</v>
      </c>
      <c r="ET2" s="731" t="str">
        <f t="shared" si="12"/>
        <v>Lager</v>
      </c>
      <c r="EU2" s="731" t="str">
        <f t="shared" si="12"/>
        <v>Sportbaute</v>
      </c>
      <c r="EV2" s="734" t="str">
        <f t="shared" si="12"/>
        <v>Hallenbad</v>
      </c>
      <c r="EX2" s="814" t="s">
        <v>1204</v>
      </c>
      <c r="EY2" s="799"/>
      <c r="EZ2" s="731" t="str">
        <f t="shared" si="13"/>
        <v>Wohnen MFH</v>
      </c>
      <c r="FA2" s="731" t="str">
        <f t="shared" si="13"/>
        <v>MFH</v>
      </c>
      <c r="FB2" s="731" t="str">
        <f t="shared" si="13"/>
        <v>Hotel</v>
      </c>
      <c r="FC2" s="731" t="str">
        <f t="shared" si="13"/>
        <v>Wohnen EFH</v>
      </c>
      <c r="FD2" s="731" t="str">
        <f t="shared" si="13"/>
        <v>Büro</v>
      </c>
      <c r="FE2" s="731" t="str">
        <f t="shared" si="13"/>
        <v>Schule</v>
      </c>
      <c r="FF2" s="731" t="str">
        <f t="shared" si="13"/>
        <v>Volksschule</v>
      </c>
      <c r="FG2" s="731" t="str">
        <f t="shared" si="13"/>
        <v>Hochschule</v>
      </c>
      <c r="FH2" s="731" t="str">
        <f t="shared" si="13"/>
        <v>Verkauf</v>
      </c>
      <c r="FI2" s="731" t="str">
        <f t="shared" si="13"/>
        <v>Lebensmittelgeschäft</v>
      </c>
      <c r="FJ2" s="731" t="str">
        <f t="shared" si="14"/>
        <v>Fachgeschäft</v>
      </c>
      <c r="FK2" s="731" t="str">
        <f t="shared" si="14"/>
        <v>Verkauf Möbel, Bau, Garten</v>
      </c>
      <c r="FL2" s="731" t="str">
        <f t="shared" si="14"/>
        <v>Restaurant</v>
      </c>
      <c r="FM2" s="731" t="str">
        <f t="shared" si="14"/>
        <v>Versammlungslokal</v>
      </c>
      <c r="FN2" s="731" t="str">
        <f t="shared" si="14"/>
        <v>Spital</v>
      </c>
      <c r="FO2" s="731" t="str">
        <f t="shared" si="14"/>
        <v>Spital</v>
      </c>
      <c r="FP2" s="731" t="str">
        <f t="shared" si="14"/>
        <v>Pflege</v>
      </c>
      <c r="FQ2" s="731" t="str">
        <f t="shared" si="14"/>
        <v>Industrie</v>
      </c>
      <c r="FR2" s="731" t="str">
        <f t="shared" si="14"/>
        <v>Lager</v>
      </c>
      <c r="FS2" s="731" t="str">
        <f t="shared" si="14"/>
        <v>Sportbaute</v>
      </c>
      <c r="FT2" s="731" t="str">
        <f t="shared" si="15"/>
        <v>Hallenbad</v>
      </c>
      <c r="FU2" s="804" t="str">
        <f t="shared" si="15"/>
        <v>Parking</v>
      </c>
      <c r="FV2" s="805"/>
      <c r="FW2" s="1989" t="s">
        <v>1194</v>
      </c>
      <c r="FX2" s="1990"/>
      <c r="FY2" s="731" t="str">
        <f>D2</f>
        <v>Wohnen MFH</v>
      </c>
      <c r="FZ2" s="731" t="str">
        <f t="shared" si="16"/>
        <v>MFH</v>
      </c>
      <c r="GA2" s="731" t="str">
        <f t="shared" si="16"/>
        <v>Hotel</v>
      </c>
      <c r="GB2" s="731" t="str">
        <f t="shared" si="16"/>
        <v>Wohnen EFH</v>
      </c>
      <c r="GC2" s="731" t="str">
        <f t="shared" si="16"/>
        <v>Büro</v>
      </c>
      <c r="GD2" s="731" t="str">
        <f t="shared" si="16"/>
        <v>Schule</v>
      </c>
      <c r="GE2" s="731" t="str">
        <f t="shared" si="16"/>
        <v>Volksschule</v>
      </c>
      <c r="GF2" s="731" t="str">
        <f t="shared" si="16"/>
        <v>Hochschule</v>
      </c>
      <c r="GG2" s="731" t="str">
        <f t="shared" si="16"/>
        <v>Verkauf</v>
      </c>
      <c r="GH2" s="731" t="str">
        <f t="shared" si="16"/>
        <v>Lebensmittelgeschäft</v>
      </c>
      <c r="GI2" s="731" t="str">
        <f t="shared" si="16"/>
        <v>Fachgeschäft</v>
      </c>
      <c r="GJ2" s="731" t="str">
        <f t="shared" si="16"/>
        <v>Verkauf Möbel, Bau, Garten</v>
      </c>
      <c r="GK2" s="731" t="str">
        <f t="shared" si="16"/>
        <v>Restaurant</v>
      </c>
      <c r="GL2" s="731" t="str">
        <f t="shared" si="16"/>
        <v>Versammlungslokal</v>
      </c>
      <c r="GM2" s="731" t="str">
        <f t="shared" si="16"/>
        <v>Spital</v>
      </c>
      <c r="GN2" s="731" t="str">
        <f t="shared" si="17"/>
        <v>Spital</v>
      </c>
      <c r="GO2" s="731" t="str">
        <f t="shared" si="17"/>
        <v>Pflege</v>
      </c>
      <c r="GP2" s="731" t="str">
        <f t="shared" si="17"/>
        <v>Industrie</v>
      </c>
      <c r="GQ2" s="731" t="str">
        <f t="shared" si="17"/>
        <v>Lager</v>
      </c>
      <c r="GR2" s="731" t="str">
        <f t="shared" si="17"/>
        <v>Sportbaute</v>
      </c>
      <c r="GS2" s="731" t="str">
        <f t="shared" si="17"/>
        <v>Hallenbad</v>
      </c>
      <c r="GT2" s="731" t="str">
        <f t="shared" si="17"/>
        <v>Parking</v>
      </c>
      <c r="GV2" s="1989" t="s">
        <v>1555</v>
      </c>
      <c r="GW2" s="1990"/>
      <c r="GX2" s="731" t="str">
        <f>D2</f>
        <v>Wohnen MFH</v>
      </c>
      <c r="GY2" s="731" t="str">
        <f t="shared" ref="GY2:HS2" si="21">E2</f>
        <v>MFH</v>
      </c>
      <c r="GZ2" s="731" t="str">
        <f t="shared" si="21"/>
        <v>Hotel</v>
      </c>
      <c r="HA2" s="731" t="str">
        <f t="shared" si="21"/>
        <v>Wohnen EFH</v>
      </c>
      <c r="HB2" s="731" t="str">
        <f t="shared" si="21"/>
        <v>Büro</v>
      </c>
      <c r="HC2" s="731" t="str">
        <f t="shared" si="21"/>
        <v>Schule</v>
      </c>
      <c r="HD2" s="731" t="str">
        <f t="shared" si="21"/>
        <v>Volksschule</v>
      </c>
      <c r="HE2" s="731" t="str">
        <f t="shared" si="21"/>
        <v>Hochschule</v>
      </c>
      <c r="HF2" s="731" t="str">
        <f t="shared" si="21"/>
        <v>Verkauf</v>
      </c>
      <c r="HG2" s="731" t="str">
        <f t="shared" si="21"/>
        <v>Lebensmittelgeschäft</v>
      </c>
      <c r="HH2" s="731" t="str">
        <f t="shared" si="21"/>
        <v>Fachgeschäft</v>
      </c>
      <c r="HI2" s="731" t="str">
        <f t="shared" si="21"/>
        <v>Verkauf Möbel, Bau, Garten</v>
      </c>
      <c r="HJ2" s="731" t="str">
        <f t="shared" si="21"/>
        <v>Restaurant</v>
      </c>
      <c r="HK2" s="731" t="str">
        <f t="shared" si="21"/>
        <v>Versammlungslokal</v>
      </c>
      <c r="HL2" s="731" t="str">
        <f t="shared" si="21"/>
        <v>Spital</v>
      </c>
      <c r="HM2" s="731" t="str">
        <f t="shared" si="21"/>
        <v>Spital</v>
      </c>
      <c r="HN2" s="731" t="str">
        <f t="shared" si="21"/>
        <v>Pflege</v>
      </c>
      <c r="HO2" s="731" t="str">
        <f t="shared" si="21"/>
        <v>Industrie</v>
      </c>
      <c r="HP2" s="731" t="str">
        <f t="shared" si="21"/>
        <v>Lager</v>
      </c>
      <c r="HQ2" s="731" t="str">
        <f t="shared" si="21"/>
        <v>Sportbaute</v>
      </c>
      <c r="HR2" s="731" t="str">
        <f t="shared" si="21"/>
        <v>Hallenbad</v>
      </c>
      <c r="HS2" s="731" t="str">
        <f t="shared" si="21"/>
        <v>Parking</v>
      </c>
    </row>
    <row r="3" spans="1:227" s="754" customFormat="1" ht="15.75" customHeight="1">
      <c r="A3" s="1392">
        <f>Eingabedaten!A9</f>
        <v>1.01</v>
      </c>
      <c r="B3" s="750" t="str">
        <f>Eingabedaten!C9</f>
        <v>Wohnen MFH</v>
      </c>
      <c r="C3" s="751" t="s">
        <v>5</v>
      </c>
      <c r="D3" s="752">
        <v>85</v>
      </c>
      <c r="E3" s="752">
        <v>85</v>
      </c>
      <c r="F3" s="753"/>
      <c r="G3" s="753"/>
      <c r="H3" s="753"/>
      <c r="I3" s="753"/>
      <c r="J3" s="753"/>
      <c r="K3" s="753"/>
      <c r="L3" s="753"/>
      <c r="M3" s="753"/>
      <c r="N3" s="753"/>
      <c r="O3" s="753"/>
      <c r="P3" s="753"/>
      <c r="Q3" s="753"/>
      <c r="R3" s="753"/>
      <c r="S3" s="753"/>
      <c r="T3" s="753"/>
      <c r="U3" s="753"/>
      <c r="V3" s="753"/>
      <c r="W3" s="753"/>
      <c r="X3" s="753"/>
      <c r="Y3" s="753"/>
      <c r="AA3" s="769">
        <f>1/Eingabedaten!AP9</f>
        <v>2.8571428571428571E-2</v>
      </c>
      <c r="AC3" s="772" t="s">
        <v>51</v>
      </c>
      <c r="AD3" s="778" t="s">
        <v>134</v>
      </c>
      <c r="AE3" s="1282">
        <f>SUMPRODUCT(KZ_Raum_2024!$C$7:$C$51,'Fläche-E'!D$3:D$47)/100*$AD$1</f>
        <v>14.688000000000002</v>
      </c>
      <c r="AF3" s="1051">
        <f>SUMPRODUCT(KZ_Raum_2024!$C$7:$C$51,'Fläche-E'!E$3:E$47)/100*$AD$1</f>
        <v>14.688000000000002</v>
      </c>
      <c r="AG3" s="1051">
        <f>SUMPRODUCT(KZ_Raum_2024!$C$7:$C$51,'Fläche-E'!F$3:F$47)/100*$AD$1</f>
        <v>12.284000000000001</v>
      </c>
      <c r="AH3" s="1051">
        <f>SUMPRODUCT(KZ_Raum_2024!$C$7:$C$51,'Fläche-E'!G$3:G$47)/100*$AD$1</f>
        <v>12.816000000000001</v>
      </c>
      <c r="AI3" s="1051">
        <f>SUMPRODUCT(KZ_Raum_2024!$C$7:$C$51,'Fläche-E'!H$3:H$47)/100*$AD$1</f>
        <v>17.313200000000002</v>
      </c>
      <c r="AJ3" s="1051">
        <f>SUMPRODUCT(KZ_Raum_2024!$C$7:$C$51,'Fläche-E'!I$3:I$47)/100*$AD$1</f>
        <v>6.9511200000000004</v>
      </c>
      <c r="AK3" s="1051">
        <f>SUMPRODUCT(KZ_Raum_2024!$C$7:$C$51,'Fläche-E'!J$3:J$47)/100*$AD$1</f>
        <v>6.9511200000000004</v>
      </c>
      <c r="AL3" s="1051">
        <f>SUMPRODUCT(KZ_Raum_2024!$C$7:$C$51,'Fläche-E'!K$3:K$47)/100*$AD$1</f>
        <v>11.325200000000002</v>
      </c>
      <c r="AM3" s="1051">
        <f>SUMPRODUCT(KZ_Raum_2024!$C$7:$C$51,'Fläche-E'!L$3:L$47)/100*$AD$1</f>
        <v>4.7652000000000001</v>
      </c>
      <c r="AN3" s="1051">
        <f>SUMPRODUCT(KZ_Raum_2024!$C$7:$C$51,'Fläche-E'!M$3:M$47)/100*$AD$1</f>
        <v>5.13</v>
      </c>
      <c r="AO3" s="1051">
        <f>SUMPRODUCT(KZ_Raum_2024!$C$7:$C$51,'Fläche-E'!N$3:N$47)/100*$AD$1</f>
        <v>4.7652000000000001</v>
      </c>
      <c r="AP3" s="1051">
        <f>SUMPRODUCT(KZ_Raum_2024!$C$7:$C$51,'Fläche-E'!O$3:O$47)/100*$AD$1</f>
        <v>4.5540000000000003</v>
      </c>
      <c r="AQ3" s="1051">
        <f>SUMPRODUCT(KZ_Raum_2024!$C$7:$C$51,'Fläche-E'!P$3:P$47)/100*$AD$1</f>
        <v>5.1044</v>
      </c>
      <c r="AR3" s="1051">
        <f>SUMPRODUCT(KZ_Raum_2024!$C$7:$C$51,'Fläche-E'!Q$3:Q$47)/100*$AD$1</f>
        <v>7.1204000000000001</v>
      </c>
      <c r="AS3" s="1051">
        <f>SUMPRODUCT(KZ_Raum_2024!$C$7:$C$51,'Fläche-E'!R$3:R$47)/100*$AD$1</f>
        <v>8.5164000000000009</v>
      </c>
      <c r="AT3" s="1051">
        <f>SUMPRODUCT(KZ_Raum_2024!$C$7:$C$51,'Fläche-E'!S$3:S$47)/100*$AD$1</f>
        <v>9.4044000000000008</v>
      </c>
      <c r="AU3" s="1051">
        <f>SUMPRODUCT(KZ_Raum_2024!$C$7:$C$51,'Fläche-E'!T$3:T$47)/100*$AD$1</f>
        <v>8.0483999999999991</v>
      </c>
      <c r="AV3" s="1051">
        <f>SUMPRODUCT(KZ_Raum_2024!$C$7:$C$51,'Fläche-E'!U$3:U$47)/100*$AD$1</f>
        <v>7.5044000000000004</v>
      </c>
      <c r="AW3" s="1051">
        <f>SUMPRODUCT(KZ_Raum_2024!$C$7:$C$51,'Fläche-E'!V$3:V$47)/100*$AD$1</f>
        <v>4.8196000000000012</v>
      </c>
      <c r="AX3" s="1051">
        <f>SUMPRODUCT(KZ_Raum_2024!$C$7:$C$51,'Fläche-E'!W$3:W$47)/100*$AD$1</f>
        <v>1.2431999999999999</v>
      </c>
      <c r="AY3" s="1052">
        <f>SUMPRODUCT(KZ_Raum_2024!$C$7:$C$51,'Fläche-E'!X$3:X$47)/100*$AD$1</f>
        <v>6.1908000000000003</v>
      </c>
      <c r="AZ3" s="1052">
        <f>SUMPRODUCT(KZ_Raum_2024!$C$7:$C$51,'Fläche-E'!Y$3:Y$47)/100*$AD$1</f>
        <v>1.5335999999999999</v>
      </c>
      <c r="BC3" s="755" t="s">
        <v>1098</v>
      </c>
      <c r="BD3" s="756" t="s">
        <v>3</v>
      </c>
      <c r="BE3" s="751">
        <v>20</v>
      </c>
      <c r="BF3" s="751"/>
      <c r="BG3" s="751"/>
      <c r="BH3" s="751">
        <v>20</v>
      </c>
      <c r="BI3" s="751">
        <v>20</v>
      </c>
      <c r="BJ3" s="751">
        <v>20</v>
      </c>
      <c r="BK3" s="751"/>
      <c r="BL3" s="751"/>
      <c r="BM3" s="751">
        <v>20</v>
      </c>
      <c r="BN3" s="751"/>
      <c r="BO3" s="751"/>
      <c r="BP3" s="751"/>
      <c r="BQ3" s="751">
        <v>20</v>
      </c>
      <c r="BR3" s="751">
        <v>20</v>
      </c>
      <c r="BS3" s="751">
        <v>22</v>
      </c>
      <c r="BT3" s="751"/>
      <c r="BU3" s="751"/>
      <c r="BV3" s="751">
        <v>18</v>
      </c>
      <c r="BW3" s="751">
        <v>18</v>
      </c>
      <c r="BX3" s="751">
        <v>18</v>
      </c>
      <c r="BY3" s="751">
        <v>28</v>
      </c>
      <c r="BZ3" s="751"/>
      <c r="CB3" s="755" t="s">
        <v>1098</v>
      </c>
      <c r="CC3" s="756" t="s">
        <v>3</v>
      </c>
      <c r="CD3" s="759">
        <v>22</v>
      </c>
      <c r="CE3" s="759"/>
      <c r="CF3" s="759"/>
      <c r="CG3" s="759">
        <v>22</v>
      </c>
      <c r="CH3" s="759">
        <v>22</v>
      </c>
      <c r="CI3" s="759">
        <v>22</v>
      </c>
      <c r="CJ3" s="759"/>
      <c r="CK3" s="759"/>
      <c r="CL3" s="759">
        <v>22</v>
      </c>
      <c r="CM3" s="759"/>
      <c r="CN3" s="759"/>
      <c r="CO3" s="759"/>
      <c r="CP3" s="759">
        <v>22</v>
      </c>
      <c r="CQ3" s="759">
        <v>22</v>
      </c>
      <c r="CR3" s="751">
        <v>22</v>
      </c>
      <c r="CS3" s="751">
        <v>22</v>
      </c>
      <c r="CT3" s="751">
        <v>22</v>
      </c>
      <c r="CU3" s="759">
        <v>20</v>
      </c>
      <c r="CV3" s="751">
        <v>18</v>
      </c>
      <c r="CW3" s="751">
        <v>18</v>
      </c>
      <c r="CX3" s="751">
        <v>28</v>
      </c>
      <c r="CY3" s="751"/>
      <c r="DB3" s="755" t="s">
        <v>51</v>
      </c>
      <c r="DC3" s="756" t="s">
        <v>134</v>
      </c>
      <c r="DD3" s="751">
        <v>12</v>
      </c>
      <c r="DE3" s="751"/>
      <c r="DF3" s="751"/>
      <c r="DG3" s="751"/>
      <c r="DH3" s="751">
        <v>18</v>
      </c>
      <c r="DI3" s="751">
        <v>4</v>
      </c>
      <c r="DJ3" s="751"/>
      <c r="DK3" s="751"/>
      <c r="DL3" s="751"/>
      <c r="DM3" s="751">
        <v>217</v>
      </c>
      <c r="DN3" s="751">
        <v>5</v>
      </c>
      <c r="DO3" s="751"/>
      <c r="DP3" s="751">
        <v>49</v>
      </c>
      <c r="DQ3" s="750"/>
      <c r="DR3" s="750"/>
      <c r="DS3" s="750"/>
      <c r="DT3" s="750"/>
      <c r="DU3" s="750"/>
      <c r="DV3" s="750"/>
      <c r="DW3" s="750"/>
      <c r="DZ3" s="773" t="s">
        <v>1144</v>
      </c>
      <c r="EA3" s="754" t="s">
        <v>134</v>
      </c>
      <c r="EB3" s="806">
        <v>14</v>
      </c>
      <c r="EC3" s="806"/>
      <c r="ED3" s="806"/>
      <c r="EE3" s="806">
        <v>21</v>
      </c>
      <c r="EF3" s="806">
        <v>33</v>
      </c>
      <c r="EG3" s="806">
        <v>28</v>
      </c>
      <c r="EH3" s="806"/>
      <c r="EI3" s="806"/>
      <c r="EJ3" s="806">
        <v>33</v>
      </c>
      <c r="EK3" s="806"/>
      <c r="EL3" s="806"/>
      <c r="EM3" s="806"/>
      <c r="EN3" s="806">
        <v>45</v>
      </c>
      <c r="EO3" s="806">
        <v>26</v>
      </c>
      <c r="EP3" s="806">
        <v>42</v>
      </c>
      <c r="EQ3" s="806"/>
      <c r="ER3" s="806"/>
      <c r="ES3" s="806">
        <v>13</v>
      </c>
      <c r="ET3" s="806">
        <v>19</v>
      </c>
      <c r="EU3" s="806">
        <v>25</v>
      </c>
      <c r="EX3" s="773" t="s">
        <v>1144</v>
      </c>
      <c r="EY3" s="754" t="s">
        <v>134</v>
      </c>
      <c r="EZ3" s="806">
        <f t="shared" ref="EZ3:EZ8" si="22">EB3/2</f>
        <v>7</v>
      </c>
      <c r="FA3" s="806">
        <f t="shared" ref="FA3:FJ9" si="23">EC3/2</f>
        <v>0</v>
      </c>
      <c r="FB3" s="806">
        <f t="shared" si="23"/>
        <v>0</v>
      </c>
      <c r="FC3" s="806">
        <f t="shared" si="23"/>
        <v>10.5</v>
      </c>
      <c r="FD3" s="806">
        <f t="shared" si="23"/>
        <v>16.5</v>
      </c>
      <c r="FE3" s="806">
        <f t="shared" si="23"/>
        <v>14</v>
      </c>
      <c r="FF3" s="806">
        <f t="shared" si="23"/>
        <v>0</v>
      </c>
      <c r="FG3" s="806">
        <f t="shared" si="23"/>
        <v>0</v>
      </c>
      <c r="FH3" s="806">
        <f t="shared" si="23"/>
        <v>16.5</v>
      </c>
      <c r="FI3" s="806">
        <f t="shared" si="23"/>
        <v>0</v>
      </c>
      <c r="FJ3" s="806">
        <f t="shared" si="23"/>
        <v>0</v>
      </c>
      <c r="FK3" s="806">
        <f t="shared" ref="FK3:FS9" si="24">EM3/2</f>
        <v>0</v>
      </c>
      <c r="FL3" s="806">
        <f t="shared" si="24"/>
        <v>22.5</v>
      </c>
      <c r="FM3" s="806">
        <f t="shared" si="24"/>
        <v>13</v>
      </c>
      <c r="FN3" s="806">
        <f t="shared" si="24"/>
        <v>21</v>
      </c>
      <c r="FO3" s="806">
        <f t="shared" si="24"/>
        <v>0</v>
      </c>
      <c r="FP3" s="806">
        <f t="shared" si="24"/>
        <v>0</v>
      </c>
      <c r="FQ3" s="806">
        <f t="shared" si="24"/>
        <v>6.5</v>
      </c>
      <c r="FR3" s="806">
        <f t="shared" si="24"/>
        <v>9.5</v>
      </c>
      <c r="FS3" s="806">
        <f t="shared" si="24"/>
        <v>12.5</v>
      </c>
      <c r="FT3" s="774">
        <f t="shared" ref="FT3:FT9" si="25">EV3/2</f>
        <v>0</v>
      </c>
      <c r="FU3" s="754">
        <f t="shared" ref="FU3:FU9" si="26">EW3/2</f>
        <v>0</v>
      </c>
      <c r="FW3" s="773" t="s">
        <v>21</v>
      </c>
      <c r="FX3" s="754" t="s">
        <v>134</v>
      </c>
      <c r="FY3" s="770">
        <f t="shared" ref="FY3:GM3" si="27">AE7/4</f>
        <v>2.9316759727925952</v>
      </c>
      <c r="FZ3" s="808">
        <f t="shared" si="27"/>
        <v>2.9316759727925952</v>
      </c>
      <c r="GA3" s="808">
        <f t="shared" si="27"/>
        <v>3.4677420850142067</v>
      </c>
      <c r="GB3" s="770">
        <f t="shared" si="27"/>
        <v>4.6330725059574887</v>
      </c>
      <c r="GC3" s="770">
        <f t="shared" si="27"/>
        <v>2.3651921210606131</v>
      </c>
      <c r="GD3" s="770">
        <f t="shared" si="27"/>
        <v>3.3842510288413927</v>
      </c>
      <c r="GE3" s="808">
        <f t="shared" si="27"/>
        <v>3.3842510288413927</v>
      </c>
      <c r="GF3" s="808">
        <f t="shared" si="27"/>
        <v>2.8340222681519309</v>
      </c>
      <c r="GG3" s="808">
        <f t="shared" si="27"/>
        <v>1.3961056355262591</v>
      </c>
      <c r="GH3" s="770">
        <f t="shared" si="27"/>
        <v>1.3340013053685758</v>
      </c>
      <c r="GI3" s="770">
        <f t="shared" si="27"/>
        <v>1.3961056355262591</v>
      </c>
      <c r="GJ3" s="770">
        <f t="shared" si="27"/>
        <v>1.5258027199502882</v>
      </c>
      <c r="GK3" s="770">
        <f t="shared" si="27"/>
        <v>3.5568324499345496</v>
      </c>
      <c r="GL3" s="770">
        <f t="shared" si="27"/>
        <v>2.4617600682191063</v>
      </c>
      <c r="GM3" s="770">
        <f t="shared" si="27"/>
        <v>2.6115741601944804</v>
      </c>
      <c r="GN3" s="770">
        <f t="shared" ref="GN3:GT3" si="28">AT7/4</f>
        <v>2.5934244839999856</v>
      </c>
      <c r="GO3" s="770">
        <f t="shared" si="28"/>
        <v>2.5980884644114144</v>
      </c>
      <c r="GP3" s="770">
        <f t="shared" si="28"/>
        <v>2.7601024859473848</v>
      </c>
      <c r="GQ3" s="770">
        <f t="shared" si="28"/>
        <v>2.3134890582969319</v>
      </c>
      <c r="GR3" s="770">
        <f t="shared" si="28"/>
        <v>5.593406534245787</v>
      </c>
      <c r="GS3" s="770">
        <f t="shared" si="28"/>
        <v>6.8714130699605782</v>
      </c>
      <c r="GT3" s="770">
        <f t="shared" si="28"/>
        <v>0.3137597996041348</v>
      </c>
      <c r="GV3" s="773" t="s">
        <v>21</v>
      </c>
      <c r="GW3" s="754" t="s">
        <v>134</v>
      </c>
      <c r="GX3" s="724"/>
      <c r="GY3" s="724"/>
      <c r="GZ3" s="724"/>
      <c r="HA3" s="724"/>
      <c r="HB3" s="724"/>
      <c r="HC3" s="724"/>
      <c r="HD3" s="724"/>
      <c r="HE3" s="724"/>
      <c r="HF3" s="724"/>
      <c r="HG3" s="724"/>
      <c r="HH3" s="724"/>
      <c r="HI3" s="724"/>
      <c r="HJ3" s="724"/>
      <c r="HK3" s="724"/>
      <c r="HL3" s="724"/>
      <c r="HM3" s="724"/>
      <c r="HN3" s="724"/>
      <c r="HO3" s="724"/>
      <c r="HP3" s="724"/>
      <c r="HQ3" s="724"/>
      <c r="HR3" s="724"/>
      <c r="HS3" s="724"/>
    </row>
    <row r="4" spans="1:227" s="754" customFormat="1" ht="15.75" customHeight="1">
      <c r="A4" s="1392">
        <f>Eingabedaten!A10</f>
        <v>1.02</v>
      </c>
      <c r="B4" s="750" t="str">
        <f>Eingabedaten!C10</f>
        <v>Wohnen EFH</v>
      </c>
      <c r="C4" s="751" t="s">
        <v>5</v>
      </c>
      <c r="D4" s="753"/>
      <c r="E4" s="753"/>
      <c r="F4" s="753"/>
      <c r="G4" s="752">
        <v>90</v>
      </c>
      <c r="H4" s="753"/>
      <c r="I4" s="753"/>
      <c r="J4" s="753"/>
      <c r="K4" s="753"/>
      <c r="L4" s="753"/>
      <c r="M4" s="753"/>
      <c r="N4" s="753"/>
      <c r="O4" s="753"/>
      <c r="P4" s="753"/>
      <c r="Q4" s="753"/>
      <c r="R4" s="753"/>
      <c r="S4" s="753"/>
      <c r="T4" s="753"/>
      <c r="U4" s="753"/>
      <c r="V4" s="753"/>
      <c r="W4" s="753"/>
      <c r="X4" s="753"/>
      <c r="Y4" s="753"/>
      <c r="AA4" s="769">
        <f>1/Eingabedaten!AP10</f>
        <v>0.02</v>
      </c>
      <c r="AC4" s="773" t="s">
        <v>17</v>
      </c>
      <c r="AD4" s="774" t="s">
        <v>134</v>
      </c>
      <c r="AE4" s="1099">
        <f>SUMPRODUCT(KZ_Raum_2024!$E$7:$E$51,'Fläche-E'!D$3:D$47)/100*$AD$1</f>
        <v>2.1526810000000007</v>
      </c>
      <c r="AF4" s="1053">
        <f>SUMPRODUCT(KZ_Raum_2024!$E$7:$E$51,'Fläche-E'!E$3:E$47)/100*$AD$1</f>
        <v>2.1526810000000007</v>
      </c>
      <c r="AG4" s="1053">
        <f>SUMPRODUCT(KZ_Raum_2024!$E$7:$E$51,'Fläche-E'!F$3:F$47)/100*$AD$1</f>
        <v>4.8560016666666677</v>
      </c>
      <c r="AH4" s="1053">
        <f>SUMPRODUCT(KZ_Raum_2024!$E$7:$E$51,'Fläche-E'!G$3:G$47)/100*$AD$1</f>
        <v>2.0766882222222227</v>
      </c>
      <c r="AI4" s="1053">
        <f>SUMPRODUCT(KZ_Raum_2024!$E$7:$E$51,'Fläche-E'!H$3:H$47)/100*$AD$1</f>
        <v>7.7446394666666665</v>
      </c>
      <c r="AJ4" s="1053">
        <f>SUMPRODUCT(KZ_Raum_2024!$E$7:$E$51,'Fläche-E'!I$3:I$47)/100*$AD$1</f>
        <v>6.6046965079365085</v>
      </c>
      <c r="AK4" s="1053">
        <f>SUMPRODUCT(KZ_Raum_2024!$E$7:$E$51,'Fläche-E'!J$3:J$47)/100*$AD$1</f>
        <v>6.6046965079365085</v>
      </c>
      <c r="AL4" s="1053">
        <f>SUMPRODUCT(KZ_Raum_2024!$E$7:$E$51,'Fläche-E'!K$3:K$47)/100*$AD$1</f>
        <v>7.0316882857142859</v>
      </c>
      <c r="AM4" s="1053">
        <f>SUMPRODUCT(KZ_Raum_2024!$E$7:$E$51,'Fläche-E'!L$3:L$47)/100*$AD$1</f>
        <v>23.952625644444446</v>
      </c>
      <c r="AN4" s="1053">
        <f>SUMPRODUCT(KZ_Raum_2024!$E$7:$E$51,'Fläche-E'!M$3:M$47)/100*$AD$1</f>
        <v>23.902055481481479</v>
      </c>
      <c r="AO4" s="1053">
        <f>SUMPRODUCT(KZ_Raum_2024!$E$7:$E$51,'Fläche-E'!N$3:N$47)/100*$AD$1</f>
        <v>23.952625644444446</v>
      </c>
      <c r="AP4" s="1053">
        <f>SUMPRODUCT(KZ_Raum_2024!$E$7:$E$51,'Fläche-E'!O$3:O$47)/100*$AD$1</f>
        <v>19.481929644444445</v>
      </c>
      <c r="AQ4" s="1053">
        <f>SUMPRODUCT(KZ_Raum_2024!$E$7:$E$51,'Fläche-E'!P$3:P$47)/100*$AD$1</f>
        <v>8.2536205925925898</v>
      </c>
      <c r="AR4" s="1053">
        <f>SUMPRODUCT(KZ_Raum_2024!$E$7:$E$51,'Fläche-E'!Q$3:Q$47)/100*$AD$1</f>
        <v>12.695978666666667</v>
      </c>
      <c r="AS4" s="1053">
        <f>SUMPRODUCT(KZ_Raum_2024!$E$7:$E$51,'Fläche-E'!R$3:R$47)/100*$AD$1</f>
        <v>9.9211164444444488</v>
      </c>
      <c r="AT4" s="1053">
        <f>SUMPRODUCT(KZ_Raum_2024!$E$7:$E$51,'Fläche-E'!S$3:S$47)/100*$AD$1</f>
        <v>10.714216444444446</v>
      </c>
      <c r="AU4" s="1053">
        <f>SUMPRODUCT(KZ_Raum_2024!$E$7:$E$51,'Fläche-E'!T$3:T$47)/100*$AD$1</f>
        <v>8.7956600000000034</v>
      </c>
      <c r="AV4" s="1053">
        <f>SUMPRODUCT(KZ_Raum_2024!$E$7:$E$51,'Fläche-E'!U$3:U$47)/100*$AD$1</f>
        <v>8.0409199555555553</v>
      </c>
      <c r="AW4" s="1053">
        <f>SUMPRODUCT(KZ_Raum_2024!$E$7:$E$51,'Fläche-E'!V$3:V$47)/100*$AD$1</f>
        <v>10.363536810256413</v>
      </c>
      <c r="AX4" s="1053">
        <f>SUMPRODUCT(KZ_Raum_2024!$E$7:$E$51,'Fläche-E'!W$3:W$47)/100*$AD$1</f>
        <v>10.715725333333332</v>
      </c>
      <c r="AY4" s="1054">
        <f>SUMPRODUCT(KZ_Raum_2024!$E$7:$E$51,'Fläche-E'!X$3:X$47)/100*$AD$1</f>
        <v>9.2755991111111129</v>
      </c>
      <c r="AZ4" s="1054">
        <f>SUMPRODUCT(KZ_Raum_2024!$E$7:$E$51,'Fläche-E'!Y$3:Y$47)/100*$AD$1</f>
        <v>1.1488220170940169</v>
      </c>
      <c r="BC4" s="755" t="s">
        <v>102</v>
      </c>
      <c r="BD4" s="756" t="s">
        <v>103</v>
      </c>
      <c r="BE4" s="751">
        <v>40</v>
      </c>
      <c r="BF4" s="751"/>
      <c r="BG4" s="751"/>
      <c r="BH4" s="751">
        <v>60</v>
      </c>
      <c r="BI4" s="751">
        <v>20</v>
      </c>
      <c r="BJ4" s="751">
        <v>10</v>
      </c>
      <c r="BK4" s="751"/>
      <c r="BL4" s="751"/>
      <c r="BM4" s="751">
        <v>10</v>
      </c>
      <c r="BN4" s="751"/>
      <c r="BO4" s="751"/>
      <c r="BP4" s="751"/>
      <c r="BQ4" s="751">
        <v>5</v>
      </c>
      <c r="BR4" s="751">
        <v>5</v>
      </c>
      <c r="BS4" s="751">
        <v>30</v>
      </c>
      <c r="BT4" s="751"/>
      <c r="BU4" s="751"/>
      <c r="BV4" s="751">
        <v>30</v>
      </c>
      <c r="BW4" s="751">
        <v>100</v>
      </c>
      <c r="BX4" s="751">
        <v>20</v>
      </c>
      <c r="BY4" s="751">
        <v>20</v>
      </c>
      <c r="BZ4" s="751"/>
      <c r="CB4" s="755" t="s">
        <v>102</v>
      </c>
      <c r="CC4" s="756" t="s">
        <v>103</v>
      </c>
      <c r="CD4" s="759">
        <f>ROUND(AE29*2,-1)/2</f>
        <v>50</v>
      </c>
      <c r="CE4" s="759"/>
      <c r="CF4" s="751"/>
      <c r="CG4" s="759">
        <f t="shared" ref="CG4:CX4" si="29">ROUND(AH29*2,-1)/2</f>
        <v>70</v>
      </c>
      <c r="CH4" s="759">
        <f t="shared" si="29"/>
        <v>25</v>
      </c>
      <c r="CI4" s="751">
        <f t="shared" si="29"/>
        <v>10</v>
      </c>
      <c r="CJ4" s="751">
        <f t="shared" si="29"/>
        <v>10</v>
      </c>
      <c r="CK4" s="751">
        <f t="shared" si="29"/>
        <v>10</v>
      </c>
      <c r="CL4" s="759">
        <f t="shared" si="29"/>
        <v>15</v>
      </c>
      <c r="CM4" s="751">
        <f t="shared" si="29"/>
        <v>15</v>
      </c>
      <c r="CN4" s="751">
        <f t="shared" si="29"/>
        <v>15</v>
      </c>
      <c r="CO4" s="751">
        <f t="shared" si="29"/>
        <v>30</v>
      </c>
      <c r="CP4" s="751">
        <f t="shared" si="29"/>
        <v>5</v>
      </c>
      <c r="CQ4" s="751">
        <f t="shared" si="29"/>
        <v>5</v>
      </c>
      <c r="CR4" s="758">
        <f t="shared" si="29"/>
        <v>20</v>
      </c>
      <c r="CS4" s="758">
        <f t="shared" si="29"/>
        <v>15</v>
      </c>
      <c r="CT4" s="758">
        <f t="shared" si="29"/>
        <v>20</v>
      </c>
      <c r="CU4" s="751">
        <f t="shared" si="29"/>
        <v>30</v>
      </c>
      <c r="CV4" s="758">
        <f t="shared" si="29"/>
        <v>60</v>
      </c>
      <c r="CW4" s="759">
        <f t="shared" si="29"/>
        <v>40</v>
      </c>
      <c r="CX4" s="751">
        <f t="shared" si="29"/>
        <v>20</v>
      </c>
      <c r="CY4" s="751"/>
      <c r="DB4" s="755" t="s">
        <v>17</v>
      </c>
      <c r="DC4" s="756" t="s">
        <v>134</v>
      </c>
      <c r="DD4" s="751">
        <v>2</v>
      </c>
      <c r="DE4" s="751"/>
      <c r="DF4" s="751"/>
      <c r="DG4" s="751"/>
      <c r="DH4" s="751">
        <v>7</v>
      </c>
      <c r="DI4" s="751">
        <v>5</v>
      </c>
      <c r="DJ4" s="751"/>
      <c r="DK4" s="751"/>
      <c r="DL4" s="751"/>
      <c r="DM4" s="751">
        <v>20</v>
      </c>
      <c r="DN4" s="751">
        <v>30</v>
      </c>
      <c r="DO4" s="751"/>
      <c r="DP4" s="751">
        <v>7</v>
      </c>
      <c r="DQ4" s="750"/>
      <c r="DR4" s="750"/>
      <c r="DS4" s="750"/>
      <c r="DT4" s="750"/>
      <c r="DU4" s="750"/>
      <c r="DV4" s="750"/>
      <c r="DW4" s="750"/>
      <c r="DZ4" s="773" t="s">
        <v>1145</v>
      </c>
      <c r="EA4" s="754" t="s">
        <v>134</v>
      </c>
      <c r="EB4" s="769">
        <v>21</v>
      </c>
      <c r="EC4" s="769"/>
      <c r="ED4" s="769"/>
      <c r="EE4" s="769">
        <v>14</v>
      </c>
      <c r="EF4" s="769">
        <v>7</v>
      </c>
      <c r="EG4" s="769">
        <v>7</v>
      </c>
      <c r="EH4" s="769"/>
      <c r="EI4" s="769"/>
      <c r="EJ4" s="769">
        <v>7</v>
      </c>
      <c r="EK4" s="769"/>
      <c r="EL4" s="769"/>
      <c r="EM4" s="769"/>
      <c r="EN4" s="769">
        <v>0</v>
      </c>
      <c r="EO4" s="769">
        <v>14</v>
      </c>
      <c r="EP4" s="769">
        <v>28</v>
      </c>
      <c r="EQ4" s="769"/>
      <c r="ER4" s="769"/>
      <c r="ES4" s="769">
        <v>7</v>
      </c>
      <c r="ET4" s="769">
        <v>1</v>
      </c>
      <c r="EU4" s="769">
        <v>0</v>
      </c>
      <c r="EX4" s="773" t="s">
        <v>1145</v>
      </c>
      <c r="EY4" s="754" t="s">
        <v>134</v>
      </c>
      <c r="EZ4" s="769">
        <f t="shared" si="22"/>
        <v>10.5</v>
      </c>
      <c r="FA4" s="769">
        <f t="shared" si="23"/>
        <v>0</v>
      </c>
      <c r="FB4" s="769">
        <f t="shared" si="23"/>
        <v>0</v>
      </c>
      <c r="FC4" s="769">
        <f t="shared" si="23"/>
        <v>7</v>
      </c>
      <c r="FD4" s="769">
        <f t="shared" si="23"/>
        <v>3.5</v>
      </c>
      <c r="FE4" s="769">
        <f t="shared" si="23"/>
        <v>3.5</v>
      </c>
      <c r="FF4" s="769">
        <f t="shared" si="23"/>
        <v>0</v>
      </c>
      <c r="FG4" s="769">
        <f t="shared" si="23"/>
        <v>0</v>
      </c>
      <c r="FH4" s="769">
        <f t="shared" si="23"/>
        <v>3.5</v>
      </c>
      <c r="FI4" s="769">
        <f t="shared" si="23"/>
        <v>0</v>
      </c>
      <c r="FJ4" s="769">
        <f t="shared" si="23"/>
        <v>0</v>
      </c>
      <c r="FK4" s="769">
        <f t="shared" si="24"/>
        <v>0</v>
      </c>
      <c r="FL4" s="769">
        <f t="shared" si="24"/>
        <v>0</v>
      </c>
      <c r="FM4" s="769">
        <f t="shared" si="24"/>
        <v>7</v>
      </c>
      <c r="FN4" s="769">
        <f t="shared" si="24"/>
        <v>14</v>
      </c>
      <c r="FO4" s="769">
        <f t="shared" si="24"/>
        <v>0</v>
      </c>
      <c r="FP4" s="769">
        <f t="shared" si="24"/>
        <v>0</v>
      </c>
      <c r="FQ4" s="769">
        <f t="shared" si="24"/>
        <v>3.5</v>
      </c>
      <c r="FR4" s="769">
        <f t="shared" si="24"/>
        <v>0.5</v>
      </c>
      <c r="FS4" s="769">
        <f t="shared" si="24"/>
        <v>0</v>
      </c>
      <c r="FT4" s="774">
        <f t="shared" si="25"/>
        <v>0</v>
      </c>
      <c r="FU4" s="754">
        <f t="shared" si="26"/>
        <v>0</v>
      </c>
      <c r="FW4" s="773" t="s">
        <v>1145</v>
      </c>
      <c r="FX4" s="754" t="s">
        <v>134</v>
      </c>
      <c r="FY4" s="770">
        <f t="shared" ref="FY4:GM4" si="30">AE8/0.67/3</f>
        <v>5.7295920398009956</v>
      </c>
      <c r="FZ4" s="808">
        <f t="shared" si="30"/>
        <v>5.7295920398009956</v>
      </c>
      <c r="GA4" s="808">
        <f t="shared" si="30"/>
        <v>8.7022040274816401</v>
      </c>
      <c r="GB4" s="770">
        <f t="shared" si="30"/>
        <v>4.8533014925373132</v>
      </c>
      <c r="GC4" s="770">
        <f t="shared" si="30"/>
        <v>0.6300506609808102</v>
      </c>
      <c r="GD4" s="770">
        <f t="shared" si="30"/>
        <v>0.82540545223004358</v>
      </c>
      <c r="GE4" s="808">
        <f t="shared" si="30"/>
        <v>0.82540545223004358</v>
      </c>
      <c r="GF4" s="808">
        <f t="shared" si="30"/>
        <v>0.64018304430878881</v>
      </c>
      <c r="GG4" s="770">
        <f t="shared" si="30"/>
        <v>0.70193603411513872</v>
      </c>
      <c r="GH4" s="770">
        <f t="shared" si="30"/>
        <v>0.70193603411513872</v>
      </c>
      <c r="GI4" s="770">
        <f t="shared" si="30"/>
        <v>0.70193603411513872</v>
      </c>
      <c r="GJ4" s="770">
        <f t="shared" si="30"/>
        <v>0.39846618336887002</v>
      </c>
      <c r="GK4" s="770">
        <f t="shared" si="30"/>
        <v>21.72806140724947</v>
      </c>
      <c r="GL4" s="770">
        <f t="shared" si="30"/>
        <v>1.7857569296375269</v>
      </c>
      <c r="GM4" s="770">
        <f t="shared" si="30"/>
        <v>10.836757924662402</v>
      </c>
      <c r="GN4" s="770">
        <f t="shared" ref="GN4:GT4" si="31">AT8/0.67/3</f>
        <v>9.4886186211798158</v>
      </c>
      <c r="GO4" s="770">
        <f t="shared" si="31"/>
        <v>13.533036531627578</v>
      </c>
      <c r="GP4" s="770">
        <f t="shared" si="31"/>
        <v>0.6300506609808102</v>
      </c>
      <c r="GQ4" s="770">
        <f t="shared" si="31"/>
        <v>0.30469663113006401</v>
      </c>
      <c r="GR4" s="770">
        <f t="shared" si="31"/>
        <v>15.159417902269473</v>
      </c>
      <c r="GS4" s="770">
        <f t="shared" si="31"/>
        <v>34.733912153518133</v>
      </c>
      <c r="GT4" s="770">
        <f t="shared" si="31"/>
        <v>0</v>
      </c>
      <c r="GV4" s="773" t="s">
        <v>1145</v>
      </c>
      <c r="GW4" s="754" t="s">
        <v>134</v>
      </c>
      <c r="GX4" s="724"/>
      <c r="GY4" s="724"/>
      <c r="GZ4" s="724"/>
      <c r="HA4" s="724"/>
      <c r="HB4" s="724"/>
      <c r="HC4" s="724"/>
      <c r="HD4" s="724"/>
      <c r="HE4" s="724"/>
      <c r="HF4" s="724"/>
      <c r="HG4" s="724"/>
      <c r="HH4" s="724"/>
      <c r="HI4" s="724"/>
      <c r="HJ4" s="724"/>
      <c r="HK4" s="724"/>
      <c r="HL4" s="724"/>
      <c r="HM4" s="724"/>
      <c r="HN4" s="724"/>
      <c r="HO4" s="724"/>
      <c r="HP4" s="724"/>
      <c r="HQ4" s="724"/>
      <c r="HR4" s="724"/>
      <c r="HS4" s="724"/>
    </row>
    <row r="5" spans="1:227" s="754" customFormat="1" ht="15.75" customHeight="1">
      <c r="A5" s="1392">
        <f>Eingabedaten!A11</f>
        <v>2.0099999999999998</v>
      </c>
      <c r="B5" s="750" t="str">
        <f>Eingabedaten!C11</f>
        <v xml:space="preserve">Hotelzimmer </v>
      </c>
      <c r="C5" s="751" t="s">
        <v>5</v>
      </c>
      <c r="D5" s="753"/>
      <c r="E5" s="753"/>
      <c r="F5" s="752">
        <v>55</v>
      </c>
      <c r="G5" s="753"/>
      <c r="H5" s="753"/>
      <c r="I5" s="753"/>
      <c r="J5" s="753"/>
      <c r="K5" s="753"/>
      <c r="L5" s="753"/>
      <c r="M5" s="753"/>
      <c r="N5" s="753"/>
      <c r="O5" s="753"/>
      <c r="P5" s="753"/>
      <c r="Q5" s="753"/>
      <c r="R5" s="753"/>
      <c r="S5" s="753"/>
      <c r="T5" s="753"/>
      <c r="U5" s="753"/>
      <c r="V5" s="753"/>
      <c r="W5" s="753"/>
      <c r="X5" s="753"/>
      <c r="Y5" s="753"/>
      <c r="AA5" s="769">
        <f>1/Eingabedaten!AP11</f>
        <v>6.6666666666666666E-2</v>
      </c>
      <c r="AC5" s="773" t="s">
        <v>19</v>
      </c>
      <c r="AD5" s="774" t="s">
        <v>134</v>
      </c>
      <c r="AE5" s="1099">
        <f>SUMPRODUCT(KZ_Raum_2024!$F$7:$F$51,'Fläche-E'!D$3:D$47)/100*$AD$1</f>
        <v>2.7887072000000006</v>
      </c>
      <c r="AF5" s="1053">
        <f>SUMPRODUCT(KZ_Raum_2024!$F$7:$F$51,'Fläche-E'!E$3:E$47)/100*$AD$1</f>
        <v>2.7887072000000006</v>
      </c>
      <c r="AG5" s="1053">
        <f>SUMPRODUCT(KZ_Raum_2024!$F$7:$F$51,'Fläche-E'!F$3:F$47)/100*$AD$1</f>
        <v>4.6930259047619058</v>
      </c>
      <c r="AH5" s="1053">
        <f>SUMPRODUCT(KZ_Raum_2024!$F$7:$F$51,'Fläche-E'!G$3:G$47)/100*$AD$1</f>
        <v>1.5493561599999999</v>
      </c>
      <c r="AI5" s="1053">
        <f>SUMPRODUCT(KZ_Raum_2024!$F$7:$F$51,'Fläche-E'!H$3:H$47)/100*$AD$1</f>
        <v>3.0272764380952384</v>
      </c>
      <c r="AJ5" s="1053">
        <f>SUMPRODUCT(KZ_Raum_2024!$F$7:$F$51,'Fläche-E'!I$3:I$47)/100*$AD$1</f>
        <v>2.3824341714285713</v>
      </c>
      <c r="AK5" s="1053">
        <f>SUMPRODUCT(KZ_Raum_2024!$F$7:$F$51,'Fläche-E'!J$3:J$47)/100*$AD$1</f>
        <v>2.3824341714285713</v>
      </c>
      <c r="AL5" s="1053">
        <f>SUMPRODUCT(KZ_Raum_2024!$F$7:$F$51,'Fläche-E'!K$3:K$47)/100*$AD$1</f>
        <v>3.5070634095238091</v>
      </c>
      <c r="AM5" s="1053">
        <f>SUMPRODUCT(KZ_Raum_2024!$F$7:$F$51,'Fläche-E'!L$3:L$47)/100*$AD$1</f>
        <v>3.993240171428571</v>
      </c>
      <c r="AN5" s="1053">
        <f>SUMPRODUCT(KZ_Raum_2024!$F$7:$F$51,'Fläche-E'!M$3:M$47)/100*$AD$1</f>
        <v>3.9833393714285714</v>
      </c>
      <c r="AO5" s="1053">
        <f>SUMPRODUCT(KZ_Raum_2024!$F$7:$F$51,'Fläche-E'!N$3:N$47)/100*$AD$1</f>
        <v>3.993240171428571</v>
      </c>
      <c r="AP5" s="1053">
        <f>SUMPRODUCT(KZ_Raum_2024!$F$7:$F$51,'Fläche-E'!O$3:O$47)/100*$AD$1</f>
        <v>3.6761541714285713</v>
      </c>
      <c r="AQ5" s="1053">
        <f>SUMPRODUCT(KZ_Raum_2024!$F$7:$F$51,'Fläche-E'!P$3:P$47)/100*$AD$1</f>
        <v>6.856761371428572</v>
      </c>
      <c r="AR5" s="1053">
        <f>SUMPRODUCT(KZ_Raum_2024!$F$7:$F$51,'Fläche-E'!Q$3:Q$47)/100*$AD$1</f>
        <v>7.6144005714285727</v>
      </c>
      <c r="AS5" s="1053">
        <f>SUMPRODUCT(KZ_Raum_2024!$F$7:$F$51,'Fläche-E'!R$3:R$47)/100*$AD$1</f>
        <v>5.0760699047619049</v>
      </c>
      <c r="AT5" s="1053">
        <f>SUMPRODUCT(KZ_Raum_2024!$F$7:$F$51,'Fläche-E'!S$3:S$47)/100*$AD$1</f>
        <v>5.1245579047619048</v>
      </c>
      <c r="AU5" s="1053">
        <f>SUMPRODUCT(KZ_Raum_2024!$F$7:$F$51,'Fläche-E'!T$3:T$47)/100*$AD$1</f>
        <v>5.3315339047619057</v>
      </c>
      <c r="AV5" s="1053">
        <f>SUMPRODUCT(KZ_Raum_2024!$F$7:$F$51,'Fläche-E'!U$3:U$47)/100*$AD$1</f>
        <v>2.720202882539684</v>
      </c>
      <c r="AW5" s="1053">
        <f>SUMPRODUCT(KZ_Raum_2024!$F$7:$F$51,'Fläche-E'!V$3:V$47)/100*$AD$1</f>
        <v>1.8284877714285717</v>
      </c>
      <c r="AX5" s="1053">
        <f>SUMPRODUCT(KZ_Raum_2024!$F$7:$F$51,'Fläche-E'!W$3:W$47)/100*$AD$1</f>
        <v>2.6586920000000007</v>
      </c>
      <c r="AY5" s="1054">
        <f>SUMPRODUCT(KZ_Raum_2024!$F$7:$F$51,'Fläche-E'!X$3:X$47)/100*$AD$1</f>
        <v>6.3991365714285733</v>
      </c>
      <c r="AZ5" s="876">
        <f>SUMPRODUCT(KZ_Raum_2024!$F$7:$F$51,'Fläche-E'!Y$3:Y$47)/100*$AD$1</f>
        <v>7.3372000000000021E-2</v>
      </c>
      <c r="BC5" s="755" t="s">
        <v>1059</v>
      </c>
      <c r="BD5" s="756" t="s">
        <v>319</v>
      </c>
      <c r="BE5" s="751">
        <v>70</v>
      </c>
      <c r="BF5" s="751"/>
      <c r="BG5" s="751"/>
      <c r="BH5" s="751">
        <v>70</v>
      </c>
      <c r="BI5" s="751">
        <v>80</v>
      </c>
      <c r="BJ5" s="751">
        <v>70</v>
      </c>
      <c r="BK5" s="751"/>
      <c r="BL5" s="751"/>
      <c r="BM5" s="751">
        <v>90</v>
      </c>
      <c r="BN5" s="751"/>
      <c r="BO5" s="751"/>
      <c r="BP5" s="751"/>
      <c r="BQ5" s="751">
        <v>100</v>
      </c>
      <c r="BR5" s="751">
        <v>80</v>
      </c>
      <c r="BS5" s="751">
        <v>80</v>
      </c>
      <c r="BT5" s="751"/>
      <c r="BU5" s="751"/>
      <c r="BV5" s="751">
        <v>100</v>
      </c>
      <c r="BW5" s="751">
        <v>100</v>
      </c>
      <c r="BX5" s="751">
        <v>100</v>
      </c>
      <c r="BY5" s="751">
        <v>60</v>
      </c>
      <c r="BZ5" s="751"/>
      <c r="CB5" s="755" t="s">
        <v>1059</v>
      </c>
      <c r="CC5" s="756" t="s">
        <v>319</v>
      </c>
      <c r="CD5" s="760">
        <f>ROUND(AE31,-1)</f>
        <v>70</v>
      </c>
      <c r="CE5" s="761"/>
      <c r="CF5" s="758"/>
      <c r="CG5" s="751">
        <f>ROUND(AH31,-1)</f>
        <v>70</v>
      </c>
      <c r="CH5" s="759">
        <f>ROUND(AI31,-1)</f>
        <v>70</v>
      </c>
      <c r="CI5" s="751">
        <f>ROUND(AJ31,-1)</f>
        <v>70</v>
      </c>
      <c r="CJ5" s="758"/>
      <c r="CK5" s="758"/>
      <c r="CL5" s="759">
        <f t="shared" ref="CL5:CX5" si="32">ROUND(AM31,-1)</f>
        <v>70</v>
      </c>
      <c r="CM5" s="759">
        <f t="shared" si="32"/>
        <v>70</v>
      </c>
      <c r="CN5" s="759">
        <f t="shared" si="32"/>
        <v>70</v>
      </c>
      <c r="CO5" s="759">
        <f t="shared" si="32"/>
        <v>70</v>
      </c>
      <c r="CP5" s="759">
        <f t="shared" si="32"/>
        <v>70</v>
      </c>
      <c r="CQ5" s="759">
        <f t="shared" si="32"/>
        <v>70</v>
      </c>
      <c r="CR5" s="759">
        <f t="shared" si="32"/>
        <v>70</v>
      </c>
      <c r="CS5" s="759">
        <f t="shared" si="32"/>
        <v>70</v>
      </c>
      <c r="CT5" s="759">
        <f t="shared" si="32"/>
        <v>70</v>
      </c>
      <c r="CU5" s="759">
        <f t="shared" si="32"/>
        <v>70</v>
      </c>
      <c r="CV5" s="761">
        <f>ROUND(AW31,-1)</f>
        <v>120</v>
      </c>
      <c r="CW5" s="758">
        <f t="shared" si="32"/>
        <v>180</v>
      </c>
      <c r="CX5" s="758">
        <f t="shared" si="32"/>
        <v>70</v>
      </c>
      <c r="CY5" s="758"/>
      <c r="DB5" s="755" t="s">
        <v>19</v>
      </c>
      <c r="DC5" s="756" t="s">
        <v>134</v>
      </c>
      <c r="DD5" s="751">
        <v>3</v>
      </c>
      <c r="DE5" s="751"/>
      <c r="DF5" s="751"/>
      <c r="DG5" s="751"/>
      <c r="DH5" s="751">
        <v>4</v>
      </c>
      <c r="DI5" s="751">
        <v>4</v>
      </c>
      <c r="DJ5" s="751"/>
      <c r="DK5" s="751"/>
      <c r="DL5" s="751"/>
      <c r="DM5" s="751">
        <v>5</v>
      </c>
      <c r="DN5" s="751">
        <v>5</v>
      </c>
      <c r="DO5" s="751"/>
      <c r="DP5" s="751">
        <v>11</v>
      </c>
      <c r="DQ5" s="750"/>
      <c r="DR5" s="750"/>
      <c r="DS5" s="750"/>
      <c r="DT5" s="750"/>
      <c r="DU5" s="750"/>
      <c r="DV5" s="750"/>
      <c r="DW5" s="750"/>
      <c r="DZ5" s="773" t="s">
        <v>51</v>
      </c>
      <c r="EA5" s="754" t="s">
        <v>134</v>
      </c>
      <c r="EB5" s="769">
        <v>37</v>
      </c>
      <c r="EC5" s="769"/>
      <c r="ED5" s="769"/>
      <c r="EE5" s="769">
        <v>35</v>
      </c>
      <c r="EF5" s="769">
        <v>65</v>
      </c>
      <c r="EG5" s="769">
        <v>14</v>
      </c>
      <c r="EH5" s="769"/>
      <c r="EI5" s="769"/>
      <c r="EJ5" s="769">
        <v>29</v>
      </c>
      <c r="EK5" s="769"/>
      <c r="EL5" s="769"/>
      <c r="EM5" s="769"/>
      <c r="EN5" s="769">
        <v>43</v>
      </c>
      <c r="EO5" s="769">
        <v>7</v>
      </c>
      <c r="EP5" s="769">
        <v>29</v>
      </c>
      <c r="EQ5" s="769"/>
      <c r="ER5" s="769"/>
      <c r="ES5" s="769">
        <v>29</v>
      </c>
      <c r="ET5" s="769">
        <v>7</v>
      </c>
      <c r="EU5" s="769">
        <v>7</v>
      </c>
      <c r="EX5" s="773" t="s">
        <v>51</v>
      </c>
      <c r="EY5" s="754" t="s">
        <v>134</v>
      </c>
      <c r="EZ5" s="769">
        <f t="shared" si="22"/>
        <v>18.5</v>
      </c>
      <c r="FA5" s="769">
        <f t="shared" si="23"/>
        <v>0</v>
      </c>
      <c r="FB5" s="769">
        <f t="shared" si="23"/>
        <v>0</v>
      </c>
      <c r="FC5" s="769">
        <f t="shared" si="23"/>
        <v>17.5</v>
      </c>
      <c r="FD5" s="769">
        <f t="shared" si="23"/>
        <v>32.5</v>
      </c>
      <c r="FE5" s="769">
        <f t="shared" si="23"/>
        <v>7</v>
      </c>
      <c r="FF5" s="769">
        <f t="shared" si="23"/>
        <v>0</v>
      </c>
      <c r="FG5" s="769">
        <f t="shared" si="23"/>
        <v>0</v>
      </c>
      <c r="FH5" s="769">
        <f t="shared" si="23"/>
        <v>14.5</v>
      </c>
      <c r="FI5" s="769">
        <f t="shared" si="23"/>
        <v>0</v>
      </c>
      <c r="FJ5" s="769">
        <f t="shared" si="23"/>
        <v>0</v>
      </c>
      <c r="FK5" s="769">
        <f t="shared" si="24"/>
        <v>0</v>
      </c>
      <c r="FL5" s="769">
        <f t="shared" si="24"/>
        <v>21.5</v>
      </c>
      <c r="FM5" s="769">
        <f t="shared" si="24"/>
        <v>3.5</v>
      </c>
      <c r="FN5" s="769">
        <f t="shared" si="24"/>
        <v>14.5</v>
      </c>
      <c r="FO5" s="769">
        <f t="shared" si="24"/>
        <v>0</v>
      </c>
      <c r="FP5" s="769">
        <f t="shared" si="24"/>
        <v>0</v>
      </c>
      <c r="FQ5" s="769">
        <f t="shared" si="24"/>
        <v>14.5</v>
      </c>
      <c r="FR5" s="769">
        <f t="shared" si="24"/>
        <v>3.5</v>
      </c>
      <c r="FS5" s="769">
        <f t="shared" si="24"/>
        <v>3.5</v>
      </c>
      <c r="FT5" s="774">
        <f t="shared" si="25"/>
        <v>0</v>
      </c>
      <c r="FU5" s="754">
        <f t="shared" si="26"/>
        <v>0</v>
      </c>
      <c r="FW5" s="775" t="s">
        <v>19</v>
      </c>
      <c r="FX5" s="754" t="s">
        <v>134</v>
      </c>
      <c r="FY5" s="808">
        <f t="shared" ref="FY5:GM5" si="33">AE5</f>
        <v>2.7887072000000006</v>
      </c>
      <c r="FZ5" s="808">
        <f t="shared" si="33"/>
        <v>2.7887072000000006</v>
      </c>
      <c r="GA5" s="808">
        <f t="shared" si="33"/>
        <v>4.6930259047619058</v>
      </c>
      <c r="GB5" s="808">
        <f t="shared" si="33"/>
        <v>1.5493561599999999</v>
      </c>
      <c r="GC5" s="808">
        <f t="shared" si="33"/>
        <v>3.0272764380952384</v>
      </c>
      <c r="GD5" s="808">
        <f t="shared" si="33"/>
        <v>2.3824341714285713</v>
      </c>
      <c r="GE5" s="808">
        <f t="shared" si="33"/>
        <v>2.3824341714285713</v>
      </c>
      <c r="GF5" s="808">
        <f t="shared" si="33"/>
        <v>3.5070634095238091</v>
      </c>
      <c r="GG5" s="808">
        <f t="shared" si="33"/>
        <v>3.993240171428571</v>
      </c>
      <c r="GH5" s="808">
        <f t="shared" si="33"/>
        <v>3.9833393714285714</v>
      </c>
      <c r="GI5" s="808">
        <f t="shared" si="33"/>
        <v>3.993240171428571</v>
      </c>
      <c r="GJ5" s="808">
        <f t="shared" si="33"/>
        <v>3.6761541714285713</v>
      </c>
      <c r="GK5" s="808">
        <f t="shared" si="33"/>
        <v>6.856761371428572</v>
      </c>
      <c r="GL5" s="808">
        <f t="shared" si="33"/>
        <v>7.6144005714285727</v>
      </c>
      <c r="GM5" s="808">
        <f t="shared" si="33"/>
        <v>5.0760699047619049</v>
      </c>
      <c r="GN5" s="808">
        <f t="shared" ref="GN5:GT5" si="34">AT5</f>
        <v>5.1245579047619048</v>
      </c>
      <c r="GO5" s="808">
        <f t="shared" si="34"/>
        <v>5.3315339047619057</v>
      </c>
      <c r="GP5" s="808">
        <f t="shared" si="34"/>
        <v>2.720202882539684</v>
      </c>
      <c r="GQ5" s="808">
        <f t="shared" si="34"/>
        <v>1.8284877714285717</v>
      </c>
      <c r="GR5" s="808">
        <f t="shared" si="34"/>
        <v>2.6586920000000007</v>
      </c>
      <c r="GS5" s="808">
        <f t="shared" si="34"/>
        <v>6.3991365714285733</v>
      </c>
      <c r="GT5" s="808">
        <f t="shared" si="34"/>
        <v>7.3372000000000021E-2</v>
      </c>
      <c r="GV5" s="775" t="s">
        <v>1297</v>
      </c>
      <c r="GW5" s="754" t="s">
        <v>134</v>
      </c>
      <c r="GX5" s="724"/>
      <c r="GY5" s="1115"/>
      <c r="GZ5" s="1115"/>
      <c r="HA5" s="1115"/>
      <c r="HB5" s="1115"/>
      <c r="HC5" s="1115"/>
      <c r="HD5" s="1115"/>
      <c r="HE5" s="1115"/>
      <c r="HF5" s="1115"/>
      <c r="HG5" s="1115"/>
      <c r="HH5" s="1115"/>
      <c r="HI5" s="1115"/>
      <c r="HJ5" s="1115"/>
      <c r="HK5" s="1115"/>
      <c r="HL5" s="1115"/>
      <c r="HM5" s="1115"/>
      <c r="HN5" s="1115"/>
      <c r="HO5" s="1115"/>
      <c r="HP5" s="1115"/>
      <c r="HQ5" s="1115"/>
      <c r="HR5" s="1115"/>
      <c r="HS5" s="1115"/>
    </row>
    <row r="6" spans="1:227" s="754" customFormat="1" ht="15.75" customHeight="1">
      <c r="A6" s="1392">
        <f>Eingabedaten!A12</f>
        <v>2.02</v>
      </c>
      <c r="B6" s="750" t="str">
        <f>Eingabedaten!C12</f>
        <v>Empfang, Lobby</v>
      </c>
      <c r="C6" s="751" t="s">
        <v>5</v>
      </c>
      <c r="D6" s="753"/>
      <c r="E6" s="753"/>
      <c r="F6" s="752">
        <v>5</v>
      </c>
      <c r="G6" s="753"/>
      <c r="H6" s="753"/>
      <c r="I6" s="753"/>
      <c r="J6" s="753"/>
      <c r="K6" s="752">
        <v>5</v>
      </c>
      <c r="L6" s="753"/>
      <c r="M6" s="753"/>
      <c r="N6" s="753"/>
      <c r="O6" s="753"/>
      <c r="P6" s="753"/>
      <c r="Q6" s="753"/>
      <c r="R6" s="753"/>
      <c r="S6" s="753"/>
      <c r="T6" s="753"/>
      <c r="U6" s="753"/>
      <c r="V6" s="753"/>
      <c r="W6" s="753"/>
      <c r="X6" s="753"/>
      <c r="Y6" s="753"/>
      <c r="AA6" s="769">
        <f>1/Eingabedaten!AP12</f>
        <v>0.2</v>
      </c>
      <c r="AC6" s="773" t="s">
        <v>463</v>
      </c>
      <c r="AD6" s="774" t="s">
        <v>134</v>
      </c>
      <c r="AE6" s="1099">
        <f>SUMPRODUCT(KZ_Raum_2024!$G$7:$G$51,'Fläche-E'!D$3:D$47)/100*$AD$1</f>
        <v>3.3889639654036778</v>
      </c>
      <c r="AF6" s="1053">
        <f>SUMPRODUCT(KZ_Raum_2024!$G$7:$G$51,'Fläche-E'!E$3:E$47)/100*$AD$1</f>
        <v>3.3889639654036778</v>
      </c>
      <c r="AG6" s="1053">
        <f>SUMPRODUCT(KZ_Raum_2024!$G$7:$G$51,'Fläche-E'!F$3:F$47)/100*$AD$1</f>
        <v>4.7381022785109517</v>
      </c>
      <c r="AH6" s="1053">
        <f>SUMPRODUCT(KZ_Raum_2024!$G$7:$G$51,'Fläche-E'!G$3:G$47)/100*$AD$1</f>
        <v>1.4184361751771477</v>
      </c>
      <c r="AI6" s="1053">
        <f>SUMPRODUCT(KZ_Raum_2024!$G$7:$G$51,'Fläche-E'!H$3:H$47)/100*$AD$1</f>
        <v>7.8422491660755886</v>
      </c>
      <c r="AJ6" s="1053">
        <f>SUMPRODUCT(KZ_Raum_2024!$G$7:$G$51,'Fläche-E'!I$3:I$47)/100*$AD$1</f>
        <v>4.7746948126511946</v>
      </c>
      <c r="AK6" s="1053">
        <f>SUMPRODUCT(KZ_Raum_2024!$G$7:$G$51,'Fläche-E'!J$3:J$47)/100*$AD$1</f>
        <v>4.7746948126511946</v>
      </c>
      <c r="AL6" s="1053">
        <f>SUMPRODUCT(KZ_Raum_2024!$G$7:$G$51,'Fläche-E'!K$3:K$47)/100*$AD$1</f>
        <v>7.6636916706564904</v>
      </c>
      <c r="AM6" s="1053">
        <f>SUMPRODUCT(KZ_Raum_2024!$G$7:$G$51,'Fläche-E'!L$3:L$47)/100*$AD$1</f>
        <v>11.651377900486445</v>
      </c>
      <c r="AN6" s="1053">
        <f>SUMPRODUCT(KZ_Raum_2024!$G$7:$G$51,'Fläche-E'!M$3:M$47)/100*$AD$1</f>
        <v>11.926227215554942</v>
      </c>
      <c r="AO6" s="1053">
        <f>SUMPRODUCT(KZ_Raum_2024!$G$7:$G$51,'Fläche-E'!N$3:N$47)/100*$AD$1</f>
        <v>11.651377900486445</v>
      </c>
      <c r="AP6" s="1053">
        <f>SUMPRODUCT(KZ_Raum_2024!$G$7:$G$51,'Fläche-E'!O$3:O$47)/100*$AD$1</f>
        <v>7.2009850607139558</v>
      </c>
      <c r="AQ6" s="1053">
        <f>SUMPRODUCT(KZ_Raum_2024!$G$7:$G$51,'Fläche-E'!P$3:P$47)/100*$AD$1</f>
        <v>5.6280674736166825</v>
      </c>
      <c r="AR6" s="1053">
        <f>SUMPRODUCT(KZ_Raum_2024!$G$7:$G$51,'Fläche-E'!Q$3:Q$47)/100*$AD$1</f>
        <v>12.454189634374982</v>
      </c>
      <c r="AS6" s="1053">
        <f>SUMPRODUCT(KZ_Raum_2024!$G$7:$G$51,'Fläche-E'!R$3:R$47)/100*$AD$1</f>
        <v>10.467097004911345</v>
      </c>
      <c r="AT6" s="1053">
        <f>SUMPRODUCT(KZ_Raum_2024!$G$7:$G$51,'Fläche-E'!S$3:S$47)/100*$AD$1</f>
        <v>10.896918506140496</v>
      </c>
      <c r="AU6" s="1053">
        <f>SUMPRODUCT(KZ_Raum_2024!$G$7:$G$51,'Fläche-E'!T$3:T$47)/100*$AD$1</f>
        <v>10.269304483987643</v>
      </c>
      <c r="AV6" s="1053">
        <f>SUMPRODUCT(KZ_Raum_2024!$G$7:$G$51,'Fläche-E'!U$3:U$47)/100*$AD$1</f>
        <v>3.4983406859333268</v>
      </c>
      <c r="AW6" s="1053">
        <f>SUMPRODUCT(KZ_Raum_2024!$G$7:$G$51,'Fläche-E'!V$3:V$47)/100*$AD$1</f>
        <v>0.5772053815740118</v>
      </c>
      <c r="AX6" s="1053">
        <f>SUMPRODUCT(KZ_Raum_2024!$G$7:$G$51,'Fläche-E'!W$3:W$47)/100*$AD$1</f>
        <v>0</v>
      </c>
      <c r="AY6" s="1054">
        <f>SUMPRODUCT(KZ_Raum_2024!$G$7:$G$51,'Fläche-E'!X$3:X$47)/100*$AD$1</f>
        <v>0.5772053815740118</v>
      </c>
      <c r="AZ6" s="1054">
        <f>SUMPRODUCT(KZ_Raum_2024!$G$7:$G$51,'Fläche-E'!Y$3:Y$47)/100*$AD$1</f>
        <v>0</v>
      </c>
      <c r="BC6" s="755" t="s">
        <v>321</v>
      </c>
      <c r="BD6" s="756" t="s">
        <v>15</v>
      </c>
      <c r="BE6" s="751">
        <v>12</v>
      </c>
      <c r="BF6" s="751"/>
      <c r="BG6" s="751"/>
      <c r="BH6" s="751">
        <v>12</v>
      </c>
      <c r="BI6" s="751">
        <v>6</v>
      </c>
      <c r="BJ6" s="751">
        <v>4</v>
      </c>
      <c r="BK6" s="751"/>
      <c r="BL6" s="751"/>
      <c r="BM6" s="751">
        <v>4</v>
      </c>
      <c r="BN6" s="751"/>
      <c r="BO6" s="751"/>
      <c r="BP6" s="751"/>
      <c r="BQ6" s="751">
        <v>3</v>
      </c>
      <c r="BR6" s="751">
        <v>3</v>
      </c>
      <c r="BS6" s="751">
        <v>16</v>
      </c>
      <c r="BT6" s="751"/>
      <c r="BU6" s="751"/>
      <c r="BV6" s="751">
        <v>6</v>
      </c>
      <c r="BW6" s="751">
        <v>6</v>
      </c>
      <c r="BX6" s="751">
        <v>6</v>
      </c>
      <c r="BY6" s="751">
        <v>4</v>
      </c>
      <c r="BZ6" s="751"/>
      <c r="CB6" s="755" t="s">
        <v>321</v>
      </c>
      <c r="CC6" s="756" t="s">
        <v>15</v>
      </c>
      <c r="CD6" s="762">
        <f>ROUND(AE30,0)</f>
        <v>13</v>
      </c>
      <c r="CE6" s="762"/>
      <c r="CF6" s="762">
        <f>ROUND(AG30,0)</f>
        <v>11</v>
      </c>
      <c r="CG6" s="762">
        <f>ROUND(AH30,0)</f>
        <v>13</v>
      </c>
      <c r="CH6" s="762">
        <f>ROUND(AI30,0)</f>
        <v>7</v>
      </c>
      <c r="CI6" s="760">
        <f>ROUND(AJ30,0)</f>
        <v>5</v>
      </c>
      <c r="CJ6" s="760"/>
      <c r="CK6" s="760"/>
      <c r="CL6" s="761">
        <f t="shared" ref="CL6:CX6" si="35">ROUND(AM30,0)</f>
        <v>7</v>
      </c>
      <c r="CM6" s="761">
        <f t="shared" si="35"/>
        <v>7</v>
      </c>
      <c r="CN6" s="761">
        <f t="shared" si="35"/>
        <v>7</v>
      </c>
      <c r="CO6" s="761">
        <f t="shared" si="35"/>
        <v>7</v>
      </c>
      <c r="CP6" s="761">
        <f t="shared" si="35"/>
        <v>4</v>
      </c>
      <c r="CQ6" s="761">
        <f t="shared" si="35"/>
        <v>8</v>
      </c>
      <c r="CR6" s="762">
        <f t="shared" si="35"/>
        <v>14</v>
      </c>
      <c r="CS6" s="762">
        <f t="shared" si="35"/>
        <v>12</v>
      </c>
      <c r="CT6" s="762">
        <f t="shared" si="35"/>
        <v>16</v>
      </c>
      <c r="CU6" s="762">
        <f t="shared" si="35"/>
        <v>5</v>
      </c>
      <c r="CV6" s="760">
        <f t="shared" si="35"/>
        <v>5</v>
      </c>
      <c r="CW6" s="762">
        <f t="shared" si="35"/>
        <v>2</v>
      </c>
      <c r="CX6" s="761">
        <f t="shared" si="35"/>
        <v>8</v>
      </c>
      <c r="CY6" s="761"/>
      <c r="DB6" s="755" t="s">
        <v>463</v>
      </c>
      <c r="DC6" s="756" t="s">
        <v>134</v>
      </c>
      <c r="DD6" s="751">
        <v>0</v>
      </c>
      <c r="DE6" s="751"/>
      <c r="DF6" s="751"/>
      <c r="DG6" s="751"/>
      <c r="DH6" s="751">
        <v>18</v>
      </c>
      <c r="DI6" s="751">
        <v>10</v>
      </c>
      <c r="DJ6" s="751"/>
      <c r="DK6" s="751"/>
      <c r="DL6" s="751"/>
      <c r="DM6" s="751">
        <v>10</v>
      </c>
      <c r="DN6" s="751">
        <v>48</v>
      </c>
      <c r="DO6" s="751"/>
      <c r="DP6" s="751">
        <v>36</v>
      </c>
      <c r="DQ6" s="750"/>
      <c r="DR6" s="750"/>
      <c r="DS6" s="750"/>
      <c r="DT6" s="750"/>
      <c r="DU6" s="750"/>
      <c r="DV6" s="750"/>
      <c r="DW6" s="750"/>
      <c r="DZ6" s="773" t="s">
        <v>17</v>
      </c>
      <c r="EA6" s="754" t="s">
        <v>134</v>
      </c>
      <c r="EB6" s="769"/>
      <c r="EC6" s="769"/>
      <c r="ED6" s="769"/>
      <c r="EE6" s="769"/>
      <c r="EF6" s="769">
        <v>18</v>
      </c>
      <c r="EG6" s="769">
        <v>16</v>
      </c>
      <c r="EH6" s="769"/>
      <c r="EI6" s="769"/>
      <c r="EJ6" s="769">
        <v>80</v>
      </c>
      <c r="EK6" s="769"/>
      <c r="EL6" s="769"/>
      <c r="EM6" s="769"/>
      <c r="EN6" s="769">
        <v>28</v>
      </c>
      <c r="EO6" s="769">
        <v>20</v>
      </c>
      <c r="EP6" s="769">
        <v>28</v>
      </c>
      <c r="EQ6" s="769"/>
      <c r="ER6" s="769"/>
      <c r="ES6" s="769">
        <v>28</v>
      </c>
      <c r="ET6" s="769">
        <v>28</v>
      </c>
      <c r="EU6" s="769">
        <v>18</v>
      </c>
      <c r="EX6" s="773" t="s">
        <v>17</v>
      </c>
      <c r="EY6" s="754" t="s">
        <v>134</v>
      </c>
      <c r="EZ6" s="880" t="s">
        <v>16</v>
      </c>
      <c r="FA6" s="880">
        <f t="shared" si="23"/>
        <v>0</v>
      </c>
      <c r="FB6" s="880">
        <f t="shared" si="23"/>
        <v>0</v>
      </c>
      <c r="FC6" s="880" t="s">
        <v>16</v>
      </c>
      <c r="FD6" s="769">
        <f t="shared" si="23"/>
        <v>9</v>
      </c>
      <c r="FE6" s="769">
        <f t="shared" si="23"/>
        <v>8</v>
      </c>
      <c r="FF6" s="769">
        <f t="shared" si="23"/>
        <v>0</v>
      </c>
      <c r="FG6" s="769">
        <f t="shared" si="23"/>
        <v>0</v>
      </c>
      <c r="FH6" s="769">
        <f t="shared" si="23"/>
        <v>40</v>
      </c>
      <c r="FI6" s="769">
        <f t="shared" si="23"/>
        <v>0</v>
      </c>
      <c r="FJ6" s="769">
        <f t="shared" si="23"/>
        <v>0</v>
      </c>
      <c r="FK6" s="769">
        <f t="shared" si="24"/>
        <v>0</v>
      </c>
      <c r="FL6" s="769">
        <f t="shared" si="24"/>
        <v>14</v>
      </c>
      <c r="FM6" s="769">
        <f t="shared" si="24"/>
        <v>10</v>
      </c>
      <c r="FN6" s="769">
        <f t="shared" si="24"/>
        <v>14</v>
      </c>
      <c r="FO6" s="769">
        <f t="shared" si="24"/>
        <v>0</v>
      </c>
      <c r="FP6" s="769">
        <f t="shared" si="24"/>
        <v>0</v>
      </c>
      <c r="FQ6" s="769">
        <f t="shared" si="24"/>
        <v>14</v>
      </c>
      <c r="FR6" s="769">
        <f t="shared" si="24"/>
        <v>14</v>
      </c>
      <c r="FS6" s="769">
        <f t="shared" si="24"/>
        <v>9</v>
      </c>
      <c r="FT6" s="774">
        <f t="shared" si="25"/>
        <v>0</v>
      </c>
      <c r="FU6" s="754">
        <f t="shared" si="26"/>
        <v>0</v>
      </c>
      <c r="FW6" s="775" t="s">
        <v>1189</v>
      </c>
      <c r="FX6" s="754" t="s">
        <v>134</v>
      </c>
      <c r="FY6" s="808">
        <f>AE6/3</f>
        <v>1.1296546551345592</v>
      </c>
      <c r="FZ6" s="808">
        <f t="shared" ref="FZ6:GM6" si="36">AF6/3</f>
        <v>1.1296546551345592</v>
      </c>
      <c r="GA6" s="808">
        <f t="shared" si="36"/>
        <v>1.5793674261703172</v>
      </c>
      <c r="GB6" s="808">
        <f t="shared" si="36"/>
        <v>0.47281205839238255</v>
      </c>
      <c r="GC6" s="808">
        <f t="shared" si="36"/>
        <v>2.6140830553585297</v>
      </c>
      <c r="GD6" s="808">
        <f t="shared" si="36"/>
        <v>1.5915649375503982</v>
      </c>
      <c r="GE6" s="808">
        <f t="shared" si="36"/>
        <v>1.5915649375503982</v>
      </c>
      <c r="GF6" s="808">
        <f t="shared" si="36"/>
        <v>2.5545638902188301</v>
      </c>
      <c r="GG6" s="808">
        <f t="shared" si="36"/>
        <v>3.8837926334954815</v>
      </c>
      <c r="GH6" s="808">
        <f t="shared" si="36"/>
        <v>3.9754090718516473</v>
      </c>
      <c r="GI6" s="808">
        <f t="shared" si="36"/>
        <v>3.8837926334954815</v>
      </c>
      <c r="GJ6" s="808">
        <f t="shared" si="36"/>
        <v>2.4003283535713185</v>
      </c>
      <c r="GK6" s="808">
        <f t="shared" si="36"/>
        <v>1.8760224912055607</v>
      </c>
      <c r="GL6" s="808">
        <f t="shared" si="36"/>
        <v>4.1513965447916608</v>
      </c>
      <c r="GM6" s="808">
        <f t="shared" si="36"/>
        <v>3.4890323349704482</v>
      </c>
      <c r="GN6" s="808">
        <f t="shared" ref="GN6:GT6" si="37">AT6/3</f>
        <v>3.6323061687134985</v>
      </c>
      <c r="GO6" s="808">
        <f t="shared" si="37"/>
        <v>3.4231014946625478</v>
      </c>
      <c r="GP6" s="808">
        <f t="shared" si="37"/>
        <v>1.1661135619777756</v>
      </c>
      <c r="GQ6" s="808">
        <f t="shared" si="37"/>
        <v>0.19240179385800393</v>
      </c>
      <c r="GR6" s="808">
        <f t="shared" si="37"/>
        <v>0</v>
      </c>
      <c r="GS6" s="808">
        <f t="shared" si="37"/>
        <v>0.19240179385800393</v>
      </c>
      <c r="GT6" s="808">
        <f t="shared" si="37"/>
        <v>0</v>
      </c>
      <c r="GV6" s="775" t="s">
        <v>1189</v>
      </c>
      <c r="GW6" s="754" t="s">
        <v>134</v>
      </c>
      <c r="GX6" s="724"/>
      <c r="GY6" s="1116"/>
      <c r="GZ6" s="1116"/>
      <c r="HA6" s="1116"/>
      <c r="HB6" s="1116"/>
      <c r="HC6" s="1116"/>
      <c r="HD6" s="1116"/>
      <c r="HE6" s="1116"/>
      <c r="HF6" s="1116"/>
      <c r="HG6" s="1116"/>
      <c r="HH6" s="1116"/>
      <c r="HI6" s="1116"/>
      <c r="HJ6" s="1116"/>
      <c r="HK6" s="1116"/>
      <c r="HL6" s="1116"/>
      <c r="HM6" s="1116"/>
      <c r="HN6" s="1116"/>
      <c r="HO6" s="1116"/>
      <c r="HP6" s="1116"/>
      <c r="HQ6" s="1116"/>
      <c r="HR6" s="1116"/>
      <c r="HS6" s="1116"/>
    </row>
    <row r="7" spans="1:227" s="754" customFormat="1" ht="15.75" customHeight="1">
      <c r="A7" s="1392">
        <f>Eingabedaten!A13</f>
        <v>3.01</v>
      </c>
      <c r="B7" s="750" t="str">
        <f>Eingabedaten!C13</f>
        <v>Einzel-, Gruppenbüro</v>
      </c>
      <c r="C7" s="751" t="s">
        <v>5</v>
      </c>
      <c r="D7" s="753"/>
      <c r="E7" s="753"/>
      <c r="F7" s="753">
        <v>5</v>
      </c>
      <c r="G7" s="753"/>
      <c r="H7" s="752">
        <v>40</v>
      </c>
      <c r="I7" s="752">
        <v>5</v>
      </c>
      <c r="J7" s="752">
        <v>5</v>
      </c>
      <c r="K7" s="752">
        <v>10</v>
      </c>
      <c r="L7" s="753">
        <v>5</v>
      </c>
      <c r="M7" s="753">
        <v>5</v>
      </c>
      <c r="N7" s="753">
        <v>5</v>
      </c>
      <c r="O7" s="753">
        <v>5</v>
      </c>
      <c r="P7" s="753">
        <v>5</v>
      </c>
      <c r="Q7" s="753">
        <v>5</v>
      </c>
      <c r="R7" s="753">
        <v>5</v>
      </c>
      <c r="S7" s="753">
        <v>5</v>
      </c>
      <c r="T7" s="753">
        <v>5</v>
      </c>
      <c r="U7" s="753">
        <v>5</v>
      </c>
      <c r="V7" s="753">
        <v>5</v>
      </c>
      <c r="W7" s="753"/>
      <c r="X7" s="753">
        <v>5</v>
      </c>
      <c r="Y7" s="753"/>
      <c r="AA7" s="769">
        <f>1/Eingabedaten!AP13</f>
        <v>7.1428571428571425E-2</v>
      </c>
      <c r="AC7" s="773" t="s">
        <v>464</v>
      </c>
      <c r="AD7" s="774" t="s">
        <v>134</v>
      </c>
      <c r="AE7" s="1099">
        <f>SUMPRODUCT(KZ_Raum_2024!$H$7:$H$51,'Fläche-E'!D$3:D$47)/100*$AD$1</f>
        <v>11.726703891170381</v>
      </c>
      <c r="AF7" s="1053">
        <f>SUMPRODUCT(KZ_Raum_2024!$H$7:$H$51,'Fläche-E'!E$3:E$47)/100*$AD$1</f>
        <v>11.726703891170381</v>
      </c>
      <c r="AG7" s="1053">
        <f>SUMPRODUCT(KZ_Raum_2024!$H$7:$H$51,'Fläche-E'!F$3:F$47)/100*$AD$1</f>
        <v>13.870968340056827</v>
      </c>
      <c r="AH7" s="1053">
        <f>SUMPRODUCT(KZ_Raum_2024!$H$7:$H$51,'Fläche-E'!G$3:G$47)/100*$AD$1</f>
        <v>18.532290023829955</v>
      </c>
      <c r="AI7" s="1053">
        <f>SUMPRODUCT(KZ_Raum_2024!$H$7:$H$51,'Fläche-E'!H$3:H$47)/100*$AD$1</f>
        <v>9.4607684842424522</v>
      </c>
      <c r="AJ7" s="1053">
        <f>SUMPRODUCT(KZ_Raum_2024!$H$7:$H$51,'Fläche-E'!I$3:I$47)/100*$AD$1</f>
        <v>13.537004115365571</v>
      </c>
      <c r="AK7" s="1053">
        <f>SUMPRODUCT(KZ_Raum_2024!$H$7:$H$51,'Fläche-E'!J$3:J$47)/100*$AD$1</f>
        <v>13.537004115365571</v>
      </c>
      <c r="AL7" s="1053">
        <f>SUMPRODUCT(KZ_Raum_2024!$H$7:$H$51,'Fläche-E'!K$3:K$47)/100*$AD$1</f>
        <v>11.336089072607724</v>
      </c>
      <c r="AM7" s="1053">
        <f>SUMPRODUCT(KZ_Raum_2024!$H$7:$H$51,'Fläche-E'!L$3:L$47)/100*$AD$1</f>
        <v>5.5844225421050364</v>
      </c>
      <c r="AN7" s="1053">
        <f>SUMPRODUCT(KZ_Raum_2024!$H$7:$H$51,'Fläche-E'!M$3:M$47)/100*$AD$1</f>
        <v>5.336005221474303</v>
      </c>
      <c r="AO7" s="1053">
        <f>SUMPRODUCT(KZ_Raum_2024!$H$7:$H$51,'Fläche-E'!N$3:N$47)/100*$AD$1</f>
        <v>5.5844225421050364</v>
      </c>
      <c r="AP7" s="1053">
        <f>SUMPRODUCT(KZ_Raum_2024!$H$7:$H$51,'Fläche-E'!O$3:O$47)/100*$AD$1</f>
        <v>6.1032108798011526</v>
      </c>
      <c r="AQ7" s="1053">
        <f>SUMPRODUCT(KZ_Raum_2024!$H$7:$H$51,'Fläche-E'!P$3:P$47)/100*$AD$1</f>
        <v>14.227329799738198</v>
      </c>
      <c r="AR7" s="1053">
        <f>SUMPRODUCT(KZ_Raum_2024!$H$7:$H$51,'Fläche-E'!Q$3:Q$47)/100*$AD$1</f>
        <v>9.8470402728764252</v>
      </c>
      <c r="AS7" s="1053">
        <f>SUMPRODUCT(KZ_Raum_2024!$H$7:$H$51,'Fläche-E'!R$3:R$47)/100*$AD$1</f>
        <v>10.446296640777922</v>
      </c>
      <c r="AT7" s="1053">
        <f>SUMPRODUCT(KZ_Raum_2024!$H$7:$H$51,'Fläche-E'!S$3:S$47)/100*$AD$1</f>
        <v>10.373697935999942</v>
      </c>
      <c r="AU7" s="1053">
        <f>SUMPRODUCT(KZ_Raum_2024!$H$7:$H$51,'Fläche-E'!T$3:T$47)/100*$AD$1</f>
        <v>10.392353857645658</v>
      </c>
      <c r="AV7" s="1053">
        <f>SUMPRODUCT(KZ_Raum_2024!$H$7:$H$51,'Fläche-E'!U$3:U$47)/100*$AD$1</f>
        <v>11.040409943789539</v>
      </c>
      <c r="AW7" s="1053">
        <f>SUMPRODUCT(KZ_Raum_2024!$H$7:$H$51,'Fläche-E'!V$3:V$47)/100*$AD$1</f>
        <v>9.2539562331877274</v>
      </c>
      <c r="AX7" s="1053">
        <f>SUMPRODUCT(KZ_Raum_2024!$H$7:$H$51,'Fläche-E'!W$3:W$47)/100*$AD$1</f>
        <v>22.373626136983148</v>
      </c>
      <c r="AY7" s="1054">
        <f>SUMPRODUCT(KZ_Raum_2024!$H$7:$H$51,'Fläche-E'!X$3:X$47)/100*$AD$1</f>
        <v>27.485652279842313</v>
      </c>
      <c r="AZ7" s="1054">
        <f>SUMPRODUCT(KZ_Raum_2024!$H$7:$H$51,'Fläche-E'!Y$3:Y$47)/100*$AD$1</f>
        <v>1.2550391984165392</v>
      </c>
      <c r="BC7" s="764" t="s">
        <v>1195</v>
      </c>
      <c r="BD7" s="756" t="s">
        <v>1101</v>
      </c>
      <c r="BE7" s="760">
        <f>BE5*BE6*365/1000/BE4</f>
        <v>7.6650000000000009</v>
      </c>
      <c r="BF7" s="760"/>
      <c r="BG7" s="760"/>
      <c r="BH7" s="760">
        <f t="shared" ref="BH7:BY7" si="38">BH5*BH6*365/1000/BH4</f>
        <v>5.1100000000000003</v>
      </c>
      <c r="BI7" s="760">
        <f t="shared" si="38"/>
        <v>8.76</v>
      </c>
      <c r="BJ7" s="760">
        <f t="shared" si="38"/>
        <v>10.220000000000001</v>
      </c>
      <c r="BK7" s="760"/>
      <c r="BL7" s="760"/>
      <c r="BM7" s="760">
        <f t="shared" si="38"/>
        <v>13.14</v>
      </c>
      <c r="BN7" s="760" t="e">
        <f t="shared" si="38"/>
        <v>#DIV/0!</v>
      </c>
      <c r="BO7" s="760" t="e">
        <f t="shared" si="38"/>
        <v>#DIV/0!</v>
      </c>
      <c r="BP7" s="760" t="e">
        <f t="shared" si="38"/>
        <v>#DIV/0!</v>
      </c>
      <c r="BQ7" s="760">
        <f t="shared" si="38"/>
        <v>21.9</v>
      </c>
      <c r="BR7" s="760">
        <f t="shared" si="38"/>
        <v>17.52</v>
      </c>
      <c r="BS7" s="760">
        <f t="shared" si="38"/>
        <v>15.573333333333332</v>
      </c>
      <c r="BT7" s="760"/>
      <c r="BU7" s="760"/>
      <c r="BV7" s="760">
        <f t="shared" si="38"/>
        <v>7.3</v>
      </c>
      <c r="BW7" s="760">
        <f t="shared" si="38"/>
        <v>2.19</v>
      </c>
      <c r="BX7" s="760">
        <f t="shared" si="38"/>
        <v>10.95</v>
      </c>
      <c r="BY7" s="760">
        <f t="shared" si="38"/>
        <v>4.38</v>
      </c>
      <c r="BZ7" s="760"/>
      <c r="CB7" s="764" t="s">
        <v>1405</v>
      </c>
      <c r="CC7" s="756" t="s">
        <v>1101</v>
      </c>
      <c r="CD7" s="762">
        <f>ROUND(AE27,0)</f>
        <v>7</v>
      </c>
      <c r="CE7" s="762"/>
      <c r="CF7" s="760"/>
      <c r="CG7" s="762">
        <f t="shared" ref="CG7:CX7" si="39">ROUND(AH27,0)</f>
        <v>5</v>
      </c>
      <c r="CH7" s="762">
        <f t="shared" si="39"/>
        <v>6</v>
      </c>
      <c r="CI7" s="761">
        <f t="shared" si="39"/>
        <v>13</v>
      </c>
      <c r="CJ7" s="761">
        <f t="shared" si="39"/>
        <v>13</v>
      </c>
      <c r="CK7" s="761">
        <f t="shared" si="39"/>
        <v>14</v>
      </c>
      <c r="CL7" s="762">
        <f t="shared" si="39"/>
        <v>11</v>
      </c>
      <c r="CM7" s="760">
        <f t="shared" si="39"/>
        <v>11</v>
      </c>
      <c r="CN7" s="760">
        <f t="shared" si="39"/>
        <v>11</v>
      </c>
      <c r="CO7" s="760">
        <f t="shared" si="39"/>
        <v>6</v>
      </c>
      <c r="CP7" s="760">
        <f t="shared" si="39"/>
        <v>24</v>
      </c>
      <c r="CQ7" s="761">
        <f t="shared" si="39"/>
        <v>32</v>
      </c>
      <c r="CR7" s="760">
        <f t="shared" si="39"/>
        <v>19</v>
      </c>
      <c r="CS7" s="760">
        <f t="shared" si="39"/>
        <v>19</v>
      </c>
      <c r="CT7" s="760">
        <f t="shared" si="39"/>
        <v>21</v>
      </c>
      <c r="CU7" s="762">
        <f t="shared" si="39"/>
        <v>4</v>
      </c>
      <c r="CV7" s="761">
        <f t="shared" si="39"/>
        <v>3</v>
      </c>
      <c r="CW7" s="762">
        <f t="shared" si="39"/>
        <v>3</v>
      </c>
      <c r="CX7" s="761">
        <f t="shared" si="39"/>
        <v>10</v>
      </c>
      <c r="CY7" s="761"/>
      <c r="DB7" s="764" t="s">
        <v>464</v>
      </c>
      <c r="DC7" s="756" t="s">
        <v>134</v>
      </c>
      <c r="DD7" s="751"/>
      <c r="DE7" s="751"/>
      <c r="DF7" s="751"/>
      <c r="DG7" s="751"/>
      <c r="DH7" s="751"/>
      <c r="DI7" s="751"/>
      <c r="DJ7" s="751"/>
      <c r="DK7" s="751"/>
      <c r="DL7" s="751"/>
      <c r="DM7" s="751"/>
      <c r="DN7" s="751"/>
      <c r="DO7" s="751"/>
      <c r="DP7" s="751"/>
      <c r="DQ7" s="750"/>
      <c r="DR7" s="750"/>
      <c r="DS7" s="750"/>
      <c r="DT7" s="750"/>
      <c r="DU7" s="750"/>
      <c r="DV7" s="750"/>
      <c r="DW7" s="750"/>
      <c r="DZ7" s="773" t="s">
        <v>1143</v>
      </c>
      <c r="EA7" s="754" t="s">
        <v>134</v>
      </c>
      <c r="EB7" s="769"/>
      <c r="EC7" s="769"/>
      <c r="ED7" s="769"/>
      <c r="EE7" s="769"/>
      <c r="EF7" s="769">
        <v>14</v>
      </c>
      <c r="EG7" s="769">
        <v>7</v>
      </c>
      <c r="EH7" s="769"/>
      <c r="EI7" s="769"/>
      <c r="EJ7" s="769">
        <v>7</v>
      </c>
      <c r="EK7" s="769"/>
      <c r="EL7" s="769"/>
      <c r="EM7" s="769"/>
      <c r="EN7" s="769">
        <v>7</v>
      </c>
      <c r="EO7" s="769">
        <v>7</v>
      </c>
      <c r="EP7" s="769">
        <v>14</v>
      </c>
      <c r="EQ7" s="769"/>
      <c r="ER7" s="769"/>
      <c r="ES7" s="769">
        <v>7</v>
      </c>
      <c r="ET7" s="769">
        <v>7</v>
      </c>
      <c r="EU7" s="769">
        <v>7</v>
      </c>
      <c r="EX7" s="773" t="s">
        <v>1143</v>
      </c>
      <c r="EY7" s="754" t="s">
        <v>134</v>
      </c>
      <c r="EZ7" s="880" t="s">
        <v>16</v>
      </c>
      <c r="FA7" s="880">
        <f t="shared" si="23"/>
        <v>0</v>
      </c>
      <c r="FB7" s="880">
        <f t="shared" si="23"/>
        <v>0</v>
      </c>
      <c r="FC7" s="880" t="s">
        <v>16</v>
      </c>
      <c r="FD7" s="769">
        <f t="shared" si="23"/>
        <v>7</v>
      </c>
      <c r="FE7" s="769">
        <f t="shared" si="23"/>
        <v>3.5</v>
      </c>
      <c r="FF7" s="769">
        <f t="shared" si="23"/>
        <v>0</v>
      </c>
      <c r="FG7" s="769">
        <f t="shared" si="23"/>
        <v>0</v>
      </c>
      <c r="FH7" s="769">
        <f t="shared" si="23"/>
        <v>3.5</v>
      </c>
      <c r="FI7" s="769">
        <f t="shared" si="23"/>
        <v>0</v>
      </c>
      <c r="FJ7" s="769">
        <f t="shared" si="23"/>
        <v>0</v>
      </c>
      <c r="FK7" s="769">
        <f t="shared" si="24"/>
        <v>0</v>
      </c>
      <c r="FL7" s="769">
        <f t="shared" si="24"/>
        <v>3.5</v>
      </c>
      <c r="FM7" s="769">
        <f t="shared" si="24"/>
        <v>3.5</v>
      </c>
      <c r="FN7" s="769">
        <f t="shared" si="24"/>
        <v>7</v>
      </c>
      <c r="FO7" s="769">
        <f t="shared" si="24"/>
        <v>0</v>
      </c>
      <c r="FP7" s="769">
        <f t="shared" si="24"/>
        <v>0</v>
      </c>
      <c r="FQ7" s="769">
        <f t="shared" si="24"/>
        <v>3.5</v>
      </c>
      <c r="FR7" s="769">
        <f t="shared" si="24"/>
        <v>3.5</v>
      </c>
      <c r="FS7" s="769">
        <f t="shared" si="24"/>
        <v>3.5</v>
      </c>
      <c r="FT7" s="774">
        <f t="shared" si="25"/>
        <v>0</v>
      </c>
      <c r="FU7" s="754">
        <f t="shared" si="26"/>
        <v>0</v>
      </c>
      <c r="FW7" s="773" t="s">
        <v>51</v>
      </c>
      <c r="FX7" s="754" t="s">
        <v>134</v>
      </c>
      <c r="FY7" s="808">
        <f t="shared" ref="FY7" si="40">AE3</f>
        <v>14.688000000000002</v>
      </c>
      <c r="FZ7" s="808">
        <f>AF3</f>
        <v>14.688000000000002</v>
      </c>
      <c r="GA7" s="808">
        <f t="shared" ref="GA7:GT7" si="41">AG3</f>
        <v>12.284000000000001</v>
      </c>
      <c r="GB7" s="808">
        <f t="shared" si="41"/>
        <v>12.816000000000001</v>
      </c>
      <c r="GC7" s="808">
        <f t="shared" si="41"/>
        <v>17.313200000000002</v>
      </c>
      <c r="GD7" s="808">
        <f t="shared" si="41"/>
        <v>6.9511200000000004</v>
      </c>
      <c r="GE7" s="808">
        <f t="shared" si="41"/>
        <v>6.9511200000000004</v>
      </c>
      <c r="GF7" s="808">
        <f t="shared" si="41"/>
        <v>11.325200000000002</v>
      </c>
      <c r="GG7" s="808">
        <f t="shared" si="41"/>
        <v>4.7652000000000001</v>
      </c>
      <c r="GH7" s="808">
        <f t="shared" si="41"/>
        <v>5.13</v>
      </c>
      <c r="GI7" s="808">
        <f t="shared" si="41"/>
        <v>4.7652000000000001</v>
      </c>
      <c r="GJ7" s="808">
        <f t="shared" si="41"/>
        <v>4.5540000000000003</v>
      </c>
      <c r="GK7" s="808">
        <f t="shared" si="41"/>
        <v>5.1044</v>
      </c>
      <c r="GL7" s="808">
        <f t="shared" si="41"/>
        <v>7.1204000000000001</v>
      </c>
      <c r="GM7" s="808">
        <f t="shared" si="41"/>
        <v>8.5164000000000009</v>
      </c>
      <c r="GN7" s="808">
        <f t="shared" si="41"/>
        <v>9.4044000000000008</v>
      </c>
      <c r="GO7" s="808">
        <f t="shared" si="41"/>
        <v>8.0483999999999991</v>
      </c>
      <c r="GP7" s="808">
        <f t="shared" si="41"/>
        <v>7.5044000000000004</v>
      </c>
      <c r="GQ7" s="808">
        <f t="shared" si="41"/>
        <v>4.8196000000000012</v>
      </c>
      <c r="GR7" s="808">
        <f t="shared" si="41"/>
        <v>1.2431999999999999</v>
      </c>
      <c r="GS7" s="808">
        <f t="shared" si="41"/>
        <v>6.1908000000000003</v>
      </c>
      <c r="GT7" s="808">
        <f t="shared" si="41"/>
        <v>1.5335999999999999</v>
      </c>
      <c r="GV7" s="773" t="s">
        <v>51</v>
      </c>
      <c r="GW7" s="754" t="s">
        <v>134</v>
      </c>
      <c r="GX7" s="724"/>
      <c r="GY7" s="1292">
        <v>15.5</v>
      </c>
      <c r="GZ7" s="1297">
        <v>10.9</v>
      </c>
      <c r="HA7" s="1292">
        <v>12.5</v>
      </c>
      <c r="HB7" s="1292">
        <v>16.5</v>
      </c>
      <c r="HC7" s="1292"/>
      <c r="HD7" s="1292">
        <v>5</v>
      </c>
      <c r="HE7" s="1297">
        <v>15.6</v>
      </c>
      <c r="HF7" s="1292"/>
      <c r="HG7" s="1297">
        <v>5</v>
      </c>
      <c r="HH7" s="1292">
        <v>5</v>
      </c>
      <c r="HI7" s="1292"/>
      <c r="HJ7" s="1292">
        <v>4.5</v>
      </c>
      <c r="HK7" s="1292">
        <v>4</v>
      </c>
      <c r="HL7" s="1292">
        <v>8.3000000000000007</v>
      </c>
      <c r="HM7" s="1292">
        <v>8.5</v>
      </c>
      <c r="HN7" s="1292">
        <v>8.5</v>
      </c>
      <c r="HO7" s="1292">
        <v>7</v>
      </c>
      <c r="HP7" s="1292">
        <v>4</v>
      </c>
      <c r="HQ7" s="1292">
        <v>2</v>
      </c>
      <c r="HR7" s="1297">
        <v>5.5</v>
      </c>
      <c r="HS7" s="1297">
        <v>1.7</v>
      </c>
    </row>
    <row r="8" spans="1:227" s="754" customFormat="1" ht="15.75" customHeight="1">
      <c r="A8" s="1392">
        <f>Eingabedaten!A14</f>
        <v>3.02</v>
      </c>
      <c r="B8" s="750" t="str">
        <f>Eingabedaten!C14</f>
        <v>Grossraumbüro</v>
      </c>
      <c r="C8" s="751" t="s">
        <v>5</v>
      </c>
      <c r="D8" s="753"/>
      <c r="E8" s="753"/>
      <c r="F8" s="753"/>
      <c r="G8" s="753"/>
      <c r="H8" s="752">
        <v>15</v>
      </c>
      <c r="I8" s="753"/>
      <c r="J8" s="753"/>
      <c r="K8" s="752"/>
      <c r="L8" s="753"/>
      <c r="M8" s="753"/>
      <c r="N8" s="753"/>
      <c r="O8" s="753"/>
      <c r="P8" s="753"/>
      <c r="Q8" s="753"/>
      <c r="R8" s="753"/>
      <c r="S8" s="753"/>
      <c r="T8" s="753"/>
      <c r="U8" s="753"/>
      <c r="V8" s="753"/>
      <c r="W8" s="753"/>
      <c r="X8" s="753"/>
      <c r="Y8" s="753"/>
      <c r="AA8" s="769">
        <f>1/Eingabedaten!AP14</f>
        <v>0.1</v>
      </c>
      <c r="AC8" s="773" t="s">
        <v>268</v>
      </c>
      <c r="AD8" s="774" t="s">
        <v>134</v>
      </c>
      <c r="AE8" s="1099">
        <f>SUMPRODUCT(KZ_Raum_2024!$I$7:$I$51,'Fläche-E'!D$3:D$47)/100*$AD$1</f>
        <v>11.516480000000003</v>
      </c>
      <c r="AF8" s="1053">
        <f>SUMPRODUCT(KZ_Raum_2024!$I$7:$I$51,'Fläche-E'!E$3:E$47)/100*$AD$1</f>
        <v>11.516480000000003</v>
      </c>
      <c r="AG8" s="1053">
        <f>SUMPRODUCT(KZ_Raum_2024!$I$7:$I$51,'Fläche-E'!F$3:F$47)/100*$AD$1</f>
        <v>17.491430095238098</v>
      </c>
      <c r="AH8" s="1053">
        <f>SUMPRODUCT(KZ_Raum_2024!$I$7:$I$51,'Fläche-E'!G$3:G$47)/100*$AD$1</f>
        <v>9.7551360000000003</v>
      </c>
      <c r="AI8" s="1053">
        <f>SUMPRODUCT(KZ_Raum_2024!$I$7:$I$51,'Fläche-E'!H$3:H$47)/100*$AD$1</f>
        <v>1.2664018285714287</v>
      </c>
      <c r="AJ8" s="1053">
        <f>SUMPRODUCT(KZ_Raum_2024!$I$7:$I$51,'Fläche-E'!I$3:I$47)/100*$AD$1</f>
        <v>1.6590649589823876</v>
      </c>
      <c r="AK8" s="1053">
        <f>SUMPRODUCT(KZ_Raum_2024!$I$7:$I$51,'Fläche-E'!J$3:J$47)/100*$AD$1</f>
        <v>1.6590649589823876</v>
      </c>
      <c r="AL8" s="1053">
        <f>SUMPRODUCT(KZ_Raum_2024!$I$7:$I$51,'Fläche-E'!K$3:K$47)/100*$AD$1</f>
        <v>1.2867679190606656</v>
      </c>
      <c r="AM8" s="1053">
        <f>SUMPRODUCT(KZ_Raum_2024!$I$7:$I$51,'Fläche-E'!L$3:L$47)/100*$AD$1</f>
        <v>1.4108914285714289</v>
      </c>
      <c r="AN8" s="1053">
        <f>SUMPRODUCT(KZ_Raum_2024!$I$7:$I$51,'Fläche-E'!M$3:M$47)/100*$AD$1</f>
        <v>1.4108914285714289</v>
      </c>
      <c r="AO8" s="1053">
        <f>SUMPRODUCT(KZ_Raum_2024!$I$7:$I$51,'Fläche-E'!N$3:N$47)/100*$AD$1</f>
        <v>1.4108914285714289</v>
      </c>
      <c r="AP8" s="1053">
        <f>SUMPRODUCT(KZ_Raum_2024!$I$7:$I$51,'Fläche-E'!O$3:O$47)/100*$AD$1</f>
        <v>0.80091702857142877</v>
      </c>
      <c r="AQ8" s="1053">
        <f>SUMPRODUCT(KZ_Raum_2024!$I$7:$I$51,'Fläche-E'!P$3:P$47)/100*$AD$1</f>
        <v>43.67340342857144</v>
      </c>
      <c r="AR8" s="1053">
        <f>SUMPRODUCT(KZ_Raum_2024!$I$7:$I$51,'Fläche-E'!Q$3:Q$47)/100*$AD$1</f>
        <v>3.5893714285714289</v>
      </c>
      <c r="AS8" s="1053">
        <f>SUMPRODUCT(KZ_Raum_2024!$I$7:$I$51,'Fläche-E'!R$3:R$47)/100*$AD$1</f>
        <v>21.781883428571433</v>
      </c>
      <c r="AT8" s="1053">
        <f>SUMPRODUCT(KZ_Raum_2024!$I$7:$I$51,'Fläche-E'!S$3:S$47)/100*$AD$1</f>
        <v>19.07212342857143</v>
      </c>
      <c r="AU8" s="1053">
        <f>SUMPRODUCT(KZ_Raum_2024!$I$7:$I$51,'Fläche-E'!T$3:T$47)/100*$AD$1</f>
        <v>27.201403428571435</v>
      </c>
      <c r="AV8" s="1053">
        <f>SUMPRODUCT(KZ_Raum_2024!$I$7:$I$51,'Fläche-E'!U$3:U$47)/100*$AD$1</f>
        <v>1.2664018285714287</v>
      </c>
      <c r="AW8" s="1053">
        <f>SUMPRODUCT(KZ_Raum_2024!$I$7:$I$51,'Fläche-E'!V$3:V$47)/100*$AD$1</f>
        <v>0.61244022857142866</v>
      </c>
      <c r="AX8" s="1053">
        <f>SUMPRODUCT(KZ_Raum_2024!$I$7:$I$51,'Fläche-E'!W$3:W$47)/100*$AD$1</f>
        <v>30.47042998356164</v>
      </c>
      <c r="AY8" s="781">
        <f>SUMPRODUCT(KZ_Raum_2024!$I$7:$I$51,'Fläche-E'!X$3:X$47)/100*$AD$1</f>
        <v>69.815163428571452</v>
      </c>
      <c r="AZ8" s="1054">
        <f>SUMPRODUCT(KZ_Raum_2024!$I$7:$I$51,'Fläche-E'!Y$3:Y$47)/100*$AD$1</f>
        <v>0</v>
      </c>
      <c r="BC8" s="755" t="s">
        <v>517</v>
      </c>
      <c r="BD8" s="756" t="s">
        <v>1101</v>
      </c>
      <c r="BE8" s="751">
        <v>28</v>
      </c>
      <c r="BF8" s="751"/>
      <c r="BG8" s="751"/>
      <c r="BH8" s="751">
        <v>22</v>
      </c>
      <c r="BI8" s="751">
        <v>22</v>
      </c>
      <c r="BJ8" s="751">
        <v>11</v>
      </c>
      <c r="BK8" s="751"/>
      <c r="BL8" s="751"/>
      <c r="BM8" s="751">
        <v>33</v>
      </c>
      <c r="BN8" s="751"/>
      <c r="BO8" s="751"/>
      <c r="BP8" s="751"/>
      <c r="BQ8" s="751">
        <v>33</v>
      </c>
      <c r="BR8" s="751">
        <v>17</v>
      </c>
      <c r="BS8" s="751">
        <v>28</v>
      </c>
      <c r="BT8" s="751"/>
      <c r="BU8" s="751"/>
      <c r="BV8" s="751">
        <v>17</v>
      </c>
      <c r="BW8" s="751">
        <v>6</v>
      </c>
      <c r="BX8" s="751">
        <v>6</v>
      </c>
      <c r="BY8" s="751">
        <v>56</v>
      </c>
      <c r="BZ8" s="751"/>
      <c r="CB8" s="755" t="s">
        <v>1403</v>
      </c>
      <c r="CC8" s="756" t="s">
        <v>1101</v>
      </c>
      <c r="CD8" s="762">
        <f>ROUND(AE10+AE11,0)</f>
        <v>23</v>
      </c>
      <c r="CE8" s="762"/>
      <c r="CF8" s="751"/>
      <c r="CG8" s="759">
        <f t="shared" ref="CG8:CX8" si="42">ROUND(AH10+AH11,0)</f>
        <v>18</v>
      </c>
      <c r="CH8" s="758">
        <f t="shared" si="42"/>
        <v>31</v>
      </c>
      <c r="CI8" s="758">
        <f t="shared" si="42"/>
        <v>19</v>
      </c>
      <c r="CJ8" s="758">
        <f t="shared" si="42"/>
        <v>19</v>
      </c>
      <c r="CK8" s="758">
        <f t="shared" si="42"/>
        <v>30</v>
      </c>
      <c r="CL8" s="758">
        <f t="shared" si="42"/>
        <v>40</v>
      </c>
      <c r="CM8" s="751">
        <f t="shared" si="42"/>
        <v>41</v>
      </c>
      <c r="CN8" s="751">
        <f t="shared" si="42"/>
        <v>40</v>
      </c>
      <c r="CO8" s="751">
        <f t="shared" si="42"/>
        <v>35</v>
      </c>
      <c r="CP8" s="761">
        <f>ROUND(AQ10+AQ11,0)</f>
        <v>29</v>
      </c>
      <c r="CQ8" s="758">
        <f t="shared" si="42"/>
        <v>31</v>
      </c>
      <c r="CR8" s="758">
        <f t="shared" si="42"/>
        <v>32</v>
      </c>
      <c r="CS8" s="758">
        <f t="shared" si="42"/>
        <v>33</v>
      </c>
      <c r="CT8" s="758">
        <f t="shared" si="42"/>
        <v>30</v>
      </c>
      <c r="CU8" s="758">
        <f t="shared" si="42"/>
        <v>25</v>
      </c>
      <c r="CV8" s="758">
        <f t="shared" si="42"/>
        <v>19</v>
      </c>
      <c r="CW8" s="758">
        <f t="shared" si="42"/>
        <v>18</v>
      </c>
      <c r="CX8" s="759">
        <f t="shared" si="42"/>
        <v>29</v>
      </c>
      <c r="CY8" s="759"/>
      <c r="DB8" s="755" t="s">
        <v>268</v>
      </c>
      <c r="DC8" s="756" t="s">
        <v>134</v>
      </c>
      <c r="DD8" s="751">
        <v>16</v>
      </c>
      <c r="DE8" s="751"/>
      <c r="DF8" s="751"/>
      <c r="DG8" s="751"/>
      <c r="DH8" s="751">
        <v>2</v>
      </c>
      <c r="DI8" s="751">
        <v>3</v>
      </c>
      <c r="DJ8" s="751"/>
      <c r="DK8" s="751"/>
      <c r="DL8" s="751"/>
      <c r="DM8" s="751">
        <v>2</v>
      </c>
      <c r="DN8" s="751">
        <v>2</v>
      </c>
      <c r="DO8" s="751"/>
      <c r="DP8" s="751">
        <v>59</v>
      </c>
      <c r="DQ8" s="750"/>
      <c r="DR8" s="750"/>
      <c r="DS8" s="750"/>
      <c r="DT8" s="750"/>
      <c r="DU8" s="750"/>
      <c r="DV8" s="750"/>
      <c r="DW8" s="750"/>
      <c r="DZ8" s="773" t="s">
        <v>1058</v>
      </c>
      <c r="EA8" s="754" t="s">
        <v>134</v>
      </c>
      <c r="EB8" s="769">
        <f>SUM(EB3:EB7)</f>
        <v>72</v>
      </c>
      <c r="EC8" s="769"/>
      <c r="ED8" s="769"/>
      <c r="EE8" s="769">
        <f>SUM(EE3:EE7)</f>
        <v>70</v>
      </c>
      <c r="EF8" s="769">
        <f>SUM(EF3:EF7)</f>
        <v>137</v>
      </c>
      <c r="EG8" s="769">
        <f>SUM(EG3:EG7)</f>
        <v>72</v>
      </c>
      <c r="EH8" s="769"/>
      <c r="EI8" s="769"/>
      <c r="EJ8" s="769">
        <f>SUM(EJ3:EJ7)</f>
        <v>156</v>
      </c>
      <c r="EK8" s="769"/>
      <c r="EL8" s="769"/>
      <c r="EM8" s="769"/>
      <c r="EN8" s="769">
        <f t="shared" ref="EN8:EU8" si="43">SUM(EN3:EN7)</f>
        <v>123</v>
      </c>
      <c r="EO8" s="769">
        <f t="shared" si="43"/>
        <v>74</v>
      </c>
      <c r="EP8" s="769">
        <f t="shared" si="43"/>
        <v>141</v>
      </c>
      <c r="EQ8" s="769"/>
      <c r="ER8" s="769"/>
      <c r="ES8" s="769">
        <f t="shared" si="43"/>
        <v>84</v>
      </c>
      <c r="ET8" s="769">
        <f t="shared" si="43"/>
        <v>62</v>
      </c>
      <c r="EU8" s="769">
        <f t="shared" si="43"/>
        <v>57</v>
      </c>
      <c r="EX8" s="857" t="s">
        <v>1058</v>
      </c>
      <c r="EY8" s="858" t="s">
        <v>134</v>
      </c>
      <c r="EZ8" s="859">
        <f t="shared" si="22"/>
        <v>36</v>
      </c>
      <c r="FA8" s="859">
        <f t="shared" si="23"/>
        <v>0</v>
      </c>
      <c r="FB8" s="859">
        <f t="shared" si="23"/>
        <v>0</v>
      </c>
      <c r="FC8" s="859">
        <f t="shared" si="23"/>
        <v>35</v>
      </c>
      <c r="FD8" s="859">
        <f t="shared" si="23"/>
        <v>68.5</v>
      </c>
      <c r="FE8" s="859">
        <f t="shared" si="23"/>
        <v>36</v>
      </c>
      <c r="FF8" s="859">
        <f t="shared" si="23"/>
        <v>0</v>
      </c>
      <c r="FG8" s="859">
        <f t="shared" si="23"/>
        <v>0</v>
      </c>
      <c r="FH8" s="859">
        <f t="shared" si="23"/>
        <v>78</v>
      </c>
      <c r="FI8" s="859">
        <f t="shared" si="23"/>
        <v>0</v>
      </c>
      <c r="FJ8" s="859">
        <f t="shared" si="23"/>
        <v>0</v>
      </c>
      <c r="FK8" s="859">
        <f t="shared" si="24"/>
        <v>0</v>
      </c>
      <c r="FL8" s="859">
        <f t="shared" si="24"/>
        <v>61.5</v>
      </c>
      <c r="FM8" s="859">
        <f t="shared" si="24"/>
        <v>37</v>
      </c>
      <c r="FN8" s="859">
        <f t="shared" si="24"/>
        <v>70.5</v>
      </c>
      <c r="FO8" s="859">
        <f t="shared" si="24"/>
        <v>0</v>
      </c>
      <c r="FP8" s="859">
        <f t="shared" si="24"/>
        <v>0</v>
      </c>
      <c r="FQ8" s="859">
        <f t="shared" si="24"/>
        <v>42</v>
      </c>
      <c r="FR8" s="859">
        <f t="shared" si="24"/>
        <v>31</v>
      </c>
      <c r="FS8" s="859">
        <f t="shared" si="24"/>
        <v>28.5</v>
      </c>
      <c r="FT8" s="774">
        <f t="shared" si="25"/>
        <v>0</v>
      </c>
      <c r="FU8" s="754">
        <f t="shared" si="26"/>
        <v>0</v>
      </c>
      <c r="FW8" s="775" t="s">
        <v>1181</v>
      </c>
      <c r="FX8" s="754" t="s">
        <v>134</v>
      </c>
      <c r="FY8" s="1055">
        <f>AE9</f>
        <v>0</v>
      </c>
      <c r="FZ8" s="1055">
        <f t="shared" ref="FZ8:GT8" si="44">AF9</f>
        <v>0</v>
      </c>
      <c r="GA8" s="1055">
        <f t="shared" si="44"/>
        <v>0</v>
      </c>
      <c r="GB8" s="1055">
        <f t="shared" si="44"/>
        <v>0</v>
      </c>
      <c r="GC8" s="1055">
        <f t="shared" si="44"/>
        <v>8.4120000000000008</v>
      </c>
      <c r="GD8" s="1055">
        <f t="shared" si="44"/>
        <v>0</v>
      </c>
      <c r="GE8" s="1055">
        <f t="shared" si="44"/>
        <v>0</v>
      </c>
      <c r="GF8" s="1055">
        <f t="shared" si="44"/>
        <v>8.4120000000000008</v>
      </c>
      <c r="GG8" s="1055">
        <f t="shared" si="44"/>
        <v>0</v>
      </c>
      <c r="GH8" s="1055">
        <f t="shared" si="44"/>
        <v>197.56800000000001</v>
      </c>
      <c r="GI8" s="1055">
        <f t="shared" si="44"/>
        <v>0</v>
      </c>
      <c r="GJ8" s="1055">
        <f t="shared" si="44"/>
        <v>0</v>
      </c>
      <c r="GK8" s="1055">
        <f t="shared" si="44"/>
        <v>43.544000000000004</v>
      </c>
      <c r="GL8" s="1055">
        <f t="shared" si="44"/>
        <v>0</v>
      </c>
      <c r="GM8" s="1055">
        <f t="shared" si="44"/>
        <v>2.6160000000000001</v>
      </c>
      <c r="GN8" s="1055">
        <f>AT9</f>
        <v>3.9240000000000004</v>
      </c>
      <c r="GO8" s="1055">
        <f t="shared" si="44"/>
        <v>1.3080000000000001</v>
      </c>
      <c r="GP8" s="1055">
        <f t="shared" si="44"/>
        <v>13.792</v>
      </c>
      <c r="GQ8" s="1055">
        <f t="shared" si="44"/>
        <v>0</v>
      </c>
      <c r="GR8" s="1055">
        <f t="shared" si="44"/>
        <v>0</v>
      </c>
      <c r="GS8" s="1055">
        <f t="shared" si="44"/>
        <v>163.68</v>
      </c>
      <c r="GT8" s="1055">
        <f t="shared" si="44"/>
        <v>0</v>
      </c>
      <c r="GV8" s="775" t="s">
        <v>1298</v>
      </c>
      <c r="GW8" s="754" t="s">
        <v>134</v>
      </c>
      <c r="GX8" s="724"/>
      <c r="GY8" s="1292"/>
      <c r="GZ8" s="1297">
        <v>44</v>
      </c>
      <c r="HA8" s="1292"/>
      <c r="HB8" s="1292"/>
      <c r="HC8" s="1292"/>
      <c r="HD8" s="1292"/>
      <c r="HE8" s="1297">
        <v>10</v>
      </c>
      <c r="HF8" s="1292"/>
      <c r="HG8" s="1297">
        <v>200</v>
      </c>
      <c r="HH8" s="1292"/>
      <c r="HI8" s="1292"/>
      <c r="HJ8" s="1292"/>
      <c r="HK8" s="1292"/>
      <c r="HL8" s="1292"/>
      <c r="HM8" s="1292">
        <v>35</v>
      </c>
      <c r="HN8" s="1292">
        <v>35</v>
      </c>
      <c r="HO8" s="1292">
        <v>100</v>
      </c>
      <c r="HP8" s="1292"/>
      <c r="HQ8" s="1292"/>
      <c r="HR8" s="1297">
        <v>700</v>
      </c>
      <c r="HS8" s="1297"/>
    </row>
    <row r="9" spans="1:227" s="754" customFormat="1" ht="15.75" customHeight="1">
      <c r="A9" s="1392">
        <f>Eingabedaten!A15</f>
        <v>3.03</v>
      </c>
      <c r="B9" s="750" t="str">
        <f>Eingabedaten!C15</f>
        <v>Sitzungszimmer</v>
      </c>
      <c r="C9" s="751" t="s">
        <v>5</v>
      </c>
      <c r="D9" s="753"/>
      <c r="E9" s="753"/>
      <c r="F9" s="753">
        <v>5</v>
      </c>
      <c r="G9" s="753"/>
      <c r="H9" s="752">
        <v>5</v>
      </c>
      <c r="I9" s="753"/>
      <c r="J9" s="753"/>
      <c r="K9" s="752">
        <v>5</v>
      </c>
      <c r="L9" s="753"/>
      <c r="M9" s="753"/>
      <c r="N9" s="753"/>
      <c r="O9" s="753"/>
      <c r="P9" s="753"/>
      <c r="Q9" s="753"/>
      <c r="R9" s="753"/>
      <c r="S9" s="753"/>
      <c r="T9" s="753"/>
      <c r="U9" s="753"/>
      <c r="V9" s="753"/>
      <c r="W9" s="753"/>
      <c r="X9" s="753"/>
      <c r="Y9" s="753"/>
      <c r="AA9" s="809">
        <v>0</v>
      </c>
      <c r="AC9" s="773" t="s">
        <v>1181</v>
      </c>
      <c r="AD9" s="774" t="s">
        <v>134</v>
      </c>
      <c r="AE9" s="1099">
        <f>SUMPRODUCT(KZ_Raum_2024!$D$7:$D$51,'Fläche-E'!D$3:D$47)/100*$AD$1</f>
        <v>0</v>
      </c>
      <c r="AF9" s="1053">
        <f>SUMPRODUCT(KZ_Raum_2024!$D$7:$D$51,'Fläche-E'!E$3:E$47)/100*$AD$1</f>
        <v>0</v>
      </c>
      <c r="AG9" s="1053">
        <f>SUMPRODUCT(KZ_Raum_2024!$D$7:$D$51,'Fläche-E'!F$3:F$47)/100*$AD$1</f>
        <v>0</v>
      </c>
      <c r="AH9" s="1053">
        <f>SUMPRODUCT(KZ_Raum_2024!$D$7:$D$51,'Fläche-E'!G$3:G$47)/100*$AD$1</f>
        <v>0</v>
      </c>
      <c r="AI9" s="1053">
        <f>SUMPRODUCT(KZ_Raum_2024!$D$7:$D$51,'Fläche-E'!H$3:H$47)/100*$AD$1</f>
        <v>8.4120000000000008</v>
      </c>
      <c r="AJ9" s="1053">
        <f>SUMPRODUCT(KZ_Raum_2024!$D$7:$D$51,'Fläche-E'!I$3:I$47)/100*$AD$1</f>
        <v>0</v>
      </c>
      <c r="AK9" s="1053">
        <f>SUMPRODUCT(KZ_Raum_2024!$D$7:$D$51,'Fläche-E'!J$3:J$47)/100*$AD$1</f>
        <v>0</v>
      </c>
      <c r="AL9" s="1053">
        <f>SUMPRODUCT(KZ_Raum_2024!$D$7:$D$51,'Fläche-E'!K$3:K$47)/100*$AD$1</f>
        <v>8.4120000000000008</v>
      </c>
      <c r="AM9" s="1053">
        <f>SUMPRODUCT(KZ_Raum_2024!$D$7:$D$51,'Fläche-E'!L$3:L$47)/100*$AD$1</f>
        <v>0</v>
      </c>
      <c r="AN9" s="780">
        <f>SUMPRODUCT(KZ_Raum_2024!$D$7:$D$51,'Fläche-E'!M$3:M$47)/100*$AD$1</f>
        <v>197.56800000000001</v>
      </c>
      <c r="AO9" s="1053">
        <f>SUMPRODUCT(KZ_Raum_2024!$D$7:$D$51,'Fläche-E'!N$3:N$47)/100*$AD$1</f>
        <v>0</v>
      </c>
      <c r="AP9" s="1053">
        <f>SUMPRODUCT(KZ_Raum_2024!$D$7:$D$51,'Fläche-E'!O$3:O$47)/100*$AD$1</f>
        <v>0</v>
      </c>
      <c r="AQ9" s="1053">
        <f>SUMPRODUCT(KZ_Raum_2024!$D$7:$D$51,'Fläche-E'!P$3:P$47)/100*$AD$1</f>
        <v>43.544000000000004</v>
      </c>
      <c r="AR9" s="1053">
        <f>SUMPRODUCT(KZ_Raum_2024!$D$7:$D$51,'Fläche-E'!Q$3:Q$47)/100*$AD$1</f>
        <v>0</v>
      </c>
      <c r="AS9" s="1053">
        <f>SUMPRODUCT(KZ_Raum_2024!$D$7:$D$51,'Fläche-E'!R$3:R$47)/100*$AD$1</f>
        <v>2.6160000000000001</v>
      </c>
      <c r="AT9" s="1053">
        <f>SUMPRODUCT(KZ_Raum_2024!$D$7:$D$51,'Fläche-E'!S$3:S$47)/100*$AD$1</f>
        <v>3.9240000000000004</v>
      </c>
      <c r="AU9" s="1053">
        <f>SUMPRODUCT(KZ_Raum_2024!$D$7:$D$51,'Fläche-E'!T$3:T$47)/100*$AD$1</f>
        <v>1.3080000000000001</v>
      </c>
      <c r="AV9" s="1053">
        <f>SUMPRODUCT(KZ_Raum_2024!$D$7:$D$51,'Fläche-E'!U$3:U$47)/100*$AD$1</f>
        <v>13.792</v>
      </c>
      <c r="AW9" s="1053">
        <f>SUMPRODUCT(KZ_Raum_2024!$D$7:$D$51,'Fläche-E'!V$3:V$47)/100*$AD$1</f>
        <v>0</v>
      </c>
      <c r="AX9" s="1053">
        <f>SUMPRODUCT(KZ_Raum_2024!$D$7:$D$51,'Fläche-E'!W$3:W$47)/100*$AD$1</f>
        <v>0</v>
      </c>
      <c r="AY9" s="781">
        <f>SUMPRODUCT(KZ_Raum_2024!$D$7:$D$51,'Fläche-E'!X$3:X$47)/100*$AD$1</f>
        <v>163.68</v>
      </c>
      <c r="AZ9" s="1054">
        <f>SUMPRODUCT(KZ_Raum_2024!$D$7:$D$51,'Fläche-E'!Y$3:Y$47)/100*$AD$1</f>
        <v>0</v>
      </c>
      <c r="BC9" s="755" t="s">
        <v>1099</v>
      </c>
      <c r="BD9" s="756" t="s">
        <v>16</v>
      </c>
      <c r="BE9" s="751">
        <v>0.7</v>
      </c>
      <c r="BF9" s="751"/>
      <c r="BG9" s="751"/>
      <c r="BH9" s="751">
        <v>0.7</v>
      </c>
      <c r="BI9" s="751">
        <v>0.9</v>
      </c>
      <c r="BJ9" s="751">
        <v>0.9</v>
      </c>
      <c r="BK9" s="751"/>
      <c r="BL9" s="751"/>
      <c r="BM9" s="751">
        <v>0.8</v>
      </c>
      <c r="BN9" s="751"/>
      <c r="BO9" s="751"/>
      <c r="BP9" s="751"/>
      <c r="BQ9" s="751">
        <v>0.7</v>
      </c>
      <c r="BR9" s="751">
        <v>0.8</v>
      </c>
      <c r="BS9" s="751">
        <v>0.7</v>
      </c>
      <c r="BT9" s="751"/>
      <c r="BU9" s="751"/>
      <c r="BV9" s="751">
        <v>0.9</v>
      </c>
      <c r="BW9" s="751">
        <v>0.9</v>
      </c>
      <c r="BX9" s="751">
        <v>0.9</v>
      </c>
      <c r="BY9" s="751">
        <v>0.7</v>
      </c>
      <c r="BZ9" s="751"/>
      <c r="CB9" s="755" t="s">
        <v>1099</v>
      </c>
      <c r="CC9" s="756" t="s">
        <v>16</v>
      </c>
      <c r="CD9" s="767">
        <f>ROUND((AE3+AE4)/CD8,1)</f>
        <v>0.7</v>
      </c>
      <c r="CE9" s="813"/>
      <c r="CF9" s="813"/>
      <c r="CG9" s="767">
        <f t="shared" ref="CG9:CO9" si="45">ROUND((AH3+AH4)/CG8,1)</f>
        <v>0.8</v>
      </c>
      <c r="CH9" s="766">
        <f t="shared" si="45"/>
        <v>0.8</v>
      </c>
      <c r="CI9" s="766">
        <f t="shared" si="45"/>
        <v>0.7</v>
      </c>
      <c r="CJ9" s="766">
        <f t="shared" si="45"/>
        <v>0.7</v>
      </c>
      <c r="CK9" s="766">
        <f t="shared" si="45"/>
        <v>0.6</v>
      </c>
      <c r="CL9" s="813">
        <f t="shared" si="45"/>
        <v>0.7</v>
      </c>
      <c r="CM9" s="813">
        <f t="shared" si="45"/>
        <v>0.7</v>
      </c>
      <c r="CN9" s="813">
        <f t="shared" si="45"/>
        <v>0.7</v>
      </c>
      <c r="CO9" s="813">
        <f t="shared" si="45"/>
        <v>0.7</v>
      </c>
      <c r="CP9" s="766">
        <f>ROUND((AQ3+AQ4)/CP8,1)</f>
        <v>0.5</v>
      </c>
      <c r="CQ9" s="766">
        <f t="shared" ref="CQ9:CX9" si="46">ROUND((AR3+AR4)/CQ8,1)</f>
        <v>0.6</v>
      </c>
      <c r="CR9" s="766">
        <f t="shared" si="46"/>
        <v>0.6</v>
      </c>
      <c r="CS9" s="766">
        <f t="shared" si="46"/>
        <v>0.6</v>
      </c>
      <c r="CT9" s="766">
        <f t="shared" si="46"/>
        <v>0.6</v>
      </c>
      <c r="CU9" s="766">
        <f t="shared" si="46"/>
        <v>0.6</v>
      </c>
      <c r="CV9" s="813">
        <f t="shared" si="46"/>
        <v>0.8</v>
      </c>
      <c r="CW9" s="766">
        <f t="shared" si="46"/>
        <v>0.7</v>
      </c>
      <c r="CX9" s="766">
        <f t="shared" si="46"/>
        <v>0.5</v>
      </c>
      <c r="CY9" s="759"/>
      <c r="DB9" s="764" t="s">
        <v>1097</v>
      </c>
      <c r="DC9" s="756" t="s">
        <v>134</v>
      </c>
      <c r="DD9" s="813">
        <f>DD8-AE8</f>
        <v>4.4835199999999968</v>
      </c>
      <c r="DE9" s="751"/>
      <c r="DF9" s="751"/>
      <c r="DG9" s="751"/>
      <c r="DH9" s="813">
        <f>DH8-AI8</f>
        <v>0.73359817142857131</v>
      </c>
      <c r="DI9" s="813">
        <f>DI8-AJ8</f>
        <v>1.3409350410176124</v>
      </c>
      <c r="DJ9" s="751"/>
      <c r="DK9" s="751"/>
      <c r="DL9" s="751"/>
      <c r="DM9" s="813">
        <f>DM8-AN8</f>
        <v>0.58910857142857109</v>
      </c>
      <c r="DN9" s="813">
        <f>DN8-AO8</f>
        <v>0.58910857142857109</v>
      </c>
      <c r="DO9" s="751"/>
      <c r="DP9" s="813">
        <f>DP8-AQ8</f>
        <v>15.32659657142856</v>
      </c>
      <c r="DQ9" s="750"/>
      <c r="DR9" s="750"/>
      <c r="DS9" s="750"/>
      <c r="DT9" s="750"/>
      <c r="DU9" s="750"/>
      <c r="DV9" s="750"/>
      <c r="DW9" s="750"/>
      <c r="DZ9" s="800" t="s">
        <v>1146</v>
      </c>
      <c r="EA9" s="797" t="s">
        <v>134</v>
      </c>
      <c r="EB9" s="807">
        <v>55</v>
      </c>
      <c r="EC9" s="807"/>
      <c r="ED9" s="807"/>
      <c r="EE9" s="807">
        <v>55</v>
      </c>
      <c r="EF9" s="807">
        <v>110</v>
      </c>
      <c r="EG9" s="807">
        <v>45</v>
      </c>
      <c r="EH9" s="807"/>
      <c r="EI9" s="807"/>
      <c r="EJ9" s="807">
        <v>120</v>
      </c>
      <c r="EK9" s="807"/>
      <c r="EL9" s="807"/>
      <c r="EM9" s="807"/>
      <c r="EN9" s="807">
        <v>100</v>
      </c>
      <c r="EO9" s="807">
        <v>55</v>
      </c>
      <c r="EP9" s="807">
        <v>110</v>
      </c>
      <c r="EQ9" s="807"/>
      <c r="ER9" s="807"/>
      <c r="ES9" s="807">
        <v>80</v>
      </c>
      <c r="ET9" s="807">
        <v>55</v>
      </c>
      <c r="EU9" s="807">
        <v>55</v>
      </c>
      <c r="EX9" s="800" t="s">
        <v>1203</v>
      </c>
      <c r="EY9" s="797" t="s">
        <v>134</v>
      </c>
      <c r="EZ9" s="807">
        <f>EB9/2</f>
        <v>27.5</v>
      </c>
      <c r="FA9" s="807">
        <f t="shared" si="23"/>
        <v>0</v>
      </c>
      <c r="FB9" s="807">
        <f t="shared" si="23"/>
        <v>0</v>
      </c>
      <c r="FC9" s="807">
        <f t="shared" si="23"/>
        <v>27.5</v>
      </c>
      <c r="FD9" s="807">
        <f t="shared" si="23"/>
        <v>55</v>
      </c>
      <c r="FE9" s="807">
        <f t="shared" si="23"/>
        <v>22.5</v>
      </c>
      <c r="FF9" s="807">
        <f t="shared" si="23"/>
        <v>0</v>
      </c>
      <c r="FG9" s="807">
        <f t="shared" si="23"/>
        <v>0</v>
      </c>
      <c r="FH9" s="807">
        <f t="shared" si="23"/>
        <v>60</v>
      </c>
      <c r="FI9" s="807">
        <f t="shared" si="23"/>
        <v>0</v>
      </c>
      <c r="FJ9" s="807">
        <f t="shared" si="23"/>
        <v>0</v>
      </c>
      <c r="FK9" s="807">
        <f t="shared" si="24"/>
        <v>0</v>
      </c>
      <c r="FL9" s="807">
        <f t="shared" si="24"/>
        <v>50</v>
      </c>
      <c r="FM9" s="807">
        <f t="shared" si="24"/>
        <v>27.5</v>
      </c>
      <c r="FN9" s="807">
        <f t="shared" si="24"/>
        <v>55</v>
      </c>
      <c r="FO9" s="807">
        <f t="shared" si="24"/>
        <v>0</v>
      </c>
      <c r="FP9" s="807">
        <f t="shared" si="24"/>
        <v>0</v>
      </c>
      <c r="FQ9" s="807">
        <f t="shared" si="24"/>
        <v>40</v>
      </c>
      <c r="FR9" s="807">
        <f t="shared" si="24"/>
        <v>27.5</v>
      </c>
      <c r="FS9" s="807">
        <f t="shared" si="24"/>
        <v>27.5</v>
      </c>
      <c r="FT9" s="801">
        <f t="shared" si="25"/>
        <v>0</v>
      </c>
      <c r="FU9" s="797">
        <f t="shared" si="26"/>
        <v>0</v>
      </c>
      <c r="FV9" s="797"/>
      <c r="FW9" s="773" t="s">
        <v>17</v>
      </c>
      <c r="FX9" s="754" t="s">
        <v>134</v>
      </c>
      <c r="FY9" s="808">
        <f t="shared" ref="FY9:GT9" si="47">AE4</f>
        <v>2.1526810000000007</v>
      </c>
      <c r="FZ9" s="808">
        <f t="shared" si="47"/>
        <v>2.1526810000000007</v>
      </c>
      <c r="GA9" s="808">
        <f t="shared" si="47"/>
        <v>4.8560016666666677</v>
      </c>
      <c r="GB9" s="808">
        <f t="shared" si="47"/>
        <v>2.0766882222222227</v>
      </c>
      <c r="GC9" s="808">
        <f t="shared" si="47"/>
        <v>7.7446394666666665</v>
      </c>
      <c r="GD9" s="808">
        <f t="shared" si="47"/>
        <v>6.6046965079365085</v>
      </c>
      <c r="GE9" s="808">
        <f t="shared" si="47"/>
        <v>6.6046965079365085</v>
      </c>
      <c r="GF9" s="808">
        <f t="shared" si="47"/>
        <v>7.0316882857142859</v>
      </c>
      <c r="GG9" s="808">
        <f t="shared" si="47"/>
        <v>23.952625644444446</v>
      </c>
      <c r="GH9" s="808">
        <f t="shared" si="47"/>
        <v>23.902055481481479</v>
      </c>
      <c r="GI9" s="808">
        <f t="shared" si="47"/>
        <v>23.952625644444446</v>
      </c>
      <c r="GJ9" s="808">
        <f t="shared" si="47"/>
        <v>19.481929644444445</v>
      </c>
      <c r="GK9" s="808">
        <f t="shared" si="47"/>
        <v>8.2536205925925898</v>
      </c>
      <c r="GL9" s="808">
        <f t="shared" si="47"/>
        <v>12.695978666666667</v>
      </c>
      <c r="GM9" s="808">
        <f t="shared" si="47"/>
        <v>9.9211164444444488</v>
      </c>
      <c r="GN9" s="808">
        <f t="shared" si="47"/>
        <v>10.714216444444446</v>
      </c>
      <c r="GO9" s="808">
        <f t="shared" si="47"/>
        <v>8.7956600000000034</v>
      </c>
      <c r="GP9" s="808">
        <f t="shared" si="47"/>
        <v>8.0409199555555553</v>
      </c>
      <c r="GQ9" s="808">
        <f t="shared" si="47"/>
        <v>10.363536810256413</v>
      </c>
      <c r="GR9" s="808">
        <f t="shared" si="47"/>
        <v>10.715725333333332</v>
      </c>
      <c r="GS9" s="808">
        <f t="shared" si="47"/>
        <v>9.2755991111111129</v>
      </c>
      <c r="GT9" s="808">
        <f t="shared" si="47"/>
        <v>1.1488220170940169</v>
      </c>
      <c r="GV9" s="773" t="s">
        <v>17</v>
      </c>
      <c r="GW9" s="754" t="s">
        <v>134</v>
      </c>
      <c r="GX9" s="724"/>
      <c r="GY9" s="1292">
        <v>5.5</v>
      </c>
      <c r="GZ9" s="1297">
        <v>6.2</v>
      </c>
      <c r="HA9" s="1292">
        <v>5.5</v>
      </c>
      <c r="HB9" s="1292">
        <v>10.1</v>
      </c>
      <c r="HC9" s="1292"/>
      <c r="HD9" s="1292">
        <v>8.5</v>
      </c>
      <c r="HE9" s="1297">
        <v>9</v>
      </c>
      <c r="HF9" s="1292"/>
      <c r="HG9" s="1297">
        <v>30.5</v>
      </c>
      <c r="HH9" s="1292">
        <v>30.5</v>
      </c>
      <c r="HI9" s="1292"/>
      <c r="HJ9" s="1292">
        <v>10.5</v>
      </c>
      <c r="HK9" s="1292">
        <v>16.5</v>
      </c>
      <c r="HL9" s="1292"/>
      <c r="HM9" s="1292">
        <v>13.5</v>
      </c>
      <c r="HN9" s="1292">
        <v>11</v>
      </c>
      <c r="HO9" s="1292">
        <v>13.4</v>
      </c>
      <c r="HP9" s="1292">
        <v>18.5</v>
      </c>
      <c r="HQ9" s="1292">
        <v>13.8</v>
      </c>
      <c r="HR9" s="1297">
        <v>11.9</v>
      </c>
      <c r="HS9" s="1297">
        <v>2</v>
      </c>
    </row>
    <row r="10" spans="1:227" s="754" customFormat="1" ht="15.75" customHeight="1">
      <c r="A10" s="1392">
        <f>Eingabedaten!A16</f>
        <v>3.04</v>
      </c>
      <c r="B10" s="750" t="str">
        <f>Eingabedaten!C16</f>
        <v>Schalterhalle, Empfang</v>
      </c>
      <c r="C10" s="751" t="s">
        <v>5</v>
      </c>
      <c r="D10" s="753"/>
      <c r="E10" s="753"/>
      <c r="F10" s="753"/>
      <c r="G10" s="753"/>
      <c r="H10" s="753">
        <v>5</v>
      </c>
      <c r="I10" s="753"/>
      <c r="J10" s="753"/>
      <c r="K10" s="752">
        <v>5</v>
      </c>
      <c r="L10" s="753"/>
      <c r="M10" s="753"/>
      <c r="N10" s="753"/>
      <c r="O10" s="753"/>
      <c r="P10" s="753"/>
      <c r="Q10" s="753"/>
      <c r="R10" s="753"/>
      <c r="S10" s="753"/>
      <c r="T10" s="753"/>
      <c r="U10" s="753"/>
      <c r="V10" s="753"/>
      <c r="W10" s="753"/>
      <c r="X10" s="753"/>
      <c r="Y10" s="753"/>
      <c r="AA10" s="769">
        <f>1/Eingabedaten!AP16</f>
        <v>8.3333333333333329E-2</v>
      </c>
      <c r="AC10" s="773" t="s">
        <v>1402</v>
      </c>
      <c r="AD10" s="774" t="s">
        <v>134</v>
      </c>
      <c r="AE10" s="1100">
        <f>SUM(AE3:AE5)</f>
        <v>19.629388200000005</v>
      </c>
      <c r="AF10" s="780">
        <f>SUM(AF3:AF5)</f>
        <v>19.629388200000005</v>
      </c>
      <c r="AG10" s="780">
        <f t="shared" ref="AG10:AZ10" si="48">SUM(AG3:AG5)</f>
        <v>21.833027571428577</v>
      </c>
      <c r="AH10" s="780">
        <f t="shared" si="48"/>
        <v>16.442044382222221</v>
      </c>
      <c r="AI10" s="780">
        <f>SUM(AI3:AI5)</f>
        <v>28.085115904761906</v>
      </c>
      <c r="AJ10" s="780">
        <f t="shared" si="48"/>
        <v>15.93825067936508</v>
      </c>
      <c r="AK10" s="780">
        <f>SUM(AK3:AK5)</f>
        <v>15.93825067936508</v>
      </c>
      <c r="AL10" s="780">
        <f>SUM(AL3:AL5)</f>
        <v>21.863951695238097</v>
      </c>
      <c r="AM10" s="780">
        <f t="shared" si="48"/>
        <v>32.711065815873013</v>
      </c>
      <c r="AN10" s="780">
        <f t="shared" si="48"/>
        <v>33.015394852910049</v>
      </c>
      <c r="AO10" s="780">
        <f t="shared" si="48"/>
        <v>32.711065815873013</v>
      </c>
      <c r="AP10" s="780">
        <f t="shared" si="48"/>
        <v>27.712083815873015</v>
      </c>
      <c r="AQ10" s="780">
        <f t="shared" si="48"/>
        <v>20.214781964021164</v>
      </c>
      <c r="AR10" s="780">
        <f t="shared" si="48"/>
        <v>27.430779238095237</v>
      </c>
      <c r="AS10" s="780">
        <f t="shared" si="48"/>
        <v>23.513586349206353</v>
      </c>
      <c r="AT10" s="780">
        <f t="shared" ref="AT10:AU10" si="49">SUM(AT3:AT5)</f>
        <v>25.243174349206353</v>
      </c>
      <c r="AU10" s="780">
        <f t="shared" si="49"/>
        <v>22.175593904761907</v>
      </c>
      <c r="AV10" s="780">
        <f t="shared" si="48"/>
        <v>18.26552283809524</v>
      </c>
      <c r="AW10" s="780">
        <f t="shared" si="48"/>
        <v>17.011624581684984</v>
      </c>
      <c r="AX10" s="780">
        <f t="shared" si="48"/>
        <v>14.617617333333332</v>
      </c>
      <c r="AY10" s="781">
        <f t="shared" si="48"/>
        <v>21.865535682539686</v>
      </c>
      <c r="AZ10" s="781">
        <f t="shared" si="48"/>
        <v>2.7557940170940167</v>
      </c>
      <c r="BC10" s="764" t="s">
        <v>1196</v>
      </c>
      <c r="BD10" s="756" t="s">
        <v>1101</v>
      </c>
      <c r="BE10" s="760">
        <f>BE8*BE9</f>
        <v>19.599999999999998</v>
      </c>
      <c r="BF10" s="760">
        <f t="shared" ref="BF10:BY10" si="50">BF8*BF9</f>
        <v>0</v>
      </c>
      <c r="BG10" s="760">
        <f t="shared" si="50"/>
        <v>0</v>
      </c>
      <c r="BH10" s="760">
        <f t="shared" si="50"/>
        <v>15.399999999999999</v>
      </c>
      <c r="BI10" s="760">
        <f t="shared" si="50"/>
        <v>19.8</v>
      </c>
      <c r="BJ10" s="760">
        <f t="shared" si="50"/>
        <v>9.9</v>
      </c>
      <c r="BK10" s="760">
        <f t="shared" si="50"/>
        <v>0</v>
      </c>
      <c r="BL10" s="760">
        <f t="shared" si="50"/>
        <v>0</v>
      </c>
      <c r="BM10" s="760">
        <f t="shared" si="50"/>
        <v>26.400000000000002</v>
      </c>
      <c r="BN10" s="760">
        <f t="shared" si="50"/>
        <v>0</v>
      </c>
      <c r="BO10" s="760">
        <f t="shared" si="50"/>
        <v>0</v>
      </c>
      <c r="BP10" s="760">
        <f t="shared" si="50"/>
        <v>0</v>
      </c>
      <c r="BQ10" s="760">
        <f t="shared" si="50"/>
        <v>23.099999999999998</v>
      </c>
      <c r="BR10" s="760">
        <f t="shared" si="50"/>
        <v>13.600000000000001</v>
      </c>
      <c r="BS10" s="760">
        <f t="shared" si="50"/>
        <v>19.599999999999998</v>
      </c>
      <c r="BT10" s="760">
        <f t="shared" si="50"/>
        <v>0</v>
      </c>
      <c r="BU10" s="760">
        <f t="shared" si="50"/>
        <v>0</v>
      </c>
      <c r="BV10" s="760">
        <f t="shared" si="50"/>
        <v>15.3</v>
      </c>
      <c r="BW10" s="760">
        <f t="shared" si="50"/>
        <v>5.4</v>
      </c>
      <c r="BX10" s="760">
        <f t="shared" si="50"/>
        <v>5.4</v>
      </c>
      <c r="BY10" s="760">
        <f t="shared" si="50"/>
        <v>39.199999999999996</v>
      </c>
      <c r="BZ10" s="751"/>
      <c r="CB10" s="764" t="s">
        <v>1404</v>
      </c>
      <c r="CC10" s="756" t="s">
        <v>1101</v>
      </c>
      <c r="CD10" s="762">
        <f>CD8*CD9</f>
        <v>16.099999999999998</v>
      </c>
      <c r="CE10" s="762">
        <f t="shared" ref="CE10:CX10" si="51">CE8*CE9</f>
        <v>0</v>
      </c>
      <c r="CF10" s="751">
        <f t="shared" si="51"/>
        <v>0</v>
      </c>
      <c r="CG10" s="758">
        <f t="shared" si="51"/>
        <v>14.4</v>
      </c>
      <c r="CH10" s="758">
        <f t="shared" si="51"/>
        <v>24.8</v>
      </c>
      <c r="CI10" s="758">
        <f t="shared" si="51"/>
        <v>13.299999999999999</v>
      </c>
      <c r="CJ10" s="758">
        <f t="shared" si="51"/>
        <v>13.299999999999999</v>
      </c>
      <c r="CK10" s="758">
        <f t="shared" si="51"/>
        <v>18</v>
      </c>
      <c r="CL10" s="758">
        <f t="shared" si="51"/>
        <v>28</v>
      </c>
      <c r="CM10" s="751">
        <f t="shared" si="51"/>
        <v>28.7</v>
      </c>
      <c r="CN10" s="751">
        <f t="shared" si="51"/>
        <v>28</v>
      </c>
      <c r="CO10" s="751">
        <f t="shared" si="51"/>
        <v>24.5</v>
      </c>
      <c r="CP10" s="759">
        <f t="shared" si="51"/>
        <v>14.5</v>
      </c>
      <c r="CQ10" s="758">
        <f t="shared" si="51"/>
        <v>18.599999999999998</v>
      </c>
      <c r="CR10" s="751">
        <f t="shared" si="51"/>
        <v>19.2</v>
      </c>
      <c r="CS10" s="758">
        <f t="shared" si="51"/>
        <v>19.8</v>
      </c>
      <c r="CT10" s="758">
        <f t="shared" si="51"/>
        <v>18</v>
      </c>
      <c r="CU10" s="758">
        <f t="shared" si="51"/>
        <v>15</v>
      </c>
      <c r="CV10" s="758">
        <f t="shared" si="51"/>
        <v>15.200000000000001</v>
      </c>
      <c r="CW10" s="758">
        <f t="shared" si="51"/>
        <v>12.6</v>
      </c>
      <c r="CX10" s="759">
        <f t="shared" si="51"/>
        <v>14.5</v>
      </c>
      <c r="CY10" s="759"/>
      <c r="DB10" s="755" t="s">
        <v>1095</v>
      </c>
      <c r="DC10" s="756" t="s">
        <v>134</v>
      </c>
      <c r="DD10" s="760">
        <f>SUM(DD3:DD5)</f>
        <v>17</v>
      </c>
      <c r="DE10" s="760"/>
      <c r="DF10" s="760"/>
      <c r="DG10" s="760"/>
      <c r="DH10" s="760">
        <f>SUM(DH3:DH5)</f>
        <v>29</v>
      </c>
      <c r="DI10" s="760">
        <f>SUM(DI3:DI5)</f>
        <v>13</v>
      </c>
      <c r="DJ10" s="760"/>
      <c r="DK10" s="760"/>
      <c r="DL10" s="751"/>
      <c r="DM10" s="760">
        <f>SUM(DM3:DM5)</f>
        <v>242</v>
      </c>
      <c r="DN10" s="760">
        <f>SUM(DN3:DN5)</f>
        <v>40</v>
      </c>
      <c r="DO10" s="751"/>
      <c r="DP10" s="760">
        <f>SUM(DP3:DP5)</f>
        <v>67</v>
      </c>
      <c r="DQ10" s="750"/>
      <c r="DR10" s="750"/>
      <c r="DS10" s="750"/>
      <c r="DT10" s="750"/>
      <c r="DU10" s="750"/>
      <c r="DV10" s="750"/>
      <c r="DW10" s="750"/>
      <c r="DZ10" s="773" t="s">
        <v>1147</v>
      </c>
      <c r="EA10" s="754" t="s">
        <v>134</v>
      </c>
      <c r="EB10" s="769">
        <f>EB8-EB9</f>
        <v>17</v>
      </c>
      <c r="EC10" s="769">
        <f t="shared" ref="EC10:EU10" si="52">EC8-EC9</f>
        <v>0</v>
      </c>
      <c r="ED10" s="769">
        <f t="shared" si="52"/>
        <v>0</v>
      </c>
      <c r="EE10" s="769">
        <f t="shared" si="52"/>
        <v>15</v>
      </c>
      <c r="EF10" s="769">
        <f t="shared" si="52"/>
        <v>27</v>
      </c>
      <c r="EG10" s="769">
        <f t="shared" si="52"/>
        <v>27</v>
      </c>
      <c r="EH10" s="769">
        <f t="shared" si="52"/>
        <v>0</v>
      </c>
      <c r="EI10" s="769">
        <f t="shared" si="52"/>
        <v>0</v>
      </c>
      <c r="EJ10" s="769">
        <f t="shared" si="52"/>
        <v>36</v>
      </c>
      <c r="EK10" s="769">
        <f t="shared" si="52"/>
        <v>0</v>
      </c>
      <c r="EL10" s="769">
        <f t="shared" si="52"/>
        <v>0</v>
      </c>
      <c r="EM10" s="769">
        <f t="shared" si="52"/>
        <v>0</v>
      </c>
      <c r="EN10" s="769">
        <f t="shared" si="52"/>
        <v>23</v>
      </c>
      <c r="EO10" s="769">
        <f t="shared" si="52"/>
        <v>19</v>
      </c>
      <c r="EP10" s="769">
        <f t="shared" si="52"/>
        <v>31</v>
      </c>
      <c r="EQ10" s="769"/>
      <c r="ER10" s="769"/>
      <c r="ES10" s="769">
        <f t="shared" si="52"/>
        <v>4</v>
      </c>
      <c r="ET10" s="769">
        <f t="shared" si="52"/>
        <v>7</v>
      </c>
      <c r="EU10" s="769">
        <f t="shared" si="52"/>
        <v>2</v>
      </c>
      <c r="EX10" s="773" t="s">
        <v>1202</v>
      </c>
      <c r="EY10" s="754" t="s">
        <v>134</v>
      </c>
      <c r="EZ10" s="769">
        <f>EZ8-EZ9</f>
        <v>8.5</v>
      </c>
      <c r="FA10" s="769">
        <f t="shared" ref="FA10:FU10" si="53">FA8-FA9</f>
        <v>0</v>
      </c>
      <c r="FB10" s="769">
        <f t="shared" si="53"/>
        <v>0</v>
      </c>
      <c r="FC10" s="769">
        <f t="shared" si="53"/>
        <v>7.5</v>
      </c>
      <c r="FD10" s="769">
        <f t="shared" si="53"/>
        <v>13.5</v>
      </c>
      <c r="FE10" s="769">
        <f t="shared" si="53"/>
        <v>13.5</v>
      </c>
      <c r="FF10" s="769">
        <f t="shared" si="53"/>
        <v>0</v>
      </c>
      <c r="FG10" s="769">
        <f t="shared" si="53"/>
        <v>0</v>
      </c>
      <c r="FH10" s="769">
        <f t="shared" si="53"/>
        <v>18</v>
      </c>
      <c r="FI10" s="769">
        <f t="shared" si="53"/>
        <v>0</v>
      </c>
      <c r="FJ10" s="769">
        <f t="shared" si="53"/>
        <v>0</v>
      </c>
      <c r="FK10" s="769">
        <f t="shared" si="53"/>
        <v>0</v>
      </c>
      <c r="FL10" s="769">
        <f t="shared" si="53"/>
        <v>11.5</v>
      </c>
      <c r="FM10" s="769">
        <f t="shared" si="53"/>
        <v>9.5</v>
      </c>
      <c r="FN10" s="769">
        <f t="shared" si="53"/>
        <v>15.5</v>
      </c>
      <c r="FO10" s="769">
        <f t="shared" ref="FO10:FP10" si="54">FO8-FO9</f>
        <v>0</v>
      </c>
      <c r="FP10" s="769">
        <f t="shared" si="54"/>
        <v>0</v>
      </c>
      <c r="FQ10" s="769">
        <f t="shared" si="53"/>
        <v>2</v>
      </c>
      <c r="FR10" s="769">
        <f t="shared" si="53"/>
        <v>3.5</v>
      </c>
      <c r="FS10" s="769">
        <f t="shared" si="53"/>
        <v>1</v>
      </c>
      <c r="FT10" s="774">
        <f t="shared" si="53"/>
        <v>0</v>
      </c>
      <c r="FU10" s="754">
        <f t="shared" si="53"/>
        <v>0</v>
      </c>
      <c r="FW10" s="773" t="s">
        <v>1143</v>
      </c>
      <c r="FX10" s="754" t="s">
        <v>134</v>
      </c>
      <c r="FY10" s="808">
        <f t="shared" ref="FY10:GT10" si="55">AE11</f>
        <v>3</v>
      </c>
      <c r="FZ10" s="808">
        <f t="shared" si="55"/>
        <v>3</v>
      </c>
      <c r="GA10" s="808">
        <f t="shared" si="55"/>
        <v>8.16</v>
      </c>
      <c r="GB10" s="808">
        <f t="shared" si="55"/>
        <v>1.4</v>
      </c>
      <c r="GC10" s="808">
        <f t="shared" si="55"/>
        <v>3.3680000000000003</v>
      </c>
      <c r="GD10" s="808">
        <f t="shared" si="55"/>
        <v>3.1280000000000001</v>
      </c>
      <c r="GE10" s="808">
        <f t="shared" si="55"/>
        <v>3.1280000000000001</v>
      </c>
      <c r="GF10" s="808">
        <f t="shared" si="55"/>
        <v>8.16</v>
      </c>
      <c r="GG10" s="808">
        <f t="shared" si="55"/>
        <v>7.5440000000000005</v>
      </c>
      <c r="GH10" s="808">
        <f t="shared" si="55"/>
        <v>7.5440000000000005</v>
      </c>
      <c r="GI10" s="808">
        <f t="shared" si="55"/>
        <v>7.5440000000000005</v>
      </c>
      <c r="GJ10" s="808">
        <f t="shared" si="55"/>
        <v>7.5440000000000005</v>
      </c>
      <c r="GK10" s="808">
        <f t="shared" si="55"/>
        <v>8.3840000000000003</v>
      </c>
      <c r="GL10" s="808">
        <f t="shared" si="55"/>
        <v>3.8479999999999999</v>
      </c>
      <c r="GM10" s="808">
        <f t="shared" si="55"/>
        <v>8.2000000000000011</v>
      </c>
      <c r="GN10" s="808">
        <f t="shared" si="55"/>
        <v>8.2000000000000011</v>
      </c>
      <c r="GO10" s="808">
        <f t="shared" si="55"/>
        <v>8.2000000000000011</v>
      </c>
      <c r="GP10" s="808">
        <f t="shared" si="55"/>
        <v>6.6959999999999997</v>
      </c>
      <c r="GQ10" s="808">
        <f t="shared" si="55"/>
        <v>1.6480000000000001</v>
      </c>
      <c r="GR10" s="808">
        <f t="shared" si="55"/>
        <v>3.2320000000000002</v>
      </c>
      <c r="GS10" s="808">
        <f t="shared" si="55"/>
        <v>6.88</v>
      </c>
      <c r="GT10" s="808">
        <f t="shared" si="55"/>
        <v>4.2160000000000002</v>
      </c>
      <c r="GV10" s="773" t="s">
        <v>1143</v>
      </c>
      <c r="GW10" s="754" t="s">
        <v>134</v>
      </c>
      <c r="GX10" s="724"/>
      <c r="GY10" s="1296">
        <f>AF11</f>
        <v>3</v>
      </c>
      <c r="GZ10" s="1116">
        <f t="shared" ref="GZ10:HS10" si="56">AG11</f>
        <v>8.16</v>
      </c>
      <c r="HA10" s="1116">
        <f t="shared" si="56"/>
        <v>1.4</v>
      </c>
      <c r="HB10" s="1116">
        <f t="shared" si="56"/>
        <v>3.3680000000000003</v>
      </c>
      <c r="HC10" s="1116">
        <f t="shared" si="56"/>
        <v>3.1280000000000001</v>
      </c>
      <c r="HD10" s="1116">
        <f t="shared" si="56"/>
        <v>3.1280000000000001</v>
      </c>
      <c r="HE10" s="1116">
        <f t="shared" si="56"/>
        <v>8.16</v>
      </c>
      <c r="HF10" s="1116">
        <f t="shared" si="56"/>
        <v>7.5440000000000005</v>
      </c>
      <c r="HG10" s="1116">
        <f t="shared" si="56"/>
        <v>7.5440000000000005</v>
      </c>
      <c r="HH10" s="1116">
        <f t="shared" si="56"/>
        <v>7.5440000000000005</v>
      </c>
      <c r="HI10" s="1116">
        <f t="shared" si="56"/>
        <v>7.5440000000000005</v>
      </c>
      <c r="HJ10" s="1116">
        <f t="shared" si="56"/>
        <v>8.3840000000000003</v>
      </c>
      <c r="HK10" s="1116">
        <f t="shared" si="56"/>
        <v>3.8479999999999999</v>
      </c>
      <c r="HL10" s="1116">
        <f t="shared" si="56"/>
        <v>8.2000000000000011</v>
      </c>
      <c r="HM10" s="1116">
        <f t="shared" si="56"/>
        <v>8.2000000000000011</v>
      </c>
      <c r="HN10" s="1116">
        <f t="shared" si="56"/>
        <v>8.2000000000000011</v>
      </c>
      <c r="HO10" s="1116">
        <f t="shared" si="56"/>
        <v>6.6959999999999997</v>
      </c>
      <c r="HP10" s="1116">
        <f t="shared" si="56"/>
        <v>1.6480000000000001</v>
      </c>
      <c r="HQ10" s="1116">
        <f t="shared" si="56"/>
        <v>3.2320000000000002</v>
      </c>
      <c r="HR10" s="1116">
        <f t="shared" si="56"/>
        <v>6.88</v>
      </c>
      <c r="HS10" s="1116">
        <f t="shared" si="56"/>
        <v>4.2160000000000002</v>
      </c>
    </row>
    <row r="11" spans="1:227" ht="15.75" customHeight="1">
      <c r="A11" s="1393">
        <f>Eingabedaten!A17</f>
        <v>4.01</v>
      </c>
      <c r="B11" s="738" t="str">
        <f>Eingabedaten!C17</f>
        <v>Schulzimmer</v>
      </c>
      <c r="C11" s="724" t="s">
        <v>5</v>
      </c>
      <c r="D11" s="740"/>
      <c r="E11" s="740"/>
      <c r="F11" s="740"/>
      <c r="G11" s="740"/>
      <c r="H11" s="740"/>
      <c r="I11" s="739">
        <v>45</v>
      </c>
      <c r="J11" s="739">
        <v>45</v>
      </c>
      <c r="K11" s="739">
        <v>10</v>
      </c>
      <c r="L11" s="740"/>
      <c r="M11" s="740"/>
      <c r="N11" s="740"/>
      <c r="O11" s="740"/>
      <c r="P11" s="740"/>
      <c r="Q11" s="740"/>
      <c r="R11" s="740"/>
      <c r="S11" s="740"/>
      <c r="T11" s="740"/>
      <c r="U11" s="740"/>
      <c r="V11" s="740"/>
      <c r="W11" s="740"/>
      <c r="X11" s="740"/>
      <c r="Y11" s="740"/>
      <c r="AA11" s="770">
        <f>1/Eingabedaten!AP17</f>
        <v>0.25</v>
      </c>
      <c r="AC11" s="775" t="s">
        <v>1114</v>
      </c>
      <c r="AD11" s="776" t="s">
        <v>134</v>
      </c>
      <c r="AE11" s="1295">
        <f>3.75*$AD1</f>
        <v>3</v>
      </c>
      <c r="AF11" s="1293">
        <f>AE11</f>
        <v>3</v>
      </c>
      <c r="AG11" s="782">
        <f>10.2*$AD1</f>
        <v>8.16</v>
      </c>
      <c r="AH11" s="782">
        <v>1.4</v>
      </c>
      <c r="AI11" s="1293">
        <f>4.21*$AD1</f>
        <v>3.3680000000000003</v>
      </c>
      <c r="AJ11" s="1293">
        <f>3.91*$AD1</f>
        <v>3.1280000000000001</v>
      </c>
      <c r="AK11" s="1293">
        <f>AJ11</f>
        <v>3.1280000000000001</v>
      </c>
      <c r="AL11" s="1293">
        <f>10.2*$AD1</f>
        <v>8.16</v>
      </c>
      <c r="AM11" s="1293">
        <f>9.43*$AD1</f>
        <v>7.5440000000000005</v>
      </c>
      <c r="AN11" s="1293">
        <f>AM11</f>
        <v>7.5440000000000005</v>
      </c>
      <c r="AO11" s="1293">
        <f>AM11</f>
        <v>7.5440000000000005</v>
      </c>
      <c r="AP11" s="1293">
        <f>AM11</f>
        <v>7.5440000000000005</v>
      </c>
      <c r="AQ11" s="1293">
        <f>10.48*$AD1</f>
        <v>8.3840000000000003</v>
      </c>
      <c r="AR11" s="1293">
        <f>4.81*$AD1</f>
        <v>3.8479999999999999</v>
      </c>
      <c r="AS11" s="1293">
        <f>10.25*$AD1</f>
        <v>8.2000000000000011</v>
      </c>
      <c r="AT11" s="1293">
        <f>AS11</f>
        <v>8.2000000000000011</v>
      </c>
      <c r="AU11" s="1293">
        <f>AS11</f>
        <v>8.2000000000000011</v>
      </c>
      <c r="AV11" s="1293">
        <f>8.37*$AD1</f>
        <v>6.6959999999999997</v>
      </c>
      <c r="AW11" s="1293">
        <f>2.06*$AD1</f>
        <v>1.6480000000000001</v>
      </c>
      <c r="AX11" s="1293">
        <f>4.04*$AD1</f>
        <v>3.2320000000000002</v>
      </c>
      <c r="AY11" s="1294">
        <f>8.6*$AD1</f>
        <v>6.88</v>
      </c>
      <c r="AZ11" s="1294">
        <f>5.27*$AD1</f>
        <v>4.2160000000000002</v>
      </c>
      <c r="BC11" s="755" t="s">
        <v>398</v>
      </c>
      <c r="BD11" s="756" t="s">
        <v>1102</v>
      </c>
      <c r="BE11" s="751">
        <v>0.7</v>
      </c>
      <c r="BF11" s="751"/>
      <c r="BG11" s="751"/>
      <c r="BH11" s="751">
        <v>0.7</v>
      </c>
      <c r="BI11" s="751">
        <v>0.7</v>
      </c>
      <c r="BJ11" s="751">
        <v>0.7</v>
      </c>
      <c r="BK11" s="751"/>
      <c r="BL11" s="751"/>
      <c r="BM11" s="751">
        <v>0.7</v>
      </c>
      <c r="BN11" s="751"/>
      <c r="BO11" s="751"/>
      <c r="BP11" s="751"/>
      <c r="BQ11" s="751">
        <v>1.2</v>
      </c>
      <c r="BR11" s="751">
        <v>1</v>
      </c>
      <c r="BS11" s="751">
        <v>1</v>
      </c>
      <c r="BT11" s="751"/>
      <c r="BU11" s="751"/>
      <c r="BV11" s="751">
        <v>0.7</v>
      </c>
      <c r="BW11" s="751">
        <v>0.3</v>
      </c>
      <c r="BX11" s="751">
        <v>0.7</v>
      </c>
      <c r="BY11" s="751">
        <v>0.7</v>
      </c>
      <c r="BZ11" s="751"/>
      <c r="CB11" s="755" t="s">
        <v>717</v>
      </c>
      <c r="CC11" s="756" t="s">
        <v>1198</v>
      </c>
      <c r="CD11" s="750">
        <f>25/70*CD5</f>
        <v>25</v>
      </c>
      <c r="CE11" s="750" t="e">
        <v>#DIV/0!</v>
      </c>
      <c r="CF11" s="750">
        <v>0</v>
      </c>
      <c r="CG11" s="750">
        <f t="shared" ref="CG11:CX11" si="57">25/70*CG5</f>
        <v>25</v>
      </c>
      <c r="CH11" s="750">
        <f t="shared" si="57"/>
        <v>25</v>
      </c>
      <c r="CI11" s="750">
        <f t="shared" si="57"/>
        <v>25</v>
      </c>
      <c r="CJ11" s="750">
        <f t="shared" si="57"/>
        <v>0</v>
      </c>
      <c r="CK11" s="750">
        <f t="shared" si="57"/>
        <v>0</v>
      </c>
      <c r="CL11" s="750">
        <f t="shared" si="57"/>
        <v>25</v>
      </c>
      <c r="CM11" s="750">
        <f t="shared" si="57"/>
        <v>25</v>
      </c>
      <c r="CN11" s="750">
        <f t="shared" si="57"/>
        <v>25</v>
      </c>
      <c r="CO11" s="750">
        <f t="shared" si="57"/>
        <v>25</v>
      </c>
      <c r="CP11" s="750">
        <f t="shared" si="57"/>
        <v>25</v>
      </c>
      <c r="CQ11" s="750">
        <f t="shared" si="57"/>
        <v>25</v>
      </c>
      <c r="CR11" s="750">
        <f t="shared" si="57"/>
        <v>25</v>
      </c>
      <c r="CS11" s="750">
        <f t="shared" si="57"/>
        <v>25</v>
      </c>
      <c r="CT11" s="750">
        <f t="shared" si="57"/>
        <v>25</v>
      </c>
      <c r="CU11" s="750">
        <f t="shared" si="57"/>
        <v>25</v>
      </c>
      <c r="CV11" s="750">
        <f t="shared" si="57"/>
        <v>42.857142857142861</v>
      </c>
      <c r="CW11" s="750">
        <f t="shared" si="57"/>
        <v>64.285714285714292</v>
      </c>
      <c r="CX11" s="750">
        <f t="shared" si="57"/>
        <v>25</v>
      </c>
      <c r="CY11" s="759"/>
      <c r="DB11" s="764" t="s">
        <v>1097</v>
      </c>
      <c r="DC11" s="756" t="s">
        <v>134</v>
      </c>
      <c r="DD11" s="793">
        <f>DD10-AE10</f>
        <v>-2.6293882000000046</v>
      </c>
      <c r="DE11" s="793"/>
      <c r="DF11" s="793"/>
      <c r="DG11" s="793"/>
      <c r="DH11" s="793">
        <f>DH10-AI10</f>
        <v>0.91488409523809366</v>
      </c>
      <c r="DI11" s="793">
        <f>DI10-AJ10</f>
        <v>-2.9382506793650798</v>
      </c>
      <c r="DJ11" s="793"/>
      <c r="DK11" s="793"/>
      <c r="DL11" s="724"/>
      <c r="DM11" s="793">
        <f>DM10-AN10</f>
        <v>208.98460514708995</v>
      </c>
      <c r="DN11" s="793">
        <f>DN10-AO10</f>
        <v>7.2889341841269868</v>
      </c>
      <c r="DO11" s="724"/>
      <c r="DP11" s="793">
        <f>DP10-AQ10</f>
        <v>46.785218035978836</v>
      </c>
      <c r="DQ11" s="738"/>
      <c r="DR11" s="738"/>
      <c r="DS11" s="738"/>
      <c r="DT11" s="738"/>
      <c r="DU11" s="738"/>
      <c r="DV11" s="738"/>
      <c r="DW11" s="738"/>
      <c r="DZ11" s="735"/>
      <c r="EA11" s="802" t="s">
        <v>5</v>
      </c>
      <c r="EB11" s="771">
        <f>EB10/EB8%</f>
        <v>23.611111111111111</v>
      </c>
      <c r="EC11" s="771" t="e">
        <f t="shared" ref="EC11:EU11" si="58">EC10/EC8%</f>
        <v>#DIV/0!</v>
      </c>
      <c r="ED11" s="771" t="e">
        <f t="shared" si="58"/>
        <v>#DIV/0!</v>
      </c>
      <c r="EE11" s="771">
        <f t="shared" si="58"/>
        <v>21.428571428571431</v>
      </c>
      <c r="EF11" s="771">
        <f t="shared" si="58"/>
        <v>19.70802919708029</v>
      </c>
      <c r="EG11" s="771">
        <f t="shared" si="58"/>
        <v>37.5</v>
      </c>
      <c r="EH11" s="771" t="e">
        <f t="shared" si="58"/>
        <v>#DIV/0!</v>
      </c>
      <c r="EI11" s="771" t="e">
        <f t="shared" si="58"/>
        <v>#DIV/0!</v>
      </c>
      <c r="EJ11" s="771">
        <f t="shared" si="58"/>
        <v>23.076923076923077</v>
      </c>
      <c r="EK11" s="771" t="e">
        <f t="shared" si="58"/>
        <v>#DIV/0!</v>
      </c>
      <c r="EL11" s="771" t="e">
        <f t="shared" si="58"/>
        <v>#DIV/0!</v>
      </c>
      <c r="EM11" s="771" t="e">
        <f t="shared" si="58"/>
        <v>#DIV/0!</v>
      </c>
      <c r="EN11" s="771">
        <f t="shared" si="58"/>
        <v>18.699186991869919</v>
      </c>
      <c r="EO11" s="771">
        <f t="shared" si="58"/>
        <v>25.675675675675677</v>
      </c>
      <c r="EP11" s="771">
        <f t="shared" si="58"/>
        <v>21.98581560283688</v>
      </c>
      <c r="EQ11" s="771"/>
      <c r="ER11" s="771"/>
      <c r="ES11" s="771">
        <f t="shared" si="58"/>
        <v>4.7619047619047619</v>
      </c>
      <c r="ET11" s="771">
        <f t="shared" si="58"/>
        <v>11.290322580645162</v>
      </c>
      <c r="EU11" s="771">
        <f t="shared" si="58"/>
        <v>3.5087719298245617</v>
      </c>
      <c r="EX11" s="735"/>
      <c r="EY11" s="802" t="s">
        <v>5</v>
      </c>
      <c r="EZ11" s="771">
        <f t="shared" ref="EZ11:FU11" si="59">EZ10/EZ8%</f>
        <v>23.611111111111111</v>
      </c>
      <c r="FA11" s="771" t="e">
        <f t="shared" si="59"/>
        <v>#DIV/0!</v>
      </c>
      <c r="FB11" s="771" t="e">
        <f t="shared" si="59"/>
        <v>#DIV/0!</v>
      </c>
      <c r="FC11" s="771">
        <f t="shared" si="59"/>
        <v>21.428571428571431</v>
      </c>
      <c r="FD11" s="771">
        <f t="shared" si="59"/>
        <v>19.70802919708029</v>
      </c>
      <c r="FE11" s="771">
        <f t="shared" si="59"/>
        <v>37.5</v>
      </c>
      <c r="FF11" s="771" t="e">
        <f t="shared" si="59"/>
        <v>#DIV/0!</v>
      </c>
      <c r="FG11" s="771" t="e">
        <f t="shared" si="59"/>
        <v>#DIV/0!</v>
      </c>
      <c r="FH11" s="771">
        <f t="shared" si="59"/>
        <v>23.076923076923077</v>
      </c>
      <c r="FI11" s="771" t="e">
        <f t="shared" si="59"/>
        <v>#DIV/0!</v>
      </c>
      <c r="FJ11" s="771" t="e">
        <f t="shared" si="59"/>
        <v>#DIV/0!</v>
      </c>
      <c r="FK11" s="771" t="e">
        <f t="shared" si="59"/>
        <v>#DIV/0!</v>
      </c>
      <c r="FL11" s="771">
        <f t="shared" si="59"/>
        <v>18.699186991869919</v>
      </c>
      <c r="FM11" s="771">
        <f t="shared" si="59"/>
        <v>25.675675675675677</v>
      </c>
      <c r="FN11" s="771">
        <f t="shared" si="59"/>
        <v>21.98581560283688</v>
      </c>
      <c r="FO11" s="771" t="e">
        <f t="shared" ref="FO11:FP11" si="60">FO10/FO8%</f>
        <v>#DIV/0!</v>
      </c>
      <c r="FP11" s="771" t="e">
        <f t="shared" si="60"/>
        <v>#DIV/0!</v>
      </c>
      <c r="FQ11" s="771">
        <f t="shared" si="59"/>
        <v>4.7619047619047619</v>
      </c>
      <c r="FR11" s="771">
        <f t="shared" si="59"/>
        <v>11.290322580645162</v>
      </c>
      <c r="FS11" s="771">
        <f t="shared" si="59"/>
        <v>3.5087719298245617</v>
      </c>
      <c r="FT11" s="733" t="e">
        <f t="shared" si="59"/>
        <v>#DIV/0!</v>
      </c>
      <c r="FU11" s="802" t="e">
        <f t="shared" si="59"/>
        <v>#DIV/0!</v>
      </c>
      <c r="FW11" s="857" t="s">
        <v>1058</v>
      </c>
      <c r="FX11" s="858" t="s">
        <v>134</v>
      </c>
      <c r="FY11" s="881">
        <f t="shared" ref="FY11" si="61">SUM(FY3:FY10)</f>
        <v>32.420310867728155</v>
      </c>
      <c r="FZ11" s="1050">
        <f>SUM(FZ7:FZ10)</f>
        <v>19.840681000000004</v>
      </c>
      <c r="GA11" s="1050">
        <f t="shared" ref="GA11:GT11" si="62">SUM(GA7:GA10)</f>
        <v>25.30000166666667</v>
      </c>
      <c r="GB11" s="1050">
        <f t="shared" si="62"/>
        <v>16.292688222222221</v>
      </c>
      <c r="GC11" s="1050">
        <f t="shared" si="62"/>
        <v>36.837839466666672</v>
      </c>
      <c r="GD11" s="1050">
        <f t="shared" si="62"/>
        <v>16.683816507936509</v>
      </c>
      <c r="GE11" s="1050">
        <f t="shared" si="62"/>
        <v>16.683816507936509</v>
      </c>
      <c r="GF11" s="1050">
        <f t="shared" si="62"/>
        <v>34.928888285714287</v>
      </c>
      <c r="GG11" s="1050">
        <f t="shared" si="62"/>
        <v>36.261825644444443</v>
      </c>
      <c r="GH11" s="1050">
        <f t="shared" si="62"/>
        <v>234.1440554814815</v>
      </c>
      <c r="GI11" s="1050">
        <f t="shared" si="62"/>
        <v>36.261825644444443</v>
      </c>
      <c r="GJ11" s="1050">
        <f t="shared" si="62"/>
        <v>31.579929644444444</v>
      </c>
      <c r="GK11" s="1050">
        <f>SUM(GK7:GK10)</f>
        <v>65.286020592592592</v>
      </c>
      <c r="GL11" s="1050">
        <f t="shared" si="62"/>
        <v>23.664378666666664</v>
      </c>
      <c r="GM11" s="1050">
        <f t="shared" si="62"/>
        <v>29.25351644444445</v>
      </c>
      <c r="GN11" s="1050">
        <f t="shared" si="62"/>
        <v>32.242616444444451</v>
      </c>
      <c r="GO11" s="1050">
        <f t="shared" si="62"/>
        <v>26.352060000000002</v>
      </c>
      <c r="GP11" s="1050">
        <f t="shared" si="62"/>
        <v>36.033319955555555</v>
      </c>
      <c r="GQ11" s="1050">
        <f t="shared" si="62"/>
        <v>16.831136810256414</v>
      </c>
      <c r="GR11" s="1050">
        <f t="shared" si="62"/>
        <v>15.190925333333333</v>
      </c>
      <c r="GS11" s="1050">
        <f t="shared" si="62"/>
        <v>186.02639911111112</v>
      </c>
      <c r="GT11" s="1050">
        <f t="shared" si="62"/>
        <v>6.8984220170940169</v>
      </c>
      <c r="GU11" s="754"/>
      <c r="GV11" s="857" t="s">
        <v>1058</v>
      </c>
      <c r="GW11" s="858" t="s">
        <v>134</v>
      </c>
      <c r="GX11" s="881">
        <f t="shared" ref="GX11:HS11" si="63">SUM(GX3:GX10)</f>
        <v>0</v>
      </c>
      <c r="GY11" s="1050">
        <f>SUM(GY3:GY10)</f>
        <v>24</v>
      </c>
      <c r="GZ11" s="1050">
        <f t="shared" si="63"/>
        <v>69.260000000000005</v>
      </c>
      <c r="HA11" s="1050">
        <f t="shared" si="63"/>
        <v>19.399999999999999</v>
      </c>
      <c r="HB11" s="1050">
        <f t="shared" si="63"/>
        <v>29.968000000000004</v>
      </c>
      <c r="HC11" s="1050">
        <f t="shared" si="63"/>
        <v>3.1280000000000001</v>
      </c>
      <c r="HD11" s="1050">
        <f t="shared" si="63"/>
        <v>16.628</v>
      </c>
      <c r="HE11" s="1050">
        <f t="shared" si="63"/>
        <v>42.760000000000005</v>
      </c>
      <c r="HF11" s="1050">
        <f t="shared" si="63"/>
        <v>7.5440000000000005</v>
      </c>
      <c r="HG11" s="1050">
        <f t="shared" si="63"/>
        <v>243.04400000000001</v>
      </c>
      <c r="HH11" s="1050">
        <f t="shared" si="63"/>
        <v>43.043999999999997</v>
      </c>
      <c r="HI11" s="1050">
        <f t="shared" si="63"/>
        <v>7.5440000000000005</v>
      </c>
      <c r="HJ11" s="1050">
        <f t="shared" si="63"/>
        <v>23.384</v>
      </c>
      <c r="HK11" s="1050">
        <f t="shared" si="63"/>
        <v>24.347999999999999</v>
      </c>
      <c r="HL11" s="1050">
        <f t="shared" si="63"/>
        <v>16.5</v>
      </c>
      <c r="HM11" s="1050">
        <f t="shared" si="63"/>
        <v>65.2</v>
      </c>
      <c r="HN11" s="1050">
        <f t="shared" si="63"/>
        <v>62.7</v>
      </c>
      <c r="HO11" s="1050">
        <f t="shared" si="63"/>
        <v>127.096</v>
      </c>
      <c r="HP11" s="1050">
        <f t="shared" si="63"/>
        <v>24.148</v>
      </c>
      <c r="HQ11" s="1050">
        <f t="shared" si="63"/>
        <v>19.032</v>
      </c>
      <c r="HR11" s="1050">
        <f t="shared" si="63"/>
        <v>724.28</v>
      </c>
      <c r="HS11" s="1050">
        <f t="shared" si="63"/>
        <v>7.9160000000000004</v>
      </c>
    </row>
    <row r="12" spans="1:227" ht="15.75" customHeight="1">
      <c r="A12" s="1393">
        <f>Eingabedaten!A18</f>
        <v>4.0199999999999996</v>
      </c>
      <c r="B12" s="738" t="str">
        <f>Eingabedaten!C18</f>
        <v>Lehrerzimmer</v>
      </c>
      <c r="C12" s="724" t="s">
        <v>5</v>
      </c>
      <c r="D12" s="740"/>
      <c r="E12" s="740"/>
      <c r="F12" s="740"/>
      <c r="G12" s="740"/>
      <c r="H12" s="740"/>
      <c r="I12" s="740">
        <v>4</v>
      </c>
      <c r="J12" s="740">
        <v>4</v>
      </c>
      <c r="K12" s="739">
        <v>5</v>
      </c>
      <c r="L12" s="740"/>
      <c r="M12" s="740"/>
      <c r="N12" s="740"/>
      <c r="O12" s="740"/>
      <c r="P12" s="740"/>
      <c r="Q12" s="740"/>
      <c r="R12" s="740"/>
      <c r="S12" s="740"/>
      <c r="T12" s="740"/>
      <c r="U12" s="740"/>
      <c r="V12" s="740"/>
      <c r="W12" s="740"/>
      <c r="X12" s="740"/>
      <c r="Y12" s="740"/>
      <c r="AA12" s="810">
        <v>0</v>
      </c>
      <c r="AC12" s="775" t="s">
        <v>1113</v>
      </c>
      <c r="AD12" s="776" t="s">
        <v>134</v>
      </c>
      <c r="AE12" s="1283">
        <f>AE7+AE8</f>
        <v>23.243183891170382</v>
      </c>
      <c r="AF12" s="748">
        <f>AF7+AF8</f>
        <v>23.243183891170382</v>
      </c>
      <c r="AG12" s="748">
        <f t="shared" ref="AG12:AZ12" si="64">AG7+AG8</f>
        <v>31.362398435294924</v>
      </c>
      <c r="AH12" s="748">
        <f t="shared" si="64"/>
        <v>28.287426023829955</v>
      </c>
      <c r="AI12" s="748">
        <f t="shared" si="64"/>
        <v>10.727170312813881</v>
      </c>
      <c r="AJ12" s="748">
        <f t="shared" si="64"/>
        <v>15.196069074347959</v>
      </c>
      <c r="AK12" s="748">
        <f t="shared" si="64"/>
        <v>15.196069074347959</v>
      </c>
      <c r="AL12" s="748">
        <f t="shared" si="64"/>
        <v>12.622856991668389</v>
      </c>
      <c r="AM12" s="748">
        <f t="shared" si="64"/>
        <v>6.9953139706764649</v>
      </c>
      <c r="AN12" s="748">
        <f t="shared" si="64"/>
        <v>6.7468966500457324</v>
      </c>
      <c r="AO12" s="748">
        <f t="shared" si="64"/>
        <v>6.9953139706764649</v>
      </c>
      <c r="AP12" s="748">
        <f t="shared" si="64"/>
        <v>6.9041279083725815</v>
      </c>
      <c r="AQ12" s="748">
        <f t="shared" si="64"/>
        <v>57.90073322830964</v>
      </c>
      <c r="AR12" s="748">
        <f t="shared" si="64"/>
        <v>13.436411701447854</v>
      </c>
      <c r="AS12" s="748">
        <f t="shared" si="64"/>
        <v>32.228180069349357</v>
      </c>
      <c r="AT12" s="748">
        <f t="shared" ref="AT12:AU12" si="65">AT7+AT8</f>
        <v>29.445821364571373</v>
      </c>
      <c r="AU12" s="748">
        <f t="shared" si="65"/>
        <v>37.593757286217091</v>
      </c>
      <c r="AV12" s="748">
        <f t="shared" si="64"/>
        <v>12.306811772360968</v>
      </c>
      <c r="AW12" s="748">
        <f t="shared" si="64"/>
        <v>9.8663964617591553</v>
      </c>
      <c r="AX12" s="748">
        <f t="shared" si="64"/>
        <v>52.844056120544792</v>
      </c>
      <c r="AY12" s="784">
        <f t="shared" si="64"/>
        <v>97.300815708413765</v>
      </c>
      <c r="AZ12" s="784">
        <f t="shared" si="64"/>
        <v>1.2550391984165392</v>
      </c>
      <c r="BC12" s="755" t="s">
        <v>1100</v>
      </c>
      <c r="BD12" s="756" t="s">
        <v>1101</v>
      </c>
      <c r="BE12" s="751">
        <v>21</v>
      </c>
      <c r="BF12" s="751"/>
      <c r="BG12" s="751"/>
      <c r="BH12" s="751">
        <v>14</v>
      </c>
      <c r="BI12" s="760">
        <v>7</v>
      </c>
      <c r="BJ12" s="751">
        <v>7</v>
      </c>
      <c r="BK12" s="751"/>
      <c r="BL12" s="751"/>
      <c r="BM12" s="751">
        <v>7</v>
      </c>
      <c r="BN12" s="751"/>
      <c r="BO12" s="751"/>
      <c r="BP12" s="751"/>
      <c r="BQ12" s="751">
        <v>56</v>
      </c>
      <c r="BR12" s="751">
        <v>14</v>
      </c>
      <c r="BS12" s="751">
        <v>28</v>
      </c>
      <c r="BT12" s="751"/>
      <c r="BU12" s="751"/>
      <c r="BV12" s="751">
        <v>7</v>
      </c>
      <c r="BW12" s="751">
        <v>1</v>
      </c>
      <c r="BX12" s="751">
        <v>83</v>
      </c>
      <c r="BY12" s="751">
        <v>83</v>
      </c>
      <c r="BZ12" s="746"/>
      <c r="CB12" s="755" t="s">
        <v>1550</v>
      </c>
      <c r="CC12" s="756" t="s">
        <v>1197</v>
      </c>
      <c r="CD12" s="813">
        <f>CD11/CD4*CD6/24</f>
        <v>0.27083333333333331</v>
      </c>
      <c r="CE12" s="813" t="e">
        <f t="shared" ref="CE12:CX12" si="66">CE11/CE4*CE6/24</f>
        <v>#DIV/0!</v>
      </c>
      <c r="CF12" s="813" t="e">
        <f t="shared" si="66"/>
        <v>#DIV/0!</v>
      </c>
      <c r="CG12" s="813">
        <f t="shared" si="66"/>
        <v>0.19345238095238096</v>
      </c>
      <c r="CH12" s="813">
        <f t="shared" si="66"/>
        <v>0.29166666666666669</v>
      </c>
      <c r="CI12" s="813">
        <f t="shared" si="66"/>
        <v>0.52083333333333337</v>
      </c>
      <c r="CJ12" s="813">
        <f t="shared" si="66"/>
        <v>0</v>
      </c>
      <c r="CK12" s="813">
        <f t="shared" si="66"/>
        <v>0</v>
      </c>
      <c r="CL12" s="813">
        <f t="shared" si="66"/>
        <v>0.48611111111111116</v>
      </c>
      <c r="CM12" s="813">
        <f t="shared" si="66"/>
        <v>0.48611111111111116</v>
      </c>
      <c r="CN12" s="813">
        <f t="shared" si="66"/>
        <v>0.48611111111111116</v>
      </c>
      <c r="CO12" s="813">
        <f t="shared" si="66"/>
        <v>0.24305555555555558</v>
      </c>
      <c r="CP12" s="813">
        <f t="shared" si="66"/>
        <v>0.83333333333333337</v>
      </c>
      <c r="CQ12" s="813">
        <f t="shared" si="66"/>
        <v>1.6666666666666667</v>
      </c>
      <c r="CR12" s="813">
        <f t="shared" si="66"/>
        <v>0.72916666666666663</v>
      </c>
      <c r="CS12" s="813">
        <f t="shared" si="66"/>
        <v>0.83333333333333337</v>
      </c>
      <c r="CT12" s="813">
        <f t="shared" si="66"/>
        <v>0.83333333333333337</v>
      </c>
      <c r="CU12" s="813">
        <f t="shared" si="66"/>
        <v>0.17361111111111113</v>
      </c>
      <c r="CV12" s="813">
        <f t="shared" si="66"/>
        <v>0.14880952380952381</v>
      </c>
      <c r="CW12" s="813">
        <f t="shared" si="66"/>
        <v>0.13392857142857142</v>
      </c>
      <c r="CX12" s="813">
        <f t="shared" si="66"/>
        <v>0.41666666666666669</v>
      </c>
      <c r="DD12" s="746"/>
      <c r="DE12" s="746"/>
      <c r="DF12" s="746"/>
      <c r="DG12" s="746"/>
      <c r="DH12" s="746"/>
      <c r="DI12" s="746"/>
      <c r="DJ12" s="746"/>
      <c r="DK12" s="746"/>
      <c r="DL12" s="746"/>
      <c r="DM12" s="746"/>
      <c r="DN12" s="746"/>
      <c r="DO12" s="746"/>
      <c r="DP12" s="746"/>
      <c r="FW12" s="857" t="s">
        <v>1554</v>
      </c>
      <c r="FX12" s="858" t="s">
        <v>134</v>
      </c>
      <c r="FY12" s="1050">
        <f>SUM(FY5:FY10)</f>
        <v>23.759042855134563</v>
      </c>
      <c r="FZ12" s="1050">
        <f>FZ7+FZ9</f>
        <v>16.840681000000004</v>
      </c>
      <c r="GA12" s="1050">
        <f t="shared" ref="GA12:GT12" si="67">GA7+GA9</f>
        <v>17.14000166666667</v>
      </c>
      <c r="GB12" s="1050">
        <f t="shared" si="67"/>
        <v>14.892688222222223</v>
      </c>
      <c r="GC12" s="1050">
        <f t="shared" si="67"/>
        <v>25.057839466666668</v>
      </c>
      <c r="GD12" s="1050">
        <f t="shared" si="67"/>
        <v>13.555816507936509</v>
      </c>
      <c r="GE12" s="1050">
        <f t="shared" si="67"/>
        <v>13.555816507936509</v>
      </c>
      <c r="GF12" s="1050">
        <f t="shared" si="67"/>
        <v>18.356888285714287</v>
      </c>
      <c r="GG12" s="1050">
        <f t="shared" si="67"/>
        <v>28.717825644444446</v>
      </c>
      <c r="GH12" s="1050">
        <f t="shared" si="67"/>
        <v>29.032055481481478</v>
      </c>
      <c r="GI12" s="1050">
        <f t="shared" si="67"/>
        <v>28.717825644444446</v>
      </c>
      <c r="GJ12" s="1050">
        <f t="shared" si="67"/>
        <v>24.035929644444444</v>
      </c>
      <c r="GK12" s="1050">
        <f t="shared" si="67"/>
        <v>13.35802059259259</v>
      </c>
      <c r="GL12" s="1050">
        <f t="shared" si="67"/>
        <v>19.816378666666665</v>
      </c>
      <c r="GM12" s="1050">
        <f t="shared" si="67"/>
        <v>18.437516444444448</v>
      </c>
      <c r="GN12" s="1050">
        <f t="shared" si="67"/>
        <v>20.118616444444449</v>
      </c>
      <c r="GO12" s="1050">
        <f t="shared" si="67"/>
        <v>16.844060000000002</v>
      </c>
      <c r="GP12" s="1050">
        <f t="shared" si="67"/>
        <v>15.545319955555556</v>
      </c>
      <c r="GQ12" s="1050">
        <f t="shared" si="67"/>
        <v>15.183136810256414</v>
      </c>
      <c r="GR12" s="1050">
        <f t="shared" si="67"/>
        <v>11.958925333333331</v>
      </c>
      <c r="GS12" s="1050">
        <f t="shared" si="67"/>
        <v>15.466399111111112</v>
      </c>
      <c r="GT12" s="1050">
        <f t="shared" si="67"/>
        <v>2.6824220170940167</v>
      </c>
      <c r="GU12" s="754"/>
      <c r="GV12" s="857" t="str">
        <f>FW12</f>
        <v>Geräte + Beleuchtung</v>
      </c>
      <c r="GW12" s="858" t="s">
        <v>134</v>
      </c>
      <c r="GX12" s="881">
        <f>GX11-GX8</f>
        <v>0</v>
      </c>
      <c r="GY12" s="1050">
        <f>GY7+GY9</f>
        <v>21</v>
      </c>
      <c r="GZ12" s="1050">
        <f t="shared" ref="GZ12:HS12" si="68">GZ7+GZ9</f>
        <v>17.100000000000001</v>
      </c>
      <c r="HA12" s="1050">
        <f t="shared" si="68"/>
        <v>18</v>
      </c>
      <c r="HB12" s="1050">
        <f t="shared" si="68"/>
        <v>26.6</v>
      </c>
      <c r="HC12" s="1050">
        <f t="shared" si="68"/>
        <v>0</v>
      </c>
      <c r="HD12" s="1050">
        <f t="shared" si="68"/>
        <v>13.5</v>
      </c>
      <c r="HE12" s="1050">
        <f t="shared" si="68"/>
        <v>24.6</v>
      </c>
      <c r="HF12" s="1050">
        <f t="shared" si="68"/>
        <v>0</v>
      </c>
      <c r="HG12" s="1050">
        <f t="shared" si="68"/>
        <v>35.5</v>
      </c>
      <c r="HH12" s="1050">
        <f t="shared" si="68"/>
        <v>35.5</v>
      </c>
      <c r="HI12" s="1050">
        <f t="shared" si="68"/>
        <v>0</v>
      </c>
      <c r="HJ12" s="1050">
        <f t="shared" si="68"/>
        <v>15</v>
      </c>
      <c r="HK12" s="1050">
        <f t="shared" si="68"/>
        <v>20.5</v>
      </c>
      <c r="HL12" s="1050">
        <f t="shared" si="68"/>
        <v>8.3000000000000007</v>
      </c>
      <c r="HM12" s="1050">
        <f t="shared" si="68"/>
        <v>22</v>
      </c>
      <c r="HN12" s="1050">
        <f t="shared" si="68"/>
        <v>19.5</v>
      </c>
      <c r="HO12" s="1050">
        <f t="shared" si="68"/>
        <v>20.399999999999999</v>
      </c>
      <c r="HP12" s="1050">
        <f t="shared" si="68"/>
        <v>22.5</v>
      </c>
      <c r="HQ12" s="1050">
        <f t="shared" si="68"/>
        <v>15.8</v>
      </c>
      <c r="HR12" s="1050">
        <f t="shared" si="68"/>
        <v>17.399999999999999</v>
      </c>
      <c r="HS12" s="1050">
        <f t="shared" si="68"/>
        <v>3.7</v>
      </c>
    </row>
    <row r="13" spans="1:227" ht="15.75" customHeight="1">
      <c r="A13" s="1393">
        <f>Eingabedaten!A19</f>
        <v>4.03</v>
      </c>
      <c r="B13" s="738" t="str">
        <f>Eingabedaten!C19</f>
        <v>Bibliothek</v>
      </c>
      <c r="C13" s="724" t="s">
        <v>5</v>
      </c>
      <c r="D13" s="740"/>
      <c r="E13" s="740"/>
      <c r="F13" s="740"/>
      <c r="G13" s="740"/>
      <c r="H13" s="740"/>
      <c r="I13" s="740">
        <v>4</v>
      </c>
      <c r="J13" s="740">
        <v>4</v>
      </c>
      <c r="K13" s="739">
        <v>5</v>
      </c>
      <c r="L13" s="740"/>
      <c r="M13" s="740"/>
      <c r="N13" s="740"/>
      <c r="O13" s="740"/>
      <c r="P13" s="740"/>
      <c r="Q13" s="740"/>
      <c r="R13" s="740"/>
      <c r="S13" s="740"/>
      <c r="T13" s="740"/>
      <c r="U13" s="740"/>
      <c r="V13" s="740"/>
      <c r="W13" s="740"/>
      <c r="X13" s="740"/>
      <c r="Y13" s="740"/>
      <c r="AA13" s="810">
        <v>0</v>
      </c>
      <c r="AC13" s="775"/>
      <c r="AD13" s="776"/>
      <c r="AE13" s="1284"/>
      <c r="AF13" s="746"/>
      <c r="AG13" s="746"/>
      <c r="AH13" s="746"/>
      <c r="AI13" s="746"/>
      <c r="AJ13" s="746"/>
      <c r="AK13" s="746"/>
      <c r="AL13" s="746"/>
      <c r="AM13" s="746"/>
      <c r="AN13" s="746"/>
      <c r="AO13" s="746"/>
      <c r="AP13" s="746"/>
      <c r="AQ13" s="746"/>
      <c r="AR13" s="746"/>
      <c r="AS13" s="746"/>
      <c r="AT13" s="746"/>
      <c r="AU13" s="746"/>
      <c r="AV13" s="746"/>
      <c r="AW13" s="746"/>
      <c r="AX13" s="746"/>
      <c r="AY13" s="785"/>
      <c r="AZ13" s="785"/>
      <c r="CB13" s="755" t="s">
        <v>1551</v>
      </c>
      <c r="CC13" s="756" t="s">
        <v>1197</v>
      </c>
      <c r="CD13" s="767">
        <f>ROUND(AE21,1)</f>
        <v>0.6</v>
      </c>
      <c r="CE13" s="767"/>
      <c r="CF13" s="751"/>
      <c r="CG13" s="767">
        <f t="shared" ref="CG13:CX13" si="69">ROUND(AH21,1)</f>
        <v>0.4</v>
      </c>
      <c r="CH13" s="767">
        <f t="shared" si="69"/>
        <v>0.7</v>
      </c>
      <c r="CI13" s="813">
        <f t="shared" si="69"/>
        <v>0.9</v>
      </c>
      <c r="CJ13" s="766">
        <f t="shared" si="69"/>
        <v>0.9</v>
      </c>
      <c r="CK13" s="766">
        <f t="shared" si="69"/>
        <v>1</v>
      </c>
      <c r="CL13" s="766">
        <f t="shared" si="69"/>
        <v>1.1000000000000001</v>
      </c>
      <c r="CM13" s="813">
        <f t="shared" si="69"/>
        <v>1.1000000000000001</v>
      </c>
      <c r="CN13" s="813">
        <f t="shared" si="69"/>
        <v>1.1000000000000001</v>
      </c>
      <c r="CO13" s="813">
        <f t="shared" si="69"/>
        <v>0.8</v>
      </c>
      <c r="CP13" s="813">
        <f t="shared" si="69"/>
        <v>2</v>
      </c>
      <c r="CQ13" s="766">
        <f t="shared" si="69"/>
        <v>1.9</v>
      </c>
      <c r="CR13" s="767">
        <f t="shared" si="69"/>
        <v>1.2</v>
      </c>
      <c r="CS13" s="813">
        <f t="shared" si="69"/>
        <v>1.2</v>
      </c>
      <c r="CT13" s="813">
        <f t="shared" si="69"/>
        <v>1.2</v>
      </c>
      <c r="CU13" s="767">
        <f t="shared" si="69"/>
        <v>0.6</v>
      </c>
      <c r="CV13" s="766">
        <f t="shared" si="69"/>
        <v>0.6</v>
      </c>
      <c r="CW13" s="766">
        <f t="shared" si="69"/>
        <v>1.1000000000000001</v>
      </c>
      <c r="CX13" s="766">
        <f t="shared" si="69"/>
        <v>1.7</v>
      </c>
      <c r="CY13" s="793"/>
      <c r="DB13" s="755" t="s">
        <v>1128</v>
      </c>
      <c r="DC13" s="756" t="s">
        <v>209</v>
      </c>
      <c r="DD13" s="760">
        <v>60</v>
      </c>
      <c r="DE13" s="760"/>
      <c r="DF13" s="760"/>
      <c r="DG13" s="760"/>
      <c r="DH13" s="760">
        <v>45</v>
      </c>
      <c r="DI13" s="760">
        <v>21</v>
      </c>
      <c r="DJ13" s="760"/>
      <c r="DK13" s="760"/>
      <c r="DL13" s="751"/>
      <c r="DM13" s="760">
        <v>3.2</v>
      </c>
      <c r="DN13" s="760">
        <v>41</v>
      </c>
      <c r="DO13" s="751"/>
      <c r="DP13" s="760">
        <v>6.8</v>
      </c>
      <c r="DQ13" s="738"/>
      <c r="DR13" s="738"/>
      <c r="DS13" s="738"/>
      <c r="DT13" s="738"/>
      <c r="DU13" s="738"/>
      <c r="DV13" s="738"/>
      <c r="DW13" s="738"/>
      <c r="FW13" s="798"/>
      <c r="FX13" s="1118"/>
      <c r="FY13" s="798"/>
      <c r="FZ13" s="1119"/>
      <c r="GA13" s="798"/>
      <c r="GB13" s="798"/>
      <c r="GC13" s="798"/>
      <c r="GD13" s="798"/>
      <c r="GE13" s="798"/>
      <c r="GF13" s="798"/>
      <c r="GG13" s="798"/>
      <c r="GH13" s="798"/>
      <c r="GI13" s="798"/>
      <c r="GJ13" s="798"/>
      <c r="GK13" s="798"/>
      <c r="GL13" s="798"/>
      <c r="GM13" s="798"/>
      <c r="GN13" s="798"/>
      <c r="GO13" s="798"/>
      <c r="GP13" s="798"/>
      <c r="GQ13" s="798"/>
      <c r="GR13" s="798"/>
      <c r="GS13" s="798"/>
      <c r="GT13" s="798"/>
      <c r="GV13" s="775" t="s">
        <v>1299</v>
      </c>
      <c r="GW13" s="754" t="s">
        <v>134</v>
      </c>
      <c r="GX13" s="793">
        <f t="shared" ref="GX13:HL13" si="70">GX12-FY12</f>
        <v>-23.759042855134563</v>
      </c>
      <c r="GY13" s="793">
        <f>GY12-FZ12</f>
        <v>4.1593189999999964</v>
      </c>
      <c r="GZ13" s="793">
        <f t="shared" si="70"/>
        <v>-4.0001666666668712E-2</v>
      </c>
      <c r="HA13" s="793">
        <f t="shared" si="70"/>
        <v>3.1073117777777775</v>
      </c>
      <c r="HB13" s="793">
        <f t="shared" si="70"/>
        <v>1.5421605333333339</v>
      </c>
      <c r="HC13" s="793">
        <f t="shared" si="70"/>
        <v>-13.555816507936509</v>
      </c>
      <c r="HD13" s="793">
        <f t="shared" si="70"/>
        <v>-5.5816507936508941E-2</v>
      </c>
      <c r="HE13" s="793">
        <f t="shared" si="70"/>
        <v>6.243111714285714</v>
      </c>
      <c r="HF13" s="793">
        <f t="shared" si="70"/>
        <v>-28.717825644444446</v>
      </c>
      <c r="HG13" s="793">
        <f t="shared" si="70"/>
        <v>6.4679445185185216</v>
      </c>
      <c r="HH13" s="793">
        <f t="shared" si="70"/>
        <v>6.7821743555555543</v>
      </c>
      <c r="HI13" s="793">
        <f t="shared" si="70"/>
        <v>-24.035929644444444</v>
      </c>
      <c r="HJ13" s="793">
        <f t="shared" si="70"/>
        <v>1.6419794074074101</v>
      </c>
      <c r="HK13" s="793">
        <f t="shared" si="70"/>
        <v>0.68362133333333475</v>
      </c>
      <c r="HL13" s="793">
        <f t="shared" si="70"/>
        <v>-10.137516444444447</v>
      </c>
      <c r="HM13" s="793">
        <f t="shared" ref="HM13:HS13" si="71">HM12-GN12</f>
        <v>1.8813835555555514</v>
      </c>
      <c r="HN13" s="793">
        <f t="shared" si="71"/>
        <v>2.6559399999999975</v>
      </c>
      <c r="HO13" s="793">
        <f t="shared" si="71"/>
        <v>4.8546800444444429</v>
      </c>
      <c r="HP13" s="793">
        <f t="shared" si="71"/>
        <v>7.3168631897435858</v>
      </c>
      <c r="HQ13" s="793">
        <f t="shared" si="71"/>
        <v>3.8410746666666693</v>
      </c>
      <c r="HR13" s="793">
        <f t="shared" si="71"/>
        <v>1.9336008888888863</v>
      </c>
      <c r="HS13" s="793">
        <f t="shared" si="71"/>
        <v>1.0175779829059834</v>
      </c>
    </row>
    <row r="14" spans="1:227" ht="15.75" customHeight="1">
      <c r="A14" s="1393">
        <f>Eingabedaten!A20</f>
        <v>4.04</v>
      </c>
      <c r="B14" s="738" t="str">
        <f>Eingabedaten!C20</f>
        <v>Hörsaal</v>
      </c>
      <c r="C14" s="724" t="s">
        <v>5</v>
      </c>
      <c r="D14" s="740"/>
      <c r="E14" s="740"/>
      <c r="F14" s="740"/>
      <c r="G14" s="740"/>
      <c r="H14" s="740"/>
      <c r="I14" s="740"/>
      <c r="J14" s="740"/>
      <c r="K14" s="739">
        <v>15</v>
      </c>
      <c r="L14" s="740"/>
      <c r="M14" s="740"/>
      <c r="N14" s="740"/>
      <c r="O14" s="740"/>
      <c r="P14" s="740"/>
      <c r="Q14" s="740"/>
      <c r="R14" s="740"/>
      <c r="S14" s="740"/>
      <c r="T14" s="740"/>
      <c r="U14" s="740"/>
      <c r="V14" s="740"/>
      <c r="W14" s="740"/>
      <c r="X14" s="740"/>
      <c r="Y14" s="740"/>
      <c r="AA14" s="770">
        <f>1/Eingabedaten!AP20</f>
        <v>0.33333333333333331</v>
      </c>
      <c r="AC14" s="775" t="s">
        <v>1060</v>
      </c>
      <c r="AD14" s="776" t="s">
        <v>3</v>
      </c>
      <c r="AE14" s="1285">
        <f>SUMPRODUCT(Eingabedaten!$AC$9:$AC$53,'Fläche-E'!D$3:D$47)/100</f>
        <v>20.55</v>
      </c>
      <c r="AF14" s="786">
        <f>SUMPRODUCT(Eingabedaten!$AC$9:$AC$53,'Fläche-E'!E$3:E$47)/100</f>
        <v>20.55</v>
      </c>
      <c r="AG14" s="786">
        <f>SUMPRODUCT(Eingabedaten!$AC$9:$AC$53,'Fläche-E'!F$3:F$47)/100</f>
        <v>20.7</v>
      </c>
      <c r="AH14" s="786">
        <f>SUMPRODUCT(Eingabedaten!$AC$9:$AC$53,'Fläche-E'!G$3:G$47)/100</f>
        <v>20.7</v>
      </c>
      <c r="AI14" s="786">
        <f>SUMPRODUCT(Eingabedaten!$AC$9:$AC$53,'Fläche-E'!H$3:H$47)/100</f>
        <v>20.440000000000001</v>
      </c>
      <c r="AJ14" s="786">
        <f>SUMPRODUCT(Eingabedaten!$AC$9:$AC$53,'Fläche-E'!I$3:I$47)/100</f>
        <v>20.55</v>
      </c>
      <c r="AK14" s="786">
        <f>SUMPRODUCT(Eingabedaten!$AC$9:$AC$53,'Fläche-E'!J$3:J$47)/100</f>
        <v>20.55</v>
      </c>
      <c r="AL14" s="786">
        <f>SUMPRODUCT(Eingabedaten!$AC$9:$AC$53,'Fläche-E'!K$3:K$47)/100</f>
        <v>20.38</v>
      </c>
      <c r="AM14" s="786">
        <f>SUMPRODUCT(Eingabedaten!$AC$9:$AC$53,'Fläche-E'!L$3:L$47)/100</f>
        <v>20.04</v>
      </c>
      <c r="AN14" s="786">
        <f>SUMPRODUCT(Eingabedaten!$AC$9:$AC$53,'Fläche-E'!M$3:M$47)/100</f>
        <v>19.68</v>
      </c>
      <c r="AO14" s="786">
        <f>SUMPRODUCT(Eingabedaten!$AC$9:$AC$53,'Fläche-E'!N$3:N$47)/100</f>
        <v>20.04</v>
      </c>
      <c r="AP14" s="786">
        <f>SUMPRODUCT(Eingabedaten!$AC$9:$AC$53,'Fläche-E'!O$3:O$47)/100</f>
        <v>20.04</v>
      </c>
      <c r="AQ14" s="786">
        <f>SUMPRODUCT(Eingabedaten!$AC$9:$AC$53,'Fläche-E'!P$3:P$47)/100</f>
        <v>20.18</v>
      </c>
      <c r="AR14" s="786">
        <f>SUMPRODUCT(Eingabedaten!$AC$9:$AC$53,'Fläche-E'!Q$3:Q$47)/100</f>
        <v>20.7</v>
      </c>
      <c r="AS14" s="786">
        <f>SUMPRODUCT(Eingabedaten!$AC$9:$AC$53,'Fläche-E'!R$3:R$47)/100</f>
        <v>21.05</v>
      </c>
      <c r="AT14" s="786">
        <f>SUMPRODUCT(Eingabedaten!$AC$9:$AC$53,'Fläche-E'!S$3:S$47)/100</f>
        <v>21.05</v>
      </c>
      <c r="AU14" s="786">
        <f>SUMPRODUCT(Eingabedaten!$AC$9:$AC$53,'Fläche-E'!T$3:T$47)/100</f>
        <v>21.1</v>
      </c>
      <c r="AV14" s="786">
        <f>SUMPRODUCT(Eingabedaten!$AC$9:$AC$53,'Fläche-E'!U$3:U$47)/100</f>
        <v>20.28</v>
      </c>
      <c r="AW14" s="786">
        <f>SUMPRODUCT(Eingabedaten!$AC$9:$AC$53,'Fläche-E'!V$3:V$47)/100</f>
        <v>18.63</v>
      </c>
      <c r="AX14" s="786">
        <f>SUMPRODUCT(Eingabedaten!$AC$9:$AC$53,'Fläche-E'!W$3:W$47)/100</f>
        <v>18.899999999999999</v>
      </c>
      <c r="AY14" s="787">
        <f>SUMPRODUCT(Eingabedaten!$AC$9:$AC$53,'Fläche-E'!X$3:X$47)/100</f>
        <v>22.5</v>
      </c>
      <c r="AZ14" s="787">
        <f>SUMPRODUCT(Eingabedaten!$AC$9:$AC$53,'Fläche-E'!Y$3:Y$47)/100</f>
        <v>1.95</v>
      </c>
      <c r="CB14" s="755" t="s">
        <v>1552</v>
      </c>
      <c r="CC14" s="756" t="s">
        <v>1101</v>
      </c>
      <c r="CD14" s="761">
        <f>ROUND(AE8/0.67,0)</f>
        <v>17</v>
      </c>
      <c r="CE14" s="761"/>
      <c r="CF14" s="751"/>
      <c r="CG14" s="759">
        <f t="shared" ref="CG14:CX14" si="72">ROUND(AH8/0.67,0)</f>
        <v>15</v>
      </c>
      <c r="CH14" s="758">
        <f t="shared" si="72"/>
        <v>2</v>
      </c>
      <c r="CI14" s="758">
        <f t="shared" si="72"/>
        <v>2</v>
      </c>
      <c r="CJ14" s="758">
        <f t="shared" si="72"/>
        <v>2</v>
      </c>
      <c r="CK14" s="758">
        <f t="shared" si="72"/>
        <v>2</v>
      </c>
      <c r="CL14" s="758">
        <f t="shared" si="72"/>
        <v>2</v>
      </c>
      <c r="CM14" s="751">
        <f t="shared" si="72"/>
        <v>2</v>
      </c>
      <c r="CN14" s="751">
        <f t="shared" si="72"/>
        <v>2</v>
      </c>
      <c r="CO14" s="751">
        <f t="shared" si="72"/>
        <v>1</v>
      </c>
      <c r="CP14" s="759">
        <f t="shared" si="72"/>
        <v>65</v>
      </c>
      <c r="CQ14" s="758">
        <f t="shared" si="72"/>
        <v>5</v>
      </c>
      <c r="CR14" s="759">
        <f t="shared" si="72"/>
        <v>33</v>
      </c>
      <c r="CS14" s="759">
        <f t="shared" si="72"/>
        <v>28</v>
      </c>
      <c r="CT14" s="759">
        <f t="shared" si="72"/>
        <v>41</v>
      </c>
      <c r="CU14" s="758">
        <f t="shared" si="72"/>
        <v>2</v>
      </c>
      <c r="CV14" s="751">
        <f t="shared" si="72"/>
        <v>1</v>
      </c>
      <c r="CW14" s="758">
        <f t="shared" si="72"/>
        <v>45</v>
      </c>
      <c r="CX14" s="759">
        <f t="shared" si="72"/>
        <v>104</v>
      </c>
      <c r="CY14" s="793"/>
      <c r="DB14" s="755" t="s">
        <v>1129</v>
      </c>
      <c r="DC14" s="756" t="s">
        <v>209</v>
      </c>
      <c r="DD14" s="793">
        <f>AE29</f>
        <v>51.470588235294116</v>
      </c>
      <c r="DE14" s="793"/>
      <c r="DF14" s="793"/>
      <c r="DG14" s="793"/>
      <c r="DH14" s="794">
        <f>CH4</f>
        <v>25</v>
      </c>
      <c r="DI14" s="794">
        <f>CI4</f>
        <v>10</v>
      </c>
      <c r="DJ14" s="794"/>
      <c r="DK14" s="794"/>
      <c r="DL14" s="724"/>
      <c r="DM14" s="793">
        <f>AN29</f>
        <v>15.909090909090908</v>
      </c>
      <c r="DN14" s="793">
        <f>AO29</f>
        <v>15.909090909090908</v>
      </c>
      <c r="DO14" s="724"/>
      <c r="DP14" s="793">
        <f>AQ29</f>
        <v>4.5691906005221927</v>
      </c>
      <c r="DQ14" s="738"/>
      <c r="DR14" s="738"/>
      <c r="DS14" s="738"/>
      <c r="DT14" s="738"/>
      <c r="DU14" s="738"/>
      <c r="DV14" s="738"/>
      <c r="DW14" s="738"/>
      <c r="FT14" s="723">
        <f>AY7/4+AY5</f>
        <v>13.270549641389152</v>
      </c>
      <c r="FU14" s="723">
        <f>AZ7/4+AZ5</f>
        <v>0.3871317996041348</v>
      </c>
      <c r="GV14" s="735"/>
      <c r="GW14" s="802" t="s">
        <v>5</v>
      </c>
      <c r="GX14" s="724">
        <f t="shared" ref="GX14" si="73">D12</f>
        <v>0</v>
      </c>
      <c r="GY14" s="724">
        <f>GY13/GY12%</f>
        <v>19.806280952380938</v>
      </c>
      <c r="GZ14" s="724">
        <f t="shared" ref="GZ14:HS14" si="74">GZ13/GZ12%</f>
        <v>-0.23392787524367667</v>
      </c>
      <c r="HA14" s="724">
        <f t="shared" si="74"/>
        <v>17.262843209876543</v>
      </c>
      <c r="HB14" s="724">
        <f t="shared" si="74"/>
        <v>5.7975959899749396</v>
      </c>
      <c r="HC14" s="724" t="e">
        <f t="shared" si="74"/>
        <v>#DIV/0!</v>
      </c>
      <c r="HD14" s="724">
        <f t="shared" si="74"/>
        <v>-0.41345561434451067</v>
      </c>
      <c r="HE14" s="724">
        <f t="shared" si="74"/>
        <v>25.378502903600459</v>
      </c>
      <c r="HF14" s="724" t="e">
        <f t="shared" si="74"/>
        <v>#DIV/0!</v>
      </c>
      <c r="HG14" s="724">
        <f t="shared" si="74"/>
        <v>18.219562023995838</v>
      </c>
      <c r="HH14" s="724">
        <f t="shared" si="74"/>
        <v>19.104716494522687</v>
      </c>
      <c r="HI14" s="724" t="e">
        <f t="shared" si="74"/>
        <v>#DIV/0!</v>
      </c>
      <c r="HJ14" s="724">
        <f t="shared" si="74"/>
        <v>10.946529382716069</v>
      </c>
      <c r="HK14" s="724">
        <f t="shared" si="74"/>
        <v>3.3347382113821209</v>
      </c>
      <c r="HL14" s="724">
        <f t="shared" si="74"/>
        <v>-122.13875234270418</v>
      </c>
      <c r="HM14" s="724">
        <f t="shared" si="74"/>
        <v>8.5517434343434147</v>
      </c>
      <c r="HN14" s="724">
        <f t="shared" si="74"/>
        <v>13.620205128205114</v>
      </c>
      <c r="HO14" s="724">
        <f t="shared" si="74"/>
        <v>23.797451198257075</v>
      </c>
      <c r="HP14" s="724">
        <f t="shared" si="74"/>
        <v>32.519391954415937</v>
      </c>
      <c r="HQ14" s="724">
        <f t="shared" si="74"/>
        <v>24.310599156118158</v>
      </c>
      <c r="HR14" s="724">
        <f t="shared" si="74"/>
        <v>11.112648786717738</v>
      </c>
      <c r="HS14" s="724">
        <f t="shared" si="74"/>
        <v>27.502107646107657</v>
      </c>
    </row>
    <row r="15" spans="1:227" ht="15.75" customHeight="1">
      <c r="A15" s="1393">
        <f>Eingabedaten!A21</f>
        <v>4.05</v>
      </c>
      <c r="B15" s="738" t="str">
        <f>Eingabedaten!C21</f>
        <v>Schulfachraum (Spezialraum)</v>
      </c>
      <c r="C15" s="724" t="s">
        <v>5</v>
      </c>
      <c r="D15" s="740"/>
      <c r="E15" s="740"/>
      <c r="F15" s="740"/>
      <c r="G15" s="740"/>
      <c r="H15" s="740"/>
      <c r="I15" s="740">
        <v>5</v>
      </c>
      <c r="J15" s="740">
        <v>5</v>
      </c>
      <c r="K15" s="739">
        <v>5</v>
      </c>
      <c r="L15" s="740"/>
      <c r="M15" s="740"/>
      <c r="N15" s="740"/>
      <c r="O15" s="740"/>
      <c r="P15" s="740"/>
      <c r="Q15" s="740"/>
      <c r="R15" s="740"/>
      <c r="S15" s="740"/>
      <c r="T15" s="740"/>
      <c r="U15" s="740"/>
      <c r="V15" s="740"/>
      <c r="W15" s="740"/>
      <c r="X15" s="740"/>
      <c r="Y15" s="740"/>
      <c r="AA15" s="770">
        <f>1/Eingabedaten!AP21</f>
        <v>0.2</v>
      </c>
      <c r="AC15" s="775"/>
      <c r="AD15" s="776"/>
      <c r="AE15" s="1284"/>
      <c r="AF15" s="746"/>
      <c r="AG15" s="746"/>
      <c r="AH15" s="746"/>
      <c r="AI15" s="746"/>
      <c r="AJ15" s="746"/>
      <c r="AK15" s="746"/>
      <c r="AL15" s="746"/>
      <c r="AM15" s="746"/>
      <c r="AN15" s="746"/>
      <c r="AO15" s="746"/>
      <c r="AP15" s="746"/>
      <c r="AQ15" s="746"/>
      <c r="AR15" s="746"/>
      <c r="AS15" s="746"/>
      <c r="AT15" s="746"/>
      <c r="AU15" s="746"/>
      <c r="AV15" s="746"/>
      <c r="AW15" s="746"/>
      <c r="AX15" s="746"/>
      <c r="AY15" s="785"/>
      <c r="AZ15" s="785"/>
      <c r="BA15" s="744"/>
      <c r="BC15" s="723" t="s">
        <v>557</v>
      </c>
      <c r="CB15" s="755" t="s">
        <v>1560</v>
      </c>
      <c r="CC15" s="756" t="s">
        <v>1101</v>
      </c>
      <c r="CD15" s="761">
        <f>ROUND(AE8,0)</f>
        <v>12</v>
      </c>
      <c r="CE15" s="761"/>
      <c r="CF15" s="751"/>
      <c r="CG15" s="759">
        <f t="shared" ref="CG15:CX15" si="75">ROUND(AH8,0)</f>
        <v>10</v>
      </c>
      <c r="CH15" s="758">
        <f t="shared" si="75"/>
        <v>1</v>
      </c>
      <c r="CI15" s="758">
        <f t="shared" si="75"/>
        <v>2</v>
      </c>
      <c r="CJ15" s="758">
        <f t="shared" si="75"/>
        <v>2</v>
      </c>
      <c r="CK15" s="758">
        <f t="shared" si="75"/>
        <v>1</v>
      </c>
      <c r="CL15" s="758">
        <f t="shared" si="75"/>
        <v>1</v>
      </c>
      <c r="CM15" s="751">
        <f t="shared" si="75"/>
        <v>1</v>
      </c>
      <c r="CN15" s="751">
        <f t="shared" si="75"/>
        <v>1</v>
      </c>
      <c r="CO15" s="751">
        <f t="shared" si="75"/>
        <v>1</v>
      </c>
      <c r="CP15" s="759">
        <f t="shared" si="75"/>
        <v>44</v>
      </c>
      <c r="CQ15" s="758">
        <f t="shared" si="75"/>
        <v>4</v>
      </c>
      <c r="CR15" s="759">
        <f t="shared" si="75"/>
        <v>22</v>
      </c>
      <c r="CS15" s="759">
        <f t="shared" si="75"/>
        <v>19</v>
      </c>
      <c r="CT15" s="759">
        <f t="shared" si="75"/>
        <v>27</v>
      </c>
      <c r="CU15" s="758">
        <f t="shared" si="75"/>
        <v>1</v>
      </c>
      <c r="CV15" s="751">
        <f t="shared" si="75"/>
        <v>1</v>
      </c>
      <c r="CW15" s="758">
        <f t="shared" si="75"/>
        <v>30</v>
      </c>
      <c r="CX15" s="759">
        <f t="shared" si="75"/>
        <v>70</v>
      </c>
      <c r="FT15" s="723">
        <f>AY8/0.67/3</f>
        <v>34.733912153518133</v>
      </c>
      <c r="FU15" s="723">
        <f>AZ8/0.67/3</f>
        <v>0</v>
      </c>
    </row>
    <row r="16" spans="1:227" ht="15.75" customHeight="1">
      <c r="A16" s="1393">
        <f>Eingabedaten!A22</f>
        <v>5.01</v>
      </c>
      <c r="B16" s="738" t="str">
        <f>Eingabedaten!C22</f>
        <v>Lebensmittelverkauf</v>
      </c>
      <c r="C16" s="724" t="s">
        <v>5</v>
      </c>
      <c r="D16" s="740"/>
      <c r="E16" s="740"/>
      <c r="F16" s="740"/>
      <c r="G16" s="740"/>
      <c r="H16" s="740"/>
      <c r="I16" s="740"/>
      <c r="J16" s="740"/>
      <c r="K16" s="740"/>
      <c r="L16" s="740"/>
      <c r="M16" s="739">
        <v>60</v>
      </c>
      <c r="N16" s="740"/>
      <c r="O16" s="740"/>
      <c r="P16" s="740"/>
      <c r="Q16" s="740"/>
      <c r="R16" s="740"/>
      <c r="S16" s="740"/>
      <c r="T16" s="740"/>
      <c r="U16" s="740"/>
      <c r="V16" s="740"/>
      <c r="W16" s="740"/>
      <c r="X16" s="740"/>
      <c r="Y16" s="740"/>
      <c r="AA16" s="770">
        <f>1/Eingabedaten!AP22</f>
        <v>0.125</v>
      </c>
      <c r="AC16" s="775"/>
      <c r="AD16" s="779"/>
      <c r="AE16" s="1286"/>
      <c r="AF16" s="788"/>
      <c r="AG16" s="788"/>
      <c r="AH16" s="788"/>
      <c r="AI16" s="788"/>
      <c r="AJ16" s="788"/>
      <c r="AK16" s="788"/>
      <c r="AL16" s="788"/>
      <c r="AM16" s="788"/>
      <c r="AN16" s="788"/>
      <c r="AO16" s="788"/>
      <c r="AP16" s="788"/>
      <c r="AQ16" s="788"/>
      <c r="AR16" s="788"/>
      <c r="AS16" s="788"/>
      <c r="AT16" s="788"/>
      <c r="AU16" s="788"/>
      <c r="AV16" s="788"/>
      <c r="AW16" s="788"/>
      <c r="AX16" s="788"/>
      <c r="AY16" s="789"/>
      <c r="AZ16" s="789"/>
      <c r="BA16" s="744"/>
      <c r="BC16" s="723" t="s">
        <v>420</v>
      </c>
      <c r="BD16" s="723" t="s">
        <v>24</v>
      </c>
      <c r="BE16" s="723">
        <f>BE8*BE9/8.76+BE5/BE4*BE6/24</f>
        <v>3.112442922374429</v>
      </c>
      <c r="BF16" s="723" t="e">
        <f t="shared" ref="BF16:BY16" si="76">BF8*BF9/8.76+BF5/BF4*BF6/24</f>
        <v>#DIV/0!</v>
      </c>
      <c r="BG16" s="723" t="e">
        <f t="shared" si="76"/>
        <v>#DIV/0!</v>
      </c>
      <c r="BH16" s="723">
        <f t="shared" si="76"/>
        <v>2.3413242009132418</v>
      </c>
      <c r="BI16" s="723">
        <f t="shared" si="76"/>
        <v>3.2602739726027399</v>
      </c>
      <c r="BJ16" s="723">
        <f t="shared" si="76"/>
        <v>2.2968036529680367</v>
      </c>
      <c r="BK16" s="723" t="e">
        <f t="shared" si="76"/>
        <v>#DIV/0!</v>
      </c>
      <c r="BL16" s="723" t="e">
        <f t="shared" si="76"/>
        <v>#DIV/0!</v>
      </c>
      <c r="BM16" s="723">
        <f t="shared" si="76"/>
        <v>4.5136986301369868</v>
      </c>
      <c r="BN16" s="723" t="e">
        <f t="shared" si="76"/>
        <v>#DIV/0!</v>
      </c>
      <c r="BO16" s="723" t="e">
        <f t="shared" si="76"/>
        <v>#DIV/0!</v>
      </c>
      <c r="BP16" s="723" t="e">
        <f t="shared" si="76"/>
        <v>#DIV/0!</v>
      </c>
      <c r="BQ16" s="723">
        <f t="shared" si="76"/>
        <v>5.1369863013698627</v>
      </c>
      <c r="BR16" s="723">
        <f t="shared" si="76"/>
        <v>3.5525114155251143</v>
      </c>
      <c r="BS16" s="723">
        <f t="shared" si="76"/>
        <v>4.0152207001522067</v>
      </c>
      <c r="BT16" s="723" t="e">
        <f t="shared" ref="BT16:BU16" si="77">BT8*BT9/8.76+BT5/BT4*BT6/24</f>
        <v>#DIV/0!</v>
      </c>
      <c r="BU16" s="723" t="e">
        <f t="shared" si="77"/>
        <v>#DIV/0!</v>
      </c>
      <c r="BV16" s="723">
        <f t="shared" si="76"/>
        <v>2.579908675799087</v>
      </c>
      <c r="BW16" s="723">
        <f t="shared" si="76"/>
        <v>0.86643835616438358</v>
      </c>
      <c r="BX16" s="723">
        <f t="shared" si="76"/>
        <v>1.8664383561643836</v>
      </c>
      <c r="BY16" s="743">
        <f t="shared" si="76"/>
        <v>4.974885844748858</v>
      </c>
      <c r="CB16" s="792" t="s">
        <v>1133</v>
      </c>
      <c r="CC16" s="756" t="s">
        <v>1101</v>
      </c>
      <c r="CD16" s="793">
        <f>CD5*CD6*365/1000/CD4</f>
        <v>6.6429999999999998</v>
      </c>
      <c r="CE16" s="793"/>
      <c r="CF16" s="793" t="e">
        <f>CF5*CF6*365/1000/CF4</f>
        <v>#DIV/0!</v>
      </c>
      <c r="CG16" s="793">
        <f>CG5*CG6*365/1000/CG4</f>
        <v>4.7450000000000001</v>
      </c>
      <c r="CH16" s="793">
        <f>CH5*CH6*365/1000/CH4</f>
        <v>7.1539999999999999</v>
      </c>
      <c r="CI16" s="793">
        <f>CI5*CI6*365/1000/CI4</f>
        <v>12.775</v>
      </c>
      <c r="CJ16" s="793"/>
      <c r="CK16" s="793"/>
      <c r="CL16" s="793">
        <f t="shared" ref="CL16:CX16" si="78">CL5*CL6*365/1000/CL4</f>
        <v>11.923333333333334</v>
      </c>
      <c r="CM16" s="793">
        <f t="shared" si="78"/>
        <v>11.923333333333334</v>
      </c>
      <c r="CN16" s="793">
        <f t="shared" si="78"/>
        <v>11.923333333333334</v>
      </c>
      <c r="CO16" s="793">
        <f t="shared" si="78"/>
        <v>5.9616666666666669</v>
      </c>
      <c r="CP16" s="793">
        <f t="shared" si="78"/>
        <v>20.440000000000001</v>
      </c>
      <c r="CQ16" s="793">
        <f t="shared" si="78"/>
        <v>40.880000000000003</v>
      </c>
      <c r="CR16" s="793">
        <f t="shared" si="78"/>
        <v>17.884999999999998</v>
      </c>
      <c r="CS16" s="793">
        <f t="shared" si="78"/>
        <v>20.440000000000001</v>
      </c>
      <c r="CT16" s="793">
        <f t="shared" si="78"/>
        <v>20.440000000000001</v>
      </c>
      <c r="CU16" s="793">
        <f t="shared" si="78"/>
        <v>4.2583333333333337</v>
      </c>
      <c r="CV16" s="793">
        <f t="shared" si="78"/>
        <v>3.65</v>
      </c>
      <c r="CW16" s="793">
        <f t="shared" si="78"/>
        <v>3.2850000000000001</v>
      </c>
      <c r="CX16" s="793">
        <f t="shared" si="78"/>
        <v>10.220000000000001</v>
      </c>
      <c r="FT16" s="741">
        <f>AY3</f>
        <v>6.1908000000000003</v>
      </c>
      <c r="FU16" s="741">
        <f>AZ3</f>
        <v>1.5335999999999999</v>
      </c>
      <c r="FV16" s="741"/>
    </row>
    <row r="17" spans="1:181" ht="15.75" customHeight="1">
      <c r="A17" s="1393">
        <f>Eingabedaten!A23</f>
        <v>5.0199999999999996</v>
      </c>
      <c r="B17" s="738" t="str">
        <f>Eingabedaten!C23</f>
        <v>Fachgeschäft</v>
      </c>
      <c r="C17" s="724" t="s">
        <v>5</v>
      </c>
      <c r="D17" s="740"/>
      <c r="E17" s="740"/>
      <c r="F17" s="740"/>
      <c r="G17" s="740"/>
      <c r="H17" s="740"/>
      <c r="I17" s="740"/>
      <c r="J17" s="740"/>
      <c r="K17" s="740"/>
      <c r="L17" s="739">
        <v>60</v>
      </c>
      <c r="M17" s="740"/>
      <c r="N17" s="739">
        <v>60</v>
      </c>
      <c r="O17" s="740"/>
      <c r="P17" s="740"/>
      <c r="Q17" s="740"/>
      <c r="R17" s="740"/>
      <c r="S17" s="740"/>
      <c r="T17" s="740"/>
      <c r="U17" s="740"/>
      <c r="V17" s="740"/>
      <c r="W17" s="740"/>
      <c r="X17" s="740"/>
      <c r="Y17" s="740"/>
      <c r="AA17" s="770">
        <f>1/Eingabedaten!AP23</f>
        <v>0.125</v>
      </c>
      <c r="AC17" s="775" t="s">
        <v>1135</v>
      </c>
      <c r="AD17" s="776" t="s">
        <v>1131</v>
      </c>
      <c r="AE17" s="1283">
        <f>AE8*AE29</f>
        <v>592.7600000000001</v>
      </c>
      <c r="AF17" s="748">
        <f>AF8*AF29</f>
        <v>592.7600000000001</v>
      </c>
      <c r="AG17" s="748">
        <f t="shared" ref="AG17:AZ17" si="79">AG8*AG29</f>
        <v>435.21330805687211</v>
      </c>
      <c r="AH17" s="748">
        <f t="shared" si="79"/>
        <v>677.43999999999983</v>
      </c>
      <c r="AI17" s="748">
        <f t="shared" si="79"/>
        <v>33.160147630922694</v>
      </c>
      <c r="AJ17" s="748">
        <f t="shared" si="79"/>
        <v>16.449652567814038</v>
      </c>
      <c r="AK17" s="748">
        <f>AK8*AK29</f>
        <v>16.449652567814038</v>
      </c>
      <c r="AL17" s="748">
        <f>AL8*AL29</f>
        <v>15.129969932964151</v>
      </c>
      <c r="AM17" s="748">
        <f t="shared" si="79"/>
        <v>22.446000000000005</v>
      </c>
      <c r="AN17" s="748">
        <f t="shared" si="79"/>
        <v>22.446000000000005</v>
      </c>
      <c r="AO17" s="748">
        <f t="shared" si="79"/>
        <v>22.446000000000005</v>
      </c>
      <c r="AP17" s="748">
        <f t="shared" si="79"/>
        <v>22.977127868852463</v>
      </c>
      <c r="AQ17" s="748">
        <f t="shared" si="79"/>
        <v>199.55210443864232</v>
      </c>
      <c r="AR17" s="748">
        <f t="shared" si="79"/>
        <v>22.040000000000003</v>
      </c>
      <c r="AS17" s="748">
        <f t="shared" si="79"/>
        <v>406.95689679715315</v>
      </c>
      <c r="AT17" s="748">
        <f t="shared" ref="AT17:AU17" si="80">AT8*AT29</f>
        <v>324.04093203883491</v>
      </c>
      <c r="AU17" s="748">
        <f t="shared" si="80"/>
        <v>534.85905617977539</v>
      </c>
      <c r="AV17" s="748">
        <f t="shared" si="79"/>
        <v>36.331200000000003</v>
      </c>
      <c r="AW17" s="748">
        <f t="shared" si="79"/>
        <v>36.331200000000003</v>
      </c>
      <c r="AX17" s="748">
        <f t="shared" si="79"/>
        <v>1269.6012493150683</v>
      </c>
      <c r="AY17" s="784">
        <f t="shared" si="79"/>
        <v>1372.7700674157309</v>
      </c>
      <c r="AZ17" s="784">
        <f t="shared" si="79"/>
        <v>0</v>
      </c>
      <c r="BA17" s="744"/>
      <c r="BC17" s="723" t="s">
        <v>1539</v>
      </c>
      <c r="BD17" s="723" t="s">
        <v>24</v>
      </c>
      <c r="BE17" s="723">
        <f t="shared" ref="BE17:BS17" si="81">CD8*CD9/8.76+CD5/CD4*CD6/24</f>
        <v>2.5962328767123286</v>
      </c>
      <c r="BF17" s="723" t="e">
        <f t="shared" si="81"/>
        <v>#DIV/0!</v>
      </c>
      <c r="BG17" s="723" t="e">
        <f t="shared" si="81"/>
        <v>#DIV/0!</v>
      </c>
      <c r="BH17" s="723">
        <f t="shared" si="81"/>
        <v>2.185502283105023</v>
      </c>
      <c r="BI17" s="723">
        <f t="shared" si="81"/>
        <v>3.6477168949771688</v>
      </c>
      <c r="BJ17" s="723">
        <f t="shared" si="81"/>
        <v>2.9765981735159817</v>
      </c>
      <c r="BK17" s="723">
        <f t="shared" si="81"/>
        <v>1.5182648401826484</v>
      </c>
      <c r="BL17" s="723">
        <f t="shared" si="81"/>
        <v>2.0547945205479454</v>
      </c>
      <c r="BM17" s="723">
        <f t="shared" si="81"/>
        <v>4.557458143074582</v>
      </c>
      <c r="BN17" s="723">
        <f t="shared" si="81"/>
        <v>4.6373668188736685</v>
      </c>
      <c r="BO17" s="723">
        <f t="shared" si="81"/>
        <v>4.557458143074582</v>
      </c>
      <c r="BP17" s="723">
        <f t="shared" si="81"/>
        <v>3.4773592085235925</v>
      </c>
      <c r="BQ17" s="723">
        <f t="shared" si="81"/>
        <v>3.9885844748858448</v>
      </c>
      <c r="BR17" s="723">
        <f t="shared" si="81"/>
        <v>6.7899543378995428</v>
      </c>
      <c r="BS17" s="723">
        <f t="shared" si="81"/>
        <v>4.2334474885844742</v>
      </c>
      <c r="BT17" s="723">
        <f>CU8*CU9/8.76+CU5/CU4*CU6/24</f>
        <v>2.1984398782343986</v>
      </c>
      <c r="BU17" s="723">
        <f>CV8*CV9/8.76+CV5/CV4*CV6/24</f>
        <v>2.1518264840182648</v>
      </c>
      <c r="BV17" s="723">
        <f>CU8*CU9/8.76+CU5/CU4*CU6/24</f>
        <v>2.1984398782343986</v>
      </c>
      <c r="BW17" s="723">
        <f>CV8*CV9/8.76+CV5/CV4*CV6/24</f>
        <v>2.1518264840182648</v>
      </c>
      <c r="BX17" s="723">
        <f>CW8*CW9/8.76+CW5/CW4*CW6/24</f>
        <v>1.8133561643835616</v>
      </c>
      <c r="BY17" s="743">
        <f>CX8*CX9/8.76+CX5/CX4*CX6/24</f>
        <v>2.8219178082191783</v>
      </c>
      <c r="CB17" s="728" t="s">
        <v>1201</v>
      </c>
      <c r="CC17" s="756" t="s">
        <v>1101</v>
      </c>
      <c r="CD17" s="793">
        <f>CD16-CD7</f>
        <v>-0.35700000000000021</v>
      </c>
      <c r="CE17" s="793"/>
      <c r="CF17" s="738"/>
      <c r="CG17" s="793">
        <f>CG16-CG7</f>
        <v>-0.25499999999999989</v>
      </c>
      <c r="CH17" s="793">
        <f>CH16-CH7</f>
        <v>1.1539999999999999</v>
      </c>
      <c r="CI17" s="793">
        <f>CI16-CI7</f>
        <v>-0.22499999999999964</v>
      </c>
      <c r="CJ17" s="793"/>
      <c r="CK17" s="793"/>
      <c r="CL17" s="793">
        <f t="shared" ref="CL17:CX17" si="82">CL16-CL7</f>
        <v>0.92333333333333378</v>
      </c>
      <c r="CM17" s="793">
        <f t="shared" si="82"/>
        <v>0.92333333333333378</v>
      </c>
      <c r="CN17" s="793">
        <f t="shared" si="82"/>
        <v>0.92333333333333378</v>
      </c>
      <c r="CO17" s="793">
        <f t="shared" si="82"/>
        <v>-3.8333333333333108E-2</v>
      </c>
      <c r="CP17" s="793">
        <f t="shared" si="82"/>
        <v>-3.5599999999999987</v>
      </c>
      <c r="CQ17" s="793">
        <f t="shared" si="82"/>
        <v>8.8800000000000026</v>
      </c>
      <c r="CR17" s="793">
        <f t="shared" si="82"/>
        <v>-1.115000000000002</v>
      </c>
      <c r="CS17" s="793">
        <f t="shared" si="82"/>
        <v>1.4400000000000013</v>
      </c>
      <c r="CT17" s="793">
        <f t="shared" si="82"/>
        <v>-0.55999999999999872</v>
      </c>
      <c r="CU17" s="793">
        <f t="shared" si="82"/>
        <v>0.25833333333333375</v>
      </c>
      <c r="CV17" s="793">
        <f t="shared" si="82"/>
        <v>0.64999999999999991</v>
      </c>
      <c r="CW17" s="793">
        <f t="shared" si="82"/>
        <v>0.28500000000000014</v>
      </c>
      <c r="CX17" s="793">
        <f t="shared" si="82"/>
        <v>0.22000000000000064</v>
      </c>
      <c r="DB17" s="723" t="s">
        <v>1134</v>
      </c>
      <c r="FT17" s="741">
        <f>AY4</f>
        <v>9.2755991111111129</v>
      </c>
      <c r="FU17" s="741">
        <f>AZ4</f>
        <v>1.1488220170940169</v>
      </c>
      <c r="FV17" s="741"/>
    </row>
    <row r="18" spans="1:181">
      <c r="A18" s="1393">
        <f>Eingabedaten!A24</f>
        <v>5.03</v>
      </c>
      <c r="B18" s="738" t="str">
        <f>Eingabedaten!C24</f>
        <v>Verkauf Möbel, Bau, Garten</v>
      </c>
      <c r="C18" s="724" t="s">
        <v>5</v>
      </c>
      <c r="D18" s="740"/>
      <c r="E18" s="740"/>
      <c r="F18" s="740"/>
      <c r="G18" s="740"/>
      <c r="H18" s="740"/>
      <c r="I18" s="740"/>
      <c r="J18" s="740"/>
      <c r="K18" s="740"/>
      <c r="L18" s="740"/>
      <c r="M18" s="740"/>
      <c r="N18" s="740"/>
      <c r="O18" s="739">
        <v>60</v>
      </c>
      <c r="P18" s="740"/>
      <c r="Q18" s="740"/>
      <c r="R18" s="740"/>
      <c r="S18" s="740"/>
      <c r="T18" s="740"/>
      <c r="U18" s="740"/>
      <c r="V18" s="740"/>
      <c r="W18" s="740"/>
      <c r="X18" s="740"/>
      <c r="Y18" s="740"/>
      <c r="AA18" s="770">
        <f>1/Eingabedaten!AP24</f>
        <v>6.6666666666666666E-2</v>
      </c>
      <c r="AC18" s="775"/>
      <c r="AD18" s="779"/>
      <c r="AE18" s="1286"/>
      <c r="AF18" s="788"/>
      <c r="AG18" s="788"/>
      <c r="AH18" s="788"/>
      <c r="AI18" s="788"/>
      <c r="AJ18" s="788"/>
      <c r="AK18" s="788"/>
      <c r="AL18" s="788"/>
      <c r="AM18" s="788"/>
      <c r="AN18" s="788"/>
      <c r="AO18" s="788"/>
      <c r="AP18" s="788"/>
      <c r="AQ18" s="788"/>
      <c r="AR18" s="788"/>
      <c r="AS18" s="788"/>
      <c r="AT18" s="788"/>
      <c r="AU18" s="788"/>
      <c r="AV18" s="788"/>
      <c r="AW18" s="788"/>
      <c r="AX18" s="788"/>
      <c r="AY18" s="789"/>
      <c r="AZ18" s="789"/>
      <c r="FT18" s="723">
        <f>AY11</f>
        <v>6.88</v>
      </c>
      <c r="FU18" s="723">
        <f>AZ11</f>
        <v>4.2160000000000002</v>
      </c>
      <c r="FW18" s="741"/>
      <c r="FX18" s="741"/>
      <c r="FY18" s="741"/>
    </row>
    <row r="19" spans="1:181">
      <c r="A19" s="1393">
        <f>Eingabedaten!A25</f>
        <v>6.01</v>
      </c>
      <c r="B19" s="738" t="str">
        <f>Eingabedaten!C25</f>
        <v>Restaurant</v>
      </c>
      <c r="C19" s="724" t="s">
        <v>5</v>
      </c>
      <c r="D19" s="740"/>
      <c r="E19" s="740"/>
      <c r="F19" s="740"/>
      <c r="G19" s="740"/>
      <c r="H19" s="740"/>
      <c r="I19" s="740"/>
      <c r="J19" s="740"/>
      <c r="K19" s="740"/>
      <c r="L19" s="740"/>
      <c r="M19" s="740"/>
      <c r="N19" s="740"/>
      <c r="O19" s="740"/>
      <c r="P19" s="739">
        <v>50</v>
      </c>
      <c r="Q19" s="740"/>
      <c r="R19" s="740"/>
      <c r="S19" s="740"/>
      <c r="T19" s="740"/>
      <c r="U19" s="740"/>
      <c r="V19" s="740"/>
      <c r="W19" s="740"/>
      <c r="X19" s="740"/>
      <c r="Y19" s="740"/>
      <c r="AA19" s="770">
        <f>1/Eingabedaten!AP25</f>
        <v>0.5</v>
      </c>
      <c r="AC19" s="775"/>
      <c r="AD19" s="776"/>
      <c r="AE19" s="1284"/>
      <c r="AF19" s="746"/>
      <c r="AG19" s="746"/>
      <c r="AH19" s="746"/>
      <c r="AI19" s="746"/>
      <c r="AJ19" s="746"/>
      <c r="AK19" s="746"/>
      <c r="AL19" s="746"/>
      <c r="AM19" s="746"/>
      <c r="AN19" s="746"/>
      <c r="AO19" s="746"/>
      <c r="AP19" s="746"/>
      <c r="AQ19" s="746"/>
      <c r="AR19" s="746"/>
      <c r="AS19" s="746"/>
      <c r="AT19" s="746"/>
      <c r="AU19" s="746"/>
      <c r="AV19" s="746"/>
      <c r="AW19" s="746"/>
      <c r="AX19" s="746"/>
      <c r="AY19" s="785"/>
      <c r="AZ19" s="785"/>
      <c r="FT19" s="742">
        <f>SUM(FT14:FT18)</f>
        <v>70.350860906018397</v>
      </c>
      <c r="FU19" s="742">
        <f>SUM(FU14:FU18)</f>
        <v>7.2855538166981519</v>
      </c>
      <c r="FV19" s="742"/>
      <c r="FW19" s="741"/>
      <c r="FX19" s="741"/>
      <c r="FY19" s="741"/>
    </row>
    <row r="20" spans="1:181">
      <c r="A20" s="1393">
        <f>Eingabedaten!A26</f>
        <v>6.02</v>
      </c>
      <c r="B20" s="738" t="str">
        <f>Eingabedaten!C26</f>
        <v>Selbstbedienungsrestaurant</v>
      </c>
      <c r="C20" s="724" t="s">
        <v>5</v>
      </c>
      <c r="D20" s="740"/>
      <c r="E20" s="740"/>
      <c r="F20" s="740"/>
      <c r="G20" s="740"/>
      <c r="H20" s="740"/>
      <c r="I20" s="740"/>
      <c r="J20" s="740"/>
      <c r="K20" s="740"/>
      <c r="L20" s="740"/>
      <c r="M20" s="740"/>
      <c r="N20" s="740"/>
      <c r="O20" s="740"/>
      <c r="P20" s="740"/>
      <c r="Q20" s="740"/>
      <c r="R20" s="740"/>
      <c r="S20" s="740"/>
      <c r="T20" s="740"/>
      <c r="U20" s="740"/>
      <c r="V20" s="740"/>
      <c r="W20" s="740"/>
      <c r="X20" s="740"/>
      <c r="Y20" s="740"/>
      <c r="AA20" s="770">
        <f>1/Eingabedaten!AP26</f>
        <v>0.5</v>
      </c>
      <c r="AC20" s="775" t="s">
        <v>1545</v>
      </c>
      <c r="AD20" s="776" t="s">
        <v>1061</v>
      </c>
      <c r="AE20" s="1287">
        <f>SUMPRODUCT('Resultate Standard'!$AD$6:$AD$50,'Fläche-E'!D$3:D$47)/100*$AD$1</f>
        <v>0.62342857142857155</v>
      </c>
      <c r="AF20" s="790"/>
      <c r="AG20" s="790"/>
      <c r="AH20" s="790">
        <f>SUMPRODUCT('Resultate Standard'!$AD$6:$AD$50,'Fläche-E'!G$3:G$47)/100*$AD$1</f>
        <v>0.45760000000000001</v>
      </c>
      <c r="AI20" s="790">
        <f>SUMPRODUCT('Resultate Standard'!$AD$6:$AD$50,'Fläche-E'!H$3:H$47)/100*$AD$1</f>
        <v>1.9781904761904763</v>
      </c>
      <c r="AJ20" s="790">
        <f>SUMPRODUCT('Resultate Standard'!$AD$6:$AD$50,'Fläche-E'!I$3:I$47)/100*$AD$1</f>
        <v>3.6104571428571428</v>
      </c>
      <c r="AK20" s="790">
        <f>SUMPRODUCT('Resultate Standard'!$AD$6:$AD$50,'Fläche-E'!J$3:J$47)/100*$AD$1</f>
        <v>3.6104571428571428</v>
      </c>
      <c r="AL20" s="790">
        <f>SUMPRODUCT('Resultate Standard'!$AD$6:$AD$50,'Fläche-E'!K$3:K$47)/100*$AD$1</f>
        <v>3.6350476190476186</v>
      </c>
      <c r="AM20" s="790">
        <f>SUMPRODUCT('Resultate Standard'!$AD$6:$AD$50,'Fläche-E'!L$3:L$47)/100*$AD$1</f>
        <v>2.1428571428571432</v>
      </c>
      <c r="AN20" s="790">
        <f>SUMPRODUCT('Resultate Standard'!$AD$6:$AD$50,'Fläche-E'!M$3:M$47)/100*$AD$1</f>
        <v>2.1348571428571432</v>
      </c>
      <c r="AO20" s="790">
        <f>SUMPRODUCT('Resultate Standard'!$AD$6:$AD$50,'Fläche-E'!N$3:N$47)/100*$AD$1</f>
        <v>2.1428571428571432</v>
      </c>
      <c r="AP20" s="790">
        <f>SUMPRODUCT('Resultate Standard'!$AD$6:$AD$50,'Fläche-E'!O$3:O$47)/100*$AD$1</f>
        <v>1.330857142857143</v>
      </c>
      <c r="AQ20" s="790">
        <f>SUMPRODUCT('Resultate Standard'!$AD$6:$AD$50,'Fläche-E'!P$3:P$47)/100*$AD$1</f>
        <v>6.968190476190478</v>
      </c>
      <c r="AR20" s="790">
        <f>SUMPRODUCT('Resultate Standard'!$AD$6:$AD$50,'Fläche-E'!Q$3:Q$47)/100*$AD$1</f>
        <v>5.1628571428571437</v>
      </c>
      <c r="AS20" s="790">
        <f>SUMPRODUCT('Resultate Standard'!$AD$6:$AD$50,'Fläche-E'!R$3:R$47)/100*$AD$1</f>
        <v>2.0121904761904763</v>
      </c>
      <c r="AT20" s="790">
        <f>SUMPRODUCT('Resultate Standard'!$AD$6:$AD$50,'Fläche-E'!S$3:S$47)/100*$AD$1</f>
        <v>2.1668571428571433</v>
      </c>
      <c r="AU20" s="790">
        <f>SUMPRODUCT('Resultate Standard'!$AD$6:$AD$50,'Fläche-E'!T$3:T$47)/100*$AD$1</f>
        <v>1.914857142857143</v>
      </c>
      <c r="AV20" s="790">
        <f>SUMPRODUCT('Resultate Standard'!$AD$6:$AD$50,'Fläche-E'!U$3:U$47)/100*$AD$1</f>
        <v>1.313968253968254</v>
      </c>
      <c r="AW20" s="790">
        <f>SUMPRODUCT('Resultate Standard'!$AD$6:$AD$50,'Fläche-E'!V$3:V$47)/100*$AD$1</f>
        <v>0.91952380952380963</v>
      </c>
      <c r="AX20" s="790">
        <f>SUMPRODUCT('Resultate Standard'!$AD$6:$AD$50,'Fläche-E'!W$3:W$47)/100*$AD$1</f>
        <v>3.1</v>
      </c>
      <c r="AY20" s="791">
        <f>SUMPRODUCT('Resultate Standard'!$AD$6:$AD$50,'Fläche-E'!X$3:X$47)/100*$AD$1</f>
        <v>3.4428571428571431</v>
      </c>
      <c r="AZ20" s="785"/>
      <c r="FT20" s="723">
        <f>FT19-FT9</f>
        <v>70.350860906018397</v>
      </c>
      <c r="FU20" s="723">
        <f>FU19-FU9</f>
        <v>7.2855538166981519</v>
      </c>
    </row>
    <row r="21" spans="1:181">
      <c r="A21" s="1393">
        <f>Eingabedaten!A27</f>
        <v>6.03</v>
      </c>
      <c r="B21" s="738" t="str">
        <f>Eingabedaten!C27</f>
        <v>Küche zu Restaurant</v>
      </c>
      <c r="C21" s="724" t="s">
        <v>5</v>
      </c>
      <c r="D21" s="740"/>
      <c r="E21" s="740"/>
      <c r="F21" s="740"/>
      <c r="G21" s="740"/>
      <c r="H21" s="740"/>
      <c r="I21" s="740"/>
      <c r="J21" s="740"/>
      <c r="K21" s="740"/>
      <c r="L21" s="740"/>
      <c r="M21" s="740"/>
      <c r="N21" s="740"/>
      <c r="O21" s="740"/>
      <c r="P21" s="740">
        <v>10</v>
      </c>
      <c r="Q21" s="740"/>
      <c r="R21" s="740"/>
      <c r="S21" s="740"/>
      <c r="T21" s="740"/>
      <c r="U21" s="740"/>
      <c r="V21" s="740"/>
      <c r="W21" s="740"/>
      <c r="X21" s="740"/>
      <c r="Y21" s="740"/>
      <c r="AA21" s="770">
        <f>1/Eingabedaten!AP27</f>
        <v>0.2</v>
      </c>
      <c r="AC21" s="775" t="s">
        <v>1559</v>
      </c>
      <c r="AD21" s="776" t="s">
        <v>1061</v>
      </c>
      <c r="AE21" s="1287">
        <f>SUMPRODUCT('Resultate Standard'!$AD$6:$AD$50,'Fläche-E'!D$3:D$47,'Resultate Standard'!$AE$6:$AE$50)/100/8760*$AD$1</f>
        <v>0.57351989562948469</v>
      </c>
      <c r="AF21" s="790">
        <f>SUMPRODUCT('Resultate Standard'!$AD$6:$AD$50,'Fläche-E'!E$3:E$47,'Resultate Standard'!$AE$6:$AE$50)/100/8760*$AD$1</f>
        <v>0.57351989562948469</v>
      </c>
      <c r="AG21" s="790">
        <f>SUMPRODUCT('Resultate Standard'!$AD$6:$AD$50,'Fläche-E'!F$3:F$47,'Resultate Standard'!$AE$6:$AE$50)/100/8760*$AD$1</f>
        <v>1.0918199608610566</v>
      </c>
      <c r="AH21" s="790">
        <f>SUMPRODUCT('Resultate Standard'!$AD$6:$AD$50,'Fläche-E'!G$3:G$47,'Resultate Standard'!$AE$6:$AE$50)/100/8760*$AD$1</f>
        <v>0.43778264840182646</v>
      </c>
      <c r="AI21" s="790">
        <f>SUMPRODUCT('Resultate Standard'!$AD$6:$AD$50,'Fläche-E'!H$3:H$47,'Resultate Standard'!$AE$6:$AE$50)/100/8760*$AD$1</f>
        <v>0.67670732767993047</v>
      </c>
      <c r="AJ21" s="790">
        <f>SUMPRODUCT('Resultate Standard'!$AD$6:$AD$50,'Fläche-E'!I$3:I$47,'Resultate Standard'!$AE$6:$AE$50)/100/8760*$AD$1</f>
        <v>0.91802224396607957</v>
      </c>
      <c r="AK21" s="790">
        <f>SUMPRODUCT('Resultate Standard'!$AD$6:$AD$50,'Fläche-E'!J$3:J$47,'Resultate Standard'!$AE$6:$AE$50)/100/8760*$AD$1</f>
        <v>0.91802224396607957</v>
      </c>
      <c r="AL21" s="790">
        <f>SUMPRODUCT('Resultate Standard'!$AD$6:$AD$50,'Fläche-E'!K$3:K$47,'Resultate Standard'!$AE$6:$AE$50)/100/8760*$AD$1</f>
        <v>1.0468948684496631</v>
      </c>
      <c r="AM21" s="790">
        <f>SUMPRODUCT('Resultate Standard'!$AD$6:$AD$50,'Fläche-E'!L$3:L$47,'Resultate Standard'!$AE$6:$AE$50)/100/8760*$AD$1</f>
        <v>1.1072035225048922</v>
      </c>
      <c r="AN21" s="790">
        <f>SUMPRODUCT('Resultate Standard'!$AD$6:$AD$50,'Fläche-E'!M$3:M$47,'Resultate Standard'!$AE$6:$AE$50)/100/8760*$AD$1</f>
        <v>1.1031669928245271</v>
      </c>
      <c r="AO21" s="790">
        <f>SUMPRODUCT('Resultate Standard'!$AD$6:$AD$50,'Fläche-E'!N$3:N$47,'Resultate Standard'!$AE$6:$AE$50)/100/8760*$AD$1</f>
        <v>1.1072035225048922</v>
      </c>
      <c r="AP21" s="790">
        <f>SUMPRODUCT('Resultate Standard'!$AD$6:$AD$50,'Fläche-E'!O$3:O$47,'Resultate Standard'!$AE$6:$AE$50)/100/8760*$AD$1</f>
        <v>0.7950893672537509</v>
      </c>
      <c r="AQ21" s="790">
        <f>SUMPRODUCT('Resultate Standard'!$AD$6:$AD$50,'Fläche-E'!P$3:P$47,'Resultate Standard'!$AE$6:$AE$50)/100/8760*$AD$1</f>
        <v>1.9812720156555774</v>
      </c>
      <c r="AR21" s="790">
        <f>SUMPRODUCT('Resultate Standard'!$AD$6:$AD$50,'Fläche-E'!Q$3:Q$47,'Resultate Standard'!$AE$6:$AE$50)/100/8760*$AD$1</f>
        <v>1.9270863231137203</v>
      </c>
      <c r="AS21" s="790">
        <f>SUMPRODUCT('Resultate Standard'!$AD$6:$AD$50,'Fläche-E'!R$3:R$47,'Resultate Standard'!$AE$6:$AE$50)/100/8760*$AD$1</f>
        <v>1.1850163078930203</v>
      </c>
      <c r="AT21" s="790">
        <f>SUMPRODUCT('Resultate Standard'!$AD$6:$AD$50,'Fläche-E'!S$3:S$47,'Resultate Standard'!$AE$6:$AE$50)/100/8760*$AD$1</f>
        <v>1.2128245270711027</v>
      </c>
      <c r="AU21" s="790">
        <f>SUMPRODUCT('Resultate Standard'!$AD$6:$AD$50,'Fläche-E'!T$3:T$47,'Resultate Standard'!$AE$6:$AE$50)/100/8760*$AD$1</f>
        <v>1.2202948467058057</v>
      </c>
      <c r="AV21" s="790">
        <f>SUMPRODUCT('Resultate Standard'!$AD$6:$AD$50,'Fläche-E'!U$3:U$47,'Resultate Standard'!$AE$6:$AE$50)/100/8760*$AD$1</f>
        <v>0.61190722620859617</v>
      </c>
      <c r="AW21" s="790">
        <f>SUMPRODUCT('Resultate Standard'!$AD$6:$AD$50,'Fläche-E'!V$3:V$47,'Resultate Standard'!$AE$6:$AE$50)/100/8760*$AD$1</f>
        <v>0.58085192433137656</v>
      </c>
      <c r="AX21" s="790">
        <f>SUMPRODUCT('Resultate Standard'!$AD$6:$AD$50,'Fläche-E'!W$3:W$47,'Resultate Standard'!$AE$6:$AE$50)/100/8760*$AD$1</f>
        <v>1.1171232876712329</v>
      </c>
      <c r="AY21" s="791">
        <f>SUMPRODUCT('Resultate Standard'!$AD$6:$AD$50,'Fläche-E'!X$3:X$47,'Resultate Standard'!$AE$6:$AE$50)/100/8760*$AD$1</f>
        <v>1.6889432485322897</v>
      </c>
      <c r="AZ21" s="787">
        <f>SUMPRODUCT('Resultate Standard'!$AD$6:$AD$50,'Fläche-E'!Y$3:Y$47,'Resultate Standard'!$AG$6:$AG$50)/100/8760*$AD$1</f>
        <v>2.0182648401826486E-2</v>
      </c>
      <c r="DB21" s="1712" t="s">
        <v>1966</v>
      </c>
      <c r="DC21" s="1713"/>
      <c r="DD21" s="1713" t="s">
        <v>379</v>
      </c>
      <c r="DE21" s="1713" t="s">
        <v>1107</v>
      </c>
      <c r="DF21" s="1713" t="s">
        <v>1140</v>
      </c>
      <c r="DG21" s="1713" t="s">
        <v>380</v>
      </c>
      <c r="DH21" s="1713" t="s">
        <v>381</v>
      </c>
      <c r="DI21" s="1713" t="s">
        <v>382</v>
      </c>
      <c r="DJ21" s="1713" t="s">
        <v>1138</v>
      </c>
      <c r="DK21" s="1713" t="s">
        <v>1139</v>
      </c>
      <c r="DL21" s="1713" t="s">
        <v>383</v>
      </c>
      <c r="DM21" s="1713" t="s">
        <v>1108</v>
      </c>
      <c r="DN21" s="1713" t="s">
        <v>1109</v>
      </c>
      <c r="DO21" s="1713" t="s">
        <v>1110</v>
      </c>
      <c r="DP21" s="1714" t="s">
        <v>384</v>
      </c>
      <c r="EX21" s="742"/>
      <c r="FT21" s="723" t="e">
        <f>FT20/FT9%</f>
        <v>#DIV/0!</v>
      </c>
      <c r="FU21" s="723" t="e">
        <f>FU20/FU9%</f>
        <v>#DIV/0!</v>
      </c>
      <c r="FW21" s="742"/>
      <c r="FX21" s="742"/>
      <c r="FY21" s="742"/>
    </row>
    <row r="22" spans="1:181">
      <c r="A22" s="1393">
        <f>Eingabedaten!A28</f>
        <v>6.04</v>
      </c>
      <c r="B22" s="738" t="str">
        <f>Eingabedaten!C28</f>
        <v>Küche zu Selbstbedienungsrest.</v>
      </c>
      <c r="C22" s="724" t="s">
        <v>5</v>
      </c>
      <c r="D22" s="740"/>
      <c r="E22" s="740"/>
      <c r="F22" s="740"/>
      <c r="G22" s="740"/>
      <c r="H22" s="740"/>
      <c r="I22" s="740"/>
      <c r="J22" s="740"/>
      <c r="K22" s="740"/>
      <c r="L22" s="740"/>
      <c r="M22" s="740"/>
      <c r="N22" s="740"/>
      <c r="O22" s="740"/>
      <c r="P22" s="740"/>
      <c r="Q22" s="740"/>
      <c r="R22" s="740"/>
      <c r="S22" s="740"/>
      <c r="T22" s="740"/>
      <c r="U22" s="740"/>
      <c r="V22" s="740"/>
      <c r="W22" s="740"/>
      <c r="X22" s="740"/>
      <c r="Y22" s="740"/>
      <c r="AA22" s="770">
        <f>1/Eingabedaten!AP28</f>
        <v>0.2</v>
      </c>
      <c r="AC22" s="775" t="s">
        <v>1558</v>
      </c>
      <c r="AD22" s="776" t="s">
        <v>1061</v>
      </c>
      <c r="AE22" s="1287">
        <f>SUMPRODUCT('Resultate Standard'!$AZ$6:$AZ$50,'Fläche-E'!D$3:D$47)/100</f>
        <v>0.33369952707110245</v>
      </c>
      <c r="AF22" s="790">
        <f>SUMPRODUCT('Resultate Standard'!$AZ$6:$AZ$50,'Fläche-E'!E$3:E$47)/100</f>
        <v>0.33369952707110245</v>
      </c>
      <c r="AG22" s="790">
        <f>SUMPRODUCT('Resultate Standard'!$AZ$6:$AZ$50,'Fläche-E'!F$3:F$47)/100</f>
        <v>0.59541964285714288</v>
      </c>
      <c r="AH22" s="790">
        <f>SUMPRODUCT('Resultate Standard'!$AZ$6:$AZ$50,'Fläche-E'!G$3:G$47)/100</f>
        <v>0.28375981735159816</v>
      </c>
      <c r="AI22" s="790">
        <f>SUMPRODUCT('Resultate Standard'!$AZ$6:$AZ$50,'Fläche-E'!H$3:H$47)/100</f>
        <v>0.39216955724070457</v>
      </c>
      <c r="AJ22" s="790">
        <f>SUMPRODUCT('Resultate Standard'!$AZ$6:$AZ$50,'Fläche-E'!I$3:I$47)/100</f>
        <v>0.49311969993476856</v>
      </c>
      <c r="AK22" s="790">
        <f>SUMPRODUCT('Resultate Standard'!$AZ$6:$AZ$50,'Fläche-E'!J$3:J$47)/100</f>
        <v>0.49311969993476856</v>
      </c>
      <c r="AL22" s="790">
        <f>SUMPRODUCT('Resultate Standard'!$AZ$6:$AZ$50,'Fläche-E'!K$3:K$47)/100</f>
        <v>0.53602407452707124</v>
      </c>
      <c r="AM22" s="790">
        <f>SUMPRODUCT('Resultate Standard'!$AZ$6:$AZ$50,'Fläche-E'!L$3:L$47)/100</f>
        <v>0.55222072733202887</v>
      </c>
      <c r="AN22" s="790">
        <f>SUMPRODUCT('Resultate Standard'!$AZ$6:$AZ$50,'Fläche-E'!M$3:M$47)/100</f>
        <v>0.54568876386170917</v>
      </c>
      <c r="AO22" s="790">
        <f>SUMPRODUCT('Resultate Standard'!$AZ$6:$AZ$50,'Fläche-E'!N$3:N$47)/100</f>
        <v>0.55222072733202887</v>
      </c>
      <c r="AP22" s="790">
        <f>SUMPRODUCT('Resultate Standard'!$AZ$6:$AZ$50,'Fläche-E'!O$3:O$47)/100</f>
        <v>0.43101696020874114</v>
      </c>
      <c r="AQ22" s="790">
        <f>SUMPRODUCT('Resultate Standard'!$AZ$6:$AZ$50,'Fläche-E'!P$3:P$47)/100</f>
        <v>0.88654521363339867</v>
      </c>
      <c r="AR22" s="790">
        <f>SUMPRODUCT('Resultate Standard'!$AZ$6:$AZ$50,'Fläche-E'!Q$3:Q$47)/100</f>
        <v>0.86647729125896911</v>
      </c>
      <c r="AS22" s="790">
        <f>SUMPRODUCT('Resultate Standard'!$AZ$6:$AZ$50,'Fläche-E'!R$3:R$47)/100</f>
        <v>0.57733374103065893</v>
      </c>
      <c r="AT22" s="790">
        <f>SUMPRODUCT('Resultate Standard'!$AZ$6:$AZ$50,'Fläche-E'!S$3:S$47)/100</f>
        <v>0.58899213144161788</v>
      </c>
      <c r="AU22" s="790">
        <f>SUMPRODUCT('Resultate Standard'!$AZ$6:$AZ$50,'Fläche-E'!T$3:T$47)/100</f>
        <v>0.58868562459230278</v>
      </c>
      <c r="AV22" s="790">
        <f>SUMPRODUCT('Resultate Standard'!$AZ$6:$AZ$50,'Fläche-E'!U$3:U$47)/100</f>
        <v>0.37024945640356605</v>
      </c>
      <c r="AW22" s="790">
        <f>SUMPRODUCT('Resultate Standard'!$AZ$6:$AZ$50,'Fläche-E'!V$3:V$47)/100</f>
        <v>0.3499607387475539</v>
      </c>
      <c r="AX22" s="790">
        <f>SUMPRODUCT('Resultate Standard'!$AZ$6:$AZ$50,'Fläche-E'!W$3:W$47)/100</f>
        <v>1.2967862442922373</v>
      </c>
      <c r="AY22" s="791">
        <f>SUMPRODUCT('Resultate Standard'!$AZ$6:$AZ$50,'Fläche-E'!X$3:X$47)/100</f>
        <v>0.77235000815394661</v>
      </c>
      <c r="AZ22" s="791">
        <f>SUMPRODUCT('Resultate Standard'!$AZ$6:$AZ$50,'Fläche-E'!Y$3:Y$47)/100</f>
        <v>2.6478881278538813E-2</v>
      </c>
      <c r="DB22" s="775"/>
      <c r="DD22" s="723" t="s">
        <v>104</v>
      </c>
      <c r="DE22" s="723" t="s">
        <v>214</v>
      </c>
      <c r="DF22" s="723" t="s">
        <v>125</v>
      </c>
      <c r="DG22" s="723" t="s">
        <v>573</v>
      </c>
      <c r="DH22" s="723" t="s">
        <v>126</v>
      </c>
      <c r="DI22" s="723" t="s">
        <v>128</v>
      </c>
      <c r="DJ22" s="723" t="s">
        <v>1137</v>
      </c>
      <c r="DK22" s="723" t="s">
        <v>1136</v>
      </c>
      <c r="DL22" s="723" t="s">
        <v>61</v>
      </c>
      <c r="DM22" s="723" t="s">
        <v>1141</v>
      </c>
      <c r="DN22" s="723" t="s">
        <v>434</v>
      </c>
      <c r="DO22" s="723" t="s">
        <v>433</v>
      </c>
      <c r="DP22" s="776" t="s">
        <v>83</v>
      </c>
    </row>
    <row r="23" spans="1:181">
      <c r="A23" s="1393">
        <f>Eingabedaten!A29</f>
        <v>7.01</v>
      </c>
      <c r="B23" s="738" t="str">
        <f>Eingabedaten!C29</f>
        <v>Vorstellungsraum</v>
      </c>
      <c r="C23" s="724" t="s">
        <v>5</v>
      </c>
      <c r="D23" s="740"/>
      <c r="E23" s="740"/>
      <c r="F23" s="740"/>
      <c r="G23" s="740"/>
      <c r="H23" s="740"/>
      <c r="I23" s="740"/>
      <c r="J23" s="740"/>
      <c r="K23" s="740"/>
      <c r="L23" s="740"/>
      <c r="M23" s="740"/>
      <c r="N23" s="740"/>
      <c r="O23" s="740"/>
      <c r="P23" s="740"/>
      <c r="Q23" s="740">
        <v>20</v>
      </c>
      <c r="R23" s="740"/>
      <c r="S23" s="740"/>
      <c r="T23" s="740"/>
      <c r="U23" s="740"/>
      <c r="V23" s="740"/>
      <c r="W23" s="740"/>
      <c r="X23" s="740"/>
      <c r="Y23" s="740"/>
      <c r="AA23" s="770">
        <f>1/Eingabedaten!AP29</f>
        <v>0.33333333333333331</v>
      </c>
      <c r="AC23" s="777" t="s">
        <v>1152</v>
      </c>
      <c r="AD23" s="776"/>
      <c r="AE23" s="1284">
        <f>AE22/AE21</f>
        <v>0.58184472694681344</v>
      </c>
      <c r="AF23" s="746">
        <f>AF22/AF21</f>
        <v>0.58184472694681344</v>
      </c>
      <c r="AG23" s="746">
        <f t="shared" ref="AG23:AZ23" si="83">AG22/AG21</f>
        <v>0.54534599494551206</v>
      </c>
      <c r="AH23" s="746">
        <f t="shared" si="83"/>
        <v>0.64817511243877413</v>
      </c>
      <c r="AI23" s="746">
        <f t="shared" si="83"/>
        <v>0.5795260982103525</v>
      </c>
      <c r="AJ23" s="746">
        <f t="shared" si="83"/>
        <v>0.53715441338803671</v>
      </c>
      <c r="AK23" s="746">
        <f>AK22/AK21</f>
        <v>0.53715441338803671</v>
      </c>
      <c r="AL23" s="746">
        <f>AL22/AL21</f>
        <v>0.51201327915654449</v>
      </c>
      <c r="AM23" s="746">
        <f t="shared" si="83"/>
        <v>0.49875268286963825</v>
      </c>
      <c r="AN23" s="746">
        <f t="shared" si="83"/>
        <v>0.49465653650907226</v>
      </c>
      <c r="AO23" s="746">
        <f t="shared" si="83"/>
        <v>0.49875268286963825</v>
      </c>
      <c r="AP23" s="746">
        <f t="shared" si="83"/>
        <v>0.54209876016513636</v>
      </c>
      <c r="AQ23" s="790">
        <f t="shared" si="83"/>
        <v>0.44746264350786397</v>
      </c>
      <c r="AR23" s="790">
        <f t="shared" si="83"/>
        <v>0.44963076166663085</v>
      </c>
      <c r="AS23" s="746">
        <f t="shared" si="83"/>
        <v>0.48719476448148502</v>
      </c>
      <c r="AT23" s="746">
        <f t="shared" ref="AT23:AU23" si="84">AT22/AT21</f>
        <v>0.48563672509493028</v>
      </c>
      <c r="AU23" s="746">
        <f t="shared" si="84"/>
        <v>0.48241261214981251</v>
      </c>
      <c r="AV23" s="746">
        <f t="shared" si="83"/>
        <v>0.60507449584743067</v>
      </c>
      <c r="AW23" s="746">
        <f t="shared" si="83"/>
        <v>0.60249561736478119</v>
      </c>
      <c r="AX23" s="746">
        <f t="shared" si="83"/>
        <v>1.1608264357245042</v>
      </c>
      <c r="AY23" s="785">
        <f t="shared" si="83"/>
        <v>0.45729778595291892</v>
      </c>
      <c r="AZ23" s="785">
        <f t="shared" si="83"/>
        <v>1.3119626696832578</v>
      </c>
      <c r="DB23" s="775" t="s">
        <v>51</v>
      </c>
      <c r="DC23" s="723" t="s">
        <v>134</v>
      </c>
      <c r="DD23" s="743">
        <f>AE3</f>
        <v>14.688000000000002</v>
      </c>
      <c r="DE23" s="743">
        <f t="shared" ref="DE23:DP23" si="85">AF3</f>
        <v>14.688000000000002</v>
      </c>
      <c r="DF23" s="743">
        <f t="shared" si="85"/>
        <v>12.284000000000001</v>
      </c>
      <c r="DG23" s="743">
        <f t="shared" si="85"/>
        <v>12.816000000000001</v>
      </c>
      <c r="DH23" s="743">
        <f t="shared" si="85"/>
        <v>17.313200000000002</v>
      </c>
      <c r="DI23" s="743">
        <f t="shared" si="85"/>
        <v>6.9511200000000004</v>
      </c>
      <c r="DJ23" s="743">
        <f t="shared" si="85"/>
        <v>6.9511200000000004</v>
      </c>
      <c r="DK23" s="743">
        <f t="shared" si="85"/>
        <v>11.325200000000002</v>
      </c>
      <c r="DL23" s="743">
        <f t="shared" si="85"/>
        <v>4.7652000000000001</v>
      </c>
      <c r="DM23" s="743">
        <f t="shared" si="85"/>
        <v>5.13</v>
      </c>
      <c r="DN23" s="743">
        <f t="shared" si="85"/>
        <v>4.7652000000000001</v>
      </c>
      <c r="DO23" s="743">
        <f t="shared" si="85"/>
        <v>4.5540000000000003</v>
      </c>
      <c r="DP23" s="1715">
        <f t="shared" si="85"/>
        <v>5.1044</v>
      </c>
    </row>
    <row r="24" spans="1:181">
      <c r="A24" s="1393">
        <f>Eingabedaten!A30</f>
        <v>7.02</v>
      </c>
      <c r="B24" s="738" t="str">
        <f>Eingabedaten!C30</f>
        <v>Mehrzweckhalle</v>
      </c>
      <c r="C24" s="724" t="s">
        <v>5</v>
      </c>
      <c r="D24" s="740"/>
      <c r="E24" s="740"/>
      <c r="F24" s="740"/>
      <c r="G24" s="740"/>
      <c r="H24" s="740"/>
      <c r="I24" s="740"/>
      <c r="J24" s="740"/>
      <c r="K24" s="740"/>
      <c r="L24" s="740"/>
      <c r="M24" s="740"/>
      <c r="N24" s="740"/>
      <c r="O24" s="740"/>
      <c r="P24" s="740"/>
      <c r="Q24" s="740">
        <v>20</v>
      </c>
      <c r="R24" s="740"/>
      <c r="S24" s="740"/>
      <c r="T24" s="740"/>
      <c r="U24" s="740"/>
      <c r="V24" s="740"/>
      <c r="W24" s="740"/>
      <c r="X24" s="740"/>
      <c r="Y24" s="740"/>
      <c r="AA24" s="770">
        <f>1/Eingabedaten!AP30</f>
        <v>0.33333333333333331</v>
      </c>
      <c r="AC24" s="775"/>
      <c r="AD24" s="776"/>
      <c r="AE24" s="1284"/>
      <c r="AF24" s="746"/>
      <c r="AG24" s="746"/>
      <c r="AH24" s="746"/>
      <c r="AI24" s="746"/>
      <c r="AJ24" s="746"/>
      <c r="AK24" s="746"/>
      <c r="AL24" s="746"/>
      <c r="AM24" s="746"/>
      <c r="AN24" s="746"/>
      <c r="AO24" s="746"/>
      <c r="AP24" s="746"/>
      <c r="AQ24" s="746"/>
      <c r="AR24" s="746"/>
      <c r="AS24" s="746"/>
      <c r="AT24" s="746"/>
      <c r="AU24" s="746"/>
      <c r="AV24" s="746"/>
      <c r="AW24" s="746"/>
      <c r="AX24" s="746"/>
      <c r="AY24" s="785"/>
      <c r="AZ24" s="785"/>
      <c r="DB24" s="775" t="s">
        <v>17</v>
      </c>
      <c r="DC24" s="723" t="s">
        <v>134</v>
      </c>
      <c r="DD24" s="743">
        <f>AE4</f>
        <v>2.1526810000000007</v>
      </c>
      <c r="DE24" s="743">
        <f t="shared" ref="DE24:DP29" si="86">AF4</f>
        <v>2.1526810000000007</v>
      </c>
      <c r="DF24" s="743">
        <f t="shared" si="86"/>
        <v>4.8560016666666677</v>
      </c>
      <c r="DG24" s="743">
        <f t="shared" si="86"/>
        <v>2.0766882222222227</v>
      </c>
      <c r="DH24" s="743">
        <f t="shared" si="86"/>
        <v>7.7446394666666665</v>
      </c>
      <c r="DI24" s="743">
        <f t="shared" si="86"/>
        <v>6.6046965079365085</v>
      </c>
      <c r="DJ24" s="743">
        <f t="shared" si="86"/>
        <v>6.6046965079365085</v>
      </c>
      <c r="DK24" s="743">
        <f t="shared" si="86"/>
        <v>7.0316882857142859</v>
      </c>
      <c r="DL24" s="743">
        <f t="shared" si="86"/>
        <v>23.952625644444446</v>
      </c>
      <c r="DM24" s="743">
        <f t="shared" si="86"/>
        <v>23.902055481481479</v>
      </c>
      <c r="DN24" s="743">
        <f t="shared" si="86"/>
        <v>23.952625644444446</v>
      </c>
      <c r="DO24" s="743">
        <f t="shared" si="86"/>
        <v>19.481929644444445</v>
      </c>
      <c r="DP24" s="1715">
        <f t="shared" si="86"/>
        <v>8.2536205925925898</v>
      </c>
    </row>
    <row r="25" spans="1:181">
      <c r="A25" s="1393">
        <f>Eingabedaten!A31</f>
        <v>7.03</v>
      </c>
      <c r="B25" s="738" t="str">
        <f>Eingabedaten!C31</f>
        <v>Ausstellungshalle</v>
      </c>
      <c r="C25" s="724" t="s">
        <v>5</v>
      </c>
      <c r="D25" s="740"/>
      <c r="E25" s="740"/>
      <c r="F25" s="740"/>
      <c r="G25" s="740"/>
      <c r="H25" s="740"/>
      <c r="I25" s="740"/>
      <c r="J25" s="740"/>
      <c r="K25" s="740"/>
      <c r="L25" s="740"/>
      <c r="M25" s="740"/>
      <c r="N25" s="740"/>
      <c r="O25" s="740"/>
      <c r="P25" s="740"/>
      <c r="Q25" s="740">
        <v>20</v>
      </c>
      <c r="R25" s="740"/>
      <c r="S25" s="740"/>
      <c r="T25" s="740"/>
      <c r="U25" s="740"/>
      <c r="V25" s="740"/>
      <c r="W25" s="740"/>
      <c r="X25" s="740"/>
      <c r="Y25" s="740"/>
      <c r="AA25" s="770">
        <f>1/Eingabedaten!AP31</f>
        <v>0.33333333333333331</v>
      </c>
      <c r="AC25" s="775"/>
      <c r="AD25" s="776"/>
      <c r="AE25" s="1284"/>
      <c r="AF25" s="746"/>
      <c r="AG25" s="746"/>
      <c r="AH25" s="746"/>
      <c r="AI25" s="746"/>
      <c r="AJ25" s="746"/>
      <c r="AK25" s="746"/>
      <c r="AL25" s="746"/>
      <c r="AM25" s="746"/>
      <c r="AN25" s="746"/>
      <c r="AO25" s="746"/>
      <c r="AP25" s="746"/>
      <c r="AQ25" s="746"/>
      <c r="AR25" s="746"/>
      <c r="AS25" s="746"/>
      <c r="AT25" s="746"/>
      <c r="AU25" s="746"/>
      <c r="AV25" s="746"/>
      <c r="AW25" s="746"/>
      <c r="AX25" s="746"/>
      <c r="AY25" s="785"/>
      <c r="AZ25" s="785"/>
      <c r="DB25" s="775" t="s">
        <v>19</v>
      </c>
      <c r="DC25" s="723" t="s">
        <v>134</v>
      </c>
      <c r="DD25" s="743">
        <f t="shared" ref="DD25:DD29" si="87">AE5</f>
        <v>2.7887072000000006</v>
      </c>
      <c r="DE25" s="743">
        <f t="shared" si="86"/>
        <v>2.7887072000000006</v>
      </c>
      <c r="DF25" s="743">
        <f t="shared" si="86"/>
        <v>4.6930259047619058</v>
      </c>
      <c r="DG25" s="743">
        <f t="shared" si="86"/>
        <v>1.5493561599999999</v>
      </c>
      <c r="DH25" s="743">
        <f t="shared" si="86"/>
        <v>3.0272764380952384</v>
      </c>
      <c r="DI25" s="743">
        <f t="shared" si="86"/>
        <v>2.3824341714285713</v>
      </c>
      <c r="DJ25" s="743">
        <f t="shared" si="86"/>
        <v>2.3824341714285713</v>
      </c>
      <c r="DK25" s="743">
        <f t="shared" si="86"/>
        <v>3.5070634095238091</v>
      </c>
      <c r="DL25" s="743">
        <f t="shared" si="86"/>
        <v>3.993240171428571</v>
      </c>
      <c r="DM25" s="743">
        <f t="shared" si="86"/>
        <v>3.9833393714285714</v>
      </c>
      <c r="DN25" s="743">
        <f t="shared" si="86"/>
        <v>3.993240171428571</v>
      </c>
      <c r="DO25" s="743">
        <f t="shared" si="86"/>
        <v>3.6761541714285713</v>
      </c>
      <c r="DP25" s="1715">
        <f t="shared" si="86"/>
        <v>6.856761371428572</v>
      </c>
      <c r="EX25" s="726" t="s">
        <v>1150</v>
      </c>
      <c r="EY25" s="798"/>
      <c r="EZ25" s="724" t="str">
        <f>EZ1</f>
        <v>I</v>
      </c>
      <c r="FA25" s="724" t="str">
        <f t="shared" ref="FA25:FS25" si="88">FA1</f>
        <v>I.1</v>
      </c>
      <c r="FB25" s="724" t="str">
        <f t="shared" si="88"/>
        <v>I.2</v>
      </c>
      <c r="FC25" s="724" t="str">
        <f t="shared" si="88"/>
        <v>II</v>
      </c>
      <c r="FD25" s="724" t="str">
        <f t="shared" si="88"/>
        <v>III</v>
      </c>
      <c r="FE25" s="724" t="str">
        <f t="shared" si="88"/>
        <v>IV</v>
      </c>
      <c r="FF25" s="724" t="str">
        <f t="shared" si="88"/>
        <v>IV.1</v>
      </c>
      <c r="FG25" s="724" t="str">
        <f t="shared" si="88"/>
        <v>IV.2</v>
      </c>
      <c r="FH25" s="724" t="str">
        <f t="shared" si="88"/>
        <v>V</v>
      </c>
      <c r="FI25" s="724" t="str">
        <f t="shared" si="88"/>
        <v>V.1</v>
      </c>
      <c r="FJ25" s="724" t="str">
        <f t="shared" si="88"/>
        <v>V.2</v>
      </c>
      <c r="FK25" s="724" t="str">
        <f t="shared" si="88"/>
        <v>V.3</v>
      </c>
      <c r="FL25" s="724" t="str">
        <f t="shared" si="88"/>
        <v>VI</v>
      </c>
      <c r="FM25" s="724" t="str">
        <f t="shared" si="88"/>
        <v>VII</v>
      </c>
      <c r="FN25" s="724" t="str">
        <f t="shared" si="88"/>
        <v>VIII</v>
      </c>
      <c r="FO25" s="724" t="str">
        <f t="shared" si="88"/>
        <v>VIII.1</v>
      </c>
      <c r="FP25" s="724" t="str">
        <f t="shared" si="88"/>
        <v>VIII.2</v>
      </c>
      <c r="FQ25" s="724" t="str">
        <f t="shared" si="88"/>
        <v>IX</v>
      </c>
      <c r="FR25" s="724" t="str">
        <f t="shared" si="88"/>
        <v>X</v>
      </c>
      <c r="FS25" s="724" t="str">
        <f t="shared" si="88"/>
        <v>XI</v>
      </c>
    </row>
    <row r="26" spans="1:181">
      <c r="A26" s="1393">
        <f>Eingabedaten!A32</f>
        <v>8.01</v>
      </c>
      <c r="B26" s="738" t="str">
        <f>Eingabedaten!C32</f>
        <v xml:space="preserve">Bettenzimmer </v>
      </c>
      <c r="C26" s="724" t="s">
        <v>5</v>
      </c>
      <c r="D26" s="740"/>
      <c r="E26" s="740"/>
      <c r="F26" s="740"/>
      <c r="G26" s="740"/>
      <c r="H26" s="740"/>
      <c r="I26" s="740"/>
      <c r="J26" s="740"/>
      <c r="K26" s="740"/>
      <c r="L26" s="740"/>
      <c r="M26" s="740"/>
      <c r="N26" s="740"/>
      <c r="O26" s="740"/>
      <c r="P26" s="740"/>
      <c r="Q26" s="740"/>
      <c r="R26" s="739">
        <v>40</v>
      </c>
      <c r="S26" s="739">
        <v>35</v>
      </c>
      <c r="T26" s="739">
        <v>50</v>
      </c>
      <c r="U26" s="740"/>
      <c r="V26" s="740"/>
      <c r="W26" s="740"/>
      <c r="X26" s="740"/>
      <c r="Y26" s="740"/>
      <c r="AA26" s="770">
        <f>1/Eingabedaten!AP32</f>
        <v>6.6666666666666666E-2</v>
      </c>
      <c r="AC26" s="775"/>
      <c r="AD26" s="776"/>
      <c r="AE26" s="1284"/>
      <c r="AF26" s="746"/>
      <c r="AG26" s="746"/>
      <c r="AH26" s="746"/>
      <c r="AI26" s="746"/>
      <c r="AJ26" s="746"/>
      <c r="AK26" s="746"/>
      <c r="AL26" s="746"/>
      <c r="AM26" s="746"/>
      <c r="AN26" s="746"/>
      <c r="AO26" s="746"/>
      <c r="AP26" s="746"/>
      <c r="AQ26" s="746"/>
      <c r="AR26" s="746"/>
      <c r="AS26" s="746"/>
      <c r="AT26" s="746"/>
      <c r="AU26" s="746"/>
      <c r="AV26" s="746"/>
      <c r="AW26" s="746"/>
      <c r="AX26" s="746"/>
      <c r="AY26" s="785"/>
      <c r="AZ26" s="785"/>
      <c r="DB26" s="775" t="s">
        <v>463</v>
      </c>
      <c r="DC26" s="723" t="s">
        <v>134</v>
      </c>
      <c r="DD26" s="743">
        <f t="shared" si="87"/>
        <v>3.3889639654036778</v>
      </c>
      <c r="DE26" s="743">
        <f t="shared" si="86"/>
        <v>3.3889639654036778</v>
      </c>
      <c r="DF26" s="743">
        <f t="shared" si="86"/>
        <v>4.7381022785109517</v>
      </c>
      <c r="DG26" s="743">
        <f t="shared" si="86"/>
        <v>1.4184361751771477</v>
      </c>
      <c r="DH26" s="743">
        <f t="shared" si="86"/>
        <v>7.8422491660755886</v>
      </c>
      <c r="DI26" s="743">
        <f t="shared" si="86"/>
        <v>4.7746948126511946</v>
      </c>
      <c r="DJ26" s="743">
        <f t="shared" si="86"/>
        <v>4.7746948126511946</v>
      </c>
      <c r="DK26" s="743">
        <f t="shared" si="86"/>
        <v>7.6636916706564904</v>
      </c>
      <c r="DL26" s="743">
        <f t="shared" si="86"/>
        <v>11.651377900486445</v>
      </c>
      <c r="DM26" s="743">
        <f t="shared" si="86"/>
        <v>11.926227215554942</v>
      </c>
      <c r="DN26" s="743">
        <f t="shared" si="86"/>
        <v>11.651377900486445</v>
      </c>
      <c r="DO26" s="743">
        <f t="shared" si="86"/>
        <v>7.2009850607139558</v>
      </c>
      <c r="DP26" s="1715">
        <f t="shared" si="86"/>
        <v>5.6280674736166825</v>
      </c>
      <c r="EX26" s="775" t="s">
        <v>1190</v>
      </c>
      <c r="EY26" s="723" t="s">
        <v>134</v>
      </c>
      <c r="EZ26" s="738">
        <f t="shared" ref="EZ26:FS26" si="89">EZ8</f>
        <v>36</v>
      </c>
      <c r="FA26" s="738">
        <f t="shared" si="89"/>
        <v>0</v>
      </c>
      <c r="FB26" s="738">
        <f t="shared" si="89"/>
        <v>0</v>
      </c>
      <c r="FC26" s="738">
        <f t="shared" si="89"/>
        <v>35</v>
      </c>
      <c r="FD26" s="738">
        <f t="shared" si="89"/>
        <v>68.5</v>
      </c>
      <c r="FE26" s="738">
        <f t="shared" si="89"/>
        <v>36</v>
      </c>
      <c r="FF26" s="738">
        <f t="shared" si="89"/>
        <v>0</v>
      </c>
      <c r="FG26" s="738">
        <f t="shared" si="89"/>
        <v>0</v>
      </c>
      <c r="FH26" s="738">
        <f t="shared" si="89"/>
        <v>78</v>
      </c>
      <c r="FI26" s="738">
        <f t="shared" si="89"/>
        <v>0</v>
      </c>
      <c r="FJ26" s="738">
        <f t="shared" si="89"/>
        <v>0</v>
      </c>
      <c r="FK26" s="738">
        <f t="shared" si="89"/>
        <v>0</v>
      </c>
      <c r="FL26" s="738">
        <f t="shared" si="89"/>
        <v>61.5</v>
      </c>
      <c r="FM26" s="738">
        <f t="shared" si="89"/>
        <v>37</v>
      </c>
      <c r="FN26" s="738">
        <f t="shared" si="89"/>
        <v>70.5</v>
      </c>
      <c r="FO26" s="738">
        <f t="shared" si="89"/>
        <v>0</v>
      </c>
      <c r="FP26" s="738">
        <f t="shared" si="89"/>
        <v>0</v>
      </c>
      <c r="FQ26" s="738">
        <f t="shared" si="89"/>
        <v>42</v>
      </c>
      <c r="FR26" s="738">
        <f t="shared" si="89"/>
        <v>31</v>
      </c>
      <c r="FS26" s="738">
        <f t="shared" si="89"/>
        <v>28.5</v>
      </c>
    </row>
    <row r="27" spans="1:181">
      <c r="A27" s="1393">
        <f>Eingabedaten!A33</f>
        <v>8.02</v>
      </c>
      <c r="B27" s="738" t="str">
        <f>Eingabedaten!C33</f>
        <v xml:space="preserve">Stationszimmer </v>
      </c>
      <c r="C27" s="724" t="s">
        <v>5</v>
      </c>
      <c r="D27" s="740"/>
      <c r="E27" s="740"/>
      <c r="F27" s="740"/>
      <c r="G27" s="740"/>
      <c r="H27" s="740"/>
      <c r="I27" s="740"/>
      <c r="J27" s="740"/>
      <c r="K27" s="740"/>
      <c r="L27" s="740"/>
      <c r="M27" s="740"/>
      <c r="N27" s="740"/>
      <c r="O27" s="740"/>
      <c r="P27" s="740"/>
      <c r="Q27" s="740"/>
      <c r="R27" s="740">
        <v>5</v>
      </c>
      <c r="S27" s="740">
        <v>5</v>
      </c>
      <c r="T27" s="740">
        <v>5</v>
      </c>
      <c r="U27" s="740"/>
      <c r="V27" s="740"/>
      <c r="W27" s="740"/>
      <c r="X27" s="740"/>
      <c r="Y27" s="740"/>
      <c r="AA27" s="770">
        <f>1/Eingabedaten!AP33</f>
        <v>0.33333333333333331</v>
      </c>
      <c r="AC27" s="775" t="s">
        <v>1200</v>
      </c>
      <c r="AD27" s="776" t="s">
        <v>134</v>
      </c>
      <c r="AE27" s="1283">
        <f>SUMPRODUCT('Resultate Standard'!$M$6:$M$50,'Fläche-E'!D$3:D$47)/100*$AD$1</f>
        <v>6.6748800000000008</v>
      </c>
      <c r="AF27" s="748">
        <f>SUMPRODUCT('Resultate Standard'!$M$6:$M$50,'Fläche-E'!E$3:E$47)/100*$AD$1</f>
        <v>6.6748800000000008</v>
      </c>
      <c r="AG27" s="748">
        <f>SUMPRODUCT('Resultate Standard'!$M$6:$M$50,'Fläche-E'!F$3:F$47)/100*$AD$1</f>
        <v>10.93056</v>
      </c>
      <c r="AH27" s="748">
        <f>SUMPRODUCT('Resultate Standard'!$M$6:$M$50,'Fläche-E'!G$3:G$47)/100*$AD$1</f>
        <v>4.9472640000000006</v>
      </c>
      <c r="AI27" s="748">
        <f>SUMPRODUCT('Resultate Standard'!$M$6:$M$50,'Fläche-E'!H$3:H$47)/100*$AD$1</f>
        <v>6.3979200000000001</v>
      </c>
      <c r="AJ27" s="748">
        <f>SUMPRODUCT('Resultate Standard'!$M$6:$M$50,'Fläche-E'!I$3:I$47)/100*$AD$1</f>
        <v>13.120944000000001</v>
      </c>
      <c r="AK27" s="748">
        <f>SUMPRODUCT('Resultate Standard'!$M$6:$M$50,'Fläche-E'!J$3:J$47)/100*$AD$1</f>
        <v>13.120944000000001</v>
      </c>
      <c r="AL27" s="748">
        <f>SUMPRODUCT('Resultate Standard'!$M$6:$M$50,'Fläche-E'!K$3:K$47)/100*$AD$1</f>
        <v>13.610640000000002</v>
      </c>
      <c r="AM27" s="748">
        <f>SUMPRODUCT('Resultate Standard'!$M$6:$M$50,'Fläche-E'!L$3:L$47)/100*$AD$1</f>
        <v>11.448</v>
      </c>
      <c r="AN27" s="748">
        <f>SUMPRODUCT('Resultate Standard'!$M$6:$M$50,'Fläche-E'!M$3:M$47)/100*$AD$1</f>
        <v>11.448</v>
      </c>
      <c r="AO27" s="748">
        <f>SUMPRODUCT('Resultate Standard'!$M$6:$M$50,'Fläche-E'!N$3:N$47)/100*$AD$1</f>
        <v>11.448</v>
      </c>
      <c r="AP27" s="748">
        <f>SUMPRODUCT('Resultate Standard'!$M$6:$M$50,'Fläche-E'!O$3:O$47)/100*$AD$1</f>
        <v>6.273600000000001</v>
      </c>
      <c r="AQ27" s="748">
        <f>SUMPRODUCT('Resultate Standard'!$M$6:$M$50,'Fläche-E'!P$3:P$47)/100*$AD$1</f>
        <v>23.954400000000003</v>
      </c>
      <c r="AR27" s="748">
        <f>SUMPRODUCT('Resultate Standard'!$M$6:$M$50,'Fläche-E'!Q$3:Q$47)/100*$AD$1</f>
        <v>32.167999999999999</v>
      </c>
      <c r="AS27" s="748">
        <f>SUMPRODUCT('Resultate Standard'!$M$6:$M$50,'Fläche-E'!R$3:R$47)/100*$AD$1</f>
        <v>18.869119999999999</v>
      </c>
      <c r="AT27" s="748">
        <f>SUMPRODUCT('Resultate Standard'!$M$6:$M$50,'Fläche-E'!S$3:S$47)/100*$AD$1</f>
        <v>18.508480000000002</v>
      </c>
      <c r="AU27" s="748">
        <f>SUMPRODUCT('Resultate Standard'!$M$6:$M$50,'Fläche-E'!T$3:T$47)/100*$AD$1</f>
        <v>20.8</v>
      </c>
      <c r="AV27" s="748">
        <f>SUMPRODUCT('Resultate Standard'!$M$6:$M$50,'Fläche-E'!U$3:U$47)/100*$AD$1</f>
        <v>4.1778133333333338</v>
      </c>
      <c r="AW27" s="748">
        <f>SUMPRODUCT('Resultate Standard'!$M$6:$M$50,'Fläche-E'!V$3:V$47)/100*$AD$1</f>
        <v>3.3022399999999998</v>
      </c>
      <c r="AX27" s="748">
        <f>SUMPRODUCT('Resultate Standard'!$M$6:$M$50,'Fläche-E'!W$3:W$47)/100*$AD$1</f>
        <v>3.2563199999999997</v>
      </c>
      <c r="AY27" s="784">
        <f>SUMPRODUCT('Resultate Standard'!$M$6:$M$50,'Fläche-E'!X$3:X$47)/100*$AD$1</f>
        <v>10.243200000000002</v>
      </c>
      <c r="AZ27" s="784">
        <f>SUMPRODUCT('Resultate Standard'!$M$6:$M$50,'Fläche-E'!Y$3:Y$47)/100*$AD$1</f>
        <v>0</v>
      </c>
      <c r="DB27" s="1716" t="s">
        <v>464</v>
      </c>
      <c r="DC27" s="1717" t="s">
        <v>134</v>
      </c>
      <c r="DD27" s="1718">
        <f t="shared" si="87"/>
        <v>11.726703891170381</v>
      </c>
      <c r="DE27" s="1718">
        <f t="shared" si="86"/>
        <v>11.726703891170381</v>
      </c>
      <c r="DF27" s="1718">
        <f t="shared" si="86"/>
        <v>13.870968340056827</v>
      </c>
      <c r="DG27" s="1718">
        <f t="shared" si="86"/>
        <v>18.532290023829955</v>
      </c>
      <c r="DH27" s="1718">
        <f t="shared" si="86"/>
        <v>9.4607684842424522</v>
      </c>
      <c r="DI27" s="1718">
        <f t="shared" si="86"/>
        <v>13.537004115365571</v>
      </c>
      <c r="DJ27" s="1718">
        <f t="shared" si="86"/>
        <v>13.537004115365571</v>
      </c>
      <c r="DK27" s="1718">
        <f t="shared" si="86"/>
        <v>11.336089072607724</v>
      </c>
      <c r="DL27" s="1718">
        <f t="shared" si="86"/>
        <v>5.5844225421050364</v>
      </c>
      <c r="DM27" s="1718">
        <f t="shared" si="86"/>
        <v>5.336005221474303</v>
      </c>
      <c r="DN27" s="1718">
        <f t="shared" si="86"/>
        <v>5.5844225421050364</v>
      </c>
      <c r="DO27" s="1718">
        <f t="shared" si="86"/>
        <v>6.1032108798011526</v>
      </c>
      <c r="DP27" s="1719">
        <f t="shared" si="86"/>
        <v>14.227329799738198</v>
      </c>
      <c r="EX27" s="775" t="s">
        <v>1151</v>
      </c>
      <c r="EY27" s="723" t="s">
        <v>134</v>
      </c>
      <c r="EZ27" s="738">
        <f>EZ9</f>
        <v>27.5</v>
      </c>
      <c r="FA27" s="738">
        <f t="shared" ref="FA27:FS27" si="90">FA9</f>
        <v>0</v>
      </c>
      <c r="FB27" s="738">
        <f t="shared" si="90"/>
        <v>0</v>
      </c>
      <c r="FC27" s="738">
        <f t="shared" si="90"/>
        <v>27.5</v>
      </c>
      <c r="FD27" s="738">
        <f t="shared" si="90"/>
        <v>55</v>
      </c>
      <c r="FE27" s="738">
        <f t="shared" si="90"/>
        <v>22.5</v>
      </c>
      <c r="FF27" s="738">
        <f t="shared" si="90"/>
        <v>0</v>
      </c>
      <c r="FG27" s="738">
        <f t="shared" si="90"/>
        <v>0</v>
      </c>
      <c r="FH27" s="738">
        <f t="shared" si="90"/>
        <v>60</v>
      </c>
      <c r="FI27" s="738">
        <f t="shared" si="90"/>
        <v>0</v>
      </c>
      <c r="FJ27" s="738">
        <f t="shared" si="90"/>
        <v>0</v>
      </c>
      <c r="FK27" s="738">
        <f t="shared" si="90"/>
        <v>0</v>
      </c>
      <c r="FL27" s="738">
        <f t="shared" si="90"/>
        <v>50</v>
      </c>
      <c r="FM27" s="738">
        <f t="shared" si="90"/>
        <v>27.5</v>
      </c>
      <c r="FN27" s="738">
        <f t="shared" si="90"/>
        <v>55</v>
      </c>
      <c r="FO27" s="738"/>
      <c r="FP27" s="738"/>
      <c r="FQ27" s="738">
        <f t="shared" si="90"/>
        <v>40</v>
      </c>
      <c r="FR27" s="738">
        <f t="shared" si="90"/>
        <v>27.5</v>
      </c>
      <c r="FS27" s="738">
        <f t="shared" si="90"/>
        <v>27.5</v>
      </c>
    </row>
    <row r="28" spans="1:181">
      <c r="A28" s="1393">
        <f>Eingabedaten!A34</f>
        <v>8.0299999999999994</v>
      </c>
      <c r="B28" s="738" t="str">
        <f>Eingabedaten!C34</f>
        <v>Behandlungsraum</v>
      </c>
      <c r="C28" s="724" t="s">
        <v>5</v>
      </c>
      <c r="D28" s="740"/>
      <c r="E28" s="740"/>
      <c r="F28" s="740"/>
      <c r="G28" s="740"/>
      <c r="H28" s="740"/>
      <c r="I28" s="740"/>
      <c r="J28" s="740"/>
      <c r="K28" s="740"/>
      <c r="L28" s="740"/>
      <c r="M28" s="740"/>
      <c r="N28" s="740"/>
      <c r="O28" s="740"/>
      <c r="P28" s="740"/>
      <c r="Q28" s="740"/>
      <c r="R28" s="740">
        <v>10</v>
      </c>
      <c r="S28" s="740">
        <v>15</v>
      </c>
      <c r="T28" s="740">
        <v>5</v>
      </c>
      <c r="U28" s="740"/>
      <c r="V28" s="740"/>
      <c r="W28" s="740"/>
      <c r="X28" s="740"/>
      <c r="Y28" s="740"/>
      <c r="AA28" s="770">
        <f>1/Eingabedaten!AP34</f>
        <v>0.2</v>
      </c>
      <c r="AC28" s="775"/>
      <c r="AD28" s="776"/>
      <c r="AE28" s="1284"/>
      <c r="AF28" s="746"/>
      <c r="AG28" s="746"/>
      <c r="AH28" s="746"/>
      <c r="AI28" s="746"/>
      <c r="AJ28" s="746"/>
      <c r="AK28" s="746"/>
      <c r="AL28" s="746"/>
      <c r="AM28" s="746"/>
      <c r="AN28" s="746"/>
      <c r="AO28" s="746"/>
      <c r="AP28" s="746"/>
      <c r="AQ28" s="746"/>
      <c r="AR28" s="746"/>
      <c r="AS28" s="746"/>
      <c r="AT28" s="746"/>
      <c r="AU28" s="746"/>
      <c r="AV28" s="746"/>
      <c r="AW28" s="746"/>
      <c r="AX28" s="746"/>
      <c r="AY28" s="785"/>
      <c r="AZ28" s="785"/>
      <c r="DB28" s="775" t="s">
        <v>268</v>
      </c>
      <c r="DC28" s="723" t="s">
        <v>134</v>
      </c>
      <c r="DD28" s="743">
        <f>AE8</f>
        <v>11.516480000000003</v>
      </c>
      <c r="DE28" s="743">
        <f t="shared" si="86"/>
        <v>11.516480000000003</v>
      </c>
      <c r="DF28" s="743">
        <f t="shared" si="86"/>
        <v>17.491430095238098</v>
      </c>
      <c r="DG28" s="743">
        <f t="shared" si="86"/>
        <v>9.7551360000000003</v>
      </c>
      <c r="DH28" s="743">
        <f t="shared" si="86"/>
        <v>1.2664018285714287</v>
      </c>
      <c r="DI28" s="743">
        <f t="shared" si="86"/>
        <v>1.6590649589823876</v>
      </c>
      <c r="DJ28" s="743">
        <f t="shared" si="86"/>
        <v>1.6590649589823876</v>
      </c>
      <c r="DK28" s="743">
        <f t="shared" si="86"/>
        <v>1.2867679190606656</v>
      </c>
      <c r="DL28" s="743">
        <f t="shared" si="86"/>
        <v>1.4108914285714289</v>
      </c>
      <c r="DM28" s="743">
        <f t="shared" si="86"/>
        <v>1.4108914285714289</v>
      </c>
      <c r="DN28" s="743">
        <f t="shared" si="86"/>
        <v>1.4108914285714289</v>
      </c>
      <c r="DO28" s="743">
        <f t="shared" si="86"/>
        <v>0.80091702857142877</v>
      </c>
      <c r="DP28" s="1715">
        <f t="shared" si="86"/>
        <v>43.67340342857144</v>
      </c>
      <c r="EX28" s="735" t="s">
        <v>1655</v>
      </c>
      <c r="EY28" s="802" t="s">
        <v>134</v>
      </c>
      <c r="EZ28" s="738">
        <f>FY11</f>
        <v>32.420310867728155</v>
      </c>
      <c r="FA28" s="738">
        <f t="shared" ref="FA28:FM28" si="91">FZ11</f>
        <v>19.840681000000004</v>
      </c>
      <c r="FB28" s="738">
        <f t="shared" si="91"/>
        <v>25.30000166666667</v>
      </c>
      <c r="FC28" s="738">
        <f t="shared" si="91"/>
        <v>16.292688222222221</v>
      </c>
      <c r="FD28" s="738">
        <f t="shared" si="91"/>
        <v>36.837839466666672</v>
      </c>
      <c r="FE28" s="738">
        <f t="shared" si="91"/>
        <v>16.683816507936509</v>
      </c>
      <c r="FF28" s="738">
        <f t="shared" si="91"/>
        <v>16.683816507936509</v>
      </c>
      <c r="FG28" s="738">
        <f t="shared" si="91"/>
        <v>34.928888285714287</v>
      </c>
      <c r="FH28" s="738">
        <f t="shared" si="91"/>
        <v>36.261825644444443</v>
      </c>
      <c r="FI28" s="738">
        <f t="shared" si="91"/>
        <v>234.1440554814815</v>
      </c>
      <c r="FJ28" s="738">
        <f t="shared" si="91"/>
        <v>36.261825644444443</v>
      </c>
      <c r="FK28" s="738">
        <f t="shared" si="91"/>
        <v>31.579929644444444</v>
      </c>
      <c r="FL28" s="738">
        <f t="shared" si="91"/>
        <v>65.286020592592592</v>
      </c>
      <c r="FM28" s="738">
        <f t="shared" si="91"/>
        <v>23.664378666666664</v>
      </c>
      <c r="FN28" s="738">
        <f>GM11</f>
        <v>29.25351644444445</v>
      </c>
      <c r="FO28" s="738"/>
      <c r="FP28" s="738"/>
      <c r="FQ28" s="738">
        <f>GP11</f>
        <v>36.033319955555555</v>
      </c>
      <c r="FR28" s="738">
        <f>GQ11</f>
        <v>16.831136810256414</v>
      </c>
      <c r="FS28" s="738">
        <f>GR11</f>
        <v>15.190925333333333</v>
      </c>
    </row>
    <row r="29" spans="1:181">
      <c r="A29" s="1393">
        <f>Eingabedaten!A35</f>
        <v>9.01</v>
      </c>
      <c r="B29" s="738" t="str">
        <f>Eingabedaten!C35</f>
        <v>Produktion (grobe Arbeit)</v>
      </c>
      <c r="C29" s="724" t="s">
        <v>5</v>
      </c>
      <c r="D29" s="740"/>
      <c r="E29" s="740"/>
      <c r="F29" s="740"/>
      <c r="G29" s="740"/>
      <c r="H29" s="740"/>
      <c r="I29" s="740"/>
      <c r="J29" s="740"/>
      <c r="K29" s="740"/>
      <c r="L29" s="740"/>
      <c r="M29" s="740"/>
      <c r="N29" s="740"/>
      <c r="O29" s="740"/>
      <c r="P29" s="740"/>
      <c r="Q29" s="740"/>
      <c r="R29" s="740"/>
      <c r="S29" s="740"/>
      <c r="T29" s="740"/>
      <c r="U29" s="740">
        <v>10</v>
      </c>
      <c r="V29" s="740"/>
      <c r="W29" s="740"/>
      <c r="X29" s="740"/>
      <c r="Y29" s="740"/>
      <c r="AA29" s="770">
        <f>1/Eingabedaten!AP35</f>
        <v>6.6666666666666666E-2</v>
      </c>
      <c r="AC29" s="775" t="s">
        <v>102</v>
      </c>
      <c r="AD29" s="776" t="s">
        <v>209</v>
      </c>
      <c r="AE29" s="1283">
        <f>1/(SUMPRODUCT('Fläche-E'!D$3:D$47,$AA$3:$AA$47)/100*$AD$1)</f>
        <v>51.470588235294116</v>
      </c>
      <c r="AF29" s="748">
        <f>1/(SUMPRODUCT('Fläche-E'!E$3:E$47,$AA$3:$AA$47)/100*$AD$1)</f>
        <v>51.470588235294116</v>
      </c>
      <c r="AG29" s="748">
        <f>1/(SUMPRODUCT('Fläche-E'!F$3:F$47,$AA$3:$AA$47)/100*$AD$1)</f>
        <v>24.881516587677726</v>
      </c>
      <c r="AH29" s="748">
        <f>1/(SUMPRODUCT('Fläche-E'!G$3:G$47,$AA$3:$AA$47)/100*$AD$1)</f>
        <v>69.444444444444429</v>
      </c>
      <c r="AI29" s="748">
        <f>1/(SUMPRODUCT('Fläche-E'!H$3:H$47,$AA$3:$AA$47)/100*$AD$1)</f>
        <v>26.184538653366584</v>
      </c>
      <c r="AJ29" s="748">
        <f>1/(SUMPRODUCT('Fläche-E'!I$3:I$47,$AA$3:$AA$47)/100*$AD$1)</f>
        <v>9.9150141643059477</v>
      </c>
      <c r="AK29" s="748">
        <f>1/(SUMPRODUCT('Fläche-E'!J$3:J$47,$AA$3:$AA$47)/100*$AD$1)</f>
        <v>9.9150141643059477</v>
      </c>
      <c r="AL29" s="748">
        <f>1/(SUMPRODUCT('Fläche-E'!K$3:K$47,$AA$3:$AA$47)/100*$AD$1)</f>
        <v>11.758118701007838</v>
      </c>
      <c r="AM29" s="748">
        <f>1/(SUMPRODUCT('Fläche-E'!L$3:L$47,$AA$3:$AA$47)/100*$AD$1)</f>
        <v>15.909090909090908</v>
      </c>
      <c r="AN29" s="748">
        <f>1/(SUMPRODUCT('Fläche-E'!M$3:M$47,$AA$3:$AA$47)/100*$AD$1)</f>
        <v>15.909090909090908</v>
      </c>
      <c r="AO29" s="748">
        <f>1/(SUMPRODUCT('Fläche-E'!N$3:N$47,$AA$3:$AA$47)/100*$AD$1)</f>
        <v>15.909090909090908</v>
      </c>
      <c r="AP29" s="748">
        <f>1/(SUMPRODUCT('Fläche-E'!O$3:O$47,$AA$3:$AA$47)/100*$AD$1)</f>
        <v>28.688524590163933</v>
      </c>
      <c r="AQ29" s="748">
        <f>1/(SUMPRODUCT('Fläche-E'!P$3:P$47,$AA$3:$AA$47)/100*$AD$1)</f>
        <v>4.5691906005221927</v>
      </c>
      <c r="AR29" s="748">
        <f>1/(SUMPRODUCT('Fläche-E'!Q$3:Q$47,$AA$3:$AA$47)/100*$AD$1)</f>
        <v>6.1403508771929829</v>
      </c>
      <c r="AS29" s="748">
        <f>1/(SUMPRODUCT('Fläche-E'!R$3:R$47,$AA$3:$AA$47)/100*$AD$1)</f>
        <v>18.683274021352315</v>
      </c>
      <c r="AT29" s="748">
        <f>1/(SUMPRODUCT('Fläche-E'!S$3:S$47,$AA$3:$AA$47)/100*$AD$1)</f>
        <v>16.990291262135919</v>
      </c>
      <c r="AU29" s="748">
        <f>1/(SUMPRODUCT('Fläche-E'!T$3:T$47,$AA$3:$AA$47)/100*$AD$1)</f>
        <v>19.662921348314608</v>
      </c>
      <c r="AV29" s="748">
        <f>1/(SUMPRODUCT('Fläche-E'!U$3:U$47,$AA$3:$AA$47)/100*$AD$1)</f>
        <v>28.688524590163933</v>
      </c>
      <c r="AW29" s="748">
        <f>1/(SUMPRODUCT('Fläche-E'!V$3:V$47,$AA$3:$AA$47)/100*$AD$1)</f>
        <v>59.322033898305079</v>
      </c>
      <c r="AX29" s="748">
        <f>1/(SUMPRODUCT('Fläche-E'!W$3:W$47,$AA$3:$AA$47)/100*$AD$1)</f>
        <v>41.666666666666664</v>
      </c>
      <c r="AY29" s="784">
        <f>1/(SUMPRODUCT('Fläche-E'!X$3:X$47,$AA$3:$AA$47)/100*$AD$1)</f>
        <v>19.662921348314608</v>
      </c>
      <c r="AZ29" s="784">
        <v>0</v>
      </c>
      <c r="DB29" s="775" t="s">
        <v>1181</v>
      </c>
      <c r="DC29" s="723" t="s">
        <v>134</v>
      </c>
      <c r="DD29" s="743">
        <f t="shared" si="87"/>
        <v>0</v>
      </c>
      <c r="DE29" s="743">
        <f t="shared" si="86"/>
        <v>0</v>
      </c>
      <c r="DF29" s="743">
        <f t="shared" si="86"/>
        <v>0</v>
      </c>
      <c r="DG29" s="743">
        <f t="shared" si="86"/>
        <v>0</v>
      </c>
      <c r="DH29" s="743">
        <f t="shared" si="86"/>
        <v>8.4120000000000008</v>
      </c>
      <c r="DI29" s="743">
        <f t="shared" si="86"/>
        <v>0</v>
      </c>
      <c r="DJ29" s="743">
        <f t="shared" si="86"/>
        <v>0</v>
      </c>
      <c r="DK29" s="743">
        <f t="shared" si="86"/>
        <v>8.4120000000000008</v>
      </c>
      <c r="DL29" s="743">
        <f t="shared" si="86"/>
        <v>0</v>
      </c>
      <c r="DM29" s="741">
        <f t="shared" si="86"/>
        <v>197.56800000000001</v>
      </c>
      <c r="DN29" s="743">
        <f t="shared" si="86"/>
        <v>0</v>
      </c>
      <c r="DO29" s="743">
        <f t="shared" si="86"/>
        <v>0</v>
      </c>
      <c r="DP29" s="1715">
        <f t="shared" si="86"/>
        <v>43.544000000000004</v>
      </c>
    </row>
    <row r="30" spans="1:181">
      <c r="A30" s="1393">
        <f>Eingabedaten!A36</f>
        <v>9.02</v>
      </c>
      <c r="B30" s="738" t="str">
        <f>Eingabedaten!C36</f>
        <v>Produktion (feine Arbeit)</v>
      </c>
      <c r="C30" s="724" t="s">
        <v>5</v>
      </c>
      <c r="D30" s="740"/>
      <c r="E30" s="740"/>
      <c r="F30" s="740"/>
      <c r="G30" s="740"/>
      <c r="H30" s="740"/>
      <c r="I30" s="740"/>
      <c r="J30" s="740"/>
      <c r="K30" s="740"/>
      <c r="L30" s="740"/>
      <c r="M30" s="740"/>
      <c r="N30" s="740"/>
      <c r="O30" s="740"/>
      <c r="P30" s="740"/>
      <c r="Q30" s="740"/>
      <c r="R30" s="740"/>
      <c r="S30" s="740"/>
      <c r="T30" s="740"/>
      <c r="U30" s="739">
        <v>50</v>
      </c>
      <c r="V30" s="740"/>
      <c r="W30" s="740"/>
      <c r="X30" s="740"/>
      <c r="Y30" s="740"/>
      <c r="AA30" s="770">
        <f>1/Eingabedaten!AP36</f>
        <v>6.6666666666666666E-2</v>
      </c>
      <c r="AC30" s="775" t="s">
        <v>1549</v>
      </c>
      <c r="AD30" s="776" t="s">
        <v>15</v>
      </c>
      <c r="AE30" s="1283">
        <f>AE27*AE29*1000/AE31/365</f>
        <v>13.446575342465753</v>
      </c>
      <c r="AF30" s="748">
        <f>AF27*AF29*1000/AF31/365</f>
        <v>13.446575342465753</v>
      </c>
      <c r="AG30" s="748">
        <f t="shared" ref="AG30:AZ30" si="92">AG27*AG29*1000/AG31/365</f>
        <v>10.644575732000259</v>
      </c>
      <c r="AH30" s="748">
        <f t="shared" si="92"/>
        <v>13.446575342465751</v>
      </c>
      <c r="AI30" s="748">
        <f t="shared" si="92"/>
        <v>6.5568134458374612</v>
      </c>
      <c r="AJ30" s="748">
        <f t="shared" si="92"/>
        <v>5.0917552097481469</v>
      </c>
      <c r="AK30" s="748">
        <f t="shared" si="92"/>
        <v>5.0917552097481469</v>
      </c>
      <c r="AL30" s="748">
        <f t="shared" si="92"/>
        <v>6.2636211630796614</v>
      </c>
      <c r="AM30" s="748">
        <f t="shared" si="92"/>
        <v>7.12826899128269</v>
      </c>
      <c r="AN30" s="748">
        <f t="shared" si="92"/>
        <v>7.12826899128269</v>
      </c>
      <c r="AO30" s="748">
        <f t="shared" si="92"/>
        <v>7.12826899128269</v>
      </c>
      <c r="AP30" s="748">
        <f t="shared" si="92"/>
        <v>7.0442398383112508</v>
      </c>
      <c r="AQ30" s="748">
        <f>AQ27*AQ29*1000/AQ31/365</f>
        <v>4.2838442004363531</v>
      </c>
      <c r="AR30" s="748">
        <f t="shared" si="92"/>
        <v>7.7308339341504455</v>
      </c>
      <c r="AS30" s="748">
        <f t="shared" si="92"/>
        <v>13.797923268171406</v>
      </c>
      <c r="AT30" s="748">
        <f t="shared" ref="AT30:AU30" si="93">AT27*AT29*1000/AT31/365</f>
        <v>12.307806889213991</v>
      </c>
      <c r="AU30" s="748">
        <f t="shared" si="93"/>
        <v>16.007388025242424</v>
      </c>
      <c r="AV30" s="748">
        <f t="shared" si="92"/>
        <v>4.6910098061232128</v>
      </c>
      <c r="AW30" s="748">
        <f t="shared" si="92"/>
        <v>4.6002879034130482</v>
      </c>
      <c r="AX30" s="748">
        <f t="shared" si="92"/>
        <v>2.1241487279843438</v>
      </c>
      <c r="AY30" s="784">
        <f t="shared" si="92"/>
        <v>7.8830229336616915</v>
      </c>
      <c r="AZ30" s="784">
        <f t="shared" si="92"/>
        <v>0</v>
      </c>
      <c r="DB30" s="775" t="s">
        <v>1095</v>
      </c>
      <c r="DC30" s="723" t="s">
        <v>134</v>
      </c>
      <c r="DD30" s="743">
        <f>DD23+DD24+DD25+DD29</f>
        <v>19.629388200000005</v>
      </c>
      <c r="DE30" s="743">
        <f t="shared" ref="DE30:DP30" si="94">DE23+DE24+DE25+DE29</f>
        <v>19.629388200000005</v>
      </c>
      <c r="DF30" s="743">
        <f t="shared" si="94"/>
        <v>21.833027571428577</v>
      </c>
      <c r="DG30" s="743">
        <f t="shared" si="94"/>
        <v>16.442044382222221</v>
      </c>
      <c r="DH30" s="743">
        <f t="shared" si="94"/>
        <v>36.497115904761905</v>
      </c>
      <c r="DI30" s="743">
        <f t="shared" si="94"/>
        <v>15.93825067936508</v>
      </c>
      <c r="DJ30" s="743">
        <f t="shared" si="94"/>
        <v>15.93825067936508</v>
      </c>
      <c r="DK30" s="743">
        <f t="shared" si="94"/>
        <v>30.275951695238099</v>
      </c>
      <c r="DL30" s="743">
        <f t="shared" si="94"/>
        <v>32.711065815873013</v>
      </c>
      <c r="DM30" s="741">
        <f t="shared" si="94"/>
        <v>230.58339485291006</v>
      </c>
      <c r="DN30" s="743">
        <f t="shared" si="94"/>
        <v>32.711065815873013</v>
      </c>
      <c r="DO30" s="743">
        <f t="shared" si="94"/>
        <v>27.712083815873015</v>
      </c>
      <c r="DP30" s="1715">
        <f t="shared" si="94"/>
        <v>63.758781964021168</v>
      </c>
    </row>
    <row r="31" spans="1:181">
      <c r="A31" s="1393">
        <f>Eingabedaten!A37</f>
        <v>9.0299999999999994</v>
      </c>
      <c r="B31" s="738" t="str">
        <f>Eingabedaten!C37</f>
        <v>Laborraum</v>
      </c>
      <c r="C31" s="724" t="s">
        <v>5</v>
      </c>
      <c r="D31" s="740"/>
      <c r="E31" s="740"/>
      <c r="F31" s="740"/>
      <c r="G31" s="740"/>
      <c r="H31" s="740"/>
      <c r="I31" s="740"/>
      <c r="J31" s="740"/>
      <c r="K31" s="740"/>
      <c r="L31" s="740"/>
      <c r="M31" s="740"/>
      <c r="N31" s="740"/>
      <c r="O31" s="740"/>
      <c r="P31" s="740"/>
      <c r="Q31" s="740"/>
      <c r="R31" s="740"/>
      <c r="S31" s="740"/>
      <c r="T31" s="740"/>
      <c r="U31" s="740"/>
      <c r="V31" s="740"/>
      <c r="W31" s="740"/>
      <c r="X31" s="740"/>
      <c r="Y31" s="740"/>
      <c r="AA31" s="770">
        <f>1/Eingabedaten!AP37</f>
        <v>6.6666666666666666E-2</v>
      </c>
      <c r="AC31" s="735" t="s">
        <v>1059</v>
      </c>
      <c r="AD31" s="733" t="s">
        <v>319</v>
      </c>
      <c r="AE31" s="1288">
        <v>70</v>
      </c>
      <c r="AF31" s="811">
        <v>70</v>
      </c>
      <c r="AG31" s="811">
        <v>70</v>
      </c>
      <c r="AH31" s="811">
        <v>70</v>
      </c>
      <c r="AI31" s="811">
        <v>70</v>
      </c>
      <c r="AJ31" s="811">
        <v>70</v>
      </c>
      <c r="AK31" s="811">
        <v>70</v>
      </c>
      <c r="AL31" s="811">
        <v>70</v>
      </c>
      <c r="AM31" s="811">
        <v>70</v>
      </c>
      <c r="AN31" s="811">
        <v>70</v>
      </c>
      <c r="AO31" s="811">
        <v>70</v>
      </c>
      <c r="AP31" s="811">
        <v>70</v>
      </c>
      <c r="AQ31" s="811">
        <v>70</v>
      </c>
      <c r="AR31" s="811">
        <v>70</v>
      </c>
      <c r="AS31" s="811">
        <v>70</v>
      </c>
      <c r="AT31" s="811">
        <v>70</v>
      </c>
      <c r="AU31" s="811">
        <v>70</v>
      </c>
      <c r="AV31" s="811">
        <v>70</v>
      </c>
      <c r="AW31" s="811">
        <f>70/1.2*2</f>
        <v>116.66666666666667</v>
      </c>
      <c r="AX31" s="811">
        <f>70/1.2*3</f>
        <v>175</v>
      </c>
      <c r="AY31" s="812">
        <v>70</v>
      </c>
      <c r="AZ31" s="812">
        <v>70</v>
      </c>
      <c r="DB31" s="735" t="s">
        <v>1965</v>
      </c>
      <c r="DC31" s="802" t="s">
        <v>134</v>
      </c>
      <c r="DD31" s="1720">
        <f>DD30-DD10</f>
        <v>2.6293882000000046</v>
      </c>
      <c r="DE31" s="1720">
        <f t="shared" ref="DE31:DP31" si="95">DE30-DE10</f>
        <v>19.629388200000005</v>
      </c>
      <c r="DF31" s="1720">
        <f t="shared" si="95"/>
        <v>21.833027571428577</v>
      </c>
      <c r="DG31" s="1720">
        <f t="shared" si="95"/>
        <v>16.442044382222221</v>
      </c>
      <c r="DH31" s="1720">
        <f t="shared" si="95"/>
        <v>7.4971159047619054</v>
      </c>
      <c r="DI31" s="1720">
        <f t="shared" si="95"/>
        <v>2.9382506793650798</v>
      </c>
      <c r="DJ31" s="1720">
        <f t="shared" si="95"/>
        <v>15.93825067936508</v>
      </c>
      <c r="DK31" s="1720">
        <f t="shared" si="95"/>
        <v>30.275951695238099</v>
      </c>
      <c r="DL31" s="1720">
        <f t="shared" si="95"/>
        <v>32.711065815873013</v>
      </c>
      <c r="DM31" s="1720">
        <f t="shared" si="95"/>
        <v>-11.416605147089939</v>
      </c>
      <c r="DN31" s="1720">
        <f t="shared" si="95"/>
        <v>-7.2889341841269868</v>
      </c>
      <c r="DO31" s="1720">
        <f t="shared" si="95"/>
        <v>27.712083815873015</v>
      </c>
      <c r="DP31" s="1721">
        <f t="shared" si="95"/>
        <v>-3.2412180359788323</v>
      </c>
    </row>
    <row r="32" spans="1:181">
      <c r="A32" s="1393">
        <f>Eingabedaten!A38</f>
        <v>10.01</v>
      </c>
      <c r="B32" s="738" t="str">
        <f>Eingabedaten!C38</f>
        <v>Lagerhalle</v>
      </c>
      <c r="C32" s="724" t="s">
        <v>5</v>
      </c>
      <c r="D32" s="740"/>
      <c r="E32" s="740"/>
      <c r="F32" s="740"/>
      <c r="G32" s="740"/>
      <c r="H32" s="740"/>
      <c r="I32" s="740"/>
      <c r="J32" s="740"/>
      <c r="K32" s="740"/>
      <c r="L32" s="740"/>
      <c r="M32" s="740"/>
      <c r="N32" s="740"/>
      <c r="O32" s="740"/>
      <c r="P32" s="740"/>
      <c r="Q32" s="740"/>
      <c r="R32" s="740"/>
      <c r="S32" s="740"/>
      <c r="T32" s="740"/>
      <c r="U32" s="740"/>
      <c r="V32" s="739">
        <v>70</v>
      </c>
      <c r="W32" s="740"/>
      <c r="X32" s="740"/>
      <c r="Y32" s="740"/>
      <c r="AA32" s="770">
        <f>1/Eingabedaten!AP38</f>
        <v>2.5000000000000001E-2</v>
      </c>
    </row>
    <row r="33" spans="1:78">
      <c r="A33" s="1393">
        <f>Eingabedaten!A39</f>
        <v>11.01</v>
      </c>
      <c r="B33" s="738" t="str">
        <f>Eingabedaten!C39</f>
        <v>Turnhalle</v>
      </c>
      <c r="C33" s="724" t="s">
        <v>5</v>
      </c>
      <c r="D33" s="740"/>
      <c r="E33" s="740"/>
      <c r="F33" s="740"/>
      <c r="G33" s="740"/>
      <c r="H33" s="740"/>
      <c r="I33" s="740"/>
      <c r="J33" s="740"/>
      <c r="K33" s="740"/>
      <c r="L33" s="740"/>
      <c r="M33" s="740"/>
      <c r="N33" s="740"/>
      <c r="O33" s="740"/>
      <c r="P33" s="740"/>
      <c r="Q33" s="740"/>
      <c r="R33" s="740"/>
      <c r="S33" s="740"/>
      <c r="T33" s="740"/>
      <c r="U33" s="740"/>
      <c r="V33" s="740"/>
      <c r="W33" s="739">
        <v>60</v>
      </c>
      <c r="X33" s="740"/>
      <c r="Y33" s="740"/>
      <c r="AA33" s="770">
        <f>1/Eingabedaten!AP39</f>
        <v>0.05</v>
      </c>
      <c r="AE33" s="741"/>
      <c r="AF33" s="741"/>
      <c r="AG33" s="741"/>
      <c r="AH33" s="741"/>
      <c r="AI33" s="741"/>
      <c r="AJ33" s="741"/>
      <c r="AK33" s="741"/>
      <c r="AL33" s="741"/>
      <c r="AM33" s="741"/>
      <c r="AN33" s="741"/>
      <c r="AO33" s="741"/>
      <c r="AP33" s="741"/>
      <c r="AQ33" s="741"/>
      <c r="AR33" s="741"/>
      <c r="AS33" s="741"/>
      <c r="AT33" s="741"/>
      <c r="AU33" s="741"/>
      <c r="AV33" s="741"/>
      <c r="AW33" s="741"/>
      <c r="AX33" s="741"/>
      <c r="AY33" s="741"/>
      <c r="AZ33" s="741"/>
    </row>
    <row r="34" spans="1:78">
      <c r="A34" s="1393">
        <f>Eingabedaten!A40</f>
        <v>11.02</v>
      </c>
      <c r="B34" s="738" t="str">
        <f>Eingabedaten!C40</f>
        <v>Fitnessraum</v>
      </c>
      <c r="C34" s="724" t="s">
        <v>5</v>
      </c>
      <c r="D34" s="740"/>
      <c r="E34" s="740"/>
      <c r="F34" s="740"/>
      <c r="G34" s="740"/>
      <c r="H34" s="740"/>
      <c r="I34" s="740"/>
      <c r="J34" s="740"/>
      <c r="K34" s="740"/>
      <c r="L34" s="740"/>
      <c r="M34" s="740"/>
      <c r="N34" s="740"/>
      <c r="O34" s="740"/>
      <c r="P34" s="740"/>
      <c r="Q34" s="740"/>
      <c r="R34" s="740"/>
      <c r="S34" s="740"/>
      <c r="T34" s="740"/>
      <c r="U34" s="740"/>
      <c r="V34" s="740"/>
      <c r="W34" s="740"/>
      <c r="X34" s="740"/>
      <c r="Y34" s="740"/>
      <c r="AA34" s="770">
        <f>1/Eingabedaten!AP40</f>
        <v>0.1</v>
      </c>
    </row>
    <row r="35" spans="1:78">
      <c r="A35" s="1393">
        <f>Eingabedaten!A41</f>
        <v>11.03</v>
      </c>
      <c r="B35" s="738" t="str">
        <f>Eingabedaten!C41</f>
        <v>Schwimmhalle</v>
      </c>
      <c r="C35" s="724" t="s">
        <v>5</v>
      </c>
      <c r="D35" s="740"/>
      <c r="E35" s="740"/>
      <c r="F35" s="740"/>
      <c r="G35" s="740"/>
      <c r="H35" s="740"/>
      <c r="I35" s="740"/>
      <c r="J35" s="740"/>
      <c r="K35" s="740"/>
      <c r="L35" s="740"/>
      <c r="M35" s="740"/>
      <c r="N35" s="740"/>
      <c r="O35" s="740"/>
      <c r="P35" s="740"/>
      <c r="Q35" s="740"/>
      <c r="R35" s="740"/>
      <c r="S35" s="740"/>
      <c r="T35" s="740"/>
      <c r="U35" s="740"/>
      <c r="V35" s="740"/>
      <c r="W35" s="740"/>
      <c r="X35" s="740">
        <v>60</v>
      </c>
      <c r="Y35" s="740"/>
      <c r="AA35" s="770">
        <f>1/Eingabedaten!AP41</f>
        <v>0.1</v>
      </c>
      <c r="AC35" s="728" t="s">
        <v>1531</v>
      </c>
      <c r="AD35" s="730" t="s">
        <v>134</v>
      </c>
      <c r="AE35" s="1289">
        <f>AE11/0.8</f>
        <v>3.75</v>
      </c>
      <c r="AF35" s="1278">
        <f>AE11/0.8</f>
        <v>3.75</v>
      </c>
      <c r="AG35" s="1278">
        <f t="shared" ref="AG35" si="96">AF11/0.8</f>
        <v>3.75</v>
      </c>
      <c r="AH35" s="1278">
        <f>AH11/0.8</f>
        <v>1.7499999999999998</v>
      </c>
      <c r="AI35" s="1278">
        <f>AI11/0.8</f>
        <v>4.21</v>
      </c>
      <c r="AJ35" s="1278">
        <f>AJ11/0.8</f>
        <v>3.91</v>
      </c>
      <c r="AK35" s="1278">
        <f>AK11/0.8</f>
        <v>3.91</v>
      </c>
      <c r="AL35" s="1278">
        <f>AN11/0.8</f>
        <v>9.43</v>
      </c>
      <c r="AM35" s="1278">
        <f>AM11/0.8</f>
        <v>9.43</v>
      </c>
      <c r="AN35" s="1278">
        <f>AQ11/0.8</f>
        <v>10.48</v>
      </c>
      <c r="AO35" s="1278">
        <f>AR11/0.8</f>
        <v>4.8099999999999996</v>
      </c>
      <c r="AP35" s="1278">
        <f>AT11/0.8</f>
        <v>10.25</v>
      </c>
      <c r="AQ35" s="1278">
        <f>AQ11/0.8</f>
        <v>10.48</v>
      </c>
      <c r="AR35" s="1278">
        <f>AR11/0.8</f>
        <v>4.8099999999999996</v>
      </c>
      <c r="AS35" s="1278">
        <f>AS11/0.8</f>
        <v>10.25</v>
      </c>
      <c r="AT35" s="1278">
        <f t="shared" ref="AT35:AU35" si="97">AX11/0.8</f>
        <v>4.04</v>
      </c>
      <c r="AU35" s="1278">
        <f t="shared" si="97"/>
        <v>8.6</v>
      </c>
      <c r="AV35" s="1278">
        <f>AV11/0.8</f>
        <v>8.3699999999999992</v>
      </c>
      <c r="AW35" s="1278">
        <f>AW11/0.8</f>
        <v>2.06</v>
      </c>
      <c r="AX35" s="1278">
        <f>AX11/0.8</f>
        <v>4.04</v>
      </c>
      <c r="AY35" s="1290">
        <f>AY11/0.8</f>
        <v>8.6</v>
      </c>
      <c r="AZ35" s="730"/>
      <c r="BC35" s="742" t="s">
        <v>517</v>
      </c>
    </row>
    <row r="36" spans="1:78">
      <c r="A36" s="1393">
        <f>Eingabedaten!A42</f>
        <v>12.01</v>
      </c>
      <c r="B36" s="738" t="str">
        <f>Eingabedaten!C42</f>
        <v>Verkehrsfläche</v>
      </c>
      <c r="C36" s="724" t="s">
        <v>5</v>
      </c>
      <c r="D36" s="740"/>
      <c r="E36" s="740"/>
      <c r="F36" s="739">
        <v>10</v>
      </c>
      <c r="G36" s="740"/>
      <c r="H36" s="739">
        <v>20</v>
      </c>
      <c r="I36" s="739">
        <v>20</v>
      </c>
      <c r="J36" s="739">
        <v>20</v>
      </c>
      <c r="K36" s="739">
        <v>20</v>
      </c>
      <c r="L36" s="739">
        <v>20</v>
      </c>
      <c r="M36" s="739">
        <v>20</v>
      </c>
      <c r="N36" s="739">
        <v>20</v>
      </c>
      <c r="O36" s="739">
        <v>20</v>
      </c>
      <c r="P36" s="739">
        <v>20</v>
      </c>
      <c r="Q36" s="739">
        <v>20</v>
      </c>
      <c r="R36" s="739">
        <v>10</v>
      </c>
      <c r="S36" s="739">
        <v>10</v>
      </c>
      <c r="T36" s="739">
        <v>10</v>
      </c>
      <c r="U36" s="739">
        <v>10</v>
      </c>
      <c r="V36" s="739">
        <v>15</v>
      </c>
      <c r="W36" s="740">
        <v>10</v>
      </c>
      <c r="X36" s="740">
        <v>10</v>
      </c>
      <c r="Y36" s="740">
        <v>5</v>
      </c>
      <c r="AA36" s="770"/>
      <c r="AE36" s="743"/>
      <c r="AF36" s="743"/>
      <c r="BC36" s="723" t="s">
        <v>420</v>
      </c>
      <c r="BD36" s="723" t="s">
        <v>134</v>
      </c>
      <c r="BE36" s="741">
        <f t="shared" ref="BE36:BY36" si="98">BE8</f>
        <v>28</v>
      </c>
      <c r="BF36" s="741"/>
      <c r="BG36" s="741">
        <f t="shared" si="98"/>
        <v>0</v>
      </c>
      <c r="BH36" s="741">
        <f t="shared" si="98"/>
        <v>22</v>
      </c>
      <c r="BI36" s="741">
        <f t="shared" si="98"/>
        <v>22</v>
      </c>
      <c r="BJ36" s="741">
        <f t="shared" si="98"/>
        <v>11</v>
      </c>
      <c r="BK36" s="741"/>
      <c r="BL36" s="741"/>
      <c r="BM36" s="741">
        <f t="shared" si="98"/>
        <v>33</v>
      </c>
      <c r="BN36" s="741">
        <f t="shared" si="98"/>
        <v>0</v>
      </c>
      <c r="BO36" s="741">
        <f t="shared" si="98"/>
        <v>0</v>
      </c>
      <c r="BP36" s="741">
        <f t="shared" si="98"/>
        <v>0</v>
      </c>
      <c r="BQ36" s="741">
        <f t="shared" si="98"/>
        <v>33</v>
      </c>
      <c r="BR36" s="741">
        <f t="shared" si="98"/>
        <v>17</v>
      </c>
      <c r="BS36" s="741">
        <f t="shared" si="98"/>
        <v>28</v>
      </c>
      <c r="BT36" s="741">
        <f t="shared" ref="BT36:BU36" si="99">BT8</f>
        <v>0</v>
      </c>
      <c r="BU36" s="741">
        <f t="shared" si="99"/>
        <v>0</v>
      </c>
      <c r="BV36" s="741">
        <f t="shared" si="98"/>
        <v>17</v>
      </c>
      <c r="BW36" s="741">
        <f t="shared" si="98"/>
        <v>6</v>
      </c>
      <c r="BX36" s="741">
        <f t="shared" si="98"/>
        <v>6</v>
      </c>
      <c r="BY36" s="741">
        <f t="shared" si="98"/>
        <v>56</v>
      </c>
      <c r="BZ36" s="741"/>
    </row>
    <row r="37" spans="1:78">
      <c r="A37" s="1393">
        <f>Eingabedaten!A43</f>
        <v>12.02</v>
      </c>
      <c r="B37" s="738" t="str">
        <f>Eingabedaten!C43</f>
        <v>Verkehrsfläche 24 h</v>
      </c>
      <c r="C37" s="724" t="s">
        <v>5</v>
      </c>
      <c r="D37" s="740"/>
      <c r="E37" s="740"/>
      <c r="F37" s="739">
        <v>5</v>
      </c>
      <c r="G37" s="740"/>
      <c r="H37" s="740"/>
      <c r="I37" s="740"/>
      <c r="J37" s="740"/>
      <c r="K37" s="740"/>
      <c r="L37" s="740"/>
      <c r="M37" s="740"/>
      <c r="N37" s="740"/>
      <c r="O37" s="740"/>
      <c r="P37" s="740"/>
      <c r="Q37" s="740"/>
      <c r="R37" s="739">
        <v>10</v>
      </c>
      <c r="S37" s="739">
        <v>10</v>
      </c>
      <c r="T37" s="739">
        <v>5</v>
      </c>
      <c r="U37" s="739">
        <v>10</v>
      </c>
      <c r="V37" s="740"/>
      <c r="W37" s="740"/>
      <c r="X37" s="740"/>
      <c r="Y37" s="740"/>
      <c r="AA37" s="770"/>
      <c r="BC37" s="723" t="s">
        <v>1999</v>
      </c>
      <c r="BD37" s="723" t="s">
        <v>134</v>
      </c>
      <c r="BE37" s="741">
        <f>AE10+AE11</f>
        <v>22.629388200000005</v>
      </c>
      <c r="BF37" s="741"/>
      <c r="BG37" s="741">
        <f>AG10+AG11</f>
        <v>29.993027571428577</v>
      </c>
      <c r="BH37" s="741">
        <f>AH10+AH11</f>
        <v>17.84204438222222</v>
      </c>
      <c r="BI37" s="741">
        <f>AI10+AI11</f>
        <v>31.453115904761908</v>
      </c>
      <c r="BJ37" s="741">
        <f>AJ10+AJ11</f>
        <v>19.06625067936508</v>
      </c>
      <c r="BK37" s="741"/>
      <c r="BL37" s="741"/>
      <c r="BM37" s="741">
        <f t="shared" ref="BM37:BY37" si="100">AM10+AM11</f>
        <v>40.25506581587301</v>
      </c>
      <c r="BN37" s="741">
        <f t="shared" si="100"/>
        <v>40.559394852910046</v>
      </c>
      <c r="BO37" s="741">
        <f t="shared" si="100"/>
        <v>40.25506581587301</v>
      </c>
      <c r="BP37" s="741">
        <f t="shared" si="100"/>
        <v>35.256083815873012</v>
      </c>
      <c r="BQ37" s="741">
        <f t="shared" si="100"/>
        <v>28.598781964021164</v>
      </c>
      <c r="BR37" s="741">
        <f t="shared" si="100"/>
        <v>31.278779238095236</v>
      </c>
      <c r="BS37" s="741">
        <f t="shared" si="100"/>
        <v>31.713586349206352</v>
      </c>
      <c r="BT37" s="741">
        <f t="shared" si="100"/>
        <v>33.443174349206352</v>
      </c>
      <c r="BU37" s="741">
        <f t="shared" si="100"/>
        <v>30.375593904761907</v>
      </c>
      <c r="BV37" s="741">
        <f t="shared" si="100"/>
        <v>24.961522838095242</v>
      </c>
      <c r="BW37" s="741">
        <f t="shared" si="100"/>
        <v>18.659624581684984</v>
      </c>
      <c r="BX37" s="741">
        <f t="shared" si="100"/>
        <v>17.849617333333331</v>
      </c>
      <c r="BY37" s="741">
        <f t="shared" si="100"/>
        <v>28.745535682539685</v>
      </c>
      <c r="BZ37" s="741"/>
    </row>
    <row r="38" spans="1:78">
      <c r="A38" s="1393">
        <f>Eingabedaten!A44</f>
        <v>12.03</v>
      </c>
      <c r="B38" s="738" t="str">
        <f>Eingabedaten!C44</f>
        <v>Treppenhaus</v>
      </c>
      <c r="C38" s="724" t="s">
        <v>5</v>
      </c>
      <c r="D38" s="740">
        <v>10</v>
      </c>
      <c r="E38" s="740">
        <v>10</v>
      </c>
      <c r="F38" s="740">
        <v>5</v>
      </c>
      <c r="G38" s="740"/>
      <c r="H38" s="740">
        <v>5</v>
      </c>
      <c r="I38" s="740">
        <v>5</v>
      </c>
      <c r="J38" s="740">
        <v>5</v>
      </c>
      <c r="K38" s="739">
        <v>5</v>
      </c>
      <c r="L38" s="740">
        <v>5</v>
      </c>
      <c r="M38" s="740">
        <v>5</v>
      </c>
      <c r="N38" s="740">
        <v>5</v>
      </c>
      <c r="O38" s="740">
        <v>5</v>
      </c>
      <c r="P38" s="740"/>
      <c r="Q38" s="740"/>
      <c r="R38" s="740">
        <v>5</v>
      </c>
      <c r="S38" s="740">
        <v>5</v>
      </c>
      <c r="T38" s="740">
        <v>5</v>
      </c>
      <c r="U38" s="740">
        <v>5</v>
      </c>
      <c r="V38" s="740"/>
      <c r="W38" s="740"/>
      <c r="X38" s="740"/>
      <c r="Y38" s="740"/>
      <c r="AA38" s="770"/>
      <c r="BC38" s="213" t="s">
        <v>1149</v>
      </c>
      <c r="BD38" s="723" t="s">
        <v>134</v>
      </c>
      <c r="BE38" s="741">
        <f t="shared" ref="BE38:BP38" si="101">BE37-BE36</f>
        <v>-5.3706117999999954</v>
      </c>
      <c r="BF38" s="741"/>
      <c r="BG38" s="741">
        <f t="shared" si="101"/>
        <v>29.993027571428577</v>
      </c>
      <c r="BH38" s="741">
        <f t="shared" si="101"/>
        <v>-4.1579556177777803</v>
      </c>
      <c r="BI38" s="741">
        <f t="shared" si="101"/>
        <v>9.4531159047619084</v>
      </c>
      <c r="BJ38" s="741">
        <f t="shared" si="101"/>
        <v>8.0662506793650799</v>
      </c>
      <c r="BK38" s="741"/>
      <c r="BL38" s="741"/>
      <c r="BM38" s="741">
        <f t="shared" si="101"/>
        <v>7.2550658158730101</v>
      </c>
      <c r="BN38" s="741">
        <f t="shared" si="101"/>
        <v>40.559394852910046</v>
      </c>
      <c r="BO38" s="741">
        <f t="shared" si="101"/>
        <v>40.25506581587301</v>
      </c>
      <c r="BP38" s="741">
        <f t="shared" si="101"/>
        <v>35.256083815873012</v>
      </c>
      <c r="BQ38" s="741">
        <f t="shared" ref="BQ38:BY38" si="102">BQ37-BQ36</f>
        <v>-4.401218035978836</v>
      </c>
      <c r="BR38" s="741">
        <f t="shared" si="102"/>
        <v>14.278779238095236</v>
      </c>
      <c r="BS38" s="741">
        <f t="shared" si="102"/>
        <v>3.7135863492063521</v>
      </c>
      <c r="BT38" s="741">
        <f t="shared" ref="BT38:BU38" si="103">BT37-BT36</f>
        <v>33.443174349206352</v>
      </c>
      <c r="BU38" s="741">
        <f t="shared" si="103"/>
        <v>30.375593904761907</v>
      </c>
      <c r="BV38" s="741">
        <f t="shared" si="102"/>
        <v>7.9615228380952416</v>
      </c>
      <c r="BW38" s="741">
        <f t="shared" si="102"/>
        <v>12.659624581684984</v>
      </c>
      <c r="BX38" s="741">
        <f t="shared" si="102"/>
        <v>11.849617333333331</v>
      </c>
      <c r="BY38" s="741">
        <f t="shared" si="102"/>
        <v>-27.254464317460315</v>
      </c>
      <c r="BZ38" s="741"/>
    </row>
    <row r="39" spans="1:78">
      <c r="A39" s="1393">
        <f>Eingabedaten!A45</f>
        <v>12.04</v>
      </c>
      <c r="B39" s="738" t="str">
        <f>Eingabedaten!C45</f>
        <v>Nebenraum</v>
      </c>
      <c r="C39" s="724" t="s">
        <v>5</v>
      </c>
      <c r="D39" s="739">
        <v>5</v>
      </c>
      <c r="E39" s="739">
        <v>5</v>
      </c>
      <c r="F39" s="740">
        <v>5</v>
      </c>
      <c r="G39" s="739">
        <v>10</v>
      </c>
      <c r="H39" s="740">
        <v>5</v>
      </c>
      <c r="I39" s="739">
        <v>10</v>
      </c>
      <c r="J39" s="739">
        <v>10</v>
      </c>
      <c r="K39" s="739">
        <v>7</v>
      </c>
      <c r="L39" s="740">
        <v>7</v>
      </c>
      <c r="M39" s="740">
        <v>5</v>
      </c>
      <c r="N39" s="740">
        <v>7</v>
      </c>
      <c r="O39" s="740">
        <v>7</v>
      </c>
      <c r="P39" s="740">
        <v>10</v>
      </c>
      <c r="Q39" s="740">
        <v>10</v>
      </c>
      <c r="R39" s="740">
        <v>10</v>
      </c>
      <c r="S39" s="740">
        <v>10</v>
      </c>
      <c r="T39" s="740">
        <v>10</v>
      </c>
      <c r="U39" s="740">
        <v>9</v>
      </c>
      <c r="V39" s="740">
        <v>9</v>
      </c>
      <c r="W39" s="740">
        <v>10</v>
      </c>
      <c r="X39" s="740">
        <v>10</v>
      </c>
      <c r="Y39" s="740">
        <v>5</v>
      </c>
      <c r="AA39" s="770"/>
    </row>
    <row r="40" spans="1:78">
      <c r="A40" s="1393">
        <f>Eingabedaten!A46</f>
        <v>12.05</v>
      </c>
      <c r="B40" s="738" t="str">
        <f>Eingabedaten!C46</f>
        <v>Küche, Teeküche</v>
      </c>
      <c r="C40" s="724" t="s">
        <v>5</v>
      </c>
      <c r="D40" s="740"/>
      <c r="E40" s="740"/>
      <c r="F40" s="740"/>
      <c r="G40" s="740"/>
      <c r="H40" s="740">
        <v>2</v>
      </c>
      <c r="I40" s="740"/>
      <c r="J40" s="740"/>
      <c r="K40" s="740"/>
      <c r="L40" s="740"/>
      <c r="M40" s="740"/>
      <c r="N40" s="740"/>
      <c r="O40" s="740"/>
      <c r="P40" s="740"/>
      <c r="Q40" s="740"/>
      <c r="R40" s="740"/>
      <c r="S40" s="740"/>
      <c r="T40" s="740"/>
      <c r="U40" s="740"/>
      <c r="V40" s="740"/>
      <c r="W40" s="740"/>
      <c r="X40" s="740"/>
      <c r="Y40" s="740"/>
      <c r="AA40" s="810">
        <v>0</v>
      </c>
      <c r="AC40" s="795" t="s">
        <v>1533</v>
      </c>
      <c r="AD40" s="1279"/>
      <c r="AE40" s="725" t="str">
        <f>AE1</f>
        <v>I</v>
      </c>
      <c r="AF40" s="725">
        <f t="shared" ref="AF40" si="104">E40</f>
        <v>0</v>
      </c>
      <c r="AG40" s="724">
        <f t="shared" ref="AG40" si="105">F40</f>
        <v>0</v>
      </c>
      <c r="AH40" s="725" t="str">
        <f>AH1</f>
        <v>II</v>
      </c>
      <c r="AI40" s="725" t="str">
        <f>AI1</f>
        <v>III</v>
      </c>
      <c r="AJ40" s="725" t="str">
        <f>AJ1</f>
        <v>IV</v>
      </c>
      <c r="AK40" s="724">
        <f t="shared" ref="AK40" si="106">J40</f>
        <v>0</v>
      </c>
      <c r="AL40" s="724">
        <f t="shared" ref="AL40" si="107">K40</f>
        <v>0</v>
      </c>
      <c r="AM40" s="725" t="str">
        <f>AM1</f>
        <v>V</v>
      </c>
      <c r="AN40" s="724">
        <f t="shared" ref="AN40" si="108">M40</f>
        <v>0</v>
      </c>
      <c r="AO40" s="724">
        <f t="shared" ref="AO40" si="109">N40</f>
        <v>0</v>
      </c>
      <c r="AP40" s="724">
        <f t="shared" ref="AP40" si="110">O40</f>
        <v>0</v>
      </c>
      <c r="AQ40" s="725" t="str">
        <f>AQ1</f>
        <v>VI</v>
      </c>
      <c r="AR40" s="725" t="str">
        <f>AR1</f>
        <v>VII</v>
      </c>
      <c r="AS40" s="725" t="str">
        <f>AS1</f>
        <v>VIII</v>
      </c>
      <c r="AT40" s="724">
        <f t="shared" ref="AT40" si="111">S40</f>
        <v>0</v>
      </c>
      <c r="AU40" s="724">
        <f t="shared" ref="AU40" si="112">T40</f>
        <v>0</v>
      </c>
      <c r="AV40" s="725" t="str">
        <f>AV1</f>
        <v>IX</v>
      </c>
      <c r="AW40" s="725" t="str">
        <f>AW1</f>
        <v>X</v>
      </c>
      <c r="AX40" s="725" t="str">
        <f>AX1</f>
        <v>XI</v>
      </c>
      <c r="AY40" s="725" t="str">
        <f>AY1</f>
        <v>XII</v>
      </c>
    </row>
    <row r="41" spans="1:78">
      <c r="A41" s="1393">
        <f>Eingabedaten!A47</f>
        <v>12.06</v>
      </c>
      <c r="B41" s="738" t="str">
        <f>Eingabedaten!C47</f>
        <v xml:space="preserve">WC, Bad, Dusche </v>
      </c>
      <c r="C41" s="724" t="s">
        <v>5</v>
      </c>
      <c r="D41" s="740"/>
      <c r="E41" s="740"/>
      <c r="F41" s="740">
        <v>5</v>
      </c>
      <c r="G41" s="740"/>
      <c r="H41" s="740"/>
      <c r="I41" s="740"/>
      <c r="J41" s="740"/>
      <c r="K41" s="740"/>
      <c r="L41" s="740"/>
      <c r="M41" s="740"/>
      <c r="N41" s="740"/>
      <c r="O41" s="740"/>
      <c r="P41" s="740"/>
      <c r="Q41" s="740"/>
      <c r="R41" s="740"/>
      <c r="S41" s="740"/>
      <c r="T41" s="740"/>
      <c r="U41" s="740"/>
      <c r="V41" s="740"/>
      <c r="W41" s="739">
        <v>5</v>
      </c>
      <c r="X41" s="740"/>
      <c r="Y41" s="740"/>
      <c r="AA41" s="770"/>
      <c r="AC41" s="732"/>
      <c r="AD41" s="733"/>
      <c r="AE41" s="734"/>
      <c r="AF41" s="734"/>
      <c r="AG41" s="731"/>
      <c r="AH41" s="731"/>
      <c r="AI41" s="731"/>
      <c r="AJ41" s="731"/>
      <c r="AK41" s="731"/>
      <c r="AL41" s="731"/>
      <c r="AM41" s="731"/>
      <c r="AN41" s="731"/>
      <c r="AO41" s="731"/>
      <c r="AP41" s="731"/>
      <c r="AQ41" s="731"/>
      <c r="AR41" s="731"/>
      <c r="AS41" s="731"/>
      <c r="AT41" s="731"/>
      <c r="AU41" s="731"/>
      <c r="AV41" s="731"/>
      <c r="AW41" s="731"/>
      <c r="AX41" s="731"/>
      <c r="AY41" s="731"/>
    </row>
    <row r="42" spans="1:78">
      <c r="A42" s="1393">
        <f>Eingabedaten!A48</f>
        <v>12.07</v>
      </c>
      <c r="B42" s="738" t="str">
        <f>Eingabedaten!C48</f>
        <v>WC</v>
      </c>
      <c r="C42" s="724" t="s">
        <v>5</v>
      </c>
      <c r="D42" s="740"/>
      <c r="E42" s="740"/>
      <c r="F42" s="740"/>
      <c r="G42" s="740"/>
      <c r="H42" s="740">
        <v>2</v>
      </c>
      <c r="I42" s="740">
        <v>2</v>
      </c>
      <c r="J42" s="740">
        <v>2</v>
      </c>
      <c r="K42" s="739">
        <v>2</v>
      </c>
      <c r="L42" s="740">
        <v>1</v>
      </c>
      <c r="M42" s="740">
        <v>1</v>
      </c>
      <c r="N42" s="740">
        <v>1</v>
      </c>
      <c r="O42" s="740">
        <v>1</v>
      </c>
      <c r="P42" s="740">
        <v>1</v>
      </c>
      <c r="Q42" s="740">
        <v>5</v>
      </c>
      <c r="R42" s="740">
        <v>5</v>
      </c>
      <c r="S42" s="740">
        <v>5</v>
      </c>
      <c r="T42" s="740">
        <v>5</v>
      </c>
      <c r="U42" s="740">
        <v>1</v>
      </c>
      <c r="V42" s="740">
        <v>1</v>
      </c>
      <c r="W42" s="740">
        <v>5</v>
      </c>
      <c r="X42" s="740">
        <v>5</v>
      </c>
      <c r="Y42" s="740"/>
      <c r="AA42" s="770"/>
      <c r="AC42" s="772" t="s">
        <v>51</v>
      </c>
      <c r="AD42" s="778" t="s">
        <v>134</v>
      </c>
      <c r="AE42" s="1051">
        <f>SUMPRODUCT(KZ_Raum_2024!$K$7:$K$51,'Fläche-E'!D$3:D$47)/100*$AD$1</f>
        <v>7.3440000000000012</v>
      </c>
      <c r="AF42" s="1051">
        <f>SUMPRODUCT(KZ_Raum_2024!$C$7:$C$51,'Fläche-E'!E$3:E$47)/100*$AD$1</f>
        <v>14.688000000000002</v>
      </c>
      <c r="AG42" s="1051">
        <f>SUMPRODUCT(KZ_Raum_2024!$C$7:$C$51,'Fläche-E'!F$3:F$47)/100*$AD$1</f>
        <v>12.284000000000001</v>
      </c>
      <c r="AH42" s="1051">
        <f>SUMPRODUCT(KZ_Raum_2024!$K$7:$K$51,'Fläche-E'!G$3:G$47)/100*$AD$1</f>
        <v>6.4080000000000004</v>
      </c>
      <c r="AI42" s="1051">
        <f>SUMPRODUCT(KZ_Raum_2024!$K$7:$K$51,'Fläche-E'!H$3:H$47)/100*$AD$1</f>
        <v>10.224</v>
      </c>
      <c r="AJ42" s="1051">
        <f>SUMPRODUCT(KZ_Raum_2024!$K$7:$K$51,'Fläche-E'!I$3:I$47)/100*$AD$1</f>
        <v>3.5337600000000005</v>
      </c>
      <c r="AK42" s="1051">
        <f>SUMPRODUCT(KZ_Raum_2024!$C$7:$C$51,'Fläche-E'!J$3:J$47)/100*$AD$1</f>
        <v>6.9511200000000004</v>
      </c>
      <c r="AL42" s="1051">
        <f>SUMPRODUCT(KZ_Raum_2024!$C$7:$C$51,'Fläche-E'!K$3:K$47)/100*$AD$1</f>
        <v>11.325200000000002</v>
      </c>
      <c r="AM42" s="1051">
        <f>SUMPRODUCT(KZ_Raum_2024!$K$7:$K$51,'Fläche-E'!L$3:L$47)/100*$AD$1</f>
        <v>2.4408000000000003</v>
      </c>
      <c r="AN42" s="1051">
        <f>SUMPRODUCT(KZ_Raum_2024!$C$7:$C$51,'Fläche-E'!M$3:M$47)/100*$AD$1</f>
        <v>5.13</v>
      </c>
      <c r="AO42" s="1051">
        <f>SUMPRODUCT(KZ_Raum_2024!$C$7:$C$51,'Fläche-E'!N$3:N$47)/100*$AD$1</f>
        <v>4.7652000000000001</v>
      </c>
      <c r="AP42" s="1051">
        <f>SUMPRODUCT(KZ_Raum_2024!$C$7:$C$51,'Fläche-E'!O$3:O$47)/100*$AD$1</f>
        <v>4.5540000000000003</v>
      </c>
      <c r="AQ42" s="1051">
        <f>SUMPRODUCT(KZ_Raum_2024!$K$7:$K$51,'Fläche-E'!P$3:P$47)/100*$AD$1</f>
        <v>3.6224000000000007</v>
      </c>
      <c r="AR42" s="1051">
        <f>SUMPRODUCT(KZ_Raum_2024!$K$7:$K$51,'Fläche-E'!Q$3:Q$47)/100*$AD$1</f>
        <v>3.3864000000000005</v>
      </c>
      <c r="AS42" s="1051">
        <f>SUMPRODUCT(KZ_Raum_2024!$K$7:$K$51,'Fläche-E'!R$3:R$47)/100*$AD$1</f>
        <v>5.3124000000000002</v>
      </c>
      <c r="AT42" s="1051">
        <f>SUMPRODUCT(KZ_Raum_2024!$C$7:$C$51,'Fläche-E'!S$3:S$47)/100*$AD$1</f>
        <v>9.4044000000000008</v>
      </c>
      <c r="AU42" s="1051">
        <f>SUMPRODUCT(KZ_Raum_2024!$C$7:$C$51,'Fläche-E'!T$3:T$47)/100*$AD$1</f>
        <v>8.0483999999999991</v>
      </c>
      <c r="AV42" s="1051">
        <f>SUMPRODUCT(KZ_Raum_2024!$K$7:$K$51,'Fläche-E'!U$3:U$47)/100*$AD$1</f>
        <v>6.9223999999999997</v>
      </c>
      <c r="AW42" s="1051">
        <f>SUMPRODUCT(KZ_Raum_2024!$K$7:$K$51,'Fläche-E'!V$3:V$47)/100*$AD$1</f>
        <v>2.468</v>
      </c>
      <c r="AX42" s="1051">
        <f>SUMPRODUCT(KZ_Raum_2024!$K$7:$K$51,'Fläche-E'!W$3:W$47)/100*$AD$1</f>
        <v>0</v>
      </c>
      <c r="AY42" s="1052">
        <f>SUMPRODUCT(KZ_Raum_2024!$K$7:$K$51,'Fläche-E'!X$3:X$47)/100*$AD$1</f>
        <v>3.9720000000000009</v>
      </c>
    </row>
    <row r="43" spans="1:78">
      <c r="A43" s="1393">
        <f>Eingabedaten!A49</f>
        <v>12.08</v>
      </c>
      <c r="B43" s="738" t="str">
        <f>Eingabedaten!C49</f>
        <v>Garderobe, Dusche</v>
      </c>
      <c r="C43" s="724" t="s">
        <v>5</v>
      </c>
      <c r="D43" s="740"/>
      <c r="E43" s="740"/>
      <c r="F43" s="740"/>
      <c r="G43" s="740"/>
      <c r="H43" s="740"/>
      <c r="I43" s="740"/>
      <c r="J43" s="740"/>
      <c r="K43" s="740"/>
      <c r="L43" s="740">
        <v>2</v>
      </c>
      <c r="M43" s="740">
        <v>2</v>
      </c>
      <c r="N43" s="740">
        <v>2</v>
      </c>
      <c r="O43" s="740">
        <v>2</v>
      </c>
      <c r="P43" s="740">
        <v>2</v>
      </c>
      <c r="Q43" s="740"/>
      <c r="R43" s="740"/>
      <c r="S43" s="740"/>
      <c r="T43" s="740"/>
      <c r="U43" s="740"/>
      <c r="V43" s="740"/>
      <c r="W43" s="739">
        <v>10</v>
      </c>
      <c r="X43" s="740">
        <v>10</v>
      </c>
      <c r="Y43" s="740"/>
      <c r="AA43" s="770"/>
      <c r="AC43" s="773" t="s">
        <v>17</v>
      </c>
      <c r="AD43" s="774" t="s">
        <v>134</v>
      </c>
      <c r="AE43" s="1053">
        <f>SUMPRODUCT(KZ_Raum_2024!$M$7:$M$51,'Fläche-E'!D$3:D$47)/100*$AD$1</f>
        <v>0.80216196581196597</v>
      </c>
      <c r="AF43" s="1053">
        <f>SUMPRODUCT(KZ_Raum_2024!$E$7:$E$51,'Fläche-E'!E$3:E$47)/100*$AD$1</f>
        <v>2.1526810000000007</v>
      </c>
      <c r="AG43" s="1053">
        <f>SUMPRODUCT(KZ_Raum_2024!$E$7:$E$51,'Fläche-E'!F$3:F$47)/100*$AD$1</f>
        <v>4.8560016666666677</v>
      </c>
      <c r="AH43" s="1053">
        <f>SUMPRODUCT(KZ_Raum_2024!$M$7:$M$51,'Fläche-E'!G$3:G$47)/100*$AD$1</f>
        <v>0.82553874643874647</v>
      </c>
      <c r="AI43" s="1053">
        <f>SUMPRODUCT(KZ_Raum_2024!$M$7:$M$51,'Fläche-E'!H$3:H$47)/100*$AD$1</f>
        <v>1.2562361965811963</v>
      </c>
      <c r="AJ43" s="1053">
        <f>SUMPRODUCT(KZ_Raum_2024!$M$7:$M$51,'Fläche-E'!I$3:I$47)/100*$AD$1</f>
        <v>0.99508483923483948</v>
      </c>
      <c r="AK43" s="1053">
        <f>SUMPRODUCT(KZ_Raum_2024!$E$7:$E$51,'Fläche-E'!J$3:J$47)/100*$AD$1</f>
        <v>6.6046965079365085</v>
      </c>
      <c r="AL43" s="1053">
        <f>SUMPRODUCT(KZ_Raum_2024!$E$7:$E$51,'Fläche-E'!K$3:K$47)/100*$AD$1</f>
        <v>7.0316882857142859</v>
      </c>
      <c r="AM43" s="1053">
        <f>SUMPRODUCT(KZ_Raum_2024!$M$7:$M$51,'Fläche-E'!L$3:L$47)/100*$AD$1</f>
        <v>14.517997136752136</v>
      </c>
      <c r="AN43" s="1053">
        <f>SUMPRODUCT(KZ_Raum_2024!$E$7:$E$51,'Fläche-E'!M$3:M$47)/100*$AD$1</f>
        <v>23.902055481481479</v>
      </c>
      <c r="AO43" s="1053">
        <f>SUMPRODUCT(KZ_Raum_2024!$E$7:$E$51,'Fläche-E'!N$3:N$47)/100*$AD$1</f>
        <v>23.952625644444446</v>
      </c>
      <c r="AP43" s="1053">
        <f>SUMPRODUCT(KZ_Raum_2024!$E$7:$E$51,'Fläche-E'!O$3:O$47)/100*$AD$1</f>
        <v>19.481929644444445</v>
      </c>
      <c r="AQ43" s="1053">
        <f>SUMPRODUCT(KZ_Raum_2024!$M$7:$M$51,'Fläche-E'!P$3:P$47)/100*$AD$1</f>
        <v>2.374415242165242</v>
      </c>
      <c r="AR43" s="1053">
        <f>SUMPRODUCT(KZ_Raum_2024!$M$7:$M$51,'Fläche-E'!Q$3:Q$47)/100*$AD$1</f>
        <v>6.0826807692307696</v>
      </c>
      <c r="AS43" s="1053">
        <f>SUMPRODUCT(KZ_Raum_2024!$M$7:$M$51,'Fläche-E'!R$3:R$47)/100*$AD$1</f>
        <v>3.2836374643874642</v>
      </c>
      <c r="AT43" s="1053">
        <f>SUMPRODUCT(KZ_Raum_2024!$E$7:$E$51,'Fläche-E'!S$3:S$47)/100*$AD$1</f>
        <v>10.714216444444446</v>
      </c>
      <c r="AU43" s="1053">
        <f>SUMPRODUCT(KZ_Raum_2024!$E$7:$E$51,'Fläche-E'!T$3:T$47)/100*$AD$1</f>
        <v>8.7956600000000034</v>
      </c>
      <c r="AV43" s="1053">
        <f>SUMPRODUCT(KZ_Raum_2024!$M$7:$M$51,'Fläche-E'!U$3:U$47)/100*$AD$1</f>
        <v>1.8168513247863249</v>
      </c>
      <c r="AW43" s="1053">
        <f>SUMPRODUCT(KZ_Raum_2024!$M$7:$M$51,'Fläche-E'!V$3:V$47)/100*$AD$1</f>
        <v>2.9044777136752145</v>
      </c>
      <c r="AX43" s="1053">
        <f>SUMPRODUCT(KZ_Raum_2024!$M$7:$M$51,'Fläche-E'!W$3:W$47)/100*$AD$1</f>
        <v>2.5448910256410247</v>
      </c>
      <c r="AY43" s="1054">
        <f>SUMPRODUCT(KZ_Raum_2024!$M$7:$M$51,'Fläche-E'!X$3:X$47)/100*$AD$1</f>
        <v>1.8661383190883194</v>
      </c>
      <c r="BC43" s="742" t="s">
        <v>1099</v>
      </c>
    </row>
    <row r="44" spans="1:78">
      <c r="A44" s="1393">
        <f>Eingabedaten!A50</f>
        <v>12.09</v>
      </c>
      <c r="B44" s="738" t="str">
        <f>Eingabedaten!C50</f>
        <v>Parkhaus</v>
      </c>
      <c r="C44" s="724" t="s">
        <v>5</v>
      </c>
      <c r="D44" s="740"/>
      <c r="E44" s="740"/>
      <c r="F44" s="740"/>
      <c r="G44" s="740"/>
      <c r="H44" s="740"/>
      <c r="I44" s="740"/>
      <c r="J44" s="740"/>
      <c r="K44" s="740"/>
      <c r="L44" s="740"/>
      <c r="M44" s="740"/>
      <c r="N44" s="740"/>
      <c r="O44" s="740"/>
      <c r="P44" s="740"/>
      <c r="Q44" s="740"/>
      <c r="R44" s="740"/>
      <c r="S44" s="740"/>
      <c r="T44" s="740"/>
      <c r="U44" s="740"/>
      <c r="V44" s="740"/>
      <c r="W44" s="740"/>
      <c r="X44" s="740"/>
      <c r="Y44" s="740">
        <v>90</v>
      </c>
      <c r="AA44" s="770"/>
      <c r="AC44" s="773" t="s">
        <v>19</v>
      </c>
      <c r="AD44" s="774" t="s">
        <v>134</v>
      </c>
      <c r="AE44" s="1053">
        <f>SUMPRODUCT(KZ_Raum_2024!$N$7:$N$51,'Fläche-E'!D$3:D$47)/100*$AD$1</f>
        <v>1.2390284000000003</v>
      </c>
      <c r="AF44" s="1053">
        <f>SUMPRODUCT(KZ_Raum_2024!$F$7:$F$51,'Fläche-E'!E$3:E$47)/100*$AD$1</f>
        <v>2.7887072000000006</v>
      </c>
      <c r="AG44" s="1053">
        <f>SUMPRODUCT(KZ_Raum_2024!$F$7:$F$51,'Fläche-E'!F$3:F$47)/100*$AD$1</f>
        <v>4.6930259047619058</v>
      </c>
      <c r="AH44" s="1053">
        <f>SUMPRODUCT(KZ_Raum_2024!$N$7:$N$51,'Fläche-E'!G$3:G$47)/100*$AD$1</f>
        <v>0.61041411199999995</v>
      </c>
      <c r="AI44" s="1053">
        <f>SUMPRODUCT(KZ_Raum_2024!$N$7:$N$51,'Fläche-E'!H$3:H$47)/100*$AD$1</f>
        <v>1.3441032876190475</v>
      </c>
      <c r="AJ44" s="1053">
        <f>SUMPRODUCT(KZ_Raum_2024!$N$7:$N$51,'Fläche-E'!I$3:I$47)/100*$AD$1</f>
        <v>1.3628216342857147</v>
      </c>
      <c r="AK44" s="1053">
        <f>SUMPRODUCT(KZ_Raum_2024!$F$7:$F$51,'Fläche-E'!J$3:J$47)/100*$AD$1</f>
        <v>2.3824341714285713</v>
      </c>
      <c r="AL44" s="1053">
        <f>SUMPRODUCT(KZ_Raum_2024!$F$7:$F$51,'Fläche-E'!K$3:K$47)/100*$AD$1</f>
        <v>3.5070634095238091</v>
      </c>
      <c r="AM44" s="1053">
        <f>SUMPRODUCT(KZ_Raum_2024!$N$7:$N$51,'Fläche-E'!L$3:L$47)/100*$AD$1</f>
        <v>1.6159523542857142</v>
      </c>
      <c r="AN44" s="1053">
        <f>SUMPRODUCT(KZ_Raum_2024!$F$7:$F$51,'Fläche-E'!M$3:M$47)/100*$AD$1</f>
        <v>3.9833393714285714</v>
      </c>
      <c r="AO44" s="1053">
        <f>SUMPRODUCT(KZ_Raum_2024!$F$7:$F$51,'Fläche-E'!N$3:N$47)/100*$AD$1</f>
        <v>3.993240171428571</v>
      </c>
      <c r="AP44" s="1053">
        <f>SUMPRODUCT(KZ_Raum_2024!$F$7:$F$51,'Fläche-E'!O$3:O$47)/100*$AD$1</f>
        <v>3.6761541714285713</v>
      </c>
      <c r="AQ44" s="1053">
        <f>SUMPRODUCT(KZ_Raum_2024!$N$7:$N$51,'Fläche-E'!P$3:P$47)/100*$AD$1</f>
        <v>4.1078234742857154</v>
      </c>
      <c r="AR44" s="1053">
        <f>SUMPRODUCT(KZ_Raum_2024!$N$7:$N$51,'Fläche-E'!Q$3:Q$47)/100*$AD$1</f>
        <v>4.574929714285715</v>
      </c>
      <c r="AS44" s="1053">
        <f>SUMPRODUCT(KZ_Raum_2024!$N$7:$N$51,'Fläche-E'!R$3:R$47)/100*$AD$1</f>
        <v>2.8070022476190482</v>
      </c>
      <c r="AT44" s="1053">
        <f>SUMPRODUCT(KZ_Raum_2024!$F$7:$F$51,'Fläche-E'!S$3:S$47)/100*$AD$1</f>
        <v>5.1245579047619048</v>
      </c>
      <c r="AU44" s="1053">
        <f>SUMPRODUCT(KZ_Raum_2024!$F$7:$F$51,'Fläche-E'!T$3:T$47)/100*$AD$1</f>
        <v>5.3315339047619057</v>
      </c>
      <c r="AV44" s="1053">
        <f>SUMPRODUCT(KZ_Raum_2024!$N$7:$N$51,'Fläche-E'!U$3:U$47)/100*$AD$1</f>
        <v>1.1551397498412701</v>
      </c>
      <c r="AW44" s="1053">
        <f>SUMPRODUCT(KZ_Raum_2024!$N$7:$N$51,'Fläche-E'!V$3:V$47)/100*$AD$1</f>
        <v>0.75148356095238134</v>
      </c>
      <c r="AX44" s="1053">
        <f>SUMPRODUCT(KZ_Raum_2024!$N$7:$N$51,'Fläche-E'!W$3:W$47)/100*$AD$1</f>
        <v>1.3501816</v>
      </c>
      <c r="AY44" s="1054">
        <f>SUMPRODUCT(KZ_Raum_2024!$N$7:$N$51,'Fläche-E'!X$3:X$47)/100*$AD$1</f>
        <v>3.0589409142857154</v>
      </c>
      <c r="BC44" s="723" t="s">
        <v>420</v>
      </c>
      <c r="BD44" s="723" t="s">
        <v>16</v>
      </c>
      <c r="BE44" s="723">
        <f t="shared" ref="BE44:BY44" si="113">BE9</f>
        <v>0.7</v>
      </c>
      <c r="BG44" s="723">
        <f t="shared" si="113"/>
        <v>0</v>
      </c>
      <c r="BH44" s="723">
        <f t="shared" si="113"/>
        <v>0.7</v>
      </c>
      <c r="BI44" s="723">
        <f t="shared" si="113"/>
        <v>0.9</v>
      </c>
      <c r="BJ44" s="723">
        <f t="shared" si="113"/>
        <v>0.9</v>
      </c>
      <c r="BM44" s="723">
        <f t="shared" si="113"/>
        <v>0.8</v>
      </c>
      <c r="BN44" s="723">
        <f t="shared" si="113"/>
        <v>0</v>
      </c>
      <c r="BO44" s="723">
        <f t="shared" si="113"/>
        <v>0</v>
      </c>
      <c r="BP44" s="723">
        <f t="shared" si="113"/>
        <v>0</v>
      </c>
      <c r="BQ44" s="723">
        <f t="shared" si="113"/>
        <v>0.7</v>
      </c>
      <c r="BR44" s="723">
        <f t="shared" si="113"/>
        <v>0.8</v>
      </c>
      <c r="BS44" s="723">
        <f t="shared" si="113"/>
        <v>0.7</v>
      </c>
      <c r="BT44" s="723">
        <f t="shared" ref="BT44:BU44" si="114">BT9</f>
        <v>0</v>
      </c>
      <c r="BU44" s="723">
        <f t="shared" si="114"/>
        <v>0</v>
      </c>
      <c r="BV44" s="723">
        <f t="shared" si="113"/>
        <v>0.9</v>
      </c>
      <c r="BW44" s="723">
        <f t="shared" si="113"/>
        <v>0.9</v>
      </c>
      <c r="BX44" s="723">
        <f t="shared" si="113"/>
        <v>0.9</v>
      </c>
      <c r="BY44" s="723">
        <f t="shared" si="113"/>
        <v>0.7</v>
      </c>
    </row>
    <row r="45" spans="1:78" ht="12.45">
      <c r="A45" s="633">
        <f>Eingabedaten!A51</f>
        <v>12.1</v>
      </c>
      <c r="B45" s="738" t="str">
        <f>Eingabedaten!C51</f>
        <v>Wasch- und Trockenraum</v>
      </c>
      <c r="C45" s="724" t="s">
        <v>5</v>
      </c>
      <c r="D45" s="740"/>
      <c r="E45" s="740"/>
      <c r="F45" s="740"/>
      <c r="G45" s="740"/>
      <c r="H45" s="740"/>
      <c r="I45" s="740"/>
      <c r="J45" s="740"/>
      <c r="K45" s="740"/>
      <c r="L45" s="740"/>
      <c r="M45" s="740"/>
      <c r="N45" s="740"/>
      <c r="O45" s="740"/>
      <c r="P45" s="740"/>
      <c r="Q45" s="740"/>
      <c r="R45" s="740"/>
      <c r="S45" s="740"/>
      <c r="T45" s="740"/>
      <c r="U45" s="740"/>
      <c r="V45" s="740"/>
      <c r="W45" s="740"/>
      <c r="X45" s="740"/>
      <c r="Y45" s="740"/>
      <c r="AA45" s="770"/>
      <c r="AC45" s="773" t="s">
        <v>463</v>
      </c>
      <c r="AD45" s="774" t="s">
        <v>134</v>
      </c>
      <c r="AE45" s="1053">
        <f>SUMPRODUCT(KZ_Raum_2024!$O$7:$O$51,'Fläche-E'!D$3:D$47)/100*$AD$1</f>
        <v>1.8750312159711584</v>
      </c>
      <c r="AF45" s="1053">
        <f>SUMPRODUCT(KZ_Raum_2024!$G$7:$G$51,'Fläche-E'!E$3:E$47)/100*$AD$1</f>
        <v>3.3889639654036778</v>
      </c>
      <c r="AG45" s="1053">
        <f>SUMPRODUCT(KZ_Raum_2024!$G$7:$G$51,'Fläche-E'!F$3:F$47)/100*$AD$1</f>
        <v>4.7381022785109517</v>
      </c>
      <c r="AH45" s="1053">
        <f>SUMPRODUCT(KZ_Raum_2024!$O$7:$O$51,'Fläche-E'!G$3:G$47)/100*$AD$1</f>
        <v>0.72702775113040485</v>
      </c>
      <c r="AI45" s="1053">
        <f>SUMPRODUCT(KZ_Raum_2024!$O$7:$O$51,'Fläche-E'!H$3:H$47)/100*$AD$1</f>
        <v>3.4427295961817279</v>
      </c>
      <c r="AJ45" s="1053">
        <f>SUMPRODUCT(KZ_Raum_2024!$O$7:$O$51,'Fläche-E'!I$3:I$47)/100*$AD$1</f>
        <v>2.6699995175456892</v>
      </c>
      <c r="AK45" s="1053">
        <f>SUMPRODUCT(KZ_Raum_2024!$G$7:$G$51,'Fläche-E'!J$3:J$47)/100*$AD$1</f>
        <v>4.7746948126511946</v>
      </c>
      <c r="AL45" s="1053">
        <f>SUMPRODUCT(KZ_Raum_2024!$G$7:$G$51,'Fläche-E'!K$3:K$47)/100*$AD$1</f>
        <v>7.6636916706564904</v>
      </c>
      <c r="AM45" s="1053">
        <f>SUMPRODUCT(KZ_Raum_2024!$O$7:$O$51,'Fläche-E'!L$3:L$47)/100*$AD$1</f>
        <v>11.05409373138259</v>
      </c>
      <c r="AN45" s="1053">
        <f>SUMPRODUCT(KZ_Raum_2024!$G$7:$G$51,'Fläche-E'!M$3:M$47)/100*$AD$1</f>
        <v>11.926227215554942</v>
      </c>
      <c r="AO45" s="1053">
        <f>SUMPRODUCT(KZ_Raum_2024!$G$7:$G$51,'Fläche-E'!N$3:N$47)/100*$AD$1</f>
        <v>11.651377900486445</v>
      </c>
      <c r="AP45" s="1053">
        <f>SUMPRODUCT(KZ_Raum_2024!$G$7:$G$51,'Fläche-E'!O$3:O$47)/100*$AD$1</f>
        <v>7.2009850607139558</v>
      </c>
      <c r="AQ45" s="1053">
        <f>SUMPRODUCT(KZ_Raum_2024!$O$7:$O$51,'Fläche-E'!P$3:P$47)/100*$AD$1</f>
        <v>4.7731405574227415</v>
      </c>
      <c r="AR45" s="1053">
        <f>SUMPRODUCT(KZ_Raum_2024!$O$7:$O$51,'Fläche-E'!Q$3:Q$47)/100*$AD$1</f>
        <v>10.53191730434</v>
      </c>
      <c r="AS45" s="1053">
        <f>SUMPRODUCT(KZ_Raum_2024!$O$7:$O$51,'Fläche-E'!R$3:R$47)/100*$AD$1</f>
        <v>7.3347532646103959</v>
      </c>
      <c r="AT45" s="1053">
        <f>SUMPRODUCT(KZ_Raum_2024!$G$7:$G$51,'Fläche-E'!S$3:S$47)/100*$AD$1</f>
        <v>10.896918506140496</v>
      </c>
      <c r="AU45" s="1053">
        <f>SUMPRODUCT(KZ_Raum_2024!$G$7:$G$51,'Fläche-E'!T$3:T$47)/100*$AD$1</f>
        <v>10.269304483987643</v>
      </c>
      <c r="AV45" s="1053">
        <f>SUMPRODUCT(KZ_Raum_2024!$O$7:$O$51,'Fläche-E'!U$3:U$47)/100*$AD$1</f>
        <v>2.0197354151783848</v>
      </c>
      <c r="AW45" s="1053">
        <f>SUMPRODUCT(KZ_Raum_2024!$O$7:$O$51,'Fläche-E'!V$3:V$47)/100*$AD$1</f>
        <v>0.20928253513353298</v>
      </c>
      <c r="AX45" s="1053">
        <f>SUMPRODUCT(KZ_Raum_2024!$O$7:$O$51,'Fläche-E'!W$3:W$47)/100*$AD$1</f>
        <v>0</v>
      </c>
      <c r="AY45" s="1054">
        <f>SUMPRODUCT(KZ_Raum_2024!$O$7:$O$51,'Fläche-E'!X$3:X$47)/100*$AD$1</f>
        <v>0.20928253513353298</v>
      </c>
      <c r="BC45" s="723" t="s">
        <v>1655</v>
      </c>
      <c r="BD45" s="723" t="s">
        <v>16</v>
      </c>
      <c r="BE45" s="723">
        <f>BE62/BE37</f>
        <v>0.71146421890451261</v>
      </c>
      <c r="BG45" s="723">
        <f t="shared" ref="BG45:BY45" si="115">BG62/BG37</f>
        <v>0</v>
      </c>
      <c r="BH45" s="723">
        <f t="shared" si="115"/>
        <v>0.80708239994897302</v>
      </c>
      <c r="BI45" s="723">
        <f t="shared" si="115"/>
        <v>0.78847514106687766</v>
      </c>
      <c r="BJ45" s="723">
        <f t="shared" si="115"/>
        <v>0.69756766674605053</v>
      </c>
      <c r="BM45" s="723">
        <f t="shared" si="115"/>
        <v>0.69556463099755494</v>
      </c>
      <c r="BN45" s="723">
        <f t="shared" si="115"/>
        <v>0.70760424567677782</v>
      </c>
      <c r="BO45" s="723">
        <f t="shared" si="115"/>
        <v>0.69556463099755494</v>
      </c>
      <c r="BP45" s="723">
        <f t="shared" si="115"/>
        <v>0.69491552516021637</v>
      </c>
      <c r="BQ45" s="723">
        <f>BQ62/BQ37</f>
        <v>0.50701460007079302</v>
      </c>
      <c r="BR45" s="723">
        <f t="shared" si="115"/>
        <v>0.59465236345754102</v>
      </c>
      <c r="BS45" s="723">
        <f t="shared" si="115"/>
        <v>0.60541875613132878</v>
      </c>
      <c r="BT45" s="723">
        <f t="shared" ref="BT45:BU45" si="116">BT62/BT37</f>
        <v>0.5920490618878671</v>
      </c>
      <c r="BU45" s="723">
        <f t="shared" si="116"/>
        <v>0.59258100619978937</v>
      </c>
      <c r="BV45" s="723">
        <f t="shared" si="115"/>
        <v>0.60092487534885575</v>
      </c>
      <c r="BW45" s="723">
        <f t="shared" si="115"/>
        <v>0.81459302321222937</v>
      </c>
      <c r="BX45" s="723">
        <f t="shared" si="115"/>
        <v>0.7058974859068875</v>
      </c>
      <c r="BY45" s="723">
        <f t="shared" si="115"/>
        <v>0.50442615368644672</v>
      </c>
    </row>
    <row r="46" spans="1:78" ht="12.45">
      <c r="A46" s="634">
        <f>Eingabedaten!A52</f>
        <v>12.11</v>
      </c>
      <c r="B46" s="738" t="str">
        <f>Eingabedaten!C52</f>
        <v>Kühlraum</v>
      </c>
      <c r="C46" s="724" t="s">
        <v>5</v>
      </c>
      <c r="D46" s="740"/>
      <c r="E46" s="740"/>
      <c r="F46" s="740"/>
      <c r="G46" s="740"/>
      <c r="H46" s="740"/>
      <c r="I46" s="740"/>
      <c r="J46" s="740"/>
      <c r="K46" s="740"/>
      <c r="L46" s="739"/>
      <c r="M46" s="740">
        <v>2</v>
      </c>
      <c r="N46" s="740"/>
      <c r="O46" s="740"/>
      <c r="P46" s="739">
        <v>2</v>
      </c>
      <c r="Q46" s="740"/>
      <c r="R46" s="740"/>
      <c r="S46" s="740"/>
      <c r="T46" s="740"/>
      <c r="U46" s="740"/>
      <c r="V46" s="740"/>
      <c r="W46" s="740"/>
      <c r="X46" s="740"/>
      <c r="Y46" s="740"/>
      <c r="AA46" s="770"/>
      <c r="AC46" s="773" t="s">
        <v>464</v>
      </c>
      <c r="AD46" s="774" t="s">
        <v>134</v>
      </c>
      <c r="AE46" s="1053">
        <f>SUMPRODUCT(KZ_Raum_2024!$P$7:$P$51,'Fläche-E'!D$3:D$47)/100*$AD$1</f>
        <v>8.1269041729154257</v>
      </c>
      <c r="AF46" s="1053">
        <f>SUMPRODUCT(KZ_Raum_2024!$H$7:$H$51,'Fläche-E'!E$3:E$47)/100*$AD$1</f>
        <v>11.726703891170381</v>
      </c>
      <c r="AG46" s="1053">
        <f>SUMPRODUCT(KZ_Raum_2024!$H$7:$H$51,'Fläche-E'!F$3:F$47)/100*$AD$1</f>
        <v>13.870968340056827</v>
      </c>
      <c r="AH46" s="1053">
        <f>SUMPRODUCT(KZ_Raum_2024!$P$7:$P$51,'Fläche-E'!G$3:G$47)/100*$AD$1</f>
        <v>12.201059470880423</v>
      </c>
      <c r="AI46" s="1053">
        <f>SUMPRODUCT(KZ_Raum_2024!$P$7:$P$51,'Fläche-E'!H$3:H$47)/100*$AD$1</f>
        <v>7.4092795677964025</v>
      </c>
      <c r="AJ46" s="1053">
        <f>SUMPRODUCT(KZ_Raum_2024!$P$7:$P$51,'Fläche-E'!I$3:I$47)/100*$AD$1</f>
        <v>9.3935565949424351</v>
      </c>
      <c r="AK46" s="1053">
        <f>SUMPRODUCT(KZ_Raum_2024!$H$7:$H$51,'Fläche-E'!J$3:J$47)/100*$AD$1</f>
        <v>13.537004115365571</v>
      </c>
      <c r="AL46" s="1053">
        <f>SUMPRODUCT(KZ_Raum_2024!$H$7:$H$51,'Fläche-E'!K$3:K$47)/100*$AD$1</f>
        <v>11.336089072607724</v>
      </c>
      <c r="AM46" s="1053">
        <f>SUMPRODUCT(KZ_Raum_2024!$P$7:$P$51,'Fläche-E'!L$3:L$47)/100*$AD$1</f>
        <v>3.7986294680771766</v>
      </c>
      <c r="AN46" s="1053">
        <f>SUMPRODUCT(KZ_Raum_2024!$H$7:$H$51,'Fläche-E'!M$3:M$47)/100*$AD$1</f>
        <v>5.336005221474303</v>
      </c>
      <c r="AO46" s="1053">
        <f>SUMPRODUCT(KZ_Raum_2024!$H$7:$H$51,'Fläche-E'!N$3:N$47)/100*$AD$1</f>
        <v>5.5844225421050364</v>
      </c>
      <c r="AP46" s="1053">
        <f>SUMPRODUCT(KZ_Raum_2024!$H$7:$H$51,'Fläche-E'!O$3:O$47)/100*$AD$1</f>
        <v>6.1032108798011526</v>
      </c>
      <c r="AQ46" s="1053">
        <f>SUMPRODUCT(KZ_Raum_2024!$P$7:$P$51,'Fläche-E'!P$3:P$47)/100*$AD$1</f>
        <v>9.3300680806158542</v>
      </c>
      <c r="AR46" s="1053">
        <f>SUMPRODUCT(KZ_Raum_2024!$P$7:$P$51,'Fläche-E'!Q$3:Q$47)/100*$AD$1</f>
        <v>6.2672253715469886</v>
      </c>
      <c r="AS46" s="1053">
        <f>SUMPRODUCT(KZ_Raum_2024!$P$7:$P$51,'Fläche-E'!R$3:R$47)/100*$AD$1</f>
        <v>6.8937021134539878</v>
      </c>
      <c r="AT46" s="1053">
        <f>SUMPRODUCT(KZ_Raum_2024!$H$7:$H$51,'Fläche-E'!S$3:S$47)/100*$AD$1</f>
        <v>10.373697935999942</v>
      </c>
      <c r="AU46" s="1053">
        <f>SUMPRODUCT(KZ_Raum_2024!$H$7:$H$51,'Fläche-E'!T$3:T$47)/100*$AD$1</f>
        <v>10.392353857645658</v>
      </c>
      <c r="AV46" s="1053">
        <f>SUMPRODUCT(KZ_Raum_2024!$P$7:$P$51,'Fläche-E'!U$3:U$47)/100*$AD$1</f>
        <v>7.2995755230106347</v>
      </c>
      <c r="AW46" s="1053">
        <f>SUMPRODUCT(KZ_Raum_2024!$P$7:$P$51,'Fläche-E'!V$3:V$47)/100*$AD$1</f>
        <v>7.2390920108900687</v>
      </c>
      <c r="AX46" s="1053">
        <f>SUMPRODUCT(KZ_Raum_2024!$P$7:$P$51,'Fläche-E'!W$3:W$47)/100*$AD$1</f>
        <v>17.839819122367043</v>
      </c>
      <c r="AY46" s="1054">
        <f>SUMPRODUCT(KZ_Raum_2024!$P$7:$P$51,'Fläche-E'!X$3:X$47)/100*$AD$1</f>
        <v>17.752601578973749</v>
      </c>
    </row>
    <row r="47" spans="1:78" ht="12.45">
      <c r="A47" s="638">
        <f>Eingabedaten!A53</f>
        <v>12.12</v>
      </c>
      <c r="B47" s="738" t="str">
        <f>Eingabedaten!C53</f>
        <v>Serverraum</v>
      </c>
      <c r="C47" s="724" t="s">
        <v>5</v>
      </c>
      <c r="D47" s="740"/>
      <c r="E47" s="740"/>
      <c r="F47" s="740"/>
      <c r="G47" s="740"/>
      <c r="H47" s="740">
        <v>1</v>
      </c>
      <c r="I47" s="740"/>
      <c r="J47" s="740"/>
      <c r="K47" s="739">
        <v>1</v>
      </c>
      <c r="L47" s="740"/>
      <c r="M47" s="740"/>
      <c r="N47" s="740"/>
      <c r="O47" s="740"/>
      <c r="P47" s="740"/>
      <c r="Q47" s="740"/>
      <c r="R47" s="739"/>
      <c r="S47" s="739"/>
      <c r="T47" s="739"/>
      <c r="U47" s="740"/>
      <c r="V47" s="740"/>
      <c r="W47" s="740"/>
      <c r="X47" s="740"/>
      <c r="Y47" s="740"/>
      <c r="AA47" s="770"/>
      <c r="AC47" s="773" t="s">
        <v>268</v>
      </c>
      <c r="AD47" s="774" t="s">
        <v>134</v>
      </c>
      <c r="AE47" s="1099">
        <f>SUMPRODUCT(KZ_Raum_2024!$Q$7:$Q$51,'Fläche-E'!D$3:D$47)/100*$AD$1</f>
        <v>11.516480000000003</v>
      </c>
      <c r="AF47" s="1053">
        <f>SUMPRODUCT(KZ_Raum_2024!$I$7:$I$51,'Fläche-E'!E$3:E$47)/100*$AD$1</f>
        <v>11.516480000000003</v>
      </c>
      <c r="AG47" s="1053">
        <f>SUMPRODUCT(KZ_Raum_2024!$I$7:$I$51,'Fläche-E'!F$3:F$47)/100*$AD$1</f>
        <v>17.491430095238098</v>
      </c>
      <c r="AH47" s="1053">
        <f>SUMPRODUCT(KZ_Raum_2024!$Q$7:$Q$51,'Fläche-E'!G$3:G$47)/100*$AD$1</f>
        <v>9.7551360000000003</v>
      </c>
      <c r="AI47" s="1053">
        <f>SUMPRODUCT(KZ_Raum_2024!$Q$7:$Q$51,'Fläche-E'!H$3:H$47)/100*$AD$1</f>
        <v>1.2664018285714287</v>
      </c>
      <c r="AJ47" s="1053">
        <f>SUMPRODUCT(KZ_Raum_2024!$Q$7:$Q$51,'Fläche-E'!I$3:I$47)/100*$AD$1</f>
        <v>1.6590649589823876</v>
      </c>
      <c r="AK47" s="1053">
        <f>SUMPRODUCT(KZ_Raum_2024!$I$7:$I$51,'Fläche-E'!J$3:J$47)/100*$AD$1</f>
        <v>1.6590649589823876</v>
      </c>
      <c r="AL47" s="1053">
        <f>SUMPRODUCT(KZ_Raum_2024!$I$7:$I$51,'Fläche-E'!K$3:K$47)/100*$AD$1</f>
        <v>1.2867679190606656</v>
      </c>
      <c r="AM47" s="1053">
        <f>SUMPRODUCT(KZ_Raum_2024!$Q$7:$Q$51,'Fläche-E'!L$3:L$47)/100*$AD$1</f>
        <v>1.4108914285714289</v>
      </c>
      <c r="AN47" s="1053">
        <f>SUMPRODUCT(KZ_Raum_2024!$I$7:$I$51,'Fläche-E'!M$3:M$47)/100*$AD$1</f>
        <v>1.4108914285714289</v>
      </c>
      <c r="AO47" s="1053">
        <f>SUMPRODUCT(KZ_Raum_2024!$I$7:$I$51,'Fläche-E'!N$3:N$47)/100*$AD$1</f>
        <v>1.4108914285714289</v>
      </c>
      <c r="AP47" s="1053">
        <f>SUMPRODUCT(KZ_Raum_2024!$I$7:$I$51,'Fläche-E'!O$3:O$47)/100*$AD$1</f>
        <v>0.80091702857142877</v>
      </c>
      <c r="AQ47" s="1053">
        <f>SUMPRODUCT(KZ_Raum_2024!$Q$7:$Q$51,'Fläche-E'!P$3:P$47)/100*$AD$1</f>
        <v>43.67340342857144</v>
      </c>
      <c r="AR47" s="1053">
        <f>SUMPRODUCT(KZ_Raum_2024!$Q$7:$Q$51,'Fläche-E'!Q$3:Q$47)/100*$AD$1</f>
        <v>3.5893714285714289</v>
      </c>
      <c r="AS47" s="1053">
        <f>SUMPRODUCT(KZ_Raum_2024!$Q$7:$Q$51,'Fläche-E'!R$3:R$47)/100*$AD$1</f>
        <v>21.781883428571433</v>
      </c>
      <c r="AT47" s="1053">
        <f>SUMPRODUCT(KZ_Raum_2024!$I$7:$I$51,'Fläche-E'!S$3:S$47)/100*$AD$1</f>
        <v>19.07212342857143</v>
      </c>
      <c r="AU47" s="1053">
        <f>SUMPRODUCT(KZ_Raum_2024!$I$7:$I$51,'Fläche-E'!T$3:T$47)/100*$AD$1</f>
        <v>27.201403428571435</v>
      </c>
      <c r="AV47" s="1053">
        <f>SUMPRODUCT(KZ_Raum_2024!$Q$7:$Q$51,'Fläche-E'!U$3:U$47)/100*$AD$1</f>
        <v>1.2664018285714287</v>
      </c>
      <c r="AW47" s="1053">
        <f>SUMPRODUCT(KZ_Raum_2024!$Q$7:$Q$51,'Fläche-E'!V$3:V$47)/100*$AD$1</f>
        <v>0.61244022857142866</v>
      </c>
      <c r="AX47" s="1053">
        <f>SUMPRODUCT(KZ_Raum_2024!$Q$7:$Q$51,'Fläche-E'!W$3:W$47)/100*$AD$1</f>
        <v>30.47042998356164</v>
      </c>
      <c r="AY47" s="781">
        <f>SUMPRODUCT(KZ_Raum_2024!$Q$7:$Q$51,'Fläche-E'!X$3:X$47)/100*$AD$1</f>
        <v>69.815163428571452</v>
      </c>
    </row>
    <row r="48" spans="1:78">
      <c r="A48" s="738"/>
      <c r="B48" s="728" t="s">
        <v>1058</v>
      </c>
      <c r="C48" s="724" t="s">
        <v>5</v>
      </c>
      <c r="D48" s="724">
        <f t="shared" ref="D48:P48" si="117">SUM(D3:D47)</f>
        <v>100</v>
      </c>
      <c r="E48" s="724">
        <f>SUM(E3:E47)</f>
        <v>100</v>
      </c>
      <c r="F48" s="724">
        <f>SUM(F3:F47)</f>
        <v>100</v>
      </c>
      <c r="G48" s="724">
        <f t="shared" si="117"/>
        <v>100</v>
      </c>
      <c r="H48" s="724">
        <f t="shared" si="117"/>
        <v>100</v>
      </c>
      <c r="I48" s="724">
        <f t="shared" si="117"/>
        <v>100</v>
      </c>
      <c r="J48" s="724">
        <f>SUM(J3:J47)</f>
        <v>100</v>
      </c>
      <c r="K48" s="724">
        <f>SUM(K3:K47)</f>
        <v>100</v>
      </c>
      <c r="L48" s="724">
        <f>SUM(L3:L47)</f>
        <v>100</v>
      </c>
      <c r="M48" s="724">
        <f t="shared" si="117"/>
        <v>100</v>
      </c>
      <c r="N48" s="724">
        <f t="shared" si="117"/>
        <v>100</v>
      </c>
      <c r="O48" s="724">
        <f t="shared" si="117"/>
        <v>100</v>
      </c>
      <c r="P48" s="724">
        <f t="shared" si="117"/>
        <v>100</v>
      </c>
      <c r="Q48" s="724">
        <f t="shared" ref="Q48:Y48" si="118">SUM(Q3:Q47)</f>
        <v>100</v>
      </c>
      <c r="R48" s="724">
        <f t="shared" si="118"/>
        <v>100</v>
      </c>
      <c r="S48" s="724">
        <f t="shared" ref="S48:T48" si="119">SUM(S3:S47)</f>
        <v>100</v>
      </c>
      <c r="T48" s="724">
        <f t="shared" si="119"/>
        <v>100</v>
      </c>
      <c r="U48" s="724">
        <f t="shared" si="118"/>
        <v>100</v>
      </c>
      <c r="V48" s="724">
        <f t="shared" si="118"/>
        <v>100</v>
      </c>
      <c r="W48" s="724">
        <f t="shared" si="118"/>
        <v>100</v>
      </c>
      <c r="X48" s="724">
        <f t="shared" si="118"/>
        <v>100</v>
      </c>
      <c r="Y48" s="724">
        <f t="shared" si="118"/>
        <v>100</v>
      </c>
      <c r="AA48" s="771"/>
      <c r="AC48" s="773" t="s">
        <v>1181</v>
      </c>
      <c r="AD48" s="774" t="s">
        <v>134</v>
      </c>
      <c r="AE48" s="1099">
        <f>SUMPRODUCT(KZ_Raum_2024!$L$7:$L$51,'Fläche-E'!D$3:D$47)/100*$AD$1</f>
        <v>0</v>
      </c>
      <c r="AF48" s="1053">
        <f>SUMPRODUCT(KZ_Raum_2024!$D$7:$D$51,'Fläche-E'!E$3:E$47)/100*$AD$1</f>
        <v>0</v>
      </c>
      <c r="AG48" s="1053">
        <f>SUMPRODUCT(KZ_Raum_2024!$D$7:$D$51,'Fläche-E'!F$3:F$47)/100*$AD$1</f>
        <v>0</v>
      </c>
      <c r="AH48" s="1053">
        <f>SUMPRODUCT(KZ_Raum_2024!$L$7:$L$51,'Fläche-E'!G$3:G$47)/100*$AD$1</f>
        <v>0</v>
      </c>
      <c r="AI48" s="1053">
        <f>SUMPRODUCT(KZ_Raum_2024!$L$7:$L$51,'Fläche-E'!H$3:H$47)/100*$AD$1</f>
        <v>5.6080000000000005</v>
      </c>
      <c r="AJ48" s="1053">
        <f>SUMPRODUCT(KZ_Raum_2024!$L$7:$L$51,'Fläche-E'!I$3:I$47)/100*$AD$1</f>
        <v>0</v>
      </c>
      <c r="AK48" s="1053">
        <f>SUMPRODUCT(KZ_Raum_2024!$D$7:$D$51,'Fläche-E'!J$3:J$47)/100*$AD$1</f>
        <v>0</v>
      </c>
      <c r="AL48" s="1053">
        <f>SUMPRODUCT(KZ_Raum_2024!$D$7:$D$51,'Fläche-E'!K$3:K$47)/100*$AD$1</f>
        <v>8.4120000000000008</v>
      </c>
      <c r="AM48" s="1053">
        <f>SUMPRODUCT(KZ_Raum_2024!$L$7:$L$51,'Fläche-E'!L$3:L$47)/100*$AD$1</f>
        <v>0</v>
      </c>
      <c r="AN48" s="780">
        <f>SUMPRODUCT(KZ_Raum_2024!$D$7:$D$51,'Fläche-E'!M$3:M$47)/100*$AD$1</f>
        <v>197.56800000000001</v>
      </c>
      <c r="AO48" s="1053">
        <f>SUMPRODUCT(KZ_Raum_2024!$D$7:$D$51,'Fläche-E'!N$3:N$47)/100*$AD$1</f>
        <v>0</v>
      </c>
      <c r="AP48" s="1053">
        <f>SUMPRODUCT(KZ_Raum_2024!$D$7:$D$51,'Fläche-E'!O$3:O$47)/100*$AD$1</f>
        <v>0</v>
      </c>
      <c r="AQ48" s="1053">
        <f>SUMPRODUCT(KZ_Raum_2024!$L$7:$L$51,'Fläche-E'!P$3:P$47)/100*$AD$1</f>
        <v>32.406400000000005</v>
      </c>
      <c r="AR48" s="1053">
        <f>SUMPRODUCT(KZ_Raum_2024!$L$7:$L$51,'Fläche-E'!Q$3:Q$47)/100*$AD$1</f>
        <v>0</v>
      </c>
      <c r="AS48" s="1053">
        <f>SUMPRODUCT(KZ_Raum_2024!$L$7:$L$51,'Fläche-E'!R$3:R$47)/100*$AD$1</f>
        <v>0.87200000000000011</v>
      </c>
      <c r="AT48" s="1053">
        <f>SUMPRODUCT(KZ_Raum_2024!$D$7:$D$51,'Fläche-E'!S$3:S$47)/100*$AD$1</f>
        <v>3.9240000000000004</v>
      </c>
      <c r="AU48" s="1053">
        <f>SUMPRODUCT(KZ_Raum_2024!$D$7:$D$51,'Fläche-E'!T$3:T$47)/100*$AD$1</f>
        <v>1.3080000000000001</v>
      </c>
      <c r="AV48" s="1053">
        <f>SUMPRODUCT(KZ_Raum_2024!$L$7:$L$51,'Fläche-E'!U$3:U$47)/100*$AD$1</f>
        <v>7.5680000000000014</v>
      </c>
      <c r="AW48" s="1053">
        <f>SUMPRODUCT(KZ_Raum_2024!$L$7:$L$51,'Fläche-E'!V$3:V$47)/100*$AD$1</f>
        <v>0</v>
      </c>
      <c r="AX48" s="1053">
        <f>SUMPRODUCT(KZ_Raum_2024!$L$7:$L$51,'Fläche-E'!W$3:W$47)/100*$AD$1</f>
        <v>0</v>
      </c>
      <c r="AY48" s="781">
        <f>SUMPRODUCT(KZ_Raum_2024!$L$7:$L$51,'Fläche-E'!X$3:X$47)/100*$AD$1</f>
        <v>81.84</v>
      </c>
    </row>
    <row r="49" spans="1:78">
      <c r="AC49" s="735" t="s">
        <v>1114</v>
      </c>
      <c r="AD49" s="733" t="s">
        <v>134</v>
      </c>
      <c r="AE49" s="1571">
        <f>AE11</f>
        <v>3</v>
      </c>
      <c r="AF49" s="1571">
        <f t="shared" ref="AF49:AY49" si="120">AF11</f>
        <v>3</v>
      </c>
      <c r="AG49" s="1571">
        <f t="shared" si="120"/>
        <v>8.16</v>
      </c>
      <c r="AH49" s="1571">
        <f t="shared" si="120"/>
        <v>1.4</v>
      </c>
      <c r="AI49" s="1571">
        <f t="shared" si="120"/>
        <v>3.3680000000000003</v>
      </c>
      <c r="AJ49" s="1571">
        <f t="shared" si="120"/>
        <v>3.1280000000000001</v>
      </c>
      <c r="AK49" s="1571">
        <f t="shared" si="120"/>
        <v>3.1280000000000001</v>
      </c>
      <c r="AL49" s="1571">
        <f t="shared" si="120"/>
        <v>8.16</v>
      </c>
      <c r="AM49" s="1571">
        <f t="shared" si="120"/>
        <v>7.5440000000000005</v>
      </c>
      <c r="AN49" s="1571">
        <f t="shared" si="120"/>
        <v>7.5440000000000005</v>
      </c>
      <c r="AO49" s="1571">
        <f t="shared" si="120"/>
        <v>7.5440000000000005</v>
      </c>
      <c r="AP49" s="1571">
        <f t="shared" si="120"/>
        <v>7.5440000000000005</v>
      </c>
      <c r="AQ49" s="1571">
        <f t="shared" si="120"/>
        <v>8.3840000000000003</v>
      </c>
      <c r="AR49" s="1571">
        <f t="shared" si="120"/>
        <v>3.8479999999999999</v>
      </c>
      <c r="AS49" s="1571">
        <f t="shared" si="120"/>
        <v>8.2000000000000011</v>
      </c>
      <c r="AT49" s="1571">
        <f t="shared" si="120"/>
        <v>8.2000000000000011</v>
      </c>
      <c r="AU49" s="1571">
        <f t="shared" si="120"/>
        <v>8.2000000000000011</v>
      </c>
      <c r="AV49" s="1571">
        <f t="shared" si="120"/>
        <v>6.6959999999999997</v>
      </c>
      <c r="AW49" s="1571">
        <f t="shared" si="120"/>
        <v>1.6480000000000001</v>
      </c>
      <c r="AX49" s="1571">
        <f t="shared" si="120"/>
        <v>3.2320000000000002</v>
      </c>
      <c r="AY49" s="1572">
        <f t="shared" si="120"/>
        <v>6.88</v>
      </c>
    </row>
    <row r="50" spans="1:78">
      <c r="A50" s="746"/>
      <c r="B50" s="747"/>
      <c r="C50" s="746"/>
      <c r="D50" s="748"/>
      <c r="E50" s="748"/>
      <c r="F50" s="748"/>
      <c r="G50" s="748"/>
      <c r="H50" s="748"/>
      <c r="I50" s="748"/>
      <c r="J50" s="748"/>
      <c r="K50" s="748"/>
      <c r="L50" s="748"/>
      <c r="M50" s="748"/>
      <c r="N50" s="748"/>
      <c r="O50" s="748"/>
      <c r="P50" s="748"/>
      <c r="Q50" s="748"/>
      <c r="R50" s="748"/>
      <c r="S50" s="748"/>
      <c r="T50" s="748"/>
      <c r="U50" s="748"/>
      <c r="V50" s="748"/>
      <c r="W50" s="748"/>
      <c r="X50" s="748"/>
      <c r="Y50" s="748"/>
    </row>
    <row r="51" spans="1:78">
      <c r="A51" s="746"/>
      <c r="B51" s="747"/>
    </row>
    <row r="52" spans="1:78">
      <c r="A52" s="746"/>
      <c r="B52" s="747"/>
    </row>
    <row r="53" spans="1:78">
      <c r="A53" s="746"/>
      <c r="B53" s="747"/>
      <c r="AB53" s="746"/>
    </row>
    <row r="54" spans="1:78">
      <c r="A54" s="746"/>
      <c r="B54" s="747"/>
      <c r="AB54" s="746"/>
      <c r="AC54" s="795" t="s">
        <v>1534</v>
      </c>
      <c r="AD54" s="1279"/>
      <c r="AE54" s="725" t="str">
        <f>AE1</f>
        <v>I</v>
      </c>
      <c r="AF54" s="725" t="str">
        <f t="shared" ref="AF54:AY54" si="121">AF1</f>
        <v>I.1</v>
      </c>
      <c r="AG54" s="725" t="str">
        <f t="shared" si="121"/>
        <v>I.2</v>
      </c>
      <c r="AH54" s="725" t="str">
        <f t="shared" si="121"/>
        <v>II</v>
      </c>
      <c r="AI54" s="725" t="str">
        <f t="shared" si="121"/>
        <v>III</v>
      </c>
      <c r="AJ54" s="725" t="str">
        <f t="shared" si="121"/>
        <v>IV</v>
      </c>
      <c r="AK54" s="725" t="str">
        <f t="shared" si="121"/>
        <v>IV.1</v>
      </c>
      <c r="AL54" s="725" t="str">
        <f t="shared" si="121"/>
        <v>IV.2</v>
      </c>
      <c r="AM54" s="725" t="str">
        <f t="shared" si="121"/>
        <v>V</v>
      </c>
      <c r="AN54" s="725" t="str">
        <f t="shared" si="121"/>
        <v>V.1</v>
      </c>
      <c r="AO54" s="725" t="str">
        <f t="shared" si="121"/>
        <v>V.2</v>
      </c>
      <c r="AP54" s="725" t="str">
        <f t="shared" si="121"/>
        <v>V.3</v>
      </c>
      <c r="AQ54" s="725" t="str">
        <f t="shared" si="121"/>
        <v>VI</v>
      </c>
      <c r="AR54" s="725" t="str">
        <f t="shared" si="121"/>
        <v>VII</v>
      </c>
      <c r="AS54" s="725" t="str">
        <f t="shared" si="121"/>
        <v>VIII</v>
      </c>
      <c r="AT54" s="725" t="str">
        <f t="shared" si="121"/>
        <v>VIII.1</v>
      </c>
      <c r="AU54" s="725" t="str">
        <f t="shared" si="121"/>
        <v>VIII.2</v>
      </c>
      <c r="AV54" s="725" t="str">
        <f t="shared" si="121"/>
        <v>IX</v>
      </c>
      <c r="AW54" s="725" t="str">
        <f t="shared" si="121"/>
        <v>X</v>
      </c>
      <c r="AX54" s="725" t="str">
        <f t="shared" si="121"/>
        <v>XI</v>
      </c>
      <c r="AY54" s="725" t="str">
        <f t="shared" si="121"/>
        <v>XII</v>
      </c>
    </row>
    <row r="55" spans="1:78">
      <c r="A55" s="746"/>
      <c r="B55" s="747"/>
      <c r="AB55" s="746"/>
      <c r="AC55" s="732"/>
      <c r="AD55" s="733"/>
      <c r="AE55" s="734"/>
      <c r="AF55" s="734"/>
      <c r="AG55" s="731"/>
      <c r="AH55" s="731"/>
      <c r="AI55" s="731"/>
      <c r="AJ55" s="731"/>
      <c r="AK55" s="731"/>
      <c r="AL55" s="731"/>
      <c r="AM55" s="731"/>
      <c r="AN55" s="731"/>
      <c r="AO55" s="731"/>
      <c r="AP55" s="731"/>
      <c r="AQ55" s="731"/>
      <c r="AR55" s="731"/>
      <c r="AS55" s="731"/>
      <c r="AT55" s="731"/>
      <c r="AU55" s="731"/>
      <c r="AV55" s="731"/>
      <c r="AW55" s="731"/>
      <c r="AX55" s="731"/>
      <c r="AY55" s="731"/>
    </row>
    <row r="56" spans="1:78">
      <c r="A56" s="746"/>
      <c r="B56" s="747"/>
      <c r="AB56" s="746"/>
      <c r="AC56" s="772" t="s">
        <v>51</v>
      </c>
      <c r="AD56" s="778" t="s">
        <v>134</v>
      </c>
      <c r="AE56" s="1051">
        <f>SUMPRODUCT(KZ_Raum_2024!$S$7:$S$51,'Fläche-E'!D$3:D$47)/100*$AD$1</f>
        <v>17.625600000000002</v>
      </c>
      <c r="AF56" s="1051">
        <f>SUMPRODUCT(KZ_Raum_2024!$C$7:$C$51,'Fläche-E'!E$3:E$47)/100*$AD$1</f>
        <v>14.688000000000002</v>
      </c>
      <c r="AG56" s="1051">
        <f>SUMPRODUCT(KZ_Raum_2024!$C$7:$C$51,'Fläche-E'!F$3:F$47)/100*$AD$1</f>
        <v>12.284000000000001</v>
      </c>
      <c r="AH56" s="1051">
        <f>SUMPRODUCT(KZ_Raum_2024!$S$7:$S$51,'Fläche-E'!G$3:G$47)/100*$AD$1</f>
        <v>15.379200000000001</v>
      </c>
      <c r="AI56" s="1051">
        <f>SUMPRODUCT(KZ_Raum_2024!$S$7:$S$51,'Fläche-E'!H$3:H$47)/100*$AD$1</f>
        <v>26.730400000000003</v>
      </c>
      <c r="AJ56" s="1051">
        <f>SUMPRODUCT(KZ_Raum_2024!$S$7:$S$51,'Fläche-E'!I$3:I$47)/100*$AD$1</f>
        <v>10.88448</v>
      </c>
      <c r="AK56" s="1051">
        <f>SUMPRODUCT(KZ_Raum_2024!$C$7:$C$51,'Fläche-E'!J$3:J$47)/100*$AD$1</f>
        <v>6.9511200000000004</v>
      </c>
      <c r="AL56" s="1051">
        <f>SUMPRODUCT(KZ_Raum_2024!$C$7:$C$51,'Fläche-E'!K$3:K$47)/100*$AD$1</f>
        <v>11.325200000000002</v>
      </c>
      <c r="AM56" s="1051">
        <f>SUMPRODUCT(KZ_Raum_2024!$S$7:$S$51,'Fläche-E'!L$3:L$47)/100*$AD$1</f>
        <v>7.3224000000000018</v>
      </c>
      <c r="AN56" s="1051">
        <f>SUMPRODUCT(KZ_Raum_2024!$C$7:$C$51,'Fläche-E'!M$3:M$47)/100*$AD$1</f>
        <v>5.13</v>
      </c>
      <c r="AO56" s="1051">
        <f>SUMPRODUCT(KZ_Raum_2024!$C$7:$C$51,'Fläche-E'!N$3:N$47)/100*$AD$1</f>
        <v>4.7652000000000001</v>
      </c>
      <c r="AP56" s="1051">
        <f>SUMPRODUCT(KZ_Raum_2024!$C$7:$C$51,'Fläche-E'!O$3:O$47)/100*$AD$1</f>
        <v>4.5540000000000003</v>
      </c>
      <c r="AQ56" s="1051">
        <f>SUMPRODUCT(KZ_Raum_2024!$S$7:$S$51,'Fläche-E'!P$3:P$47)/100*$AD$1</f>
        <v>8.8432000000000013</v>
      </c>
      <c r="AR56" s="1051">
        <f>SUMPRODUCT(KZ_Raum_2024!$S$7:$S$51,'Fläche-E'!Q$3:Q$47)/100*$AD$1</f>
        <v>12.943200000000003</v>
      </c>
      <c r="AS56" s="1051">
        <f>SUMPRODUCT(KZ_Raum_2024!$S$7:$S$51,'Fläche-E'!R$3:R$47)/100*$AD$1</f>
        <v>11.953200000000002</v>
      </c>
      <c r="AT56" s="1051">
        <f>SUMPRODUCT(KZ_Raum_2024!$C$7:$C$51,'Fläche-E'!S$3:S$47)/100*$AD$1</f>
        <v>9.4044000000000008</v>
      </c>
      <c r="AU56" s="1051">
        <f>SUMPRODUCT(KZ_Raum_2024!$C$7:$C$51,'Fläche-E'!T$3:T$47)/100*$AD$1</f>
        <v>8.0483999999999991</v>
      </c>
      <c r="AV56" s="1051">
        <f>SUMPRODUCT(KZ_Raum_2024!$S$7:$S$51,'Fläche-E'!U$3:U$47)/100*$AD$1</f>
        <v>14.543200000000002</v>
      </c>
      <c r="AW56" s="1051">
        <f>SUMPRODUCT(KZ_Raum_2024!$S$7:$S$51,'Fläche-E'!V$3:V$47)/100*$AD$1</f>
        <v>7.4040000000000008</v>
      </c>
      <c r="AX56" s="1051">
        <f>SUMPRODUCT(KZ_Raum_2024!$S$7:$S$51,'Fläche-E'!W$3:W$47)/100*$AD$1</f>
        <v>2.4863999999999997</v>
      </c>
      <c r="AY56" s="1052">
        <f>SUMPRODUCT(KZ_Raum_2024!$S$7:$S$51,'Fläche-E'!X$3:X$47)/100*$AD$1</f>
        <v>8.6424000000000021</v>
      </c>
    </row>
    <row r="57" spans="1:78">
      <c r="A57" s="746"/>
      <c r="B57" s="747"/>
      <c r="AB57" s="746"/>
      <c r="AC57" s="773" t="s">
        <v>17</v>
      </c>
      <c r="AD57" s="774" t="s">
        <v>134</v>
      </c>
      <c r="AE57" s="1053">
        <f>SUMPRODUCT(KZ_Raum_2024!$U$7:$U$51,'Fläche-E'!D$3:D$47)/100*$AD$1</f>
        <v>2.7677327142857151</v>
      </c>
      <c r="AF57" s="1053">
        <f>SUMPRODUCT(KZ_Raum_2024!$E$7:$E$51,'Fläche-E'!E$3:E$47)/100*$AD$1</f>
        <v>2.1526810000000007</v>
      </c>
      <c r="AG57" s="1053">
        <f>SUMPRODUCT(KZ_Raum_2024!$E$7:$E$51,'Fläche-E'!F$3:F$47)/100*$AD$1</f>
        <v>4.8560016666666677</v>
      </c>
      <c r="AH57" s="1053">
        <f>SUMPRODUCT(KZ_Raum_2024!$U$7:$U$51,'Fläche-E'!G$3:G$47)/100*$AD$1</f>
        <v>2.6700277142857152</v>
      </c>
      <c r="AI57" s="1053">
        <f>SUMPRODUCT(KZ_Raum_2024!$U$7:$U$51,'Fläche-E'!H$3:H$47)/100*$AD$1</f>
        <v>9.9573936000000032</v>
      </c>
      <c r="AJ57" s="1053">
        <f>SUMPRODUCT(KZ_Raum_2024!$U$7:$U$51,'Fläche-E'!I$3:I$47)/100*$AD$1</f>
        <v>8.4917526530612246</v>
      </c>
      <c r="AK57" s="1053">
        <f>SUMPRODUCT(KZ_Raum_2024!$E$7:$E$51,'Fläche-E'!J$3:J$47)/100*$AD$1</f>
        <v>6.6046965079365085</v>
      </c>
      <c r="AL57" s="1053">
        <f>SUMPRODUCT(KZ_Raum_2024!$E$7:$E$51,'Fläche-E'!K$3:K$47)/100*$AD$1</f>
        <v>7.0316882857142859</v>
      </c>
      <c r="AM57" s="1053">
        <f>SUMPRODUCT(KZ_Raum_2024!$U$7:$U$51,'Fläche-E'!L$3:L$47)/100*$AD$1</f>
        <v>30.796232971428573</v>
      </c>
      <c r="AN57" s="1053">
        <f>SUMPRODUCT(KZ_Raum_2024!$E$7:$E$51,'Fläche-E'!M$3:M$47)/100*$AD$1</f>
        <v>23.902055481481479</v>
      </c>
      <c r="AO57" s="1053">
        <f>SUMPRODUCT(KZ_Raum_2024!$E$7:$E$51,'Fläche-E'!N$3:N$47)/100*$AD$1</f>
        <v>23.952625644444446</v>
      </c>
      <c r="AP57" s="1053">
        <f>SUMPRODUCT(KZ_Raum_2024!$E$7:$E$51,'Fläche-E'!O$3:O$47)/100*$AD$1</f>
        <v>19.481929644444445</v>
      </c>
      <c r="AQ57" s="1053">
        <f>SUMPRODUCT(KZ_Raum_2024!$U$7:$U$51,'Fläche-E'!P$3:P$47)/100*$AD$1</f>
        <v>10.611797904761907</v>
      </c>
      <c r="AR57" s="1053">
        <f>SUMPRODUCT(KZ_Raum_2024!$U$7:$U$51,'Fläche-E'!Q$3:Q$47)/100*$AD$1</f>
        <v>16.323401142857143</v>
      </c>
      <c r="AS57" s="1053">
        <f>SUMPRODUCT(KZ_Raum_2024!$U$7:$U$51,'Fläche-E'!R$3:R$47)/100*$AD$1</f>
        <v>12.755721142857148</v>
      </c>
      <c r="AT57" s="1053">
        <f>SUMPRODUCT(KZ_Raum_2024!$E$7:$E$51,'Fläche-E'!S$3:S$47)/100*$AD$1</f>
        <v>10.714216444444446</v>
      </c>
      <c r="AU57" s="1053">
        <f>SUMPRODUCT(KZ_Raum_2024!$E$7:$E$51,'Fläche-E'!T$3:T$47)/100*$AD$1</f>
        <v>8.7956600000000034</v>
      </c>
      <c r="AV57" s="1053">
        <f>SUMPRODUCT(KZ_Raum_2024!$U$7:$U$51,'Fläche-E'!U$3:U$47)/100*$AD$1</f>
        <v>13.444611371428577</v>
      </c>
      <c r="AW57" s="1053">
        <f>SUMPRODUCT(KZ_Raum_2024!$U$7:$U$51,'Fläche-E'!V$3:V$47)/100*$AD$1</f>
        <v>18.512811942857141</v>
      </c>
      <c r="AX57" s="1053">
        <f>SUMPRODUCT(KZ_Raum_2024!$U$7:$U$51,'Fläche-E'!W$3:W$47)/100*$AD$1</f>
        <v>13.777361142857144</v>
      </c>
      <c r="AY57" s="1054">
        <f>SUMPRODUCT(KZ_Raum_2024!$U$7:$U$51,'Fläche-E'!X$3:X$47)/100*$AD$1</f>
        <v>11.925770285714288</v>
      </c>
    </row>
    <row r="58" spans="1:78">
      <c r="A58" s="746"/>
      <c r="B58" s="747"/>
      <c r="AB58" s="746"/>
      <c r="AC58" s="773" t="s">
        <v>19</v>
      </c>
      <c r="AD58" s="774" t="s">
        <v>134</v>
      </c>
      <c r="AE58" s="1053">
        <f>SUMPRODUCT(KZ_Raum_2024!$V$7:$V$51,'Fläche-E'!D$3:D$47)/100*$AD$1</f>
        <v>0</v>
      </c>
      <c r="AF58" s="1053">
        <f>SUMPRODUCT(KZ_Raum_2024!$F$7:$F$51,'Fläche-E'!E$3:E$47)/100*$AD$1</f>
        <v>2.7887072000000006</v>
      </c>
      <c r="AG58" s="1053">
        <f>SUMPRODUCT(KZ_Raum_2024!$F$7:$F$51,'Fläche-E'!F$3:F$47)/100*$AD$1</f>
        <v>4.6930259047619058</v>
      </c>
      <c r="AH58" s="1053">
        <f>SUMPRODUCT(KZ_Raum_2024!$V$7:$V$51,'Fläche-E'!G$3:G$47)/100*$AD$1</f>
        <v>0</v>
      </c>
      <c r="AI58" s="1053">
        <f>SUMPRODUCT(KZ_Raum_2024!$V$7:$V$51,'Fläche-E'!H$3:H$47)/100*$AD$1</f>
        <v>5.1105403999999997</v>
      </c>
      <c r="AJ58" s="1053">
        <f>SUMPRODUCT(KZ_Raum_2024!$V$7:$V$51,'Fläche-E'!I$3:I$47)/100*$AD$1</f>
        <v>0.73900400000000022</v>
      </c>
      <c r="AK58" s="1053">
        <f>SUMPRODUCT(KZ_Raum_2024!$F$7:$F$51,'Fläche-E'!J$3:J$47)/100*$AD$1</f>
        <v>2.3824341714285713</v>
      </c>
      <c r="AL58" s="1053">
        <f>SUMPRODUCT(KZ_Raum_2024!$F$7:$F$51,'Fläche-E'!K$3:K$47)/100*$AD$1</f>
        <v>3.5070634095238091</v>
      </c>
      <c r="AM58" s="1053">
        <f>SUMPRODUCT(KZ_Raum_2024!$V$7:$V$51,'Fläche-E'!L$3:L$47)/100*$AD$1</f>
        <v>6.2902260000000005</v>
      </c>
      <c r="AN58" s="1053">
        <f>SUMPRODUCT(KZ_Raum_2024!$F$7:$F$51,'Fläche-E'!M$3:M$47)/100*$AD$1</f>
        <v>3.9833393714285714</v>
      </c>
      <c r="AO58" s="1053">
        <f>SUMPRODUCT(KZ_Raum_2024!$F$7:$F$51,'Fläche-E'!N$3:N$47)/100*$AD$1</f>
        <v>3.993240171428571</v>
      </c>
      <c r="AP58" s="1053">
        <f>SUMPRODUCT(KZ_Raum_2024!$F$7:$F$51,'Fläche-E'!O$3:O$47)/100*$AD$1</f>
        <v>3.6761541714285713</v>
      </c>
      <c r="AQ58" s="1053">
        <f>SUMPRODUCT(KZ_Raum_2024!$V$7:$V$51,'Fläche-E'!P$3:P$47)/100*$AD$1</f>
        <v>20.377208</v>
      </c>
      <c r="AR58" s="1053">
        <f>SUMPRODUCT(KZ_Raum_2024!$V$7:$V$51,'Fläche-E'!Q$3:Q$47)/100*$AD$1</f>
        <v>19.110726666666665</v>
      </c>
      <c r="AS58" s="1053">
        <f>SUMPRODUCT(KZ_Raum_2024!$V$7:$V$51,'Fläche-E'!R$3:R$47)/100*$AD$1</f>
        <v>0.60253999999999996</v>
      </c>
      <c r="AT58" s="1053">
        <f>SUMPRODUCT(KZ_Raum_2024!$F$7:$F$51,'Fläche-E'!S$3:S$47)/100*$AD$1</f>
        <v>5.1245579047619048</v>
      </c>
      <c r="AU58" s="1053">
        <f>SUMPRODUCT(KZ_Raum_2024!$F$7:$F$51,'Fläche-E'!T$3:T$47)/100*$AD$1</f>
        <v>5.3315339047619057</v>
      </c>
      <c r="AV58" s="1053">
        <f>SUMPRODUCT(KZ_Raum_2024!$V$7:$V$51,'Fläche-E'!U$3:U$47)/100*$AD$1</f>
        <v>4.0597391111111119</v>
      </c>
      <c r="AW58" s="1053">
        <f>SUMPRODUCT(KZ_Raum_2024!$V$7:$V$51,'Fläche-E'!V$3:V$47)/100*$AD$1</f>
        <v>0.35575599999999996</v>
      </c>
      <c r="AX58" s="1053">
        <f>SUMPRODUCT(KZ_Raum_2024!$V$7:$V$51,'Fläche-E'!W$3:W$47)/100*$AD$1</f>
        <v>1.2339200000000001</v>
      </c>
      <c r="AY58" s="1054">
        <f>SUMPRODUCT(KZ_Raum_2024!$V$7:$V$51,'Fläche-E'!X$3:X$47)/100*$AD$1</f>
        <v>10.656564000000003</v>
      </c>
    </row>
    <row r="59" spans="1:78">
      <c r="A59" s="746"/>
      <c r="B59" s="747"/>
      <c r="AB59" s="746"/>
      <c r="AC59" s="773" t="s">
        <v>463</v>
      </c>
      <c r="AD59" s="774" t="s">
        <v>134</v>
      </c>
      <c r="AE59" s="1053">
        <f>SUMPRODUCT(KZ_Raum_2024!$W$7:$W$51,'Fläche-E'!D$3:D$47)/100*$AD$1</f>
        <v>0</v>
      </c>
      <c r="AF59" s="1053">
        <f>SUMPRODUCT(KZ_Raum_2024!$G$7:$G$51,'Fläche-E'!E$3:E$47)/100*$AD$1</f>
        <v>3.3889639654036778</v>
      </c>
      <c r="AG59" s="1053">
        <f>SUMPRODUCT(KZ_Raum_2024!$G$7:$G$51,'Fläche-E'!F$3:F$47)/100*$AD$1</f>
        <v>4.7381022785109517</v>
      </c>
      <c r="AH59" s="1053">
        <f>SUMPRODUCT(KZ_Raum_2024!$W$7:$W$51,'Fläche-E'!G$3:G$47)/100*$AD$1</f>
        <v>0</v>
      </c>
      <c r="AI59" s="1053">
        <f>SUMPRODUCT(KZ_Raum_2024!$W$7:$W$51,'Fläche-E'!H$3:H$47)/100*$AD$1</f>
        <v>2.2813707098516853</v>
      </c>
      <c r="AJ59" s="1053">
        <f>SUMPRODUCT(KZ_Raum_2024!$W$7:$W$51,'Fläche-E'!I$3:I$47)/100*$AD$1</f>
        <v>0.18252109550201001</v>
      </c>
      <c r="AK59" s="1053">
        <f>SUMPRODUCT(KZ_Raum_2024!$G$7:$G$51,'Fläche-E'!J$3:J$47)/100*$AD$1</f>
        <v>4.7746948126511946</v>
      </c>
      <c r="AL59" s="1053">
        <f>SUMPRODUCT(KZ_Raum_2024!$G$7:$G$51,'Fläche-E'!K$3:K$47)/100*$AD$1</f>
        <v>7.6636916706564904</v>
      </c>
      <c r="AM59" s="1053">
        <f>SUMPRODUCT(KZ_Raum_2024!$W$7:$W$51,'Fläche-E'!L$3:L$47)/100*$AD$1</f>
        <v>0.18252109550201001</v>
      </c>
      <c r="AN59" s="1053">
        <f>SUMPRODUCT(KZ_Raum_2024!$G$7:$G$51,'Fläche-E'!M$3:M$47)/100*$AD$1</f>
        <v>11.926227215554942</v>
      </c>
      <c r="AO59" s="1053">
        <f>SUMPRODUCT(KZ_Raum_2024!$G$7:$G$51,'Fläche-E'!N$3:N$47)/100*$AD$1</f>
        <v>11.651377900486445</v>
      </c>
      <c r="AP59" s="1053">
        <f>SUMPRODUCT(KZ_Raum_2024!$G$7:$G$51,'Fläche-E'!O$3:O$47)/100*$AD$1</f>
        <v>7.2009850607139558</v>
      </c>
      <c r="AQ59" s="1053">
        <f>SUMPRODUCT(KZ_Raum_2024!$W$7:$W$51,'Fläche-E'!P$3:P$47)/100*$AD$1</f>
        <v>0.18252109550201001</v>
      </c>
      <c r="AR59" s="1053">
        <f>SUMPRODUCT(KZ_Raum_2024!$W$7:$W$51,'Fläche-E'!Q$3:Q$47)/100*$AD$1</f>
        <v>1.304245034532854</v>
      </c>
      <c r="AS59" s="1053">
        <f>SUMPRODUCT(KZ_Raum_2024!$W$7:$W$51,'Fläche-E'!R$3:R$47)/100*$AD$1</f>
        <v>1.9555033618930562</v>
      </c>
      <c r="AT59" s="1053">
        <f>SUMPRODUCT(KZ_Raum_2024!$G$7:$G$51,'Fläche-E'!S$3:S$47)/100*$AD$1</f>
        <v>10.896918506140496</v>
      </c>
      <c r="AU59" s="1053">
        <f>SUMPRODUCT(KZ_Raum_2024!$G$7:$G$51,'Fläche-E'!T$3:T$47)/100*$AD$1</f>
        <v>10.269304483987643</v>
      </c>
      <c r="AV59" s="1053">
        <f>SUMPRODUCT(KZ_Raum_2024!$W$7:$W$51,'Fläche-E'!U$3:U$47)/100*$AD$1</f>
        <v>0.82047603551894732</v>
      </c>
      <c r="AW59" s="1053">
        <f>SUMPRODUCT(KZ_Raum_2024!$W$7:$W$51,'Fläche-E'!V$3:V$47)/100*$AD$1</f>
        <v>0.18252109550201001</v>
      </c>
      <c r="AX59" s="1053">
        <f>SUMPRODUCT(KZ_Raum_2024!$W$7:$W$51,'Fläche-E'!W$3:W$47)/100*$AD$1</f>
        <v>0</v>
      </c>
      <c r="AY59" s="1054">
        <f>SUMPRODUCT(KZ_Raum_2024!$W$7:$W$51,'Fläche-E'!X$3:X$47)/100*$AD$1</f>
        <v>0.18252109550201001</v>
      </c>
    </row>
    <row r="60" spans="1:78">
      <c r="AB60" s="746"/>
      <c r="AC60" s="773" t="s">
        <v>464</v>
      </c>
      <c r="AD60" s="774" t="s">
        <v>134</v>
      </c>
      <c r="AE60" s="1053">
        <f>SUMPRODUCT(KZ_Raum_2024!$X$7:$X$51,'Fläche-E'!D$3:D$47)/100*$AD$1</f>
        <v>73.279871690013451</v>
      </c>
      <c r="AF60" s="1053">
        <f>SUMPRODUCT(KZ_Raum_2024!$H$7:$H$51,'Fläche-E'!E$3:E$47)/100*$AD$1</f>
        <v>11.726703891170381</v>
      </c>
      <c r="AG60" s="1053">
        <f>SUMPRODUCT(KZ_Raum_2024!$H$7:$H$51,'Fläche-E'!F$3:F$47)/100*$AD$1</f>
        <v>13.870968340056827</v>
      </c>
      <c r="AH60" s="1053">
        <f>SUMPRODUCT(KZ_Raum_2024!$X$7:$X$51,'Fläche-E'!G$3:G$47)/100*$AD$1</f>
        <v>121.98974805553947</v>
      </c>
      <c r="AI60" s="1053">
        <f>SUMPRODUCT(KZ_Raum_2024!$X$7:$X$51,'Fläche-E'!H$3:H$47)/100*$AD$1</f>
        <v>43.673953250611781</v>
      </c>
      <c r="AJ60" s="1053">
        <f>SUMPRODUCT(KZ_Raum_2024!$X7:$X$51,'Fläche-E'!I$3:I$47)/100*$AD$1</f>
        <v>71.053261207030104</v>
      </c>
      <c r="AK60" s="1053">
        <f>SUMPRODUCT(KZ_Raum_2024!$H$7:$H$51,'Fläche-E'!J$3:J$47)/100*$AD$1</f>
        <v>13.537004115365571</v>
      </c>
      <c r="AL60" s="1053">
        <f>SUMPRODUCT(KZ_Raum_2024!$H$7:$H$51,'Fläche-E'!K$3:K$47)/100*$AD$1</f>
        <v>11.336089072607724</v>
      </c>
      <c r="AM60" s="1053">
        <f>SUMPRODUCT(KZ_Raum_2024!$X$7:$X$51,'Fläche-E'!L$3:L$47)/100*$AD$1</f>
        <v>54.460247670822369</v>
      </c>
      <c r="AN60" s="1053">
        <f>SUMPRODUCT(KZ_Raum_2024!$H$7:$H$51,'Fläche-E'!M$3:M$47)/100*$AD$1</f>
        <v>5.336005221474303</v>
      </c>
      <c r="AO60" s="1053">
        <f>SUMPRODUCT(KZ_Raum_2024!$H$7:$H$51,'Fläche-E'!N$3:N$47)/100*$AD$1</f>
        <v>5.5844225421050364</v>
      </c>
      <c r="AP60" s="1053">
        <f>SUMPRODUCT(KZ_Raum_2024!$H$7:$H$51,'Fläche-E'!O$3:O$47)/100*$AD$1</f>
        <v>6.1032108798011526</v>
      </c>
      <c r="AQ60" s="1053">
        <f>SUMPRODUCT(KZ_Raum_2024!$X$7:$X$51,'Fläche-E'!P$3:P$47)/100*$AD$1</f>
        <v>96.489907741714205</v>
      </c>
      <c r="AR60" s="1053">
        <f>SUMPRODUCT(KZ_Raum_2024!$X$7:$X$51,'Fläche-E'!Q$3:Q$47)/100*$AD$1</f>
        <v>78.71149268936648</v>
      </c>
      <c r="AS60" s="1053">
        <f>SUMPRODUCT(KZ_Raum_2024!$X$7:$X$51,'Fläche-E'!R$3:R$47)/100*$AD$1</f>
        <v>55.287117787418325</v>
      </c>
      <c r="AT60" s="1053">
        <f>SUMPRODUCT(KZ_Raum_2024!$H$7:$H$51,'Fläche-E'!S$3:S$47)/100*$AD$1</f>
        <v>10.373697935999942</v>
      </c>
      <c r="AU60" s="1053">
        <f>SUMPRODUCT(KZ_Raum_2024!$H$7:$H$51,'Fläche-E'!T$3:T$47)/100*$AD$1</f>
        <v>10.392353857645658</v>
      </c>
      <c r="AV60" s="1053">
        <f>SUMPRODUCT(KZ_Raum_2024!$X$7:$X$51,'Fläche-E'!U$3:U$47)/100*$AD$1</f>
        <v>48.637311945890751</v>
      </c>
      <c r="AW60" s="1053">
        <f>SUMPRODUCT(KZ_Raum_2024!$X$7:$X$51,'Fläche-E'!V$3:V$47)/100*$AD$1</f>
        <v>49.776670373160755</v>
      </c>
      <c r="AX60" s="1053">
        <f>SUMPRODUCT(KZ_Raum_2024!$X$7:$X$51,'Fläche-E'!W$3:W$47)/100*$AD$1</f>
        <v>65.566783724858695</v>
      </c>
      <c r="AY60" s="1054">
        <f>SUMPRODUCT(KZ_Raum_2024!$X$7:$X$51,'Fläche-E'!X$3:X$47)/100*$AD$1</f>
        <v>119.74599595909704</v>
      </c>
      <c r="BC60" s="742" t="s">
        <v>1122</v>
      </c>
    </row>
    <row r="61" spans="1:78">
      <c r="AB61" s="746"/>
      <c r="AC61" s="773" t="s">
        <v>268</v>
      </c>
      <c r="AD61" s="774" t="s">
        <v>134</v>
      </c>
      <c r="AE61" s="1099">
        <f>SUMPRODUCT(KZ_Raum_2024!$Y$7:$Y$51,'Fläche-E'!D$3:D$47)/100*$AD$1</f>
        <v>11.516480000000003</v>
      </c>
      <c r="AF61" s="1053">
        <f>SUMPRODUCT(KZ_Raum_2024!$I$7:$I$51,'Fläche-E'!E$3:E$47)/100*$AD$1</f>
        <v>11.516480000000003</v>
      </c>
      <c r="AG61" s="1053">
        <f>SUMPRODUCT(KZ_Raum_2024!$I$7:$I$51,'Fläche-E'!F$3:F$47)/100*$AD$1</f>
        <v>17.491430095238098</v>
      </c>
      <c r="AH61" s="1053">
        <f>SUMPRODUCT(KZ_Raum_2024!$Y$7:$Y$51,'Fläche-E'!G$3:G$47)/100*$AD$1</f>
        <v>9.7551360000000003</v>
      </c>
      <c r="AI61" s="1053">
        <f>SUMPRODUCT(KZ_Raum_2024!$Y$7:$Y$51,'Fläche-E'!H$3:H$47)/100*$AD$1</f>
        <v>1.2664018285714287</v>
      </c>
      <c r="AJ61" s="1053">
        <f>SUMPRODUCT(KZ_Raum_2024!$Y$7:$Y$51,'Fläche-E'!I$3:I$47)/100*$AD$1</f>
        <v>1.6590649589823876</v>
      </c>
      <c r="AK61" s="1053">
        <f>SUMPRODUCT(KZ_Raum_2024!$I$7:$I$51,'Fläche-E'!J$3:J$47)/100*$AD$1</f>
        <v>1.6590649589823876</v>
      </c>
      <c r="AL61" s="1053">
        <f>SUMPRODUCT(KZ_Raum_2024!$I$7:$I$51,'Fläche-E'!K$3:K$47)/100*$AD$1</f>
        <v>1.2867679190606656</v>
      </c>
      <c r="AM61" s="1053">
        <f>SUMPRODUCT(KZ_Raum_2024!$Y$7:$Y$51,'Fläche-E'!L$3:L$47)/100*$AD$1</f>
        <v>1.4108914285714289</v>
      </c>
      <c r="AN61" s="1053">
        <f>SUMPRODUCT(KZ_Raum_2024!$I$7:$I$51,'Fläche-E'!M$3:M$47)/100*$AD$1</f>
        <v>1.4108914285714289</v>
      </c>
      <c r="AO61" s="1053">
        <f>SUMPRODUCT(KZ_Raum_2024!$I$7:$I$51,'Fläche-E'!N$3:N$47)/100*$AD$1</f>
        <v>1.4108914285714289</v>
      </c>
      <c r="AP61" s="1053">
        <f>SUMPRODUCT(KZ_Raum_2024!$I$7:$I$51,'Fläche-E'!O$3:O$47)/100*$AD$1</f>
        <v>0.80091702857142877</v>
      </c>
      <c r="AQ61" s="1053">
        <f>SUMPRODUCT(KZ_Raum_2024!$Y$7:$Y$51,'Fläche-E'!P$3:P$47)/100*$AD$1</f>
        <v>43.67340342857144</v>
      </c>
      <c r="AR61" s="1053">
        <f>SUMPRODUCT(KZ_Raum_2024!$Y$7:$Y$51,'Fläche-E'!Q$3:Q$47)/100*$AD$1</f>
        <v>3.5893714285714289</v>
      </c>
      <c r="AS61" s="1053">
        <f>SUMPRODUCT(KZ_Raum_2024!$Y$7:$Y$51,'Fläche-E'!R$3:R$47)/100*$AD$1</f>
        <v>21.781883428571433</v>
      </c>
      <c r="AT61" s="1053">
        <f>SUMPRODUCT(KZ_Raum_2024!$I$7:$I$51,'Fläche-E'!S$3:S$47)/100*$AD$1</f>
        <v>19.07212342857143</v>
      </c>
      <c r="AU61" s="1053">
        <f>SUMPRODUCT(KZ_Raum_2024!$I$7:$I$51,'Fläche-E'!T$3:T$47)/100*$AD$1</f>
        <v>27.201403428571435</v>
      </c>
      <c r="AV61" s="1053">
        <f>SUMPRODUCT(KZ_Raum_2024!$Y$7:$Y$51,'Fläche-E'!U$3:U$47)/100*$AD$1</f>
        <v>1.2664018285714287</v>
      </c>
      <c r="AW61" s="1053">
        <f>SUMPRODUCT(KZ_Raum_2024!$Y$7:$Y$51,'Fläche-E'!V$3:V$47)/100*$AD$1</f>
        <v>0.61244022857142866</v>
      </c>
      <c r="AX61" s="1053">
        <f>SUMPRODUCT(KZ_Raum_2024!$Y$7:$Y$51,'Fläche-E'!W$3:W$47)/100*$AD$1</f>
        <v>30.47042998356164</v>
      </c>
      <c r="AY61" s="781">
        <f>SUMPRODUCT(KZ_Raum_2024!$Y$7:$Y$51,'Fläche-E'!X$3:X$47)/100*$AD$1</f>
        <v>69.815163428571452</v>
      </c>
      <c r="BC61" s="723" t="s">
        <v>420</v>
      </c>
      <c r="BD61" s="723" t="s">
        <v>134</v>
      </c>
      <c r="BE61" s="741">
        <f>BE8*BE9</f>
        <v>19.599999999999998</v>
      </c>
      <c r="BF61" s="741"/>
      <c r="BG61" s="741"/>
      <c r="BH61" s="741">
        <f>BH8*BH9</f>
        <v>15.399999999999999</v>
      </c>
      <c r="BI61" s="741">
        <f>BI8*BI9</f>
        <v>19.8</v>
      </c>
      <c r="BJ61" s="741">
        <f>BJ8*BJ9</f>
        <v>9.9</v>
      </c>
      <c r="BK61" s="741"/>
      <c r="BL61" s="741"/>
      <c r="BM61" s="741">
        <f>BM8*BM9</f>
        <v>26.400000000000002</v>
      </c>
      <c r="BN61" s="741">
        <f>BN8*BN9</f>
        <v>0</v>
      </c>
      <c r="BO61" s="741">
        <f>BO8*BO9</f>
        <v>0</v>
      </c>
      <c r="BP61" s="741">
        <f>BP8*BP9</f>
        <v>0</v>
      </c>
      <c r="BQ61" s="741">
        <f t="shared" ref="BQ61:BY61" si="122">BQ8*BQ9</f>
        <v>23.099999999999998</v>
      </c>
      <c r="BR61" s="741">
        <f t="shared" si="122"/>
        <v>13.600000000000001</v>
      </c>
      <c r="BS61" s="741">
        <f t="shared" si="122"/>
        <v>19.599999999999998</v>
      </c>
      <c r="BT61" s="741">
        <f t="shared" ref="BT61:BU61" si="123">BT8*BT9</f>
        <v>0</v>
      </c>
      <c r="BU61" s="741">
        <f t="shared" si="123"/>
        <v>0</v>
      </c>
      <c r="BV61" s="741">
        <f t="shared" si="122"/>
        <v>15.3</v>
      </c>
      <c r="BW61" s="741">
        <f t="shared" si="122"/>
        <v>5.4</v>
      </c>
      <c r="BX61" s="741">
        <f t="shared" si="122"/>
        <v>5.4</v>
      </c>
      <c r="BY61" s="741">
        <f t="shared" si="122"/>
        <v>39.199999999999996</v>
      </c>
      <c r="BZ61" s="741"/>
    </row>
    <row r="62" spans="1:78">
      <c r="AB62" s="746"/>
      <c r="AC62" s="773" t="s">
        <v>1181</v>
      </c>
      <c r="AD62" s="774" t="s">
        <v>134</v>
      </c>
      <c r="AE62" s="1099">
        <f>SUMPRODUCT(KZ_Raum_2024!$T$7:$T$51,'Fläche-E'!D$3:D$47)/100*$AD$1</f>
        <v>0</v>
      </c>
      <c r="AF62" s="1053">
        <f>SUMPRODUCT(KZ_Raum_2024!$D$7:$D$51,'Fläche-E'!E$3:E$47)/100*$AD$1</f>
        <v>0</v>
      </c>
      <c r="AG62" s="1053">
        <f>SUMPRODUCT(KZ_Raum_2024!$D$7:$D$51,'Fläche-E'!F$3:F$47)/100*$AD$1</f>
        <v>0</v>
      </c>
      <c r="AH62" s="1053">
        <f>SUMPRODUCT(KZ_Raum_2024!$T$7:$T$51,'Fläche-E'!G$3:G$47)/100*$AD$1</f>
        <v>0</v>
      </c>
      <c r="AI62" s="1053">
        <f>SUMPRODUCT(KZ_Raum_2024!$T$7:$T$51,'Fläche-E'!H$3:H$47)/100*$AD$1</f>
        <v>11.216000000000001</v>
      </c>
      <c r="AJ62" s="1053">
        <f>SUMPRODUCT(KZ_Raum_2024!$T$7:$T$51,'Fläche-E'!I$3:I$47)/100*$AD$1</f>
        <v>0</v>
      </c>
      <c r="AK62" s="1053">
        <f>SUMPRODUCT(KZ_Raum_2024!$D$7:$D$51,'Fläche-E'!J$3:J$47)/100*$AD$1</f>
        <v>0</v>
      </c>
      <c r="AL62" s="1053">
        <f>SUMPRODUCT(KZ_Raum_2024!$D$7:$D$51,'Fläche-E'!K$3:K$47)/100*$AD$1</f>
        <v>8.4120000000000008</v>
      </c>
      <c r="AM62" s="1053">
        <f>SUMPRODUCT(KZ_Raum_2024!$T$7:$T$51,'Fläche-E'!L$3:L$47)/100*$AD$1</f>
        <v>0</v>
      </c>
      <c r="AN62" s="780">
        <f>SUMPRODUCT(KZ_Raum_2024!$D$7:$D$51,'Fläche-E'!M$3:M$47)/100*$AD$1</f>
        <v>197.56800000000001</v>
      </c>
      <c r="AO62" s="1053">
        <f>SUMPRODUCT(KZ_Raum_2024!$D$7:$D$51,'Fläche-E'!N$3:N$47)/100*$AD$1</f>
        <v>0</v>
      </c>
      <c r="AP62" s="1053">
        <f>SUMPRODUCT(KZ_Raum_2024!$D$7:$D$51,'Fläche-E'!O$3:O$47)/100*$AD$1</f>
        <v>0</v>
      </c>
      <c r="AQ62" s="1053">
        <f>SUMPRODUCT(KZ_Raum_2024!$T$7:$T$51,'Fläche-E'!P$3:P$47)/100*$AD$1</f>
        <v>52.657600000000002</v>
      </c>
      <c r="AR62" s="1053">
        <f>SUMPRODUCT(KZ_Raum_2024!$T$7:$T$51,'Fläche-E'!Q$3:Q$47)/100*$AD$1</f>
        <v>0</v>
      </c>
      <c r="AS62" s="1053">
        <f>SUMPRODUCT(KZ_Raum_2024!$T$7:$T$51,'Fläche-E'!R$3:R$47)/100*$AD$1</f>
        <v>3.4880000000000004</v>
      </c>
      <c r="AT62" s="1053">
        <f>SUMPRODUCT(KZ_Raum_2024!$D$7:$D$51,'Fläche-E'!S$3:S$47)/100*$AD$1</f>
        <v>3.9240000000000004</v>
      </c>
      <c r="AU62" s="1053">
        <f>SUMPRODUCT(KZ_Raum_2024!$D$7:$D$51,'Fläche-E'!T$3:T$47)/100*$AD$1</f>
        <v>1.3080000000000001</v>
      </c>
      <c r="AV62" s="1053">
        <f>SUMPRODUCT(KZ_Raum_2024!$T$7:$T$51,'Fläche-E'!U$3:U$47)/100*$AD$1</f>
        <v>27.584</v>
      </c>
      <c r="AW62" s="1053">
        <f>SUMPRODUCT(KZ_Raum_2024!$T$7:$T$51,'Fläche-E'!V$3:V$47)/100*$AD$1</f>
        <v>0</v>
      </c>
      <c r="AX62" s="1053">
        <f>SUMPRODUCT(KZ_Raum_2024!$T$7:$T$51,'Fläche-E'!W$3:W$47)/100*$AD$1</f>
        <v>0</v>
      </c>
      <c r="AY62" s="781">
        <f>SUMPRODUCT(KZ_Raum_2024!$T$7:$T$51,'Fläche-E'!X$3:X$47)/100*$AD$1</f>
        <v>245.51999999999998</v>
      </c>
      <c r="BC62" s="723" t="s">
        <v>2000</v>
      </c>
      <c r="BD62" s="723" t="s">
        <v>134</v>
      </c>
      <c r="BE62" s="741">
        <f>CD10</f>
        <v>16.099999999999998</v>
      </c>
      <c r="BF62" s="741">
        <f t="shared" ref="BF62:BY62" si="124">CE10</f>
        <v>0</v>
      </c>
      <c r="BG62" s="741">
        <f t="shared" si="124"/>
        <v>0</v>
      </c>
      <c r="BH62" s="741">
        <f t="shared" si="124"/>
        <v>14.4</v>
      </c>
      <c r="BI62" s="741">
        <f t="shared" si="124"/>
        <v>24.8</v>
      </c>
      <c r="BJ62" s="741">
        <f t="shared" si="124"/>
        <v>13.299999999999999</v>
      </c>
      <c r="BK62" s="741">
        <f t="shared" si="124"/>
        <v>13.299999999999999</v>
      </c>
      <c r="BL62" s="741">
        <f t="shared" si="124"/>
        <v>18</v>
      </c>
      <c r="BM62" s="741">
        <f t="shared" si="124"/>
        <v>28</v>
      </c>
      <c r="BN62" s="741">
        <f t="shared" si="124"/>
        <v>28.7</v>
      </c>
      <c r="BO62" s="741">
        <f t="shared" si="124"/>
        <v>28</v>
      </c>
      <c r="BP62" s="741">
        <f t="shared" si="124"/>
        <v>24.5</v>
      </c>
      <c r="BQ62" s="741">
        <f t="shared" si="124"/>
        <v>14.5</v>
      </c>
      <c r="BR62" s="741">
        <f t="shared" si="124"/>
        <v>18.599999999999998</v>
      </c>
      <c r="BS62" s="741">
        <f t="shared" si="124"/>
        <v>19.2</v>
      </c>
      <c r="BT62" s="741">
        <f t="shared" si="124"/>
        <v>19.8</v>
      </c>
      <c r="BU62" s="741">
        <f t="shared" si="124"/>
        <v>18</v>
      </c>
      <c r="BV62" s="741">
        <f t="shared" si="124"/>
        <v>15</v>
      </c>
      <c r="BW62" s="741">
        <f t="shared" si="124"/>
        <v>15.200000000000001</v>
      </c>
      <c r="BX62" s="741">
        <f t="shared" si="124"/>
        <v>12.6</v>
      </c>
      <c r="BY62" s="741">
        <f t="shared" si="124"/>
        <v>14.5</v>
      </c>
      <c r="BZ62" s="741"/>
    </row>
    <row r="63" spans="1:78">
      <c r="AB63" s="746"/>
      <c r="AC63" s="735" t="s">
        <v>1114</v>
      </c>
      <c r="AD63" s="733" t="s">
        <v>134</v>
      </c>
      <c r="AE63" s="1571">
        <f>AE11</f>
        <v>3</v>
      </c>
      <c r="AF63" s="1571">
        <f t="shared" ref="AF63:AY63" si="125">AF11</f>
        <v>3</v>
      </c>
      <c r="AG63" s="1571">
        <f t="shared" si="125"/>
        <v>8.16</v>
      </c>
      <c r="AH63" s="1571">
        <f t="shared" si="125"/>
        <v>1.4</v>
      </c>
      <c r="AI63" s="1571">
        <f t="shared" si="125"/>
        <v>3.3680000000000003</v>
      </c>
      <c r="AJ63" s="1571">
        <f t="shared" si="125"/>
        <v>3.1280000000000001</v>
      </c>
      <c r="AK63" s="1571">
        <f t="shared" si="125"/>
        <v>3.1280000000000001</v>
      </c>
      <c r="AL63" s="1571">
        <f t="shared" si="125"/>
        <v>8.16</v>
      </c>
      <c r="AM63" s="1571">
        <f t="shared" si="125"/>
        <v>7.5440000000000005</v>
      </c>
      <c r="AN63" s="1571">
        <f t="shared" si="125"/>
        <v>7.5440000000000005</v>
      </c>
      <c r="AO63" s="1571">
        <f t="shared" si="125"/>
        <v>7.5440000000000005</v>
      </c>
      <c r="AP63" s="1571">
        <f t="shared" si="125"/>
        <v>7.5440000000000005</v>
      </c>
      <c r="AQ63" s="1571">
        <f t="shared" si="125"/>
        <v>8.3840000000000003</v>
      </c>
      <c r="AR63" s="1571">
        <f t="shared" si="125"/>
        <v>3.8479999999999999</v>
      </c>
      <c r="AS63" s="1571">
        <f t="shared" si="125"/>
        <v>8.2000000000000011</v>
      </c>
      <c r="AT63" s="1571">
        <f t="shared" si="125"/>
        <v>8.2000000000000011</v>
      </c>
      <c r="AU63" s="1571">
        <f t="shared" si="125"/>
        <v>8.2000000000000011</v>
      </c>
      <c r="AV63" s="1571">
        <f t="shared" si="125"/>
        <v>6.6959999999999997</v>
      </c>
      <c r="AW63" s="1571">
        <f t="shared" si="125"/>
        <v>1.6480000000000001</v>
      </c>
      <c r="AX63" s="1571">
        <f t="shared" si="125"/>
        <v>3.2320000000000002</v>
      </c>
      <c r="AY63" s="1572">
        <f t="shared" si="125"/>
        <v>6.88</v>
      </c>
      <c r="BC63" s="213" t="s">
        <v>1149</v>
      </c>
      <c r="BD63" s="723" t="s">
        <v>134</v>
      </c>
      <c r="BE63" s="741">
        <f t="shared" ref="BE63:BM63" si="126">BE62-BE61</f>
        <v>-3.5</v>
      </c>
      <c r="BF63" s="741"/>
      <c r="BG63" s="741">
        <f t="shared" si="126"/>
        <v>0</v>
      </c>
      <c r="BH63" s="741">
        <f t="shared" si="126"/>
        <v>-0.99999999999999822</v>
      </c>
      <c r="BI63" s="741">
        <f t="shared" si="126"/>
        <v>5</v>
      </c>
      <c r="BJ63" s="741">
        <f t="shared" si="126"/>
        <v>3.3999999999999986</v>
      </c>
      <c r="BK63" s="741"/>
      <c r="BL63" s="741"/>
      <c r="BM63" s="741">
        <f t="shared" si="126"/>
        <v>1.5999999999999979</v>
      </c>
      <c r="BN63" s="741">
        <f t="shared" ref="BN63:BP63" si="127">BN62-BN61</f>
        <v>28.7</v>
      </c>
      <c r="BO63" s="741">
        <f t="shared" si="127"/>
        <v>28</v>
      </c>
      <c r="BP63" s="741">
        <f t="shared" si="127"/>
        <v>24.5</v>
      </c>
      <c r="BQ63" s="741">
        <f t="shared" ref="BQ63:BY63" si="128">BQ62-BQ61</f>
        <v>-8.5999999999999979</v>
      </c>
      <c r="BR63" s="741">
        <f t="shared" si="128"/>
        <v>4.9999999999999964</v>
      </c>
      <c r="BS63" s="741">
        <f t="shared" si="128"/>
        <v>-0.39999999999999858</v>
      </c>
      <c r="BT63" s="741">
        <f t="shared" ref="BT63:BU63" si="129">BT62-BT61</f>
        <v>19.8</v>
      </c>
      <c r="BU63" s="741">
        <f t="shared" si="129"/>
        <v>18</v>
      </c>
      <c r="BV63" s="741">
        <f t="shared" si="128"/>
        <v>-0.30000000000000071</v>
      </c>
      <c r="BW63" s="741">
        <f t="shared" si="128"/>
        <v>9.8000000000000007</v>
      </c>
      <c r="BX63" s="741">
        <f t="shared" si="128"/>
        <v>7.1999999999999993</v>
      </c>
      <c r="BY63" s="741">
        <f t="shared" si="128"/>
        <v>-24.699999999999996</v>
      </c>
      <c r="BZ63" s="741"/>
    </row>
    <row r="64" spans="1:78">
      <c r="AB64" s="746"/>
    </row>
    <row r="65" spans="28:227">
      <c r="AB65" s="746"/>
    </row>
    <row r="66" spans="28:227">
      <c r="AB66" s="746"/>
    </row>
    <row r="67" spans="28:227">
      <c r="AB67" s="746"/>
    </row>
    <row r="70" spans="28:227">
      <c r="GV70" s="723" t="s">
        <v>1657</v>
      </c>
      <c r="GW70" s="723" t="s">
        <v>134</v>
      </c>
      <c r="GY70" s="743">
        <f>GY7-FZ7</f>
        <v>0.81199999999999761</v>
      </c>
      <c r="GZ70" s="1561">
        <f t="shared" ref="GZ70:HS70" si="130">GZ7-GA7</f>
        <v>-1.3840000000000003</v>
      </c>
      <c r="HA70" s="743">
        <f t="shared" si="130"/>
        <v>-0.31600000000000072</v>
      </c>
      <c r="HB70" s="743">
        <f t="shared" si="130"/>
        <v>-0.81320000000000192</v>
      </c>
      <c r="HC70" s="743">
        <f t="shared" si="130"/>
        <v>-6.9511200000000004</v>
      </c>
      <c r="HD70" s="1561">
        <f t="shared" si="130"/>
        <v>-1.9511200000000004</v>
      </c>
      <c r="HE70" s="1561">
        <f t="shared" si="130"/>
        <v>4.2747999999999973</v>
      </c>
      <c r="HF70" s="743">
        <f t="shared" si="130"/>
        <v>-4.7652000000000001</v>
      </c>
      <c r="HG70" s="743">
        <f t="shared" si="130"/>
        <v>-0.12999999999999989</v>
      </c>
      <c r="HH70" s="743">
        <f t="shared" si="130"/>
        <v>0.2347999999999999</v>
      </c>
      <c r="HI70" s="743">
        <f t="shared" si="130"/>
        <v>-4.5540000000000003</v>
      </c>
      <c r="HJ70" s="743">
        <f t="shared" si="130"/>
        <v>-0.60440000000000005</v>
      </c>
      <c r="HK70" s="1561">
        <f t="shared" si="130"/>
        <v>-3.1204000000000001</v>
      </c>
      <c r="HL70" s="743">
        <f t="shared" si="130"/>
        <v>-0.21640000000000015</v>
      </c>
      <c r="HM70" s="743">
        <f t="shared" si="130"/>
        <v>-0.90440000000000076</v>
      </c>
      <c r="HN70" s="743">
        <f t="shared" si="130"/>
        <v>0.45160000000000089</v>
      </c>
      <c r="HO70" s="743">
        <f t="shared" si="130"/>
        <v>-0.5044000000000004</v>
      </c>
      <c r="HP70" s="743">
        <f t="shared" si="130"/>
        <v>-0.81960000000000122</v>
      </c>
      <c r="HQ70" s="743">
        <f t="shared" si="130"/>
        <v>0.75680000000000014</v>
      </c>
      <c r="HR70" s="743">
        <f t="shared" si="130"/>
        <v>-0.6908000000000003</v>
      </c>
      <c r="HS70" s="743">
        <f t="shared" si="130"/>
        <v>0.1664000000000001</v>
      </c>
    </row>
    <row r="71" spans="28:227">
      <c r="GW71" s="723" t="s">
        <v>5</v>
      </c>
      <c r="GY71" s="723">
        <f>GY70/GY7%</f>
        <v>5.2387096774193394</v>
      </c>
      <c r="GZ71" s="723">
        <f t="shared" ref="GZ71:HS71" si="131">GZ70/GZ7%</f>
        <v>-12.697247706422022</v>
      </c>
      <c r="HA71" s="723">
        <f t="shared" si="131"/>
        <v>-2.5280000000000058</v>
      </c>
      <c r="HB71" s="723">
        <f t="shared" si="131"/>
        <v>-4.9284848484848602</v>
      </c>
      <c r="HC71" s="723" t="e">
        <f t="shared" si="131"/>
        <v>#DIV/0!</v>
      </c>
      <c r="HD71" s="744">
        <f t="shared" si="131"/>
        <v>-39.022400000000005</v>
      </c>
      <c r="HE71" s="744">
        <f t="shared" si="131"/>
        <v>27.402564102564085</v>
      </c>
      <c r="HF71" s="723" t="e">
        <f t="shared" si="131"/>
        <v>#DIV/0!</v>
      </c>
      <c r="HG71" s="723">
        <f t="shared" si="131"/>
        <v>-2.5999999999999979</v>
      </c>
      <c r="HH71" s="723">
        <f t="shared" si="131"/>
        <v>4.695999999999998</v>
      </c>
      <c r="HI71" s="723" t="e">
        <f t="shared" si="131"/>
        <v>#DIV/0!</v>
      </c>
      <c r="HJ71" s="723">
        <f t="shared" si="131"/>
        <v>-13.431111111111113</v>
      </c>
      <c r="HK71" s="744">
        <f>HK70/HK7%</f>
        <v>-78.010000000000005</v>
      </c>
      <c r="HL71" s="723">
        <f t="shared" si="131"/>
        <v>-2.6072289156626525</v>
      </c>
      <c r="HM71" s="723">
        <f t="shared" si="131"/>
        <v>-10.640000000000008</v>
      </c>
      <c r="HN71" s="723">
        <f t="shared" si="131"/>
        <v>5.3129411764705985</v>
      </c>
      <c r="HO71" s="723">
        <f t="shared" si="131"/>
        <v>-7.2057142857142908</v>
      </c>
      <c r="HP71" s="744">
        <f t="shared" si="131"/>
        <v>-20.49000000000003</v>
      </c>
      <c r="HQ71" s="744">
        <f t="shared" si="131"/>
        <v>37.840000000000003</v>
      </c>
      <c r="HR71" s="723">
        <f t="shared" si="131"/>
        <v>-12.560000000000006</v>
      </c>
      <c r="HS71" s="723">
        <f t="shared" si="131"/>
        <v>9.7882352941176531</v>
      </c>
    </row>
    <row r="85" spans="55:78">
      <c r="BC85" s="742" t="s">
        <v>1100</v>
      </c>
    </row>
    <row r="86" spans="55:78">
      <c r="BC86" s="723" t="s">
        <v>420</v>
      </c>
      <c r="BD86" s="723" t="s">
        <v>134</v>
      </c>
      <c r="BE86" s="741">
        <f>BE12</f>
        <v>21</v>
      </c>
      <c r="BF86" s="741"/>
      <c r="BG86" s="741"/>
      <c r="BH86" s="741">
        <f>BH12</f>
        <v>14</v>
      </c>
      <c r="BI86" s="741">
        <f>BI12</f>
        <v>7</v>
      </c>
      <c r="BJ86" s="741">
        <f>BJ12</f>
        <v>7</v>
      </c>
      <c r="BK86" s="741"/>
      <c r="BL86" s="741"/>
      <c r="BM86" s="741">
        <f t="shared" ref="BM86:BY86" si="132">BM12</f>
        <v>7</v>
      </c>
      <c r="BN86" s="741">
        <f t="shared" si="132"/>
        <v>0</v>
      </c>
      <c r="BO86" s="741">
        <f t="shared" si="132"/>
        <v>0</v>
      </c>
      <c r="BP86" s="741">
        <f t="shared" si="132"/>
        <v>0</v>
      </c>
      <c r="BQ86" s="741">
        <f t="shared" si="132"/>
        <v>56</v>
      </c>
      <c r="BR86" s="741">
        <f t="shared" si="132"/>
        <v>14</v>
      </c>
      <c r="BS86" s="741">
        <f t="shared" si="132"/>
        <v>28</v>
      </c>
      <c r="BT86" s="741">
        <f t="shared" si="132"/>
        <v>0</v>
      </c>
      <c r="BU86" s="741">
        <f t="shared" si="132"/>
        <v>0</v>
      </c>
      <c r="BV86" s="741">
        <f t="shared" si="132"/>
        <v>7</v>
      </c>
      <c r="BW86" s="741">
        <f t="shared" si="132"/>
        <v>1</v>
      </c>
      <c r="BX86" s="741">
        <f t="shared" si="132"/>
        <v>83</v>
      </c>
      <c r="BY86" s="741">
        <f t="shared" si="132"/>
        <v>83</v>
      </c>
      <c r="BZ86" s="741"/>
    </row>
    <row r="87" spans="55:78">
      <c r="BC87" s="723" t="s">
        <v>1541</v>
      </c>
      <c r="BD87" s="723" t="s">
        <v>134</v>
      </c>
      <c r="BE87" s="741">
        <f>AE8/0.67</f>
        <v>17.188776119402988</v>
      </c>
      <c r="BF87" s="741"/>
      <c r="BG87" s="741">
        <f>AG8/0.67</f>
        <v>26.106612082444919</v>
      </c>
      <c r="BH87" s="741">
        <f>AH8/0.67</f>
        <v>14.559904477611941</v>
      </c>
      <c r="BI87" s="741">
        <f>AI8/0.67</f>
        <v>1.8901519829424307</v>
      </c>
      <c r="BJ87" s="741">
        <f>AJ8/0.67</f>
        <v>2.4762163566901307</v>
      </c>
      <c r="BK87" s="741"/>
      <c r="BL87" s="741"/>
      <c r="BM87" s="741">
        <f t="shared" ref="BM87:BY87" si="133">AM8/0.67</f>
        <v>2.1058081023454163</v>
      </c>
      <c r="BN87" s="741">
        <f t="shared" si="133"/>
        <v>2.1058081023454163</v>
      </c>
      <c r="BO87" s="741">
        <f t="shared" si="133"/>
        <v>2.1058081023454163</v>
      </c>
      <c r="BP87" s="741">
        <f t="shared" si="133"/>
        <v>1.19539855010661</v>
      </c>
      <c r="BQ87" s="741">
        <f t="shared" si="133"/>
        <v>65.18418422174841</v>
      </c>
      <c r="BR87" s="741">
        <f t="shared" si="133"/>
        <v>5.3572707889125804</v>
      </c>
      <c r="BS87" s="741">
        <f t="shared" si="133"/>
        <v>32.510273773987208</v>
      </c>
      <c r="BT87" s="741">
        <f t="shared" si="133"/>
        <v>28.465855863539446</v>
      </c>
      <c r="BU87" s="741">
        <f t="shared" si="133"/>
        <v>40.599109594882734</v>
      </c>
      <c r="BV87" s="741">
        <f t="shared" si="133"/>
        <v>1.8901519829424307</v>
      </c>
      <c r="BW87" s="741">
        <f t="shared" si="133"/>
        <v>0.91408989339019198</v>
      </c>
      <c r="BX87" s="741">
        <f t="shared" si="133"/>
        <v>45.478253706808417</v>
      </c>
      <c r="BY87" s="741">
        <f t="shared" si="133"/>
        <v>104.2017364605544</v>
      </c>
      <c r="BZ87" s="741"/>
    </row>
    <row r="88" spans="55:78">
      <c r="BC88" s="213" t="s">
        <v>1149</v>
      </c>
      <c r="BD88" s="723" t="s">
        <v>134</v>
      </c>
      <c r="BE88" s="741">
        <f>BE87-BE86</f>
        <v>-3.8112238805970122</v>
      </c>
      <c r="BF88" s="741"/>
      <c r="BG88" s="741">
        <f t="shared" ref="BG88:BY88" si="134">BG87-BG86</f>
        <v>26.106612082444919</v>
      </c>
      <c r="BH88" s="741">
        <f t="shared" si="134"/>
        <v>0.55990447761194062</v>
      </c>
      <c r="BI88" s="741">
        <f t="shared" si="134"/>
        <v>-5.1098480170575691</v>
      </c>
      <c r="BJ88" s="741">
        <f t="shared" si="134"/>
        <v>-4.5237836433098693</v>
      </c>
      <c r="BK88" s="741"/>
      <c r="BL88" s="741"/>
      <c r="BM88" s="741">
        <f t="shared" si="134"/>
        <v>-4.8941918976545837</v>
      </c>
      <c r="BN88" s="741">
        <f t="shared" si="134"/>
        <v>2.1058081023454163</v>
      </c>
      <c r="BO88" s="741">
        <f t="shared" si="134"/>
        <v>2.1058081023454163</v>
      </c>
      <c r="BP88" s="741">
        <f t="shared" si="134"/>
        <v>1.19539855010661</v>
      </c>
      <c r="BQ88" s="741">
        <f t="shared" si="134"/>
        <v>9.18418422174841</v>
      </c>
      <c r="BR88" s="741">
        <f t="shared" si="134"/>
        <v>-8.6427292110874205</v>
      </c>
      <c r="BS88" s="741">
        <f t="shared" si="134"/>
        <v>4.5102737739872083</v>
      </c>
      <c r="BT88" s="741">
        <f t="shared" ref="BT88:BV88" si="135">BT87-BT86</f>
        <v>28.465855863539446</v>
      </c>
      <c r="BU88" s="741">
        <f t="shared" si="135"/>
        <v>40.599109594882734</v>
      </c>
      <c r="BV88" s="741">
        <f t="shared" si="135"/>
        <v>-5.1098480170575691</v>
      </c>
      <c r="BW88" s="741">
        <f t="shared" si="134"/>
        <v>-8.5910106609808023E-2</v>
      </c>
      <c r="BX88" s="741">
        <f t="shared" si="134"/>
        <v>-37.521746293191583</v>
      </c>
      <c r="BY88" s="741">
        <f t="shared" si="134"/>
        <v>21.2017364605544</v>
      </c>
      <c r="BZ88" s="741"/>
    </row>
    <row r="90" spans="55:78">
      <c r="BC90" s="723" t="s">
        <v>1542</v>
      </c>
      <c r="BD90" s="723" t="s">
        <v>134</v>
      </c>
      <c r="BE90" s="741">
        <f>AE8</f>
        <v>11.516480000000003</v>
      </c>
      <c r="BF90" s="741"/>
      <c r="BG90" s="741">
        <f>AG11/0.67</f>
        <v>12.17910447761194</v>
      </c>
      <c r="BH90" s="741">
        <f>AH8</f>
        <v>9.7551360000000003</v>
      </c>
      <c r="BI90" s="741">
        <f>AI8</f>
        <v>1.2664018285714287</v>
      </c>
      <c r="BJ90" s="741">
        <f>AJ8</f>
        <v>1.6590649589823876</v>
      </c>
      <c r="BK90" s="741"/>
      <c r="BL90" s="741"/>
      <c r="BM90" s="741">
        <f>AM8</f>
        <v>1.4108914285714289</v>
      </c>
      <c r="BN90" s="741">
        <f>AN11/0.67</f>
        <v>11.259701492537314</v>
      </c>
      <c r="BO90" s="741">
        <f>AO11/0.67</f>
        <v>11.259701492537314</v>
      </c>
      <c r="BP90" s="741">
        <f>AP11/0.67</f>
        <v>11.259701492537314</v>
      </c>
      <c r="BQ90" s="741">
        <f t="shared" ref="BQ90:BY90" si="136">AQ8</f>
        <v>43.67340342857144</v>
      </c>
      <c r="BR90" s="741">
        <f t="shared" si="136"/>
        <v>3.5893714285714289</v>
      </c>
      <c r="BS90" s="741">
        <f t="shared" si="136"/>
        <v>21.781883428571433</v>
      </c>
      <c r="BT90" s="741">
        <f t="shared" si="136"/>
        <v>19.07212342857143</v>
      </c>
      <c r="BU90" s="741">
        <f t="shared" si="136"/>
        <v>27.201403428571435</v>
      </c>
      <c r="BV90" s="741">
        <f t="shared" si="136"/>
        <v>1.2664018285714287</v>
      </c>
      <c r="BW90" s="741">
        <f t="shared" si="136"/>
        <v>0.61244022857142866</v>
      </c>
      <c r="BX90" s="741">
        <f t="shared" si="136"/>
        <v>30.47042998356164</v>
      </c>
      <c r="BY90" s="741">
        <f t="shared" si="136"/>
        <v>69.815163428571452</v>
      </c>
      <c r="BZ90" s="741"/>
    </row>
    <row r="111" spans="55:78">
      <c r="BC111" s="742" t="s">
        <v>398</v>
      </c>
    </row>
    <row r="112" spans="55:78">
      <c r="BC112" s="723" t="s">
        <v>420</v>
      </c>
      <c r="BD112" s="723" t="s">
        <v>1061</v>
      </c>
      <c r="BE112" s="745">
        <f>BE11</f>
        <v>0.7</v>
      </c>
      <c r="BF112" s="745"/>
      <c r="BG112" s="745">
        <f>BG11</f>
        <v>0</v>
      </c>
      <c r="BH112" s="745">
        <f>BH11</f>
        <v>0.7</v>
      </c>
      <c r="BI112" s="745">
        <f>BI11</f>
        <v>0.7</v>
      </c>
      <c r="BJ112" s="745">
        <f>BJ11</f>
        <v>0.7</v>
      </c>
      <c r="BK112" s="745"/>
      <c r="BL112" s="745"/>
      <c r="BM112" s="745">
        <f t="shared" ref="BM112:BY112" si="137">BM11</f>
        <v>0.7</v>
      </c>
      <c r="BN112" s="745">
        <f t="shared" si="137"/>
        <v>0</v>
      </c>
      <c r="BO112" s="745">
        <f t="shared" si="137"/>
        <v>0</v>
      </c>
      <c r="BP112" s="745">
        <f t="shared" si="137"/>
        <v>0</v>
      </c>
      <c r="BQ112" s="745">
        <f t="shared" si="137"/>
        <v>1.2</v>
      </c>
      <c r="BR112" s="745">
        <f t="shared" si="137"/>
        <v>1</v>
      </c>
      <c r="BS112" s="745">
        <f t="shared" si="137"/>
        <v>1</v>
      </c>
      <c r="BT112" s="745">
        <f t="shared" si="137"/>
        <v>0</v>
      </c>
      <c r="BU112" s="745">
        <f t="shared" si="137"/>
        <v>0</v>
      </c>
      <c r="BV112" s="745">
        <f t="shared" si="137"/>
        <v>0.7</v>
      </c>
      <c r="BW112" s="745">
        <f t="shared" si="137"/>
        <v>0.3</v>
      </c>
      <c r="BX112" s="745">
        <f t="shared" si="137"/>
        <v>0.7</v>
      </c>
      <c r="BY112" s="745">
        <f t="shared" si="137"/>
        <v>0.7</v>
      </c>
      <c r="BZ112" s="745"/>
    </row>
    <row r="113" spans="55:78">
      <c r="BC113" s="723" t="s">
        <v>1547</v>
      </c>
      <c r="BD113" s="723" t="s">
        <v>1061</v>
      </c>
      <c r="BE113" s="745">
        <f>1/AE29*BE145*AE30/24</f>
        <v>0.27213307240704504</v>
      </c>
      <c r="BF113" s="745">
        <f>1/AF29*36*AF30/24</f>
        <v>0.39187162426614486</v>
      </c>
      <c r="BG113" s="745">
        <f>1/AG29*36*AG30/24</f>
        <v>0.64171585127201547</v>
      </c>
      <c r="BH113" s="745">
        <f>1/AH29*BH145*AH30/24</f>
        <v>0.20169863013698633</v>
      </c>
      <c r="BI113" s="745">
        <f>1/AI29*BI145*AI30/24</f>
        <v>0.26084148727984346</v>
      </c>
      <c r="BJ113" s="745">
        <f>1/AJ29*BJ145*AJ30/24</f>
        <v>0.53493737769080241</v>
      </c>
      <c r="BK113" s="745">
        <f>1/AK29*36*AK30/24</f>
        <v>0.77030982387475555</v>
      </c>
      <c r="BL113" s="745">
        <f>1/AL29*36*AL30/24</f>
        <v>0.79905909980430545</v>
      </c>
      <c r="BM113" s="745">
        <f>1/AM29*BM145*AM30/24</f>
        <v>0.46673189823874761</v>
      </c>
      <c r="BN113" s="745">
        <f>1/AN29*36*AN30/24</f>
        <v>0.67209393346379642</v>
      </c>
      <c r="BO113" s="745">
        <f>1/AO29*36*AO30/24</f>
        <v>0.67209393346379642</v>
      </c>
      <c r="BP113" s="745">
        <f>1/AP29*36*AP30/24</f>
        <v>0.36831311154598828</v>
      </c>
      <c r="BQ113" s="745">
        <f>1/AQ29*BQ145*AQ30/24</f>
        <v>0.97661448140900209</v>
      </c>
      <c r="BR113" s="745">
        <f>1/AR29*BR145*AR30/24</f>
        <v>1.3114807566862361</v>
      </c>
      <c r="BS113" s="745">
        <f>1/AS29*BS145*AS30/24</f>
        <v>0.76928897586431833</v>
      </c>
      <c r="BT113" s="745">
        <f>1/AT29*36*AT30/24</f>
        <v>1.0866035225048924</v>
      </c>
      <c r="BU113" s="745">
        <f>1/AU29*36*AU30/24</f>
        <v>1.2211350293542076</v>
      </c>
      <c r="BV113" s="745">
        <f>1/AV29*BV145*AV30/24</f>
        <v>0.1703283322461405</v>
      </c>
      <c r="BW113" s="745">
        <f>1/AW29*BW145*AW30/24</f>
        <v>0.13463144161774301</v>
      </c>
      <c r="BX113" s="745">
        <f>1/AX29*BX145*AX30/24</f>
        <v>0.13275929549902152</v>
      </c>
      <c r="BY113" s="745">
        <f>1/AY29*BY145*AY30/24</f>
        <v>0.41761252446183961</v>
      </c>
      <c r="BZ113" s="745"/>
    </row>
    <row r="114" spans="55:78">
      <c r="BC114" s="723" t="s">
        <v>1548</v>
      </c>
      <c r="BD114" s="723" t="s">
        <v>1061</v>
      </c>
      <c r="BE114" s="745">
        <f>BE113+0.15</f>
        <v>0.42213307240704501</v>
      </c>
      <c r="BF114" s="745">
        <f t="shared" ref="BF114:BY114" si="138">BF113+0.15</f>
        <v>0.54187162426614488</v>
      </c>
      <c r="BG114" s="745">
        <f t="shared" si="138"/>
        <v>0.79171585127201549</v>
      </c>
      <c r="BH114" s="745">
        <f t="shared" si="138"/>
        <v>0.35169863013698632</v>
      </c>
      <c r="BI114" s="745">
        <f t="shared" si="138"/>
        <v>0.41084148727984349</v>
      </c>
      <c r="BJ114" s="745">
        <f t="shared" si="138"/>
        <v>0.68493737769080243</v>
      </c>
      <c r="BK114" s="745">
        <f t="shared" si="138"/>
        <v>0.92030982387475557</v>
      </c>
      <c r="BL114" s="745">
        <f t="shared" si="138"/>
        <v>0.94905909980430547</v>
      </c>
      <c r="BM114" s="745">
        <f t="shared" si="138"/>
        <v>0.61673189823874763</v>
      </c>
      <c r="BN114" s="745">
        <f t="shared" si="138"/>
        <v>0.82209393346379644</v>
      </c>
      <c r="BO114" s="745">
        <f t="shared" si="138"/>
        <v>0.82209393346379644</v>
      </c>
      <c r="BP114" s="745">
        <f t="shared" si="138"/>
        <v>0.51831311154598825</v>
      </c>
      <c r="BQ114" s="745">
        <f t="shared" si="138"/>
        <v>1.126614481409002</v>
      </c>
      <c r="BR114" s="745">
        <f t="shared" si="138"/>
        <v>1.461480756686236</v>
      </c>
      <c r="BS114" s="745">
        <f t="shared" si="138"/>
        <v>0.91928897586431835</v>
      </c>
      <c r="BT114" s="745">
        <f t="shared" ref="BT114:BU114" si="139">BT113+0.15</f>
        <v>1.2366035225048924</v>
      </c>
      <c r="BU114" s="745">
        <f t="shared" si="139"/>
        <v>1.3711350293542075</v>
      </c>
      <c r="BV114" s="745">
        <f t="shared" si="138"/>
        <v>0.32032833224614049</v>
      </c>
      <c r="BW114" s="745">
        <f t="shared" si="138"/>
        <v>0.28463144161774301</v>
      </c>
      <c r="BX114" s="745">
        <f t="shared" si="138"/>
        <v>0.28275929549902151</v>
      </c>
      <c r="BY114" s="745">
        <f t="shared" si="138"/>
        <v>0.56761252446183963</v>
      </c>
      <c r="BZ114" s="745"/>
    </row>
    <row r="115" spans="55:78">
      <c r="BC115" s="723" t="s">
        <v>1546</v>
      </c>
      <c r="BD115" s="723" t="s">
        <v>1061</v>
      </c>
      <c r="BE115" s="745">
        <f>AE21</f>
        <v>0.57351989562948469</v>
      </c>
      <c r="BF115" s="745"/>
      <c r="BG115" s="745">
        <f>AG21</f>
        <v>1.0918199608610566</v>
      </c>
      <c r="BH115" s="745">
        <f>AH21</f>
        <v>0.43778264840182646</v>
      </c>
      <c r="BI115" s="745">
        <f>AI21</f>
        <v>0.67670732767993047</v>
      </c>
      <c r="BJ115" s="745">
        <f>AJ21</f>
        <v>0.91802224396607957</v>
      </c>
      <c r="BK115" s="745"/>
      <c r="BL115" s="745"/>
      <c r="BM115" s="745">
        <f t="shared" ref="BM115:BY115" si="140">AM21</f>
        <v>1.1072035225048922</v>
      </c>
      <c r="BN115" s="745">
        <f t="shared" si="140"/>
        <v>1.1031669928245271</v>
      </c>
      <c r="BO115" s="745">
        <f t="shared" si="140"/>
        <v>1.1072035225048922</v>
      </c>
      <c r="BP115" s="745">
        <f t="shared" si="140"/>
        <v>0.7950893672537509</v>
      </c>
      <c r="BQ115" s="745">
        <f t="shared" si="140"/>
        <v>1.9812720156555774</v>
      </c>
      <c r="BR115" s="745">
        <f t="shared" si="140"/>
        <v>1.9270863231137203</v>
      </c>
      <c r="BS115" s="745">
        <f t="shared" si="140"/>
        <v>1.1850163078930203</v>
      </c>
      <c r="BT115" s="745">
        <f t="shared" si="140"/>
        <v>1.2128245270711027</v>
      </c>
      <c r="BU115" s="745">
        <f t="shared" si="140"/>
        <v>1.2202948467058057</v>
      </c>
      <c r="BV115" s="745">
        <f t="shared" si="140"/>
        <v>0.61190722620859617</v>
      </c>
      <c r="BW115" s="745">
        <f t="shared" si="140"/>
        <v>0.58085192433137656</v>
      </c>
      <c r="BX115" s="745">
        <f t="shared" si="140"/>
        <v>1.1171232876712329</v>
      </c>
      <c r="BY115" s="745">
        <f t="shared" si="140"/>
        <v>1.6889432485322897</v>
      </c>
      <c r="BZ115" s="743"/>
    </row>
    <row r="116" spans="55:78">
      <c r="BC116" s="723" t="s">
        <v>1543</v>
      </c>
      <c r="BD116" s="723" t="s">
        <v>1061</v>
      </c>
      <c r="BE116" s="745">
        <f t="shared" ref="BE116:BY116" si="141">AE20</f>
        <v>0.62342857142857155</v>
      </c>
      <c r="BF116" s="745">
        <f t="shared" si="141"/>
        <v>0</v>
      </c>
      <c r="BG116" s="745">
        <f t="shared" si="141"/>
        <v>0</v>
      </c>
      <c r="BH116" s="745">
        <f t="shared" si="141"/>
        <v>0.45760000000000001</v>
      </c>
      <c r="BI116" s="745">
        <f t="shared" si="141"/>
        <v>1.9781904761904763</v>
      </c>
      <c r="BJ116" s="745">
        <f t="shared" si="141"/>
        <v>3.6104571428571428</v>
      </c>
      <c r="BK116" s="745">
        <f t="shared" si="141"/>
        <v>3.6104571428571428</v>
      </c>
      <c r="BL116" s="745">
        <f t="shared" si="141"/>
        <v>3.6350476190476186</v>
      </c>
      <c r="BM116" s="745">
        <f t="shared" si="141"/>
        <v>2.1428571428571432</v>
      </c>
      <c r="BN116" s="745">
        <f t="shared" si="141"/>
        <v>2.1348571428571432</v>
      </c>
      <c r="BO116" s="745">
        <f t="shared" si="141"/>
        <v>2.1428571428571432</v>
      </c>
      <c r="BP116" s="745">
        <f t="shared" si="141"/>
        <v>1.330857142857143</v>
      </c>
      <c r="BQ116" s="745">
        <f t="shared" si="141"/>
        <v>6.968190476190478</v>
      </c>
      <c r="BR116" s="745">
        <f t="shared" si="141"/>
        <v>5.1628571428571437</v>
      </c>
      <c r="BS116" s="745">
        <f t="shared" si="141"/>
        <v>2.0121904761904763</v>
      </c>
      <c r="BT116" s="745">
        <f t="shared" si="141"/>
        <v>2.1668571428571433</v>
      </c>
      <c r="BU116" s="745">
        <f t="shared" si="141"/>
        <v>1.914857142857143</v>
      </c>
      <c r="BV116" s="745">
        <f t="shared" si="141"/>
        <v>1.313968253968254</v>
      </c>
      <c r="BW116" s="745">
        <f t="shared" si="141"/>
        <v>0.91952380952380963</v>
      </c>
      <c r="BX116" s="745">
        <f t="shared" si="141"/>
        <v>3.1</v>
      </c>
      <c r="BY116" s="745">
        <f t="shared" si="141"/>
        <v>3.4428571428571431</v>
      </c>
    </row>
    <row r="143" spans="55:77">
      <c r="BC143" s="723" t="s">
        <v>420</v>
      </c>
      <c r="BD143" s="723" t="s">
        <v>1142</v>
      </c>
      <c r="BE143" s="723">
        <f t="shared" ref="BE143:BY143" si="142">BE11*BE4*24/BE6</f>
        <v>56</v>
      </c>
      <c r="BF143" s="723" t="e">
        <f t="shared" si="142"/>
        <v>#DIV/0!</v>
      </c>
      <c r="BG143" s="723" t="e">
        <f t="shared" si="142"/>
        <v>#DIV/0!</v>
      </c>
      <c r="BH143" s="723">
        <f t="shared" si="142"/>
        <v>84</v>
      </c>
      <c r="BI143" s="723">
        <f t="shared" si="142"/>
        <v>56</v>
      </c>
      <c r="BJ143" s="723">
        <f t="shared" si="142"/>
        <v>42</v>
      </c>
      <c r="BK143" s="723" t="e">
        <f t="shared" si="142"/>
        <v>#DIV/0!</v>
      </c>
      <c r="BL143" s="723" t="e">
        <f t="shared" si="142"/>
        <v>#DIV/0!</v>
      </c>
      <c r="BM143" s="723">
        <f t="shared" si="142"/>
        <v>42</v>
      </c>
      <c r="BN143" s="723" t="e">
        <f t="shared" si="142"/>
        <v>#DIV/0!</v>
      </c>
      <c r="BO143" s="723" t="e">
        <f t="shared" si="142"/>
        <v>#DIV/0!</v>
      </c>
      <c r="BP143" s="723" t="e">
        <f t="shared" si="142"/>
        <v>#DIV/0!</v>
      </c>
      <c r="BQ143" s="723">
        <f t="shared" si="142"/>
        <v>48</v>
      </c>
      <c r="BR143" s="723">
        <f t="shared" si="142"/>
        <v>40</v>
      </c>
      <c r="BS143" s="723">
        <f t="shared" si="142"/>
        <v>45</v>
      </c>
      <c r="BT143" s="723" t="e">
        <f t="shared" si="142"/>
        <v>#DIV/0!</v>
      </c>
      <c r="BU143" s="723" t="e">
        <f t="shared" si="142"/>
        <v>#DIV/0!</v>
      </c>
      <c r="BV143" s="723">
        <f t="shared" si="142"/>
        <v>84</v>
      </c>
      <c r="BW143" s="723">
        <f t="shared" si="142"/>
        <v>120</v>
      </c>
      <c r="BX143" s="723">
        <f t="shared" si="142"/>
        <v>56</v>
      </c>
      <c r="BY143" s="723">
        <f t="shared" si="142"/>
        <v>84</v>
      </c>
    </row>
    <row r="144" spans="55:77">
      <c r="BC144" s="723" t="s">
        <v>1543</v>
      </c>
      <c r="BD144" s="723" t="s">
        <v>1142</v>
      </c>
      <c r="BE144" s="723">
        <f t="shared" ref="BE144:BS144" si="143">CD13*CD4*24/CD6</f>
        <v>55.384615384615387</v>
      </c>
      <c r="BF144" s="723" t="e">
        <f t="shared" si="143"/>
        <v>#DIV/0!</v>
      </c>
      <c r="BG144" s="723">
        <f t="shared" si="143"/>
        <v>0</v>
      </c>
      <c r="BH144" s="723">
        <f t="shared" si="143"/>
        <v>51.692307692307693</v>
      </c>
      <c r="BI144" s="723">
        <f t="shared" si="143"/>
        <v>60</v>
      </c>
      <c r="BJ144" s="723">
        <f t="shared" si="143"/>
        <v>43.2</v>
      </c>
      <c r="BK144" s="723" t="e">
        <f t="shared" si="143"/>
        <v>#DIV/0!</v>
      </c>
      <c r="BL144" s="723" t="e">
        <f t="shared" si="143"/>
        <v>#DIV/0!</v>
      </c>
      <c r="BM144" s="723">
        <f t="shared" si="143"/>
        <v>56.571428571428569</v>
      </c>
      <c r="BN144" s="723">
        <f t="shared" si="143"/>
        <v>56.571428571428569</v>
      </c>
      <c r="BO144" s="723">
        <f t="shared" si="143"/>
        <v>56.571428571428569</v>
      </c>
      <c r="BP144" s="723">
        <f t="shared" si="143"/>
        <v>82.285714285714292</v>
      </c>
      <c r="BQ144" s="723">
        <f t="shared" si="143"/>
        <v>60</v>
      </c>
      <c r="BR144" s="723">
        <f t="shared" si="143"/>
        <v>28.5</v>
      </c>
      <c r="BS144" s="723">
        <f t="shared" si="143"/>
        <v>41.142857142857146</v>
      </c>
      <c r="BT144" s="723">
        <f>CU13*CU4*24/CU6</f>
        <v>86.4</v>
      </c>
      <c r="BU144" s="723">
        <f>CV13*CV4*24/CV6</f>
        <v>172.8</v>
      </c>
      <c r="BV144" s="723">
        <f>CU13*CU4*24/CU6</f>
        <v>86.4</v>
      </c>
      <c r="BW144" s="723">
        <f>CV13*CV4*24/CV6</f>
        <v>172.8</v>
      </c>
      <c r="BX144" s="723">
        <f>CW13*CW4*24/CW6</f>
        <v>528</v>
      </c>
      <c r="BY144" s="723">
        <f>CX13*CX4*24/CX6</f>
        <v>102</v>
      </c>
    </row>
    <row r="145" spans="55:77">
      <c r="BC145" s="723" t="s">
        <v>1544</v>
      </c>
      <c r="BD145" s="723" t="s">
        <v>1142</v>
      </c>
      <c r="BE145" s="1298">
        <v>25</v>
      </c>
      <c r="BF145" s="1298" t="e">
        <f>BF113*CE4/CE6*24</f>
        <v>#DIV/0!</v>
      </c>
      <c r="BG145" s="1298">
        <f>BG113*CF4/CF6*24</f>
        <v>0</v>
      </c>
      <c r="BH145" s="1298">
        <v>25</v>
      </c>
      <c r="BI145" s="1298">
        <v>25</v>
      </c>
      <c r="BJ145" s="1298">
        <v>25</v>
      </c>
      <c r="BK145" s="1298" t="e">
        <f>BK113*CJ4/CJ6*24</f>
        <v>#DIV/0!</v>
      </c>
      <c r="BL145" s="1298" t="e">
        <f>BL113*CK4/CK6*24</f>
        <v>#DIV/0!</v>
      </c>
      <c r="BM145" s="1298">
        <v>25</v>
      </c>
      <c r="BN145" s="1298">
        <f>BN113*CM4/CM6*24</f>
        <v>34.564830863852386</v>
      </c>
      <c r="BO145" s="1298">
        <f>BO113*CN4/CN6*24</f>
        <v>34.564830863852386</v>
      </c>
      <c r="BP145" s="1298">
        <f>BP113*CO4/CO6*24</f>
        <v>37.883634330444508</v>
      </c>
      <c r="BQ145" s="1298">
        <v>25</v>
      </c>
      <c r="BR145" s="1298">
        <v>25</v>
      </c>
      <c r="BS145" s="1298">
        <v>25</v>
      </c>
      <c r="BT145" s="1298">
        <f>BT113*CU4/CU6*24</f>
        <v>156.47090724070455</v>
      </c>
      <c r="BU145" s="1298">
        <f>BU113*CV4/CV6*24</f>
        <v>351.68688845401175</v>
      </c>
      <c r="BV145" s="1298">
        <v>25</v>
      </c>
      <c r="BW145" s="1298">
        <f>25/1.2*2</f>
        <v>41.666666666666671</v>
      </c>
      <c r="BX145" s="1298">
        <f>25/1.2*3</f>
        <v>62.500000000000007</v>
      </c>
      <c r="BY145" s="1298">
        <v>25</v>
      </c>
    </row>
    <row r="146" spans="55:77">
      <c r="BC146" s="213" t="s">
        <v>1153</v>
      </c>
      <c r="BD146" s="723" t="s">
        <v>1142</v>
      </c>
      <c r="BE146" s="723">
        <f t="shared" ref="BE146:BS146" si="144">BE114*CD4/CD6*24</f>
        <v>38.966129760650311</v>
      </c>
      <c r="BF146" s="723" t="e">
        <f t="shared" si="144"/>
        <v>#DIV/0!</v>
      </c>
      <c r="BG146" s="723">
        <f t="shared" si="144"/>
        <v>0</v>
      </c>
      <c r="BH146" s="723">
        <f t="shared" si="144"/>
        <v>45.45028451001054</v>
      </c>
      <c r="BI146" s="723">
        <f t="shared" si="144"/>
        <v>35.214984623986581</v>
      </c>
      <c r="BJ146" s="723">
        <f t="shared" si="144"/>
        <v>32.876994129158518</v>
      </c>
      <c r="BK146" s="723" t="e">
        <f t="shared" si="144"/>
        <v>#DIV/0!</v>
      </c>
      <c r="BL146" s="723" t="e">
        <f t="shared" si="144"/>
        <v>#DIV/0!</v>
      </c>
      <c r="BM146" s="723">
        <f t="shared" si="144"/>
        <v>31.71764048084988</v>
      </c>
      <c r="BN146" s="723">
        <f t="shared" si="144"/>
        <v>42.279116578138101</v>
      </c>
      <c r="BO146" s="723">
        <f t="shared" si="144"/>
        <v>42.279116578138101</v>
      </c>
      <c r="BP146" s="723">
        <f t="shared" si="144"/>
        <v>53.312205759015924</v>
      </c>
      <c r="BQ146" s="723">
        <f t="shared" si="144"/>
        <v>33.798434442270057</v>
      </c>
      <c r="BR146" s="723">
        <f t="shared" si="144"/>
        <v>21.922211350293541</v>
      </c>
      <c r="BS146" s="723">
        <f t="shared" si="144"/>
        <v>31.518479172490913</v>
      </c>
      <c r="BT146" s="723">
        <f>BT114*CU4/CU6*24</f>
        <v>178.07090724070451</v>
      </c>
      <c r="BU146" s="723">
        <f>BU114*CV4/CV6*24</f>
        <v>394.88688845401174</v>
      </c>
      <c r="BV146" s="723">
        <f>BV114*CU4/CU6*24</f>
        <v>46.127279843444228</v>
      </c>
      <c r="BW146" s="723">
        <f>BW114*CV4/CV6*24</f>
        <v>81.973855185909969</v>
      </c>
      <c r="BX146" s="723">
        <f>BX114*CW4/CW6*24</f>
        <v>135.72446183953031</v>
      </c>
      <c r="BY146" s="723">
        <f>BY114*CX4/CX6*24</f>
        <v>34.056751467710377</v>
      </c>
    </row>
    <row r="163" spans="55:78">
      <c r="BC163" s="742" t="s">
        <v>1121</v>
      </c>
    </row>
    <row r="164" spans="55:78">
      <c r="BC164" s="723" t="s">
        <v>420</v>
      </c>
      <c r="BD164" s="723" t="s">
        <v>134</v>
      </c>
      <c r="BE164" s="743">
        <f t="shared" ref="BE164:BY164" si="145">BE5/BE4*BE6*365/1000</f>
        <v>7.665</v>
      </c>
      <c r="BF164" s="743"/>
      <c r="BG164" s="743" t="e">
        <f t="shared" si="145"/>
        <v>#DIV/0!</v>
      </c>
      <c r="BH164" s="743">
        <f t="shared" si="145"/>
        <v>5.1100000000000003</v>
      </c>
      <c r="BI164" s="743">
        <f t="shared" si="145"/>
        <v>8.76</v>
      </c>
      <c r="BJ164" s="743">
        <f t="shared" si="145"/>
        <v>10.220000000000001</v>
      </c>
      <c r="BK164" s="743"/>
      <c r="BL164" s="743"/>
      <c r="BM164" s="743">
        <f t="shared" si="145"/>
        <v>13.14</v>
      </c>
      <c r="BN164" s="743" t="e">
        <f t="shared" si="145"/>
        <v>#DIV/0!</v>
      </c>
      <c r="BO164" s="743" t="e">
        <f t="shared" si="145"/>
        <v>#DIV/0!</v>
      </c>
      <c r="BP164" s="743" t="e">
        <f t="shared" si="145"/>
        <v>#DIV/0!</v>
      </c>
      <c r="BQ164" s="743">
        <f t="shared" si="145"/>
        <v>21.9</v>
      </c>
      <c r="BR164" s="743">
        <f t="shared" si="145"/>
        <v>17.52</v>
      </c>
      <c r="BS164" s="743">
        <f t="shared" si="145"/>
        <v>15.573333333333332</v>
      </c>
      <c r="BT164" s="743" t="e">
        <f t="shared" ref="BT164:BU164" si="146">BT5/BT4*BT6*365/1000</f>
        <v>#DIV/0!</v>
      </c>
      <c r="BU164" s="743" t="e">
        <f t="shared" si="146"/>
        <v>#DIV/0!</v>
      </c>
      <c r="BV164" s="743">
        <f t="shared" si="145"/>
        <v>7.3</v>
      </c>
      <c r="BW164" s="743">
        <f t="shared" si="145"/>
        <v>2.19</v>
      </c>
      <c r="BX164" s="743">
        <f t="shared" si="145"/>
        <v>10.95</v>
      </c>
      <c r="BY164" s="743">
        <f t="shared" si="145"/>
        <v>4.38</v>
      </c>
      <c r="BZ164" s="743"/>
    </row>
    <row r="165" spans="55:78">
      <c r="BC165" s="723" t="s">
        <v>1539</v>
      </c>
      <c r="BD165" s="723" t="s">
        <v>134</v>
      </c>
      <c r="BE165" s="743">
        <f>AE27</f>
        <v>6.6748800000000008</v>
      </c>
      <c r="BF165" s="743"/>
      <c r="BG165" s="743">
        <f>AG27</f>
        <v>10.93056</v>
      </c>
      <c r="BH165" s="743">
        <f>AH27</f>
        <v>4.9472640000000006</v>
      </c>
      <c r="BI165" s="743">
        <f>AI27</f>
        <v>6.3979200000000001</v>
      </c>
      <c r="BJ165" s="743">
        <f>AJ27</f>
        <v>13.120944000000001</v>
      </c>
      <c r="BK165" s="743"/>
      <c r="BL165" s="743"/>
      <c r="BM165" s="743">
        <f t="shared" ref="BM165:BY165" si="147">AM27</f>
        <v>11.448</v>
      </c>
      <c r="BN165" s="743">
        <f t="shared" si="147"/>
        <v>11.448</v>
      </c>
      <c r="BO165" s="743">
        <f t="shared" si="147"/>
        <v>11.448</v>
      </c>
      <c r="BP165" s="743">
        <f t="shared" si="147"/>
        <v>6.273600000000001</v>
      </c>
      <c r="BQ165" s="743">
        <f t="shared" si="147"/>
        <v>23.954400000000003</v>
      </c>
      <c r="BR165" s="743">
        <f t="shared" si="147"/>
        <v>32.167999999999999</v>
      </c>
      <c r="BS165" s="743">
        <f t="shared" si="147"/>
        <v>18.869119999999999</v>
      </c>
      <c r="BT165" s="743">
        <f t="shared" si="147"/>
        <v>18.508480000000002</v>
      </c>
      <c r="BU165" s="743">
        <f t="shared" si="147"/>
        <v>20.8</v>
      </c>
      <c r="BV165" s="743">
        <f t="shared" si="147"/>
        <v>4.1778133333333338</v>
      </c>
      <c r="BW165" s="743">
        <f t="shared" si="147"/>
        <v>3.3022399999999998</v>
      </c>
      <c r="BX165" s="743">
        <f t="shared" si="147"/>
        <v>3.2563199999999997</v>
      </c>
      <c r="BY165" s="743">
        <f t="shared" si="147"/>
        <v>10.243200000000002</v>
      </c>
      <c r="BZ165" s="743"/>
    </row>
    <row r="166" spans="55:78">
      <c r="BC166" s="213" t="s">
        <v>1149</v>
      </c>
      <c r="BD166" s="723" t="s">
        <v>134</v>
      </c>
      <c r="BE166" s="743">
        <f>BE165-BE164</f>
        <v>-0.99011999999999922</v>
      </c>
      <c r="BF166" s="743"/>
      <c r="BG166" s="743" t="e">
        <f t="shared" ref="BG166:BY166" si="148">BG165-BG164</f>
        <v>#DIV/0!</v>
      </c>
      <c r="BH166" s="743">
        <f t="shared" si="148"/>
        <v>-0.16273599999999977</v>
      </c>
      <c r="BI166" s="743">
        <f t="shared" si="148"/>
        <v>-2.3620799999999997</v>
      </c>
      <c r="BJ166" s="743">
        <f t="shared" si="148"/>
        <v>2.9009440000000009</v>
      </c>
      <c r="BK166" s="743"/>
      <c r="BL166" s="743"/>
      <c r="BM166" s="743">
        <f t="shared" si="148"/>
        <v>-1.6920000000000002</v>
      </c>
      <c r="BN166" s="743" t="e">
        <f t="shared" si="148"/>
        <v>#DIV/0!</v>
      </c>
      <c r="BO166" s="743" t="e">
        <f t="shared" si="148"/>
        <v>#DIV/0!</v>
      </c>
      <c r="BP166" s="743" t="e">
        <f t="shared" si="148"/>
        <v>#DIV/0!</v>
      </c>
      <c r="BQ166" s="743">
        <f t="shared" si="148"/>
        <v>2.0544000000000047</v>
      </c>
      <c r="BR166" s="743">
        <f t="shared" si="148"/>
        <v>14.648</v>
      </c>
      <c r="BS166" s="743">
        <f t="shared" si="148"/>
        <v>3.2957866666666664</v>
      </c>
      <c r="BT166" s="743" t="e">
        <f t="shared" ref="BT166:BU166" si="149">BT165-BT164</f>
        <v>#DIV/0!</v>
      </c>
      <c r="BU166" s="743" t="e">
        <f t="shared" si="149"/>
        <v>#DIV/0!</v>
      </c>
      <c r="BV166" s="743">
        <f t="shared" si="148"/>
        <v>-3.122186666666666</v>
      </c>
      <c r="BW166" s="743">
        <f t="shared" si="148"/>
        <v>1.1122399999999999</v>
      </c>
      <c r="BX166" s="743">
        <f t="shared" si="148"/>
        <v>-7.6936799999999996</v>
      </c>
      <c r="BY166" s="743">
        <f t="shared" si="148"/>
        <v>5.8632000000000017</v>
      </c>
      <c r="BZ166" s="743"/>
    </row>
    <row r="188" spans="55:78">
      <c r="BC188" s="742" t="s">
        <v>102</v>
      </c>
    </row>
    <row r="189" spans="55:78">
      <c r="BC189" s="723" t="s">
        <v>420</v>
      </c>
      <c r="BD189" s="723" t="s">
        <v>209</v>
      </c>
      <c r="BE189" s="741">
        <f t="shared" ref="BE189:BY189" si="150">BE4</f>
        <v>40</v>
      </c>
      <c r="BF189" s="741"/>
      <c r="BG189" s="741">
        <f t="shared" si="150"/>
        <v>0</v>
      </c>
      <c r="BH189" s="741">
        <f t="shared" si="150"/>
        <v>60</v>
      </c>
      <c r="BI189" s="741">
        <f t="shared" si="150"/>
        <v>20</v>
      </c>
      <c r="BJ189" s="741">
        <f t="shared" si="150"/>
        <v>10</v>
      </c>
      <c r="BK189" s="741"/>
      <c r="BL189" s="741"/>
      <c r="BM189" s="741">
        <f t="shared" si="150"/>
        <v>10</v>
      </c>
      <c r="BN189" s="741">
        <f t="shared" si="150"/>
        <v>0</v>
      </c>
      <c r="BO189" s="741">
        <f t="shared" si="150"/>
        <v>0</v>
      </c>
      <c r="BP189" s="741">
        <f t="shared" si="150"/>
        <v>0</v>
      </c>
      <c r="BQ189" s="741">
        <f t="shared" si="150"/>
        <v>5</v>
      </c>
      <c r="BR189" s="741">
        <f t="shared" si="150"/>
        <v>5</v>
      </c>
      <c r="BS189" s="741">
        <f t="shared" si="150"/>
        <v>30</v>
      </c>
      <c r="BT189" s="741">
        <f t="shared" ref="BT189:BU189" si="151">BT4</f>
        <v>0</v>
      </c>
      <c r="BU189" s="741">
        <f t="shared" si="151"/>
        <v>0</v>
      </c>
      <c r="BV189" s="741">
        <f t="shared" si="150"/>
        <v>30</v>
      </c>
      <c r="BW189" s="741">
        <f t="shared" si="150"/>
        <v>100</v>
      </c>
      <c r="BX189" s="741">
        <f t="shared" si="150"/>
        <v>20</v>
      </c>
      <c r="BY189" s="741">
        <f t="shared" si="150"/>
        <v>20</v>
      </c>
      <c r="BZ189" s="741"/>
    </row>
    <row r="190" spans="55:78">
      <c r="BC190" s="723" t="s">
        <v>1539</v>
      </c>
      <c r="BD190" s="723" t="s">
        <v>209</v>
      </c>
      <c r="BE190" s="741">
        <f>AE29</f>
        <v>51.470588235294116</v>
      </c>
      <c r="BF190" s="741"/>
      <c r="BG190" s="741">
        <f>AG29</f>
        <v>24.881516587677726</v>
      </c>
      <c r="BH190" s="741">
        <f>AH29</f>
        <v>69.444444444444429</v>
      </c>
      <c r="BI190" s="741">
        <f>AI29</f>
        <v>26.184538653366584</v>
      </c>
      <c r="BJ190" s="741">
        <f>AJ29</f>
        <v>9.9150141643059477</v>
      </c>
      <c r="BK190" s="741"/>
      <c r="BL190" s="741"/>
      <c r="BM190" s="741">
        <f t="shared" ref="BM190:BY190" si="152">AM29</f>
        <v>15.909090909090908</v>
      </c>
      <c r="BN190" s="741">
        <f t="shared" si="152"/>
        <v>15.909090909090908</v>
      </c>
      <c r="BO190" s="741">
        <f t="shared" si="152"/>
        <v>15.909090909090908</v>
      </c>
      <c r="BP190" s="741">
        <f t="shared" si="152"/>
        <v>28.688524590163933</v>
      </c>
      <c r="BQ190" s="741">
        <f t="shared" si="152"/>
        <v>4.5691906005221927</v>
      </c>
      <c r="BR190" s="741">
        <f t="shared" si="152"/>
        <v>6.1403508771929829</v>
      </c>
      <c r="BS190" s="741">
        <f t="shared" si="152"/>
        <v>18.683274021352315</v>
      </c>
      <c r="BT190" s="741">
        <f t="shared" si="152"/>
        <v>16.990291262135919</v>
      </c>
      <c r="BU190" s="741">
        <f t="shared" si="152"/>
        <v>19.662921348314608</v>
      </c>
      <c r="BV190" s="741">
        <f t="shared" si="152"/>
        <v>28.688524590163933</v>
      </c>
      <c r="BW190" s="741">
        <f t="shared" si="152"/>
        <v>59.322033898305079</v>
      </c>
      <c r="BX190" s="741">
        <f t="shared" si="152"/>
        <v>41.666666666666664</v>
      </c>
      <c r="BY190" s="741">
        <f t="shared" si="152"/>
        <v>19.662921348314608</v>
      </c>
      <c r="BZ190" s="741"/>
    </row>
    <row r="191" spans="55:78">
      <c r="BC191" s="213" t="s">
        <v>1149</v>
      </c>
      <c r="BD191" s="723" t="s">
        <v>209</v>
      </c>
      <c r="BE191" s="743">
        <f>BE190-BE189</f>
        <v>11.470588235294116</v>
      </c>
      <c r="BF191" s="743"/>
      <c r="BG191" s="743">
        <f t="shared" ref="BG191:BY191" si="153">BG190-BG189</f>
        <v>24.881516587677726</v>
      </c>
      <c r="BH191" s="743">
        <f t="shared" si="153"/>
        <v>9.4444444444444287</v>
      </c>
      <c r="BI191" s="743">
        <f t="shared" si="153"/>
        <v>6.1845386533665838</v>
      </c>
      <c r="BJ191" s="743">
        <f t="shared" si="153"/>
        <v>-8.498583569405227E-2</v>
      </c>
      <c r="BK191" s="743"/>
      <c r="BL191" s="743"/>
      <c r="BM191" s="743">
        <f t="shared" si="153"/>
        <v>5.9090909090909083</v>
      </c>
      <c r="BN191" s="743">
        <f t="shared" si="153"/>
        <v>15.909090909090908</v>
      </c>
      <c r="BO191" s="743">
        <f t="shared" si="153"/>
        <v>15.909090909090908</v>
      </c>
      <c r="BP191" s="743">
        <f t="shared" si="153"/>
        <v>28.688524590163933</v>
      </c>
      <c r="BQ191" s="743">
        <f t="shared" si="153"/>
        <v>-0.43080939947780728</v>
      </c>
      <c r="BR191" s="743">
        <f t="shared" si="153"/>
        <v>1.1403508771929829</v>
      </c>
      <c r="BS191" s="741">
        <f t="shared" si="153"/>
        <v>-11.316725978647685</v>
      </c>
      <c r="BT191" s="741">
        <f t="shared" ref="BT191:BU191" si="154">BT190-BT189</f>
        <v>16.990291262135919</v>
      </c>
      <c r="BU191" s="741">
        <f t="shared" si="154"/>
        <v>19.662921348314608</v>
      </c>
      <c r="BV191" s="743">
        <f t="shared" si="153"/>
        <v>-1.311475409836067</v>
      </c>
      <c r="BW191" s="741">
        <f t="shared" si="153"/>
        <v>-40.677966101694921</v>
      </c>
      <c r="BX191" s="743">
        <f t="shared" si="153"/>
        <v>21.666666666666664</v>
      </c>
      <c r="BY191" s="743">
        <f t="shared" si="153"/>
        <v>-0.33707865168539186</v>
      </c>
      <c r="BZ191" s="743"/>
    </row>
    <row r="214" spans="55:78">
      <c r="BC214" s="742" t="s">
        <v>1098</v>
      </c>
    </row>
    <row r="215" spans="55:78">
      <c r="BC215" s="723" t="s">
        <v>420</v>
      </c>
      <c r="BD215" s="723" t="s">
        <v>209</v>
      </c>
      <c r="BE215" s="741">
        <f>BE3</f>
        <v>20</v>
      </c>
      <c r="BF215" s="741"/>
      <c r="BG215" s="741">
        <f>BG30</f>
        <v>0</v>
      </c>
      <c r="BH215" s="741">
        <f t="shared" ref="BH215:BY215" si="155">BH3</f>
        <v>20</v>
      </c>
      <c r="BI215" s="741">
        <f t="shared" si="155"/>
        <v>20</v>
      </c>
      <c r="BJ215" s="741">
        <f t="shared" si="155"/>
        <v>20</v>
      </c>
      <c r="BK215" s="741">
        <f t="shared" si="155"/>
        <v>0</v>
      </c>
      <c r="BL215" s="741">
        <f t="shared" si="155"/>
        <v>0</v>
      </c>
      <c r="BM215" s="741">
        <f t="shared" si="155"/>
        <v>20</v>
      </c>
      <c r="BN215" s="741">
        <f t="shared" si="155"/>
        <v>0</v>
      </c>
      <c r="BO215" s="741">
        <f t="shared" si="155"/>
        <v>0</v>
      </c>
      <c r="BP215" s="741">
        <f t="shared" si="155"/>
        <v>0</v>
      </c>
      <c r="BQ215" s="741">
        <f t="shared" si="155"/>
        <v>20</v>
      </c>
      <c r="BR215" s="741">
        <f t="shared" si="155"/>
        <v>20</v>
      </c>
      <c r="BS215" s="741">
        <f t="shared" si="155"/>
        <v>22</v>
      </c>
      <c r="BT215" s="741">
        <f t="shared" ref="BT215:BU215" si="156">BT3</f>
        <v>0</v>
      </c>
      <c r="BU215" s="741">
        <f t="shared" si="156"/>
        <v>0</v>
      </c>
      <c r="BV215" s="741">
        <f t="shared" si="155"/>
        <v>18</v>
      </c>
      <c r="BW215" s="741">
        <f t="shared" si="155"/>
        <v>18</v>
      </c>
      <c r="BX215" s="741">
        <f t="shared" si="155"/>
        <v>18</v>
      </c>
      <c r="BY215" s="741">
        <f t="shared" si="155"/>
        <v>28</v>
      </c>
      <c r="BZ215" s="741"/>
    </row>
    <row r="216" spans="55:78">
      <c r="BC216" s="723" t="s">
        <v>1539</v>
      </c>
      <c r="BD216" s="723" t="s">
        <v>209</v>
      </c>
      <c r="BE216" s="741">
        <f>CD3</f>
        <v>22</v>
      </c>
      <c r="BF216" s="741"/>
      <c r="BG216" s="741">
        <f>AG55</f>
        <v>0</v>
      </c>
      <c r="BH216" s="741">
        <f t="shared" ref="BH216:BS216" si="157">CG3</f>
        <v>22</v>
      </c>
      <c r="BI216" s="741">
        <f t="shared" si="157"/>
        <v>22</v>
      </c>
      <c r="BJ216" s="741">
        <f t="shared" si="157"/>
        <v>22</v>
      </c>
      <c r="BK216" s="741">
        <f t="shared" si="157"/>
        <v>0</v>
      </c>
      <c r="BL216" s="741">
        <f t="shared" si="157"/>
        <v>0</v>
      </c>
      <c r="BM216" s="741">
        <f t="shared" si="157"/>
        <v>22</v>
      </c>
      <c r="BN216" s="741">
        <f t="shared" si="157"/>
        <v>0</v>
      </c>
      <c r="BO216" s="741">
        <f t="shared" si="157"/>
        <v>0</v>
      </c>
      <c r="BP216" s="741">
        <f t="shared" si="157"/>
        <v>0</v>
      </c>
      <c r="BQ216" s="741">
        <f t="shared" si="157"/>
        <v>22</v>
      </c>
      <c r="BR216" s="741">
        <f t="shared" si="157"/>
        <v>22</v>
      </c>
      <c r="BS216" s="741">
        <f t="shared" si="157"/>
        <v>22</v>
      </c>
      <c r="BT216" s="741">
        <f>CU3</f>
        <v>20</v>
      </c>
      <c r="BU216" s="741">
        <f>CV3</f>
        <v>18</v>
      </c>
      <c r="BV216" s="741">
        <f t="shared" ref="BV216:BY216" si="158">CU3</f>
        <v>20</v>
      </c>
      <c r="BW216" s="741">
        <f t="shared" si="158"/>
        <v>18</v>
      </c>
      <c r="BX216" s="741">
        <f t="shared" si="158"/>
        <v>18</v>
      </c>
      <c r="BY216" s="741">
        <f t="shared" si="158"/>
        <v>28</v>
      </c>
      <c r="BZ216" s="741"/>
    </row>
    <row r="217" spans="55:78">
      <c r="BC217" s="213" t="s">
        <v>1149</v>
      </c>
      <c r="BD217" s="723" t="s">
        <v>209</v>
      </c>
      <c r="BE217" s="743">
        <f>BE216-BE215</f>
        <v>2</v>
      </c>
      <c r="BF217" s="743"/>
      <c r="BG217" s="743">
        <f>BG216-BG215</f>
        <v>0</v>
      </c>
      <c r="BH217" s="743">
        <f>BH216-BH215</f>
        <v>2</v>
      </c>
      <c r="BI217" s="743">
        <f>BI216-BI215</f>
        <v>2</v>
      </c>
      <c r="BJ217" s="743">
        <f>BJ216-BJ215</f>
        <v>2</v>
      </c>
      <c r="BK217" s="743"/>
      <c r="BL217" s="743"/>
      <c r="BM217" s="743">
        <f t="shared" ref="BM217:BY217" si="159">BM216-BM215</f>
        <v>2</v>
      </c>
      <c r="BN217" s="743">
        <f t="shared" si="159"/>
        <v>0</v>
      </c>
      <c r="BO217" s="743">
        <f t="shared" si="159"/>
        <v>0</v>
      </c>
      <c r="BP217" s="743">
        <f t="shared" si="159"/>
        <v>0</v>
      </c>
      <c r="BQ217" s="743">
        <f t="shared" si="159"/>
        <v>2</v>
      </c>
      <c r="BR217" s="743">
        <f t="shared" si="159"/>
        <v>2</v>
      </c>
      <c r="BS217" s="741">
        <f t="shared" si="159"/>
        <v>0</v>
      </c>
      <c r="BT217" s="741">
        <f t="shared" ref="BT217:BU217" si="160">BT216-BT215</f>
        <v>20</v>
      </c>
      <c r="BU217" s="741">
        <f t="shared" si="160"/>
        <v>18</v>
      </c>
      <c r="BV217" s="743">
        <f t="shared" si="159"/>
        <v>2</v>
      </c>
      <c r="BW217" s="741">
        <f t="shared" si="159"/>
        <v>0</v>
      </c>
      <c r="BX217" s="743">
        <f t="shared" si="159"/>
        <v>0</v>
      </c>
      <c r="BY217" s="743">
        <f t="shared" si="159"/>
        <v>0</v>
      </c>
      <c r="BZ217" s="743"/>
    </row>
  </sheetData>
  <dataConsolidate/>
  <mergeCells count="2">
    <mergeCell ref="FW2:FX2"/>
    <mergeCell ref="GV2:GW2"/>
  </mergeCells>
  <pageMargins left="0.25" right="0.25" top="0.75" bottom="0.75" header="0.3" footer="0.3"/>
  <pageSetup paperSize="9" scale="10" orientation="portrait" r:id="rId1"/>
  <headerFooter alignWithMargins="0">
    <oddHeader>&amp;CSIA 2024 Raum-Datenblätter</oddHeader>
    <oddFooter>&amp;CSIA 2024, Copyright © 2021 by SIA Zurich</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blFlächeL">
    <tabColor theme="9" tint="0.59999389629810485"/>
    <pageSetUpPr fitToPage="1"/>
  </sheetPr>
  <dimension ref="A1:HS216"/>
  <sheetViews>
    <sheetView showRowColHeaders="0" zoomScaleNormal="100" workbookViewId="0">
      <selection activeCell="Z53" sqref="Z53"/>
    </sheetView>
  </sheetViews>
  <sheetFormatPr baseColWidth="10" defaultColWidth="11.4609375" defaultRowHeight="11.6"/>
  <cols>
    <col min="1" max="1" width="5.69140625" style="723" customWidth="1"/>
    <col min="2" max="2" width="26.23046875" style="723" customWidth="1"/>
    <col min="3" max="3" width="3.4609375" style="723" customWidth="1"/>
    <col min="4" max="25" width="3.765625" style="746" customWidth="1"/>
    <col min="26" max="28" width="5.23046875" style="723" customWidth="1"/>
    <col min="29" max="29" width="35.23046875" style="723" customWidth="1"/>
    <col min="30" max="30" width="8.53515625" style="723" customWidth="1"/>
    <col min="31" max="39" width="5.23046875" style="723" customWidth="1"/>
    <col min="40" max="40" width="5.69140625" style="723" customWidth="1"/>
    <col min="41" max="52" width="5.23046875" style="723" customWidth="1"/>
    <col min="53" max="53" width="11.4609375" style="723"/>
    <col min="54" max="54" width="10.23046875" style="723" customWidth="1"/>
    <col min="55" max="55" width="32.23046875" style="723" customWidth="1"/>
    <col min="56" max="56" width="8.53515625" style="723" customWidth="1"/>
    <col min="57" max="57" width="4.765625" style="723" customWidth="1"/>
    <col min="58" max="59" width="4.765625" style="723" hidden="1" customWidth="1"/>
    <col min="60" max="62" width="4.765625" style="723" customWidth="1"/>
    <col min="63" max="64" width="4.765625" style="723" hidden="1" customWidth="1"/>
    <col min="65" max="65" width="4.765625" style="723" customWidth="1"/>
    <col min="66" max="68" width="4.765625" style="723" hidden="1" customWidth="1"/>
    <col min="69" max="71" width="4.765625" style="723" customWidth="1"/>
    <col min="72" max="73" width="4.765625" style="723" hidden="1" customWidth="1"/>
    <col min="74" max="77" width="4.765625" style="723" customWidth="1"/>
    <col min="78" max="78" width="4.23046875" style="723" hidden="1" customWidth="1"/>
    <col min="79" max="79" width="11.4609375" style="723"/>
    <col min="80" max="80" width="40.53515625" style="723" customWidth="1"/>
    <col min="81" max="81" width="8.53515625" style="723" customWidth="1"/>
    <col min="82" max="82" width="3.765625" style="723" customWidth="1"/>
    <col min="83" max="84" width="3.765625" style="723" hidden="1" customWidth="1"/>
    <col min="85" max="87" width="3.765625" style="723" customWidth="1"/>
    <col min="88" max="89" width="3.765625" style="723" hidden="1" customWidth="1"/>
    <col min="90" max="90" width="3.765625" style="723" customWidth="1"/>
    <col min="91" max="93" width="3.765625" style="723" hidden="1" customWidth="1"/>
    <col min="94" max="96" width="3.765625" style="723" customWidth="1"/>
    <col min="97" max="98" width="3.765625" style="723" hidden="1" customWidth="1"/>
    <col min="99" max="102" width="3.765625" style="723" customWidth="1"/>
    <col min="103" max="103" width="3.53515625" style="723" hidden="1" customWidth="1"/>
    <col min="104" max="105" width="11.4609375" style="723"/>
    <col min="106" max="106" width="23" style="723" customWidth="1"/>
    <col min="107" max="107" width="8.53515625" style="723" customWidth="1"/>
    <col min="108" max="108" width="5" style="723" customWidth="1"/>
    <col min="109" max="111" width="5" style="723" hidden="1" customWidth="1"/>
    <col min="112" max="113" width="5" style="723" customWidth="1"/>
    <col min="114" max="116" width="5" style="723" hidden="1" customWidth="1"/>
    <col min="117" max="118" width="5" style="723" customWidth="1"/>
    <col min="119" max="119" width="5" style="723" hidden="1" customWidth="1"/>
    <col min="120" max="120" width="5" style="723" customWidth="1"/>
    <col min="121" max="127" width="5" style="723" hidden="1" customWidth="1"/>
    <col min="128" max="129" width="11.4609375" style="723"/>
    <col min="130" max="130" width="16.765625" style="723" customWidth="1"/>
    <col min="131" max="131" width="10.53515625" style="723" customWidth="1"/>
    <col min="132" max="132" width="4" style="723" customWidth="1"/>
    <col min="133" max="134" width="4" style="723" hidden="1" customWidth="1"/>
    <col min="135" max="137" width="4" style="723" customWidth="1"/>
    <col min="138" max="139" width="4" style="723" hidden="1" customWidth="1"/>
    <col min="140" max="140" width="4" style="723" customWidth="1"/>
    <col min="141" max="143" width="4" style="723" hidden="1" customWidth="1"/>
    <col min="144" max="146" width="4" style="723" customWidth="1"/>
    <col min="147" max="148" width="4" style="723" hidden="1" customWidth="1"/>
    <col min="149" max="151" width="4" style="723" customWidth="1"/>
    <col min="152" max="152" width="4" style="723" hidden="1" customWidth="1"/>
    <col min="153" max="153" width="11.4609375" style="723"/>
    <col min="154" max="154" width="20.23046875" style="723" customWidth="1"/>
    <col min="155" max="155" width="9" style="723" customWidth="1"/>
    <col min="156" max="156" width="4.23046875" style="723" customWidth="1"/>
    <col min="157" max="158" width="4.23046875" style="723" hidden="1" customWidth="1"/>
    <col min="159" max="161" width="4.23046875" style="723" customWidth="1"/>
    <col min="162" max="163" width="4.23046875" style="723" hidden="1" customWidth="1"/>
    <col min="164" max="164" width="4.23046875" style="723" customWidth="1"/>
    <col min="165" max="167" width="4.23046875" style="723" hidden="1" customWidth="1"/>
    <col min="168" max="170" width="4.23046875" style="723" customWidth="1"/>
    <col min="171" max="172" width="4.23046875" style="723" hidden="1" customWidth="1"/>
    <col min="173" max="175" width="4.23046875" style="723" customWidth="1"/>
    <col min="176" max="177" width="4.23046875" style="723" hidden="1" customWidth="1"/>
    <col min="178" max="178" width="4.23046875" style="723" customWidth="1"/>
    <col min="179" max="179" width="23" style="723" customWidth="1"/>
    <col min="180" max="180" width="8.765625" style="723" customWidth="1"/>
    <col min="181" max="181" width="4.765625" style="723" hidden="1" customWidth="1"/>
    <col min="182" max="185" width="4.765625" style="723" customWidth="1"/>
    <col min="186" max="186" width="4.765625" style="723" hidden="1" customWidth="1"/>
    <col min="187" max="188" width="4.765625" style="723" customWidth="1"/>
    <col min="189" max="189" width="4.765625" style="723" hidden="1" customWidth="1"/>
    <col min="190" max="190" width="5.23046875" style="723" customWidth="1"/>
    <col min="191" max="191" width="4.765625" style="723" customWidth="1"/>
    <col min="192" max="192" width="4.765625" style="723" hidden="1" customWidth="1"/>
    <col min="193" max="194" width="4.765625" style="723" customWidth="1"/>
    <col min="195" max="195" width="4.765625" style="723" hidden="1" customWidth="1"/>
    <col min="196" max="202" width="4.765625" style="723" customWidth="1"/>
    <col min="203" max="203" width="11.4609375" style="723"/>
    <col min="204" max="204" width="26.23046875" style="723" customWidth="1"/>
    <col min="205" max="205" width="9.69140625" style="723" customWidth="1"/>
    <col min="206" max="206" width="4.765625" style="723" hidden="1" customWidth="1"/>
    <col min="207" max="210" width="4.765625" style="723" customWidth="1"/>
    <col min="211" max="211" width="4.765625" style="723" hidden="1" customWidth="1"/>
    <col min="212" max="213" width="4.765625" style="723" customWidth="1"/>
    <col min="214" max="214" width="4.765625" style="723" hidden="1" customWidth="1"/>
    <col min="215" max="216" width="4.765625" style="723" customWidth="1"/>
    <col min="217" max="217" width="4.765625" style="723" hidden="1" customWidth="1"/>
    <col min="218" max="219" width="4.765625" style="723" customWidth="1"/>
    <col min="220" max="220" width="4.765625" style="723" hidden="1" customWidth="1"/>
    <col min="221" max="227" width="4.765625" style="723" customWidth="1"/>
    <col min="228" max="16384" width="11.4609375" style="723"/>
  </cols>
  <sheetData>
    <row r="1" spans="1:227">
      <c r="D1" s="724" t="s">
        <v>379</v>
      </c>
      <c r="E1" s="724" t="s">
        <v>1107</v>
      </c>
      <c r="F1" s="724" t="s">
        <v>1140</v>
      </c>
      <c r="G1" s="724" t="s">
        <v>380</v>
      </c>
      <c r="H1" s="724" t="s">
        <v>381</v>
      </c>
      <c r="I1" s="724" t="s">
        <v>382</v>
      </c>
      <c r="J1" s="724" t="s">
        <v>1138</v>
      </c>
      <c r="K1" s="724" t="s">
        <v>1139</v>
      </c>
      <c r="L1" s="724" t="s">
        <v>383</v>
      </c>
      <c r="M1" s="724" t="s">
        <v>1108</v>
      </c>
      <c r="N1" s="724" t="s">
        <v>1109</v>
      </c>
      <c r="O1" s="724" t="s">
        <v>1110</v>
      </c>
      <c r="P1" s="724" t="s">
        <v>384</v>
      </c>
      <c r="Q1" s="724" t="s">
        <v>385</v>
      </c>
      <c r="R1" s="724" t="s">
        <v>386</v>
      </c>
      <c r="S1" s="724" t="s">
        <v>1155</v>
      </c>
      <c r="T1" s="724" t="s">
        <v>1156</v>
      </c>
      <c r="U1" s="724" t="s">
        <v>387</v>
      </c>
      <c r="V1" s="724" t="s">
        <v>139</v>
      </c>
      <c r="W1" s="724" t="s">
        <v>388</v>
      </c>
      <c r="X1" s="724" t="s">
        <v>389</v>
      </c>
      <c r="Y1" s="724" t="s">
        <v>1111</v>
      </c>
      <c r="AA1" s="768"/>
      <c r="AC1" s="795" t="s">
        <v>1124</v>
      </c>
      <c r="AD1" s="796">
        <v>0.8</v>
      </c>
      <c r="AE1" s="725" t="str">
        <f t="shared" ref="AE1:AT2" si="0">D1</f>
        <v>I</v>
      </c>
      <c r="AF1" s="725" t="str">
        <f t="shared" si="0"/>
        <v>I.1</v>
      </c>
      <c r="AG1" s="724" t="str">
        <f t="shared" si="0"/>
        <v>I.2</v>
      </c>
      <c r="AH1" s="724" t="str">
        <f t="shared" si="0"/>
        <v>II</v>
      </c>
      <c r="AI1" s="724" t="str">
        <f t="shared" si="0"/>
        <v>III</v>
      </c>
      <c r="AJ1" s="724" t="str">
        <f t="shared" si="0"/>
        <v>IV</v>
      </c>
      <c r="AK1" s="724" t="str">
        <f t="shared" si="0"/>
        <v>IV.1</v>
      </c>
      <c r="AL1" s="724" t="str">
        <f t="shared" si="0"/>
        <v>IV.2</v>
      </c>
      <c r="AM1" s="724" t="str">
        <f t="shared" si="0"/>
        <v>V</v>
      </c>
      <c r="AN1" s="724" t="str">
        <f t="shared" si="0"/>
        <v>V.1</v>
      </c>
      <c r="AO1" s="724" t="str">
        <f t="shared" si="0"/>
        <v>V.2</v>
      </c>
      <c r="AP1" s="724" t="str">
        <f t="shared" si="0"/>
        <v>V.3</v>
      </c>
      <c r="AQ1" s="724" t="str">
        <f t="shared" si="0"/>
        <v>VI</v>
      </c>
      <c r="AR1" s="724" t="str">
        <f t="shared" si="0"/>
        <v>VII</v>
      </c>
      <c r="AS1" s="724" t="str">
        <f t="shared" si="0"/>
        <v>VIII</v>
      </c>
      <c r="AT1" s="724" t="str">
        <f t="shared" si="0"/>
        <v>VIII.1</v>
      </c>
      <c r="AU1" s="724" t="str">
        <f t="shared" ref="AO1:AZ2" si="1">T1</f>
        <v>VIII.2</v>
      </c>
      <c r="AV1" s="724" t="str">
        <f t="shared" si="1"/>
        <v>IX</v>
      </c>
      <c r="AW1" s="724" t="str">
        <f t="shared" si="1"/>
        <v>X</v>
      </c>
      <c r="AX1" s="724" t="str">
        <f t="shared" si="1"/>
        <v>XI</v>
      </c>
      <c r="AY1" s="724" t="str">
        <f t="shared" si="1"/>
        <v>XII</v>
      </c>
      <c r="AZ1" s="724" t="str">
        <f t="shared" si="1"/>
        <v>XIII</v>
      </c>
      <c r="BC1" s="726" t="s">
        <v>1125</v>
      </c>
      <c r="BD1" s="727"/>
      <c r="BE1" s="724" t="str">
        <f t="shared" ref="BE1:BT2" si="2">D1</f>
        <v>I</v>
      </c>
      <c r="BF1" s="724" t="str">
        <f t="shared" si="2"/>
        <v>I.1</v>
      </c>
      <c r="BG1" s="724" t="str">
        <f t="shared" si="2"/>
        <v>I.2</v>
      </c>
      <c r="BH1" s="724" t="str">
        <f t="shared" si="2"/>
        <v>II</v>
      </c>
      <c r="BI1" s="724" t="str">
        <f t="shared" si="2"/>
        <v>III</v>
      </c>
      <c r="BJ1" s="724" t="str">
        <f t="shared" si="2"/>
        <v>IV</v>
      </c>
      <c r="BK1" s="724" t="str">
        <f t="shared" si="2"/>
        <v>IV.1</v>
      </c>
      <c r="BL1" s="724" t="str">
        <f t="shared" si="2"/>
        <v>IV.2</v>
      </c>
      <c r="BM1" s="724" t="str">
        <f t="shared" si="2"/>
        <v>V</v>
      </c>
      <c r="BN1" s="724" t="str">
        <f t="shared" si="2"/>
        <v>V.1</v>
      </c>
      <c r="BO1" s="724" t="str">
        <f t="shared" si="2"/>
        <v>V.2</v>
      </c>
      <c r="BP1" s="724" t="str">
        <f t="shared" si="2"/>
        <v>V.3</v>
      </c>
      <c r="BQ1" s="724" t="str">
        <f t="shared" si="2"/>
        <v>VI</v>
      </c>
      <c r="BR1" s="724" t="str">
        <f t="shared" si="2"/>
        <v>VII</v>
      </c>
      <c r="BS1" s="724" t="str">
        <f t="shared" si="2"/>
        <v>VIII</v>
      </c>
      <c r="BT1" s="724" t="str">
        <f t="shared" si="2"/>
        <v>VIII.1</v>
      </c>
      <c r="BU1" s="724" t="str">
        <f t="shared" ref="BO1:BZ2" si="3">T1</f>
        <v>VIII.2</v>
      </c>
      <c r="BV1" s="724" t="str">
        <f t="shared" si="3"/>
        <v>IX</v>
      </c>
      <c r="BW1" s="724" t="str">
        <f t="shared" si="3"/>
        <v>X</v>
      </c>
      <c r="BX1" s="724" t="str">
        <f t="shared" si="3"/>
        <v>XI</v>
      </c>
      <c r="BY1" s="724" t="str">
        <f t="shared" si="3"/>
        <v>XII</v>
      </c>
      <c r="BZ1" s="724" t="str">
        <f t="shared" si="3"/>
        <v>XIII</v>
      </c>
      <c r="CB1" s="757" t="s">
        <v>1126</v>
      </c>
      <c r="CC1" s="727"/>
      <c r="CD1" s="724" t="str">
        <f t="shared" ref="CD1:CS2" si="4">D1</f>
        <v>I</v>
      </c>
      <c r="CE1" s="724" t="str">
        <f t="shared" si="4"/>
        <v>I.1</v>
      </c>
      <c r="CF1" s="724" t="str">
        <f t="shared" si="4"/>
        <v>I.2</v>
      </c>
      <c r="CG1" s="724" t="str">
        <f t="shared" si="4"/>
        <v>II</v>
      </c>
      <c r="CH1" s="724" t="str">
        <f t="shared" si="4"/>
        <v>III</v>
      </c>
      <c r="CI1" s="724" t="str">
        <f t="shared" si="4"/>
        <v>IV</v>
      </c>
      <c r="CJ1" s="724" t="str">
        <f t="shared" si="4"/>
        <v>IV.1</v>
      </c>
      <c r="CK1" s="724" t="str">
        <f t="shared" si="4"/>
        <v>IV.2</v>
      </c>
      <c r="CL1" s="724" t="str">
        <f t="shared" si="4"/>
        <v>V</v>
      </c>
      <c r="CM1" s="724" t="str">
        <f t="shared" si="4"/>
        <v>V.1</v>
      </c>
      <c r="CN1" s="724" t="str">
        <f t="shared" si="4"/>
        <v>V.2</v>
      </c>
      <c r="CO1" s="724" t="str">
        <f t="shared" si="4"/>
        <v>V.3</v>
      </c>
      <c r="CP1" s="724" t="str">
        <f t="shared" si="4"/>
        <v>VI</v>
      </c>
      <c r="CQ1" s="724" t="str">
        <f t="shared" si="4"/>
        <v>VII</v>
      </c>
      <c r="CR1" s="724" t="str">
        <f t="shared" si="4"/>
        <v>VIII</v>
      </c>
      <c r="CS1" s="724" t="str">
        <f t="shared" si="4"/>
        <v>VIII.1</v>
      </c>
      <c r="CT1" s="724" t="str">
        <f t="shared" ref="CN1:CY2" si="5">T1</f>
        <v>VIII.2</v>
      </c>
      <c r="CU1" s="724" t="str">
        <f t="shared" si="5"/>
        <v>IX</v>
      </c>
      <c r="CV1" s="724" t="str">
        <f t="shared" si="5"/>
        <v>X</v>
      </c>
      <c r="CW1" s="724" t="str">
        <f t="shared" si="5"/>
        <v>XI</v>
      </c>
      <c r="CX1" s="724" t="str">
        <f t="shared" si="5"/>
        <v>XII</v>
      </c>
      <c r="CY1" s="724" t="str">
        <f t="shared" si="5"/>
        <v>XIII</v>
      </c>
      <c r="DB1" s="726" t="s">
        <v>1096</v>
      </c>
      <c r="DC1" s="727"/>
      <c r="DD1" s="725" t="str">
        <f t="shared" ref="DD1:DR2" si="6">D1</f>
        <v>I</v>
      </c>
      <c r="DE1" s="725" t="str">
        <f t="shared" si="6"/>
        <v>I.1</v>
      </c>
      <c r="DF1" s="724" t="str">
        <f t="shared" si="6"/>
        <v>I.2</v>
      </c>
      <c r="DG1" s="724" t="str">
        <f t="shared" si="6"/>
        <v>II</v>
      </c>
      <c r="DH1" s="724" t="str">
        <f t="shared" si="6"/>
        <v>III</v>
      </c>
      <c r="DI1" s="724" t="str">
        <f t="shared" si="6"/>
        <v>IV</v>
      </c>
      <c r="DJ1" s="724" t="str">
        <f t="shared" si="6"/>
        <v>IV.1</v>
      </c>
      <c r="DK1" s="724" t="str">
        <f t="shared" si="6"/>
        <v>IV.2</v>
      </c>
      <c r="DL1" s="724" t="str">
        <f t="shared" si="6"/>
        <v>V</v>
      </c>
      <c r="DM1" s="724" t="str">
        <f t="shared" si="6"/>
        <v>V.1</v>
      </c>
      <c r="DN1" s="724" t="str">
        <f t="shared" si="6"/>
        <v>V.2</v>
      </c>
      <c r="DO1" s="724" t="str">
        <f t="shared" si="6"/>
        <v>V.3</v>
      </c>
      <c r="DP1" s="724" t="str">
        <f t="shared" si="6"/>
        <v>VI</v>
      </c>
      <c r="DQ1" s="724" t="str">
        <f t="shared" si="6"/>
        <v>VII</v>
      </c>
      <c r="DR1" s="724" t="str">
        <f t="shared" si="6"/>
        <v>VIII</v>
      </c>
      <c r="DS1" s="724" t="str">
        <f t="shared" ref="DS1:DW2" si="7">U1</f>
        <v>IX</v>
      </c>
      <c r="DT1" s="724" t="str">
        <f t="shared" si="7"/>
        <v>X</v>
      </c>
      <c r="DU1" s="724" t="str">
        <f t="shared" si="7"/>
        <v>XI</v>
      </c>
      <c r="DV1" s="724" t="str">
        <f t="shared" si="7"/>
        <v>XII</v>
      </c>
      <c r="DW1" s="724" t="str">
        <f t="shared" si="7"/>
        <v>XIII</v>
      </c>
      <c r="DZ1" s="726" t="s">
        <v>1294</v>
      </c>
      <c r="EA1" s="798"/>
      <c r="EB1" s="724" t="str">
        <f>$D1</f>
        <v>I</v>
      </c>
      <c r="EC1" s="724" t="str">
        <f t="shared" ref="EC1:ER2" si="8">E1</f>
        <v>I.1</v>
      </c>
      <c r="ED1" s="724" t="str">
        <f t="shared" si="8"/>
        <v>I.2</v>
      </c>
      <c r="EE1" s="724" t="str">
        <f t="shared" si="8"/>
        <v>II</v>
      </c>
      <c r="EF1" s="724" t="str">
        <f t="shared" si="8"/>
        <v>III</v>
      </c>
      <c r="EG1" s="724" t="str">
        <f t="shared" si="8"/>
        <v>IV</v>
      </c>
      <c r="EH1" s="724" t="str">
        <f t="shared" si="8"/>
        <v>IV.1</v>
      </c>
      <c r="EI1" s="724" t="str">
        <f t="shared" si="8"/>
        <v>IV.2</v>
      </c>
      <c r="EJ1" s="724" t="str">
        <f t="shared" si="8"/>
        <v>V</v>
      </c>
      <c r="EK1" s="724" t="str">
        <f t="shared" si="8"/>
        <v>V.1</v>
      </c>
      <c r="EL1" s="724" t="str">
        <f t="shared" si="8"/>
        <v>V.2</v>
      </c>
      <c r="EM1" s="724" t="str">
        <f t="shared" si="8"/>
        <v>V.3</v>
      </c>
      <c r="EN1" s="724" t="str">
        <f t="shared" si="8"/>
        <v>VI</v>
      </c>
      <c r="EO1" s="724" t="str">
        <f t="shared" si="8"/>
        <v>VII</v>
      </c>
      <c r="EP1" s="724" t="str">
        <f t="shared" si="8"/>
        <v>VIII</v>
      </c>
      <c r="EQ1" s="724" t="str">
        <f t="shared" si="8"/>
        <v>VIII.1</v>
      </c>
      <c r="ER1" s="724" t="str">
        <f t="shared" si="8"/>
        <v>VIII.2</v>
      </c>
      <c r="ES1" s="724" t="str">
        <f t="shared" ref="EM1:EV2" si="9">U1</f>
        <v>IX</v>
      </c>
      <c r="ET1" s="724" t="str">
        <f t="shared" si="9"/>
        <v>X</v>
      </c>
      <c r="EU1" s="724" t="str">
        <f t="shared" si="9"/>
        <v>XI</v>
      </c>
      <c r="EV1" s="725" t="str">
        <f t="shared" si="9"/>
        <v>XII</v>
      </c>
      <c r="EX1" s="726" t="s">
        <v>1295</v>
      </c>
      <c r="EY1" s="798"/>
      <c r="EZ1" s="724" t="str">
        <f t="shared" ref="EZ1:FO2" si="10">D1</f>
        <v>I</v>
      </c>
      <c r="FA1" s="724" t="str">
        <f t="shared" si="10"/>
        <v>I.1</v>
      </c>
      <c r="FB1" s="724" t="str">
        <f t="shared" si="10"/>
        <v>I.2</v>
      </c>
      <c r="FC1" s="724" t="str">
        <f t="shared" si="10"/>
        <v>II</v>
      </c>
      <c r="FD1" s="724" t="str">
        <f t="shared" si="10"/>
        <v>III</v>
      </c>
      <c r="FE1" s="724" t="str">
        <f t="shared" si="10"/>
        <v>IV</v>
      </c>
      <c r="FF1" s="724" t="str">
        <f t="shared" si="10"/>
        <v>IV.1</v>
      </c>
      <c r="FG1" s="724" t="str">
        <f t="shared" si="10"/>
        <v>IV.2</v>
      </c>
      <c r="FH1" s="724" t="str">
        <f t="shared" si="10"/>
        <v>V</v>
      </c>
      <c r="FI1" s="724" t="str">
        <f t="shared" si="10"/>
        <v>V.1</v>
      </c>
      <c r="FJ1" s="724" t="str">
        <f t="shared" si="10"/>
        <v>V.2</v>
      </c>
      <c r="FK1" s="724" t="str">
        <f t="shared" si="10"/>
        <v>V.3</v>
      </c>
      <c r="FL1" s="724" t="str">
        <f t="shared" si="10"/>
        <v>VI</v>
      </c>
      <c r="FM1" s="724" t="str">
        <f t="shared" si="10"/>
        <v>VII</v>
      </c>
      <c r="FN1" s="724" t="str">
        <f t="shared" si="10"/>
        <v>VIII</v>
      </c>
      <c r="FO1" s="724" t="str">
        <f t="shared" si="10"/>
        <v>VIII.1</v>
      </c>
      <c r="FP1" s="724" t="str">
        <f t="shared" ref="FJ1:FU2" si="11">T1</f>
        <v>VIII.2</v>
      </c>
      <c r="FQ1" s="724" t="str">
        <f t="shared" si="11"/>
        <v>IX</v>
      </c>
      <c r="FR1" s="724" t="str">
        <f t="shared" si="11"/>
        <v>X</v>
      </c>
      <c r="FS1" s="724" t="str">
        <f t="shared" si="11"/>
        <v>XI</v>
      </c>
      <c r="FT1" s="724" t="str">
        <f t="shared" si="11"/>
        <v>XII</v>
      </c>
      <c r="FU1" s="803" t="str">
        <f t="shared" si="11"/>
        <v>XIII</v>
      </c>
      <c r="FV1" s="746"/>
      <c r="FW1" s="726" t="s">
        <v>1300</v>
      </c>
      <c r="FX1" s="798"/>
      <c r="FY1" s="724" t="str">
        <f>D1</f>
        <v>I</v>
      </c>
      <c r="FZ1" s="724" t="str">
        <f t="shared" ref="FZ1:GO2" si="12">E1</f>
        <v>I.1</v>
      </c>
      <c r="GA1" s="724" t="str">
        <f t="shared" si="12"/>
        <v>I.2</v>
      </c>
      <c r="GB1" s="724" t="str">
        <f t="shared" si="12"/>
        <v>II</v>
      </c>
      <c r="GC1" s="724" t="str">
        <f t="shared" si="12"/>
        <v>III</v>
      </c>
      <c r="GD1" s="724" t="str">
        <f t="shared" si="12"/>
        <v>IV</v>
      </c>
      <c r="GE1" s="724" t="str">
        <f t="shared" si="12"/>
        <v>IV.1</v>
      </c>
      <c r="GF1" s="724" t="str">
        <f t="shared" si="12"/>
        <v>IV.2</v>
      </c>
      <c r="GG1" s="724" t="str">
        <f t="shared" si="12"/>
        <v>V</v>
      </c>
      <c r="GH1" s="724" t="str">
        <f t="shared" si="12"/>
        <v>V.1</v>
      </c>
      <c r="GI1" s="724" t="str">
        <f t="shared" si="12"/>
        <v>V.2</v>
      </c>
      <c r="GJ1" s="724" t="str">
        <f t="shared" si="12"/>
        <v>V.3</v>
      </c>
      <c r="GK1" s="724" t="str">
        <f t="shared" si="12"/>
        <v>VI</v>
      </c>
      <c r="GL1" s="724" t="str">
        <f t="shared" si="12"/>
        <v>VII</v>
      </c>
      <c r="GM1" s="724" t="str">
        <f t="shared" si="12"/>
        <v>VIII</v>
      </c>
      <c r="GN1" s="724" t="str">
        <f t="shared" si="12"/>
        <v>VIII.1</v>
      </c>
      <c r="GO1" s="724" t="str">
        <f t="shared" si="12"/>
        <v>VIII.2</v>
      </c>
      <c r="GP1" s="724" t="str">
        <f t="shared" ref="GN1:GT2" si="13">U1</f>
        <v>IX</v>
      </c>
      <c r="GQ1" s="724" t="str">
        <f t="shared" si="13"/>
        <v>X</v>
      </c>
      <c r="GR1" s="724" t="str">
        <f t="shared" si="13"/>
        <v>XI</v>
      </c>
      <c r="GS1" s="724" t="str">
        <f t="shared" si="13"/>
        <v>XII</v>
      </c>
      <c r="GT1" s="724" t="str">
        <f t="shared" si="13"/>
        <v>XIII</v>
      </c>
      <c r="GV1" s="726" t="s">
        <v>1296</v>
      </c>
      <c r="GW1" s="798"/>
      <c r="GX1" s="724" t="str">
        <f>D1</f>
        <v>I</v>
      </c>
      <c r="GY1" s="724" t="str">
        <f t="shared" ref="GY1:HS2" si="14">E1</f>
        <v>I.1</v>
      </c>
      <c r="GZ1" s="724" t="str">
        <f t="shared" si="14"/>
        <v>I.2</v>
      </c>
      <c r="HA1" s="724" t="str">
        <f t="shared" si="14"/>
        <v>II</v>
      </c>
      <c r="HB1" s="724" t="str">
        <f t="shared" si="14"/>
        <v>III</v>
      </c>
      <c r="HC1" s="724" t="str">
        <f t="shared" si="14"/>
        <v>IV</v>
      </c>
      <c r="HD1" s="724" t="str">
        <f t="shared" si="14"/>
        <v>IV.1</v>
      </c>
      <c r="HE1" s="724" t="str">
        <f t="shared" si="14"/>
        <v>IV.2</v>
      </c>
      <c r="HF1" s="724" t="str">
        <f t="shared" si="14"/>
        <v>V</v>
      </c>
      <c r="HG1" s="724" t="str">
        <f t="shared" si="14"/>
        <v>V.1</v>
      </c>
      <c r="HH1" s="724" t="str">
        <f t="shared" si="14"/>
        <v>V.2</v>
      </c>
      <c r="HI1" s="724" t="str">
        <f t="shared" si="14"/>
        <v>V.3</v>
      </c>
      <c r="HJ1" s="724" t="str">
        <f t="shared" si="14"/>
        <v>VI</v>
      </c>
      <c r="HK1" s="724" t="str">
        <f t="shared" si="14"/>
        <v>VII</v>
      </c>
      <c r="HL1" s="724" t="str">
        <f t="shared" si="14"/>
        <v>VIII</v>
      </c>
      <c r="HM1" s="724" t="str">
        <f t="shared" si="14"/>
        <v>VIII.1</v>
      </c>
      <c r="HN1" s="724" t="str">
        <f t="shared" si="14"/>
        <v>VIII.2</v>
      </c>
      <c r="HO1" s="724" t="str">
        <f t="shared" si="14"/>
        <v>IX</v>
      </c>
      <c r="HP1" s="724" t="str">
        <f t="shared" si="14"/>
        <v>X</v>
      </c>
      <c r="HQ1" s="724" t="str">
        <f t="shared" si="14"/>
        <v>XI</v>
      </c>
      <c r="HR1" s="724" t="str">
        <f t="shared" si="14"/>
        <v>XII</v>
      </c>
      <c r="HS1" s="724" t="str">
        <f t="shared" si="14"/>
        <v>XIII</v>
      </c>
    </row>
    <row r="2" spans="1:227" ht="121.5" customHeight="1">
      <c r="A2" s="728"/>
      <c r="B2" s="729" t="s">
        <v>462</v>
      </c>
      <c r="C2" s="730"/>
      <c r="D2" s="731" t="s">
        <v>572</v>
      </c>
      <c r="E2" s="731" t="s">
        <v>214</v>
      </c>
      <c r="F2" s="731" t="s">
        <v>125</v>
      </c>
      <c r="G2" s="731" t="s">
        <v>573</v>
      </c>
      <c r="H2" s="731" t="s">
        <v>126</v>
      </c>
      <c r="I2" s="731" t="s">
        <v>128</v>
      </c>
      <c r="J2" s="731" t="s">
        <v>1137</v>
      </c>
      <c r="K2" s="731" t="s">
        <v>1136</v>
      </c>
      <c r="L2" s="731" t="s">
        <v>61</v>
      </c>
      <c r="M2" s="731" t="s">
        <v>1141</v>
      </c>
      <c r="N2" s="731" t="s">
        <v>434</v>
      </c>
      <c r="O2" s="731" t="s">
        <v>433</v>
      </c>
      <c r="P2" s="731" t="s">
        <v>83</v>
      </c>
      <c r="Q2" s="731" t="s">
        <v>1103</v>
      </c>
      <c r="R2" s="731" t="s">
        <v>130</v>
      </c>
      <c r="S2" s="731" t="s">
        <v>130</v>
      </c>
      <c r="T2" s="731" t="s">
        <v>1157</v>
      </c>
      <c r="U2" s="731" t="s">
        <v>131</v>
      </c>
      <c r="V2" s="731" t="s">
        <v>216</v>
      </c>
      <c r="W2" s="731" t="s">
        <v>1104</v>
      </c>
      <c r="X2" s="731" t="s">
        <v>1105</v>
      </c>
      <c r="Y2" s="731" t="s">
        <v>1112</v>
      </c>
      <c r="AA2" s="731" t="s">
        <v>1123</v>
      </c>
      <c r="AC2" s="732"/>
      <c r="AD2" s="733"/>
      <c r="AE2" s="734" t="str">
        <f t="shared" si="0"/>
        <v>Wohnen MFH</v>
      </c>
      <c r="AF2" s="734" t="str">
        <f t="shared" si="0"/>
        <v>MFH</v>
      </c>
      <c r="AG2" s="731" t="str">
        <f t="shared" si="0"/>
        <v>Hotel</v>
      </c>
      <c r="AH2" s="731" t="str">
        <f t="shared" si="0"/>
        <v>Wohnen EFH</v>
      </c>
      <c r="AI2" s="731" t="str">
        <f t="shared" si="0"/>
        <v>Büro</v>
      </c>
      <c r="AJ2" s="731" t="str">
        <f t="shared" si="0"/>
        <v>Schule</v>
      </c>
      <c r="AK2" s="731" t="str">
        <f t="shared" si="0"/>
        <v>Volksschule</v>
      </c>
      <c r="AL2" s="731" t="str">
        <f t="shared" si="0"/>
        <v>Hochschule</v>
      </c>
      <c r="AM2" s="731" t="str">
        <f t="shared" si="0"/>
        <v>Verkauf</v>
      </c>
      <c r="AN2" s="731" t="str">
        <f t="shared" si="0"/>
        <v>Lebensmittelgeschäft</v>
      </c>
      <c r="AO2" s="731" t="str">
        <f t="shared" si="1"/>
        <v>Fachgeschäft</v>
      </c>
      <c r="AP2" s="731" t="str">
        <f t="shared" si="1"/>
        <v>Verkauf Möbel, Bau, Garten</v>
      </c>
      <c r="AQ2" s="731" t="str">
        <f t="shared" si="1"/>
        <v>Restaurant</v>
      </c>
      <c r="AR2" s="731" t="str">
        <f t="shared" si="1"/>
        <v>Versammlungslokal</v>
      </c>
      <c r="AS2" s="731" t="str">
        <f t="shared" si="1"/>
        <v>Spital</v>
      </c>
      <c r="AT2" s="731" t="str">
        <f t="shared" si="1"/>
        <v>Spital</v>
      </c>
      <c r="AU2" s="731" t="str">
        <f t="shared" si="1"/>
        <v>Pflege</v>
      </c>
      <c r="AV2" s="731" t="str">
        <f t="shared" si="1"/>
        <v>Industrie</v>
      </c>
      <c r="AW2" s="731" t="str">
        <f t="shared" si="1"/>
        <v>Lager</v>
      </c>
      <c r="AX2" s="731" t="str">
        <f t="shared" si="1"/>
        <v>Sportbaute</v>
      </c>
      <c r="AY2" s="731" t="str">
        <f t="shared" si="1"/>
        <v>Hallenbad</v>
      </c>
      <c r="AZ2" s="731" t="str">
        <f t="shared" si="1"/>
        <v>Parking</v>
      </c>
      <c r="BC2" s="735"/>
      <c r="BD2" s="733"/>
      <c r="BE2" s="731" t="str">
        <f t="shared" si="2"/>
        <v>Wohnen MFH</v>
      </c>
      <c r="BF2" s="731" t="str">
        <f t="shared" si="2"/>
        <v>MFH</v>
      </c>
      <c r="BG2" s="731" t="str">
        <f t="shared" si="2"/>
        <v>Hotel</v>
      </c>
      <c r="BH2" s="731" t="str">
        <f t="shared" si="2"/>
        <v>Wohnen EFH</v>
      </c>
      <c r="BI2" s="731" t="str">
        <f t="shared" si="2"/>
        <v>Büro</v>
      </c>
      <c r="BJ2" s="731" t="str">
        <f t="shared" si="2"/>
        <v>Schule</v>
      </c>
      <c r="BK2" s="731" t="str">
        <f t="shared" si="2"/>
        <v>Volksschule</v>
      </c>
      <c r="BL2" s="731" t="str">
        <f t="shared" si="2"/>
        <v>Hochschule</v>
      </c>
      <c r="BM2" s="731" t="str">
        <f t="shared" si="2"/>
        <v>Verkauf</v>
      </c>
      <c r="BN2" s="731" t="str">
        <f t="shared" si="2"/>
        <v>Lebensmittelgeschäft</v>
      </c>
      <c r="BO2" s="731" t="str">
        <f t="shared" si="3"/>
        <v>Fachgeschäft</v>
      </c>
      <c r="BP2" s="731" t="str">
        <f t="shared" si="3"/>
        <v>Verkauf Möbel, Bau, Garten</v>
      </c>
      <c r="BQ2" s="731" t="str">
        <f t="shared" si="3"/>
        <v>Restaurant</v>
      </c>
      <c r="BR2" s="731" t="str">
        <f t="shared" si="3"/>
        <v>Versammlungslokal</v>
      </c>
      <c r="BS2" s="731" t="str">
        <f t="shared" si="3"/>
        <v>Spital</v>
      </c>
      <c r="BT2" s="731" t="str">
        <f t="shared" si="3"/>
        <v>Spital</v>
      </c>
      <c r="BU2" s="731" t="str">
        <f t="shared" si="3"/>
        <v>Pflege</v>
      </c>
      <c r="BV2" s="731" t="str">
        <f t="shared" si="3"/>
        <v>Industrie</v>
      </c>
      <c r="BW2" s="731" t="str">
        <f t="shared" si="3"/>
        <v>Lager</v>
      </c>
      <c r="BX2" s="731" t="str">
        <f t="shared" si="3"/>
        <v>Sportbaute</v>
      </c>
      <c r="BY2" s="731" t="str">
        <f t="shared" si="3"/>
        <v>Hallenbad</v>
      </c>
      <c r="BZ2" s="731" t="str">
        <f t="shared" si="3"/>
        <v>Parking</v>
      </c>
      <c r="CB2" s="763" t="s">
        <v>1130</v>
      </c>
      <c r="CC2" s="733"/>
      <c r="CD2" s="731" t="str">
        <f t="shared" si="4"/>
        <v>Wohnen MFH</v>
      </c>
      <c r="CE2" s="731" t="str">
        <f t="shared" si="4"/>
        <v>MFH</v>
      </c>
      <c r="CF2" s="731" t="str">
        <f t="shared" si="4"/>
        <v>Hotel</v>
      </c>
      <c r="CG2" s="731" t="str">
        <f t="shared" si="4"/>
        <v>Wohnen EFH</v>
      </c>
      <c r="CH2" s="1114" t="str">
        <f t="shared" si="4"/>
        <v>Büro</v>
      </c>
      <c r="CI2" s="731" t="str">
        <f t="shared" si="4"/>
        <v>Schule</v>
      </c>
      <c r="CJ2" s="731" t="str">
        <f t="shared" si="4"/>
        <v>Volksschule</v>
      </c>
      <c r="CK2" s="731" t="str">
        <f t="shared" si="4"/>
        <v>Hochschule</v>
      </c>
      <c r="CL2" s="731" t="str">
        <f t="shared" si="4"/>
        <v>Verkauf</v>
      </c>
      <c r="CM2" s="731" t="str">
        <f t="shared" si="4"/>
        <v>Lebensmittelgeschäft</v>
      </c>
      <c r="CN2" s="731" t="str">
        <f t="shared" si="5"/>
        <v>Fachgeschäft</v>
      </c>
      <c r="CO2" s="731" t="str">
        <f t="shared" si="5"/>
        <v>Verkauf Möbel, Bau, Garten</v>
      </c>
      <c r="CP2" s="731" t="str">
        <f t="shared" si="5"/>
        <v>Restaurant</v>
      </c>
      <c r="CQ2" s="731" t="str">
        <f t="shared" si="5"/>
        <v>Versammlungslokal</v>
      </c>
      <c r="CR2" s="731" t="str">
        <f t="shared" si="5"/>
        <v>Spital</v>
      </c>
      <c r="CS2" s="731" t="str">
        <f t="shared" si="5"/>
        <v>Spital</v>
      </c>
      <c r="CT2" s="731" t="str">
        <f t="shared" si="5"/>
        <v>Pflege</v>
      </c>
      <c r="CU2" s="731" t="str">
        <f t="shared" si="5"/>
        <v>Industrie</v>
      </c>
      <c r="CV2" s="731" t="str">
        <f t="shared" si="5"/>
        <v>Lager</v>
      </c>
      <c r="CW2" s="731" t="str">
        <f t="shared" si="5"/>
        <v>Sportbaute</v>
      </c>
      <c r="CX2" s="731" t="str">
        <f t="shared" si="5"/>
        <v>Hallenbad</v>
      </c>
      <c r="CY2" s="731" t="str">
        <f t="shared" si="5"/>
        <v>Parking</v>
      </c>
      <c r="DB2" s="736"/>
      <c r="DC2" s="733"/>
      <c r="DD2" s="734" t="s">
        <v>104</v>
      </c>
      <c r="DE2" s="734" t="str">
        <f t="shared" si="6"/>
        <v>MFH</v>
      </c>
      <c r="DF2" s="731" t="str">
        <f t="shared" si="6"/>
        <v>Hotel</v>
      </c>
      <c r="DG2" s="731" t="str">
        <f t="shared" si="6"/>
        <v>Wohnen EFH</v>
      </c>
      <c r="DH2" s="731" t="str">
        <f t="shared" si="6"/>
        <v>Büro</v>
      </c>
      <c r="DI2" s="731" t="str">
        <f t="shared" si="6"/>
        <v>Schule</v>
      </c>
      <c r="DJ2" s="731" t="str">
        <f t="shared" si="6"/>
        <v>Volksschule</v>
      </c>
      <c r="DK2" s="731" t="str">
        <f t="shared" si="6"/>
        <v>Hochschule</v>
      </c>
      <c r="DL2" s="731" t="str">
        <f t="shared" si="6"/>
        <v>Verkauf</v>
      </c>
      <c r="DM2" s="731" t="str">
        <f t="shared" si="6"/>
        <v>Lebensmittelgeschäft</v>
      </c>
      <c r="DN2" s="731" t="str">
        <f t="shared" si="6"/>
        <v>Fachgeschäft</v>
      </c>
      <c r="DO2" s="731" t="str">
        <f t="shared" si="6"/>
        <v>Verkauf Möbel, Bau, Garten</v>
      </c>
      <c r="DP2" s="731" t="str">
        <f t="shared" si="6"/>
        <v>Restaurant</v>
      </c>
      <c r="DQ2" s="731" t="str">
        <f t="shared" si="6"/>
        <v>Versammlungslokal</v>
      </c>
      <c r="DR2" s="731" t="str">
        <f t="shared" si="6"/>
        <v>Spital</v>
      </c>
      <c r="DS2" s="731" t="str">
        <f t="shared" si="7"/>
        <v>Industrie</v>
      </c>
      <c r="DT2" s="731" t="str">
        <f t="shared" si="7"/>
        <v>Lager</v>
      </c>
      <c r="DU2" s="731" t="str">
        <f t="shared" si="7"/>
        <v>Sportbaute</v>
      </c>
      <c r="DV2" s="731" t="str">
        <f t="shared" si="7"/>
        <v>Hallenbad</v>
      </c>
      <c r="DW2" s="731" t="str">
        <f t="shared" si="7"/>
        <v>Parking</v>
      </c>
      <c r="DZ2" s="814" t="s">
        <v>1148</v>
      </c>
      <c r="EA2" s="799"/>
      <c r="EB2" s="731" t="str">
        <f>$D2</f>
        <v>Wohnen MFH</v>
      </c>
      <c r="EC2" s="731" t="str">
        <f t="shared" si="8"/>
        <v>MFH</v>
      </c>
      <c r="ED2" s="731" t="str">
        <f t="shared" si="8"/>
        <v>Hotel</v>
      </c>
      <c r="EE2" s="731" t="str">
        <f t="shared" si="8"/>
        <v>Wohnen EFH</v>
      </c>
      <c r="EF2" s="731" t="str">
        <f t="shared" si="8"/>
        <v>Büro</v>
      </c>
      <c r="EG2" s="731" t="str">
        <f t="shared" si="8"/>
        <v>Schule</v>
      </c>
      <c r="EH2" s="731" t="str">
        <f t="shared" si="8"/>
        <v>Volksschule</v>
      </c>
      <c r="EI2" s="731" t="str">
        <f t="shared" si="8"/>
        <v>Hochschule</v>
      </c>
      <c r="EJ2" s="731" t="str">
        <f t="shared" si="8"/>
        <v>Verkauf</v>
      </c>
      <c r="EK2" s="731" t="str">
        <f t="shared" si="8"/>
        <v>Lebensmittelgeschäft</v>
      </c>
      <c r="EL2" s="731" t="str">
        <f t="shared" si="8"/>
        <v>Fachgeschäft</v>
      </c>
      <c r="EM2" s="731" t="str">
        <f t="shared" si="9"/>
        <v>Verkauf Möbel, Bau, Garten</v>
      </c>
      <c r="EN2" s="731" t="str">
        <f t="shared" si="9"/>
        <v>Restaurant</v>
      </c>
      <c r="EO2" s="731" t="str">
        <f t="shared" si="9"/>
        <v>Versammlungslokal</v>
      </c>
      <c r="EP2" s="731" t="str">
        <f t="shared" si="9"/>
        <v>Spital</v>
      </c>
      <c r="EQ2" s="731" t="str">
        <f t="shared" si="9"/>
        <v>Spital</v>
      </c>
      <c r="ER2" s="731" t="str">
        <f t="shared" si="9"/>
        <v>Pflege</v>
      </c>
      <c r="ES2" s="731" t="str">
        <f t="shared" si="9"/>
        <v>Industrie</v>
      </c>
      <c r="ET2" s="731" t="str">
        <f t="shared" si="9"/>
        <v>Lager</v>
      </c>
      <c r="EU2" s="731" t="str">
        <f t="shared" si="9"/>
        <v>Sportbaute</v>
      </c>
      <c r="EV2" s="734" t="str">
        <f t="shared" si="9"/>
        <v>Hallenbad</v>
      </c>
      <c r="EX2" s="814" t="s">
        <v>1204</v>
      </c>
      <c r="EY2" s="799"/>
      <c r="EZ2" s="731" t="str">
        <f t="shared" si="10"/>
        <v>Wohnen MFH</v>
      </c>
      <c r="FA2" s="731" t="str">
        <f t="shared" si="10"/>
        <v>MFH</v>
      </c>
      <c r="FB2" s="731" t="str">
        <f t="shared" si="10"/>
        <v>Hotel</v>
      </c>
      <c r="FC2" s="731" t="str">
        <f t="shared" si="10"/>
        <v>Wohnen EFH</v>
      </c>
      <c r="FD2" s="731" t="str">
        <f t="shared" si="10"/>
        <v>Büro</v>
      </c>
      <c r="FE2" s="731" t="str">
        <f t="shared" si="10"/>
        <v>Schule</v>
      </c>
      <c r="FF2" s="731" t="str">
        <f t="shared" si="10"/>
        <v>Volksschule</v>
      </c>
      <c r="FG2" s="731" t="str">
        <f t="shared" si="10"/>
        <v>Hochschule</v>
      </c>
      <c r="FH2" s="731" t="str">
        <f t="shared" si="10"/>
        <v>Verkauf</v>
      </c>
      <c r="FI2" s="731" t="str">
        <f t="shared" si="10"/>
        <v>Lebensmittelgeschäft</v>
      </c>
      <c r="FJ2" s="731" t="str">
        <f t="shared" si="11"/>
        <v>Fachgeschäft</v>
      </c>
      <c r="FK2" s="731" t="str">
        <f t="shared" si="11"/>
        <v>Verkauf Möbel, Bau, Garten</v>
      </c>
      <c r="FL2" s="731" t="str">
        <f t="shared" si="11"/>
        <v>Restaurant</v>
      </c>
      <c r="FM2" s="731" t="str">
        <f t="shared" si="11"/>
        <v>Versammlungslokal</v>
      </c>
      <c r="FN2" s="731" t="str">
        <f t="shared" si="11"/>
        <v>Spital</v>
      </c>
      <c r="FO2" s="731" t="str">
        <f t="shared" si="11"/>
        <v>Spital</v>
      </c>
      <c r="FP2" s="731" t="str">
        <f t="shared" si="11"/>
        <v>Pflege</v>
      </c>
      <c r="FQ2" s="731" t="str">
        <f t="shared" si="11"/>
        <v>Industrie</v>
      </c>
      <c r="FR2" s="731" t="str">
        <f t="shared" si="11"/>
        <v>Lager</v>
      </c>
      <c r="FS2" s="731" t="str">
        <f t="shared" si="11"/>
        <v>Sportbaute</v>
      </c>
      <c r="FT2" s="731" t="str">
        <f t="shared" si="11"/>
        <v>Hallenbad</v>
      </c>
      <c r="FU2" s="804" t="str">
        <f t="shared" si="11"/>
        <v>Parking</v>
      </c>
      <c r="FV2" s="805"/>
      <c r="FW2" s="1989" t="s">
        <v>1194</v>
      </c>
      <c r="FX2" s="1990"/>
      <c r="FY2" s="731" t="str">
        <f>D2</f>
        <v>Wohnen MFH</v>
      </c>
      <c r="FZ2" s="731" t="str">
        <f t="shared" si="12"/>
        <v>MFH</v>
      </c>
      <c r="GA2" s="731" t="str">
        <f t="shared" si="12"/>
        <v>Hotel</v>
      </c>
      <c r="GB2" s="731" t="str">
        <f t="shared" si="12"/>
        <v>Wohnen EFH</v>
      </c>
      <c r="GC2" s="731" t="str">
        <f t="shared" si="12"/>
        <v>Büro</v>
      </c>
      <c r="GD2" s="731" t="str">
        <f t="shared" si="12"/>
        <v>Schule</v>
      </c>
      <c r="GE2" s="731" t="str">
        <f t="shared" si="12"/>
        <v>Volksschule</v>
      </c>
      <c r="GF2" s="731" t="str">
        <f t="shared" si="12"/>
        <v>Hochschule</v>
      </c>
      <c r="GG2" s="731" t="str">
        <f t="shared" si="12"/>
        <v>Verkauf</v>
      </c>
      <c r="GH2" s="731" t="str">
        <f t="shared" si="12"/>
        <v>Lebensmittelgeschäft</v>
      </c>
      <c r="GI2" s="731" t="str">
        <f t="shared" si="12"/>
        <v>Fachgeschäft</v>
      </c>
      <c r="GJ2" s="731" t="str">
        <f t="shared" si="12"/>
        <v>Verkauf Möbel, Bau, Garten</v>
      </c>
      <c r="GK2" s="731" t="str">
        <f t="shared" si="12"/>
        <v>Restaurant</v>
      </c>
      <c r="GL2" s="731" t="str">
        <f t="shared" si="12"/>
        <v>Versammlungslokal</v>
      </c>
      <c r="GM2" s="731" t="str">
        <f t="shared" si="12"/>
        <v>Spital</v>
      </c>
      <c r="GN2" s="731" t="str">
        <f t="shared" si="13"/>
        <v>Spital</v>
      </c>
      <c r="GO2" s="731" t="str">
        <f t="shared" si="13"/>
        <v>Pflege</v>
      </c>
      <c r="GP2" s="731" t="str">
        <f t="shared" si="13"/>
        <v>Industrie</v>
      </c>
      <c r="GQ2" s="731" t="str">
        <f t="shared" si="13"/>
        <v>Lager</v>
      </c>
      <c r="GR2" s="731" t="str">
        <f t="shared" si="13"/>
        <v>Sportbaute</v>
      </c>
      <c r="GS2" s="731" t="str">
        <f t="shared" si="13"/>
        <v>Hallenbad</v>
      </c>
      <c r="GT2" s="731" t="str">
        <f t="shared" si="13"/>
        <v>Parking</v>
      </c>
      <c r="GV2" s="1989" t="s">
        <v>1194</v>
      </c>
      <c r="GW2" s="1990"/>
      <c r="GX2" s="731" t="str">
        <f>D2</f>
        <v>Wohnen MFH</v>
      </c>
      <c r="GY2" s="731" t="str">
        <f t="shared" si="14"/>
        <v>MFH</v>
      </c>
      <c r="GZ2" s="731" t="str">
        <f t="shared" si="14"/>
        <v>Hotel</v>
      </c>
      <c r="HA2" s="731" t="str">
        <f t="shared" si="14"/>
        <v>Wohnen EFH</v>
      </c>
      <c r="HB2" s="731" t="str">
        <f t="shared" si="14"/>
        <v>Büro</v>
      </c>
      <c r="HC2" s="731" t="str">
        <f t="shared" si="14"/>
        <v>Schule</v>
      </c>
      <c r="HD2" s="731" t="str">
        <f t="shared" si="14"/>
        <v>Volksschule</v>
      </c>
      <c r="HE2" s="731" t="str">
        <f t="shared" si="14"/>
        <v>Hochschule</v>
      </c>
      <c r="HF2" s="731" t="str">
        <f t="shared" si="14"/>
        <v>Verkauf</v>
      </c>
      <c r="HG2" s="731" t="str">
        <f t="shared" si="14"/>
        <v>Lebensmittelgeschäft</v>
      </c>
      <c r="HH2" s="731" t="str">
        <f t="shared" si="14"/>
        <v>Fachgeschäft</v>
      </c>
      <c r="HI2" s="731" t="str">
        <f t="shared" si="14"/>
        <v>Verkauf Möbel, Bau, Garten</v>
      </c>
      <c r="HJ2" s="731" t="str">
        <f t="shared" si="14"/>
        <v>Restaurant</v>
      </c>
      <c r="HK2" s="731" t="str">
        <f t="shared" si="14"/>
        <v>Versammlungslokal</v>
      </c>
      <c r="HL2" s="731" t="str">
        <f t="shared" si="14"/>
        <v>Spital</v>
      </c>
      <c r="HM2" s="731" t="str">
        <f t="shared" si="14"/>
        <v>Spital</v>
      </c>
      <c r="HN2" s="731" t="str">
        <f t="shared" si="14"/>
        <v>Pflege</v>
      </c>
      <c r="HO2" s="731" t="str">
        <f t="shared" si="14"/>
        <v>Industrie</v>
      </c>
      <c r="HP2" s="731" t="str">
        <f t="shared" si="14"/>
        <v>Lager</v>
      </c>
      <c r="HQ2" s="731" t="str">
        <f t="shared" si="14"/>
        <v>Sportbaute</v>
      </c>
      <c r="HR2" s="731" t="str">
        <f t="shared" si="14"/>
        <v>Hallenbad</v>
      </c>
      <c r="HS2" s="731" t="str">
        <f t="shared" si="14"/>
        <v>Parking</v>
      </c>
    </row>
    <row r="3" spans="1:227" s="754" customFormat="1" ht="15.75" customHeight="1">
      <c r="A3" s="749">
        <f>Eingabedaten!A9</f>
        <v>1.01</v>
      </c>
      <c r="B3" s="750" t="str">
        <f>Eingabedaten!C9</f>
        <v>Wohnen MFH</v>
      </c>
      <c r="C3" s="751" t="s">
        <v>5</v>
      </c>
      <c r="D3" s="752">
        <v>85</v>
      </c>
      <c r="E3" s="752">
        <v>85</v>
      </c>
      <c r="F3" s="753"/>
      <c r="G3" s="753"/>
      <c r="H3" s="753"/>
      <c r="I3" s="753"/>
      <c r="J3" s="753"/>
      <c r="K3" s="753"/>
      <c r="L3" s="753"/>
      <c r="M3" s="753"/>
      <c r="N3" s="753"/>
      <c r="O3" s="753"/>
      <c r="P3" s="753"/>
      <c r="Q3" s="753"/>
      <c r="R3" s="753"/>
      <c r="S3" s="753"/>
      <c r="T3" s="753"/>
      <c r="U3" s="753"/>
      <c r="V3" s="753"/>
      <c r="W3" s="753"/>
      <c r="X3" s="753"/>
      <c r="Y3" s="753"/>
      <c r="AA3" s="769">
        <f>1/Eingabedaten!AP9</f>
        <v>2.8571428571428571E-2</v>
      </c>
      <c r="AC3" s="772" t="s">
        <v>51</v>
      </c>
      <c r="AD3" s="778" t="s">
        <v>24</v>
      </c>
      <c r="AE3" s="1051">
        <f>SUMPRODUCT(KZ_Raum_2024!$AC$7:$AC$51,'Fläche-L'!D$3:D$47)/100*$AD$1</f>
        <v>6.8000000000000007</v>
      </c>
      <c r="AF3" s="1051">
        <f>SUMPRODUCT(KZ_Raum_2024!$AC$7:$AC$51,'Fläche-L'!E$3:E$47)/100*$AD$1</f>
        <v>6.8000000000000007</v>
      </c>
      <c r="AG3" s="1051">
        <f>SUMPRODUCT(KZ_Raum_2024!$AC$7:$AC$51,'Fläche-L'!F$3:F$47)/100*$AD$1</f>
        <v>6.32</v>
      </c>
      <c r="AH3" s="1051">
        <f>SUMPRODUCT(KZ_Raum_2024!$AC$7:$AC$51,'Fläche-L'!G$3:G$47)/100*$AD$1</f>
        <v>7.2</v>
      </c>
      <c r="AI3" s="1051">
        <f>SUMPRODUCT(KZ_Raum_2024!$AC$7:$AC$51,'Fläche-L'!H$3:H$47)/100*$AD$1</f>
        <v>6.4400000000000013</v>
      </c>
      <c r="AJ3" s="1051">
        <f>SUMPRODUCT(KZ_Raum_2024!$AC$7:$AC$51,'Fläche-L'!I$3:I$47)/100*$AD$1</f>
        <v>3.6720000000000002</v>
      </c>
      <c r="AK3" s="1051">
        <f>SUMPRODUCT(KZ_Raum_2024!$AC$7:$AC$51,'Fläche-L'!J$3:J$47)/100*$AD$1</f>
        <v>3.6720000000000002</v>
      </c>
      <c r="AL3" s="1051">
        <f>SUMPRODUCT(KZ_Raum_2024!$AC$7:$AC$51,'Fläche-L'!K$3:K$47)/100*$AD$1</f>
        <v>5.08</v>
      </c>
      <c r="AM3" s="1051">
        <f>SUMPRODUCT(KZ_Raum_2024!$AC$7:$AC$51,'Fläche-L'!L$3:L$47)/100*$AD$1</f>
        <v>1.4000000000000001</v>
      </c>
      <c r="AN3" s="1051">
        <f>SUMPRODUCT(KZ_Raum_2024!$AC$7:$AC$51,'Fläche-L'!M$3:M$47)/100*$AD$1</f>
        <v>1.4000000000000001</v>
      </c>
      <c r="AO3" s="1051">
        <f>SUMPRODUCT(KZ_Raum_2024!$AC$7:$AC$51,'Fläche-L'!N$3:N$47)/100*$AD$1</f>
        <v>1.4000000000000001</v>
      </c>
      <c r="AP3" s="1051">
        <f>SUMPRODUCT(KZ_Raum_2024!$AC$7:$AC$51,'Fläche-L'!O$3:O$47)/100*$AD$1</f>
        <v>1.4000000000000001</v>
      </c>
      <c r="AQ3" s="1051">
        <f>SUMPRODUCT(KZ_Raum_2024!$AC$7:$AC$51,'Fläche-L'!P$3:P$47)/100*$AD$1</f>
        <v>2.04</v>
      </c>
      <c r="AR3" s="1051">
        <f>SUMPRODUCT(KZ_Raum_2024!$AC$7:$AC$51,'Fläche-L'!Q$3:Q$47)/100*$AD$1</f>
        <v>2.52</v>
      </c>
      <c r="AS3" s="1051">
        <f>SUMPRODUCT(KZ_Raum_2024!$AC$7:$AC$51,'Fläche-L'!R$3:R$47)/100*$AD$1</f>
        <v>3.9600000000000004</v>
      </c>
      <c r="AT3" s="1051">
        <f>SUMPRODUCT(KZ_Raum_2024!$AC$7:$AC$51,'Fläche-L'!S$3:S$47)/100*$AD$1</f>
        <v>4.32</v>
      </c>
      <c r="AU3" s="1051">
        <f>SUMPRODUCT(KZ_Raum_2024!$AC$7:$AC$51,'Fläche-L'!T$3:T$47)/100*$AD$1</f>
        <v>3.84</v>
      </c>
      <c r="AV3" s="1051">
        <f>SUMPRODUCT(KZ_Raum_2024!$AC$7:$AC$51,'Fläche-L'!U$3:U$47)/100*$AD$1</f>
        <v>2.84</v>
      </c>
      <c r="AW3" s="1051">
        <f>SUMPRODUCT(KZ_Raum_2024!$AC$7:$AC$51,'Fläche-L'!V$3:V$47)/100*$AD$1</f>
        <v>1.56</v>
      </c>
      <c r="AX3" s="1051">
        <f>SUMPRODUCT(KZ_Raum_2024!$AC$7:$AC$51,'Fläche-L'!W$3:W$47)/100*$AD$1</f>
        <v>0.48</v>
      </c>
      <c r="AY3" s="1051">
        <f>SUMPRODUCT(KZ_Raum_2024!$AC$7:$AC$51,'Fläche-L'!X$3:X$47)/100*$AD$1</f>
        <v>1.8800000000000001</v>
      </c>
      <c r="AZ3" s="1052">
        <f>SUMPRODUCT(KZ_Raum_2024!$AC$7:$AC$51,'Fläche-L'!Y$3:Y$47)/100*$AD$1</f>
        <v>0.72000000000000008</v>
      </c>
      <c r="BC3" s="755" t="s">
        <v>1098</v>
      </c>
      <c r="BD3" s="756" t="s">
        <v>3</v>
      </c>
      <c r="BE3" s="751">
        <v>20</v>
      </c>
      <c r="BF3" s="751"/>
      <c r="BG3" s="751"/>
      <c r="BH3" s="751">
        <v>20</v>
      </c>
      <c r="BI3" s="751">
        <v>20</v>
      </c>
      <c r="BJ3" s="751">
        <v>20</v>
      </c>
      <c r="BK3" s="751"/>
      <c r="BL3" s="751"/>
      <c r="BM3" s="751">
        <v>20</v>
      </c>
      <c r="BN3" s="751"/>
      <c r="BO3" s="751"/>
      <c r="BP3" s="751"/>
      <c r="BQ3" s="751">
        <v>20</v>
      </c>
      <c r="BR3" s="751">
        <v>20</v>
      </c>
      <c r="BS3" s="751">
        <v>22</v>
      </c>
      <c r="BT3" s="751"/>
      <c r="BU3" s="751"/>
      <c r="BV3" s="751">
        <v>18</v>
      </c>
      <c r="BW3" s="751">
        <v>18</v>
      </c>
      <c r="BX3" s="751">
        <v>18</v>
      </c>
      <c r="BY3" s="751">
        <v>28</v>
      </c>
      <c r="BZ3" s="751"/>
      <c r="CB3" s="755" t="s">
        <v>1098</v>
      </c>
      <c r="CC3" s="756" t="s">
        <v>3</v>
      </c>
      <c r="CD3" s="759">
        <v>22</v>
      </c>
      <c r="CE3" s="759"/>
      <c r="CF3" s="759"/>
      <c r="CG3" s="759">
        <v>22</v>
      </c>
      <c r="CH3" s="759">
        <v>22</v>
      </c>
      <c r="CI3" s="759">
        <v>22</v>
      </c>
      <c r="CJ3" s="759"/>
      <c r="CK3" s="759"/>
      <c r="CL3" s="759">
        <v>22</v>
      </c>
      <c r="CM3" s="759"/>
      <c r="CN3" s="759"/>
      <c r="CO3" s="759"/>
      <c r="CP3" s="759">
        <v>22</v>
      </c>
      <c r="CQ3" s="759">
        <v>22</v>
      </c>
      <c r="CR3" s="751">
        <v>22</v>
      </c>
      <c r="CS3" s="751">
        <v>22</v>
      </c>
      <c r="CT3" s="751">
        <v>22</v>
      </c>
      <c r="CU3" s="759">
        <v>20</v>
      </c>
      <c r="CV3" s="751">
        <v>18</v>
      </c>
      <c r="CW3" s="751">
        <v>18</v>
      </c>
      <c r="CX3" s="751">
        <v>28</v>
      </c>
      <c r="CY3" s="751"/>
      <c r="DB3" s="755" t="s">
        <v>51</v>
      </c>
      <c r="DC3" s="756" t="s">
        <v>134</v>
      </c>
      <c r="DD3" s="751">
        <v>12</v>
      </c>
      <c r="DE3" s="751"/>
      <c r="DF3" s="751"/>
      <c r="DG3" s="751"/>
      <c r="DH3" s="751">
        <v>18</v>
      </c>
      <c r="DI3" s="751">
        <v>4</v>
      </c>
      <c r="DJ3" s="751"/>
      <c r="DK3" s="751"/>
      <c r="DL3" s="751"/>
      <c r="DM3" s="751">
        <v>217</v>
      </c>
      <c r="DN3" s="751">
        <v>5</v>
      </c>
      <c r="DO3" s="751"/>
      <c r="DP3" s="751">
        <v>49</v>
      </c>
      <c r="DQ3" s="750"/>
      <c r="DR3" s="750"/>
      <c r="DS3" s="750"/>
      <c r="DT3" s="750"/>
      <c r="DU3" s="750"/>
      <c r="DV3" s="750"/>
      <c r="DW3" s="750"/>
      <c r="DZ3" s="773" t="s">
        <v>1144</v>
      </c>
      <c r="EA3" s="754" t="s">
        <v>134</v>
      </c>
      <c r="EB3" s="806">
        <v>14</v>
      </c>
      <c r="EC3" s="806"/>
      <c r="ED3" s="806"/>
      <c r="EE3" s="806">
        <v>21</v>
      </c>
      <c r="EF3" s="806">
        <v>33</v>
      </c>
      <c r="EG3" s="806">
        <v>28</v>
      </c>
      <c r="EH3" s="806"/>
      <c r="EI3" s="806"/>
      <c r="EJ3" s="806">
        <v>33</v>
      </c>
      <c r="EK3" s="806"/>
      <c r="EL3" s="806"/>
      <c r="EM3" s="806"/>
      <c r="EN3" s="806">
        <v>45</v>
      </c>
      <c r="EO3" s="806">
        <v>26</v>
      </c>
      <c r="EP3" s="806">
        <v>42</v>
      </c>
      <c r="EQ3" s="806"/>
      <c r="ER3" s="806"/>
      <c r="ES3" s="806">
        <v>13</v>
      </c>
      <c r="ET3" s="806">
        <v>19</v>
      </c>
      <c r="EU3" s="806">
        <v>25</v>
      </c>
      <c r="EX3" s="773" t="s">
        <v>1144</v>
      </c>
      <c r="EY3" s="754" t="s">
        <v>134</v>
      </c>
      <c r="EZ3" s="806">
        <f t="shared" ref="EZ3:FO9" si="15">EB3/2</f>
        <v>7</v>
      </c>
      <c r="FA3" s="806">
        <f t="shared" si="15"/>
        <v>0</v>
      </c>
      <c r="FB3" s="806">
        <f t="shared" si="15"/>
        <v>0</v>
      </c>
      <c r="FC3" s="806">
        <f t="shared" si="15"/>
        <v>10.5</v>
      </c>
      <c r="FD3" s="806">
        <f t="shared" si="15"/>
        <v>16.5</v>
      </c>
      <c r="FE3" s="806">
        <f t="shared" si="15"/>
        <v>14</v>
      </c>
      <c r="FF3" s="806">
        <f t="shared" si="15"/>
        <v>0</v>
      </c>
      <c r="FG3" s="806">
        <f t="shared" si="15"/>
        <v>0</v>
      </c>
      <c r="FH3" s="806">
        <f t="shared" si="15"/>
        <v>16.5</v>
      </c>
      <c r="FI3" s="806">
        <f t="shared" si="15"/>
        <v>0</v>
      </c>
      <c r="FJ3" s="806">
        <f t="shared" si="15"/>
        <v>0</v>
      </c>
      <c r="FK3" s="806">
        <f t="shared" si="15"/>
        <v>0</v>
      </c>
      <c r="FL3" s="806">
        <f t="shared" si="15"/>
        <v>22.5</v>
      </c>
      <c r="FM3" s="806">
        <f t="shared" si="15"/>
        <v>13</v>
      </c>
      <c r="FN3" s="806">
        <f t="shared" si="15"/>
        <v>21</v>
      </c>
      <c r="FO3" s="806">
        <f t="shared" si="15"/>
        <v>0</v>
      </c>
      <c r="FP3" s="806">
        <f t="shared" ref="FK3:FU9" si="16">ER3/2</f>
        <v>0</v>
      </c>
      <c r="FQ3" s="806">
        <f t="shared" si="16"/>
        <v>6.5</v>
      </c>
      <c r="FR3" s="806">
        <f t="shared" si="16"/>
        <v>9.5</v>
      </c>
      <c r="FS3" s="806">
        <f t="shared" si="16"/>
        <v>12.5</v>
      </c>
      <c r="FT3" s="774">
        <f t="shared" si="16"/>
        <v>0</v>
      </c>
      <c r="FU3" s="754">
        <f t="shared" si="16"/>
        <v>0</v>
      </c>
      <c r="FW3" s="773" t="s">
        <v>21</v>
      </c>
      <c r="FX3" s="754" t="s">
        <v>134</v>
      </c>
      <c r="FY3" s="770">
        <f t="shared" ref="FY3:GT3" si="17">AE7/4</f>
        <v>3.0889605000000007</v>
      </c>
      <c r="FZ3" s="808">
        <f t="shared" si="17"/>
        <v>3.0889605000000007</v>
      </c>
      <c r="GA3" s="808">
        <f t="shared" si="17"/>
        <v>3.2305119575163403</v>
      </c>
      <c r="GB3" s="770">
        <f t="shared" si="17"/>
        <v>3.628101705882353</v>
      </c>
      <c r="GC3" s="770">
        <f t="shared" si="17"/>
        <v>3.5189400784313736</v>
      </c>
      <c r="GD3" s="770">
        <f t="shared" si="17"/>
        <v>3.6909324560224093</v>
      </c>
      <c r="GE3" s="808">
        <f t="shared" si="17"/>
        <v>3.6909324560224093</v>
      </c>
      <c r="GF3" s="808">
        <f t="shared" si="17"/>
        <v>3.4127238860877691</v>
      </c>
      <c r="GG3" s="808">
        <f t="shared" si="17"/>
        <v>2.4036238039215689</v>
      </c>
      <c r="GH3" s="770">
        <f t="shared" si="17"/>
        <v>2.3656318039215694</v>
      </c>
      <c r="GI3" s="770">
        <f t="shared" si="17"/>
        <v>2.4036238039215689</v>
      </c>
      <c r="GJ3" s="770">
        <f t="shared" si="17"/>
        <v>2.4036238039215689</v>
      </c>
      <c r="GK3" s="770">
        <f t="shared" si="17"/>
        <v>3.1675355882352947</v>
      </c>
      <c r="GL3" s="770">
        <f t="shared" si="17"/>
        <v>3.6406235882352949</v>
      </c>
      <c r="GM3" s="770">
        <f t="shared" si="17"/>
        <v>3.547596326797386</v>
      </c>
      <c r="GN3" s="770">
        <f t="shared" si="17"/>
        <v>3.5837761437908506</v>
      </c>
      <c r="GO3" s="770">
        <f t="shared" si="17"/>
        <v>3.48469383006536</v>
      </c>
      <c r="GP3" s="770">
        <f t="shared" si="17"/>
        <v>3.8621061568627462</v>
      </c>
      <c r="GQ3" s="770">
        <f t="shared" si="17"/>
        <v>3.6556588235294125</v>
      </c>
      <c r="GR3" s="770">
        <f t="shared" si="17"/>
        <v>3.3900434117647062</v>
      </c>
      <c r="GS3" s="770">
        <f t="shared" si="17"/>
        <v>4.0616859803921583</v>
      </c>
      <c r="GT3" s="770">
        <f t="shared" si="17"/>
        <v>0.29874676470588235</v>
      </c>
      <c r="GV3" s="773" t="s">
        <v>21</v>
      </c>
      <c r="GW3" s="754" t="s">
        <v>134</v>
      </c>
      <c r="GX3" s="724"/>
      <c r="GY3" s="724"/>
      <c r="GZ3" s="724"/>
      <c r="HA3" s="724"/>
      <c r="HB3" s="724"/>
      <c r="HC3" s="724"/>
      <c r="HD3" s="724"/>
      <c r="HE3" s="724"/>
      <c r="HF3" s="724"/>
      <c r="HG3" s="724"/>
      <c r="HH3" s="724"/>
      <c r="HI3" s="724"/>
      <c r="HJ3" s="724"/>
      <c r="HK3" s="724"/>
      <c r="HL3" s="724"/>
      <c r="HM3" s="724"/>
      <c r="HN3" s="724"/>
      <c r="HO3" s="724"/>
      <c r="HP3" s="724"/>
      <c r="HQ3" s="724"/>
      <c r="HR3" s="724"/>
      <c r="HS3" s="724"/>
    </row>
    <row r="4" spans="1:227" s="754" customFormat="1" ht="15.75" customHeight="1">
      <c r="A4" s="749">
        <f>Eingabedaten!A10</f>
        <v>1.02</v>
      </c>
      <c r="B4" s="750" t="str">
        <f>Eingabedaten!C10</f>
        <v>Wohnen EFH</v>
      </c>
      <c r="C4" s="751" t="s">
        <v>5</v>
      </c>
      <c r="D4" s="753"/>
      <c r="E4" s="753"/>
      <c r="F4" s="753"/>
      <c r="G4" s="752">
        <v>90</v>
      </c>
      <c r="H4" s="753"/>
      <c r="I4" s="753"/>
      <c r="J4" s="753"/>
      <c r="K4" s="753"/>
      <c r="L4" s="753"/>
      <c r="M4" s="753"/>
      <c r="N4" s="753"/>
      <c r="O4" s="753"/>
      <c r="P4" s="753"/>
      <c r="Q4" s="753"/>
      <c r="R4" s="753"/>
      <c r="S4" s="753"/>
      <c r="T4" s="753"/>
      <c r="U4" s="753"/>
      <c r="V4" s="753"/>
      <c r="W4" s="753"/>
      <c r="X4" s="753"/>
      <c r="Y4" s="753"/>
      <c r="AA4" s="769">
        <f>1/Eingabedaten!AP10</f>
        <v>0.02</v>
      </c>
      <c r="AC4" s="773" t="s">
        <v>17</v>
      </c>
      <c r="AD4" s="774" t="s">
        <v>24</v>
      </c>
      <c r="AE4" s="1053">
        <f>SUMPRODUCT(KZ_Raum_2024!$AE$7:$AE$51,'Fläche-L'!D$3:D$47)/100*$AD$1</f>
        <v>2.338833333333334</v>
      </c>
      <c r="AF4" s="1053">
        <f>SUMPRODUCT(KZ_Raum_2024!$AE$7:$AE$51,'Fläche-L'!E$3:E$47)/100*$AD$1</f>
        <v>2.338833333333334</v>
      </c>
      <c r="AG4" s="1053">
        <f>SUMPRODUCT(KZ_Raum_2024!$AE$7:$AE$51,'Fläche-L'!F$3:F$47)/100*$AD$1</f>
        <v>4.434222222222223</v>
      </c>
      <c r="AH4" s="1053">
        <f>SUMPRODUCT(KZ_Raum_2024!$AE$7:$AE$51,'Fläche-L'!G$3:G$47)/100*$AD$1</f>
        <v>2.3318888888888898</v>
      </c>
      <c r="AI4" s="1053">
        <f>SUMPRODUCT(KZ_Raum_2024!$AE$7:$AE$51,'Fläche-L'!H$3:H$47)/100*$AD$1</f>
        <v>5.5077111111111119</v>
      </c>
      <c r="AJ4" s="1053">
        <f>SUMPRODUCT(KZ_Raum_2024!$AE$7:$AE$51,'Fläche-L'!I$3:I$47)/100*$AD$1</f>
        <v>5.0171746031746025</v>
      </c>
      <c r="AK4" s="1053">
        <f>SUMPRODUCT(KZ_Raum_2024!$AE$7:$AE$51,'Fläche-L'!J$3:J$47)/100*$AD$1</f>
        <v>5.0171746031746025</v>
      </c>
      <c r="AL4" s="1053">
        <f>SUMPRODUCT(KZ_Raum_2024!$AE$7:$AE$51,'Fläche-L'!K$3:K$47)/100*$AD$1</f>
        <v>4.8013746031746036</v>
      </c>
      <c r="AM4" s="1053">
        <f>SUMPRODUCT(KZ_Raum_2024!$AE$7:$AE$51,'Fläche-L'!L$3:L$47)/100*$AD$1</f>
        <v>6.7804518518518506</v>
      </c>
      <c r="AN4" s="1053">
        <f>SUMPRODUCT(KZ_Raum_2024!$AE$7:$AE$51,'Fläche-L'!M$3:M$47)/100*$AD$1</f>
        <v>6.7783333333333324</v>
      </c>
      <c r="AO4" s="1053">
        <f>SUMPRODUCT(KZ_Raum_2024!$AE$7:$AE$51,'Fläche-L'!N$3:N$47)/100*$AD$1</f>
        <v>6.7804518518518506</v>
      </c>
      <c r="AP4" s="1053">
        <f>SUMPRODUCT(KZ_Raum_2024!$AE$7:$AE$51,'Fläche-L'!O$3:O$47)/100*$AD$1</f>
        <v>5.664451851851851</v>
      </c>
      <c r="AQ4" s="1053">
        <f>SUMPRODUCT(KZ_Raum_2024!$AE$7:$AE$51,'Fläche-L'!P$3:P$47)/100*$AD$1</f>
        <v>3.7931111111111115</v>
      </c>
      <c r="AR4" s="1053">
        <f>SUMPRODUCT(KZ_Raum_2024!$AE$7:$AE$51,'Fläche-L'!Q$3:Q$47)/100*$AD$1</f>
        <v>4.7882222222222222</v>
      </c>
      <c r="AS4" s="1053">
        <f>SUMPRODUCT(KZ_Raum_2024!$AE$7:$AE$51,'Fläche-L'!R$3:R$47)/100*$AD$1</f>
        <v>4.8953333333333342</v>
      </c>
      <c r="AT4" s="1053">
        <f>SUMPRODUCT(KZ_Raum_2024!$AE$7:$AE$51,'Fläche-L'!S$3:S$47)/100*$AD$1</f>
        <v>5.267555555555556</v>
      </c>
      <c r="AU4" s="1053">
        <f>SUMPRODUCT(KZ_Raum_2024!$AE$7:$AE$51,'Fläche-L'!T$3:T$47)/100*$AD$1</f>
        <v>4.5146666666666668</v>
      </c>
      <c r="AV4" s="1053">
        <f>SUMPRODUCT(KZ_Raum_2024!$AE$7:$AE$51,'Fläche-L'!U$3:U$47)/100*$AD$1</f>
        <v>4.186866666666667</v>
      </c>
      <c r="AW4" s="1053">
        <f>SUMPRODUCT(KZ_Raum_2024!$AE$7:$AE$51,'Fläche-L'!V$3:V$47)/100*$AD$1</f>
        <v>3.1382170940170955</v>
      </c>
      <c r="AX4" s="1053">
        <f>SUMPRODUCT(KZ_Raum_2024!$AE$7:$AE$51,'Fläche-L'!W$3:W$47)/100*$AD$1</f>
        <v>5.4637037037037031</v>
      </c>
      <c r="AY4" s="1053">
        <f>SUMPRODUCT(KZ_Raum_2024!$AE$7:$AE$51,'Fläche-L'!X$3:X$47)/100*$AD$1</f>
        <v>4.1665925925925933</v>
      </c>
      <c r="AZ4" s="1054">
        <f>SUMPRODUCT(KZ_Raum_2024!$AE$7:$AE$51,'Fläche-L'!Y$3:Y$47)/100*$AD$1</f>
        <v>0.74114529914529925</v>
      </c>
      <c r="BC4" s="755" t="s">
        <v>102</v>
      </c>
      <c r="BD4" s="756" t="s">
        <v>103</v>
      </c>
      <c r="BE4" s="751">
        <v>40</v>
      </c>
      <c r="BF4" s="751"/>
      <c r="BG4" s="751"/>
      <c r="BH4" s="751">
        <v>60</v>
      </c>
      <c r="BI4" s="751">
        <v>20</v>
      </c>
      <c r="BJ4" s="751">
        <v>10</v>
      </c>
      <c r="BK4" s="751"/>
      <c r="BL4" s="751"/>
      <c r="BM4" s="751">
        <v>10</v>
      </c>
      <c r="BN4" s="751"/>
      <c r="BO4" s="751"/>
      <c r="BP4" s="751"/>
      <c r="BQ4" s="751">
        <v>5</v>
      </c>
      <c r="BR4" s="751">
        <v>5</v>
      </c>
      <c r="BS4" s="751">
        <v>30</v>
      </c>
      <c r="BT4" s="751"/>
      <c r="BU4" s="751"/>
      <c r="BV4" s="751">
        <v>30</v>
      </c>
      <c r="BW4" s="751">
        <v>100</v>
      </c>
      <c r="BX4" s="751">
        <v>20</v>
      </c>
      <c r="BY4" s="751">
        <v>20</v>
      </c>
      <c r="BZ4" s="751"/>
      <c r="CB4" s="755" t="s">
        <v>102</v>
      </c>
      <c r="CC4" s="756" t="s">
        <v>103</v>
      </c>
      <c r="CD4" s="759">
        <f>ROUND(AE29*2,-1)/2</f>
        <v>50</v>
      </c>
      <c r="CE4" s="759"/>
      <c r="CF4" s="751"/>
      <c r="CG4" s="759">
        <f t="shared" ref="CG4:CX4" si="18">ROUND(AH29*2,-1)/2</f>
        <v>70</v>
      </c>
      <c r="CH4" s="759">
        <f t="shared" si="18"/>
        <v>25</v>
      </c>
      <c r="CI4" s="751">
        <f t="shared" si="18"/>
        <v>10</v>
      </c>
      <c r="CJ4" s="751">
        <f t="shared" si="18"/>
        <v>10</v>
      </c>
      <c r="CK4" s="751">
        <f t="shared" si="18"/>
        <v>10</v>
      </c>
      <c r="CL4" s="759">
        <f t="shared" si="18"/>
        <v>15</v>
      </c>
      <c r="CM4" s="751">
        <f t="shared" si="18"/>
        <v>15</v>
      </c>
      <c r="CN4" s="751">
        <f t="shared" si="18"/>
        <v>15</v>
      </c>
      <c r="CO4" s="751">
        <f t="shared" si="18"/>
        <v>30</v>
      </c>
      <c r="CP4" s="751">
        <f t="shared" si="18"/>
        <v>5</v>
      </c>
      <c r="CQ4" s="751">
        <f t="shared" si="18"/>
        <v>5</v>
      </c>
      <c r="CR4" s="758">
        <f t="shared" si="18"/>
        <v>20</v>
      </c>
      <c r="CS4" s="758">
        <f t="shared" si="18"/>
        <v>15</v>
      </c>
      <c r="CT4" s="758">
        <f t="shared" si="18"/>
        <v>20</v>
      </c>
      <c r="CU4" s="751">
        <f t="shared" si="18"/>
        <v>30</v>
      </c>
      <c r="CV4" s="758">
        <f t="shared" si="18"/>
        <v>60</v>
      </c>
      <c r="CW4" s="759">
        <f t="shared" si="18"/>
        <v>40</v>
      </c>
      <c r="CX4" s="751">
        <f t="shared" si="18"/>
        <v>20</v>
      </c>
      <c r="CY4" s="751"/>
      <c r="DB4" s="755" t="s">
        <v>17</v>
      </c>
      <c r="DC4" s="756" t="s">
        <v>134</v>
      </c>
      <c r="DD4" s="751">
        <v>2</v>
      </c>
      <c r="DE4" s="751"/>
      <c r="DF4" s="751"/>
      <c r="DG4" s="751"/>
      <c r="DH4" s="751">
        <v>7</v>
      </c>
      <c r="DI4" s="751">
        <v>5</v>
      </c>
      <c r="DJ4" s="751"/>
      <c r="DK4" s="751"/>
      <c r="DL4" s="751"/>
      <c r="DM4" s="751">
        <v>20</v>
      </c>
      <c r="DN4" s="751">
        <v>30</v>
      </c>
      <c r="DO4" s="751"/>
      <c r="DP4" s="751">
        <v>7</v>
      </c>
      <c r="DQ4" s="750"/>
      <c r="DR4" s="750"/>
      <c r="DS4" s="750"/>
      <c r="DT4" s="750"/>
      <c r="DU4" s="750"/>
      <c r="DV4" s="750"/>
      <c r="DW4" s="750"/>
      <c r="DZ4" s="773" t="s">
        <v>1145</v>
      </c>
      <c r="EA4" s="754" t="s">
        <v>134</v>
      </c>
      <c r="EB4" s="769">
        <v>21</v>
      </c>
      <c r="EC4" s="769"/>
      <c r="ED4" s="769"/>
      <c r="EE4" s="769">
        <v>14</v>
      </c>
      <c r="EF4" s="769">
        <v>7</v>
      </c>
      <c r="EG4" s="769">
        <v>7</v>
      </c>
      <c r="EH4" s="769"/>
      <c r="EI4" s="769"/>
      <c r="EJ4" s="769">
        <v>7</v>
      </c>
      <c r="EK4" s="769"/>
      <c r="EL4" s="769"/>
      <c r="EM4" s="769"/>
      <c r="EN4" s="769">
        <v>0</v>
      </c>
      <c r="EO4" s="769">
        <v>14</v>
      </c>
      <c r="EP4" s="769">
        <v>28</v>
      </c>
      <c r="EQ4" s="769"/>
      <c r="ER4" s="769"/>
      <c r="ES4" s="769">
        <v>7</v>
      </c>
      <c r="ET4" s="769">
        <v>1</v>
      </c>
      <c r="EU4" s="769">
        <v>0</v>
      </c>
      <c r="EX4" s="773" t="s">
        <v>1145</v>
      </c>
      <c r="EY4" s="754" t="s">
        <v>134</v>
      </c>
      <c r="EZ4" s="769">
        <f t="shared" si="15"/>
        <v>10.5</v>
      </c>
      <c r="FA4" s="769">
        <f t="shared" si="15"/>
        <v>0</v>
      </c>
      <c r="FB4" s="769">
        <f t="shared" si="15"/>
        <v>0</v>
      </c>
      <c r="FC4" s="769">
        <f t="shared" si="15"/>
        <v>7</v>
      </c>
      <c r="FD4" s="769">
        <f t="shared" si="15"/>
        <v>3.5</v>
      </c>
      <c r="FE4" s="769">
        <f t="shared" si="15"/>
        <v>3.5</v>
      </c>
      <c r="FF4" s="769">
        <f t="shared" si="15"/>
        <v>0</v>
      </c>
      <c r="FG4" s="769">
        <f t="shared" si="15"/>
        <v>0</v>
      </c>
      <c r="FH4" s="769">
        <f t="shared" si="15"/>
        <v>3.5</v>
      </c>
      <c r="FI4" s="769">
        <f t="shared" si="15"/>
        <v>0</v>
      </c>
      <c r="FJ4" s="769">
        <f t="shared" si="15"/>
        <v>0</v>
      </c>
      <c r="FK4" s="769">
        <f t="shared" si="16"/>
        <v>0</v>
      </c>
      <c r="FL4" s="769">
        <f t="shared" si="16"/>
        <v>0</v>
      </c>
      <c r="FM4" s="769">
        <f t="shared" si="16"/>
        <v>7</v>
      </c>
      <c r="FN4" s="769">
        <f t="shared" si="16"/>
        <v>14</v>
      </c>
      <c r="FO4" s="769">
        <f t="shared" si="16"/>
        <v>0</v>
      </c>
      <c r="FP4" s="769">
        <f t="shared" si="16"/>
        <v>0</v>
      </c>
      <c r="FQ4" s="769">
        <f t="shared" si="16"/>
        <v>3.5</v>
      </c>
      <c r="FR4" s="769">
        <f t="shared" si="16"/>
        <v>0.5</v>
      </c>
      <c r="FS4" s="769">
        <f t="shared" si="16"/>
        <v>0</v>
      </c>
      <c r="FT4" s="774">
        <f t="shared" si="16"/>
        <v>0</v>
      </c>
      <c r="FU4" s="754">
        <f t="shared" si="16"/>
        <v>0</v>
      </c>
      <c r="FW4" s="773" t="s">
        <v>1145</v>
      </c>
      <c r="FX4" s="754" t="s">
        <v>134</v>
      </c>
      <c r="FY4" s="770">
        <f t="shared" ref="FY4:GT4" si="19">AE8/0.67/3</f>
        <v>3.9243781094527375</v>
      </c>
      <c r="FZ4" s="808">
        <f t="shared" si="19"/>
        <v>3.9243781094527375</v>
      </c>
      <c r="GA4" s="808">
        <f t="shared" si="19"/>
        <v>5.9604137174531786</v>
      </c>
      <c r="GB4" s="770">
        <f t="shared" si="19"/>
        <v>3.3241791044776128</v>
      </c>
      <c r="GC4" s="770">
        <f t="shared" si="19"/>
        <v>0.43154154861699334</v>
      </c>
      <c r="GD4" s="770">
        <f t="shared" si="19"/>
        <v>0.56534620015756409</v>
      </c>
      <c r="GE4" s="808">
        <f t="shared" si="19"/>
        <v>0.56534620015756409</v>
      </c>
      <c r="GF4" s="808">
        <f t="shared" si="19"/>
        <v>0.43848153719780053</v>
      </c>
      <c r="GG4" s="770">
        <f t="shared" si="19"/>
        <v>0.48077810555831418</v>
      </c>
      <c r="GH4" s="770">
        <f t="shared" si="19"/>
        <v>0.48077810555831418</v>
      </c>
      <c r="GI4" s="770">
        <f t="shared" si="19"/>
        <v>0.48077810555831418</v>
      </c>
      <c r="GJ4" s="770">
        <f t="shared" si="19"/>
        <v>0.27292204340333565</v>
      </c>
      <c r="GK4" s="770">
        <f t="shared" si="19"/>
        <v>14.882233840581826</v>
      </c>
      <c r="GL4" s="770">
        <f t="shared" si="19"/>
        <v>1.2231211846832375</v>
      </c>
      <c r="GM4" s="770">
        <f t="shared" si="19"/>
        <v>7.4224369347002783</v>
      </c>
      <c r="GN4" s="770">
        <f t="shared" si="19"/>
        <v>6.4990538501231603</v>
      </c>
      <c r="GO4" s="770">
        <f t="shared" si="19"/>
        <v>9.2692031038545064</v>
      </c>
      <c r="GP4" s="770">
        <f t="shared" si="19"/>
        <v>0.43154154861699334</v>
      </c>
      <c r="GQ4" s="770">
        <f t="shared" si="19"/>
        <v>0.20869632269182462</v>
      </c>
      <c r="GR4" s="770">
        <f t="shared" si="19"/>
        <v>10.383162946759914</v>
      </c>
      <c r="GS4" s="770">
        <f t="shared" si="19"/>
        <v>23.790350790080911</v>
      </c>
      <c r="GT4" s="770">
        <f t="shared" si="19"/>
        <v>0</v>
      </c>
      <c r="GV4" s="773" t="s">
        <v>1145</v>
      </c>
      <c r="GW4" s="754" t="s">
        <v>134</v>
      </c>
      <c r="GX4" s="724"/>
      <c r="GY4" s="724"/>
      <c r="GZ4" s="724"/>
      <c r="HA4" s="724"/>
      <c r="HB4" s="724"/>
      <c r="HC4" s="724"/>
      <c r="HD4" s="724"/>
      <c r="HE4" s="724"/>
      <c r="HF4" s="724"/>
      <c r="HG4" s="724"/>
      <c r="HH4" s="724"/>
      <c r="HI4" s="724"/>
      <c r="HJ4" s="724"/>
      <c r="HK4" s="724"/>
      <c r="HL4" s="724"/>
      <c r="HM4" s="724"/>
      <c r="HN4" s="724"/>
      <c r="HO4" s="724"/>
      <c r="HP4" s="724"/>
      <c r="HQ4" s="724"/>
      <c r="HR4" s="724"/>
      <c r="HS4" s="724"/>
    </row>
    <row r="5" spans="1:227" s="754" customFormat="1" ht="15.75" customHeight="1">
      <c r="A5" s="749">
        <f>Eingabedaten!A11</f>
        <v>2.0099999999999998</v>
      </c>
      <c r="B5" s="750" t="str">
        <f>Eingabedaten!C11</f>
        <v xml:space="preserve">Hotelzimmer </v>
      </c>
      <c r="C5" s="751" t="s">
        <v>5</v>
      </c>
      <c r="D5" s="753"/>
      <c r="E5" s="753"/>
      <c r="F5" s="752">
        <v>55</v>
      </c>
      <c r="G5" s="753"/>
      <c r="H5" s="753"/>
      <c r="I5" s="753"/>
      <c r="J5" s="753"/>
      <c r="K5" s="753"/>
      <c r="L5" s="753"/>
      <c r="M5" s="753"/>
      <c r="N5" s="753"/>
      <c r="O5" s="753"/>
      <c r="P5" s="753"/>
      <c r="Q5" s="753"/>
      <c r="R5" s="753"/>
      <c r="S5" s="753"/>
      <c r="T5" s="753"/>
      <c r="U5" s="753"/>
      <c r="V5" s="753"/>
      <c r="W5" s="753"/>
      <c r="X5" s="753"/>
      <c r="Y5" s="753"/>
      <c r="AA5" s="769">
        <f>1/Eingabedaten!AP11</f>
        <v>6.6666666666666666E-2</v>
      </c>
      <c r="AC5" s="773" t="s">
        <v>19</v>
      </c>
      <c r="AD5" s="774" t="s">
        <v>24</v>
      </c>
      <c r="AE5" s="1053">
        <f>SUMPRODUCT(KZ_Raum_2024!$AF$7:$AF$51,'Fläche-L'!D$3:D$47)/100*$AD$1</f>
        <v>0.32112000000000007</v>
      </c>
      <c r="AF5" s="1053">
        <f>SUMPRODUCT(KZ_Raum_2024!$AF$7:$AF$51,'Fläche-L'!E$3:E$47)/100*$AD$1</f>
        <v>0.32112000000000007</v>
      </c>
      <c r="AG5" s="1053">
        <f>SUMPRODUCT(KZ_Raum_2024!$AF$7:$AF$51,'Fläche-L'!F$3:F$47)/100*$AD$1</f>
        <v>0.98190476190476206</v>
      </c>
      <c r="AH5" s="1053">
        <f>SUMPRODUCT(KZ_Raum_2024!$AF$7:$AF$51,'Fläche-L'!G$3:G$47)/100*$AD$1</f>
        <v>0.18241599999999999</v>
      </c>
      <c r="AI5" s="1053">
        <f>SUMPRODUCT(KZ_Raum_2024!$AF$7:$AF$51,'Fläche-L'!H$3:H$47)/100*$AD$1</f>
        <v>1.037044761904762</v>
      </c>
      <c r="AJ5" s="1053">
        <f>SUMPRODUCT(KZ_Raum_2024!$AF$7:$AF$51,'Fläche-L'!I$3:I$47)/100*$AD$1</f>
        <v>1.2448754285714285</v>
      </c>
      <c r="AK5" s="1053">
        <f>SUMPRODUCT(KZ_Raum_2024!$AF$7:$AF$51,'Fläche-L'!J$3:J$47)/100*$AD$1</f>
        <v>1.2448754285714285</v>
      </c>
      <c r="AL5" s="1053">
        <f>SUMPRODUCT(KZ_Raum_2024!$AF$7:$AF$51,'Fläche-L'!K$3:K$47)/100*$AD$1</f>
        <v>1.6660161904761908</v>
      </c>
      <c r="AM5" s="1053">
        <f>SUMPRODUCT(KZ_Raum_2024!$AF$7:$AF$51,'Fläche-L'!L$3:L$47)/100*$AD$1</f>
        <v>1.1081714285714286</v>
      </c>
      <c r="AN5" s="1053">
        <f>SUMPRODUCT(KZ_Raum_2024!$AF$7:$AF$51,'Fläche-L'!M$3:M$47)/100*$AD$1</f>
        <v>1.1059314285714288</v>
      </c>
      <c r="AO5" s="1053">
        <f>SUMPRODUCT(KZ_Raum_2024!$AF$7:$AF$51,'Fläche-L'!N$3:N$47)/100*$AD$1</f>
        <v>1.1081714285714286</v>
      </c>
      <c r="AP5" s="1053">
        <f>SUMPRODUCT(KZ_Raum_2024!$AF$7:$AF$51,'Fläche-L'!O$3:O$47)/100*$AD$1</f>
        <v>0.6615714285714287</v>
      </c>
      <c r="AQ5" s="1053">
        <f>SUMPRODUCT(KZ_Raum_2024!$AF$7:$AF$51,'Fläche-L'!P$3:P$47)/100*$AD$1</f>
        <v>3.7698647619047621</v>
      </c>
      <c r="AR5" s="1053">
        <f>SUMPRODUCT(KZ_Raum_2024!$AF$7:$AF$51,'Fläche-L'!Q$3:Q$47)/100*$AD$1</f>
        <v>2.7423714285714285</v>
      </c>
      <c r="AS5" s="1053">
        <f>SUMPRODUCT(KZ_Raum_2024!$AF$7:$AF$51,'Fläche-L'!R$3:R$47)/100*$AD$1</f>
        <v>0.99850476190476201</v>
      </c>
      <c r="AT5" s="1053">
        <f>SUMPRODUCT(KZ_Raum_2024!$AF$7:$AF$51,'Fläche-L'!S$3:S$47)/100*$AD$1</f>
        <v>1.0835714285714284</v>
      </c>
      <c r="AU5" s="1053">
        <f>SUMPRODUCT(KZ_Raum_2024!$AF$7:$AF$51,'Fläche-L'!T$3:T$47)/100*$AD$1</f>
        <v>0.94497142857142868</v>
      </c>
      <c r="AV5" s="1053">
        <f>SUMPRODUCT(KZ_Raum_2024!$AF$7:$AF$51,'Fläche-L'!U$3:U$47)/100*$AD$1</f>
        <v>0.68468253968253978</v>
      </c>
      <c r="AW5" s="1053">
        <f>SUMPRODUCT(KZ_Raum_2024!$AF$7:$AF$51,'Fläche-L'!V$3:V$47)/100*$AD$1</f>
        <v>0.33663809523809529</v>
      </c>
      <c r="AX5" s="1053">
        <f>SUMPRODUCT(KZ_Raum_2024!$AF$7:$AF$51,'Fläche-L'!W$3:W$47)/100*$AD$1</f>
        <v>0.98320000000000007</v>
      </c>
      <c r="AY5" s="1053">
        <f>SUMPRODUCT(KZ_Raum_2024!$AF$7:$AF$51,'Fläche-L'!X$3:X$47)/100*$AD$1</f>
        <v>1.6235714285714289</v>
      </c>
      <c r="AZ5" s="1054">
        <f>SUMPRODUCT(KZ_Raum_2024!$AF$7:$AF$51,'Fläche-L'!Y$3:Y$47)/100*$AD$1</f>
        <v>1.66E-2</v>
      </c>
      <c r="BC5" s="755" t="s">
        <v>1059</v>
      </c>
      <c r="BD5" s="756" t="s">
        <v>319</v>
      </c>
      <c r="BE5" s="751">
        <v>70</v>
      </c>
      <c r="BF5" s="751"/>
      <c r="BG5" s="751"/>
      <c r="BH5" s="751">
        <v>70</v>
      </c>
      <c r="BI5" s="751">
        <v>80</v>
      </c>
      <c r="BJ5" s="751">
        <v>70</v>
      </c>
      <c r="BK5" s="751"/>
      <c r="BL5" s="751"/>
      <c r="BM5" s="751">
        <v>90</v>
      </c>
      <c r="BN5" s="751"/>
      <c r="BO5" s="751"/>
      <c r="BP5" s="751"/>
      <c r="BQ5" s="751">
        <v>100</v>
      </c>
      <c r="BR5" s="751">
        <v>80</v>
      </c>
      <c r="BS5" s="751">
        <v>80</v>
      </c>
      <c r="BT5" s="751"/>
      <c r="BU5" s="751"/>
      <c r="BV5" s="751">
        <v>100</v>
      </c>
      <c r="BW5" s="751">
        <v>100</v>
      </c>
      <c r="BX5" s="751">
        <v>100</v>
      </c>
      <c r="BY5" s="751">
        <v>60</v>
      </c>
      <c r="BZ5" s="751"/>
      <c r="CB5" s="755" t="s">
        <v>1059</v>
      </c>
      <c r="CC5" s="756" t="s">
        <v>319</v>
      </c>
      <c r="CD5" s="760">
        <f>ROUND(AE31,-1)</f>
        <v>70</v>
      </c>
      <c r="CE5" s="761"/>
      <c r="CF5" s="758"/>
      <c r="CG5" s="751">
        <f>ROUND(AH31,-1)</f>
        <v>70</v>
      </c>
      <c r="CH5" s="759">
        <f>ROUND(AI31,-1)</f>
        <v>70</v>
      </c>
      <c r="CI5" s="751">
        <f>ROUND(AJ31,-1)</f>
        <v>70</v>
      </c>
      <c r="CJ5" s="758"/>
      <c r="CK5" s="758"/>
      <c r="CL5" s="759">
        <f t="shared" ref="CL5:CX5" si="20">ROUND(AM31,-1)</f>
        <v>70</v>
      </c>
      <c r="CM5" s="759">
        <f t="shared" si="20"/>
        <v>70</v>
      </c>
      <c r="CN5" s="759">
        <f t="shared" si="20"/>
        <v>70</v>
      </c>
      <c r="CO5" s="759">
        <f t="shared" si="20"/>
        <v>70</v>
      </c>
      <c r="CP5" s="759">
        <f t="shared" si="20"/>
        <v>70</v>
      </c>
      <c r="CQ5" s="759">
        <f t="shared" si="20"/>
        <v>70</v>
      </c>
      <c r="CR5" s="759">
        <f t="shared" si="20"/>
        <v>70</v>
      </c>
      <c r="CS5" s="759">
        <f t="shared" si="20"/>
        <v>70</v>
      </c>
      <c r="CT5" s="759">
        <f t="shared" si="20"/>
        <v>70</v>
      </c>
      <c r="CU5" s="759">
        <f t="shared" si="20"/>
        <v>70</v>
      </c>
      <c r="CV5" s="759">
        <f t="shared" si="20"/>
        <v>70</v>
      </c>
      <c r="CW5" s="758">
        <f t="shared" si="20"/>
        <v>120</v>
      </c>
      <c r="CX5" s="758">
        <f t="shared" si="20"/>
        <v>70</v>
      </c>
      <c r="CY5" s="758"/>
      <c r="DB5" s="755" t="s">
        <v>19</v>
      </c>
      <c r="DC5" s="756" t="s">
        <v>134</v>
      </c>
      <c r="DD5" s="751">
        <v>1</v>
      </c>
      <c r="DE5" s="751"/>
      <c r="DF5" s="751"/>
      <c r="DG5" s="751"/>
      <c r="DH5" s="751">
        <v>4</v>
      </c>
      <c r="DI5" s="751">
        <v>4</v>
      </c>
      <c r="DJ5" s="751"/>
      <c r="DK5" s="751"/>
      <c r="DL5" s="751"/>
      <c r="DM5" s="751">
        <v>5</v>
      </c>
      <c r="DN5" s="751">
        <v>5</v>
      </c>
      <c r="DO5" s="751"/>
      <c r="DP5" s="751">
        <v>11</v>
      </c>
      <c r="DQ5" s="750"/>
      <c r="DR5" s="750"/>
      <c r="DS5" s="750"/>
      <c r="DT5" s="750"/>
      <c r="DU5" s="750"/>
      <c r="DV5" s="750"/>
      <c r="DW5" s="750"/>
      <c r="DZ5" s="773" t="s">
        <v>51</v>
      </c>
      <c r="EA5" s="754" t="s">
        <v>134</v>
      </c>
      <c r="EB5" s="769">
        <v>37</v>
      </c>
      <c r="EC5" s="769"/>
      <c r="ED5" s="769"/>
      <c r="EE5" s="769">
        <v>35</v>
      </c>
      <c r="EF5" s="769">
        <v>65</v>
      </c>
      <c r="EG5" s="769">
        <v>14</v>
      </c>
      <c r="EH5" s="769"/>
      <c r="EI5" s="769"/>
      <c r="EJ5" s="769">
        <v>29</v>
      </c>
      <c r="EK5" s="769"/>
      <c r="EL5" s="769"/>
      <c r="EM5" s="769"/>
      <c r="EN5" s="769">
        <v>43</v>
      </c>
      <c r="EO5" s="769">
        <v>7</v>
      </c>
      <c r="EP5" s="769">
        <v>29</v>
      </c>
      <c r="EQ5" s="769"/>
      <c r="ER5" s="769"/>
      <c r="ES5" s="769">
        <v>29</v>
      </c>
      <c r="ET5" s="769">
        <v>7</v>
      </c>
      <c r="EU5" s="769">
        <v>7</v>
      </c>
      <c r="EX5" s="773" t="s">
        <v>51</v>
      </c>
      <c r="EY5" s="754" t="s">
        <v>134</v>
      </c>
      <c r="EZ5" s="769">
        <f t="shared" si="15"/>
        <v>18.5</v>
      </c>
      <c r="FA5" s="769">
        <f t="shared" si="15"/>
        <v>0</v>
      </c>
      <c r="FB5" s="769">
        <f t="shared" si="15"/>
        <v>0</v>
      </c>
      <c r="FC5" s="769">
        <f t="shared" si="15"/>
        <v>17.5</v>
      </c>
      <c r="FD5" s="769">
        <f t="shared" si="15"/>
        <v>32.5</v>
      </c>
      <c r="FE5" s="769">
        <f t="shared" si="15"/>
        <v>7</v>
      </c>
      <c r="FF5" s="769">
        <f t="shared" si="15"/>
        <v>0</v>
      </c>
      <c r="FG5" s="769">
        <f t="shared" si="15"/>
        <v>0</v>
      </c>
      <c r="FH5" s="769">
        <f t="shared" si="15"/>
        <v>14.5</v>
      </c>
      <c r="FI5" s="769">
        <f t="shared" si="15"/>
        <v>0</v>
      </c>
      <c r="FJ5" s="769">
        <f t="shared" si="15"/>
        <v>0</v>
      </c>
      <c r="FK5" s="769">
        <f t="shared" si="16"/>
        <v>0</v>
      </c>
      <c r="FL5" s="769">
        <f t="shared" si="16"/>
        <v>21.5</v>
      </c>
      <c r="FM5" s="769">
        <f t="shared" si="16"/>
        <v>3.5</v>
      </c>
      <c r="FN5" s="769">
        <f t="shared" si="16"/>
        <v>14.5</v>
      </c>
      <c r="FO5" s="769">
        <f t="shared" si="16"/>
        <v>0</v>
      </c>
      <c r="FP5" s="769">
        <f t="shared" si="16"/>
        <v>0</v>
      </c>
      <c r="FQ5" s="769">
        <f t="shared" si="16"/>
        <v>14.5</v>
      </c>
      <c r="FR5" s="769">
        <f t="shared" si="16"/>
        <v>3.5</v>
      </c>
      <c r="FS5" s="769">
        <f t="shared" si="16"/>
        <v>3.5</v>
      </c>
      <c r="FT5" s="774">
        <f t="shared" si="16"/>
        <v>0</v>
      </c>
      <c r="FU5" s="754">
        <f t="shared" si="16"/>
        <v>0</v>
      </c>
      <c r="FW5" s="775" t="s">
        <v>19</v>
      </c>
      <c r="FX5" s="754" t="s">
        <v>134</v>
      </c>
      <c r="FY5" s="808">
        <f t="shared" ref="FY5:GT5" si="21">AE5</f>
        <v>0.32112000000000007</v>
      </c>
      <c r="FZ5" s="808">
        <f t="shared" si="21"/>
        <v>0.32112000000000007</v>
      </c>
      <c r="GA5" s="808">
        <f t="shared" si="21"/>
        <v>0.98190476190476206</v>
      </c>
      <c r="GB5" s="808">
        <f t="shared" si="21"/>
        <v>0.18241599999999999</v>
      </c>
      <c r="GC5" s="808">
        <f t="shared" si="21"/>
        <v>1.037044761904762</v>
      </c>
      <c r="GD5" s="808">
        <f t="shared" si="21"/>
        <v>1.2448754285714285</v>
      </c>
      <c r="GE5" s="808">
        <f t="shared" si="21"/>
        <v>1.2448754285714285</v>
      </c>
      <c r="GF5" s="808">
        <f t="shared" si="21"/>
        <v>1.6660161904761908</v>
      </c>
      <c r="GG5" s="808">
        <f t="shared" si="21"/>
        <v>1.1081714285714286</v>
      </c>
      <c r="GH5" s="808">
        <f t="shared" si="21"/>
        <v>1.1059314285714288</v>
      </c>
      <c r="GI5" s="808">
        <f t="shared" si="21"/>
        <v>1.1081714285714286</v>
      </c>
      <c r="GJ5" s="808">
        <f t="shared" si="21"/>
        <v>0.6615714285714287</v>
      </c>
      <c r="GK5" s="808">
        <f t="shared" si="21"/>
        <v>3.7698647619047621</v>
      </c>
      <c r="GL5" s="808">
        <f t="shared" si="21"/>
        <v>2.7423714285714285</v>
      </c>
      <c r="GM5" s="808">
        <f t="shared" si="21"/>
        <v>0.99850476190476201</v>
      </c>
      <c r="GN5" s="808">
        <f t="shared" si="21"/>
        <v>1.0835714285714284</v>
      </c>
      <c r="GO5" s="808">
        <f t="shared" si="21"/>
        <v>0.94497142857142868</v>
      </c>
      <c r="GP5" s="808">
        <f t="shared" si="21"/>
        <v>0.68468253968253978</v>
      </c>
      <c r="GQ5" s="808">
        <f t="shared" si="21"/>
        <v>0.33663809523809529</v>
      </c>
      <c r="GR5" s="808">
        <f t="shared" si="21"/>
        <v>0.98320000000000007</v>
      </c>
      <c r="GS5" s="808">
        <f t="shared" si="21"/>
        <v>1.6235714285714289</v>
      </c>
      <c r="GT5" s="808">
        <f t="shared" si="21"/>
        <v>1.66E-2</v>
      </c>
      <c r="GV5" s="775" t="s">
        <v>1297</v>
      </c>
      <c r="GW5" s="754" t="s">
        <v>134</v>
      </c>
      <c r="GX5" s="724"/>
      <c r="GY5" s="1115">
        <v>1.2</v>
      </c>
      <c r="GZ5" s="1115">
        <v>5.9</v>
      </c>
      <c r="HA5" s="1115">
        <v>0.8</v>
      </c>
      <c r="HB5" s="1115">
        <v>2.7</v>
      </c>
      <c r="HC5" s="1115"/>
      <c r="HD5" s="1115">
        <v>1.9</v>
      </c>
      <c r="HE5" s="1115">
        <v>7.3</v>
      </c>
      <c r="HF5" s="1115"/>
      <c r="HG5" s="1115">
        <v>7.9</v>
      </c>
      <c r="HH5" s="1115">
        <v>19.3</v>
      </c>
      <c r="HI5" s="1115"/>
      <c r="HJ5" s="1115">
        <v>18.8</v>
      </c>
      <c r="HK5" s="1115">
        <v>7.8</v>
      </c>
      <c r="HL5" s="1115"/>
      <c r="HM5" s="1115">
        <v>9.1999999999999993</v>
      </c>
      <c r="HN5" s="1115">
        <v>9.1</v>
      </c>
      <c r="HO5" s="1115">
        <v>1.8</v>
      </c>
      <c r="HP5" s="1115">
        <v>1.7</v>
      </c>
      <c r="HQ5" s="1115">
        <v>3.7</v>
      </c>
      <c r="HR5" s="1115">
        <v>5.2</v>
      </c>
      <c r="HS5" s="1115">
        <v>0.8</v>
      </c>
    </row>
    <row r="6" spans="1:227" s="754" customFormat="1" ht="15.75" customHeight="1">
      <c r="A6" s="749">
        <f>Eingabedaten!A12</f>
        <v>2.02</v>
      </c>
      <c r="B6" s="750" t="str">
        <f>Eingabedaten!C12</f>
        <v>Empfang, Lobby</v>
      </c>
      <c r="C6" s="751" t="s">
        <v>5</v>
      </c>
      <c r="D6" s="753"/>
      <c r="E6" s="753"/>
      <c r="F6" s="752">
        <v>5</v>
      </c>
      <c r="G6" s="753"/>
      <c r="H6" s="753"/>
      <c r="I6" s="753"/>
      <c r="J6" s="753"/>
      <c r="K6" s="752">
        <v>5</v>
      </c>
      <c r="L6" s="753"/>
      <c r="M6" s="753"/>
      <c r="N6" s="753"/>
      <c r="O6" s="753"/>
      <c r="P6" s="753"/>
      <c r="Q6" s="753"/>
      <c r="R6" s="753"/>
      <c r="S6" s="753"/>
      <c r="T6" s="753"/>
      <c r="U6" s="753"/>
      <c r="V6" s="753"/>
      <c r="W6" s="753"/>
      <c r="X6" s="753"/>
      <c r="Y6" s="753"/>
      <c r="AA6" s="769">
        <f>1/Eingabedaten!AP12</f>
        <v>0.2</v>
      </c>
      <c r="AC6" s="773" t="s">
        <v>463</v>
      </c>
      <c r="AD6" s="774" t="s">
        <v>24</v>
      </c>
      <c r="AE6" s="1053">
        <f>SUMPRODUCT(KZ_Raum_2024!$AG$7:$AG$51,'Fläche-L'!D$3:D$47)/100*$AD$1</f>
        <v>13.976231348571432</v>
      </c>
      <c r="AF6" s="1053">
        <f>SUMPRODUCT(KZ_Raum_2024!$AG$7:$AG$51,'Fläche-L'!E$3:E$47)/100*$AD$1</f>
        <v>13.976231348571432</v>
      </c>
      <c r="AG6" s="1053">
        <f>SUMPRODUCT(KZ_Raum_2024!$AG$7:$AG$51,'Fläche-L'!F$3:F$47)/100*$AD$1</f>
        <v>17.459591119028946</v>
      </c>
      <c r="AH6" s="1053">
        <f>SUMPRODUCT(KZ_Raum_2024!$AG$7:$AG$51,'Fläche-L'!G$3:G$47)/100*$AD$1</f>
        <v>14.454410128941181</v>
      </c>
      <c r="AI6" s="1053">
        <f>SUMPRODUCT(KZ_Raum_2024!$AG$7:$AG$51,'Fläche-L'!H$3:H$47)/100*$AD$1</f>
        <v>22.553519919028947</v>
      </c>
      <c r="AJ6" s="1053">
        <f>SUMPRODUCT(KZ_Raum_2024!$AG$7:$AG$51,'Fläche-L'!I$3:I$47)/100*$AD$1</f>
        <v>25.576903126408965</v>
      </c>
      <c r="AK6" s="1053">
        <f>SUMPRODUCT(KZ_Raum_2024!$AG$7:$AG$51,'Fläche-L'!J$3:J$47)/100*$AD$1</f>
        <v>25.576903126408965</v>
      </c>
      <c r="AL6" s="1053">
        <f>SUMPRODUCT(KZ_Raum_2024!$AG$7:$AG$51,'Fläche-L'!K$3:K$47)/100*$AD$1</f>
        <v>26.129863136209153</v>
      </c>
      <c r="AM6" s="1053">
        <f>SUMPRODUCT(KZ_Raum_2024!$AG$7:$AG$51,'Fläche-L'!L$3:L$47)/100*$AD$1</f>
        <v>14.512396369747902</v>
      </c>
      <c r="AN6" s="1053">
        <f>SUMPRODUCT(KZ_Raum_2024!$AG$7:$AG$51,'Fläche-L'!M$3:M$47)/100*$AD$1</f>
        <v>14.512396369747902</v>
      </c>
      <c r="AO6" s="1053">
        <f>SUMPRODUCT(KZ_Raum_2024!$AG$7:$AG$51,'Fläche-L'!N$3:N$47)/100*$AD$1</f>
        <v>14.512396369747902</v>
      </c>
      <c r="AP6" s="1053">
        <f>SUMPRODUCT(KZ_Raum_2024!$AG$7:$AG$51,'Fläche-L'!O$3:O$47)/100*$AD$1</f>
        <v>10.721675089747901</v>
      </c>
      <c r="AQ6" s="1053">
        <f>SUMPRODUCT(KZ_Raum_2024!$AG$7:$AG$51,'Fläche-L'!P$3:P$47)/100*$AD$1</f>
        <v>26.80550425994398</v>
      </c>
      <c r="AR6" s="1053">
        <f>SUMPRODUCT(KZ_Raum_2024!$AG$7:$AG$51,'Fläche-L'!Q$3:Q$47)/100*$AD$1</f>
        <v>25.974271507002801</v>
      </c>
      <c r="AS6" s="1053">
        <f>SUMPRODUCT(KZ_Raum_2024!$AG$7:$AG$51,'Fläche-L'!R$3:R$47)/100*$AD$1</f>
        <v>22.705291029094312</v>
      </c>
      <c r="AT6" s="1053">
        <f>SUMPRODUCT(KZ_Raum_2024!$AG$7:$AG$51,'Fläche-L'!S$3:S$47)/100*$AD$1</f>
        <v>23.836703404519149</v>
      </c>
      <c r="AU6" s="1053">
        <f>SUMPRODUCT(KZ_Raum_2024!$AG$7:$AG$51,'Fläche-L'!T$3:T$47)/100*$AD$1</f>
        <v>21.177060057068164</v>
      </c>
      <c r="AV6" s="1053">
        <f>SUMPRODUCT(KZ_Raum_2024!$AG$7:$AG$51,'Fläche-L'!U$3:U$47)/100*$AD$1</f>
        <v>19.277057713538753</v>
      </c>
      <c r="AW6" s="1053">
        <f>SUMPRODUCT(KZ_Raum_2024!$AG$7:$AG$51,'Fläche-L'!V$3:V$47)/100*$AD$1</f>
        <v>1.7462587697478993</v>
      </c>
      <c r="AX6" s="1053">
        <f>SUMPRODUCT(KZ_Raum_2024!$AG$7:$AG$51,'Fläche-L'!W$3:W$47)/100*$AD$1</f>
        <v>0</v>
      </c>
      <c r="AY6" s="1053">
        <f>SUMPRODUCT(KZ_Raum_2024!$AG$7:$AG$51,'Fläche-L'!X$3:X$47)/100*$AD$1</f>
        <v>1.7462587697478993</v>
      </c>
      <c r="AZ6" s="1054">
        <f>SUMPRODUCT(KZ_Raum_2024!$AG$7:$AG$51,'Fläche-L'!Y$3:Y$47)/100*$AD$1</f>
        <v>0</v>
      </c>
      <c r="BC6" s="755" t="s">
        <v>321</v>
      </c>
      <c r="BD6" s="756" t="s">
        <v>15</v>
      </c>
      <c r="BE6" s="751">
        <v>12</v>
      </c>
      <c r="BF6" s="751"/>
      <c r="BG6" s="751"/>
      <c r="BH6" s="751">
        <v>12</v>
      </c>
      <c r="BI6" s="751">
        <v>6</v>
      </c>
      <c r="BJ6" s="751">
        <v>4</v>
      </c>
      <c r="BK6" s="751"/>
      <c r="BL6" s="751"/>
      <c r="BM6" s="751">
        <v>4</v>
      </c>
      <c r="BN6" s="751"/>
      <c r="BO6" s="751"/>
      <c r="BP6" s="751"/>
      <c r="BQ6" s="751">
        <v>3</v>
      </c>
      <c r="BR6" s="751">
        <v>3</v>
      </c>
      <c r="BS6" s="751">
        <v>16</v>
      </c>
      <c r="BT6" s="751"/>
      <c r="BU6" s="751"/>
      <c r="BV6" s="751">
        <v>6</v>
      </c>
      <c r="BW6" s="751">
        <v>6</v>
      </c>
      <c r="BX6" s="751">
        <v>6</v>
      </c>
      <c r="BY6" s="751">
        <v>4</v>
      </c>
      <c r="BZ6" s="751"/>
      <c r="CB6" s="755" t="s">
        <v>321</v>
      </c>
      <c r="CC6" s="756" t="s">
        <v>15</v>
      </c>
      <c r="CD6" s="762">
        <f>ROUND(AE30,0)</f>
        <v>13</v>
      </c>
      <c r="CE6" s="762"/>
      <c r="CF6" s="762">
        <f>ROUND(AG30,0)</f>
        <v>11</v>
      </c>
      <c r="CG6" s="762">
        <f>ROUND(AH30,0)</f>
        <v>13</v>
      </c>
      <c r="CH6" s="762">
        <f>ROUND(AI30,0)</f>
        <v>7</v>
      </c>
      <c r="CI6" s="760">
        <f>ROUND(AJ30,0)</f>
        <v>5</v>
      </c>
      <c r="CJ6" s="760"/>
      <c r="CK6" s="760"/>
      <c r="CL6" s="761">
        <f t="shared" ref="CL6:CX6" si="22">ROUND(AM30,0)</f>
        <v>7</v>
      </c>
      <c r="CM6" s="761">
        <f t="shared" si="22"/>
        <v>7</v>
      </c>
      <c r="CN6" s="761">
        <f t="shared" si="22"/>
        <v>7</v>
      </c>
      <c r="CO6" s="761">
        <f t="shared" si="22"/>
        <v>7</v>
      </c>
      <c r="CP6" s="761">
        <f t="shared" si="22"/>
        <v>4</v>
      </c>
      <c r="CQ6" s="761">
        <f t="shared" si="22"/>
        <v>8</v>
      </c>
      <c r="CR6" s="762">
        <f t="shared" si="22"/>
        <v>14</v>
      </c>
      <c r="CS6" s="762">
        <f t="shared" si="22"/>
        <v>12</v>
      </c>
      <c r="CT6" s="762">
        <f t="shared" si="22"/>
        <v>16</v>
      </c>
      <c r="CU6" s="762">
        <f t="shared" si="22"/>
        <v>5</v>
      </c>
      <c r="CV6" s="761">
        <f t="shared" si="22"/>
        <v>8</v>
      </c>
      <c r="CW6" s="761">
        <f t="shared" si="22"/>
        <v>3</v>
      </c>
      <c r="CX6" s="761">
        <f t="shared" si="22"/>
        <v>8</v>
      </c>
      <c r="CY6" s="761"/>
      <c r="DB6" s="755" t="s">
        <v>463</v>
      </c>
      <c r="DC6" s="756" t="s">
        <v>134</v>
      </c>
      <c r="DD6" s="751">
        <v>0</v>
      </c>
      <c r="DE6" s="751"/>
      <c r="DF6" s="751"/>
      <c r="DG6" s="751"/>
      <c r="DH6" s="751">
        <v>18</v>
      </c>
      <c r="DI6" s="751">
        <v>10</v>
      </c>
      <c r="DJ6" s="751"/>
      <c r="DK6" s="751"/>
      <c r="DL6" s="751"/>
      <c r="DM6" s="751">
        <v>10</v>
      </c>
      <c r="DN6" s="751">
        <v>48</v>
      </c>
      <c r="DO6" s="751"/>
      <c r="DP6" s="751">
        <v>36</v>
      </c>
      <c r="DQ6" s="750"/>
      <c r="DR6" s="750"/>
      <c r="DS6" s="750"/>
      <c r="DT6" s="750"/>
      <c r="DU6" s="750"/>
      <c r="DV6" s="750"/>
      <c r="DW6" s="750"/>
      <c r="DZ6" s="773" t="s">
        <v>17</v>
      </c>
      <c r="EA6" s="754" t="s">
        <v>134</v>
      </c>
      <c r="EB6" s="769"/>
      <c r="EC6" s="769"/>
      <c r="ED6" s="769"/>
      <c r="EE6" s="769"/>
      <c r="EF6" s="769">
        <v>18</v>
      </c>
      <c r="EG6" s="769">
        <v>16</v>
      </c>
      <c r="EH6" s="769"/>
      <c r="EI6" s="769"/>
      <c r="EJ6" s="769">
        <v>80</v>
      </c>
      <c r="EK6" s="769"/>
      <c r="EL6" s="769"/>
      <c r="EM6" s="769"/>
      <c r="EN6" s="769">
        <v>28</v>
      </c>
      <c r="EO6" s="769">
        <v>20</v>
      </c>
      <c r="EP6" s="769">
        <v>28</v>
      </c>
      <c r="EQ6" s="769"/>
      <c r="ER6" s="769"/>
      <c r="ES6" s="769">
        <v>28</v>
      </c>
      <c r="ET6" s="769">
        <v>28</v>
      </c>
      <c r="EU6" s="769">
        <v>18</v>
      </c>
      <c r="EX6" s="773" t="s">
        <v>17</v>
      </c>
      <c r="EY6" s="754" t="s">
        <v>134</v>
      </c>
      <c r="EZ6" s="880" t="s">
        <v>16</v>
      </c>
      <c r="FA6" s="880">
        <f t="shared" si="15"/>
        <v>0</v>
      </c>
      <c r="FB6" s="880">
        <f t="shared" si="15"/>
        <v>0</v>
      </c>
      <c r="FC6" s="880" t="s">
        <v>16</v>
      </c>
      <c r="FD6" s="769">
        <f t="shared" si="15"/>
        <v>9</v>
      </c>
      <c r="FE6" s="769">
        <f t="shared" si="15"/>
        <v>8</v>
      </c>
      <c r="FF6" s="769">
        <f t="shared" si="15"/>
        <v>0</v>
      </c>
      <c r="FG6" s="769">
        <f t="shared" si="15"/>
        <v>0</v>
      </c>
      <c r="FH6" s="769">
        <f t="shared" si="15"/>
        <v>40</v>
      </c>
      <c r="FI6" s="769">
        <f t="shared" si="15"/>
        <v>0</v>
      </c>
      <c r="FJ6" s="769">
        <f t="shared" si="15"/>
        <v>0</v>
      </c>
      <c r="FK6" s="769">
        <f t="shared" si="16"/>
        <v>0</v>
      </c>
      <c r="FL6" s="769">
        <f t="shared" si="16"/>
        <v>14</v>
      </c>
      <c r="FM6" s="769">
        <f t="shared" si="16"/>
        <v>10</v>
      </c>
      <c r="FN6" s="769">
        <f t="shared" si="16"/>
        <v>14</v>
      </c>
      <c r="FO6" s="769">
        <f t="shared" si="16"/>
        <v>0</v>
      </c>
      <c r="FP6" s="769">
        <f t="shared" si="16"/>
        <v>0</v>
      </c>
      <c r="FQ6" s="769">
        <f t="shared" si="16"/>
        <v>14</v>
      </c>
      <c r="FR6" s="769">
        <f t="shared" si="16"/>
        <v>14</v>
      </c>
      <c r="FS6" s="769">
        <f t="shared" si="16"/>
        <v>9</v>
      </c>
      <c r="FT6" s="774">
        <f t="shared" si="16"/>
        <v>0</v>
      </c>
      <c r="FU6" s="754">
        <f t="shared" si="16"/>
        <v>0</v>
      </c>
      <c r="FW6" s="775" t="s">
        <v>1189</v>
      </c>
      <c r="FX6" s="754" t="s">
        <v>134</v>
      </c>
      <c r="FY6" s="808">
        <f>AE6/3</f>
        <v>4.6587437828571439</v>
      </c>
      <c r="FZ6" s="808">
        <f t="shared" ref="FZ6:GT6" si="23">AF6/3</f>
        <v>4.6587437828571439</v>
      </c>
      <c r="GA6" s="808">
        <f t="shared" si="23"/>
        <v>5.8198637063429821</v>
      </c>
      <c r="GB6" s="808">
        <f t="shared" si="23"/>
        <v>4.8181367096470602</v>
      </c>
      <c r="GC6" s="808">
        <f t="shared" si="23"/>
        <v>7.5178399730096492</v>
      </c>
      <c r="GD6" s="808">
        <f t="shared" si="23"/>
        <v>8.5256343754696555</v>
      </c>
      <c r="GE6" s="808">
        <f t="shared" si="23"/>
        <v>8.5256343754696555</v>
      </c>
      <c r="GF6" s="808">
        <f t="shared" si="23"/>
        <v>8.7099543787363842</v>
      </c>
      <c r="GG6" s="808">
        <f t="shared" si="23"/>
        <v>4.8374654565826338</v>
      </c>
      <c r="GH6" s="808">
        <f t="shared" si="23"/>
        <v>4.8374654565826338</v>
      </c>
      <c r="GI6" s="808">
        <f t="shared" si="23"/>
        <v>4.8374654565826338</v>
      </c>
      <c r="GJ6" s="808">
        <f t="shared" si="23"/>
        <v>3.5738916965826335</v>
      </c>
      <c r="GK6" s="808">
        <f t="shared" si="23"/>
        <v>8.9351680866479928</v>
      </c>
      <c r="GL6" s="808">
        <f t="shared" si="23"/>
        <v>8.6580905023342662</v>
      </c>
      <c r="GM6" s="808">
        <f t="shared" si="23"/>
        <v>7.5684303430314372</v>
      </c>
      <c r="GN6" s="808">
        <f t="shared" si="23"/>
        <v>7.9455678015063826</v>
      </c>
      <c r="GO6" s="808">
        <f t="shared" si="23"/>
        <v>7.0590200190227215</v>
      </c>
      <c r="GP6" s="808">
        <f t="shared" si="23"/>
        <v>6.4256859045129175</v>
      </c>
      <c r="GQ6" s="808">
        <f t="shared" si="23"/>
        <v>0.58208625658263313</v>
      </c>
      <c r="GR6" s="808">
        <f t="shared" si="23"/>
        <v>0</v>
      </c>
      <c r="GS6" s="808">
        <f t="shared" si="23"/>
        <v>0.58208625658263313</v>
      </c>
      <c r="GT6" s="808">
        <f t="shared" si="23"/>
        <v>0</v>
      </c>
      <c r="GV6" s="775" t="s">
        <v>1189</v>
      </c>
      <c r="GW6" s="754" t="s">
        <v>134</v>
      </c>
      <c r="GX6" s="724"/>
      <c r="GY6" s="1116"/>
      <c r="GZ6" s="1116"/>
      <c r="HA6" s="1116"/>
      <c r="HB6" s="1116"/>
      <c r="HC6" s="1116"/>
      <c r="HD6" s="1116"/>
      <c r="HE6" s="1116"/>
      <c r="HF6" s="1116"/>
      <c r="HG6" s="1116"/>
      <c r="HH6" s="1116"/>
      <c r="HI6" s="1116"/>
      <c r="HJ6" s="1116"/>
      <c r="HK6" s="1116"/>
      <c r="HL6" s="1116"/>
      <c r="HM6" s="1116"/>
      <c r="HN6" s="1116"/>
      <c r="HO6" s="1116"/>
      <c r="HP6" s="1116"/>
      <c r="HQ6" s="1116"/>
      <c r="HR6" s="1116"/>
      <c r="HS6" s="1116"/>
    </row>
    <row r="7" spans="1:227" s="754" customFormat="1" ht="15.75" customHeight="1">
      <c r="A7" s="749">
        <f>Eingabedaten!A13</f>
        <v>3.01</v>
      </c>
      <c r="B7" s="750" t="str">
        <f>Eingabedaten!C13</f>
        <v>Einzel-, Gruppenbüro</v>
      </c>
      <c r="C7" s="751" t="s">
        <v>5</v>
      </c>
      <c r="D7" s="753"/>
      <c r="E7" s="753"/>
      <c r="F7" s="753">
        <v>5</v>
      </c>
      <c r="G7" s="753"/>
      <c r="H7" s="752">
        <v>40</v>
      </c>
      <c r="I7" s="752">
        <v>5</v>
      </c>
      <c r="J7" s="752">
        <v>5</v>
      </c>
      <c r="K7" s="752">
        <v>10</v>
      </c>
      <c r="L7" s="753">
        <v>5</v>
      </c>
      <c r="M7" s="753">
        <v>5</v>
      </c>
      <c r="N7" s="753">
        <v>5</v>
      </c>
      <c r="O7" s="753">
        <v>5</v>
      </c>
      <c r="P7" s="753">
        <v>5</v>
      </c>
      <c r="Q7" s="753">
        <v>5</v>
      </c>
      <c r="R7" s="753">
        <v>5</v>
      </c>
      <c r="S7" s="753">
        <v>5</v>
      </c>
      <c r="T7" s="753">
        <v>5</v>
      </c>
      <c r="U7" s="753">
        <v>5</v>
      </c>
      <c r="V7" s="753">
        <v>5</v>
      </c>
      <c r="W7" s="753"/>
      <c r="X7" s="753">
        <v>5</v>
      </c>
      <c r="Y7" s="753"/>
      <c r="AA7" s="769">
        <f>1/Eingabedaten!AP13</f>
        <v>7.1428571428571425E-2</v>
      </c>
      <c r="AC7" s="773" t="s">
        <v>464</v>
      </c>
      <c r="AD7" s="774" t="s">
        <v>24</v>
      </c>
      <c r="AE7" s="1053">
        <f>SUMPRODUCT(KZ_Raum_2024!$AH$7:$AH$51,'Fläche-L'!D$3:D$47)/100*$AD$1</f>
        <v>12.355842000000003</v>
      </c>
      <c r="AF7" s="1053">
        <f>SUMPRODUCT(KZ_Raum_2024!$AH$7:$AH$51,'Fläche-L'!E$3:E$47)/100*$AD$1</f>
        <v>12.355842000000003</v>
      </c>
      <c r="AG7" s="1053">
        <f>SUMPRODUCT(KZ_Raum_2024!$AH$7:$AH$51,'Fläche-L'!F$3:F$47)/100*$AD$1</f>
        <v>12.922047830065361</v>
      </c>
      <c r="AH7" s="1053">
        <f>SUMPRODUCT(KZ_Raum_2024!$AH$7:$AH$51,'Fläche-L'!G$3:G$47)/100*$AD$1</f>
        <v>14.512406823529412</v>
      </c>
      <c r="AI7" s="1053">
        <f>SUMPRODUCT(KZ_Raum_2024!$AH$7:$AH$51,'Fläche-L'!H$3:H$47)/100*$AD$1</f>
        <v>14.075760313725494</v>
      </c>
      <c r="AJ7" s="1053">
        <f>SUMPRODUCT(KZ_Raum_2024!$AH$7:$AH$51,'Fläche-L'!I$3:I$47)/100*$AD$1</f>
        <v>14.763729824089637</v>
      </c>
      <c r="AK7" s="1053">
        <f>SUMPRODUCT(KZ_Raum_2024!$AH$7:$AH$51,'Fläche-L'!J$3:J$47)/100*$AD$1</f>
        <v>14.763729824089637</v>
      </c>
      <c r="AL7" s="1053">
        <f>SUMPRODUCT(KZ_Raum_2024!$AH$7:$AH$51,'Fläche-L'!K$3:K$47)/100*$AD$1</f>
        <v>13.650895544351076</v>
      </c>
      <c r="AM7" s="1053">
        <f>SUMPRODUCT(KZ_Raum_2024!$AH$7:$AH$51,'Fläche-L'!L$3:L$47)/100*$AD$1</f>
        <v>9.6144952156862757</v>
      </c>
      <c r="AN7" s="1053">
        <f>SUMPRODUCT(KZ_Raum_2024!$AH$7:$AH$51,'Fläche-L'!M$3:M$47)/100*$AD$1</f>
        <v>9.4625272156862774</v>
      </c>
      <c r="AO7" s="1053">
        <f>SUMPRODUCT(KZ_Raum_2024!$AH$7:$AH$51,'Fläche-L'!N$3:N$47)/100*$AD$1</f>
        <v>9.6144952156862757</v>
      </c>
      <c r="AP7" s="1053">
        <f>SUMPRODUCT(KZ_Raum_2024!$AH$7:$AH$51,'Fläche-L'!O$3:O$47)/100*$AD$1</f>
        <v>9.6144952156862757</v>
      </c>
      <c r="AQ7" s="1053">
        <f>SUMPRODUCT(KZ_Raum_2024!$AH$7:$AH$51,'Fläche-L'!P$3:P$47)/100*$AD$1</f>
        <v>12.670142352941179</v>
      </c>
      <c r="AR7" s="1053">
        <f>SUMPRODUCT(KZ_Raum_2024!$AH$7:$AH$51,'Fläche-L'!Q$3:Q$47)/100*$AD$1</f>
        <v>14.562494352941179</v>
      </c>
      <c r="AS7" s="1053">
        <f>SUMPRODUCT(KZ_Raum_2024!$AH$7:$AH$51,'Fläche-L'!R$3:R$47)/100*$AD$1</f>
        <v>14.190385307189544</v>
      </c>
      <c r="AT7" s="1053">
        <f>SUMPRODUCT(KZ_Raum_2024!$AH$7:$AH$51,'Fläche-L'!S$3:S$47)/100*$AD$1</f>
        <v>14.335104575163403</v>
      </c>
      <c r="AU7" s="1053">
        <f>SUMPRODUCT(KZ_Raum_2024!$AH$7:$AH$51,'Fläche-L'!T$3:T$47)/100*$AD$1</f>
        <v>13.93877532026144</v>
      </c>
      <c r="AV7" s="1053">
        <f>SUMPRODUCT(KZ_Raum_2024!$AH$7:$AH$51,'Fläche-L'!U$3:U$47)/100*$AD$1</f>
        <v>15.448424627450985</v>
      </c>
      <c r="AW7" s="1053">
        <f>SUMPRODUCT(KZ_Raum_2024!$AH$7:$AH$51,'Fläche-L'!V$3:V$47)/100*$AD$1</f>
        <v>14.62263529411765</v>
      </c>
      <c r="AX7" s="1053">
        <f>SUMPRODUCT(KZ_Raum_2024!$AH$7:$AH$51,'Fläche-L'!W$3:W$47)/100*$AD$1</f>
        <v>13.560173647058825</v>
      </c>
      <c r="AY7" s="1053">
        <f>SUMPRODUCT(KZ_Raum_2024!$AH$7:$AH$51,'Fläche-L'!X$3:X$47)/100*$AD$1</f>
        <v>16.246743921568633</v>
      </c>
      <c r="AZ7" s="1054">
        <f>SUMPRODUCT(KZ_Raum_2024!$AH$7:$AH$51,'Fläche-L'!Y$3:Y$47)/100*$AD$1</f>
        <v>1.1949870588235294</v>
      </c>
      <c r="BC7" s="764" t="s">
        <v>1195</v>
      </c>
      <c r="BD7" s="756" t="s">
        <v>1101</v>
      </c>
      <c r="BE7" s="760">
        <f>BE5*BE6*365/1000/BE4</f>
        <v>7.6650000000000009</v>
      </c>
      <c r="BF7" s="760"/>
      <c r="BG7" s="760"/>
      <c r="BH7" s="760">
        <f t="shared" ref="BH7:BY7" si="24">BH5*BH6*365/1000/BH4</f>
        <v>5.1100000000000003</v>
      </c>
      <c r="BI7" s="760">
        <f t="shared" si="24"/>
        <v>8.76</v>
      </c>
      <c r="BJ7" s="760">
        <f t="shared" si="24"/>
        <v>10.220000000000001</v>
      </c>
      <c r="BK7" s="760"/>
      <c r="BL7" s="760"/>
      <c r="BM7" s="760">
        <f t="shared" si="24"/>
        <v>13.14</v>
      </c>
      <c r="BN7" s="760" t="e">
        <f t="shared" si="24"/>
        <v>#DIV/0!</v>
      </c>
      <c r="BO7" s="760" t="e">
        <f t="shared" si="24"/>
        <v>#DIV/0!</v>
      </c>
      <c r="BP7" s="760" t="e">
        <f t="shared" si="24"/>
        <v>#DIV/0!</v>
      </c>
      <c r="BQ7" s="760">
        <f t="shared" si="24"/>
        <v>21.9</v>
      </c>
      <c r="BR7" s="760">
        <f t="shared" si="24"/>
        <v>17.52</v>
      </c>
      <c r="BS7" s="760">
        <f t="shared" si="24"/>
        <v>15.573333333333332</v>
      </c>
      <c r="BT7" s="760"/>
      <c r="BU7" s="760"/>
      <c r="BV7" s="760">
        <f t="shared" si="24"/>
        <v>7.3</v>
      </c>
      <c r="BW7" s="760">
        <f t="shared" si="24"/>
        <v>2.19</v>
      </c>
      <c r="BX7" s="760">
        <f t="shared" si="24"/>
        <v>10.95</v>
      </c>
      <c r="BY7" s="760">
        <f t="shared" si="24"/>
        <v>4.38</v>
      </c>
      <c r="BZ7" s="760"/>
      <c r="CB7" s="764" t="s">
        <v>1405</v>
      </c>
      <c r="CC7" s="756" t="s">
        <v>1101</v>
      </c>
      <c r="CD7" s="762">
        <f>ROUND(AE27,0)</f>
        <v>7</v>
      </c>
      <c r="CE7" s="762"/>
      <c r="CF7" s="760"/>
      <c r="CG7" s="762">
        <f t="shared" ref="CG7:CX7" si="25">ROUND(AH27,0)</f>
        <v>5</v>
      </c>
      <c r="CH7" s="762">
        <f t="shared" si="25"/>
        <v>6</v>
      </c>
      <c r="CI7" s="761">
        <f t="shared" si="25"/>
        <v>13</v>
      </c>
      <c r="CJ7" s="761">
        <f t="shared" si="25"/>
        <v>13</v>
      </c>
      <c r="CK7" s="761">
        <f t="shared" si="25"/>
        <v>14</v>
      </c>
      <c r="CL7" s="762">
        <f t="shared" si="25"/>
        <v>11</v>
      </c>
      <c r="CM7" s="760">
        <f t="shared" si="25"/>
        <v>11</v>
      </c>
      <c r="CN7" s="760">
        <f t="shared" si="25"/>
        <v>11</v>
      </c>
      <c r="CO7" s="760">
        <f t="shared" si="25"/>
        <v>6</v>
      </c>
      <c r="CP7" s="760">
        <f t="shared" si="25"/>
        <v>24</v>
      </c>
      <c r="CQ7" s="761">
        <f t="shared" si="25"/>
        <v>32</v>
      </c>
      <c r="CR7" s="760">
        <f t="shared" si="25"/>
        <v>19</v>
      </c>
      <c r="CS7" s="760">
        <f t="shared" si="25"/>
        <v>19</v>
      </c>
      <c r="CT7" s="760">
        <f t="shared" si="25"/>
        <v>21</v>
      </c>
      <c r="CU7" s="762">
        <f t="shared" si="25"/>
        <v>4</v>
      </c>
      <c r="CV7" s="761">
        <f t="shared" si="25"/>
        <v>3</v>
      </c>
      <c r="CW7" s="762">
        <f t="shared" si="25"/>
        <v>3</v>
      </c>
      <c r="CX7" s="761">
        <f t="shared" si="25"/>
        <v>10</v>
      </c>
      <c r="CY7" s="761"/>
      <c r="DB7" s="764" t="s">
        <v>464</v>
      </c>
      <c r="DC7" s="756" t="s">
        <v>134</v>
      </c>
      <c r="DD7" s="751"/>
      <c r="DE7" s="751"/>
      <c r="DF7" s="751"/>
      <c r="DG7" s="751"/>
      <c r="DH7" s="751"/>
      <c r="DI7" s="751"/>
      <c r="DJ7" s="751"/>
      <c r="DK7" s="751"/>
      <c r="DL7" s="751"/>
      <c r="DM7" s="751"/>
      <c r="DN7" s="751"/>
      <c r="DO7" s="751"/>
      <c r="DP7" s="751"/>
      <c r="DQ7" s="750"/>
      <c r="DR7" s="750"/>
      <c r="DS7" s="750"/>
      <c r="DT7" s="750"/>
      <c r="DU7" s="750"/>
      <c r="DV7" s="750"/>
      <c r="DW7" s="750"/>
      <c r="DZ7" s="773" t="s">
        <v>1143</v>
      </c>
      <c r="EA7" s="754" t="s">
        <v>134</v>
      </c>
      <c r="EB7" s="769"/>
      <c r="EC7" s="769"/>
      <c r="ED7" s="769"/>
      <c r="EE7" s="769"/>
      <c r="EF7" s="769">
        <v>14</v>
      </c>
      <c r="EG7" s="769">
        <v>7</v>
      </c>
      <c r="EH7" s="769"/>
      <c r="EI7" s="769"/>
      <c r="EJ7" s="769">
        <v>7</v>
      </c>
      <c r="EK7" s="769"/>
      <c r="EL7" s="769"/>
      <c r="EM7" s="769"/>
      <c r="EN7" s="769">
        <v>7</v>
      </c>
      <c r="EO7" s="769">
        <v>7</v>
      </c>
      <c r="EP7" s="769">
        <v>14</v>
      </c>
      <c r="EQ7" s="769"/>
      <c r="ER7" s="769"/>
      <c r="ES7" s="769">
        <v>7</v>
      </c>
      <c r="ET7" s="769">
        <v>7</v>
      </c>
      <c r="EU7" s="769">
        <v>7</v>
      </c>
      <c r="EX7" s="773" t="s">
        <v>1143</v>
      </c>
      <c r="EY7" s="754" t="s">
        <v>134</v>
      </c>
      <c r="EZ7" s="880" t="s">
        <v>16</v>
      </c>
      <c r="FA7" s="880">
        <f t="shared" si="15"/>
        <v>0</v>
      </c>
      <c r="FB7" s="880">
        <f t="shared" si="15"/>
        <v>0</v>
      </c>
      <c r="FC7" s="880" t="s">
        <v>16</v>
      </c>
      <c r="FD7" s="769">
        <f t="shared" si="15"/>
        <v>7</v>
      </c>
      <c r="FE7" s="769">
        <f t="shared" si="15"/>
        <v>3.5</v>
      </c>
      <c r="FF7" s="769">
        <f t="shared" si="15"/>
        <v>0</v>
      </c>
      <c r="FG7" s="769">
        <f t="shared" si="15"/>
        <v>0</v>
      </c>
      <c r="FH7" s="769">
        <f t="shared" si="15"/>
        <v>3.5</v>
      </c>
      <c r="FI7" s="769">
        <f t="shared" si="15"/>
        <v>0</v>
      </c>
      <c r="FJ7" s="769">
        <f t="shared" si="15"/>
        <v>0</v>
      </c>
      <c r="FK7" s="769">
        <f t="shared" si="16"/>
        <v>0</v>
      </c>
      <c r="FL7" s="769">
        <f t="shared" si="16"/>
        <v>3.5</v>
      </c>
      <c r="FM7" s="769">
        <f t="shared" si="16"/>
        <v>3.5</v>
      </c>
      <c r="FN7" s="769">
        <f t="shared" si="16"/>
        <v>7</v>
      </c>
      <c r="FO7" s="769">
        <f t="shared" si="16"/>
        <v>0</v>
      </c>
      <c r="FP7" s="769">
        <f t="shared" si="16"/>
        <v>0</v>
      </c>
      <c r="FQ7" s="769">
        <f t="shared" si="16"/>
        <v>3.5</v>
      </c>
      <c r="FR7" s="769">
        <f t="shared" si="16"/>
        <v>3.5</v>
      </c>
      <c r="FS7" s="769">
        <f t="shared" si="16"/>
        <v>3.5</v>
      </c>
      <c r="FT7" s="774">
        <f t="shared" si="16"/>
        <v>0</v>
      </c>
      <c r="FU7" s="754">
        <f t="shared" si="16"/>
        <v>0</v>
      </c>
      <c r="FW7" s="773" t="s">
        <v>51</v>
      </c>
      <c r="FX7" s="754" t="s">
        <v>134</v>
      </c>
      <c r="FY7" s="808">
        <f t="shared" ref="FY7" si="26">AE3</f>
        <v>6.8000000000000007</v>
      </c>
      <c r="FZ7" s="808">
        <f>AF3</f>
        <v>6.8000000000000007</v>
      </c>
      <c r="GA7" s="808">
        <f t="shared" ref="GA7:GT7" si="27">AG3</f>
        <v>6.32</v>
      </c>
      <c r="GB7" s="808">
        <f t="shared" si="27"/>
        <v>7.2</v>
      </c>
      <c r="GC7" s="808">
        <f t="shared" si="27"/>
        <v>6.4400000000000013</v>
      </c>
      <c r="GD7" s="808">
        <f t="shared" si="27"/>
        <v>3.6720000000000002</v>
      </c>
      <c r="GE7" s="808">
        <f t="shared" si="27"/>
        <v>3.6720000000000002</v>
      </c>
      <c r="GF7" s="808">
        <f t="shared" si="27"/>
        <v>5.08</v>
      </c>
      <c r="GG7" s="808">
        <f t="shared" si="27"/>
        <v>1.4000000000000001</v>
      </c>
      <c r="GH7" s="808">
        <f t="shared" si="27"/>
        <v>1.4000000000000001</v>
      </c>
      <c r="GI7" s="808">
        <f t="shared" si="27"/>
        <v>1.4000000000000001</v>
      </c>
      <c r="GJ7" s="808">
        <f t="shared" si="27"/>
        <v>1.4000000000000001</v>
      </c>
      <c r="GK7" s="808">
        <f t="shared" si="27"/>
        <v>2.04</v>
      </c>
      <c r="GL7" s="808">
        <f t="shared" si="27"/>
        <v>2.52</v>
      </c>
      <c r="GM7" s="808">
        <f t="shared" si="27"/>
        <v>3.9600000000000004</v>
      </c>
      <c r="GN7" s="808">
        <f t="shared" si="27"/>
        <v>4.32</v>
      </c>
      <c r="GO7" s="808">
        <f t="shared" si="27"/>
        <v>3.84</v>
      </c>
      <c r="GP7" s="808">
        <f t="shared" si="27"/>
        <v>2.84</v>
      </c>
      <c r="GQ7" s="808">
        <f t="shared" si="27"/>
        <v>1.56</v>
      </c>
      <c r="GR7" s="808">
        <f t="shared" si="27"/>
        <v>0.48</v>
      </c>
      <c r="GS7" s="808">
        <f t="shared" si="27"/>
        <v>1.8800000000000001</v>
      </c>
      <c r="GT7" s="808">
        <f t="shared" si="27"/>
        <v>0.72000000000000008</v>
      </c>
      <c r="GV7" s="773" t="s">
        <v>51</v>
      </c>
      <c r="GW7" s="754" t="s">
        <v>134</v>
      </c>
      <c r="GX7" s="724"/>
      <c r="GY7" s="1116">
        <v>14.5</v>
      </c>
      <c r="GZ7" s="1116">
        <v>10.9</v>
      </c>
      <c r="HA7" s="1116">
        <v>13</v>
      </c>
      <c r="HB7" s="1116">
        <v>17.3</v>
      </c>
      <c r="HC7" s="1116"/>
      <c r="HD7" s="1116">
        <v>5.2</v>
      </c>
      <c r="HE7" s="1116">
        <v>15.6</v>
      </c>
      <c r="HF7" s="1116"/>
      <c r="HG7" s="1116">
        <v>4.3</v>
      </c>
      <c r="HH7" s="1116">
        <v>4.3</v>
      </c>
      <c r="HI7" s="1116"/>
      <c r="HJ7" s="1116">
        <v>4.5</v>
      </c>
      <c r="HK7" s="1116">
        <v>4</v>
      </c>
      <c r="HL7" s="1116">
        <v>8.3000000000000007</v>
      </c>
      <c r="HM7" s="1116">
        <v>8.3000000000000007</v>
      </c>
      <c r="HN7" s="1116">
        <v>9.1999999999999993</v>
      </c>
      <c r="HO7" s="1116">
        <v>5.6</v>
      </c>
      <c r="HP7" s="1116">
        <v>3.7</v>
      </c>
      <c r="HQ7" s="1116">
        <v>1.8</v>
      </c>
      <c r="HR7" s="1116">
        <v>5.4</v>
      </c>
      <c r="HS7" s="1116">
        <v>1.7</v>
      </c>
    </row>
    <row r="8" spans="1:227" s="754" customFormat="1" ht="15.75" customHeight="1">
      <c r="A8" s="749">
        <f>Eingabedaten!A14</f>
        <v>3.02</v>
      </c>
      <c r="B8" s="750" t="str">
        <f>Eingabedaten!C14</f>
        <v>Grossraumbüro</v>
      </c>
      <c r="C8" s="751" t="s">
        <v>5</v>
      </c>
      <c r="D8" s="753"/>
      <c r="E8" s="753"/>
      <c r="F8" s="753"/>
      <c r="G8" s="753"/>
      <c r="H8" s="752">
        <v>15</v>
      </c>
      <c r="I8" s="753"/>
      <c r="J8" s="753"/>
      <c r="K8" s="752"/>
      <c r="L8" s="753"/>
      <c r="M8" s="753"/>
      <c r="N8" s="753"/>
      <c r="O8" s="753"/>
      <c r="P8" s="753"/>
      <c r="Q8" s="753"/>
      <c r="R8" s="753"/>
      <c r="S8" s="753"/>
      <c r="T8" s="753"/>
      <c r="U8" s="753"/>
      <c r="V8" s="753"/>
      <c r="W8" s="753"/>
      <c r="X8" s="753"/>
      <c r="Y8" s="753"/>
      <c r="AA8" s="769">
        <f>1/Eingabedaten!AP14</f>
        <v>0.1</v>
      </c>
      <c r="AC8" s="773" t="s">
        <v>268</v>
      </c>
      <c r="AD8" s="754" t="s">
        <v>24</v>
      </c>
      <c r="AE8" s="1099">
        <f>SUMPRODUCT(KZ_Raum_2024!$I$7:$I$51,'Fläche-L'!D$3:D$47)/100*$AD$1*1000/365/24*6</f>
        <v>7.8880000000000026</v>
      </c>
      <c r="AF8" s="1053">
        <f>SUMPRODUCT(KZ_Raum_2024!$I$7:$I$51,'Fläche-L'!E$3:E$47)/100*$AD$1*1000/365/24*6</f>
        <v>7.8880000000000026</v>
      </c>
      <c r="AG8" s="1053">
        <f>SUMPRODUCT(KZ_Raum_2024!$I$7:$I$51,'Fläche-L'!F$3:F$47)/100*$AD$1*1000/365/24*6</f>
        <v>11.980431572080889</v>
      </c>
      <c r="AH8" s="1053">
        <f>SUMPRODUCT(KZ_Raum_2024!$I$7:$I$51,'Fläche-L'!G$3:G$47)/100*$AD$1*1000/365/24*6</f>
        <v>6.6816000000000013</v>
      </c>
      <c r="AI8" s="1053">
        <f>SUMPRODUCT(KZ_Raum_2024!$I$7:$I$51,'Fläche-L'!H$3:H$47)/100*$AD$1*1000/365/24*6</f>
        <v>0.86739851272015667</v>
      </c>
      <c r="AJ8" s="1053">
        <f>SUMPRODUCT(KZ_Raum_2024!$I$7:$I$51,'Fläche-L'!I$3:I$47)/100*$AD$1*1000/365/24*6</f>
        <v>1.136345862316704</v>
      </c>
      <c r="AK8" s="1053">
        <f>SUMPRODUCT(KZ_Raum_2024!$I$7:$I$51,'Fläche-L'!J$3:J$47)/100*$AD$1*1000/365/24*6</f>
        <v>1.136345862316704</v>
      </c>
      <c r="AL8" s="1053">
        <f>SUMPRODUCT(KZ_Raum_2024!$I$7:$I$51,'Fläche-L'!K$3:K$47)/100*$AD$1*1000/365/24*6</f>
        <v>0.88134788976757905</v>
      </c>
      <c r="AM8" s="1053">
        <f>SUMPRODUCT(KZ_Raum_2024!$I$7:$I$51,'Fläche-L'!L$3:L$47)/100*$AD$1*1000/365/24*6</f>
        <v>0.96636399217221158</v>
      </c>
      <c r="AN8" s="1053">
        <f>SUMPRODUCT(KZ_Raum_2024!$I$7:$I$51,'Fläche-L'!M$3:M$47)/100*$AD$1*1000/365/24*6</f>
        <v>0.96636399217221158</v>
      </c>
      <c r="AO8" s="1053">
        <f>SUMPRODUCT(KZ_Raum_2024!$I$7:$I$51,'Fläche-L'!N$3:N$47)/100*$AD$1*1000/365/24*6</f>
        <v>0.96636399217221158</v>
      </c>
      <c r="AP8" s="1053">
        <f>SUMPRODUCT(KZ_Raum_2024!$I$7:$I$51,'Fläche-L'!O$3:O$47)/100*$AD$1*1000/365/24*6</f>
        <v>0.54857330724070463</v>
      </c>
      <c r="AQ8" s="1053">
        <f>SUMPRODUCT(KZ_Raum_2024!$I$7:$I$51,'Fläche-L'!P$3:P$47)/100*$AD$1*1000/365/24*6</f>
        <v>29.913290019569473</v>
      </c>
      <c r="AR8" s="1053">
        <f>SUMPRODUCT(KZ_Raum_2024!$I$7:$I$51,'Fläche-L'!Q$3:Q$47)/100*$AD$1*1000/365/24*6</f>
        <v>2.4584735812133074</v>
      </c>
      <c r="AS8" s="1053">
        <f>SUMPRODUCT(KZ_Raum_2024!$I$7:$I$51,'Fläche-L'!R$3:R$47)/100*$AD$1*1000/365/24*6</f>
        <v>14.919098238747559</v>
      </c>
      <c r="AT8" s="1053">
        <f>SUMPRODUCT(KZ_Raum_2024!$I$7:$I$51,'Fläche-L'!S$3:S$47)/100*$AD$1*1000/365/24*6</f>
        <v>13.063098238747553</v>
      </c>
      <c r="AU8" s="1053">
        <f>SUMPRODUCT(KZ_Raum_2024!$I$7:$I$51,'Fläche-L'!T$3:T$47)/100*$AD$1*1000/365/24*6</f>
        <v>18.631098238747558</v>
      </c>
      <c r="AV8" s="1053">
        <f>SUMPRODUCT(KZ_Raum_2024!$I$7:$I$51,'Fläche-L'!U$3:U$47)/100*$AD$1*1000/365/24*6</f>
        <v>0.86739851272015667</v>
      </c>
      <c r="AW8" s="1053">
        <f>SUMPRODUCT(KZ_Raum_2024!$I$7:$I$51,'Fläche-L'!V$3:V$47)/100*$AD$1*1000/365/24*6</f>
        <v>0.41947960861056754</v>
      </c>
      <c r="AX8" s="1053">
        <f>SUMPRODUCT(KZ_Raum_2024!$I$7:$I$51,'Fläche-L'!W$3:W$47)/100*$AD$1*1000/365/24*6</f>
        <v>20.870157522987427</v>
      </c>
      <c r="AY8" s="1053">
        <f>SUMPRODUCT(KZ_Raum_2024!$I$7:$I$51,'Fläche-L'!X$3:X$47)/100*$AD$1*1000/365/24*6</f>
        <v>47.81860508806264</v>
      </c>
      <c r="AZ8" s="1054">
        <f>SUMPRODUCT(KZ_Raum_2024!$I$7:$I$51,'Fläche-L'!Y$3:Y$47)/100*$AD$1*1000/365/24*6</f>
        <v>0</v>
      </c>
      <c r="BC8" s="755" t="s">
        <v>517</v>
      </c>
      <c r="BD8" s="756" t="s">
        <v>1131</v>
      </c>
      <c r="BE8" s="751">
        <v>28</v>
      </c>
      <c r="BF8" s="751"/>
      <c r="BG8" s="751"/>
      <c r="BH8" s="751">
        <v>22</v>
      </c>
      <c r="BI8" s="751">
        <v>22</v>
      </c>
      <c r="BJ8" s="751">
        <v>11</v>
      </c>
      <c r="BK8" s="751"/>
      <c r="BL8" s="751"/>
      <c r="BM8" s="751">
        <v>33</v>
      </c>
      <c r="BN8" s="751"/>
      <c r="BO8" s="751"/>
      <c r="BP8" s="751"/>
      <c r="BQ8" s="751">
        <v>33</v>
      </c>
      <c r="BR8" s="751">
        <v>17</v>
      </c>
      <c r="BS8" s="751">
        <v>28</v>
      </c>
      <c r="BT8" s="751"/>
      <c r="BU8" s="751"/>
      <c r="BV8" s="751">
        <v>17</v>
      </c>
      <c r="BW8" s="751">
        <v>6</v>
      </c>
      <c r="BX8" s="751">
        <v>6</v>
      </c>
      <c r="BY8" s="751">
        <v>56</v>
      </c>
      <c r="BZ8" s="751"/>
      <c r="CB8" s="755" t="s">
        <v>1403</v>
      </c>
      <c r="CC8" s="756" t="s">
        <v>1101</v>
      </c>
      <c r="CD8" s="1107">
        <f>ROUND(AE10+AE11,0)</f>
        <v>12</v>
      </c>
      <c r="CE8" s="1107"/>
      <c r="CF8" s="1108"/>
      <c r="CG8" s="879">
        <f t="shared" ref="CG8:CX8" si="28">ROUND(AH10+AH11,0)</f>
        <v>11</v>
      </c>
      <c r="CH8" s="1109">
        <f t="shared" si="28"/>
        <v>17</v>
      </c>
      <c r="CI8" s="1109">
        <f t="shared" si="28"/>
        <v>13</v>
      </c>
      <c r="CJ8" s="1109">
        <f t="shared" si="28"/>
        <v>13</v>
      </c>
      <c r="CK8" s="1109">
        <f t="shared" si="28"/>
        <v>20</v>
      </c>
      <c r="CL8" s="1109">
        <f t="shared" si="28"/>
        <v>18</v>
      </c>
      <c r="CM8" s="1108">
        <f t="shared" si="28"/>
        <v>18</v>
      </c>
      <c r="CN8" s="1108">
        <f t="shared" si="28"/>
        <v>18</v>
      </c>
      <c r="CO8" s="1108">
        <f t="shared" si="28"/>
        <v>16</v>
      </c>
      <c r="CP8" s="1110">
        <f>ROUND(AQ10+AQ11,0)</f>
        <v>19</v>
      </c>
      <c r="CQ8" s="1109">
        <f t="shared" si="28"/>
        <v>14</v>
      </c>
      <c r="CR8" s="1109">
        <f t="shared" si="28"/>
        <v>19</v>
      </c>
      <c r="CS8" s="1109">
        <f t="shared" si="28"/>
        <v>20</v>
      </c>
      <c r="CT8" s="1109">
        <f t="shared" si="28"/>
        <v>19</v>
      </c>
      <c r="CU8" s="1109">
        <f t="shared" si="28"/>
        <v>15</v>
      </c>
      <c r="CV8" s="1109">
        <f t="shared" si="28"/>
        <v>7</v>
      </c>
      <c r="CW8" s="1109">
        <f t="shared" si="28"/>
        <v>10</v>
      </c>
      <c r="CX8" s="879">
        <f t="shared" si="28"/>
        <v>15</v>
      </c>
      <c r="CY8" s="759"/>
      <c r="DB8" s="755" t="s">
        <v>268</v>
      </c>
      <c r="DC8" s="756" t="s">
        <v>134</v>
      </c>
      <c r="DD8" s="751">
        <v>16</v>
      </c>
      <c r="DE8" s="751"/>
      <c r="DF8" s="751"/>
      <c r="DG8" s="751"/>
      <c r="DH8" s="751">
        <v>2</v>
      </c>
      <c r="DI8" s="751">
        <v>3</v>
      </c>
      <c r="DJ8" s="751"/>
      <c r="DK8" s="751"/>
      <c r="DL8" s="751"/>
      <c r="DM8" s="751">
        <v>2</v>
      </c>
      <c r="DN8" s="751">
        <v>2</v>
      </c>
      <c r="DO8" s="751"/>
      <c r="DP8" s="751">
        <v>59</v>
      </c>
      <c r="DQ8" s="750"/>
      <c r="DR8" s="750"/>
      <c r="DS8" s="750"/>
      <c r="DT8" s="750"/>
      <c r="DU8" s="750"/>
      <c r="DV8" s="750"/>
      <c r="DW8" s="750"/>
      <c r="DZ8" s="773" t="s">
        <v>1058</v>
      </c>
      <c r="EA8" s="754" t="s">
        <v>134</v>
      </c>
      <c r="EB8" s="769">
        <f>SUM(EB3:EB7)</f>
        <v>72</v>
      </c>
      <c r="EC8" s="769"/>
      <c r="ED8" s="769"/>
      <c r="EE8" s="769">
        <f>SUM(EE3:EE7)</f>
        <v>70</v>
      </c>
      <c r="EF8" s="769">
        <f>SUM(EF3:EF7)</f>
        <v>137</v>
      </c>
      <c r="EG8" s="769">
        <f>SUM(EG3:EG7)</f>
        <v>72</v>
      </c>
      <c r="EH8" s="769"/>
      <c r="EI8" s="769"/>
      <c r="EJ8" s="769">
        <f>SUM(EJ3:EJ7)</f>
        <v>156</v>
      </c>
      <c r="EK8" s="769"/>
      <c r="EL8" s="769"/>
      <c r="EM8" s="769"/>
      <c r="EN8" s="769">
        <f t="shared" ref="EN8:EU8" si="29">SUM(EN3:EN7)</f>
        <v>123</v>
      </c>
      <c r="EO8" s="769">
        <f t="shared" si="29"/>
        <v>74</v>
      </c>
      <c r="EP8" s="769">
        <f t="shared" si="29"/>
        <v>141</v>
      </c>
      <c r="EQ8" s="769"/>
      <c r="ER8" s="769"/>
      <c r="ES8" s="769">
        <f t="shared" si="29"/>
        <v>84</v>
      </c>
      <c r="ET8" s="769">
        <f t="shared" si="29"/>
        <v>62</v>
      </c>
      <c r="EU8" s="769">
        <f t="shared" si="29"/>
        <v>57</v>
      </c>
      <c r="EX8" s="857" t="s">
        <v>1058</v>
      </c>
      <c r="EY8" s="858" t="s">
        <v>134</v>
      </c>
      <c r="EZ8" s="859">
        <f t="shared" si="15"/>
        <v>36</v>
      </c>
      <c r="FA8" s="859">
        <f t="shared" si="15"/>
        <v>0</v>
      </c>
      <c r="FB8" s="859">
        <f t="shared" si="15"/>
        <v>0</v>
      </c>
      <c r="FC8" s="859">
        <f t="shared" si="15"/>
        <v>35</v>
      </c>
      <c r="FD8" s="859">
        <f t="shared" si="15"/>
        <v>68.5</v>
      </c>
      <c r="FE8" s="859">
        <f t="shared" si="15"/>
        <v>36</v>
      </c>
      <c r="FF8" s="859">
        <f t="shared" si="15"/>
        <v>0</v>
      </c>
      <c r="FG8" s="859">
        <f t="shared" si="15"/>
        <v>0</v>
      </c>
      <c r="FH8" s="859">
        <f t="shared" si="15"/>
        <v>78</v>
      </c>
      <c r="FI8" s="859">
        <f t="shared" si="15"/>
        <v>0</v>
      </c>
      <c r="FJ8" s="859">
        <f t="shared" si="15"/>
        <v>0</v>
      </c>
      <c r="FK8" s="859">
        <f t="shared" si="16"/>
        <v>0</v>
      </c>
      <c r="FL8" s="859">
        <f t="shared" si="16"/>
        <v>61.5</v>
      </c>
      <c r="FM8" s="859">
        <f t="shared" si="16"/>
        <v>37</v>
      </c>
      <c r="FN8" s="859">
        <f t="shared" si="16"/>
        <v>70.5</v>
      </c>
      <c r="FO8" s="859">
        <f t="shared" si="16"/>
        <v>0</v>
      </c>
      <c r="FP8" s="859">
        <f t="shared" si="16"/>
        <v>0</v>
      </c>
      <c r="FQ8" s="859">
        <f t="shared" si="16"/>
        <v>42</v>
      </c>
      <c r="FR8" s="859">
        <f t="shared" si="16"/>
        <v>31</v>
      </c>
      <c r="FS8" s="859">
        <f t="shared" si="16"/>
        <v>28.5</v>
      </c>
      <c r="FT8" s="774">
        <f t="shared" si="16"/>
        <v>0</v>
      </c>
      <c r="FU8" s="754">
        <f t="shared" si="16"/>
        <v>0</v>
      </c>
      <c r="FW8" s="775" t="s">
        <v>1181</v>
      </c>
      <c r="FX8" s="754" t="s">
        <v>134</v>
      </c>
      <c r="FY8" s="1055">
        <f>AE9</f>
        <v>0</v>
      </c>
      <c r="FZ8" s="1055">
        <f t="shared" ref="FZ8:GT8" si="30">AF9</f>
        <v>0</v>
      </c>
      <c r="GA8" s="1055">
        <f t="shared" si="30"/>
        <v>0</v>
      </c>
      <c r="GB8" s="1055">
        <f t="shared" si="30"/>
        <v>0</v>
      </c>
      <c r="GC8" s="1055">
        <f t="shared" si="30"/>
        <v>1.2000000000000002</v>
      </c>
      <c r="GD8" s="1055">
        <f t="shared" si="30"/>
        <v>0</v>
      </c>
      <c r="GE8" s="1055">
        <f t="shared" si="30"/>
        <v>0</v>
      </c>
      <c r="GF8" s="1055">
        <f t="shared" si="30"/>
        <v>1.2000000000000002</v>
      </c>
      <c r="GG8" s="1055">
        <f t="shared" si="30"/>
        <v>0</v>
      </c>
      <c r="GH8" s="1055">
        <f t="shared" si="30"/>
        <v>49.6</v>
      </c>
      <c r="GI8" s="1055">
        <f t="shared" si="30"/>
        <v>0</v>
      </c>
      <c r="GJ8" s="1055">
        <f t="shared" si="30"/>
        <v>0</v>
      </c>
      <c r="GK8" s="1055">
        <f t="shared" si="30"/>
        <v>16.8</v>
      </c>
      <c r="GL8" s="1055">
        <f t="shared" si="30"/>
        <v>0</v>
      </c>
      <c r="GM8" s="1055">
        <f t="shared" si="30"/>
        <v>1.2000000000000002</v>
      </c>
      <c r="GN8" s="1055">
        <f>AT9</f>
        <v>1.8</v>
      </c>
      <c r="GO8" s="1055">
        <f t="shared" si="30"/>
        <v>0.60000000000000009</v>
      </c>
      <c r="GP8" s="1055">
        <f t="shared" si="30"/>
        <v>5.2</v>
      </c>
      <c r="GQ8" s="1055">
        <f t="shared" si="30"/>
        <v>0</v>
      </c>
      <c r="GR8" s="1055">
        <f t="shared" si="30"/>
        <v>0</v>
      </c>
      <c r="GS8" s="1055">
        <f t="shared" si="30"/>
        <v>48</v>
      </c>
      <c r="GT8" s="1055">
        <f t="shared" si="30"/>
        <v>0</v>
      </c>
      <c r="GV8" s="775" t="s">
        <v>1298</v>
      </c>
      <c r="GW8" s="754" t="s">
        <v>134</v>
      </c>
      <c r="GX8" s="724"/>
      <c r="GY8" s="1116"/>
      <c r="GZ8" s="1116">
        <v>44</v>
      </c>
      <c r="HA8" s="1116"/>
      <c r="HB8" s="1116"/>
      <c r="HC8" s="1116"/>
      <c r="HD8" s="1116"/>
      <c r="HE8" s="1116">
        <v>10</v>
      </c>
      <c r="HF8" s="1116"/>
      <c r="HG8" s="1116">
        <v>200</v>
      </c>
      <c r="HH8" s="1116"/>
      <c r="HI8" s="1116"/>
      <c r="HJ8" s="1116"/>
      <c r="HK8" s="1116"/>
      <c r="HL8" s="1116"/>
      <c r="HM8" s="1116">
        <v>35</v>
      </c>
      <c r="HN8" s="1116">
        <v>35</v>
      </c>
      <c r="HO8" s="1116">
        <v>100</v>
      </c>
      <c r="HP8" s="1116"/>
      <c r="HQ8" s="1116"/>
      <c r="HR8" s="1116">
        <v>700</v>
      </c>
      <c r="HS8" s="1116"/>
    </row>
    <row r="9" spans="1:227" s="754" customFormat="1" ht="15.75" customHeight="1">
      <c r="A9" s="749">
        <f>Eingabedaten!A15</f>
        <v>3.03</v>
      </c>
      <c r="B9" s="750" t="str">
        <f>Eingabedaten!C15</f>
        <v>Sitzungszimmer</v>
      </c>
      <c r="C9" s="751" t="s">
        <v>5</v>
      </c>
      <c r="D9" s="753"/>
      <c r="E9" s="753"/>
      <c r="F9" s="753">
        <v>5</v>
      </c>
      <c r="G9" s="753"/>
      <c r="H9" s="752">
        <v>5</v>
      </c>
      <c r="I9" s="753"/>
      <c r="J9" s="753"/>
      <c r="K9" s="752">
        <v>5</v>
      </c>
      <c r="L9" s="753"/>
      <c r="M9" s="753"/>
      <c r="N9" s="753"/>
      <c r="O9" s="753"/>
      <c r="P9" s="753"/>
      <c r="Q9" s="753"/>
      <c r="R9" s="753"/>
      <c r="S9" s="753"/>
      <c r="T9" s="753"/>
      <c r="U9" s="753"/>
      <c r="V9" s="753"/>
      <c r="W9" s="753"/>
      <c r="X9" s="753"/>
      <c r="Y9" s="753"/>
      <c r="AA9" s="809">
        <v>0</v>
      </c>
      <c r="AC9" s="773" t="s">
        <v>1181</v>
      </c>
      <c r="AE9" s="1099">
        <f>SUMPRODUCT(KZ_Raum_2024!$AD$7:$AD$51,'Fläche-L'!D$3:D$47)/100*$AD$1</f>
        <v>0</v>
      </c>
      <c r="AF9" s="1053">
        <f>SUMPRODUCT(KZ_Raum_2024!$AD$7:$AD$51,'Fläche-L'!E$3:E$47)/100*$AD$1</f>
        <v>0</v>
      </c>
      <c r="AG9" s="1053">
        <f>SUMPRODUCT(KZ_Raum_2024!$AD$7:$AD$51,'Fläche-L'!F$3:F$47)/100*$AD$1</f>
        <v>0</v>
      </c>
      <c r="AH9" s="1053">
        <f>SUMPRODUCT(KZ_Raum_2024!$AD$7:$AD$51,'Fläche-L'!G$3:G$47)/100*$AD$1</f>
        <v>0</v>
      </c>
      <c r="AI9" s="1053">
        <f>SUMPRODUCT(KZ_Raum_2024!$AD$7:$AD$51,'Fläche-L'!H$3:H$47)/100*$AD$1</f>
        <v>1.2000000000000002</v>
      </c>
      <c r="AJ9" s="1053">
        <f>SUMPRODUCT(KZ_Raum_2024!$AD$7:$AD$51,'Fläche-L'!I$3:I$47)/100*$AD$1</f>
        <v>0</v>
      </c>
      <c r="AK9" s="1053">
        <f>SUMPRODUCT(KZ_Raum_2024!$AD$7:$AD$51,'Fläche-L'!J$3:J$47)/100*$AD$1</f>
        <v>0</v>
      </c>
      <c r="AL9" s="1053">
        <f>SUMPRODUCT(KZ_Raum_2024!$AD$7:$AD$51,'Fläche-L'!K$3:K$47)/100*$AD$1</f>
        <v>1.2000000000000002</v>
      </c>
      <c r="AM9" s="1053">
        <f>SUMPRODUCT(KZ_Raum_2024!$AD$7:$AD$51,'Fläche-L'!L$3:L$47)/100*$AD$1</f>
        <v>0</v>
      </c>
      <c r="AN9" s="1053">
        <f>SUMPRODUCT(KZ_Raum_2024!$AD$7:$AD$51,'Fläche-L'!M$3:M$47)/100*$AD$1</f>
        <v>49.6</v>
      </c>
      <c r="AO9" s="1053">
        <f>SUMPRODUCT(KZ_Raum_2024!$AD$7:$AD$51,'Fläche-L'!N$3:N$47)/100*$AD$1</f>
        <v>0</v>
      </c>
      <c r="AP9" s="1053">
        <f>SUMPRODUCT(KZ_Raum_2024!$AD$7:$AD$51,'Fläche-L'!O$3:O$47)/100*$AD$1</f>
        <v>0</v>
      </c>
      <c r="AQ9" s="1053">
        <f>SUMPRODUCT(KZ_Raum_2024!$AD$7:$AD$51,'Fläche-L'!P$3:P$47)/100*$AD$1</f>
        <v>16.8</v>
      </c>
      <c r="AR9" s="1053">
        <f>SUMPRODUCT(KZ_Raum_2024!$AD$7:$AD$51,'Fläche-L'!Q$3:Q$47)/100*$AD$1</f>
        <v>0</v>
      </c>
      <c r="AS9" s="1053">
        <f>SUMPRODUCT(KZ_Raum_2024!$AD$7:$AD$51,'Fläche-L'!R$3:R$47)/100*$AD$1</f>
        <v>1.2000000000000002</v>
      </c>
      <c r="AT9" s="1053">
        <f>SUMPRODUCT(KZ_Raum_2024!$AD$7:$AD$51,'Fläche-L'!S$3:S$47)/100*$AD$1</f>
        <v>1.8</v>
      </c>
      <c r="AU9" s="1053">
        <f>SUMPRODUCT(KZ_Raum_2024!$AD$7:$AD$51,'Fläche-L'!T$3:T$47)/100*$AD$1</f>
        <v>0.60000000000000009</v>
      </c>
      <c r="AV9" s="1053">
        <f>SUMPRODUCT(KZ_Raum_2024!$AD$7:$AD$51,'Fläche-L'!U$3:U$47)/100*$AD$1</f>
        <v>5.2</v>
      </c>
      <c r="AW9" s="1053">
        <f>SUMPRODUCT(KZ_Raum_2024!$AD$7:$AD$51,'Fläche-L'!V$3:V$47)/100*$AD$1</f>
        <v>0</v>
      </c>
      <c r="AX9" s="1053">
        <f>SUMPRODUCT(KZ_Raum_2024!$AD$7:$AD$51,'Fläche-L'!W$3:W$47)/100*$AD$1</f>
        <v>0</v>
      </c>
      <c r="AY9" s="1053">
        <f>SUMPRODUCT(KZ_Raum_2024!$AD$7:$AD$51,'Fläche-L'!X$3:X$47)/100*$AD$1</f>
        <v>48</v>
      </c>
      <c r="AZ9" s="1054">
        <f>SUMPRODUCT(KZ_Raum_2024!$AD$7:$AD$51,'Fläche-L'!Y$3:Y$47)/100*$AD$1</f>
        <v>0</v>
      </c>
      <c r="BC9" s="755" t="s">
        <v>1099</v>
      </c>
      <c r="BD9" s="756" t="s">
        <v>16</v>
      </c>
      <c r="BE9" s="751">
        <v>0.7</v>
      </c>
      <c r="BF9" s="751"/>
      <c r="BG9" s="751"/>
      <c r="BH9" s="751">
        <v>0.7</v>
      </c>
      <c r="BI9" s="751">
        <v>0.9</v>
      </c>
      <c r="BJ9" s="751">
        <v>0.9</v>
      </c>
      <c r="BK9" s="751"/>
      <c r="BL9" s="751"/>
      <c r="BM9" s="751">
        <v>0.8</v>
      </c>
      <c r="BN9" s="751"/>
      <c r="BO9" s="751"/>
      <c r="BP9" s="751"/>
      <c r="BQ9" s="751">
        <v>0.7</v>
      </c>
      <c r="BR9" s="751">
        <v>0.8</v>
      </c>
      <c r="BS9" s="751">
        <v>0.7</v>
      </c>
      <c r="BT9" s="751"/>
      <c r="BU9" s="751"/>
      <c r="BV9" s="751">
        <v>0.9</v>
      </c>
      <c r="BW9" s="751">
        <v>0.9</v>
      </c>
      <c r="BX9" s="751">
        <v>0.9</v>
      </c>
      <c r="BY9" s="751">
        <v>0.7</v>
      </c>
      <c r="BZ9" s="751"/>
      <c r="CB9" s="755" t="s">
        <v>1099</v>
      </c>
      <c r="CC9" s="756" t="s">
        <v>16</v>
      </c>
      <c r="CD9" s="1111">
        <f>ROUND((AE3+AE4)/CD8,1)</f>
        <v>0.8</v>
      </c>
      <c r="CE9" s="1112"/>
      <c r="CF9" s="1112"/>
      <c r="CG9" s="1111">
        <f t="shared" ref="CG9:CO9" si="31">ROUND((AH3+AH4)/CG8,1)</f>
        <v>0.9</v>
      </c>
      <c r="CH9" s="766">
        <f t="shared" si="31"/>
        <v>0.7</v>
      </c>
      <c r="CI9" s="1106">
        <f t="shared" si="31"/>
        <v>0.7</v>
      </c>
      <c r="CJ9" s="766">
        <f t="shared" si="31"/>
        <v>0.7</v>
      </c>
      <c r="CK9" s="766">
        <f t="shared" si="31"/>
        <v>0.5</v>
      </c>
      <c r="CL9" s="766">
        <f t="shared" si="31"/>
        <v>0.5</v>
      </c>
      <c r="CM9" s="813">
        <f t="shared" si="31"/>
        <v>0.5</v>
      </c>
      <c r="CN9" s="813">
        <f t="shared" si="31"/>
        <v>0.5</v>
      </c>
      <c r="CO9" s="813">
        <f t="shared" si="31"/>
        <v>0.4</v>
      </c>
      <c r="CP9" s="766">
        <f>ROUND((AQ3+AQ4)/CP8,1)</f>
        <v>0.3</v>
      </c>
      <c r="CQ9" s="1106">
        <f t="shared" ref="CQ9:CX9" si="32">ROUND((AR3+AR4)/CQ8,1)</f>
        <v>0.5</v>
      </c>
      <c r="CR9" s="766">
        <f t="shared" si="32"/>
        <v>0.5</v>
      </c>
      <c r="CS9" s="766">
        <f t="shared" si="32"/>
        <v>0.5</v>
      </c>
      <c r="CT9" s="766">
        <f t="shared" si="32"/>
        <v>0.4</v>
      </c>
      <c r="CU9" s="766">
        <f t="shared" si="32"/>
        <v>0.5</v>
      </c>
      <c r="CV9" s="1106">
        <f t="shared" si="32"/>
        <v>0.7</v>
      </c>
      <c r="CW9" s="1106">
        <f t="shared" si="32"/>
        <v>0.6</v>
      </c>
      <c r="CX9" s="1106">
        <f t="shared" si="32"/>
        <v>0.4</v>
      </c>
      <c r="CY9" s="759"/>
      <c r="DB9" s="764" t="s">
        <v>1097</v>
      </c>
      <c r="DC9" s="756" t="s">
        <v>134</v>
      </c>
      <c r="DD9" s="751">
        <f>DD8-(AE8/0.67)</f>
        <v>4.2268656716417876</v>
      </c>
      <c r="DE9" s="751"/>
      <c r="DF9" s="751"/>
      <c r="DG9" s="751"/>
      <c r="DH9" s="751">
        <f>DH8-(AI8/0.67)</f>
        <v>0.70537535414901997</v>
      </c>
      <c r="DI9" s="751">
        <f>DI8-(AJ8/0.67)</f>
        <v>1.3039613995273076</v>
      </c>
      <c r="DJ9" s="751"/>
      <c r="DK9" s="751"/>
      <c r="DL9" s="751"/>
      <c r="DM9" s="751">
        <f>DM8-(AN8/0.67)</f>
        <v>0.5576656833250575</v>
      </c>
      <c r="DN9" s="751">
        <f>DN8-(AO8/0.67)</f>
        <v>0.5576656833250575</v>
      </c>
      <c r="DO9" s="751"/>
      <c r="DP9" s="751">
        <f>DP8-(AQ8/0.67)</f>
        <v>14.353298478254523</v>
      </c>
      <c r="DQ9" s="750"/>
      <c r="DR9" s="750"/>
      <c r="DS9" s="750"/>
      <c r="DT9" s="750"/>
      <c r="DU9" s="750"/>
      <c r="DV9" s="750"/>
      <c r="DW9" s="750"/>
      <c r="DZ9" s="800" t="s">
        <v>1146</v>
      </c>
      <c r="EA9" s="797" t="s">
        <v>134</v>
      </c>
      <c r="EB9" s="807">
        <v>55</v>
      </c>
      <c r="EC9" s="807"/>
      <c r="ED9" s="807"/>
      <c r="EE9" s="807">
        <v>55</v>
      </c>
      <c r="EF9" s="807">
        <v>110</v>
      </c>
      <c r="EG9" s="807">
        <v>45</v>
      </c>
      <c r="EH9" s="807"/>
      <c r="EI9" s="807"/>
      <c r="EJ9" s="807">
        <v>120</v>
      </c>
      <c r="EK9" s="807"/>
      <c r="EL9" s="807"/>
      <c r="EM9" s="807"/>
      <c r="EN9" s="807">
        <v>100</v>
      </c>
      <c r="EO9" s="807">
        <v>55</v>
      </c>
      <c r="EP9" s="807">
        <v>110</v>
      </c>
      <c r="EQ9" s="807"/>
      <c r="ER9" s="807"/>
      <c r="ES9" s="807">
        <v>80</v>
      </c>
      <c r="ET9" s="807">
        <v>55</v>
      </c>
      <c r="EU9" s="807">
        <v>55</v>
      </c>
      <c r="EX9" s="800" t="s">
        <v>1203</v>
      </c>
      <c r="EY9" s="797" t="s">
        <v>134</v>
      </c>
      <c r="EZ9" s="807">
        <f>EB9/2</f>
        <v>27.5</v>
      </c>
      <c r="FA9" s="807">
        <f t="shared" si="15"/>
        <v>0</v>
      </c>
      <c r="FB9" s="807">
        <f t="shared" si="15"/>
        <v>0</v>
      </c>
      <c r="FC9" s="807">
        <f t="shared" si="15"/>
        <v>27.5</v>
      </c>
      <c r="FD9" s="807">
        <f t="shared" si="15"/>
        <v>55</v>
      </c>
      <c r="FE9" s="807">
        <f t="shared" si="15"/>
        <v>22.5</v>
      </c>
      <c r="FF9" s="807">
        <f t="shared" si="15"/>
        <v>0</v>
      </c>
      <c r="FG9" s="807">
        <f t="shared" si="15"/>
        <v>0</v>
      </c>
      <c r="FH9" s="807">
        <f t="shared" si="15"/>
        <v>60</v>
      </c>
      <c r="FI9" s="807">
        <f t="shared" si="15"/>
        <v>0</v>
      </c>
      <c r="FJ9" s="807">
        <f t="shared" si="15"/>
        <v>0</v>
      </c>
      <c r="FK9" s="807">
        <f t="shared" si="16"/>
        <v>0</v>
      </c>
      <c r="FL9" s="807">
        <f t="shared" si="16"/>
        <v>50</v>
      </c>
      <c r="FM9" s="807">
        <f t="shared" si="16"/>
        <v>27.5</v>
      </c>
      <c r="FN9" s="807">
        <f t="shared" si="16"/>
        <v>55</v>
      </c>
      <c r="FO9" s="807">
        <f t="shared" si="16"/>
        <v>0</v>
      </c>
      <c r="FP9" s="807">
        <f t="shared" si="16"/>
        <v>0</v>
      </c>
      <c r="FQ9" s="807">
        <f t="shared" si="16"/>
        <v>40</v>
      </c>
      <c r="FR9" s="807">
        <f t="shared" si="16"/>
        <v>27.5</v>
      </c>
      <c r="FS9" s="807">
        <f t="shared" si="16"/>
        <v>27.5</v>
      </c>
      <c r="FT9" s="801">
        <f t="shared" si="16"/>
        <v>0</v>
      </c>
      <c r="FU9" s="797">
        <f t="shared" si="16"/>
        <v>0</v>
      </c>
      <c r="FV9" s="797"/>
      <c r="FW9" s="773" t="s">
        <v>17</v>
      </c>
      <c r="FX9" s="754" t="s">
        <v>134</v>
      </c>
      <c r="FY9" s="808">
        <f t="shared" ref="FY9:GT9" si="33">AE4</f>
        <v>2.338833333333334</v>
      </c>
      <c r="FZ9" s="808">
        <f t="shared" si="33"/>
        <v>2.338833333333334</v>
      </c>
      <c r="GA9" s="808">
        <f t="shared" si="33"/>
        <v>4.434222222222223</v>
      </c>
      <c r="GB9" s="808">
        <f t="shared" si="33"/>
        <v>2.3318888888888898</v>
      </c>
      <c r="GC9" s="808">
        <f t="shared" si="33"/>
        <v>5.5077111111111119</v>
      </c>
      <c r="GD9" s="808">
        <f t="shared" si="33"/>
        <v>5.0171746031746025</v>
      </c>
      <c r="GE9" s="808">
        <f t="shared" si="33"/>
        <v>5.0171746031746025</v>
      </c>
      <c r="GF9" s="808">
        <f t="shared" si="33"/>
        <v>4.8013746031746036</v>
      </c>
      <c r="GG9" s="808">
        <f t="shared" si="33"/>
        <v>6.7804518518518506</v>
      </c>
      <c r="GH9" s="808">
        <f t="shared" si="33"/>
        <v>6.7783333333333324</v>
      </c>
      <c r="GI9" s="808">
        <f t="shared" si="33"/>
        <v>6.7804518518518506</v>
      </c>
      <c r="GJ9" s="808">
        <f t="shared" si="33"/>
        <v>5.664451851851851</v>
      </c>
      <c r="GK9" s="808">
        <f t="shared" si="33"/>
        <v>3.7931111111111115</v>
      </c>
      <c r="GL9" s="808">
        <f t="shared" si="33"/>
        <v>4.7882222222222222</v>
      </c>
      <c r="GM9" s="808">
        <f t="shared" si="33"/>
        <v>4.8953333333333342</v>
      </c>
      <c r="GN9" s="808">
        <f t="shared" si="33"/>
        <v>5.267555555555556</v>
      </c>
      <c r="GO9" s="808">
        <f t="shared" si="33"/>
        <v>4.5146666666666668</v>
      </c>
      <c r="GP9" s="808">
        <f t="shared" si="33"/>
        <v>4.186866666666667</v>
      </c>
      <c r="GQ9" s="808">
        <f t="shared" si="33"/>
        <v>3.1382170940170955</v>
      </c>
      <c r="GR9" s="808">
        <f t="shared" si="33"/>
        <v>5.4637037037037031</v>
      </c>
      <c r="GS9" s="808">
        <f t="shared" si="33"/>
        <v>4.1665925925925933</v>
      </c>
      <c r="GT9" s="808">
        <f t="shared" si="33"/>
        <v>0.74114529914529925</v>
      </c>
      <c r="GV9" s="773" t="s">
        <v>17</v>
      </c>
      <c r="GW9" s="754" t="s">
        <v>134</v>
      </c>
      <c r="GX9" s="724"/>
      <c r="GY9" s="1116">
        <v>4.0999999999999996</v>
      </c>
      <c r="GZ9" s="1116">
        <v>6.4</v>
      </c>
      <c r="HA9" s="1116">
        <v>3.6</v>
      </c>
      <c r="HB9" s="1116">
        <v>10.1</v>
      </c>
      <c r="HC9" s="1116"/>
      <c r="HD9" s="1116">
        <v>8.6999999999999993</v>
      </c>
      <c r="HE9" s="1116">
        <v>9.1999999999999993</v>
      </c>
      <c r="HF9" s="1116"/>
      <c r="HG9" s="1116">
        <v>30.9</v>
      </c>
      <c r="HH9" s="1116">
        <v>31</v>
      </c>
      <c r="HI9" s="1116"/>
      <c r="HJ9" s="1116">
        <v>12.1</v>
      </c>
      <c r="HK9" s="1116">
        <v>15.8</v>
      </c>
      <c r="HL9" s="1116"/>
      <c r="HM9" s="1116">
        <v>13.7</v>
      </c>
      <c r="HN9" s="1116">
        <v>11.2</v>
      </c>
      <c r="HO9" s="1116">
        <v>12.9</v>
      </c>
      <c r="HP9" s="1116">
        <v>17.7</v>
      </c>
      <c r="HQ9" s="1116">
        <v>13.2</v>
      </c>
      <c r="HR9" s="1116">
        <v>11.2</v>
      </c>
      <c r="HS9" s="1116">
        <v>2</v>
      </c>
    </row>
    <row r="10" spans="1:227" s="754" customFormat="1" ht="15.75" customHeight="1">
      <c r="A10" s="749">
        <f>Eingabedaten!A16</f>
        <v>3.04</v>
      </c>
      <c r="B10" s="750" t="str">
        <f>Eingabedaten!C16</f>
        <v>Schalterhalle, Empfang</v>
      </c>
      <c r="C10" s="751" t="s">
        <v>5</v>
      </c>
      <c r="D10" s="753"/>
      <c r="E10" s="753"/>
      <c r="F10" s="753"/>
      <c r="G10" s="753"/>
      <c r="H10" s="753">
        <v>5</v>
      </c>
      <c r="I10" s="753"/>
      <c r="J10" s="753"/>
      <c r="K10" s="752">
        <v>5</v>
      </c>
      <c r="L10" s="753"/>
      <c r="M10" s="753"/>
      <c r="N10" s="753"/>
      <c r="O10" s="753"/>
      <c r="P10" s="753"/>
      <c r="Q10" s="753"/>
      <c r="R10" s="753"/>
      <c r="S10" s="753"/>
      <c r="T10" s="753"/>
      <c r="U10" s="753"/>
      <c r="V10" s="753"/>
      <c r="W10" s="753"/>
      <c r="X10" s="753"/>
      <c r="Y10" s="753"/>
      <c r="AA10" s="769">
        <f>1/Eingabedaten!AP16</f>
        <v>8.3333333333333329E-2</v>
      </c>
      <c r="AC10" s="773" t="s">
        <v>1402</v>
      </c>
      <c r="AD10" s="774" t="s">
        <v>24</v>
      </c>
      <c r="AE10" s="1100">
        <f>SUM(AE3:AE5)</f>
        <v>9.4599533333333348</v>
      </c>
      <c r="AF10" s="780">
        <f>SUM(AF3:AF5)</f>
        <v>9.4599533333333348</v>
      </c>
      <c r="AG10" s="780">
        <f t="shared" ref="AG10:AZ10" si="34">SUM(AG3:AG5)</f>
        <v>11.736126984126985</v>
      </c>
      <c r="AH10" s="780">
        <f t="shared" si="34"/>
        <v>9.7143048888888899</v>
      </c>
      <c r="AI10" s="780">
        <f>SUM(AI3:AI5)</f>
        <v>12.984755873015875</v>
      </c>
      <c r="AJ10" s="780">
        <f t="shared" si="34"/>
        <v>9.9340500317460325</v>
      </c>
      <c r="AK10" s="780">
        <f>SUM(AK3:AK5)</f>
        <v>9.9340500317460325</v>
      </c>
      <c r="AL10" s="780">
        <f>SUM(AL3:AL5)</f>
        <v>11.547390793650793</v>
      </c>
      <c r="AM10" s="780">
        <f t="shared" si="34"/>
        <v>9.2886232804232804</v>
      </c>
      <c r="AN10" s="780">
        <f t="shared" si="34"/>
        <v>9.2842647619047618</v>
      </c>
      <c r="AO10" s="780">
        <f t="shared" si="34"/>
        <v>9.2886232804232804</v>
      </c>
      <c r="AP10" s="780">
        <f t="shared" si="34"/>
        <v>7.7260232804232798</v>
      </c>
      <c r="AQ10" s="780">
        <f t="shared" si="34"/>
        <v>9.6029758730158736</v>
      </c>
      <c r="AR10" s="780">
        <f t="shared" si="34"/>
        <v>10.050593650793651</v>
      </c>
      <c r="AS10" s="780">
        <f t="shared" si="34"/>
        <v>9.8538380952380962</v>
      </c>
      <c r="AT10" s="780">
        <f t="shared" si="34"/>
        <v>10.671126984126985</v>
      </c>
      <c r="AU10" s="780">
        <f t="shared" si="34"/>
        <v>9.2996380952380946</v>
      </c>
      <c r="AV10" s="780">
        <f t="shared" si="34"/>
        <v>7.7115492063492068</v>
      </c>
      <c r="AW10" s="780">
        <f t="shared" si="34"/>
        <v>5.0348551892551914</v>
      </c>
      <c r="AX10" s="780">
        <f t="shared" si="34"/>
        <v>6.9269037037037027</v>
      </c>
      <c r="AY10" s="780">
        <f t="shared" si="34"/>
        <v>7.6701640211640223</v>
      </c>
      <c r="AZ10" s="781">
        <f t="shared" si="34"/>
        <v>1.4777452991452993</v>
      </c>
      <c r="BC10" s="764" t="s">
        <v>1196</v>
      </c>
      <c r="BD10" s="756" t="s">
        <v>1101</v>
      </c>
      <c r="BE10" s="760">
        <f>BE8*BE9</f>
        <v>19.599999999999998</v>
      </c>
      <c r="BF10" s="760">
        <f t="shared" ref="BF10:BY10" si="35">BF8*BF9</f>
        <v>0</v>
      </c>
      <c r="BG10" s="760">
        <f t="shared" si="35"/>
        <v>0</v>
      </c>
      <c r="BH10" s="760">
        <f t="shared" si="35"/>
        <v>15.399999999999999</v>
      </c>
      <c r="BI10" s="760">
        <f t="shared" si="35"/>
        <v>19.8</v>
      </c>
      <c r="BJ10" s="760">
        <f t="shared" si="35"/>
        <v>9.9</v>
      </c>
      <c r="BK10" s="760">
        <f t="shared" si="35"/>
        <v>0</v>
      </c>
      <c r="BL10" s="760">
        <f t="shared" si="35"/>
        <v>0</v>
      </c>
      <c r="BM10" s="760">
        <f t="shared" si="35"/>
        <v>26.400000000000002</v>
      </c>
      <c r="BN10" s="760">
        <f t="shared" si="35"/>
        <v>0</v>
      </c>
      <c r="BO10" s="760">
        <f t="shared" si="35"/>
        <v>0</v>
      </c>
      <c r="BP10" s="760">
        <f t="shared" si="35"/>
        <v>0</v>
      </c>
      <c r="BQ10" s="760">
        <f t="shared" si="35"/>
        <v>23.099999999999998</v>
      </c>
      <c r="BR10" s="760">
        <f t="shared" si="35"/>
        <v>13.600000000000001</v>
      </c>
      <c r="BS10" s="760">
        <f t="shared" si="35"/>
        <v>19.599999999999998</v>
      </c>
      <c r="BT10" s="760">
        <f t="shared" si="35"/>
        <v>0</v>
      </c>
      <c r="BU10" s="760">
        <f t="shared" si="35"/>
        <v>0</v>
      </c>
      <c r="BV10" s="760">
        <f t="shared" si="35"/>
        <v>15.3</v>
      </c>
      <c r="BW10" s="760">
        <f t="shared" si="35"/>
        <v>5.4</v>
      </c>
      <c r="BX10" s="760">
        <f t="shared" si="35"/>
        <v>5.4</v>
      </c>
      <c r="BY10" s="760">
        <f t="shared" si="35"/>
        <v>39.199999999999996</v>
      </c>
      <c r="BZ10" s="751"/>
      <c r="CB10" s="764" t="s">
        <v>1404</v>
      </c>
      <c r="CC10" s="756" t="s">
        <v>1101</v>
      </c>
      <c r="CD10" s="1107">
        <f>CD8*CD9</f>
        <v>9.6000000000000014</v>
      </c>
      <c r="CE10" s="1107">
        <f t="shared" ref="CE10:CX10" si="36">CE8*CE9</f>
        <v>0</v>
      </c>
      <c r="CF10" s="1108">
        <f t="shared" si="36"/>
        <v>0</v>
      </c>
      <c r="CG10" s="879">
        <f t="shared" si="36"/>
        <v>9.9</v>
      </c>
      <c r="CH10" s="879">
        <f t="shared" si="36"/>
        <v>11.899999999999999</v>
      </c>
      <c r="CI10" s="1109">
        <f t="shared" si="36"/>
        <v>9.1</v>
      </c>
      <c r="CJ10" s="1109">
        <f t="shared" si="36"/>
        <v>9.1</v>
      </c>
      <c r="CK10" s="1109">
        <f t="shared" si="36"/>
        <v>10</v>
      </c>
      <c r="CL10" s="1109">
        <f t="shared" si="36"/>
        <v>9</v>
      </c>
      <c r="CM10" s="1108">
        <f t="shared" si="36"/>
        <v>9</v>
      </c>
      <c r="CN10" s="1108">
        <f t="shared" si="36"/>
        <v>9</v>
      </c>
      <c r="CO10" s="1108">
        <f t="shared" si="36"/>
        <v>6.4</v>
      </c>
      <c r="CP10" s="879">
        <f t="shared" si="36"/>
        <v>5.7</v>
      </c>
      <c r="CQ10" s="1109">
        <f t="shared" si="36"/>
        <v>7</v>
      </c>
      <c r="CR10" s="879">
        <f t="shared" si="36"/>
        <v>9.5</v>
      </c>
      <c r="CS10" s="1109">
        <f t="shared" si="36"/>
        <v>10</v>
      </c>
      <c r="CT10" s="1109">
        <f t="shared" si="36"/>
        <v>7.6000000000000005</v>
      </c>
      <c r="CU10" s="1109">
        <f t="shared" si="36"/>
        <v>7.5</v>
      </c>
      <c r="CV10" s="1109">
        <f t="shared" si="36"/>
        <v>4.8999999999999995</v>
      </c>
      <c r="CW10" s="1109">
        <f t="shared" si="36"/>
        <v>6</v>
      </c>
      <c r="CX10" s="879">
        <f t="shared" si="36"/>
        <v>6</v>
      </c>
      <c r="CY10" s="759"/>
      <c r="DB10" s="755" t="s">
        <v>1095</v>
      </c>
      <c r="DC10" s="756" t="s">
        <v>134</v>
      </c>
      <c r="DD10" s="760">
        <f>SUM(DD3:DD5)</f>
        <v>15</v>
      </c>
      <c r="DE10" s="760"/>
      <c r="DF10" s="760"/>
      <c r="DG10" s="760"/>
      <c r="DH10" s="760">
        <f>SUM(DH3:DH5)</f>
        <v>29</v>
      </c>
      <c r="DI10" s="760">
        <f>SUM(DI3:DI5)</f>
        <v>13</v>
      </c>
      <c r="DJ10" s="760"/>
      <c r="DK10" s="760"/>
      <c r="DL10" s="751"/>
      <c r="DM10" s="760">
        <f>SUM(DM3:DM5)</f>
        <v>242</v>
      </c>
      <c r="DN10" s="760">
        <f>SUM(DN3:DN5)</f>
        <v>40</v>
      </c>
      <c r="DO10" s="751"/>
      <c r="DP10" s="760">
        <f>SUM(DP3:DP5)</f>
        <v>67</v>
      </c>
      <c r="DQ10" s="750"/>
      <c r="DR10" s="750"/>
      <c r="DS10" s="750"/>
      <c r="DT10" s="750"/>
      <c r="DU10" s="750"/>
      <c r="DV10" s="750"/>
      <c r="DW10" s="750"/>
      <c r="DZ10" s="773" t="s">
        <v>1147</v>
      </c>
      <c r="EA10" s="754" t="s">
        <v>134</v>
      </c>
      <c r="EB10" s="769">
        <f>EB8-EB9</f>
        <v>17</v>
      </c>
      <c r="EC10" s="769">
        <f t="shared" ref="EC10:EU10" si="37">EC8-EC9</f>
        <v>0</v>
      </c>
      <c r="ED10" s="769">
        <f t="shared" si="37"/>
        <v>0</v>
      </c>
      <c r="EE10" s="769">
        <f t="shared" si="37"/>
        <v>15</v>
      </c>
      <c r="EF10" s="769">
        <f t="shared" si="37"/>
        <v>27</v>
      </c>
      <c r="EG10" s="769">
        <f t="shared" si="37"/>
        <v>27</v>
      </c>
      <c r="EH10" s="769">
        <f t="shared" si="37"/>
        <v>0</v>
      </c>
      <c r="EI10" s="769">
        <f t="shared" si="37"/>
        <v>0</v>
      </c>
      <c r="EJ10" s="769">
        <f t="shared" si="37"/>
        <v>36</v>
      </c>
      <c r="EK10" s="769">
        <f t="shared" si="37"/>
        <v>0</v>
      </c>
      <c r="EL10" s="769">
        <f t="shared" si="37"/>
        <v>0</v>
      </c>
      <c r="EM10" s="769">
        <f t="shared" si="37"/>
        <v>0</v>
      </c>
      <c r="EN10" s="769">
        <f t="shared" si="37"/>
        <v>23</v>
      </c>
      <c r="EO10" s="769">
        <f t="shared" si="37"/>
        <v>19</v>
      </c>
      <c r="EP10" s="769">
        <f t="shared" si="37"/>
        <v>31</v>
      </c>
      <c r="EQ10" s="769"/>
      <c r="ER10" s="769"/>
      <c r="ES10" s="769">
        <f t="shared" si="37"/>
        <v>4</v>
      </c>
      <c r="ET10" s="769">
        <f t="shared" si="37"/>
        <v>7</v>
      </c>
      <c r="EU10" s="769">
        <f t="shared" si="37"/>
        <v>2</v>
      </c>
      <c r="EX10" s="773" t="s">
        <v>1202</v>
      </c>
      <c r="EY10" s="754" t="s">
        <v>134</v>
      </c>
      <c r="EZ10" s="769">
        <f>EZ8-EZ9</f>
        <v>8.5</v>
      </c>
      <c r="FA10" s="769">
        <f t="shared" ref="FA10:FU10" si="38">FA8-FA9</f>
        <v>0</v>
      </c>
      <c r="FB10" s="769">
        <f t="shared" si="38"/>
        <v>0</v>
      </c>
      <c r="FC10" s="769">
        <f t="shared" si="38"/>
        <v>7.5</v>
      </c>
      <c r="FD10" s="769">
        <f t="shared" si="38"/>
        <v>13.5</v>
      </c>
      <c r="FE10" s="769">
        <f t="shared" si="38"/>
        <v>13.5</v>
      </c>
      <c r="FF10" s="769">
        <f t="shared" si="38"/>
        <v>0</v>
      </c>
      <c r="FG10" s="769">
        <f t="shared" si="38"/>
        <v>0</v>
      </c>
      <c r="FH10" s="769">
        <f t="shared" si="38"/>
        <v>18</v>
      </c>
      <c r="FI10" s="769">
        <f t="shared" si="38"/>
        <v>0</v>
      </c>
      <c r="FJ10" s="769">
        <f t="shared" si="38"/>
        <v>0</v>
      </c>
      <c r="FK10" s="769">
        <f t="shared" si="38"/>
        <v>0</v>
      </c>
      <c r="FL10" s="769">
        <f t="shared" si="38"/>
        <v>11.5</v>
      </c>
      <c r="FM10" s="769">
        <f t="shared" si="38"/>
        <v>9.5</v>
      </c>
      <c r="FN10" s="769">
        <f t="shared" si="38"/>
        <v>15.5</v>
      </c>
      <c r="FO10" s="769">
        <f t="shared" si="38"/>
        <v>0</v>
      </c>
      <c r="FP10" s="769">
        <f t="shared" si="38"/>
        <v>0</v>
      </c>
      <c r="FQ10" s="769">
        <f t="shared" si="38"/>
        <v>2</v>
      </c>
      <c r="FR10" s="769">
        <f t="shared" si="38"/>
        <v>3.5</v>
      </c>
      <c r="FS10" s="769">
        <f t="shared" si="38"/>
        <v>1</v>
      </c>
      <c r="FT10" s="774">
        <f t="shared" si="38"/>
        <v>0</v>
      </c>
      <c r="FU10" s="754">
        <f t="shared" si="38"/>
        <v>0</v>
      </c>
      <c r="FW10" s="773" t="s">
        <v>1143</v>
      </c>
      <c r="FX10" s="754" t="s">
        <v>134</v>
      </c>
      <c r="FY10" s="808">
        <f t="shared" ref="FY10:GT10" si="39">AE11</f>
        <v>3</v>
      </c>
      <c r="FZ10" s="808">
        <f t="shared" si="39"/>
        <v>3</v>
      </c>
      <c r="GA10" s="808">
        <f t="shared" si="39"/>
        <v>8.1999999999999993</v>
      </c>
      <c r="GB10" s="808">
        <f t="shared" si="39"/>
        <v>1.4</v>
      </c>
      <c r="GC10" s="808">
        <f t="shared" si="39"/>
        <v>3.6</v>
      </c>
      <c r="GD10" s="808">
        <f t="shared" si="39"/>
        <v>3.3</v>
      </c>
      <c r="GE10" s="808">
        <f t="shared" si="39"/>
        <v>3.3</v>
      </c>
      <c r="GF10" s="808">
        <f t="shared" si="39"/>
        <v>8</v>
      </c>
      <c r="GG10" s="808">
        <f t="shared" si="39"/>
        <v>8.4</v>
      </c>
      <c r="GH10" s="808">
        <f t="shared" si="39"/>
        <v>8.4</v>
      </c>
      <c r="GI10" s="808">
        <f t="shared" si="39"/>
        <v>8.4</v>
      </c>
      <c r="GJ10" s="808">
        <f t="shared" si="39"/>
        <v>8.4</v>
      </c>
      <c r="GK10" s="808">
        <f t="shared" si="39"/>
        <v>9.5</v>
      </c>
      <c r="GL10" s="808">
        <f t="shared" si="39"/>
        <v>4.0999999999999996</v>
      </c>
      <c r="GM10" s="808">
        <f t="shared" si="39"/>
        <v>9.3000000000000007</v>
      </c>
      <c r="GN10" s="808">
        <f t="shared" si="39"/>
        <v>9.3000000000000007</v>
      </c>
      <c r="GO10" s="808">
        <f t="shared" si="39"/>
        <v>9.3000000000000007</v>
      </c>
      <c r="GP10" s="808">
        <f t="shared" si="39"/>
        <v>7.7</v>
      </c>
      <c r="GQ10" s="808">
        <f t="shared" si="39"/>
        <v>1.7</v>
      </c>
      <c r="GR10" s="808">
        <f t="shared" si="39"/>
        <v>3.4</v>
      </c>
      <c r="GS10" s="808">
        <f t="shared" si="39"/>
        <v>7.1</v>
      </c>
      <c r="GT10" s="808">
        <f t="shared" si="39"/>
        <v>4.2</v>
      </c>
      <c r="GV10" s="773" t="s">
        <v>1143</v>
      </c>
      <c r="GW10" s="754" t="s">
        <v>134</v>
      </c>
      <c r="GX10" s="724"/>
      <c r="GY10" s="1116">
        <v>3</v>
      </c>
      <c r="GZ10" s="1116">
        <v>8.1999999999999993</v>
      </c>
      <c r="HA10" s="1116">
        <v>1.4</v>
      </c>
      <c r="HB10" s="1116">
        <v>3.6</v>
      </c>
      <c r="HC10" s="1116"/>
      <c r="HD10" s="1116">
        <v>3.3</v>
      </c>
      <c r="HE10" s="1116">
        <v>8</v>
      </c>
      <c r="HF10" s="1116"/>
      <c r="HG10" s="1116">
        <v>8.4</v>
      </c>
      <c r="HH10" s="1116">
        <v>8.4</v>
      </c>
      <c r="HI10" s="1116"/>
      <c r="HJ10" s="1116">
        <v>9.5</v>
      </c>
      <c r="HK10" s="1116">
        <v>4.0999999999999996</v>
      </c>
      <c r="HL10" s="1116"/>
      <c r="HM10" s="1116">
        <v>9.3000000000000007</v>
      </c>
      <c r="HN10" s="1116">
        <v>9.3000000000000007</v>
      </c>
      <c r="HO10" s="1116">
        <v>7.7</v>
      </c>
      <c r="HP10" s="1116">
        <v>1.7</v>
      </c>
      <c r="HQ10" s="1116">
        <v>3.4</v>
      </c>
      <c r="HR10" s="1116">
        <v>7.1</v>
      </c>
      <c r="HS10" s="1116">
        <v>4.2</v>
      </c>
    </row>
    <row r="11" spans="1:227" ht="15.75" hidden="1" customHeight="1">
      <c r="A11" s="737">
        <f>Eingabedaten!A17</f>
        <v>4.01</v>
      </c>
      <c r="B11" s="738" t="str">
        <f>Eingabedaten!C17</f>
        <v>Schulzimmer</v>
      </c>
      <c r="C11" s="724" t="s">
        <v>5</v>
      </c>
      <c r="D11" s="740"/>
      <c r="E11" s="740"/>
      <c r="F11" s="740"/>
      <c r="G11" s="740"/>
      <c r="H11" s="740"/>
      <c r="I11" s="739">
        <v>45</v>
      </c>
      <c r="J11" s="739">
        <v>45</v>
      </c>
      <c r="K11" s="739">
        <v>10</v>
      </c>
      <c r="L11" s="740"/>
      <c r="M11" s="740"/>
      <c r="N11" s="740"/>
      <c r="O11" s="740"/>
      <c r="P11" s="740"/>
      <c r="Q11" s="740"/>
      <c r="R11" s="740"/>
      <c r="S11" s="740"/>
      <c r="T11" s="740"/>
      <c r="U11" s="740"/>
      <c r="V11" s="740"/>
      <c r="W11" s="740"/>
      <c r="X11" s="740"/>
      <c r="Y11" s="740"/>
      <c r="AA11" s="770">
        <f>1/Eingabedaten!AP17</f>
        <v>0.25</v>
      </c>
      <c r="AC11" s="775" t="s">
        <v>1114</v>
      </c>
      <c r="AD11" s="776" t="s">
        <v>134</v>
      </c>
      <c r="AE11" s="782">
        <v>3</v>
      </c>
      <c r="AF11" s="782">
        <v>3</v>
      </c>
      <c r="AG11" s="782">
        <v>8.1999999999999993</v>
      </c>
      <c r="AH11" s="782">
        <v>1.4</v>
      </c>
      <c r="AI11" s="782">
        <v>3.6</v>
      </c>
      <c r="AJ11" s="782">
        <v>3.3</v>
      </c>
      <c r="AK11" s="782">
        <v>3.3</v>
      </c>
      <c r="AL11" s="782">
        <v>8</v>
      </c>
      <c r="AM11" s="782">
        <v>8.4</v>
      </c>
      <c r="AN11" s="782">
        <v>8.4</v>
      </c>
      <c r="AO11" s="782">
        <v>8.4</v>
      </c>
      <c r="AP11" s="782">
        <v>8.4</v>
      </c>
      <c r="AQ11" s="782">
        <v>9.5</v>
      </c>
      <c r="AR11" s="782">
        <v>4.0999999999999996</v>
      </c>
      <c r="AS11" s="782">
        <v>9.3000000000000007</v>
      </c>
      <c r="AT11" s="782">
        <v>9.3000000000000007</v>
      </c>
      <c r="AU11" s="782">
        <v>9.3000000000000007</v>
      </c>
      <c r="AV11" s="782">
        <v>7.7</v>
      </c>
      <c r="AW11" s="782">
        <v>1.7</v>
      </c>
      <c r="AX11" s="782">
        <v>3.4</v>
      </c>
      <c r="AY11" s="782">
        <v>7.1</v>
      </c>
      <c r="AZ11" s="783">
        <v>4.2</v>
      </c>
      <c r="BC11" s="755" t="s">
        <v>398</v>
      </c>
      <c r="BD11" s="756" t="s">
        <v>1102</v>
      </c>
      <c r="BE11" s="751">
        <v>0.7</v>
      </c>
      <c r="BF11" s="751"/>
      <c r="BG11" s="751"/>
      <c r="BH11" s="751">
        <v>0.7</v>
      </c>
      <c r="BI11" s="751">
        <v>0.7</v>
      </c>
      <c r="BJ11" s="751">
        <v>0.7</v>
      </c>
      <c r="BK11" s="751"/>
      <c r="BL11" s="751"/>
      <c r="BM11" s="751">
        <v>0.7</v>
      </c>
      <c r="BN11" s="751"/>
      <c r="BO11" s="751"/>
      <c r="BP11" s="751"/>
      <c r="BQ11" s="751">
        <v>1.2</v>
      </c>
      <c r="BR11" s="751">
        <v>1</v>
      </c>
      <c r="BS11" s="751">
        <v>1</v>
      </c>
      <c r="BT11" s="751"/>
      <c r="BU11" s="751"/>
      <c r="BV11" s="751">
        <v>0.7</v>
      </c>
      <c r="BW11" s="751">
        <v>0.3</v>
      </c>
      <c r="BX11" s="751">
        <v>0.7</v>
      </c>
      <c r="BY11" s="751">
        <v>0.7</v>
      </c>
      <c r="BZ11" s="751"/>
      <c r="CB11" s="755" t="s">
        <v>717</v>
      </c>
      <c r="CC11" s="756" t="s">
        <v>1198</v>
      </c>
      <c r="CD11" s="1113">
        <v>30</v>
      </c>
      <c r="CE11" s="1113" t="e">
        <v>#DIV/0!</v>
      </c>
      <c r="CF11" s="1113">
        <v>0</v>
      </c>
      <c r="CG11" s="1113">
        <v>30</v>
      </c>
      <c r="CH11" s="750">
        <v>36</v>
      </c>
      <c r="CI11" s="750">
        <v>30</v>
      </c>
      <c r="CJ11" s="750" t="e">
        <v>#DIV/0!</v>
      </c>
      <c r="CK11" s="750" t="e">
        <v>#DIV/0!</v>
      </c>
      <c r="CL11" s="750">
        <v>30</v>
      </c>
      <c r="CM11" s="750">
        <v>33.790684931506853</v>
      </c>
      <c r="CN11" s="750">
        <v>33.790684931506853</v>
      </c>
      <c r="CO11" s="750">
        <v>37.079295499021526</v>
      </c>
      <c r="CP11" s="750">
        <v>36</v>
      </c>
      <c r="CQ11" s="750">
        <v>36</v>
      </c>
      <c r="CR11" s="750">
        <v>36</v>
      </c>
      <c r="CS11" s="750">
        <v>130.91003365949115</v>
      </c>
      <c r="CT11" s="750">
        <v>147.2908649706458</v>
      </c>
      <c r="CU11" s="750">
        <v>36</v>
      </c>
      <c r="CV11" s="750">
        <v>36</v>
      </c>
      <c r="CW11" s="750">
        <v>90</v>
      </c>
      <c r="CX11" s="750">
        <v>36</v>
      </c>
      <c r="CY11" s="759"/>
      <c r="DB11" s="764" t="s">
        <v>1097</v>
      </c>
      <c r="DC11" s="756" t="s">
        <v>134</v>
      </c>
      <c r="DD11" s="793">
        <f>DD10-AE10</f>
        <v>5.5400466666666652</v>
      </c>
      <c r="DE11" s="793"/>
      <c r="DF11" s="793"/>
      <c r="DG11" s="793"/>
      <c r="DH11" s="793">
        <f>DH10-AI10</f>
        <v>16.015244126984125</v>
      </c>
      <c r="DI11" s="793">
        <f>DI10-AJ10</f>
        <v>3.0659499682539675</v>
      </c>
      <c r="DJ11" s="793"/>
      <c r="DK11" s="793"/>
      <c r="DL11" s="724"/>
      <c r="DM11" s="793">
        <f>DM10-AN10</f>
        <v>232.71573523809525</v>
      </c>
      <c r="DN11" s="793">
        <f>DN10-AO10</f>
        <v>30.71137671957672</v>
      </c>
      <c r="DO11" s="724"/>
      <c r="DP11" s="793">
        <f>DP10-AQ10</f>
        <v>57.397024126984128</v>
      </c>
      <c r="DQ11" s="738"/>
      <c r="DR11" s="738"/>
      <c r="DS11" s="738"/>
      <c r="DT11" s="738"/>
      <c r="DU11" s="738"/>
      <c r="DV11" s="738"/>
      <c r="DW11" s="738"/>
      <c r="DZ11" s="735"/>
      <c r="EA11" s="802" t="s">
        <v>5</v>
      </c>
      <c r="EB11" s="771">
        <f>EB10/EB8%</f>
        <v>23.611111111111111</v>
      </c>
      <c r="EC11" s="771" t="e">
        <f t="shared" ref="EC11:EU11" si="40">EC10/EC8%</f>
        <v>#DIV/0!</v>
      </c>
      <c r="ED11" s="771" t="e">
        <f t="shared" si="40"/>
        <v>#DIV/0!</v>
      </c>
      <c r="EE11" s="771">
        <f t="shared" si="40"/>
        <v>21.428571428571431</v>
      </c>
      <c r="EF11" s="771">
        <f t="shared" si="40"/>
        <v>19.70802919708029</v>
      </c>
      <c r="EG11" s="771">
        <f t="shared" si="40"/>
        <v>37.5</v>
      </c>
      <c r="EH11" s="771" t="e">
        <f t="shared" si="40"/>
        <v>#DIV/0!</v>
      </c>
      <c r="EI11" s="771" t="e">
        <f t="shared" si="40"/>
        <v>#DIV/0!</v>
      </c>
      <c r="EJ11" s="771">
        <f t="shared" si="40"/>
        <v>23.076923076923077</v>
      </c>
      <c r="EK11" s="771" t="e">
        <f t="shared" si="40"/>
        <v>#DIV/0!</v>
      </c>
      <c r="EL11" s="771" t="e">
        <f t="shared" si="40"/>
        <v>#DIV/0!</v>
      </c>
      <c r="EM11" s="771" t="e">
        <f t="shared" si="40"/>
        <v>#DIV/0!</v>
      </c>
      <c r="EN11" s="771">
        <f t="shared" si="40"/>
        <v>18.699186991869919</v>
      </c>
      <c r="EO11" s="771">
        <f t="shared" si="40"/>
        <v>25.675675675675677</v>
      </c>
      <c r="EP11" s="771">
        <f t="shared" si="40"/>
        <v>21.98581560283688</v>
      </c>
      <c r="EQ11" s="771"/>
      <c r="ER11" s="771"/>
      <c r="ES11" s="771">
        <f t="shared" si="40"/>
        <v>4.7619047619047619</v>
      </c>
      <c r="ET11" s="771">
        <f t="shared" si="40"/>
        <v>11.290322580645162</v>
      </c>
      <c r="EU11" s="771">
        <f t="shared" si="40"/>
        <v>3.5087719298245617</v>
      </c>
      <c r="EX11" s="735"/>
      <c r="EY11" s="802" t="s">
        <v>5</v>
      </c>
      <c r="EZ11" s="771">
        <f t="shared" ref="EZ11:FU11" si="41">EZ10/EZ8%</f>
        <v>23.611111111111111</v>
      </c>
      <c r="FA11" s="771" t="e">
        <f t="shared" si="41"/>
        <v>#DIV/0!</v>
      </c>
      <c r="FB11" s="771" t="e">
        <f t="shared" si="41"/>
        <v>#DIV/0!</v>
      </c>
      <c r="FC11" s="771">
        <f t="shared" si="41"/>
        <v>21.428571428571431</v>
      </c>
      <c r="FD11" s="771">
        <f t="shared" si="41"/>
        <v>19.70802919708029</v>
      </c>
      <c r="FE11" s="771">
        <f t="shared" si="41"/>
        <v>37.5</v>
      </c>
      <c r="FF11" s="771" t="e">
        <f t="shared" si="41"/>
        <v>#DIV/0!</v>
      </c>
      <c r="FG11" s="771" t="e">
        <f t="shared" si="41"/>
        <v>#DIV/0!</v>
      </c>
      <c r="FH11" s="771">
        <f t="shared" si="41"/>
        <v>23.076923076923077</v>
      </c>
      <c r="FI11" s="771" t="e">
        <f t="shared" si="41"/>
        <v>#DIV/0!</v>
      </c>
      <c r="FJ11" s="771" t="e">
        <f t="shared" si="41"/>
        <v>#DIV/0!</v>
      </c>
      <c r="FK11" s="771" t="e">
        <f t="shared" si="41"/>
        <v>#DIV/0!</v>
      </c>
      <c r="FL11" s="771">
        <f t="shared" si="41"/>
        <v>18.699186991869919</v>
      </c>
      <c r="FM11" s="771">
        <f t="shared" si="41"/>
        <v>25.675675675675677</v>
      </c>
      <c r="FN11" s="771">
        <f t="shared" si="41"/>
        <v>21.98581560283688</v>
      </c>
      <c r="FO11" s="771" t="e">
        <f t="shared" si="41"/>
        <v>#DIV/0!</v>
      </c>
      <c r="FP11" s="771" t="e">
        <f t="shared" si="41"/>
        <v>#DIV/0!</v>
      </c>
      <c r="FQ11" s="771">
        <f t="shared" si="41"/>
        <v>4.7619047619047619</v>
      </c>
      <c r="FR11" s="771">
        <f t="shared" si="41"/>
        <v>11.290322580645162</v>
      </c>
      <c r="FS11" s="771">
        <f t="shared" si="41"/>
        <v>3.5087719298245617</v>
      </c>
      <c r="FT11" s="733" t="e">
        <f t="shared" si="41"/>
        <v>#DIV/0!</v>
      </c>
      <c r="FU11" s="802" t="e">
        <f t="shared" si="41"/>
        <v>#DIV/0!</v>
      </c>
      <c r="FW11" s="857" t="s">
        <v>1058</v>
      </c>
      <c r="FX11" s="858" t="s">
        <v>134</v>
      </c>
      <c r="FY11" s="881">
        <f t="shared" ref="FY11:GT11" si="42">SUM(FY3:FY10)</f>
        <v>24.132035725643217</v>
      </c>
      <c r="FZ11" s="1050">
        <f>SUM(FZ3:FZ10)</f>
        <v>24.132035725643217</v>
      </c>
      <c r="GA11" s="1050">
        <f t="shared" si="42"/>
        <v>34.946916365439492</v>
      </c>
      <c r="GB11" s="1050">
        <f t="shared" si="42"/>
        <v>22.884722408895914</v>
      </c>
      <c r="GC11" s="1050">
        <f t="shared" si="42"/>
        <v>29.253077473073894</v>
      </c>
      <c r="GD11" s="1050">
        <f t="shared" si="42"/>
        <v>26.01596306339566</v>
      </c>
      <c r="GE11" s="1050">
        <f t="shared" si="42"/>
        <v>26.01596306339566</v>
      </c>
      <c r="GF11" s="1050">
        <f t="shared" si="42"/>
        <v>33.308550595672749</v>
      </c>
      <c r="GG11" s="1050">
        <f t="shared" si="42"/>
        <v>25.410490646485798</v>
      </c>
      <c r="GH11" s="1050">
        <f t="shared" si="42"/>
        <v>74.968140127967288</v>
      </c>
      <c r="GI11" s="1050">
        <f t="shared" si="42"/>
        <v>25.410490646485798</v>
      </c>
      <c r="GJ11" s="1050">
        <f t="shared" si="42"/>
        <v>22.37646082433082</v>
      </c>
      <c r="GK11" s="1050">
        <f t="shared" si="42"/>
        <v>62.887913388480989</v>
      </c>
      <c r="GL11" s="1050">
        <f t="shared" si="42"/>
        <v>27.67242892604645</v>
      </c>
      <c r="GM11" s="1050">
        <f t="shared" si="42"/>
        <v>38.892301699767202</v>
      </c>
      <c r="GN11" s="1050">
        <f t="shared" si="42"/>
        <v>39.799524779547383</v>
      </c>
      <c r="GO11" s="1050">
        <f t="shared" si="42"/>
        <v>39.012555048180687</v>
      </c>
      <c r="GP11" s="1050">
        <f t="shared" si="42"/>
        <v>31.330882816341862</v>
      </c>
      <c r="GQ11" s="1050">
        <f t="shared" si="42"/>
        <v>11.181296592059059</v>
      </c>
      <c r="GR11" s="1050">
        <f t="shared" si="42"/>
        <v>24.100110062228321</v>
      </c>
      <c r="GS11" s="1050">
        <f t="shared" si="42"/>
        <v>91.204287048219726</v>
      </c>
      <c r="GT11" s="1050">
        <f t="shared" si="42"/>
        <v>5.9764920638511825</v>
      </c>
      <c r="GU11" s="754"/>
      <c r="GV11" s="857" t="s">
        <v>1058</v>
      </c>
      <c r="GW11" s="858" t="s">
        <v>134</v>
      </c>
      <c r="GX11" s="881">
        <f t="shared" ref="GX11:HS11" si="43">SUM(GX3:GX10)</f>
        <v>0</v>
      </c>
      <c r="GY11" s="1117">
        <f>SUM(GY3:GY10)</f>
        <v>22.799999999999997</v>
      </c>
      <c r="GZ11" s="1117">
        <f t="shared" si="43"/>
        <v>75.400000000000006</v>
      </c>
      <c r="HA11" s="1117">
        <f t="shared" si="43"/>
        <v>18.8</v>
      </c>
      <c r="HB11" s="1117">
        <f t="shared" si="43"/>
        <v>33.700000000000003</v>
      </c>
      <c r="HC11" s="1117">
        <f t="shared" si="43"/>
        <v>0</v>
      </c>
      <c r="HD11" s="1117">
        <f t="shared" si="43"/>
        <v>19.099999999999998</v>
      </c>
      <c r="HE11" s="1117">
        <f t="shared" si="43"/>
        <v>50.099999999999994</v>
      </c>
      <c r="HF11" s="1117">
        <f t="shared" si="43"/>
        <v>0</v>
      </c>
      <c r="HG11" s="1117">
        <f t="shared" si="43"/>
        <v>251.5</v>
      </c>
      <c r="HH11" s="1117">
        <f t="shared" si="43"/>
        <v>63</v>
      </c>
      <c r="HI11" s="1117">
        <f t="shared" si="43"/>
        <v>0</v>
      </c>
      <c r="HJ11" s="1117">
        <f t="shared" si="43"/>
        <v>44.9</v>
      </c>
      <c r="HK11" s="1117">
        <f t="shared" si="43"/>
        <v>31.700000000000003</v>
      </c>
      <c r="HL11" s="1117">
        <f t="shared" si="43"/>
        <v>8.3000000000000007</v>
      </c>
      <c r="HM11" s="1117">
        <f t="shared" si="43"/>
        <v>75.5</v>
      </c>
      <c r="HN11" s="1117">
        <f t="shared" si="43"/>
        <v>73.8</v>
      </c>
      <c r="HO11" s="1117">
        <f t="shared" si="43"/>
        <v>128</v>
      </c>
      <c r="HP11" s="1117">
        <f t="shared" si="43"/>
        <v>24.8</v>
      </c>
      <c r="HQ11" s="1117">
        <f t="shared" si="43"/>
        <v>22.099999999999998</v>
      </c>
      <c r="HR11" s="1117">
        <f t="shared" si="43"/>
        <v>728.90000000000009</v>
      </c>
      <c r="HS11" s="1117">
        <f t="shared" si="43"/>
        <v>8.6999999999999993</v>
      </c>
    </row>
    <row r="12" spans="1:227" ht="15.75" customHeight="1">
      <c r="A12" s="737">
        <f>Eingabedaten!A18</f>
        <v>4.0199999999999996</v>
      </c>
      <c r="B12" s="738" t="str">
        <f>Eingabedaten!C18</f>
        <v>Lehrerzimmer</v>
      </c>
      <c r="C12" s="724" t="s">
        <v>5</v>
      </c>
      <c r="D12" s="740"/>
      <c r="E12" s="740"/>
      <c r="F12" s="740"/>
      <c r="G12" s="740"/>
      <c r="H12" s="740"/>
      <c r="I12" s="740">
        <v>4</v>
      </c>
      <c r="J12" s="740">
        <v>4</v>
      </c>
      <c r="K12" s="739">
        <v>5</v>
      </c>
      <c r="L12" s="740"/>
      <c r="M12" s="740"/>
      <c r="N12" s="740"/>
      <c r="O12" s="740"/>
      <c r="P12" s="740"/>
      <c r="Q12" s="740"/>
      <c r="R12" s="740"/>
      <c r="S12" s="740"/>
      <c r="T12" s="740"/>
      <c r="U12" s="740"/>
      <c r="V12" s="740"/>
      <c r="W12" s="740"/>
      <c r="X12" s="740"/>
      <c r="Y12" s="740"/>
      <c r="AA12" s="810">
        <v>0</v>
      </c>
      <c r="AC12" s="775" t="s">
        <v>1113</v>
      </c>
      <c r="AD12" s="774" t="s">
        <v>24</v>
      </c>
      <c r="AE12" s="748">
        <f t="shared" ref="AE12:AZ12" si="44">AE7+AE8</f>
        <v>20.243842000000004</v>
      </c>
      <c r="AF12" s="748">
        <f>AF7+AF8</f>
        <v>20.243842000000004</v>
      </c>
      <c r="AG12" s="748">
        <f t="shared" si="44"/>
        <v>24.902479402146248</v>
      </c>
      <c r="AH12" s="748">
        <f t="shared" si="44"/>
        <v>21.194006823529413</v>
      </c>
      <c r="AI12" s="748">
        <f t="shared" si="44"/>
        <v>14.94315882644565</v>
      </c>
      <c r="AJ12" s="748">
        <f t="shared" si="44"/>
        <v>15.900075686406341</v>
      </c>
      <c r="AK12" s="748">
        <f t="shared" si="44"/>
        <v>15.900075686406341</v>
      </c>
      <c r="AL12" s="748">
        <f t="shared" si="44"/>
        <v>14.532243434118655</v>
      </c>
      <c r="AM12" s="748">
        <f t="shared" si="44"/>
        <v>10.580859207858488</v>
      </c>
      <c r="AN12" s="748">
        <f t="shared" si="44"/>
        <v>10.42889120785849</v>
      </c>
      <c r="AO12" s="748">
        <f t="shared" si="44"/>
        <v>10.580859207858488</v>
      </c>
      <c r="AP12" s="748">
        <f t="shared" si="44"/>
        <v>10.163068522926981</v>
      </c>
      <c r="AQ12" s="748">
        <f t="shared" si="44"/>
        <v>42.58343237251065</v>
      </c>
      <c r="AR12" s="748">
        <f t="shared" si="44"/>
        <v>17.020967934154488</v>
      </c>
      <c r="AS12" s="748">
        <f t="shared" si="44"/>
        <v>29.109483545937103</v>
      </c>
      <c r="AT12" s="748">
        <f t="shared" si="44"/>
        <v>27.398202813910956</v>
      </c>
      <c r="AU12" s="748">
        <f t="shared" si="44"/>
        <v>32.569873559008997</v>
      </c>
      <c r="AV12" s="748">
        <f t="shared" si="44"/>
        <v>16.31582314017114</v>
      </c>
      <c r="AW12" s="748">
        <f t="shared" si="44"/>
        <v>15.042114902728217</v>
      </c>
      <c r="AX12" s="748">
        <f t="shared" si="44"/>
        <v>34.430331170046252</v>
      </c>
      <c r="AY12" s="748">
        <f t="shared" si="44"/>
        <v>64.065349009631277</v>
      </c>
      <c r="AZ12" s="784">
        <f t="shared" si="44"/>
        <v>1.1949870588235294</v>
      </c>
      <c r="BC12" s="755" t="s">
        <v>1100</v>
      </c>
      <c r="BD12" s="756" t="s">
        <v>1101</v>
      </c>
      <c r="BE12" s="751">
        <v>21</v>
      </c>
      <c r="BF12" s="751"/>
      <c r="BG12" s="751"/>
      <c r="BH12" s="751">
        <v>14</v>
      </c>
      <c r="BI12" s="760">
        <v>7</v>
      </c>
      <c r="BJ12" s="751">
        <v>7</v>
      </c>
      <c r="BK12" s="751"/>
      <c r="BL12" s="751"/>
      <c r="BM12" s="751">
        <v>7</v>
      </c>
      <c r="BN12" s="751"/>
      <c r="BO12" s="751"/>
      <c r="BP12" s="751"/>
      <c r="BQ12" s="751">
        <v>56</v>
      </c>
      <c r="BR12" s="751">
        <v>14</v>
      </c>
      <c r="BS12" s="751">
        <v>28</v>
      </c>
      <c r="BT12" s="751"/>
      <c r="BU12" s="751"/>
      <c r="BV12" s="751">
        <v>7</v>
      </c>
      <c r="BW12" s="751">
        <v>1</v>
      </c>
      <c r="BX12" s="751">
        <v>83</v>
      </c>
      <c r="BY12" s="751">
        <v>83</v>
      </c>
      <c r="BZ12" s="746"/>
      <c r="CB12" s="755" t="s">
        <v>1199</v>
      </c>
      <c r="CC12" s="756" t="s">
        <v>1197</v>
      </c>
      <c r="CD12" s="813">
        <f>CD11/CD4*CD6/24</f>
        <v>0.32500000000000001</v>
      </c>
      <c r="CE12" s="813" t="e">
        <f t="shared" ref="CE12:CX12" si="45">CE11/CE4*CE6/24</f>
        <v>#DIV/0!</v>
      </c>
      <c r="CF12" s="813" t="e">
        <f t="shared" si="45"/>
        <v>#DIV/0!</v>
      </c>
      <c r="CG12" s="813">
        <f t="shared" si="45"/>
        <v>0.23214285714285712</v>
      </c>
      <c r="CH12" s="813">
        <f t="shared" si="45"/>
        <v>0.42</v>
      </c>
      <c r="CI12" s="813">
        <f t="shared" si="45"/>
        <v>0.625</v>
      </c>
      <c r="CJ12" s="813" t="e">
        <f t="shared" si="45"/>
        <v>#DIV/0!</v>
      </c>
      <c r="CK12" s="813" t="e">
        <f t="shared" si="45"/>
        <v>#DIV/0!</v>
      </c>
      <c r="CL12" s="1112">
        <f t="shared" si="45"/>
        <v>0.58333333333333337</v>
      </c>
      <c r="CM12" s="813">
        <f t="shared" si="45"/>
        <v>0.65704109589041104</v>
      </c>
      <c r="CN12" s="813">
        <f t="shared" si="45"/>
        <v>0.65704109589041104</v>
      </c>
      <c r="CO12" s="813">
        <f t="shared" si="45"/>
        <v>0.36049315068493154</v>
      </c>
      <c r="CP12" s="813">
        <f t="shared" si="45"/>
        <v>1.2</v>
      </c>
      <c r="CQ12" s="813">
        <f t="shared" si="45"/>
        <v>2.4</v>
      </c>
      <c r="CR12" s="813">
        <f t="shared" si="45"/>
        <v>1.05</v>
      </c>
      <c r="CS12" s="813">
        <f t="shared" si="45"/>
        <v>4.3636677886497051</v>
      </c>
      <c r="CT12" s="813">
        <f t="shared" si="45"/>
        <v>4.9096954990215265</v>
      </c>
      <c r="CU12" s="813">
        <f t="shared" si="45"/>
        <v>0.25</v>
      </c>
      <c r="CV12" s="813">
        <f t="shared" si="45"/>
        <v>0.19999999999999998</v>
      </c>
      <c r="CW12" s="813">
        <f t="shared" si="45"/>
        <v>0.28125</v>
      </c>
      <c r="CX12" s="813">
        <f t="shared" si="45"/>
        <v>0.6</v>
      </c>
      <c r="DD12" s="746"/>
      <c r="DE12" s="746"/>
      <c r="DF12" s="746"/>
      <c r="DG12" s="746"/>
      <c r="DH12" s="746"/>
      <c r="DI12" s="746"/>
      <c r="DJ12" s="746"/>
      <c r="DK12" s="746"/>
      <c r="DL12" s="746"/>
      <c r="DM12" s="746"/>
      <c r="DN12" s="746"/>
      <c r="DO12" s="746"/>
      <c r="DP12" s="746"/>
      <c r="FW12" s="857" t="s">
        <v>1408</v>
      </c>
      <c r="FX12" s="858" t="s">
        <v>134</v>
      </c>
      <c r="FY12" s="1050">
        <f>SUM(FY5:FY10)</f>
        <v>17.118697116190479</v>
      </c>
      <c r="FZ12" s="1050">
        <f>SUM(FZ5:FZ10)-FZ8</f>
        <v>17.118697116190479</v>
      </c>
      <c r="GA12" s="1050">
        <f t="shared" ref="GA12:GT12" si="46">SUM(GA5:GA10)-GA8</f>
        <v>25.755990690469968</v>
      </c>
      <c r="GB12" s="1050">
        <f t="shared" si="46"/>
        <v>15.93244159853595</v>
      </c>
      <c r="GC12" s="1050">
        <f t="shared" si="46"/>
        <v>24.102595846025526</v>
      </c>
      <c r="GD12" s="1050">
        <f t="shared" si="46"/>
        <v>21.759684407215687</v>
      </c>
      <c r="GE12" s="1050">
        <f t="shared" si="46"/>
        <v>21.759684407215687</v>
      </c>
      <c r="GF12" s="1050">
        <f t="shared" si="46"/>
        <v>28.257345172387179</v>
      </c>
      <c r="GG12" s="1050">
        <f t="shared" si="46"/>
        <v>22.526088737005914</v>
      </c>
      <c r="GH12" s="1050">
        <f t="shared" si="46"/>
        <v>22.521730218487399</v>
      </c>
      <c r="GI12" s="1050">
        <f t="shared" si="46"/>
        <v>22.526088737005914</v>
      </c>
      <c r="GJ12" s="1050">
        <f t="shared" si="46"/>
        <v>19.699914977005914</v>
      </c>
      <c r="GK12" s="1050">
        <f t="shared" si="46"/>
        <v>28.038143959663866</v>
      </c>
      <c r="GL12" s="1050">
        <f t="shared" si="46"/>
        <v>22.808684153127921</v>
      </c>
      <c r="GM12" s="1050">
        <f t="shared" si="46"/>
        <v>26.722268438269534</v>
      </c>
      <c r="GN12" s="1050">
        <f t="shared" si="46"/>
        <v>27.916694785633368</v>
      </c>
      <c r="GO12" s="1050">
        <f t="shared" si="46"/>
        <v>25.658658114260813</v>
      </c>
      <c r="GP12" s="1050">
        <f t="shared" si="46"/>
        <v>21.837235110862125</v>
      </c>
      <c r="GQ12" s="1050">
        <f t="shared" si="46"/>
        <v>7.3169414458378244</v>
      </c>
      <c r="GR12" s="1050">
        <f t="shared" si="46"/>
        <v>10.326903703703703</v>
      </c>
      <c r="GS12" s="1050">
        <f t="shared" si="46"/>
        <v>15.352250277746656</v>
      </c>
      <c r="GT12" s="1050">
        <f t="shared" si="46"/>
        <v>5.6777452991452995</v>
      </c>
      <c r="GU12" s="754"/>
      <c r="GV12" s="857" t="str">
        <f>FW12</f>
        <v>Total exkl. Prozessanl.</v>
      </c>
      <c r="GW12" s="858" t="s">
        <v>134</v>
      </c>
      <c r="GX12" s="881">
        <f>GX11-GX8</f>
        <v>0</v>
      </c>
      <c r="GY12" s="1050">
        <f t="shared" ref="GY12:HS12" si="47">GY11-GY8</f>
        <v>22.799999999999997</v>
      </c>
      <c r="GZ12" s="1050">
        <f t="shared" si="47"/>
        <v>31.400000000000006</v>
      </c>
      <c r="HA12" s="1050">
        <f t="shared" si="47"/>
        <v>18.8</v>
      </c>
      <c r="HB12" s="1050">
        <f t="shared" si="47"/>
        <v>33.700000000000003</v>
      </c>
      <c r="HC12" s="1050">
        <f t="shared" si="47"/>
        <v>0</v>
      </c>
      <c r="HD12" s="1050">
        <f t="shared" si="47"/>
        <v>19.099999999999998</v>
      </c>
      <c r="HE12" s="1050">
        <f t="shared" si="47"/>
        <v>40.099999999999994</v>
      </c>
      <c r="HF12" s="1050">
        <f t="shared" si="47"/>
        <v>0</v>
      </c>
      <c r="HG12" s="1050">
        <f t="shared" si="47"/>
        <v>51.5</v>
      </c>
      <c r="HH12" s="1050">
        <f t="shared" si="47"/>
        <v>63</v>
      </c>
      <c r="HI12" s="1050">
        <f t="shared" si="47"/>
        <v>0</v>
      </c>
      <c r="HJ12" s="1050">
        <f t="shared" si="47"/>
        <v>44.9</v>
      </c>
      <c r="HK12" s="1050">
        <f t="shared" si="47"/>
        <v>31.700000000000003</v>
      </c>
      <c r="HL12" s="1050">
        <f t="shared" si="47"/>
        <v>8.3000000000000007</v>
      </c>
      <c r="HM12" s="1050">
        <f t="shared" si="47"/>
        <v>40.5</v>
      </c>
      <c r="HN12" s="1050">
        <f t="shared" si="47"/>
        <v>38.799999999999997</v>
      </c>
      <c r="HO12" s="1050">
        <f t="shared" si="47"/>
        <v>28</v>
      </c>
      <c r="HP12" s="1050">
        <f t="shared" si="47"/>
        <v>24.8</v>
      </c>
      <c r="HQ12" s="1050">
        <f t="shared" si="47"/>
        <v>22.099999999999998</v>
      </c>
      <c r="HR12" s="1050">
        <f t="shared" si="47"/>
        <v>28.900000000000091</v>
      </c>
      <c r="HS12" s="1050">
        <f t="shared" si="47"/>
        <v>8.6999999999999993</v>
      </c>
    </row>
    <row r="13" spans="1:227" ht="15.75" customHeight="1">
      <c r="A13" s="737">
        <f>Eingabedaten!A19</f>
        <v>4.03</v>
      </c>
      <c r="B13" s="738" t="str">
        <f>Eingabedaten!C19</f>
        <v>Bibliothek</v>
      </c>
      <c r="C13" s="724" t="s">
        <v>5</v>
      </c>
      <c r="D13" s="740"/>
      <c r="E13" s="740"/>
      <c r="F13" s="740"/>
      <c r="G13" s="740"/>
      <c r="H13" s="740"/>
      <c r="I13" s="740">
        <v>4</v>
      </c>
      <c r="J13" s="740">
        <v>4</v>
      </c>
      <c r="K13" s="739">
        <v>5</v>
      </c>
      <c r="L13" s="740"/>
      <c r="M13" s="740"/>
      <c r="N13" s="740"/>
      <c r="O13" s="740"/>
      <c r="P13" s="740"/>
      <c r="Q13" s="740"/>
      <c r="R13" s="740"/>
      <c r="S13" s="740"/>
      <c r="T13" s="740"/>
      <c r="U13" s="740"/>
      <c r="V13" s="740"/>
      <c r="W13" s="740"/>
      <c r="X13" s="740"/>
      <c r="Y13" s="740"/>
      <c r="AA13" s="810">
        <v>0</v>
      </c>
      <c r="AC13" s="775"/>
      <c r="AD13" s="776"/>
      <c r="AE13" s="746"/>
      <c r="AF13" s="746"/>
      <c r="AG13" s="746"/>
      <c r="AH13" s="746"/>
      <c r="AI13" s="746"/>
      <c r="AJ13" s="746"/>
      <c r="AK13" s="746"/>
      <c r="AL13" s="746"/>
      <c r="AM13" s="746"/>
      <c r="AN13" s="746"/>
      <c r="AO13" s="746"/>
      <c r="AP13" s="746"/>
      <c r="AQ13" s="746"/>
      <c r="AR13" s="746"/>
      <c r="AS13" s="746"/>
      <c r="AT13" s="746"/>
      <c r="AU13" s="746"/>
      <c r="AV13" s="746"/>
      <c r="AW13" s="746"/>
      <c r="AX13" s="746"/>
      <c r="AY13" s="746"/>
      <c r="AZ13" s="785"/>
      <c r="CB13" s="755" t="s">
        <v>1406</v>
      </c>
      <c r="CC13" s="756" t="s">
        <v>1197</v>
      </c>
      <c r="CD13" s="813">
        <f>ROUND(AE21,1)</f>
        <v>0.6</v>
      </c>
      <c r="CE13" s="767"/>
      <c r="CF13" s="751"/>
      <c r="CG13" s="767">
        <f t="shared" ref="CG13:CX13" si="48">ROUND(AH21,1)</f>
        <v>0.4</v>
      </c>
      <c r="CH13" s="766">
        <f t="shared" si="48"/>
        <v>0.6</v>
      </c>
      <c r="CI13" s="766">
        <f t="shared" si="48"/>
        <v>0.8</v>
      </c>
      <c r="CJ13" s="766">
        <f t="shared" si="48"/>
        <v>0.8</v>
      </c>
      <c r="CK13" s="766">
        <f t="shared" si="48"/>
        <v>0.8</v>
      </c>
      <c r="CL13" s="766">
        <f t="shared" si="48"/>
        <v>0.9</v>
      </c>
      <c r="CM13" s="813">
        <f t="shared" si="48"/>
        <v>0.8</v>
      </c>
      <c r="CN13" s="813">
        <f t="shared" si="48"/>
        <v>0.9</v>
      </c>
      <c r="CO13" s="813">
        <f t="shared" si="48"/>
        <v>0.8</v>
      </c>
      <c r="CP13" s="766">
        <f t="shared" si="48"/>
        <v>1.4</v>
      </c>
      <c r="CQ13" s="766">
        <f t="shared" si="48"/>
        <v>1.6</v>
      </c>
      <c r="CR13" s="766">
        <f t="shared" si="48"/>
        <v>1.1000000000000001</v>
      </c>
      <c r="CS13" s="813">
        <f t="shared" si="48"/>
        <v>1.1000000000000001</v>
      </c>
      <c r="CT13" s="813">
        <f t="shared" si="48"/>
        <v>1.1000000000000001</v>
      </c>
      <c r="CU13" s="767">
        <f t="shared" si="48"/>
        <v>0.6</v>
      </c>
      <c r="CV13" s="766">
        <f t="shared" si="48"/>
        <v>0.6</v>
      </c>
      <c r="CW13" s="766">
        <f t="shared" si="48"/>
        <v>0.9</v>
      </c>
      <c r="CX13" s="766">
        <f t="shared" si="48"/>
        <v>1.4</v>
      </c>
      <c r="CY13" s="793"/>
      <c r="DB13" s="755" t="s">
        <v>1128</v>
      </c>
      <c r="DC13" s="756" t="s">
        <v>209</v>
      </c>
      <c r="DD13" s="760">
        <v>60</v>
      </c>
      <c r="DE13" s="760"/>
      <c r="DF13" s="760"/>
      <c r="DG13" s="760"/>
      <c r="DH13" s="760">
        <v>45</v>
      </c>
      <c r="DI13" s="760">
        <v>21</v>
      </c>
      <c r="DJ13" s="760"/>
      <c r="DK13" s="760"/>
      <c r="DL13" s="751"/>
      <c r="DM13" s="760">
        <v>3.2</v>
      </c>
      <c r="DN13" s="760">
        <v>41</v>
      </c>
      <c r="DO13" s="751"/>
      <c r="DP13" s="760">
        <v>6.8</v>
      </c>
      <c r="DQ13" s="738"/>
      <c r="DR13" s="738"/>
      <c r="DS13" s="738"/>
      <c r="DT13" s="738"/>
      <c r="DU13" s="738"/>
      <c r="DV13" s="738"/>
      <c r="DW13" s="738"/>
      <c r="FW13" s="798"/>
      <c r="FX13" s="1118"/>
      <c r="FY13" s="798"/>
      <c r="FZ13" s="1119"/>
      <c r="GA13" s="798"/>
      <c r="GB13" s="798"/>
      <c r="GC13" s="798"/>
      <c r="GD13" s="798"/>
      <c r="GE13" s="798"/>
      <c r="GF13" s="798"/>
      <c r="GG13" s="798"/>
      <c r="GH13" s="798"/>
      <c r="GI13" s="798"/>
      <c r="GJ13" s="798"/>
      <c r="GK13" s="798"/>
      <c r="GL13" s="798"/>
      <c r="GM13" s="798"/>
      <c r="GN13" s="798"/>
      <c r="GO13" s="798"/>
      <c r="GP13" s="798"/>
      <c r="GQ13" s="798"/>
      <c r="GR13" s="798"/>
      <c r="GS13" s="798"/>
      <c r="GT13" s="798"/>
      <c r="GV13" s="775" t="s">
        <v>1299</v>
      </c>
      <c r="GW13" s="754" t="s">
        <v>134</v>
      </c>
      <c r="GX13" s="793">
        <f t="shared" ref="GX13:HS13" si="49">GX12-FY12</f>
        <v>-17.118697116190479</v>
      </c>
      <c r="GY13" s="793">
        <f>GY12-FZ12</f>
        <v>5.6813028838095185</v>
      </c>
      <c r="GZ13" s="793">
        <f t="shared" si="49"/>
        <v>5.6440093095300377</v>
      </c>
      <c r="HA13" s="793">
        <f t="shared" si="49"/>
        <v>2.8675584014640503</v>
      </c>
      <c r="HB13" s="793">
        <f t="shared" si="49"/>
        <v>9.5974041539744768</v>
      </c>
      <c r="HC13" s="793">
        <f t="shared" si="49"/>
        <v>-21.759684407215687</v>
      </c>
      <c r="HD13" s="793">
        <f t="shared" si="49"/>
        <v>-2.6596844072156891</v>
      </c>
      <c r="HE13" s="793">
        <f t="shared" si="49"/>
        <v>11.842654827612815</v>
      </c>
      <c r="HF13" s="793">
        <f t="shared" si="49"/>
        <v>-22.526088737005914</v>
      </c>
      <c r="HG13" s="793">
        <f t="shared" si="49"/>
        <v>28.978269781512601</v>
      </c>
      <c r="HH13" s="793">
        <f t="shared" si="49"/>
        <v>40.473911262994086</v>
      </c>
      <c r="HI13" s="793">
        <f t="shared" si="49"/>
        <v>-19.699914977005914</v>
      </c>
      <c r="HJ13" s="793">
        <f t="shared" si="49"/>
        <v>16.861856040336132</v>
      </c>
      <c r="HK13" s="793">
        <f t="shared" si="49"/>
        <v>8.8913158468720823</v>
      </c>
      <c r="HL13" s="793">
        <f t="shared" si="49"/>
        <v>-18.422268438269533</v>
      </c>
      <c r="HM13" s="793">
        <f t="shared" si="49"/>
        <v>12.583305214366632</v>
      </c>
      <c r="HN13" s="793">
        <f t="shared" si="49"/>
        <v>13.141341885739184</v>
      </c>
      <c r="HO13" s="793">
        <f t="shared" si="49"/>
        <v>6.1627648891378755</v>
      </c>
      <c r="HP13" s="793">
        <f t="shared" si="49"/>
        <v>17.483058554162177</v>
      </c>
      <c r="HQ13" s="793">
        <f t="shared" si="49"/>
        <v>11.773096296296295</v>
      </c>
      <c r="HR13" s="793">
        <f t="shared" si="49"/>
        <v>13.547749722253435</v>
      </c>
      <c r="HS13" s="793">
        <f t="shared" si="49"/>
        <v>3.0222547008546998</v>
      </c>
    </row>
    <row r="14" spans="1:227" ht="15.75" customHeight="1">
      <c r="A14" s="737">
        <f>Eingabedaten!A20</f>
        <v>4.04</v>
      </c>
      <c r="B14" s="738" t="str">
        <f>Eingabedaten!C20</f>
        <v>Hörsaal</v>
      </c>
      <c r="C14" s="724" t="s">
        <v>5</v>
      </c>
      <c r="D14" s="740"/>
      <c r="E14" s="740"/>
      <c r="F14" s="740"/>
      <c r="G14" s="740"/>
      <c r="H14" s="740"/>
      <c r="I14" s="740"/>
      <c r="J14" s="740"/>
      <c r="K14" s="739">
        <v>15</v>
      </c>
      <c r="L14" s="740"/>
      <c r="M14" s="740"/>
      <c r="N14" s="740"/>
      <c r="O14" s="740"/>
      <c r="P14" s="740"/>
      <c r="Q14" s="740"/>
      <c r="R14" s="740"/>
      <c r="S14" s="740"/>
      <c r="T14" s="740"/>
      <c r="U14" s="740"/>
      <c r="V14" s="740"/>
      <c r="W14" s="740"/>
      <c r="X14" s="740"/>
      <c r="Y14" s="740"/>
      <c r="AA14" s="770">
        <f>1/Eingabedaten!AP20</f>
        <v>0.33333333333333331</v>
      </c>
      <c r="AC14" s="775" t="s">
        <v>1060</v>
      </c>
      <c r="AD14" s="776" t="s">
        <v>3</v>
      </c>
      <c r="AE14" s="786">
        <f>SUMPRODUCT(Eingabedaten!$AC$9:$AC$53,'Fläche-L'!D$3:D$47)/100</f>
        <v>20.55</v>
      </c>
      <c r="AF14" s="786">
        <f>SUMPRODUCT(Eingabedaten!$AC$9:$AC$53,'Fläche-L'!E$3:E$47)/100</f>
        <v>20.55</v>
      </c>
      <c r="AG14" s="786">
        <f>SUMPRODUCT(Eingabedaten!$AC$9:$AC$53,'Fläche-L'!F$3:F$47)/100</f>
        <v>20.7</v>
      </c>
      <c r="AH14" s="786">
        <f>SUMPRODUCT(Eingabedaten!$AC$9:$AC$53,'Fläche-L'!G$3:G$47)/100</f>
        <v>20.7</v>
      </c>
      <c r="AI14" s="786">
        <f>SUMPRODUCT(Eingabedaten!$AC$9:$AC$53,'Fläche-L'!H$3:H$47)/100</f>
        <v>20.440000000000001</v>
      </c>
      <c r="AJ14" s="786">
        <f>SUMPRODUCT(Eingabedaten!$AC$9:$AC$53,'Fläche-L'!I$3:I$47)/100</f>
        <v>20.55</v>
      </c>
      <c r="AK14" s="786">
        <f>SUMPRODUCT(Eingabedaten!$AC$9:$AC$53,'Fläche-L'!J$3:J$47)/100</f>
        <v>20.55</v>
      </c>
      <c r="AL14" s="786">
        <f>SUMPRODUCT(Eingabedaten!$AC$9:$AC$53,'Fläche-L'!K$3:K$47)/100</f>
        <v>20.38</v>
      </c>
      <c r="AM14" s="786">
        <f>SUMPRODUCT(Eingabedaten!$AC$9:$AC$53,'Fläche-L'!L$3:L$47)/100</f>
        <v>20.04</v>
      </c>
      <c r="AN14" s="786">
        <f>SUMPRODUCT(Eingabedaten!$AC$9:$AC$53,'Fläche-L'!M$3:M$47)/100</f>
        <v>19.68</v>
      </c>
      <c r="AO14" s="786">
        <f>SUMPRODUCT(Eingabedaten!$AC$9:$AC$53,'Fläche-L'!N$3:N$47)/100</f>
        <v>20.04</v>
      </c>
      <c r="AP14" s="786">
        <f>SUMPRODUCT(Eingabedaten!$AC$9:$AC$53,'Fläche-L'!O$3:O$47)/100</f>
        <v>20.04</v>
      </c>
      <c r="AQ14" s="786">
        <f>SUMPRODUCT(Eingabedaten!$AC$9:$AC$53,'Fläche-L'!P$3:P$47)/100</f>
        <v>20.18</v>
      </c>
      <c r="AR14" s="786">
        <f>SUMPRODUCT(Eingabedaten!$AC$9:$AC$53,'Fläche-L'!Q$3:Q$47)/100</f>
        <v>20.7</v>
      </c>
      <c r="AS14" s="786">
        <f>SUMPRODUCT(Eingabedaten!$AC$9:$AC$53,'Fläche-L'!R$3:R$47)/100</f>
        <v>21.05</v>
      </c>
      <c r="AT14" s="786">
        <f>SUMPRODUCT(Eingabedaten!$AC$9:$AC$53,'Fläche-L'!S$3:S$47)/100</f>
        <v>21.05</v>
      </c>
      <c r="AU14" s="786">
        <f>SUMPRODUCT(Eingabedaten!$AC$9:$AC$53,'Fläche-L'!T$3:T$47)/100</f>
        <v>21.1</v>
      </c>
      <c r="AV14" s="786">
        <f>SUMPRODUCT(Eingabedaten!$AC$9:$AC$53,'Fläche-L'!U$3:U$47)/100</f>
        <v>20.28</v>
      </c>
      <c r="AW14" s="786">
        <f>SUMPRODUCT(Eingabedaten!$AC$9:$AC$53,'Fläche-L'!V$3:V$47)/100</f>
        <v>18.63</v>
      </c>
      <c r="AX14" s="786">
        <f>SUMPRODUCT(Eingabedaten!$AC$9:$AC$53,'Fläche-L'!W$3:W$47)/100</f>
        <v>18.899999999999999</v>
      </c>
      <c r="AY14" s="786">
        <f>SUMPRODUCT(Eingabedaten!$AC$9:$AC$53,'Fläche-L'!X$3:X$47)/100</f>
        <v>22.5</v>
      </c>
      <c r="AZ14" s="787">
        <f>SUMPRODUCT(Eingabedaten!$AC$9:$AC$53,'Fläche-L'!Y$3:Y$47)/100</f>
        <v>1.95</v>
      </c>
      <c r="CB14" s="755" t="s">
        <v>1132</v>
      </c>
      <c r="CC14" s="756" t="s">
        <v>1101</v>
      </c>
      <c r="CD14" s="761">
        <f>ROUND(AE8/0.67,0)</f>
        <v>12</v>
      </c>
      <c r="CE14" s="761"/>
      <c r="CF14" s="751"/>
      <c r="CG14" s="759">
        <f t="shared" ref="CG14:CX14" si="50">ROUND(AH8/0.67,0)</f>
        <v>10</v>
      </c>
      <c r="CH14" s="758">
        <f t="shared" si="50"/>
        <v>1</v>
      </c>
      <c r="CI14" s="758">
        <f t="shared" si="50"/>
        <v>2</v>
      </c>
      <c r="CJ14" s="758">
        <f t="shared" si="50"/>
        <v>2</v>
      </c>
      <c r="CK14" s="758">
        <f t="shared" si="50"/>
        <v>1</v>
      </c>
      <c r="CL14" s="758">
        <f t="shared" si="50"/>
        <v>1</v>
      </c>
      <c r="CM14" s="751">
        <f t="shared" si="50"/>
        <v>1</v>
      </c>
      <c r="CN14" s="751">
        <f t="shared" si="50"/>
        <v>1</v>
      </c>
      <c r="CO14" s="751">
        <f t="shared" si="50"/>
        <v>1</v>
      </c>
      <c r="CP14" s="759">
        <f t="shared" si="50"/>
        <v>45</v>
      </c>
      <c r="CQ14" s="758">
        <f t="shared" si="50"/>
        <v>4</v>
      </c>
      <c r="CR14" s="759">
        <f t="shared" si="50"/>
        <v>22</v>
      </c>
      <c r="CS14" s="759">
        <f t="shared" si="50"/>
        <v>19</v>
      </c>
      <c r="CT14" s="759">
        <f t="shared" si="50"/>
        <v>28</v>
      </c>
      <c r="CU14" s="758">
        <f t="shared" si="50"/>
        <v>1</v>
      </c>
      <c r="CV14" s="751">
        <f t="shared" si="50"/>
        <v>1</v>
      </c>
      <c r="CW14" s="758">
        <f t="shared" si="50"/>
        <v>31</v>
      </c>
      <c r="CX14" s="759">
        <f t="shared" si="50"/>
        <v>71</v>
      </c>
      <c r="CY14" s="793"/>
      <c r="DB14" s="755" t="s">
        <v>1129</v>
      </c>
      <c r="DC14" s="756" t="s">
        <v>209</v>
      </c>
      <c r="DD14" s="793">
        <f>AE29</f>
        <v>51.470588235294116</v>
      </c>
      <c r="DE14" s="793"/>
      <c r="DF14" s="793"/>
      <c r="DG14" s="793"/>
      <c r="DH14" s="794">
        <f>CH4</f>
        <v>25</v>
      </c>
      <c r="DI14" s="794">
        <f>CI4</f>
        <v>10</v>
      </c>
      <c r="DJ14" s="794"/>
      <c r="DK14" s="794"/>
      <c r="DL14" s="724"/>
      <c r="DM14" s="793">
        <f>AN29</f>
        <v>15.909090909090908</v>
      </c>
      <c r="DN14" s="793">
        <f>AO29</f>
        <v>15.909090909090908</v>
      </c>
      <c r="DO14" s="724"/>
      <c r="DP14" s="793">
        <f>AQ29</f>
        <v>4.5691906005221927</v>
      </c>
      <c r="DQ14" s="738"/>
      <c r="DR14" s="738"/>
      <c r="DS14" s="738"/>
      <c r="DT14" s="738"/>
      <c r="DU14" s="738"/>
      <c r="DV14" s="738"/>
      <c r="DW14" s="738"/>
      <c r="FT14" s="723">
        <f>AY7/4+AY5</f>
        <v>5.6852574089635874</v>
      </c>
      <c r="FU14" s="723">
        <f>AZ7/4+AZ5</f>
        <v>0.31534676470588235</v>
      </c>
      <c r="GV14" s="735"/>
      <c r="GW14" s="802" t="s">
        <v>5</v>
      </c>
      <c r="GX14" s="724">
        <f t="shared" ref="GX14" si="51">D12</f>
        <v>0</v>
      </c>
      <c r="GY14" s="724">
        <f>GY13/GY12%</f>
        <v>24.917995104427714</v>
      </c>
      <c r="GZ14" s="724">
        <f t="shared" ref="GZ14:HS14" si="52">GZ13/GZ12%</f>
        <v>17.974551941178461</v>
      </c>
      <c r="HA14" s="724">
        <f t="shared" si="52"/>
        <v>15.252970220553459</v>
      </c>
      <c r="HB14" s="724">
        <f t="shared" si="52"/>
        <v>28.478944077075596</v>
      </c>
      <c r="HC14" s="724" t="e">
        <f t="shared" si="52"/>
        <v>#DIV/0!</v>
      </c>
      <c r="HD14" s="724">
        <f t="shared" si="52"/>
        <v>-13.925049252438164</v>
      </c>
      <c r="HE14" s="724">
        <f t="shared" si="52"/>
        <v>29.532805056391062</v>
      </c>
      <c r="HF14" s="724" t="e">
        <f t="shared" si="52"/>
        <v>#DIV/0!</v>
      </c>
      <c r="HG14" s="724">
        <f t="shared" si="52"/>
        <v>56.268485012645826</v>
      </c>
      <c r="HH14" s="724">
        <f t="shared" si="52"/>
        <v>64.244303592054109</v>
      </c>
      <c r="HI14" s="724" t="e">
        <f t="shared" si="52"/>
        <v>#DIV/0!</v>
      </c>
      <c r="HJ14" s="724">
        <f t="shared" si="52"/>
        <v>37.554245078699623</v>
      </c>
      <c r="HK14" s="724">
        <f t="shared" si="52"/>
        <v>28.048314974359879</v>
      </c>
      <c r="HL14" s="724">
        <f t="shared" si="52"/>
        <v>-221.95504142493414</v>
      </c>
      <c r="HM14" s="724">
        <f t="shared" si="52"/>
        <v>31.069889418189213</v>
      </c>
      <c r="HN14" s="724">
        <f t="shared" si="52"/>
        <v>33.869437849843258</v>
      </c>
      <c r="HO14" s="724">
        <f t="shared" si="52"/>
        <v>22.009874604063839</v>
      </c>
      <c r="HP14" s="724">
        <f t="shared" si="52"/>
        <v>70.496203847428134</v>
      </c>
      <c r="HQ14" s="724">
        <f t="shared" si="52"/>
        <v>53.271928942517178</v>
      </c>
      <c r="HR14" s="724">
        <f t="shared" si="52"/>
        <v>46.878026720599969</v>
      </c>
      <c r="HS14" s="724">
        <f t="shared" si="52"/>
        <v>34.738559779939081</v>
      </c>
    </row>
    <row r="15" spans="1:227" ht="15.75" customHeight="1">
      <c r="A15" s="737">
        <f>Eingabedaten!A21</f>
        <v>4.05</v>
      </c>
      <c r="B15" s="738" t="str">
        <f>Eingabedaten!C21</f>
        <v>Schulfachraum (Spezialraum)</v>
      </c>
      <c r="C15" s="724" t="s">
        <v>5</v>
      </c>
      <c r="D15" s="740"/>
      <c r="E15" s="740"/>
      <c r="F15" s="740"/>
      <c r="G15" s="740"/>
      <c r="H15" s="740"/>
      <c r="I15" s="740">
        <v>5</v>
      </c>
      <c r="J15" s="740">
        <v>5</v>
      </c>
      <c r="K15" s="739">
        <v>5</v>
      </c>
      <c r="L15" s="740"/>
      <c r="M15" s="740"/>
      <c r="N15" s="740"/>
      <c r="O15" s="740"/>
      <c r="P15" s="740"/>
      <c r="Q15" s="740"/>
      <c r="R15" s="740"/>
      <c r="S15" s="740"/>
      <c r="T15" s="740"/>
      <c r="U15" s="740"/>
      <c r="V15" s="740"/>
      <c r="W15" s="740"/>
      <c r="X15" s="740"/>
      <c r="Y15" s="740"/>
      <c r="AA15" s="770">
        <f>1/Eingabedaten!AP21</f>
        <v>0.2</v>
      </c>
      <c r="AC15" s="775"/>
      <c r="AD15" s="776"/>
      <c r="AE15" s="746"/>
      <c r="AF15" s="746"/>
      <c r="AG15" s="746"/>
      <c r="AH15" s="746"/>
      <c r="AI15" s="746"/>
      <c r="AJ15" s="746"/>
      <c r="AK15" s="746"/>
      <c r="AL15" s="746"/>
      <c r="AM15" s="746"/>
      <c r="AN15" s="746"/>
      <c r="AO15" s="746"/>
      <c r="AP15" s="746"/>
      <c r="AQ15" s="746"/>
      <c r="AR15" s="746"/>
      <c r="AS15" s="746"/>
      <c r="AT15" s="746"/>
      <c r="AU15" s="746"/>
      <c r="AV15" s="746"/>
      <c r="AW15" s="746"/>
      <c r="AX15" s="746"/>
      <c r="AY15" s="746"/>
      <c r="AZ15" s="785"/>
      <c r="BA15" s="744"/>
      <c r="BC15" s="723" t="s">
        <v>557</v>
      </c>
      <c r="CB15" s="755" t="s">
        <v>1154</v>
      </c>
      <c r="CC15" s="756" t="s">
        <v>1101</v>
      </c>
      <c r="CD15" s="761">
        <f>ROUND(AE8,0)</f>
        <v>8</v>
      </c>
      <c r="CE15" s="761"/>
      <c r="CF15" s="751"/>
      <c r="CG15" s="759">
        <f t="shared" ref="CG15:CX15" si="53">ROUND(AH8,0)</f>
        <v>7</v>
      </c>
      <c r="CH15" s="758">
        <f t="shared" si="53"/>
        <v>1</v>
      </c>
      <c r="CI15" s="758">
        <f t="shared" si="53"/>
        <v>1</v>
      </c>
      <c r="CJ15" s="758">
        <f t="shared" si="53"/>
        <v>1</v>
      </c>
      <c r="CK15" s="758">
        <f t="shared" si="53"/>
        <v>1</v>
      </c>
      <c r="CL15" s="758">
        <f t="shared" si="53"/>
        <v>1</v>
      </c>
      <c r="CM15" s="751">
        <f t="shared" si="53"/>
        <v>1</v>
      </c>
      <c r="CN15" s="751">
        <f t="shared" si="53"/>
        <v>1</v>
      </c>
      <c r="CO15" s="751">
        <f t="shared" si="53"/>
        <v>1</v>
      </c>
      <c r="CP15" s="759">
        <f t="shared" si="53"/>
        <v>30</v>
      </c>
      <c r="CQ15" s="758">
        <f t="shared" si="53"/>
        <v>2</v>
      </c>
      <c r="CR15" s="759">
        <f t="shared" si="53"/>
        <v>15</v>
      </c>
      <c r="CS15" s="759">
        <f t="shared" si="53"/>
        <v>13</v>
      </c>
      <c r="CT15" s="759">
        <f t="shared" si="53"/>
        <v>19</v>
      </c>
      <c r="CU15" s="758">
        <f t="shared" si="53"/>
        <v>1</v>
      </c>
      <c r="CV15" s="751">
        <f t="shared" si="53"/>
        <v>0</v>
      </c>
      <c r="CW15" s="758">
        <f t="shared" si="53"/>
        <v>21</v>
      </c>
      <c r="CX15" s="759">
        <f t="shared" si="53"/>
        <v>48</v>
      </c>
      <c r="FT15" s="723">
        <f>AY8/0.67/3</f>
        <v>23.790350790080911</v>
      </c>
      <c r="FU15" s="723">
        <f>AZ8/0.67/3</f>
        <v>0</v>
      </c>
    </row>
    <row r="16" spans="1:227" ht="15.75" customHeight="1">
      <c r="A16" s="737">
        <f>Eingabedaten!A22</f>
        <v>5.01</v>
      </c>
      <c r="B16" s="738" t="str">
        <f>Eingabedaten!C22</f>
        <v>Lebensmittelverkauf</v>
      </c>
      <c r="C16" s="724" t="s">
        <v>5</v>
      </c>
      <c r="D16" s="740"/>
      <c r="E16" s="740"/>
      <c r="F16" s="740"/>
      <c r="G16" s="740"/>
      <c r="H16" s="740"/>
      <c r="I16" s="740"/>
      <c r="J16" s="740"/>
      <c r="K16" s="740"/>
      <c r="L16" s="740"/>
      <c r="M16" s="739">
        <v>60</v>
      </c>
      <c r="N16" s="740"/>
      <c r="O16" s="740"/>
      <c r="P16" s="740"/>
      <c r="Q16" s="740"/>
      <c r="R16" s="740"/>
      <c r="S16" s="740"/>
      <c r="T16" s="740"/>
      <c r="U16" s="740"/>
      <c r="V16" s="740"/>
      <c r="W16" s="740"/>
      <c r="X16" s="740"/>
      <c r="Y16" s="740"/>
      <c r="AA16" s="770">
        <f>1/Eingabedaten!AP22</f>
        <v>0.125</v>
      </c>
      <c r="AC16" s="775"/>
      <c r="AD16" s="779"/>
      <c r="AE16" s="788"/>
      <c r="AF16" s="788"/>
      <c r="AG16" s="788"/>
      <c r="AH16" s="788"/>
      <c r="AI16" s="788"/>
      <c r="AJ16" s="788"/>
      <c r="AK16" s="788"/>
      <c r="AL16" s="788"/>
      <c r="AM16" s="788"/>
      <c r="AN16" s="788"/>
      <c r="AO16" s="788"/>
      <c r="AP16" s="788"/>
      <c r="AQ16" s="788"/>
      <c r="AR16" s="788"/>
      <c r="AS16" s="788"/>
      <c r="AT16" s="788"/>
      <c r="AU16" s="788"/>
      <c r="AV16" s="788"/>
      <c r="AW16" s="788"/>
      <c r="AX16" s="788"/>
      <c r="AY16" s="788"/>
      <c r="AZ16" s="789"/>
      <c r="BA16" s="744"/>
      <c r="BC16" s="723" t="s">
        <v>420</v>
      </c>
      <c r="BD16" s="723" t="s">
        <v>24</v>
      </c>
      <c r="BE16" s="723">
        <f>BE8*BE9/8.76+BE5/BE4*BE6/24</f>
        <v>3.112442922374429</v>
      </c>
      <c r="BF16" s="723" t="e">
        <f t="shared" ref="BF16:BY16" si="54">BF8*BF9/8.76+BF5/BF4*BF6/24</f>
        <v>#DIV/0!</v>
      </c>
      <c r="BG16" s="723" t="e">
        <f t="shared" si="54"/>
        <v>#DIV/0!</v>
      </c>
      <c r="BH16" s="723">
        <f t="shared" si="54"/>
        <v>2.3413242009132418</v>
      </c>
      <c r="BI16" s="723">
        <f t="shared" si="54"/>
        <v>3.2602739726027399</v>
      </c>
      <c r="BJ16" s="723">
        <f t="shared" si="54"/>
        <v>2.2968036529680367</v>
      </c>
      <c r="BK16" s="723" t="e">
        <f t="shared" si="54"/>
        <v>#DIV/0!</v>
      </c>
      <c r="BL16" s="723" t="e">
        <f t="shared" si="54"/>
        <v>#DIV/0!</v>
      </c>
      <c r="BM16" s="723">
        <f t="shared" si="54"/>
        <v>4.5136986301369868</v>
      </c>
      <c r="BN16" s="723" t="e">
        <f t="shared" si="54"/>
        <v>#DIV/0!</v>
      </c>
      <c r="BO16" s="723" t="e">
        <f t="shared" si="54"/>
        <v>#DIV/0!</v>
      </c>
      <c r="BP16" s="723" t="e">
        <f t="shared" si="54"/>
        <v>#DIV/0!</v>
      </c>
      <c r="BQ16" s="723">
        <f t="shared" si="54"/>
        <v>5.1369863013698627</v>
      </c>
      <c r="BR16" s="723">
        <f t="shared" si="54"/>
        <v>3.5525114155251143</v>
      </c>
      <c r="BS16" s="723">
        <f t="shared" si="54"/>
        <v>4.0152207001522067</v>
      </c>
      <c r="BT16" s="723" t="e">
        <f t="shared" si="54"/>
        <v>#DIV/0!</v>
      </c>
      <c r="BU16" s="723" t="e">
        <f t="shared" si="54"/>
        <v>#DIV/0!</v>
      </c>
      <c r="BV16" s="723">
        <f t="shared" si="54"/>
        <v>2.579908675799087</v>
      </c>
      <c r="BW16" s="723">
        <f t="shared" si="54"/>
        <v>0.86643835616438358</v>
      </c>
      <c r="BX16" s="723">
        <f t="shared" si="54"/>
        <v>1.8664383561643836</v>
      </c>
      <c r="BY16" s="743">
        <f t="shared" si="54"/>
        <v>4.974885844748858</v>
      </c>
      <c r="CB16" s="792" t="s">
        <v>1133</v>
      </c>
      <c r="CC16" s="756" t="s">
        <v>1101</v>
      </c>
      <c r="CD16" s="793">
        <f>CD5*CD6*365/1000/CD4</f>
        <v>6.6429999999999998</v>
      </c>
      <c r="CE16" s="793"/>
      <c r="CF16" s="793" t="e">
        <f>CF5*CF6*365/1000/CF4</f>
        <v>#DIV/0!</v>
      </c>
      <c r="CG16" s="793">
        <f>CG5*CG6*365/1000/CG4</f>
        <v>4.7450000000000001</v>
      </c>
      <c r="CH16" s="793">
        <f>CH5*CH6*365/1000/CH4</f>
        <v>7.1539999999999999</v>
      </c>
      <c r="CI16" s="793">
        <f>CI5*CI6*365/1000/CI4</f>
        <v>12.775</v>
      </c>
      <c r="CJ16" s="793"/>
      <c r="CK16" s="793"/>
      <c r="CL16" s="793">
        <f t="shared" ref="CL16:CX16" si="55">CL5*CL6*365/1000/CL4</f>
        <v>11.923333333333334</v>
      </c>
      <c r="CM16" s="793">
        <f t="shared" si="55"/>
        <v>11.923333333333334</v>
      </c>
      <c r="CN16" s="793">
        <f t="shared" si="55"/>
        <v>11.923333333333334</v>
      </c>
      <c r="CO16" s="793">
        <f t="shared" si="55"/>
        <v>5.9616666666666669</v>
      </c>
      <c r="CP16" s="793">
        <f t="shared" si="55"/>
        <v>20.440000000000001</v>
      </c>
      <c r="CQ16" s="793">
        <f t="shared" si="55"/>
        <v>40.880000000000003</v>
      </c>
      <c r="CR16" s="793">
        <f t="shared" si="55"/>
        <v>17.884999999999998</v>
      </c>
      <c r="CS16" s="793">
        <f t="shared" si="55"/>
        <v>20.440000000000001</v>
      </c>
      <c r="CT16" s="793">
        <f t="shared" si="55"/>
        <v>20.440000000000001</v>
      </c>
      <c r="CU16" s="793">
        <f t="shared" si="55"/>
        <v>4.2583333333333337</v>
      </c>
      <c r="CV16" s="793">
        <f t="shared" si="55"/>
        <v>3.4066666666666667</v>
      </c>
      <c r="CW16" s="793">
        <f t="shared" si="55"/>
        <v>3.2850000000000001</v>
      </c>
      <c r="CX16" s="793">
        <f t="shared" si="55"/>
        <v>10.220000000000001</v>
      </c>
      <c r="FT16" s="741">
        <f>AY3</f>
        <v>1.8800000000000001</v>
      </c>
      <c r="FU16" s="741">
        <f>AZ3</f>
        <v>0.72000000000000008</v>
      </c>
      <c r="FV16" s="741"/>
    </row>
    <row r="17" spans="1:181" ht="15.75" customHeight="1">
      <c r="A17" s="737">
        <f>Eingabedaten!A23</f>
        <v>5.0199999999999996</v>
      </c>
      <c r="B17" s="738" t="str">
        <f>Eingabedaten!C23</f>
        <v>Fachgeschäft</v>
      </c>
      <c r="C17" s="724" t="s">
        <v>5</v>
      </c>
      <c r="D17" s="740"/>
      <c r="E17" s="740"/>
      <c r="F17" s="740"/>
      <c r="G17" s="740"/>
      <c r="H17" s="740"/>
      <c r="I17" s="740"/>
      <c r="J17" s="740"/>
      <c r="K17" s="740"/>
      <c r="L17" s="739">
        <v>60</v>
      </c>
      <c r="M17" s="740"/>
      <c r="N17" s="739">
        <v>60</v>
      </c>
      <c r="O17" s="740"/>
      <c r="P17" s="740"/>
      <c r="Q17" s="740"/>
      <c r="R17" s="740"/>
      <c r="S17" s="740"/>
      <c r="T17" s="740"/>
      <c r="U17" s="740"/>
      <c r="V17" s="740"/>
      <c r="W17" s="740"/>
      <c r="X17" s="740"/>
      <c r="Y17" s="740"/>
      <c r="AA17" s="770">
        <f>1/Eingabedaten!AP23</f>
        <v>0.125</v>
      </c>
      <c r="AC17" s="775" t="s">
        <v>1135</v>
      </c>
      <c r="AD17" s="776" t="s">
        <v>1131</v>
      </c>
      <c r="AE17" s="748">
        <f>AE8*AE29</f>
        <v>406.00000000000011</v>
      </c>
      <c r="AF17" s="748">
        <f>AF8*AF29</f>
        <v>406.00000000000011</v>
      </c>
      <c r="AG17" s="748">
        <f t="shared" ref="AG17:AZ17" si="56">AG8*AG29</f>
        <v>298.09130688826855</v>
      </c>
      <c r="AH17" s="748">
        <f t="shared" si="56"/>
        <v>464</v>
      </c>
      <c r="AI17" s="748">
        <f t="shared" si="56"/>
        <v>22.712429884193629</v>
      </c>
      <c r="AJ17" s="748">
        <f t="shared" si="56"/>
        <v>11.266885320420576</v>
      </c>
      <c r="AK17" s="748">
        <f>AK8*AK29</f>
        <v>11.266885320420576</v>
      </c>
      <c r="AL17" s="748">
        <f>AL8*AL29</f>
        <v>10.362993104769966</v>
      </c>
      <c r="AM17" s="748">
        <f t="shared" si="56"/>
        <v>15.373972602739729</v>
      </c>
      <c r="AN17" s="748">
        <f t="shared" si="56"/>
        <v>15.373972602739729</v>
      </c>
      <c r="AO17" s="748">
        <f t="shared" si="56"/>
        <v>15.373972602739729</v>
      </c>
      <c r="AP17" s="748">
        <f t="shared" si="56"/>
        <v>15.737758814282509</v>
      </c>
      <c r="AQ17" s="748">
        <f t="shared" si="56"/>
        <v>136.67952358811115</v>
      </c>
      <c r="AR17" s="748">
        <f t="shared" si="56"/>
        <v>15.095890410958907</v>
      </c>
      <c r="AS17" s="748">
        <f t="shared" si="56"/>
        <v>278.73760054599535</v>
      </c>
      <c r="AT17" s="748">
        <f t="shared" si="56"/>
        <v>221.94584386221567</v>
      </c>
      <c r="AU17" s="748">
        <f t="shared" si="56"/>
        <v>366.34181930121605</v>
      </c>
      <c r="AV17" s="748">
        <f t="shared" si="56"/>
        <v>24.884383561643837</v>
      </c>
      <c r="AW17" s="748">
        <f t="shared" si="56"/>
        <v>24.884383561643837</v>
      </c>
      <c r="AX17" s="748">
        <f t="shared" si="56"/>
        <v>869.58989679114268</v>
      </c>
      <c r="AY17" s="748">
        <f t="shared" si="56"/>
        <v>940.25347083269241</v>
      </c>
      <c r="AZ17" s="784">
        <f t="shared" si="56"/>
        <v>0</v>
      </c>
      <c r="BA17" s="744"/>
      <c r="BC17" s="723" t="s">
        <v>1106</v>
      </c>
      <c r="BD17" s="723" t="s">
        <v>24</v>
      </c>
      <c r="BE17" s="723">
        <f t="shared" ref="BE17:BS17" si="57">CD8*CD9/8.76+CD5/CD4*CD6/24</f>
        <v>1.8542237442922376</v>
      </c>
      <c r="BF17" s="723" t="e">
        <f t="shared" si="57"/>
        <v>#DIV/0!</v>
      </c>
      <c r="BG17" s="723" t="e">
        <f t="shared" si="57"/>
        <v>#DIV/0!</v>
      </c>
      <c r="BH17" s="723">
        <f t="shared" si="57"/>
        <v>1.6718036529680367</v>
      </c>
      <c r="BI17" s="723">
        <f t="shared" si="57"/>
        <v>2.1751141552511415</v>
      </c>
      <c r="BJ17" s="723">
        <f t="shared" si="57"/>
        <v>2.497146118721461</v>
      </c>
      <c r="BK17" s="723">
        <f t="shared" si="57"/>
        <v>1.0388127853881279</v>
      </c>
      <c r="BL17" s="723">
        <f t="shared" si="57"/>
        <v>1.1415525114155252</v>
      </c>
      <c r="BM17" s="723">
        <f t="shared" si="57"/>
        <v>2.3885083713850843</v>
      </c>
      <c r="BN17" s="723">
        <f t="shared" si="57"/>
        <v>2.3885083713850843</v>
      </c>
      <c r="BO17" s="723">
        <f t="shared" si="57"/>
        <v>2.3885083713850843</v>
      </c>
      <c r="BP17" s="723">
        <f t="shared" si="57"/>
        <v>1.4111491628614918</v>
      </c>
      <c r="BQ17" s="723">
        <f t="shared" si="57"/>
        <v>2.984018264840183</v>
      </c>
      <c r="BR17" s="723">
        <f t="shared" si="57"/>
        <v>5.4657534246575343</v>
      </c>
      <c r="BS17" s="723">
        <f t="shared" si="57"/>
        <v>3.1261415525114153</v>
      </c>
      <c r="BT17" s="723">
        <f>CU8*CU9/8.76+CU5/CU4*CU6/24</f>
        <v>1.3422754946727551</v>
      </c>
      <c r="BU17" s="723">
        <f>CV8*CV9/8.76+CV5/CV4*CV6/24</f>
        <v>0.94824961948249609</v>
      </c>
      <c r="BV17" s="723">
        <f>CU8*CU9/8.76+CU5/CU4*CU6/24</f>
        <v>1.3422754946727551</v>
      </c>
      <c r="BW17" s="723">
        <f>CV8*CV9/8.76+CV5/CV4*CV6/24</f>
        <v>0.94824961948249609</v>
      </c>
      <c r="BX17" s="723">
        <f>CW8*CW9/8.76+CW5/CW4*CW6/24</f>
        <v>1.0599315068493151</v>
      </c>
      <c r="BY17" s="743">
        <f>CX8*CX9/8.76+CX5/CX4*CX6/24</f>
        <v>1.8515981735159817</v>
      </c>
      <c r="CB17" s="728" t="s">
        <v>1201</v>
      </c>
      <c r="CC17" s="756" t="s">
        <v>1101</v>
      </c>
      <c r="CD17" s="793">
        <f>CD16-CD7</f>
        <v>-0.35700000000000021</v>
      </c>
      <c r="CE17" s="793"/>
      <c r="CF17" s="738"/>
      <c r="CG17" s="793">
        <f>CG16-CG7</f>
        <v>-0.25499999999999989</v>
      </c>
      <c r="CH17" s="793">
        <f>CH16-CH7</f>
        <v>1.1539999999999999</v>
      </c>
      <c r="CI17" s="793">
        <f>CI16-CI7</f>
        <v>-0.22499999999999964</v>
      </c>
      <c r="CJ17" s="793"/>
      <c r="CK17" s="793"/>
      <c r="CL17" s="793">
        <f t="shared" ref="CL17:CX17" si="58">CL16-CL7</f>
        <v>0.92333333333333378</v>
      </c>
      <c r="CM17" s="793">
        <f t="shared" si="58"/>
        <v>0.92333333333333378</v>
      </c>
      <c r="CN17" s="793">
        <f t="shared" si="58"/>
        <v>0.92333333333333378</v>
      </c>
      <c r="CO17" s="793">
        <f t="shared" si="58"/>
        <v>-3.8333333333333108E-2</v>
      </c>
      <c r="CP17" s="793">
        <f t="shared" si="58"/>
        <v>-3.5599999999999987</v>
      </c>
      <c r="CQ17" s="793">
        <f t="shared" si="58"/>
        <v>8.8800000000000026</v>
      </c>
      <c r="CR17" s="793">
        <f t="shared" si="58"/>
        <v>-1.115000000000002</v>
      </c>
      <c r="CS17" s="793">
        <f t="shared" si="58"/>
        <v>1.4400000000000013</v>
      </c>
      <c r="CT17" s="793">
        <f t="shared" si="58"/>
        <v>-0.55999999999999872</v>
      </c>
      <c r="CU17" s="793">
        <f t="shared" si="58"/>
        <v>0.25833333333333375</v>
      </c>
      <c r="CV17" s="793">
        <f t="shared" si="58"/>
        <v>0.40666666666666673</v>
      </c>
      <c r="CW17" s="793">
        <f t="shared" si="58"/>
        <v>0.28500000000000014</v>
      </c>
      <c r="CX17" s="793">
        <f t="shared" si="58"/>
        <v>0.22000000000000064</v>
      </c>
      <c r="DB17" s="723" t="s">
        <v>1134</v>
      </c>
      <c r="FT17" s="741">
        <f>AY4</f>
        <v>4.1665925925925933</v>
      </c>
      <c r="FU17" s="741">
        <f>AZ4</f>
        <v>0.74114529914529925</v>
      </c>
      <c r="FV17" s="741"/>
    </row>
    <row r="18" spans="1:181">
      <c r="A18" s="737">
        <f>Eingabedaten!A24</f>
        <v>5.03</v>
      </c>
      <c r="B18" s="738" t="str">
        <f>Eingabedaten!C24</f>
        <v>Verkauf Möbel, Bau, Garten</v>
      </c>
      <c r="C18" s="724" t="s">
        <v>5</v>
      </c>
      <c r="D18" s="740"/>
      <c r="E18" s="740"/>
      <c r="F18" s="740"/>
      <c r="G18" s="740"/>
      <c r="H18" s="740"/>
      <c r="I18" s="740"/>
      <c r="J18" s="740"/>
      <c r="K18" s="740"/>
      <c r="L18" s="740"/>
      <c r="M18" s="740"/>
      <c r="N18" s="740"/>
      <c r="O18" s="739">
        <v>60</v>
      </c>
      <c r="P18" s="740"/>
      <c r="Q18" s="740"/>
      <c r="R18" s="740"/>
      <c r="S18" s="740"/>
      <c r="T18" s="740"/>
      <c r="U18" s="740"/>
      <c r="V18" s="740"/>
      <c r="W18" s="740"/>
      <c r="X18" s="740"/>
      <c r="Y18" s="740"/>
      <c r="AA18" s="770">
        <f>1/Eingabedaten!AP24</f>
        <v>6.6666666666666666E-2</v>
      </c>
      <c r="AC18" s="775"/>
      <c r="AD18" s="779"/>
      <c r="AE18" s="788"/>
      <c r="AF18" s="788"/>
      <c r="AG18" s="788"/>
      <c r="AH18" s="788"/>
      <c r="AI18" s="788"/>
      <c r="AJ18" s="788"/>
      <c r="AK18" s="788"/>
      <c r="AL18" s="788"/>
      <c r="AM18" s="788"/>
      <c r="AN18" s="788"/>
      <c r="AO18" s="788"/>
      <c r="AP18" s="788"/>
      <c r="AQ18" s="788"/>
      <c r="AR18" s="788"/>
      <c r="AS18" s="788"/>
      <c r="AT18" s="788"/>
      <c r="AU18" s="788"/>
      <c r="AV18" s="788"/>
      <c r="AW18" s="788"/>
      <c r="AX18" s="788"/>
      <c r="AY18" s="788"/>
      <c r="AZ18" s="789"/>
      <c r="FT18" s="723">
        <f>AY11</f>
        <v>7.1</v>
      </c>
      <c r="FU18" s="723">
        <f>AZ11</f>
        <v>4.2</v>
      </c>
      <c r="FW18" s="741"/>
      <c r="FX18" s="741"/>
      <c r="FY18" s="741"/>
    </row>
    <row r="19" spans="1:181">
      <c r="A19" s="737">
        <f>Eingabedaten!A25</f>
        <v>6.01</v>
      </c>
      <c r="B19" s="738" t="str">
        <f>Eingabedaten!C25</f>
        <v>Restaurant</v>
      </c>
      <c r="C19" s="724" t="s">
        <v>5</v>
      </c>
      <c r="D19" s="740"/>
      <c r="E19" s="740"/>
      <c r="F19" s="740"/>
      <c r="G19" s="740"/>
      <c r="H19" s="740"/>
      <c r="I19" s="740"/>
      <c r="J19" s="740"/>
      <c r="K19" s="740"/>
      <c r="L19" s="740"/>
      <c r="M19" s="740"/>
      <c r="N19" s="740"/>
      <c r="O19" s="740"/>
      <c r="P19" s="739">
        <v>50</v>
      </c>
      <c r="Q19" s="740"/>
      <c r="R19" s="740"/>
      <c r="S19" s="740"/>
      <c r="T19" s="740"/>
      <c r="U19" s="740"/>
      <c r="V19" s="740"/>
      <c r="W19" s="740"/>
      <c r="X19" s="740"/>
      <c r="Y19" s="740"/>
      <c r="AA19" s="770">
        <f>1/Eingabedaten!AP25</f>
        <v>0.5</v>
      </c>
      <c r="AC19" s="775"/>
      <c r="AD19" s="776"/>
      <c r="AE19" s="746"/>
      <c r="AF19" s="746"/>
      <c r="AG19" s="746"/>
      <c r="AH19" s="746"/>
      <c r="AI19" s="746"/>
      <c r="AJ19" s="746"/>
      <c r="AK19" s="746"/>
      <c r="AL19" s="746"/>
      <c r="AM19" s="746"/>
      <c r="AN19" s="746"/>
      <c r="AO19" s="746"/>
      <c r="AP19" s="746"/>
      <c r="AQ19" s="746"/>
      <c r="AR19" s="746"/>
      <c r="AS19" s="746"/>
      <c r="AT19" s="746"/>
      <c r="AU19" s="746"/>
      <c r="AV19" s="746"/>
      <c r="AW19" s="746"/>
      <c r="AX19" s="746"/>
      <c r="AY19" s="746"/>
      <c r="AZ19" s="785"/>
      <c r="FT19" s="742">
        <f>SUM(FT14:FT18)</f>
        <v>42.622200791637091</v>
      </c>
      <c r="FU19" s="742">
        <f>SUM(FU14:FU18)</f>
        <v>5.9764920638511825</v>
      </c>
      <c r="FV19" s="742"/>
      <c r="FW19" s="741"/>
      <c r="FX19" s="741"/>
      <c r="FY19" s="741"/>
    </row>
    <row r="20" spans="1:181">
      <c r="A20" s="737">
        <f>Eingabedaten!A26</f>
        <v>6.02</v>
      </c>
      <c r="B20" s="738" t="str">
        <f>Eingabedaten!C26</f>
        <v>Selbstbedienungsrestaurant</v>
      </c>
      <c r="C20" s="724" t="s">
        <v>5</v>
      </c>
      <c r="D20" s="740"/>
      <c r="E20" s="740"/>
      <c r="F20" s="740"/>
      <c r="G20" s="740"/>
      <c r="H20" s="740"/>
      <c r="I20" s="740"/>
      <c r="J20" s="740"/>
      <c r="K20" s="740"/>
      <c r="L20" s="740"/>
      <c r="M20" s="740"/>
      <c r="N20" s="740"/>
      <c r="O20" s="740"/>
      <c r="P20" s="740"/>
      <c r="Q20" s="740"/>
      <c r="R20" s="740"/>
      <c r="S20" s="740"/>
      <c r="T20" s="740"/>
      <c r="U20" s="740"/>
      <c r="V20" s="740"/>
      <c r="W20" s="740"/>
      <c r="X20" s="740"/>
      <c r="Y20" s="740"/>
      <c r="AA20" s="770">
        <f>1/Eingabedaten!AP26</f>
        <v>0.5</v>
      </c>
      <c r="AC20" s="775"/>
      <c r="AD20" s="776"/>
      <c r="AE20" s="746"/>
      <c r="AF20" s="746"/>
      <c r="AG20" s="746"/>
      <c r="AH20" s="746"/>
      <c r="AI20" s="746"/>
      <c r="AJ20" s="746"/>
      <c r="AK20" s="746"/>
      <c r="AL20" s="746"/>
      <c r="AM20" s="746"/>
      <c r="AN20" s="746"/>
      <c r="AO20" s="746"/>
      <c r="AP20" s="746"/>
      <c r="AQ20" s="746"/>
      <c r="AR20" s="746"/>
      <c r="AS20" s="746"/>
      <c r="AT20" s="746"/>
      <c r="AU20" s="746"/>
      <c r="AV20" s="746"/>
      <c r="AW20" s="746"/>
      <c r="AX20" s="746"/>
      <c r="AY20" s="746"/>
      <c r="AZ20" s="785"/>
      <c r="FT20" s="723">
        <f>FT19-FT9</f>
        <v>42.622200791637091</v>
      </c>
      <c r="FU20" s="723">
        <f>FU19-FU9</f>
        <v>5.9764920638511825</v>
      </c>
    </row>
    <row r="21" spans="1:181">
      <c r="A21" s="737">
        <f>Eingabedaten!A27</f>
        <v>6.03</v>
      </c>
      <c r="B21" s="738" t="str">
        <f>Eingabedaten!C27</f>
        <v>Küche zu Restaurant</v>
      </c>
      <c r="C21" s="724" t="s">
        <v>5</v>
      </c>
      <c r="D21" s="740"/>
      <c r="E21" s="740"/>
      <c r="F21" s="740"/>
      <c r="G21" s="740"/>
      <c r="H21" s="740"/>
      <c r="I21" s="740"/>
      <c r="J21" s="740"/>
      <c r="K21" s="740"/>
      <c r="L21" s="740"/>
      <c r="M21" s="740"/>
      <c r="N21" s="740"/>
      <c r="O21" s="740"/>
      <c r="P21" s="740">
        <v>10</v>
      </c>
      <c r="Q21" s="740"/>
      <c r="R21" s="740"/>
      <c r="S21" s="740"/>
      <c r="T21" s="740"/>
      <c r="U21" s="740"/>
      <c r="V21" s="740"/>
      <c r="W21" s="740"/>
      <c r="X21" s="740"/>
      <c r="Y21" s="740"/>
      <c r="AA21" s="770">
        <f>1/Eingabedaten!AP27</f>
        <v>0.2</v>
      </c>
      <c r="AC21" s="775" t="s">
        <v>1115</v>
      </c>
      <c r="AD21" s="776" t="s">
        <v>1061</v>
      </c>
      <c r="AE21" s="786">
        <f>SUMPRODUCT('Resultate Standard'!$AD$6:$AD$50,'Fläche-L'!D$3:D$47,'Resultate Standard'!$AG$6:$AG$50)/100/8760*$AD$1</f>
        <v>0.57351989562948469</v>
      </c>
      <c r="AF21" s="786">
        <f>SUMPRODUCT('Resultate Standard'!$AD$6:$AD$50,'Fläche-L'!E$3:E$47,'Resultate Standard'!$AG$6:$AG$50)/100/8760*$AD$1</f>
        <v>0.57351989562948469</v>
      </c>
      <c r="AG21" s="786">
        <f>SUMPRODUCT('Resultate Standard'!$AD$6:$AD$50,'Fläche-L'!F$3:F$47,'Resultate Standard'!$AG$6:$AG$50)/100/8760*$AD$1</f>
        <v>1.0037621222004782</v>
      </c>
      <c r="AH21" s="786">
        <f>SUMPRODUCT('Resultate Standard'!$AD$6:$AD$50,'Fläche-L'!G$3:G$47,'Resultate Standard'!$AG$6:$AG$50)/100/8760*$AD$1</f>
        <v>0.43778264840182646</v>
      </c>
      <c r="AI21" s="786">
        <f>SUMPRODUCT('Resultate Standard'!$AD$6:$AD$50,'Fläche-L'!H$3:H$47,'Resultate Standard'!$AG$6:$AG$50)/100/8760*$AD$1</f>
        <v>0.64317916938464892</v>
      </c>
      <c r="AJ21" s="786">
        <f>SUMPRODUCT('Resultate Standard'!$AD$6:$AD$50,'Fläche-L'!I$3:I$47,'Resultate Standard'!$AG$6:$AG$50)/100/8760*$AD$1</f>
        <v>0.75930854533594272</v>
      </c>
      <c r="AK21" s="786">
        <f>SUMPRODUCT('Resultate Standard'!$AD$6:$AD$50,'Fläche-L'!J$3:J$47,'Resultate Standard'!$AG$6:$AG$50)/100/8760*$AD$1</f>
        <v>0.75930854533594272</v>
      </c>
      <c r="AL21" s="786">
        <f>SUMPRODUCT('Resultate Standard'!$AD$6:$AD$50,'Fläche-L'!K$3:K$47,'Resultate Standard'!$AG$6:$AG$50)/100/8760*$AD$1</f>
        <v>0.84353794303109364</v>
      </c>
      <c r="AM21" s="786">
        <f>SUMPRODUCT('Resultate Standard'!$AD$6:$AD$50,'Fläche-L'!L$3:L$47,'Resultate Standard'!$AG$6:$AG$50)/100/8760*$AD$1</f>
        <v>0.85060078277886508</v>
      </c>
      <c r="AN21" s="786">
        <f>SUMPRODUCT('Resultate Standard'!$AD$6:$AD$50,'Fläche-L'!M$3:M$47,'Resultate Standard'!$AG$6:$AG$50)/100/8760*$AD$1</f>
        <v>0.84656425309849981</v>
      </c>
      <c r="AO21" s="786">
        <f>SUMPRODUCT('Resultate Standard'!$AD$6:$AD$50,'Fläche-L'!N$3:N$47,'Resultate Standard'!$AG$6:$AG$50)/100/8760*$AD$1</f>
        <v>0.85060078277886508</v>
      </c>
      <c r="AP21" s="786">
        <f>SUMPRODUCT('Resultate Standard'!$AD$6:$AD$50,'Fläche-L'!O$3:O$47,'Resultate Standard'!$AG$6:$AG$50)/100/8760*$AD$1</f>
        <v>0.78478799739073724</v>
      </c>
      <c r="AQ21" s="786">
        <f>SUMPRODUCT('Resultate Standard'!$AD$6:$AD$50,'Fläche-L'!P$3:P$47,'Resultate Standard'!$AG$6:$AG$50)/100/8760*$AD$1</f>
        <v>1.44791128506197</v>
      </c>
      <c r="AR21" s="786">
        <f>SUMPRODUCT('Resultate Standard'!$AD$6:$AD$50,'Fläche-L'!Q$3:Q$47,'Resultate Standard'!$AG$6:$AG$50)/100/8760*$AD$1</f>
        <v>1.6150619699934765</v>
      </c>
      <c r="AS21" s="786">
        <f>SUMPRODUCT('Resultate Standard'!$AD$6:$AD$50,'Fläche-L'!R$3:R$47,'Resultate Standard'!$AG$6:$AG$50)/100/8760*$AD$1</f>
        <v>1.0882187432050445</v>
      </c>
      <c r="AT21" s="786">
        <f>SUMPRODUCT('Resultate Standard'!$AD$6:$AD$50,'Fläche-L'!S$3:S$47,'Resultate Standard'!$AG$6:$AG$50)/100/8760*$AD$1</f>
        <v>1.0982826701456838</v>
      </c>
      <c r="AU21" s="786">
        <f>SUMPRODUCT('Resultate Standard'!$AD$6:$AD$50,'Fläche-L'!T$3:T$47,'Resultate Standard'!$AG$6:$AG$50)/100/8760*$AD$1</f>
        <v>1.1412415742552731</v>
      </c>
      <c r="AV21" s="786">
        <f>SUMPRODUCT('Resultate Standard'!$AD$6:$AD$50,'Fläche-L'!U$3:U$47,'Resultate Standard'!$AG$6:$AG$50)/100/8760*$AD$1</f>
        <v>0.57845821555410593</v>
      </c>
      <c r="AW21" s="786">
        <f>SUMPRODUCT('Resultate Standard'!$AD$6:$AD$50,'Fläche-L'!V$3:V$47,'Resultate Standard'!$AG$6:$AG$50)/100/8760*$AD$1</f>
        <v>0.57741813437703859</v>
      </c>
      <c r="AX21" s="786">
        <f>SUMPRODUCT('Resultate Standard'!$AD$6:$AD$50,'Fläche-L'!W$3:W$47,'Resultate Standard'!$AG$6:$AG$50)/100/8760*$AD$1</f>
        <v>0.91933789954337897</v>
      </c>
      <c r="AY21" s="786">
        <f>SUMPRODUCT('Resultate Standard'!$AD$6:$AD$50,'Fläche-L'!X$3:X$47,'Resultate Standard'!$AG$6:$AG$50)/100/8760*$AD$1</f>
        <v>1.4123222439660799</v>
      </c>
      <c r="AZ21" s="787">
        <f>SUMPRODUCT('Resultate Standard'!$AD$6:$AD$50,'Fläche-L'!Y$3:Y$47,'Resultate Standard'!$AG$6:$AG$50)/100/8760*$AD$1</f>
        <v>2.0182648401826486E-2</v>
      </c>
      <c r="EX21" s="742"/>
      <c r="FT21" s="723" t="e">
        <f>FT20/FT9%</f>
        <v>#DIV/0!</v>
      </c>
      <c r="FU21" s="723" t="e">
        <f>FU20/FU9%</f>
        <v>#DIV/0!</v>
      </c>
      <c r="FW21" s="742"/>
      <c r="FX21" s="742"/>
      <c r="FY21" s="742"/>
    </row>
    <row r="22" spans="1:181">
      <c r="A22" s="737">
        <f>Eingabedaten!A28</f>
        <v>6.04</v>
      </c>
      <c r="B22" s="738" t="str">
        <f>Eingabedaten!C28</f>
        <v>Küche zu Selbstbedienungsrest.</v>
      </c>
      <c r="C22" s="724" t="s">
        <v>5</v>
      </c>
      <c r="D22" s="740"/>
      <c r="E22" s="740"/>
      <c r="F22" s="740"/>
      <c r="G22" s="740"/>
      <c r="H22" s="740"/>
      <c r="I22" s="740"/>
      <c r="J22" s="740"/>
      <c r="K22" s="740"/>
      <c r="L22" s="740"/>
      <c r="M22" s="740"/>
      <c r="N22" s="740"/>
      <c r="O22" s="740"/>
      <c r="P22" s="740"/>
      <c r="Q22" s="740"/>
      <c r="R22" s="740"/>
      <c r="S22" s="740"/>
      <c r="T22" s="740"/>
      <c r="U22" s="740"/>
      <c r="V22" s="740"/>
      <c r="W22" s="740"/>
      <c r="X22" s="740"/>
      <c r="Y22" s="740"/>
      <c r="AA22" s="770">
        <f>1/Eingabedaten!AP28</f>
        <v>0.2</v>
      </c>
      <c r="AC22" s="775" t="s">
        <v>1116</v>
      </c>
      <c r="AD22" s="776" t="s">
        <v>1061</v>
      </c>
      <c r="AE22" s="790">
        <f>SUMPRODUCT('Resultate Standard'!$AZ$6:$AZ$50,'Fläche-L'!D$3:D$47)/100</f>
        <v>0.33369952707110245</v>
      </c>
      <c r="AF22" s="790">
        <f>SUMPRODUCT('Resultate Standard'!$AZ$6:$AZ$50,'Fläche-L'!E$3:E$47)/100</f>
        <v>0.33369952707110245</v>
      </c>
      <c r="AG22" s="790">
        <f>SUMPRODUCT('Resultate Standard'!$AZ$6:$AZ$50,'Fläche-L'!F$3:F$47)/100</f>
        <v>0.59541964285714288</v>
      </c>
      <c r="AH22" s="790">
        <f>SUMPRODUCT('Resultate Standard'!$AZ$6:$AZ$50,'Fläche-L'!G$3:G$47)/100</f>
        <v>0.28375981735159816</v>
      </c>
      <c r="AI22" s="790">
        <f>SUMPRODUCT('Resultate Standard'!$AZ$6:$AZ$50,'Fläche-L'!H$3:H$47)/100</f>
        <v>0.39216955724070457</v>
      </c>
      <c r="AJ22" s="790">
        <f>SUMPRODUCT('Resultate Standard'!$AZ$6:$AZ$50,'Fläche-L'!I$3:I$47)/100</f>
        <v>0.49311969993476856</v>
      </c>
      <c r="AK22" s="790">
        <f>SUMPRODUCT('Resultate Standard'!$AZ$6:$AZ$50,'Fläche-L'!J$3:J$47)/100</f>
        <v>0.49311969993476856</v>
      </c>
      <c r="AL22" s="790">
        <f>SUMPRODUCT('Resultate Standard'!$AZ$6:$AZ$50,'Fläche-L'!K$3:K$47)/100</f>
        <v>0.53602407452707124</v>
      </c>
      <c r="AM22" s="790">
        <f>SUMPRODUCT('Resultate Standard'!$AZ$6:$AZ$50,'Fläche-L'!L$3:L$47)/100</f>
        <v>0.55222072733202887</v>
      </c>
      <c r="AN22" s="790">
        <f>SUMPRODUCT('Resultate Standard'!$AZ$6:$AZ$50,'Fläche-L'!M$3:M$47)/100</f>
        <v>0.54568876386170917</v>
      </c>
      <c r="AO22" s="790">
        <f>SUMPRODUCT('Resultate Standard'!$AZ$6:$AZ$50,'Fläche-L'!N$3:N$47)/100</f>
        <v>0.55222072733202887</v>
      </c>
      <c r="AP22" s="790">
        <f>SUMPRODUCT('Resultate Standard'!$AZ$6:$AZ$50,'Fläche-L'!O$3:O$47)/100</f>
        <v>0.43101696020874114</v>
      </c>
      <c r="AQ22" s="790">
        <f>SUMPRODUCT('Resultate Standard'!$AZ$6:$AZ$50,'Fläche-L'!P$3:P$47)/100</f>
        <v>0.88654521363339867</v>
      </c>
      <c r="AR22" s="790">
        <f>SUMPRODUCT('Resultate Standard'!$AZ$6:$AZ$50,'Fläche-L'!Q$3:Q$47)/100</f>
        <v>0.86647729125896911</v>
      </c>
      <c r="AS22" s="790">
        <f>SUMPRODUCT('Resultate Standard'!$AZ$6:$AZ$50,'Fläche-L'!R$3:R$47)/100</f>
        <v>0.57733374103065893</v>
      </c>
      <c r="AT22" s="790">
        <f>SUMPRODUCT('Resultate Standard'!$AZ$6:$AZ$50,'Fläche-L'!S$3:S$47)/100</f>
        <v>0.58899213144161788</v>
      </c>
      <c r="AU22" s="790">
        <f>SUMPRODUCT('Resultate Standard'!$AZ$6:$AZ$50,'Fläche-L'!T$3:T$47)/100</f>
        <v>0.58868562459230278</v>
      </c>
      <c r="AV22" s="790">
        <f>SUMPRODUCT('Resultate Standard'!$AZ$6:$AZ$50,'Fläche-L'!U$3:U$47)/100</f>
        <v>0.37024945640356605</v>
      </c>
      <c r="AW22" s="790">
        <f>SUMPRODUCT('Resultate Standard'!$AZ$6:$AZ$50,'Fläche-L'!V$3:V$47)/100</f>
        <v>0.3499607387475539</v>
      </c>
      <c r="AX22" s="790">
        <f>SUMPRODUCT('Resultate Standard'!$AZ$6:$AZ$50,'Fläche-L'!W$3:W$47)/100</f>
        <v>1.2967862442922373</v>
      </c>
      <c r="AY22" s="790">
        <f>SUMPRODUCT('Resultate Standard'!$AZ$6:$AZ$50,'Fläche-L'!X$3:X$47)/100</f>
        <v>0.77235000815394661</v>
      </c>
      <c r="AZ22" s="791">
        <f>SUMPRODUCT('Resultate Standard'!$AZ$6:$AZ$50,'Fläche-L'!Y$3:Y$47)/100</f>
        <v>2.6478881278538813E-2</v>
      </c>
    </row>
    <row r="23" spans="1:181">
      <c r="A23" s="737">
        <f>Eingabedaten!A29</f>
        <v>7.01</v>
      </c>
      <c r="B23" s="738" t="str">
        <f>Eingabedaten!C29</f>
        <v>Vorstellungsraum</v>
      </c>
      <c r="C23" s="724" t="s">
        <v>5</v>
      </c>
      <c r="D23" s="740"/>
      <c r="E23" s="740"/>
      <c r="F23" s="740"/>
      <c r="G23" s="740"/>
      <c r="H23" s="740"/>
      <c r="I23" s="740"/>
      <c r="J23" s="740"/>
      <c r="K23" s="740"/>
      <c r="L23" s="740"/>
      <c r="M23" s="740"/>
      <c r="N23" s="740"/>
      <c r="O23" s="740"/>
      <c r="P23" s="740"/>
      <c r="Q23" s="740">
        <v>20</v>
      </c>
      <c r="R23" s="740"/>
      <c r="S23" s="740"/>
      <c r="T23" s="740"/>
      <c r="U23" s="740"/>
      <c r="V23" s="740"/>
      <c r="W23" s="740"/>
      <c r="X23" s="740"/>
      <c r="Y23" s="740"/>
      <c r="AA23" s="770">
        <f>1/Eingabedaten!AP29</f>
        <v>0.33333333333333331</v>
      </c>
      <c r="AC23" s="777" t="s">
        <v>1152</v>
      </c>
      <c r="AD23" s="776"/>
      <c r="AE23" s="746">
        <f>AE22/AE21</f>
        <v>0.58184472694681344</v>
      </c>
      <c r="AF23" s="746">
        <f>AF22/AF21</f>
        <v>0.58184472694681344</v>
      </c>
      <c r="AG23" s="746">
        <f t="shared" ref="AG23:AZ23" si="59">AG22/AG21</f>
        <v>0.59318799712410508</v>
      </c>
      <c r="AH23" s="746">
        <f t="shared" si="59"/>
        <v>0.64817511243877413</v>
      </c>
      <c r="AI23" s="746">
        <f t="shared" si="59"/>
        <v>0.60973609828798769</v>
      </c>
      <c r="AJ23" s="746">
        <f t="shared" si="59"/>
        <v>0.6494325698871154</v>
      </c>
      <c r="AK23" s="746">
        <f>AK22/AK21</f>
        <v>0.6494325698871154</v>
      </c>
      <c r="AL23" s="746">
        <f>AL22/AL21</f>
        <v>0.63544749700407122</v>
      </c>
      <c r="AM23" s="746">
        <f t="shared" si="59"/>
        <v>0.64921257834721791</v>
      </c>
      <c r="AN23" s="746">
        <f t="shared" si="59"/>
        <v>0.64459225849005575</v>
      </c>
      <c r="AO23" s="746">
        <f t="shared" si="59"/>
        <v>0.64921257834721791</v>
      </c>
      <c r="AP23" s="746">
        <f t="shared" si="59"/>
        <v>0.5492145160754065</v>
      </c>
      <c r="AQ23" s="746">
        <f t="shared" si="59"/>
        <v>0.61229249525149942</v>
      </c>
      <c r="AR23" s="746">
        <f t="shared" si="59"/>
        <v>0.53649786036536351</v>
      </c>
      <c r="AS23" s="746">
        <f t="shared" si="59"/>
        <v>0.53053096598050087</v>
      </c>
      <c r="AT23" s="746">
        <f t="shared" si="59"/>
        <v>0.53628464461110903</v>
      </c>
      <c r="AU23" s="746">
        <f t="shared" si="59"/>
        <v>0.51582910916687785</v>
      </c>
      <c r="AV23" s="746">
        <f t="shared" si="59"/>
        <v>0.64006257746534656</v>
      </c>
      <c r="AW23" s="746">
        <f t="shared" si="59"/>
        <v>0.60607853808595302</v>
      </c>
      <c r="AX23" s="746">
        <f t="shared" si="59"/>
        <v>1.4105654133657832</v>
      </c>
      <c r="AY23" s="746">
        <f t="shared" si="59"/>
        <v>0.54686528620057362</v>
      </c>
      <c r="AZ23" s="785">
        <f t="shared" si="59"/>
        <v>1.3119626696832578</v>
      </c>
    </row>
    <row r="24" spans="1:181">
      <c r="A24" s="737">
        <f>Eingabedaten!A30</f>
        <v>7.02</v>
      </c>
      <c r="B24" s="738" t="str">
        <f>Eingabedaten!C30</f>
        <v>Mehrzweckhalle</v>
      </c>
      <c r="C24" s="724" t="s">
        <v>5</v>
      </c>
      <c r="D24" s="740"/>
      <c r="E24" s="740"/>
      <c r="F24" s="740"/>
      <c r="G24" s="740"/>
      <c r="H24" s="740"/>
      <c r="I24" s="740"/>
      <c r="J24" s="740"/>
      <c r="K24" s="740"/>
      <c r="L24" s="740"/>
      <c r="M24" s="740"/>
      <c r="N24" s="740"/>
      <c r="O24" s="740"/>
      <c r="P24" s="740"/>
      <c r="Q24" s="740">
        <v>20</v>
      </c>
      <c r="R24" s="740"/>
      <c r="S24" s="740"/>
      <c r="T24" s="740"/>
      <c r="U24" s="740"/>
      <c r="V24" s="740"/>
      <c r="W24" s="740"/>
      <c r="X24" s="740"/>
      <c r="Y24" s="740"/>
      <c r="AA24" s="770">
        <f>1/Eingabedaten!AP30</f>
        <v>0.33333333333333331</v>
      </c>
      <c r="AC24" s="775"/>
      <c r="AD24" s="776"/>
      <c r="AE24" s="746"/>
      <c r="AF24" s="746"/>
      <c r="AG24" s="746"/>
      <c r="AH24" s="746"/>
      <c r="AI24" s="746"/>
      <c r="AJ24" s="746"/>
      <c r="AK24" s="746"/>
      <c r="AL24" s="746"/>
      <c r="AM24" s="746"/>
      <c r="AN24" s="746"/>
      <c r="AO24" s="746"/>
      <c r="AP24" s="746"/>
      <c r="AQ24" s="746"/>
      <c r="AR24" s="746"/>
      <c r="AS24" s="746"/>
      <c r="AT24" s="746"/>
      <c r="AU24" s="746"/>
      <c r="AV24" s="746"/>
      <c r="AW24" s="746"/>
      <c r="AX24" s="746"/>
      <c r="AY24" s="746"/>
      <c r="AZ24" s="785"/>
    </row>
    <row r="25" spans="1:181">
      <c r="A25" s="737">
        <f>Eingabedaten!A31</f>
        <v>7.03</v>
      </c>
      <c r="B25" s="738" t="str">
        <f>Eingabedaten!C31</f>
        <v>Ausstellungshalle</v>
      </c>
      <c r="C25" s="724" t="s">
        <v>5</v>
      </c>
      <c r="D25" s="740"/>
      <c r="E25" s="740"/>
      <c r="F25" s="740"/>
      <c r="G25" s="740"/>
      <c r="H25" s="740"/>
      <c r="I25" s="740"/>
      <c r="J25" s="740"/>
      <c r="K25" s="740"/>
      <c r="L25" s="740"/>
      <c r="M25" s="740"/>
      <c r="N25" s="740"/>
      <c r="O25" s="740"/>
      <c r="P25" s="740"/>
      <c r="Q25" s="740">
        <v>20</v>
      </c>
      <c r="R25" s="740"/>
      <c r="S25" s="740"/>
      <c r="T25" s="740"/>
      <c r="U25" s="740"/>
      <c r="V25" s="740"/>
      <c r="W25" s="740"/>
      <c r="X25" s="740"/>
      <c r="Y25" s="740"/>
      <c r="AA25" s="770">
        <f>1/Eingabedaten!AP31</f>
        <v>0.33333333333333331</v>
      </c>
      <c r="AC25" s="775"/>
      <c r="AD25" s="776"/>
      <c r="AE25" s="746"/>
      <c r="AF25" s="746"/>
      <c r="AG25" s="746"/>
      <c r="AH25" s="746"/>
      <c r="AI25" s="746"/>
      <c r="AJ25" s="746"/>
      <c r="AK25" s="746"/>
      <c r="AL25" s="746"/>
      <c r="AM25" s="746"/>
      <c r="AN25" s="746"/>
      <c r="AO25" s="746"/>
      <c r="AP25" s="746"/>
      <c r="AQ25" s="746"/>
      <c r="AR25" s="746"/>
      <c r="AS25" s="746"/>
      <c r="AT25" s="746"/>
      <c r="AU25" s="746"/>
      <c r="AV25" s="746"/>
      <c r="AW25" s="746"/>
      <c r="AX25" s="746"/>
      <c r="AY25" s="746"/>
      <c r="AZ25" s="785"/>
      <c r="EX25" s="726" t="s">
        <v>1150</v>
      </c>
      <c r="EY25" s="798"/>
      <c r="EZ25" s="724" t="str">
        <f>EZ1</f>
        <v>I</v>
      </c>
      <c r="FA25" s="724" t="str">
        <f t="shared" ref="FA25:FS25" si="60">FA1</f>
        <v>I.1</v>
      </c>
      <c r="FB25" s="724" t="str">
        <f t="shared" si="60"/>
        <v>I.2</v>
      </c>
      <c r="FC25" s="724" t="str">
        <f t="shared" si="60"/>
        <v>II</v>
      </c>
      <c r="FD25" s="724" t="str">
        <f t="shared" si="60"/>
        <v>III</v>
      </c>
      <c r="FE25" s="724" t="str">
        <f t="shared" si="60"/>
        <v>IV</v>
      </c>
      <c r="FF25" s="724" t="str">
        <f t="shared" si="60"/>
        <v>IV.1</v>
      </c>
      <c r="FG25" s="724" t="str">
        <f t="shared" si="60"/>
        <v>IV.2</v>
      </c>
      <c r="FH25" s="724" t="str">
        <f t="shared" si="60"/>
        <v>V</v>
      </c>
      <c r="FI25" s="724" t="str">
        <f t="shared" si="60"/>
        <v>V.1</v>
      </c>
      <c r="FJ25" s="724" t="str">
        <f t="shared" si="60"/>
        <v>V.2</v>
      </c>
      <c r="FK25" s="724" t="str">
        <f t="shared" si="60"/>
        <v>V.3</v>
      </c>
      <c r="FL25" s="724" t="str">
        <f t="shared" si="60"/>
        <v>VI</v>
      </c>
      <c r="FM25" s="724" t="str">
        <f t="shared" si="60"/>
        <v>VII</v>
      </c>
      <c r="FN25" s="724" t="str">
        <f t="shared" si="60"/>
        <v>VIII</v>
      </c>
      <c r="FO25" s="724" t="str">
        <f t="shared" si="60"/>
        <v>VIII.1</v>
      </c>
      <c r="FP25" s="724" t="str">
        <f t="shared" si="60"/>
        <v>VIII.2</v>
      </c>
      <c r="FQ25" s="724" t="str">
        <f t="shared" si="60"/>
        <v>IX</v>
      </c>
      <c r="FR25" s="724" t="str">
        <f t="shared" si="60"/>
        <v>X</v>
      </c>
      <c r="FS25" s="724" t="str">
        <f t="shared" si="60"/>
        <v>XI</v>
      </c>
    </row>
    <row r="26" spans="1:181">
      <c r="A26" s="737">
        <f>Eingabedaten!A32</f>
        <v>8.01</v>
      </c>
      <c r="B26" s="738" t="str">
        <f>Eingabedaten!C32</f>
        <v xml:space="preserve">Bettenzimmer </v>
      </c>
      <c r="C26" s="724" t="s">
        <v>5</v>
      </c>
      <c r="D26" s="740"/>
      <c r="E26" s="740"/>
      <c r="F26" s="740"/>
      <c r="G26" s="740"/>
      <c r="H26" s="740"/>
      <c r="I26" s="740"/>
      <c r="J26" s="740"/>
      <c r="K26" s="740"/>
      <c r="L26" s="740"/>
      <c r="M26" s="740"/>
      <c r="N26" s="740"/>
      <c r="O26" s="740"/>
      <c r="P26" s="740"/>
      <c r="Q26" s="740"/>
      <c r="R26" s="739">
        <v>40</v>
      </c>
      <c r="S26" s="739">
        <v>35</v>
      </c>
      <c r="T26" s="739">
        <v>50</v>
      </c>
      <c r="U26" s="740"/>
      <c r="V26" s="740"/>
      <c r="W26" s="740"/>
      <c r="X26" s="740"/>
      <c r="Y26" s="740"/>
      <c r="AA26" s="770">
        <f>1/Eingabedaten!AP32</f>
        <v>6.6666666666666666E-2</v>
      </c>
      <c r="AC26" s="775"/>
      <c r="AD26" s="776"/>
      <c r="AE26" s="746"/>
      <c r="AF26" s="746"/>
      <c r="AG26" s="746"/>
      <c r="AH26" s="746"/>
      <c r="AI26" s="746"/>
      <c r="AJ26" s="746"/>
      <c r="AK26" s="746"/>
      <c r="AL26" s="746"/>
      <c r="AM26" s="746"/>
      <c r="AN26" s="746"/>
      <c r="AO26" s="746"/>
      <c r="AP26" s="746"/>
      <c r="AQ26" s="746"/>
      <c r="AR26" s="746"/>
      <c r="AS26" s="746"/>
      <c r="AT26" s="746"/>
      <c r="AU26" s="746"/>
      <c r="AV26" s="746"/>
      <c r="AW26" s="746"/>
      <c r="AX26" s="746"/>
      <c r="AY26" s="746"/>
      <c r="AZ26" s="785"/>
      <c r="EX26" s="775" t="s">
        <v>1190</v>
      </c>
      <c r="EY26" s="723" t="s">
        <v>134</v>
      </c>
      <c r="EZ26" s="738">
        <f t="shared" ref="EZ26:FS27" si="61">EZ8</f>
        <v>36</v>
      </c>
      <c r="FA26" s="738">
        <f t="shared" si="61"/>
        <v>0</v>
      </c>
      <c r="FB26" s="738">
        <f t="shared" si="61"/>
        <v>0</v>
      </c>
      <c r="FC26" s="738">
        <f t="shared" si="61"/>
        <v>35</v>
      </c>
      <c r="FD26" s="738">
        <f t="shared" si="61"/>
        <v>68.5</v>
      </c>
      <c r="FE26" s="738">
        <f t="shared" si="61"/>
        <v>36</v>
      </c>
      <c r="FF26" s="738">
        <f t="shared" si="61"/>
        <v>0</v>
      </c>
      <c r="FG26" s="738">
        <f t="shared" si="61"/>
        <v>0</v>
      </c>
      <c r="FH26" s="738">
        <f t="shared" si="61"/>
        <v>78</v>
      </c>
      <c r="FI26" s="738">
        <f t="shared" si="61"/>
        <v>0</v>
      </c>
      <c r="FJ26" s="738">
        <f t="shared" si="61"/>
        <v>0</v>
      </c>
      <c r="FK26" s="738">
        <f t="shared" si="61"/>
        <v>0</v>
      </c>
      <c r="FL26" s="738">
        <f t="shared" si="61"/>
        <v>61.5</v>
      </c>
      <c r="FM26" s="738">
        <f t="shared" si="61"/>
        <v>37</v>
      </c>
      <c r="FN26" s="738">
        <f t="shared" si="61"/>
        <v>70.5</v>
      </c>
      <c r="FO26" s="738">
        <f t="shared" si="61"/>
        <v>0</v>
      </c>
      <c r="FP26" s="738">
        <f t="shared" si="61"/>
        <v>0</v>
      </c>
      <c r="FQ26" s="738">
        <f t="shared" si="61"/>
        <v>42</v>
      </c>
      <c r="FR26" s="738">
        <f t="shared" si="61"/>
        <v>31</v>
      </c>
      <c r="FS26" s="738">
        <f t="shared" si="61"/>
        <v>28.5</v>
      </c>
    </row>
    <row r="27" spans="1:181">
      <c r="A27" s="737">
        <f>Eingabedaten!A33</f>
        <v>8.02</v>
      </c>
      <c r="B27" s="738" t="str">
        <f>Eingabedaten!C33</f>
        <v xml:space="preserve">Stationszimmer </v>
      </c>
      <c r="C27" s="724" t="s">
        <v>5</v>
      </c>
      <c r="D27" s="740"/>
      <c r="E27" s="740"/>
      <c r="F27" s="740"/>
      <c r="G27" s="740"/>
      <c r="H27" s="740"/>
      <c r="I27" s="740"/>
      <c r="J27" s="740"/>
      <c r="K27" s="740"/>
      <c r="L27" s="740"/>
      <c r="M27" s="740"/>
      <c r="N27" s="740"/>
      <c r="O27" s="740"/>
      <c r="P27" s="740"/>
      <c r="Q27" s="740"/>
      <c r="R27" s="740">
        <v>5</v>
      </c>
      <c r="S27" s="740">
        <v>5</v>
      </c>
      <c r="T27" s="740">
        <v>5</v>
      </c>
      <c r="U27" s="740"/>
      <c r="V27" s="740"/>
      <c r="W27" s="740"/>
      <c r="X27" s="740"/>
      <c r="Y27" s="740"/>
      <c r="AA27" s="770">
        <f>1/Eingabedaten!AP33</f>
        <v>0.33333333333333331</v>
      </c>
      <c r="AC27" s="775" t="s">
        <v>1200</v>
      </c>
      <c r="AD27" s="776" t="s">
        <v>134</v>
      </c>
      <c r="AE27" s="748">
        <f>SUMPRODUCT('Resultate Standard'!$M$6:$M$50,'Fläche-L'!D$3:D$47)/100*$AD$1</f>
        <v>6.6748800000000008</v>
      </c>
      <c r="AF27" s="748">
        <f>SUMPRODUCT('Resultate Standard'!$M$6:$M$50,'Fläche-L'!E$3:E$47)/100*$AD$1</f>
        <v>6.6748800000000008</v>
      </c>
      <c r="AG27" s="748">
        <f>SUMPRODUCT('Resultate Standard'!$M$6:$M$50,'Fläche-L'!F$3:F$47)/100*$AD$1</f>
        <v>10.93056</v>
      </c>
      <c r="AH27" s="748">
        <f>SUMPRODUCT('Resultate Standard'!$M$6:$M$50,'Fläche-L'!G$3:G$47)/100*$AD$1</f>
        <v>4.9472640000000006</v>
      </c>
      <c r="AI27" s="748">
        <f>SUMPRODUCT('Resultate Standard'!$M$6:$M$50,'Fläche-L'!H$3:H$47)/100*$AD$1</f>
        <v>6.3979200000000001</v>
      </c>
      <c r="AJ27" s="748">
        <f>SUMPRODUCT('Resultate Standard'!$M$6:$M$50,'Fläche-L'!I$3:I$47)/100*$AD$1</f>
        <v>13.120944000000001</v>
      </c>
      <c r="AK27" s="748">
        <f>SUMPRODUCT('Resultate Standard'!$M$6:$M$50,'Fläche-L'!J$3:J$47)/100*$AD$1</f>
        <v>13.120944000000001</v>
      </c>
      <c r="AL27" s="748">
        <f>SUMPRODUCT('Resultate Standard'!$M$6:$M$50,'Fläche-L'!K$3:K$47)/100*$AD$1</f>
        <v>13.610640000000002</v>
      </c>
      <c r="AM27" s="748">
        <f>SUMPRODUCT('Resultate Standard'!$M$6:$M$50,'Fläche-L'!L$3:L$47)/100*$AD$1</f>
        <v>11.448</v>
      </c>
      <c r="AN27" s="748">
        <f>SUMPRODUCT('Resultate Standard'!$M$6:$M$50,'Fläche-L'!M$3:M$47)/100*$AD$1</f>
        <v>11.448</v>
      </c>
      <c r="AO27" s="748">
        <f>SUMPRODUCT('Resultate Standard'!$M$6:$M$50,'Fläche-L'!N$3:N$47)/100*$AD$1</f>
        <v>11.448</v>
      </c>
      <c r="AP27" s="748">
        <f>SUMPRODUCT('Resultate Standard'!$M$6:$M$50,'Fläche-L'!O$3:O$47)/100*$AD$1</f>
        <v>6.273600000000001</v>
      </c>
      <c r="AQ27" s="748">
        <f>SUMPRODUCT('Resultate Standard'!$M$6:$M$50,'Fläche-L'!P$3:P$47)/100*$AD$1</f>
        <v>23.954400000000003</v>
      </c>
      <c r="AR27" s="748">
        <f>SUMPRODUCT('Resultate Standard'!$M$6:$M$50,'Fläche-L'!Q$3:Q$47)/100*$AD$1</f>
        <v>32.167999999999999</v>
      </c>
      <c r="AS27" s="748">
        <f>SUMPRODUCT('Resultate Standard'!$M$6:$M$50,'Fläche-L'!R$3:R$47)/100*$AD$1</f>
        <v>18.869119999999999</v>
      </c>
      <c r="AT27" s="748">
        <f>SUMPRODUCT('Resultate Standard'!$M$6:$M$50,'Fläche-L'!S$3:S$47)/100*$AD$1</f>
        <v>18.508480000000002</v>
      </c>
      <c r="AU27" s="748">
        <f>SUMPRODUCT('Resultate Standard'!$M$6:$M$50,'Fläche-L'!T$3:T$47)/100*$AD$1</f>
        <v>20.8</v>
      </c>
      <c r="AV27" s="748">
        <f>SUMPRODUCT('Resultate Standard'!$M$6:$M$50,'Fläche-L'!U$3:U$47)/100*$AD$1</f>
        <v>4.1778133333333338</v>
      </c>
      <c r="AW27" s="748">
        <f>SUMPRODUCT('Resultate Standard'!$M$6:$M$50,'Fläche-L'!V$3:V$47)/100*$AD$1</f>
        <v>3.3022399999999998</v>
      </c>
      <c r="AX27" s="748">
        <f>SUMPRODUCT('Resultate Standard'!$M$6:$M$50,'Fläche-L'!W$3:W$47)/100*$AD$1</f>
        <v>3.2563199999999997</v>
      </c>
      <c r="AY27" s="748">
        <f>SUMPRODUCT('Resultate Standard'!$M$6:$M$50,'Fläche-L'!X$3:X$47)/100*$AD$1</f>
        <v>10.243200000000002</v>
      </c>
      <c r="AZ27" s="784">
        <f>SUMPRODUCT('Resultate Standard'!$M$6:$M$50,'Fläche-L'!Y$3:Y$47)/100*$AD$1</f>
        <v>0</v>
      </c>
      <c r="EX27" s="775" t="s">
        <v>1151</v>
      </c>
      <c r="EY27" s="723" t="s">
        <v>134</v>
      </c>
      <c r="EZ27" s="738">
        <f>EZ9</f>
        <v>27.5</v>
      </c>
      <c r="FA27" s="738">
        <f t="shared" si="61"/>
        <v>0</v>
      </c>
      <c r="FB27" s="738">
        <f t="shared" si="61"/>
        <v>0</v>
      </c>
      <c r="FC27" s="738">
        <f t="shared" si="61"/>
        <v>27.5</v>
      </c>
      <c r="FD27" s="738">
        <f t="shared" si="61"/>
        <v>55</v>
      </c>
      <c r="FE27" s="738">
        <f t="shared" si="61"/>
        <v>22.5</v>
      </c>
      <c r="FF27" s="738">
        <f t="shared" si="61"/>
        <v>0</v>
      </c>
      <c r="FG27" s="738">
        <f t="shared" si="61"/>
        <v>0</v>
      </c>
      <c r="FH27" s="738">
        <f t="shared" si="61"/>
        <v>60</v>
      </c>
      <c r="FI27" s="738">
        <f t="shared" si="61"/>
        <v>0</v>
      </c>
      <c r="FJ27" s="738">
        <f t="shared" si="61"/>
        <v>0</v>
      </c>
      <c r="FK27" s="738">
        <f t="shared" si="61"/>
        <v>0</v>
      </c>
      <c r="FL27" s="738">
        <f t="shared" si="61"/>
        <v>50</v>
      </c>
      <c r="FM27" s="738">
        <f t="shared" si="61"/>
        <v>27.5</v>
      </c>
      <c r="FN27" s="738">
        <f t="shared" si="61"/>
        <v>55</v>
      </c>
      <c r="FO27" s="738"/>
      <c r="FP27" s="738"/>
      <c r="FQ27" s="738">
        <f t="shared" si="61"/>
        <v>40</v>
      </c>
      <c r="FR27" s="738">
        <f t="shared" si="61"/>
        <v>27.5</v>
      </c>
      <c r="FS27" s="738">
        <f t="shared" si="61"/>
        <v>27.5</v>
      </c>
    </row>
    <row r="28" spans="1:181">
      <c r="A28" s="737">
        <f>Eingabedaten!A34</f>
        <v>8.0299999999999994</v>
      </c>
      <c r="B28" s="738" t="str">
        <f>Eingabedaten!C34</f>
        <v>Behandlungsraum</v>
      </c>
      <c r="C28" s="724" t="s">
        <v>5</v>
      </c>
      <c r="D28" s="740"/>
      <c r="E28" s="740"/>
      <c r="F28" s="740"/>
      <c r="G28" s="740"/>
      <c r="H28" s="740"/>
      <c r="I28" s="740"/>
      <c r="J28" s="740"/>
      <c r="K28" s="740"/>
      <c r="L28" s="740"/>
      <c r="M28" s="740"/>
      <c r="N28" s="740"/>
      <c r="O28" s="740"/>
      <c r="P28" s="740"/>
      <c r="Q28" s="740"/>
      <c r="R28" s="740">
        <v>10</v>
      </c>
      <c r="S28" s="740">
        <v>15</v>
      </c>
      <c r="T28" s="740">
        <v>5</v>
      </c>
      <c r="U28" s="740"/>
      <c r="V28" s="740"/>
      <c r="W28" s="740"/>
      <c r="X28" s="740"/>
      <c r="Y28" s="740"/>
      <c r="AA28" s="770">
        <f>1/Eingabedaten!AP34</f>
        <v>0.2</v>
      </c>
      <c r="AC28" s="775"/>
      <c r="AD28" s="776"/>
      <c r="AE28" s="746"/>
      <c r="AF28" s="746"/>
      <c r="AG28" s="746"/>
      <c r="AH28" s="746"/>
      <c r="AI28" s="746"/>
      <c r="AJ28" s="746"/>
      <c r="AK28" s="746"/>
      <c r="AL28" s="746"/>
      <c r="AM28" s="746"/>
      <c r="AN28" s="746"/>
      <c r="AO28" s="746"/>
      <c r="AP28" s="746"/>
      <c r="AQ28" s="746"/>
      <c r="AR28" s="746"/>
      <c r="AS28" s="746"/>
      <c r="AT28" s="746"/>
      <c r="AU28" s="746"/>
      <c r="AV28" s="746"/>
      <c r="AW28" s="746"/>
      <c r="AX28" s="746"/>
      <c r="AY28" s="746"/>
      <c r="AZ28" s="785"/>
      <c r="EX28" s="735" t="s">
        <v>1300</v>
      </c>
      <c r="EY28" s="802" t="s">
        <v>134</v>
      </c>
      <c r="EZ28" s="738">
        <f>FY11</f>
        <v>24.132035725643217</v>
      </c>
      <c r="FA28" s="738">
        <f t="shared" ref="FA28:FM28" si="62">FZ11</f>
        <v>24.132035725643217</v>
      </c>
      <c r="FB28" s="738">
        <f t="shared" si="62"/>
        <v>34.946916365439492</v>
      </c>
      <c r="FC28" s="738">
        <f t="shared" si="62"/>
        <v>22.884722408895914</v>
      </c>
      <c r="FD28" s="738">
        <f t="shared" si="62"/>
        <v>29.253077473073894</v>
      </c>
      <c r="FE28" s="738">
        <f t="shared" si="62"/>
        <v>26.01596306339566</v>
      </c>
      <c r="FF28" s="738">
        <f t="shared" si="62"/>
        <v>26.01596306339566</v>
      </c>
      <c r="FG28" s="738">
        <f t="shared" si="62"/>
        <v>33.308550595672749</v>
      </c>
      <c r="FH28" s="738">
        <f t="shared" si="62"/>
        <v>25.410490646485798</v>
      </c>
      <c r="FI28" s="738">
        <f t="shared" si="62"/>
        <v>74.968140127967288</v>
      </c>
      <c r="FJ28" s="738">
        <f t="shared" si="62"/>
        <v>25.410490646485798</v>
      </c>
      <c r="FK28" s="738">
        <f t="shared" si="62"/>
        <v>22.37646082433082</v>
      </c>
      <c r="FL28" s="738">
        <f t="shared" si="62"/>
        <v>62.887913388480989</v>
      </c>
      <c r="FM28" s="738">
        <f t="shared" si="62"/>
        <v>27.67242892604645</v>
      </c>
      <c r="FN28" s="738">
        <f>GM11</f>
        <v>38.892301699767202</v>
      </c>
      <c r="FO28" s="738"/>
      <c r="FP28" s="738"/>
      <c r="FQ28" s="738">
        <f>GP11</f>
        <v>31.330882816341862</v>
      </c>
      <c r="FR28" s="738">
        <f>GQ11</f>
        <v>11.181296592059059</v>
      </c>
      <c r="FS28" s="738">
        <f>GR11</f>
        <v>24.100110062228321</v>
      </c>
    </row>
    <row r="29" spans="1:181">
      <c r="A29" s="737">
        <f>Eingabedaten!A35</f>
        <v>9.01</v>
      </c>
      <c r="B29" s="738" t="str">
        <f>Eingabedaten!C35</f>
        <v>Produktion (grobe Arbeit)</v>
      </c>
      <c r="C29" s="724" t="s">
        <v>5</v>
      </c>
      <c r="D29" s="740"/>
      <c r="E29" s="740"/>
      <c r="F29" s="740"/>
      <c r="G29" s="740"/>
      <c r="H29" s="740"/>
      <c r="I29" s="740"/>
      <c r="J29" s="740"/>
      <c r="K29" s="740"/>
      <c r="L29" s="740"/>
      <c r="M29" s="740"/>
      <c r="N29" s="740"/>
      <c r="O29" s="740"/>
      <c r="P29" s="740"/>
      <c r="Q29" s="740"/>
      <c r="R29" s="740"/>
      <c r="S29" s="740"/>
      <c r="T29" s="740"/>
      <c r="U29" s="740">
        <v>10</v>
      </c>
      <c r="V29" s="740"/>
      <c r="W29" s="740"/>
      <c r="X29" s="740"/>
      <c r="Y29" s="740"/>
      <c r="AA29" s="770">
        <f>1/Eingabedaten!AP35</f>
        <v>6.6666666666666666E-2</v>
      </c>
      <c r="AC29" s="775" t="s">
        <v>102</v>
      </c>
      <c r="AD29" s="776" t="s">
        <v>209</v>
      </c>
      <c r="AE29" s="748">
        <f>1/(SUMPRODUCT('Fläche-L'!D$3:D$47,$AA$3:$AA$47)/100*$AD$1)</f>
        <v>51.470588235294116</v>
      </c>
      <c r="AF29" s="748">
        <f>1/(SUMPRODUCT('Fläche-L'!E$3:E$47,$AA$3:$AA$47)/100*$AD$1)</f>
        <v>51.470588235294116</v>
      </c>
      <c r="AG29" s="748">
        <f>1/(SUMPRODUCT('Fläche-L'!F$3:F$47,$AA$3:$AA$47)/100*$AD$1)</f>
        <v>24.881516587677726</v>
      </c>
      <c r="AH29" s="748">
        <f>1/(SUMPRODUCT('Fläche-L'!G$3:G$47,$AA$3:$AA$47)/100*$AD$1)</f>
        <v>69.444444444444429</v>
      </c>
      <c r="AI29" s="748">
        <f>1/(SUMPRODUCT('Fläche-L'!H$3:H$47,$AA$3:$AA$47)/100*$AD$1)</f>
        <v>26.184538653366584</v>
      </c>
      <c r="AJ29" s="748">
        <f>1/(SUMPRODUCT('Fläche-L'!I$3:I$47,$AA$3:$AA$47)/100*$AD$1)</f>
        <v>9.9150141643059477</v>
      </c>
      <c r="AK29" s="748">
        <f>1/(SUMPRODUCT('Fläche-L'!J$3:J$47,$AA$3:$AA$47)/100*$AD$1)</f>
        <v>9.9150141643059477</v>
      </c>
      <c r="AL29" s="748">
        <f>1/(SUMPRODUCT('Fläche-L'!K$3:K$47,$AA$3:$AA$47)/100*$AD$1)</f>
        <v>11.758118701007838</v>
      </c>
      <c r="AM29" s="748">
        <f>1/(SUMPRODUCT('Fläche-L'!L$3:L$47,$AA$3:$AA$47)/100*$AD$1)</f>
        <v>15.909090909090908</v>
      </c>
      <c r="AN29" s="748">
        <f>1/(SUMPRODUCT('Fläche-L'!M$3:M$47,$AA$3:$AA$47)/100*$AD$1)</f>
        <v>15.909090909090908</v>
      </c>
      <c r="AO29" s="748">
        <f>1/(SUMPRODUCT('Fläche-L'!N$3:N$47,$AA$3:$AA$47)/100*$AD$1)</f>
        <v>15.909090909090908</v>
      </c>
      <c r="AP29" s="748">
        <f>1/(SUMPRODUCT('Fläche-L'!O$3:O$47,$AA$3:$AA$47)/100*$AD$1)</f>
        <v>28.688524590163933</v>
      </c>
      <c r="AQ29" s="748">
        <f>1/(SUMPRODUCT('Fläche-L'!P$3:P$47,$AA$3:$AA$47)/100*$AD$1)</f>
        <v>4.5691906005221927</v>
      </c>
      <c r="AR29" s="748">
        <f>1/(SUMPRODUCT('Fläche-L'!Q$3:Q$47,$AA$3:$AA$47)/100*$AD$1)</f>
        <v>6.1403508771929829</v>
      </c>
      <c r="AS29" s="748">
        <f>1/(SUMPRODUCT('Fläche-L'!R$3:R$47,$AA$3:$AA$47)/100*$AD$1)</f>
        <v>18.683274021352315</v>
      </c>
      <c r="AT29" s="748">
        <f>1/(SUMPRODUCT('Fläche-L'!S$3:S$47,$AA$3:$AA$47)/100*$AD$1)</f>
        <v>16.990291262135919</v>
      </c>
      <c r="AU29" s="748">
        <f>1/(SUMPRODUCT('Fläche-L'!T$3:T$47,$AA$3:$AA$47)/100*$AD$1)</f>
        <v>19.662921348314608</v>
      </c>
      <c r="AV29" s="748">
        <f>1/(SUMPRODUCT('Fläche-L'!U$3:U$47,$AA$3:$AA$47)/100*$AD$1)</f>
        <v>28.688524590163933</v>
      </c>
      <c r="AW29" s="748">
        <f>1/(SUMPRODUCT('Fläche-L'!V$3:V$47,$AA$3:$AA$47)/100*$AD$1)</f>
        <v>59.322033898305079</v>
      </c>
      <c r="AX29" s="748">
        <f>1/(SUMPRODUCT('Fläche-L'!W$3:W$47,$AA$3:$AA$47)/100*$AD$1)</f>
        <v>41.666666666666664</v>
      </c>
      <c r="AY29" s="748">
        <f>1/(SUMPRODUCT('Fläche-L'!X$3:X$47,$AA$3:$AA$47)/100*$AD$1)</f>
        <v>19.662921348314608</v>
      </c>
      <c r="AZ29" s="784">
        <v>0</v>
      </c>
    </row>
    <row r="30" spans="1:181">
      <c r="A30" s="737">
        <f>Eingabedaten!A36</f>
        <v>9.02</v>
      </c>
      <c r="B30" s="738" t="str">
        <f>Eingabedaten!C36</f>
        <v>Produktion (feine Arbeit)</v>
      </c>
      <c r="C30" s="724" t="s">
        <v>5</v>
      </c>
      <c r="D30" s="740"/>
      <c r="E30" s="740"/>
      <c r="F30" s="740"/>
      <c r="G30" s="740"/>
      <c r="H30" s="740"/>
      <c r="I30" s="740"/>
      <c r="J30" s="740"/>
      <c r="K30" s="740"/>
      <c r="L30" s="740"/>
      <c r="M30" s="740"/>
      <c r="N30" s="740"/>
      <c r="O30" s="740"/>
      <c r="P30" s="740"/>
      <c r="Q30" s="740"/>
      <c r="R30" s="740"/>
      <c r="S30" s="740"/>
      <c r="T30" s="740"/>
      <c r="U30" s="739">
        <v>50</v>
      </c>
      <c r="V30" s="740"/>
      <c r="W30" s="740"/>
      <c r="X30" s="740"/>
      <c r="Y30" s="740"/>
      <c r="AA30" s="770">
        <f>1/Eingabedaten!AP36</f>
        <v>6.6666666666666666E-2</v>
      </c>
      <c r="AC30" s="775" t="s">
        <v>1127</v>
      </c>
      <c r="AD30" s="776" t="s">
        <v>15</v>
      </c>
      <c r="AE30" s="748">
        <f>AE27*AE29*1000/AE31/365</f>
        <v>13.446575342465753</v>
      </c>
      <c r="AF30" s="748">
        <f>AF27*AF29*1000/AF31/365</f>
        <v>13.446575342465753</v>
      </c>
      <c r="AG30" s="748">
        <f t="shared" ref="AG30:AZ30" si="63">AG27*AG29*1000/AG31/365</f>
        <v>10.644575732000259</v>
      </c>
      <c r="AH30" s="748">
        <f t="shared" si="63"/>
        <v>13.446575342465751</v>
      </c>
      <c r="AI30" s="748">
        <f t="shared" si="63"/>
        <v>6.5568134458374612</v>
      </c>
      <c r="AJ30" s="748">
        <f t="shared" si="63"/>
        <v>5.0917552097481469</v>
      </c>
      <c r="AK30" s="748">
        <f t="shared" si="63"/>
        <v>5.0917552097481469</v>
      </c>
      <c r="AL30" s="748">
        <f t="shared" si="63"/>
        <v>6.2636211630796614</v>
      </c>
      <c r="AM30" s="748">
        <f t="shared" si="63"/>
        <v>7.12826899128269</v>
      </c>
      <c r="AN30" s="748">
        <f t="shared" si="63"/>
        <v>7.12826899128269</v>
      </c>
      <c r="AO30" s="748">
        <f t="shared" si="63"/>
        <v>7.12826899128269</v>
      </c>
      <c r="AP30" s="748">
        <f t="shared" si="63"/>
        <v>7.0442398383112508</v>
      </c>
      <c r="AQ30" s="748">
        <f>AQ27*AQ29*1000/AQ31/365</f>
        <v>4.2838442004363531</v>
      </c>
      <c r="AR30" s="748">
        <f t="shared" si="63"/>
        <v>7.7308339341504455</v>
      </c>
      <c r="AS30" s="748">
        <f t="shared" si="63"/>
        <v>13.797923268171406</v>
      </c>
      <c r="AT30" s="748">
        <f t="shared" si="63"/>
        <v>12.307806889213991</v>
      </c>
      <c r="AU30" s="748">
        <f t="shared" si="63"/>
        <v>16.007388025242424</v>
      </c>
      <c r="AV30" s="748">
        <f t="shared" si="63"/>
        <v>4.6910098061232128</v>
      </c>
      <c r="AW30" s="748">
        <f t="shared" si="63"/>
        <v>7.6671465056884127</v>
      </c>
      <c r="AX30" s="748">
        <f t="shared" si="63"/>
        <v>3.0977168949771685</v>
      </c>
      <c r="AY30" s="748">
        <f t="shared" si="63"/>
        <v>7.8830229336616915</v>
      </c>
      <c r="AZ30" s="784">
        <f t="shared" si="63"/>
        <v>0</v>
      </c>
    </row>
    <row r="31" spans="1:181">
      <c r="A31" s="737">
        <f>Eingabedaten!A37</f>
        <v>9.0299999999999994</v>
      </c>
      <c r="B31" s="738" t="str">
        <f>Eingabedaten!C37</f>
        <v>Laborraum</v>
      </c>
      <c r="C31" s="724" t="s">
        <v>5</v>
      </c>
      <c r="D31" s="740"/>
      <c r="E31" s="740"/>
      <c r="F31" s="740"/>
      <c r="G31" s="740"/>
      <c r="H31" s="740"/>
      <c r="I31" s="740"/>
      <c r="J31" s="740"/>
      <c r="K31" s="740"/>
      <c r="L31" s="740"/>
      <c r="M31" s="740"/>
      <c r="N31" s="740"/>
      <c r="O31" s="740"/>
      <c r="P31" s="740"/>
      <c r="Q31" s="740"/>
      <c r="R31" s="740"/>
      <c r="S31" s="740"/>
      <c r="T31" s="740"/>
      <c r="U31" s="740"/>
      <c r="V31" s="740"/>
      <c r="W31" s="740"/>
      <c r="X31" s="740"/>
      <c r="Y31" s="740"/>
      <c r="AA31" s="770">
        <f>1/Eingabedaten!AP37</f>
        <v>6.6666666666666666E-2</v>
      </c>
      <c r="AC31" s="735" t="s">
        <v>1059</v>
      </c>
      <c r="AD31" s="733" t="s">
        <v>319</v>
      </c>
      <c r="AE31" s="811">
        <v>70</v>
      </c>
      <c r="AF31" s="811">
        <v>70</v>
      </c>
      <c r="AG31" s="811">
        <v>70</v>
      </c>
      <c r="AH31" s="811">
        <v>70</v>
      </c>
      <c r="AI31" s="811">
        <v>70</v>
      </c>
      <c r="AJ31" s="811">
        <v>70</v>
      </c>
      <c r="AK31" s="811">
        <v>70</v>
      </c>
      <c r="AL31" s="811">
        <v>70</v>
      </c>
      <c r="AM31" s="811">
        <v>70</v>
      </c>
      <c r="AN31" s="811">
        <v>70</v>
      </c>
      <c r="AO31" s="811">
        <v>70</v>
      </c>
      <c r="AP31" s="811">
        <v>70</v>
      </c>
      <c r="AQ31" s="811">
        <v>70</v>
      </c>
      <c r="AR31" s="811">
        <v>70</v>
      </c>
      <c r="AS31" s="811">
        <v>70</v>
      </c>
      <c r="AT31" s="811">
        <v>70</v>
      </c>
      <c r="AU31" s="811">
        <v>70</v>
      </c>
      <c r="AV31" s="811">
        <v>70</v>
      </c>
      <c r="AW31" s="811">
        <v>70</v>
      </c>
      <c r="AX31" s="811">
        <v>120</v>
      </c>
      <c r="AY31" s="811">
        <v>70</v>
      </c>
      <c r="AZ31" s="812">
        <v>70</v>
      </c>
    </row>
    <row r="32" spans="1:181">
      <c r="A32" s="737">
        <f>Eingabedaten!A38</f>
        <v>10.01</v>
      </c>
      <c r="B32" s="738" t="str">
        <f>Eingabedaten!C38</f>
        <v>Lagerhalle</v>
      </c>
      <c r="C32" s="724" t="s">
        <v>5</v>
      </c>
      <c r="D32" s="740"/>
      <c r="E32" s="740"/>
      <c r="F32" s="740"/>
      <c r="G32" s="740"/>
      <c r="H32" s="740"/>
      <c r="I32" s="740"/>
      <c r="J32" s="740"/>
      <c r="K32" s="740"/>
      <c r="L32" s="740"/>
      <c r="M32" s="740"/>
      <c r="N32" s="740"/>
      <c r="O32" s="740"/>
      <c r="P32" s="740"/>
      <c r="Q32" s="740"/>
      <c r="R32" s="740"/>
      <c r="S32" s="740"/>
      <c r="T32" s="740"/>
      <c r="U32" s="740"/>
      <c r="V32" s="739">
        <v>70</v>
      </c>
      <c r="W32" s="740"/>
      <c r="X32" s="740"/>
      <c r="Y32" s="740"/>
      <c r="AA32" s="770">
        <f>1/Eingabedaten!AP38</f>
        <v>2.5000000000000001E-2</v>
      </c>
    </row>
    <row r="33" spans="1:78">
      <c r="A33" s="737">
        <f>Eingabedaten!A39</f>
        <v>11.01</v>
      </c>
      <c r="B33" s="738" t="str">
        <f>Eingabedaten!C39</f>
        <v>Turnhalle</v>
      </c>
      <c r="C33" s="724" t="s">
        <v>5</v>
      </c>
      <c r="D33" s="740"/>
      <c r="E33" s="740"/>
      <c r="F33" s="740"/>
      <c r="G33" s="740"/>
      <c r="H33" s="740"/>
      <c r="I33" s="740"/>
      <c r="J33" s="740"/>
      <c r="K33" s="740"/>
      <c r="L33" s="740"/>
      <c r="M33" s="740"/>
      <c r="N33" s="740"/>
      <c r="O33" s="740"/>
      <c r="P33" s="740"/>
      <c r="Q33" s="740"/>
      <c r="R33" s="740"/>
      <c r="S33" s="740"/>
      <c r="T33" s="740"/>
      <c r="U33" s="740"/>
      <c r="V33" s="740"/>
      <c r="W33" s="739">
        <v>60</v>
      </c>
      <c r="X33" s="740"/>
      <c r="Y33" s="740"/>
      <c r="AA33" s="770">
        <f>1/Eingabedaten!AP39</f>
        <v>0.05</v>
      </c>
      <c r="AE33" s="741"/>
      <c r="AF33" s="741"/>
      <c r="AG33" s="741"/>
      <c r="AH33" s="741"/>
      <c r="AI33" s="741"/>
      <c r="AJ33" s="741"/>
      <c r="AK33" s="741"/>
      <c r="AL33" s="741"/>
      <c r="AM33" s="741"/>
      <c r="AN33" s="741"/>
      <c r="AO33" s="741"/>
      <c r="AP33" s="741"/>
      <c r="AQ33" s="741"/>
      <c r="AR33" s="741"/>
      <c r="AS33" s="741"/>
      <c r="AT33" s="741"/>
      <c r="AU33" s="741"/>
      <c r="AV33" s="741"/>
      <c r="AW33" s="741"/>
      <c r="AX33" s="741"/>
      <c r="AY33" s="741"/>
      <c r="AZ33" s="741"/>
    </row>
    <row r="34" spans="1:78">
      <c r="A34" s="737">
        <f>Eingabedaten!A40</f>
        <v>11.02</v>
      </c>
      <c r="B34" s="738" t="str">
        <f>Eingabedaten!C40</f>
        <v>Fitnessraum</v>
      </c>
      <c r="C34" s="724" t="s">
        <v>5</v>
      </c>
      <c r="D34" s="740"/>
      <c r="E34" s="740"/>
      <c r="F34" s="740"/>
      <c r="G34" s="740"/>
      <c r="H34" s="740"/>
      <c r="I34" s="740"/>
      <c r="J34" s="740"/>
      <c r="K34" s="740"/>
      <c r="L34" s="740"/>
      <c r="M34" s="740"/>
      <c r="N34" s="740"/>
      <c r="O34" s="740"/>
      <c r="P34" s="740"/>
      <c r="Q34" s="740"/>
      <c r="R34" s="740"/>
      <c r="S34" s="740"/>
      <c r="T34" s="740"/>
      <c r="U34" s="740"/>
      <c r="V34" s="740"/>
      <c r="W34" s="740"/>
      <c r="X34" s="740"/>
      <c r="Y34" s="740"/>
      <c r="AA34" s="770">
        <f>1/Eingabedaten!AP40</f>
        <v>0.1</v>
      </c>
    </row>
    <row r="35" spans="1:78">
      <c r="A35" s="737">
        <f>Eingabedaten!A41</f>
        <v>11.03</v>
      </c>
      <c r="B35" s="738" t="str">
        <f>Eingabedaten!C41</f>
        <v>Schwimmhalle</v>
      </c>
      <c r="C35" s="724" t="s">
        <v>5</v>
      </c>
      <c r="D35" s="740"/>
      <c r="E35" s="740"/>
      <c r="F35" s="740"/>
      <c r="G35" s="740"/>
      <c r="H35" s="740"/>
      <c r="I35" s="740"/>
      <c r="J35" s="740"/>
      <c r="K35" s="740"/>
      <c r="L35" s="740"/>
      <c r="M35" s="740"/>
      <c r="N35" s="740"/>
      <c r="O35" s="740"/>
      <c r="P35" s="740"/>
      <c r="Q35" s="740"/>
      <c r="R35" s="740"/>
      <c r="S35" s="740"/>
      <c r="T35" s="740"/>
      <c r="U35" s="740"/>
      <c r="V35" s="740"/>
      <c r="W35" s="740"/>
      <c r="X35" s="740">
        <v>60</v>
      </c>
      <c r="Y35" s="740"/>
      <c r="AA35" s="770">
        <f>1/Eingabedaten!AP41</f>
        <v>0.1</v>
      </c>
      <c r="AE35" s="743"/>
      <c r="AF35" s="743"/>
      <c r="BC35" s="742" t="s">
        <v>517</v>
      </c>
    </row>
    <row r="36" spans="1:78">
      <c r="A36" s="737">
        <f>Eingabedaten!A42</f>
        <v>12.01</v>
      </c>
      <c r="B36" s="738" t="str">
        <f>Eingabedaten!C42</f>
        <v>Verkehrsfläche</v>
      </c>
      <c r="C36" s="724" t="s">
        <v>5</v>
      </c>
      <c r="D36" s="740"/>
      <c r="E36" s="740"/>
      <c r="F36" s="739">
        <v>10</v>
      </c>
      <c r="G36" s="740"/>
      <c r="H36" s="739">
        <v>20</v>
      </c>
      <c r="I36" s="739">
        <v>20</v>
      </c>
      <c r="J36" s="739">
        <v>20</v>
      </c>
      <c r="K36" s="739">
        <v>20</v>
      </c>
      <c r="L36" s="739">
        <v>20</v>
      </c>
      <c r="M36" s="739">
        <v>20</v>
      </c>
      <c r="N36" s="739">
        <v>20</v>
      </c>
      <c r="O36" s="739">
        <v>20</v>
      </c>
      <c r="P36" s="739">
        <v>20</v>
      </c>
      <c r="Q36" s="739">
        <v>20</v>
      </c>
      <c r="R36" s="739">
        <v>10</v>
      </c>
      <c r="S36" s="739">
        <v>10</v>
      </c>
      <c r="T36" s="739">
        <v>10</v>
      </c>
      <c r="U36" s="739">
        <v>10</v>
      </c>
      <c r="V36" s="739">
        <v>15</v>
      </c>
      <c r="W36" s="740">
        <v>10</v>
      </c>
      <c r="X36" s="740">
        <v>10</v>
      </c>
      <c r="Y36" s="740">
        <v>5</v>
      </c>
      <c r="AA36" s="770"/>
      <c r="AE36" s="743"/>
      <c r="AF36" s="743"/>
      <c r="BC36" s="723" t="s">
        <v>420</v>
      </c>
      <c r="BD36" s="723" t="s">
        <v>134</v>
      </c>
      <c r="BE36" s="741">
        <f t="shared" ref="BE36:BY36" si="64">BE8</f>
        <v>28</v>
      </c>
      <c r="BF36" s="741"/>
      <c r="BG36" s="741">
        <f t="shared" si="64"/>
        <v>0</v>
      </c>
      <c r="BH36" s="741">
        <f t="shared" si="64"/>
        <v>22</v>
      </c>
      <c r="BI36" s="741">
        <f t="shared" si="64"/>
        <v>22</v>
      </c>
      <c r="BJ36" s="741">
        <f t="shared" si="64"/>
        <v>11</v>
      </c>
      <c r="BK36" s="741"/>
      <c r="BL36" s="741"/>
      <c r="BM36" s="741">
        <f t="shared" si="64"/>
        <v>33</v>
      </c>
      <c r="BN36" s="741">
        <f t="shared" si="64"/>
        <v>0</v>
      </c>
      <c r="BO36" s="741">
        <f t="shared" si="64"/>
        <v>0</v>
      </c>
      <c r="BP36" s="741">
        <f t="shared" si="64"/>
        <v>0</v>
      </c>
      <c r="BQ36" s="741">
        <f t="shared" si="64"/>
        <v>33</v>
      </c>
      <c r="BR36" s="741">
        <f t="shared" si="64"/>
        <v>17</v>
      </c>
      <c r="BS36" s="741">
        <f t="shared" si="64"/>
        <v>28</v>
      </c>
      <c r="BT36" s="741">
        <f t="shared" si="64"/>
        <v>0</v>
      </c>
      <c r="BU36" s="741">
        <f t="shared" si="64"/>
        <v>0</v>
      </c>
      <c r="BV36" s="741">
        <f t="shared" si="64"/>
        <v>17</v>
      </c>
      <c r="BW36" s="741">
        <f t="shared" si="64"/>
        <v>6</v>
      </c>
      <c r="BX36" s="741">
        <f t="shared" si="64"/>
        <v>6</v>
      </c>
      <c r="BY36" s="741">
        <f t="shared" si="64"/>
        <v>56</v>
      </c>
      <c r="BZ36" s="741"/>
    </row>
    <row r="37" spans="1:78">
      <c r="A37" s="737">
        <f>Eingabedaten!A43</f>
        <v>12.02</v>
      </c>
      <c r="B37" s="738" t="str">
        <f>Eingabedaten!C43</f>
        <v>Verkehrsfläche 24 h</v>
      </c>
      <c r="C37" s="724" t="s">
        <v>5</v>
      </c>
      <c r="D37" s="740"/>
      <c r="E37" s="740"/>
      <c r="F37" s="739">
        <v>5</v>
      </c>
      <c r="G37" s="740"/>
      <c r="H37" s="740"/>
      <c r="I37" s="740"/>
      <c r="J37" s="740"/>
      <c r="K37" s="740"/>
      <c r="L37" s="740"/>
      <c r="M37" s="740"/>
      <c r="N37" s="740"/>
      <c r="O37" s="740"/>
      <c r="P37" s="740"/>
      <c r="Q37" s="740"/>
      <c r="R37" s="739">
        <v>10</v>
      </c>
      <c r="S37" s="739">
        <v>10</v>
      </c>
      <c r="T37" s="739">
        <v>5</v>
      </c>
      <c r="U37" s="739">
        <v>10</v>
      </c>
      <c r="V37" s="740"/>
      <c r="W37" s="740"/>
      <c r="X37" s="740"/>
      <c r="Y37" s="740"/>
      <c r="AA37" s="770"/>
      <c r="BC37" s="723" t="s">
        <v>1396</v>
      </c>
      <c r="BD37" s="723" t="s">
        <v>134</v>
      </c>
      <c r="BE37" s="741">
        <f>AE10+AE11</f>
        <v>12.459953333333335</v>
      </c>
      <c r="BF37" s="741"/>
      <c r="BG37" s="741">
        <f>AG10+AG11</f>
        <v>19.936126984126986</v>
      </c>
      <c r="BH37" s="741">
        <f>AH10+AH11</f>
        <v>11.11430488888889</v>
      </c>
      <c r="BI37" s="741">
        <f>AI10+AI11</f>
        <v>16.584755873015876</v>
      </c>
      <c r="BJ37" s="741">
        <f>AJ10+AJ11</f>
        <v>13.234050031746033</v>
      </c>
      <c r="BK37" s="741"/>
      <c r="BL37" s="741"/>
      <c r="BM37" s="741">
        <f t="shared" ref="BM37:BY37" si="65">AM10+AM11</f>
        <v>17.688623280423279</v>
      </c>
      <c r="BN37" s="741">
        <f t="shared" si="65"/>
        <v>17.684264761904764</v>
      </c>
      <c r="BO37" s="741">
        <f t="shared" si="65"/>
        <v>17.688623280423279</v>
      </c>
      <c r="BP37" s="741">
        <f t="shared" si="65"/>
        <v>16.126023280423279</v>
      </c>
      <c r="BQ37" s="741">
        <f t="shared" si="65"/>
        <v>19.102975873015872</v>
      </c>
      <c r="BR37" s="741">
        <f t="shared" si="65"/>
        <v>14.150593650793651</v>
      </c>
      <c r="BS37" s="741">
        <f t="shared" si="65"/>
        <v>19.153838095238097</v>
      </c>
      <c r="BT37" s="741">
        <f t="shared" si="65"/>
        <v>19.971126984126986</v>
      </c>
      <c r="BU37" s="741">
        <f t="shared" si="65"/>
        <v>18.599638095238095</v>
      </c>
      <c r="BV37" s="741">
        <f t="shared" si="65"/>
        <v>15.411549206349207</v>
      </c>
      <c r="BW37" s="741">
        <f t="shared" si="65"/>
        <v>6.7348551892551916</v>
      </c>
      <c r="BX37" s="741">
        <f t="shared" si="65"/>
        <v>10.326903703703703</v>
      </c>
      <c r="BY37" s="741">
        <f t="shared" si="65"/>
        <v>14.770164021164021</v>
      </c>
      <c r="BZ37" s="741"/>
    </row>
    <row r="38" spans="1:78">
      <c r="A38" s="737">
        <f>Eingabedaten!A44</f>
        <v>12.03</v>
      </c>
      <c r="B38" s="738" t="str">
        <f>Eingabedaten!C44</f>
        <v>Treppenhaus</v>
      </c>
      <c r="C38" s="724" t="s">
        <v>5</v>
      </c>
      <c r="D38" s="740">
        <v>10</v>
      </c>
      <c r="E38" s="740">
        <v>10</v>
      </c>
      <c r="F38" s="740">
        <v>5</v>
      </c>
      <c r="G38" s="740"/>
      <c r="H38" s="740">
        <v>5</v>
      </c>
      <c r="I38" s="740">
        <v>5</v>
      </c>
      <c r="J38" s="740">
        <v>5</v>
      </c>
      <c r="K38" s="739">
        <v>5</v>
      </c>
      <c r="L38" s="740">
        <v>5</v>
      </c>
      <c r="M38" s="740">
        <v>5</v>
      </c>
      <c r="N38" s="740">
        <v>5</v>
      </c>
      <c r="O38" s="740">
        <v>5</v>
      </c>
      <c r="P38" s="740"/>
      <c r="Q38" s="740"/>
      <c r="R38" s="740">
        <v>5</v>
      </c>
      <c r="S38" s="740">
        <v>5</v>
      </c>
      <c r="T38" s="740">
        <v>5</v>
      </c>
      <c r="U38" s="740">
        <v>5</v>
      </c>
      <c r="V38" s="740"/>
      <c r="W38" s="740"/>
      <c r="X38" s="740"/>
      <c r="Y38" s="740"/>
      <c r="AA38" s="770"/>
      <c r="BC38" s="213" t="s">
        <v>1149</v>
      </c>
      <c r="BD38" s="723" t="s">
        <v>134</v>
      </c>
      <c r="BE38" s="741">
        <f t="shared" ref="BE38:BY38" si="66">BE37-BE36</f>
        <v>-15.540046666666665</v>
      </c>
      <c r="BF38" s="741"/>
      <c r="BG38" s="741">
        <f t="shared" si="66"/>
        <v>19.936126984126986</v>
      </c>
      <c r="BH38" s="741">
        <f t="shared" si="66"/>
        <v>-10.88569511111111</v>
      </c>
      <c r="BI38" s="741">
        <f t="shared" si="66"/>
        <v>-5.4152441269841241</v>
      </c>
      <c r="BJ38" s="741">
        <f t="shared" si="66"/>
        <v>2.2340500317460332</v>
      </c>
      <c r="BK38" s="741"/>
      <c r="BL38" s="741"/>
      <c r="BM38" s="741">
        <f t="shared" si="66"/>
        <v>-15.311376719576721</v>
      </c>
      <c r="BN38" s="741">
        <f t="shared" si="66"/>
        <v>17.684264761904764</v>
      </c>
      <c r="BO38" s="741">
        <f t="shared" si="66"/>
        <v>17.688623280423279</v>
      </c>
      <c r="BP38" s="741">
        <f t="shared" si="66"/>
        <v>16.126023280423279</v>
      </c>
      <c r="BQ38" s="741">
        <f t="shared" si="66"/>
        <v>-13.897024126984128</v>
      </c>
      <c r="BR38" s="741">
        <f t="shared" si="66"/>
        <v>-2.8494063492063493</v>
      </c>
      <c r="BS38" s="741">
        <f t="shared" si="66"/>
        <v>-8.8461619047619031</v>
      </c>
      <c r="BT38" s="741">
        <f t="shared" si="66"/>
        <v>19.971126984126986</v>
      </c>
      <c r="BU38" s="741">
        <f t="shared" si="66"/>
        <v>18.599638095238095</v>
      </c>
      <c r="BV38" s="741">
        <f t="shared" si="66"/>
        <v>-1.588450793650793</v>
      </c>
      <c r="BW38" s="741">
        <f t="shared" si="66"/>
        <v>0.73485518925519155</v>
      </c>
      <c r="BX38" s="741">
        <f t="shared" si="66"/>
        <v>4.326903703703703</v>
      </c>
      <c r="BY38" s="741">
        <f t="shared" si="66"/>
        <v>-41.229835978835979</v>
      </c>
      <c r="BZ38" s="741"/>
    </row>
    <row r="39" spans="1:78">
      <c r="A39" s="737">
        <f>Eingabedaten!A45</f>
        <v>12.04</v>
      </c>
      <c r="B39" s="738" t="str">
        <f>Eingabedaten!C45</f>
        <v>Nebenraum</v>
      </c>
      <c r="C39" s="724" t="s">
        <v>5</v>
      </c>
      <c r="D39" s="739">
        <v>5</v>
      </c>
      <c r="E39" s="739">
        <v>5</v>
      </c>
      <c r="F39" s="740">
        <v>5</v>
      </c>
      <c r="G39" s="739">
        <v>10</v>
      </c>
      <c r="H39" s="740">
        <v>5</v>
      </c>
      <c r="I39" s="739">
        <v>10</v>
      </c>
      <c r="J39" s="739">
        <v>10</v>
      </c>
      <c r="K39" s="739">
        <v>7</v>
      </c>
      <c r="L39" s="740">
        <v>7</v>
      </c>
      <c r="M39" s="740">
        <v>5</v>
      </c>
      <c r="N39" s="740">
        <v>7</v>
      </c>
      <c r="O39" s="740">
        <v>7</v>
      </c>
      <c r="P39" s="740">
        <v>10</v>
      </c>
      <c r="Q39" s="740">
        <v>10</v>
      </c>
      <c r="R39" s="740">
        <v>10</v>
      </c>
      <c r="S39" s="740">
        <v>10</v>
      </c>
      <c r="T39" s="740">
        <v>10</v>
      </c>
      <c r="U39" s="740">
        <v>9</v>
      </c>
      <c r="V39" s="740">
        <v>9</v>
      </c>
      <c r="W39" s="740">
        <v>10</v>
      </c>
      <c r="X39" s="740">
        <v>10</v>
      </c>
      <c r="Y39" s="740">
        <v>5</v>
      </c>
      <c r="AA39" s="770"/>
    </row>
    <row r="40" spans="1:78">
      <c r="A40" s="737">
        <f>Eingabedaten!A46</f>
        <v>12.05</v>
      </c>
      <c r="B40" s="738" t="str">
        <f>Eingabedaten!C46</f>
        <v>Küche, Teeküche</v>
      </c>
      <c r="C40" s="724" t="s">
        <v>5</v>
      </c>
      <c r="D40" s="740"/>
      <c r="E40" s="740"/>
      <c r="F40" s="740"/>
      <c r="G40" s="740"/>
      <c r="H40" s="740">
        <v>2</v>
      </c>
      <c r="I40" s="740"/>
      <c r="J40" s="740"/>
      <c r="K40" s="740"/>
      <c r="L40" s="740"/>
      <c r="M40" s="740"/>
      <c r="N40" s="740"/>
      <c r="O40" s="740"/>
      <c r="P40" s="740"/>
      <c r="Q40" s="740"/>
      <c r="R40" s="740"/>
      <c r="S40" s="740"/>
      <c r="T40" s="740"/>
      <c r="U40" s="740"/>
      <c r="V40" s="740"/>
      <c r="W40" s="740"/>
      <c r="X40" s="740"/>
      <c r="Y40" s="740"/>
      <c r="AA40" s="810">
        <v>0</v>
      </c>
    </row>
    <row r="41" spans="1:78">
      <c r="A41" s="737">
        <f>Eingabedaten!A47</f>
        <v>12.06</v>
      </c>
      <c r="B41" s="738" t="str">
        <f>Eingabedaten!C47</f>
        <v xml:space="preserve">WC, Bad, Dusche </v>
      </c>
      <c r="C41" s="724" t="s">
        <v>5</v>
      </c>
      <c r="D41" s="740"/>
      <c r="E41" s="740"/>
      <c r="F41" s="740">
        <v>5</v>
      </c>
      <c r="G41" s="740"/>
      <c r="H41" s="740"/>
      <c r="I41" s="740"/>
      <c r="J41" s="740"/>
      <c r="K41" s="740"/>
      <c r="L41" s="740"/>
      <c r="M41" s="740"/>
      <c r="N41" s="740"/>
      <c r="O41" s="740"/>
      <c r="P41" s="740"/>
      <c r="Q41" s="740"/>
      <c r="R41" s="740"/>
      <c r="S41" s="740"/>
      <c r="T41" s="740"/>
      <c r="U41" s="740"/>
      <c r="V41" s="740"/>
      <c r="W41" s="739">
        <v>5</v>
      </c>
      <c r="X41" s="740"/>
      <c r="Y41" s="740"/>
      <c r="AA41" s="770"/>
    </row>
    <row r="42" spans="1:78">
      <c r="A42" s="737">
        <f>Eingabedaten!A48</f>
        <v>12.07</v>
      </c>
      <c r="B42" s="738" t="str">
        <f>Eingabedaten!C48</f>
        <v>WC</v>
      </c>
      <c r="C42" s="724" t="s">
        <v>5</v>
      </c>
      <c r="D42" s="740"/>
      <c r="E42" s="740"/>
      <c r="F42" s="740"/>
      <c r="G42" s="740"/>
      <c r="H42" s="740">
        <v>2</v>
      </c>
      <c r="I42" s="740">
        <v>2</v>
      </c>
      <c r="J42" s="740">
        <v>2</v>
      </c>
      <c r="K42" s="739">
        <v>2</v>
      </c>
      <c r="L42" s="740">
        <v>1</v>
      </c>
      <c r="M42" s="740">
        <v>1</v>
      </c>
      <c r="N42" s="740">
        <v>1</v>
      </c>
      <c r="O42" s="740">
        <v>1</v>
      </c>
      <c r="P42" s="740">
        <v>1</v>
      </c>
      <c r="Q42" s="740">
        <v>5</v>
      </c>
      <c r="R42" s="740">
        <v>5</v>
      </c>
      <c r="S42" s="740">
        <v>5</v>
      </c>
      <c r="T42" s="740">
        <v>5</v>
      </c>
      <c r="U42" s="740">
        <v>1</v>
      </c>
      <c r="V42" s="740">
        <v>1</v>
      </c>
      <c r="W42" s="740">
        <v>5</v>
      </c>
      <c r="X42" s="740">
        <v>5</v>
      </c>
      <c r="Y42" s="740"/>
      <c r="AA42" s="770"/>
    </row>
    <row r="43" spans="1:78">
      <c r="A43" s="737">
        <f>Eingabedaten!A49</f>
        <v>12.08</v>
      </c>
      <c r="B43" s="738" t="str">
        <f>Eingabedaten!C49</f>
        <v>Garderobe, Dusche</v>
      </c>
      <c r="C43" s="724" t="s">
        <v>5</v>
      </c>
      <c r="D43" s="740"/>
      <c r="E43" s="740"/>
      <c r="F43" s="740"/>
      <c r="G43" s="740"/>
      <c r="H43" s="740"/>
      <c r="I43" s="740"/>
      <c r="J43" s="740"/>
      <c r="K43" s="740"/>
      <c r="L43" s="740">
        <v>2</v>
      </c>
      <c r="M43" s="740">
        <v>2</v>
      </c>
      <c r="N43" s="740">
        <v>2</v>
      </c>
      <c r="O43" s="740">
        <v>2</v>
      </c>
      <c r="P43" s="740">
        <v>2</v>
      </c>
      <c r="Q43" s="740"/>
      <c r="R43" s="740"/>
      <c r="S43" s="740"/>
      <c r="T43" s="740"/>
      <c r="U43" s="740"/>
      <c r="V43" s="740"/>
      <c r="W43" s="739">
        <v>10</v>
      </c>
      <c r="X43" s="740">
        <v>10</v>
      </c>
      <c r="Y43" s="740"/>
      <c r="AA43" s="770"/>
      <c r="BC43" s="742" t="s">
        <v>1099</v>
      </c>
    </row>
    <row r="44" spans="1:78">
      <c r="A44" s="737">
        <f>Eingabedaten!A50</f>
        <v>12.09</v>
      </c>
      <c r="B44" s="738" t="str">
        <f>Eingabedaten!C50</f>
        <v>Parkhaus</v>
      </c>
      <c r="C44" s="724" t="s">
        <v>5</v>
      </c>
      <c r="D44" s="740"/>
      <c r="E44" s="740"/>
      <c r="F44" s="740"/>
      <c r="G44" s="740"/>
      <c r="H44" s="740"/>
      <c r="I44" s="740"/>
      <c r="J44" s="740"/>
      <c r="K44" s="740"/>
      <c r="L44" s="740"/>
      <c r="M44" s="740"/>
      <c r="N44" s="740"/>
      <c r="O44" s="740"/>
      <c r="P44" s="740"/>
      <c r="Q44" s="740"/>
      <c r="R44" s="740"/>
      <c r="S44" s="740"/>
      <c r="T44" s="740"/>
      <c r="U44" s="740"/>
      <c r="V44" s="740"/>
      <c r="W44" s="740"/>
      <c r="X44" s="740"/>
      <c r="Y44" s="740">
        <v>90</v>
      </c>
      <c r="AA44" s="770"/>
      <c r="BC44" s="723" t="s">
        <v>420</v>
      </c>
      <c r="BD44" s="723" t="s">
        <v>16</v>
      </c>
      <c r="BE44" s="723">
        <f t="shared" ref="BE44:BY44" si="67">BE9</f>
        <v>0.7</v>
      </c>
      <c r="BG44" s="723">
        <f t="shared" si="67"/>
        <v>0</v>
      </c>
      <c r="BH44" s="723">
        <f t="shared" si="67"/>
        <v>0.7</v>
      </c>
      <c r="BI44" s="723">
        <f t="shared" si="67"/>
        <v>0.9</v>
      </c>
      <c r="BJ44" s="723">
        <f t="shared" si="67"/>
        <v>0.9</v>
      </c>
      <c r="BM44" s="723">
        <f t="shared" si="67"/>
        <v>0.8</v>
      </c>
      <c r="BN44" s="723">
        <f t="shared" si="67"/>
        <v>0</v>
      </c>
      <c r="BO44" s="723">
        <f t="shared" si="67"/>
        <v>0</v>
      </c>
      <c r="BP44" s="723">
        <f t="shared" si="67"/>
        <v>0</v>
      </c>
      <c r="BQ44" s="723">
        <f t="shared" si="67"/>
        <v>0.7</v>
      </c>
      <c r="BR44" s="723">
        <f t="shared" si="67"/>
        <v>0.8</v>
      </c>
      <c r="BS44" s="723">
        <f t="shared" si="67"/>
        <v>0.7</v>
      </c>
      <c r="BT44" s="723">
        <f t="shared" si="67"/>
        <v>0</v>
      </c>
      <c r="BU44" s="723">
        <f t="shared" si="67"/>
        <v>0</v>
      </c>
      <c r="BV44" s="723">
        <f t="shared" si="67"/>
        <v>0.9</v>
      </c>
      <c r="BW44" s="723">
        <f t="shared" si="67"/>
        <v>0.9</v>
      </c>
      <c r="BX44" s="723">
        <f t="shared" si="67"/>
        <v>0.9</v>
      </c>
      <c r="BY44" s="723">
        <f t="shared" si="67"/>
        <v>0.7</v>
      </c>
    </row>
    <row r="45" spans="1:78" ht="12.45">
      <c r="A45" s="633">
        <f>Eingabedaten!A51</f>
        <v>12.1</v>
      </c>
      <c r="B45" s="738" t="str">
        <f>Eingabedaten!C51</f>
        <v>Wasch- und Trockenraum</v>
      </c>
      <c r="C45" s="724" t="s">
        <v>5</v>
      </c>
      <c r="D45" s="740"/>
      <c r="E45" s="740"/>
      <c r="F45" s="740"/>
      <c r="G45" s="740"/>
      <c r="H45" s="740"/>
      <c r="I45" s="740"/>
      <c r="J45" s="740"/>
      <c r="K45" s="740"/>
      <c r="L45" s="740"/>
      <c r="M45" s="740"/>
      <c r="N45" s="740"/>
      <c r="O45" s="740"/>
      <c r="P45" s="740"/>
      <c r="Q45" s="740"/>
      <c r="R45" s="740"/>
      <c r="S45" s="740"/>
      <c r="T45" s="740"/>
      <c r="U45" s="740"/>
      <c r="V45" s="740"/>
      <c r="W45" s="740"/>
      <c r="X45" s="740"/>
      <c r="Y45" s="740"/>
      <c r="AA45" s="770"/>
      <c r="BC45" s="723" t="s">
        <v>1300</v>
      </c>
      <c r="BD45" s="723" t="s">
        <v>16</v>
      </c>
      <c r="BE45" s="723">
        <f>BE62/BE37</f>
        <v>0.77046837521595857</v>
      </c>
      <c r="BG45" s="723">
        <f t="shared" ref="BG45:BY45" si="68">BG62/BG37</f>
        <v>0</v>
      </c>
      <c r="BH45" s="723">
        <f t="shared" si="68"/>
        <v>0.89074396455482829</v>
      </c>
      <c r="BI45" s="723">
        <f t="shared" si="68"/>
        <v>0.71752638936107704</v>
      </c>
      <c r="BJ45" s="723">
        <f t="shared" si="68"/>
        <v>0.68762019020411635</v>
      </c>
      <c r="BM45" s="723">
        <f t="shared" si="68"/>
        <v>0.50880160978727307</v>
      </c>
      <c r="BN45" s="723">
        <f t="shared" si="68"/>
        <v>0.50892701060366918</v>
      </c>
      <c r="BO45" s="723">
        <f t="shared" si="68"/>
        <v>0.50880160978727307</v>
      </c>
      <c r="BP45" s="723">
        <f t="shared" si="68"/>
        <v>0.39687403947689276</v>
      </c>
      <c r="BQ45" s="723">
        <f>BQ62/BQ37</f>
        <v>0.29838282987372666</v>
      </c>
      <c r="BR45" s="723">
        <f t="shared" si="68"/>
        <v>0.49467889282563049</v>
      </c>
      <c r="BS45" s="723">
        <f t="shared" si="68"/>
        <v>0.49598414441864935</v>
      </c>
      <c r="BT45" s="723">
        <f t="shared" si="68"/>
        <v>0.50072286896718354</v>
      </c>
      <c r="BU45" s="723">
        <f t="shared" si="68"/>
        <v>0.40861010096458611</v>
      </c>
      <c r="BV45" s="723">
        <f t="shared" si="68"/>
        <v>0.48664802607321078</v>
      </c>
      <c r="BW45" s="723">
        <f t="shared" si="68"/>
        <v>0.7275583308483714</v>
      </c>
      <c r="BX45" s="723">
        <f t="shared" si="68"/>
        <v>0.58100667655573512</v>
      </c>
      <c r="BY45" s="723">
        <f t="shared" si="68"/>
        <v>0.40622433111796591</v>
      </c>
    </row>
    <row r="46" spans="1:78" ht="12.45">
      <c r="A46" s="634">
        <f>Eingabedaten!A52</f>
        <v>12.11</v>
      </c>
      <c r="B46" s="738" t="str">
        <f>Eingabedaten!C52</f>
        <v>Kühlraum</v>
      </c>
      <c r="C46" s="724" t="s">
        <v>5</v>
      </c>
      <c r="D46" s="740"/>
      <c r="E46" s="740"/>
      <c r="F46" s="740"/>
      <c r="G46" s="740"/>
      <c r="H46" s="740"/>
      <c r="I46" s="740"/>
      <c r="J46" s="740"/>
      <c r="K46" s="740"/>
      <c r="L46" s="739"/>
      <c r="M46" s="740">
        <v>2</v>
      </c>
      <c r="N46" s="740"/>
      <c r="O46" s="740"/>
      <c r="P46" s="739">
        <v>2</v>
      </c>
      <c r="Q46" s="740"/>
      <c r="R46" s="740"/>
      <c r="S46" s="740"/>
      <c r="T46" s="740"/>
      <c r="U46" s="740"/>
      <c r="V46" s="740"/>
      <c r="W46" s="740"/>
      <c r="X46" s="740"/>
      <c r="Y46" s="740"/>
      <c r="AA46" s="770"/>
    </row>
    <row r="47" spans="1:78" ht="12.45">
      <c r="A47" s="638">
        <f>Eingabedaten!A53</f>
        <v>12.12</v>
      </c>
      <c r="B47" s="738" t="str">
        <f>Eingabedaten!C53</f>
        <v>Serverraum</v>
      </c>
      <c r="C47" s="724" t="s">
        <v>5</v>
      </c>
      <c r="D47" s="740"/>
      <c r="E47" s="740"/>
      <c r="F47" s="740"/>
      <c r="G47" s="740"/>
      <c r="H47" s="740">
        <v>1</v>
      </c>
      <c r="I47" s="740"/>
      <c r="J47" s="740"/>
      <c r="K47" s="739">
        <v>1</v>
      </c>
      <c r="L47" s="740"/>
      <c r="M47" s="740"/>
      <c r="N47" s="740"/>
      <c r="O47" s="740"/>
      <c r="P47" s="740"/>
      <c r="Q47" s="740"/>
      <c r="R47" s="740"/>
      <c r="S47" s="740"/>
      <c r="T47" s="740"/>
      <c r="U47" s="740"/>
      <c r="V47" s="740"/>
      <c r="W47" s="740"/>
      <c r="X47" s="740"/>
      <c r="Y47" s="740"/>
      <c r="AA47" s="770"/>
    </row>
    <row r="48" spans="1:78">
      <c r="A48" s="738"/>
      <c r="B48" s="728" t="s">
        <v>1058</v>
      </c>
      <c r="C48" s="724" t="s">
        <v>5</v>
      </c>
      <c r="D48" s="724">
        <f t="shared" ref="D48:P48" si="69">SUM(D3:D47)</f>
        <v>100</v>
      </c>
      <c r="E48" s="724">
        <f>SUM(E3:E47)</f>
        <v>100</v>
      </c>
      <c r="F48" s="724">
        <f>SUM(F3:F47)</f>
        <v>100</v>
      </c>
      <c r="G48" s="724">
        <f t="shared" si="69"/>
        <v>100</v>
      </c>
      <c r="H48" s="724">
        <f t="shared" si="69"/>
        <v>100</v>
      </c>
      <c r="I48" s="724">
        <f t="shared" si="69"/>
        <v>100</v>
      </c>
      <c r="J48" s="724">
        <f>SUM(J3:J47)</f>
        <v>100</v>
      </c>
      <c r="K48" s="724">
        <f>SUM(K3:K47)</f>
        <v>100</v>
      </c>
      <c r="L48" s="724">
        <f>SUM(L3:L47)</f>
        <v>100</v>
      </c>
      <c r="M48" s="724">
        <f t="shared" si="69"/>
        <v>100</v>
      </c>
      <c r="N48" s="724">
        <f t="shared" si="69"/>
        <v>100</v>
      </c>
      <c r="O48" s="724">
        <f t="shared" si="69"/>
        <v>100</v>
      </c>
      <c r="P48" s="724">
        <f t="shared" si="69"/>
        <v>100</v>
      </c>
      <c r="Q48" s="724">
        <f t="shared" ref="Q48:Y48" si="70">SUM(Q3:Q47)</f>
        <v>100</v>
      </c>
      <c r="R48" s="724">
        <f t="shared" si="70"/>
        <v>100</v>
      </c>
      <c r="S48" s="724">
        <f t="shared" si="70"/>
        <v>100</v>
      </c>
      <c r="T48" s="724">
        <f t="shared" si="70"/>
        <v>100</v>
      </c>
      <c r="U48" s="724">
        <f t="shared" si="70"/>
        <v>100</v>
      </c>
      <c r="V48" s="724">
        <f t="shared" si="70"/>
        <v>100</v>
      </c>
      <c r="W48" s="724">
        <f t="shared" si="70"/>
        <v>100</v>
      </c>
      <c r="X48" s="724">
        <f t="shared" si="70"/>
        <v>100</v>
      </c>
      <c r="Y48" s="724">
        <f t="shared" si="70"/>
        <v>100</v>
      </c>
      <c r="AA48" s="771"/>
    </row>
    <row r="50" spans="1:78">
      <c r="A50" s="746"/>
      <c r="B50" s="747"/>
      <c r="C50" s="746"/>
      <c r="D50" s="748"/>
      <c r="E50" s="748"/>
      <c r="F50" s="748"/>
      <c r="G50" s="748"/>
      <c r="H50" s="748"/>
      <c r="I50" s="748"/>
      <c r="J50" s="748"/>
      <c r="K50" s="748"/>
      <c r="L50" s="748"/>
      <c r="M50" s="748"/>
      <c r="N50" s="748"/>
      <c r="O50" s="748"/>
      <c r="P50" s="748"/>
      <c r="Q50" s="748"/>
      <c r="R50" s="748"/>
      <c r="S50" s="748"/>
      <c r="T50" s="748"/>
      <c r="U50" s="748"/>
      <c r="V50" s="748"/>
      <c r="W50" s="748"/>
      <c r="X50" s="748"/>
      <c r="Y50" s="748"/>
    </row>
    <row r="51" spans="1:78">
      <c r="A51" s="746"/>
      <c r="B51" s="747"/>
    </row>
    <row r="52" spans="1:78">
      <c r="A52" s="746"/>
      <c r="B52" s="747"/>
    </row>
    <row r="53" spans="1:78">
      <c r="A53" s="746"/>
      <c r="B53" s="747"/>
      <c r="AB53" s="746"/>
    </row>
    <row r="54" spans="1:78">
      <c r="A54" s="746"/>
      <c r="B54" s="747"/>
      <c r="AB54" s="746"/>
    </row>
    <row r="55" spans="1:78">
      <c r="A55" s="746"/>
      <c r="B55" s="747"/>
      <c r="AB55" s="746"/>
    </row>
    <row r="56" spans="1:78">
      <c r="A56" s="746"/>
      <c r="B56" s="747"/>
      <c r="AB56" s="746"/>
    </row>
    <row r="57" spans="1:78">
      <c r="A57" s="746"/>
      <c r="B57" s="747"/>
      <c r="AB57" s="746"/>
    </row>
    <row r="58" spans="1:78">
      <c r="A58" s="746"/>
      <c r="B58" s="747"/>
      <c r="AB58" s="746"/>
    </row>
    <row r="59" spans="1:78">
      <c r="A59" s="746"/>
      <c r="B59" s="747"/>
      <c r="AB59" s="746"/>
    </row>
    <row r="60" spans="1:78">
      <c r="AB60" s="746"/>
      <c r="BC60" s="742" t="s">
        <v>1122</v>
      </c>
    </row>
    <row r="61" spans="1:78">
      <c r="AB61" s="746"/>
      <c r="BC61" s="723" t="s">
        <v>420</v>
      </c>
      <c r="BD61" s="723" t="s">
        <v>134</v>
      </c>
      <c r="BE61" s="741">
        <f>BE8*BE9</f>
        <v>19.599999999999998</v>
      </c>
      <c r="BF61" s="741"/>
      <c r="BG61" s="741"/>
      <c r="BH61" s="741">
        <f>BH8*BH9</f>
        <v>15.399999999999999</v>
      </c>
      <c r="BI61" s="741">
        <f>BI8*BI9</f>
        <v>19.8</v>
      </c>
      <c r="BJ61" s="741">
        <f>BJ8*BJ9</f>
        <v>9.9</v>
      </c>
      <c r="BK61" s="741"/>
      <c r="BL61" s="741"/>
      <c r="BM61" s="741">
        <f>BM8*BM9</f>
        <v>26.400000000000002</v>
      </c>
      <c r="BN61" s="741">
        <f>BN8*BN9</f>
        <v>0</v>
      </c>
      <c r="BO61" s="741">
        <f>BO8*BO9</f>
        <v>0</v>
      </c>
      <c r="BP61" s="741">
        <f>BP8*BP9</f>
        <v>0</v>
      </c>
      <c r="BQ61" s="741">
        <f t="shared" ref="BQ61:BY61" si="71">BQ8*BQ9</f>
        <v>23.099999999999998</v>
      </c>
      <c r="BR61" s="741">
        <f t="shared" si="71"/>
        <v>13.600000000000001</v>
      </c>
      <c r="BS61" s="741">
        <f t="shared" si="71"/>
        <v>19.599999999999998</v>
      </c>
      <c r="BT61" s="741">
        <f t="shared" si="71"/>
        <v>0</v>
      </c>
      <c r="BU61" s="741">
        <f t="shared" si="71"/>
        <v>0</v>
      </c>
      <c r="BV61" s="741">
        <f t="shared" si="71"/>
        <v>15.3</v>
      </c>
      <c r="BW61" s="741">
        <f t="shared" si="71"/>
        <v>5.4</v>
      </c>
      <c r="BX61" s="741">
        <f t="shared" si="71"/>
        <v>5.4</v>
      </c>
      <c r="BY61" s="741">
        <f t="shared" si="71"/>
        <v>39.199999999999996</v>
      </c>
      <c r="BZ61" s="741"/>
    </row>
    <row r="62" spans="1:78">
      <c r="AB62" s="746"/>
      <c r="BC62" s="723" t="s">
        <v>1397</v>
      </c>
      <c r="BD62" s="723" t="s">
        <v>134</v>
      </c>
      <c r="BE62" s="741">
        <f>CD10</f>
        <v>9.6000000000000014</v>
      </c>
      <c r="BF62" s="741">
        <f t="shared" ref="BF62:BY62" si="72">CE10</f>
        <v>0</v>
      </c>
      <c r="BG62" s="741">
        <f t="shared" si="72"/>
        <v>0</v>
      </c>
      <c r="BH62" s="741">
        <f t="shared" si="72"/>
        <v>9.9</v>
      </c>
      <c r="BI62" s="741">
        <f t="shared" si="72"/>
        <v>11.899999999999999</v>
      </c>
      <c r="BJ62" s="741">
        <f t="shared" si="72"/>
        <v>9.1</v>
      </c>
      <c r="BK62" s="741">
        <f t="shared" si="72"/>
        <v>9.1</v>
      </c>
      <c r="BL62" s="741">
        <f t="shared" si="72"/>
        <v>10</v>
      </c>
      <c r="BM62" s="741">
        <f t="shared" si="72"/>
        <v>9</v>
      </c>
      <c r="BN62" s="741">
        <f t="shared" si="72"/>
        <v>9</v>
      </c>
      <c r="BO62" s="741">
        <f t="shared" si="72"/>
        <v>9</v>
      </c>
      <c r="BP62" s="741">
        <f t="shared" si="72"/>
        <v>6.4</v>
      </c>
      <c r="BQ62" s="741">
        <f t="shared" si="72"/>
        <v>5.7</v>
      </c>
      <c r="BR62" s="741">
        <f t="shared" si="72"/>
        <v>7</v>
      </c>
      <c r="BS62" s="741">
        <f t="shared" si="72"/>
        <v>9.5</v>
      </c>
      <c r="BT62" s="741">
        <f t="shared" si="72"/>
        <v>10</v>
      </c>
      <c r="BU62" s="741">
        <f t="shared" si="72"/>
        <v>7.6000000000000005</v>
      </c>
      <c r="BV62" s="741">
        <f t="shared" si="72"/>
        <v>7.5</v>
      </c>
      <c r="BW62" s="741">
        <f t="shared" si="72"/>
        <v>4.8999999999999995</v>
      </c>
      <c r="BX62" s="741">
        <f t="shared" si="72"/>
        <v>6</v>
      </c>
      <c r="BY62" s="741">
        <f t="shared" si="72"/>
        <v>6</v>
      </c>
      <c r="BZ62" s="741"/>
    </row>
    <row r="63" spans="1:78">
      <c r="AB63" s="746"/>
      <c r="BC63" s="213" t="s">
        <v>1149</v>
      </c>
      <c r="BD63" s="723" t="s">
        <v>134</v>
      </c>
      <c r="BE63" s="741">
        <f t="shared" ref="BE63:BY63" si="73">BE62-BE61</f>
        <v>-9.9999999999999964</v>
      </c>
      <c r="BF63" s="741"/>
      <c r="BG63" s="741">
        <f t="shared" si="73"/>
        <v>0</v>
      </c>
      <c r="BH63" s="741">
        <f t="shared" si="73"/>
        <v>-5.4999999999999982</v>
      </c>
      <c r="BI63" s="741">
        <f t="shared" si="73"/>
        <v>-7.9000000000000021</v>
      </c>
      <c r="BJ63" s="741">
        <f t="shared" si="73"/>
        <v>-0.80000000000000071</v>
      </c>
      <c r="BK63" s="741"/>
      <c r="BL63" s="741"/>
      <c r="BM63" s="741">
        <f t="shared" si="73"/>
        <v>-17.400000000000002</v>
      </c>
      <c r="BN63" s="741">
        <f t="shared" si="73"/>
        <v>9</v>
      </c>
      <c r="BO63" s="741">
        <f t="shared" si="73"/>
        <v>9</v>
      </c>
      <c r="BP63" s="741">
        <f t="shared" si="73"/>
        <v>6.4</v>
      </c>
      <c r="BQ63" s="741">
        <f t="shared" si="73"/>
        <v>-17.399999999999999</v>
      </c>
      <c r="BR63" s="741">
        <f t="shared" si="73"/>
        <v>-6.6000000000000014</v>
      </c>
      <c r="BS63" s="741">
        <f t="shared" si="73"/>
        <v>-10.099999999999998</v>
      </c>
      <c r="BT63" s="741">
        <f t="shared" si="73"/>
        <v>10</v>
      </c>
      <c r="BU63" s="741">
        <f t="shared" si="73"/>
        <v>7.6000000000000005</v>
      </c>
      <c r="BV63" s="741">
        <f t="shared" si="73"/>
        <v>-7.8000000000000007</v>
      </c>
      <c r="BW63" s="741">
        <f t="shared" si="73"/>
        <v>-0.50000000000000089</v>
      </c>
      <c r="BX63" s="741">
        <f t="shared" si="73"/>
        <v>0.59999999999999964</v>
      </c>
      <c r="BY63" s="741">
        <f t="shared" si="73"/>
        <v>-33.199999999999996</v>
      </c>
      <c r="BZ63" s="741"/>
    </row>
    <row r="64" spans="1:78">
      <c r="AB64" s="746"/>
    </row>
    <row r="65" spans="28:28">
      <c r="AB65" s="746"/>
    </row>
    <row r="66" spans="28:28">
      <c r="AB66" s="746"/>
    </row>
    <row r="67" spans="28:28">
      <c r="AB67" s="746"/>
    </row>
    <row r="85" spans="55:78">
      <c r="BC85" s="742" t="s">
        <v>1100</v>
      </c>
    </row>
    <row r="86" spans="55:78">
      <c r="BC86" s="723" t="s">
        <v>420</v>
      </c>
      <c r="BD86" s="723" t="s">
        <v>134</v>
      </c>
      <c r="BE86" s="741">
        <f>BE12</f>
        <v>21</v>
      </c>
      <c r="BF86" s="741"/>
      <c r="BG86" s="741"/>
      <c r="BH86" s="741">
        <f>BH12</f>
        <v>14</v>
      </c>
      <c r="BI86" s="741">
        <f>BI12</f>
        <v>7</v>
      </c>
      <c r="BJ86" s="741">
        <f>BJ12</f>
        <v>7</v>
      </c>
      <c r="BK86" s="741"/>
      <c r="BL86" s="741"/>
      <c r="BM86" s="741">
        <f t="shared" ref="BM86:BY86" si="74">BM12</f>
        <v>7</v>
      </c>
      <c r="BN86" s="741">
        <f t="shared" si="74"/>
        <v>0</v>
      </c>
      <c r="BO86" s="741">
        <f t="shared" si="74"/>
        <v>0</v>
      </c>
      <c r="BP86" s="741">
        <f t="shared" si="74"/>
        <v>0</v>
      </c>
      <c r="BQ86" s="741">
        <f t="shared" si="74"/>
        <v>56</v>
      </c>
      <c r="BR86" s="741">
        <f t="shared" si="74"/>
        <v>14</v>
      </c>
      <c r="BS86" s="741">
        <f t="shared" si="74"/>
        <v>28</v>
      </c>
      <c r="BT86" s="741">
        <f t="shared" si="74"/>
        <v>0</v>
      </c>
      <c r="BU86" s="741">
        <f t="shared" si="74"/>
        <v>0</v>
      </c>
      <c r="BV86" s="741">
        <f t="shared" si="74"/>
        <v>7</v>
      </c>
      <c r="BW86" s="741">
        <f t="shared" si="74"/>
        <v>1</v>
      </c>
      <c r="BX86" s="741">
        <f t="shared" si="74"/>
        <v>83</v>
      </c>
      <c r="BY86" s="741">
        <f t="shared" si="74"/>
        <v>83</v>
      </c>
      <c r="BZ86" s="741"/>
    </row>
    <row r="87" spans="55:78">
      <c r="BC87" s="723" t="s">
        <v>1398</v>
      </c>
      <c r="BD87" s="723" t="s">
        <v>134</v>
      </c>
      <c r="BE87" s="741">
        <f>AE8/0.67</f>
        <v>11.773134328358212</v>
      </c>
      <c r="BF87" s="741"/>
      <c r="BG87" s="741">
        <f>AG8/0.67</f>
        <v>17.881241152359536</v>
      </c>
      <c r="BH87" s="741">
        <f>AH8/0.67</f>
        <v>9.9725373134328379</v>
      </c>
      <c r="BI87" s="741">
        <f>AI8/0.67</f>
        <v>1.29462464585098</v>
      </c>
      <c r="BJ87" s="741">
        <f>AJ8/0.67</f>
        <v>1.6960386004726924</v>
      </c>
      <c r="BK87" s="741"/>
      <c r="BL87" s="741"/>
      <c r="BM87" s="741">
        <f t="shared" ref="BM87:BY87" si="75">AM8/0.67</f>
        <v>1.4423343166749425</v>
      </c>
      <c r="BN87" s="741">
        <f t="shared" si="75"/>
        <v>1.4423343166749425</v>
      </c>
      <c r="BO87" s="741">
        <f t="shared" si="75"/>
        <v>1.4423343166749425</v>
      </c>
      <c r="BP87" s="741">
        <f t="shared" si="75"/>
        <v>0.81876613021000688</v>
      </c>
      <c r="BQ87" s="741">
        <f t="shared" si="75"/>
        <v>44.646701521745477</v>
      </c>
      <c r="BR87" s="741">
        <f t="shared" si="75"/>
        <v>3.6693635540497125</v>
      </c>
      <c r="BS87" s="741">
        <f t="shared" si="75"/>
        <v>22.267310804100834</v>
      </c>
      <c r="BT87" s="741">
        <f t="shared" si="75"/>
        <v>19.49716155036948</v>
      </c>
      <c r="BU87" s="741">
        <f t="shared" si="75"/>
        <v>27.807609311563517</v>
      </c>
      <c r="BV87" s="741">
        <f t="shared" si="75"/>
        <v>1.29462464585098</v>
      </c>
      <c r="BW87" s="741">
        <f t="shared" si="75"/>
        <v>0.62608896807547387</v>
      </c>
      <c r="BX87" s="741">
        <f t="shared" si="75"/>
        <v>31.149488840279741</v>
      </c>
      <c r="BY87" s="741">
        <f t="shared" si="75"/>
        <v>71.371052370242737</v>
      </c>
      <c r="BZ87" s="741"/>
    </row>
    <row r="88" spans="55:78">
      <c r="BC88" s="213" t="s">
        <v>1149</v>
      </c>
      <c r="BD88" s="723" t="s">
        <v>134</v>
      </c>
      <c r="BE88" s="741">
        <f>BE87-BE86</f>
        <v>-9.2268656716417876</v>
      </c>
      <c r="BF88" s="741"/>
      <c r="BG88" s="741">
        <f t="shared" ref="BG88:BY88" si="76">BG87-BG86</f>
        <v>17.881241152359536</v>
      </c>
      <c r="BH88" s="741">
        <f t="shared" si="76"/>
        <v>-4.0274626865671621</v>
      </c>
      <c r="BI88" s="741">
        <f t="shared" si="76"/>
        <v>-5.7053753541490195</v>
      </c>
      <c r="BJ88" s="741">
        <f t="shared" si="76"/>
        <v>-5.3039613995273074</v>
      </c>
      <c r="BK88" s="741"/>
      <c r="BL88" s="741"/>
      <c r="BM88" s="741">
        <f t="shared" si="76"/>
        <v>-5.5576656833250571</v>
      </c>
      <c r="BN88" s="741">
        <f t="shared" si="76"/>
        <v>1.4423343166749425</v>
      </c>
      <c r="BO88" s="741">
        <f t="shared" si="76"/>
        <v>1.4423343166749425</v>
      </c>
      <c r="BP88" s="741">
        <f t="shared" si="76"/>
        <v>0.81876613021000688</v>
      </c>
      <c r="BQ88" s="741">
        <f t="shared" si="76"/>
        <v>-11.353298478254523</v>
      </c>
      <c r="BR88" s="741">
        <f t="shared" si="76"/>
        <v>-10.330636445950287</v>
      </c>
      <c r="BS88" s="741">
        <f t="shared" si="76"/>
        <v>-5.7326891958991659</v>
      </c>
      <c r="BT88" s="741">
        <f t="shared" si="76"/>
        <v>19.49716155036948</v>
      </c>
      <c r="BU88" s="741">
        <f t="shared" si="76"/>
        <v>27.807609311563517</v>
      </c>
      <c r="BV88" s="741">
        <f t="shared" si="76"/>
        <v>-5.7053753541490195</v>
      </c>
      <c r="BW88" s="741">
        <f t="shared" si="76"/>
        <v>-0.37391103192452613</v>
      </c>
      <c r="BX88" s="741">
        <f t="shared" si="76"/>
        <v>-51.850511159720256</v>
      </c>
      <c r="BY88" s="741">
        <f t="shared" si="76"/>
        <v>-11.628947629757263</v>
      </c>
      <c r="BZ88" s="741"/>
    </row>
    <row r="90" spans="55:78">
      <c r="BC90" s="723" t="s">
        <v>1399</v>
      </c>
      <c r="BD90" s="723" t="s">
        <v>134</v>
      </c>
      <c r="BE90" s="741">
        <f>AE8</f>
        <v>7.8880000000000026</v>
      </c>
      <c r="BF90" s="741"/>
      <c r="BG90" s="741">
        <f>AG11/0.67</f>
        <v>12.238805970149253</v>
      </c>
      <c r="BH90" s="741">
        <f>AH8</f>
        <v>6.6816000000000013</v>
      </c>
      <c r="BI90" s="741">
        <f>AI8</f>
        <v>0.86739851272015667</v>
      </c>
      <c r="BJ90" s="741">
        <f>AJ8</f>
        <v>1.136345862316704</v>
      </c>
      <c r="BK90" s="741"/>
      <c r="BL90" s="741"/>
      <c r="BM90" s="741">
        <f>AM8</f>
        <v>0.96636399217221158</v>
      </c>
      <c r="BN90" s="741">
        <f>AN11/0.67</f>
        <v>12.537313432835822</v>
      </c>
      <c r="BO90" s="741">
        <f>AO11/0.67</f>
        <v>12.537313432835822</v>
      </c>
      <c r="BP90" s="741">
        <f>AP11/0.67</f>
        <v>12.537313432835822</v>
      </c>
      <c r="BQ90" s="741">
        <f t="shared" ref="BQ90:BY90" si="77">AQ8</f>
        <v>29.913290019569473</v>
      </c>
      <c r="BR90" s="741">
        <f t="shared" si="77"/>
        <v>2.4584735812133074</v>
      </c>
      <c r="BS90" s="741">
        <f t="shared" si="77"/>
        <v>14.919098238747559</v>
      </c>
      <c r="BT90" s="741">
        <f t="shared" si="77"/>
        <v>13.063098238747553</v>
      </c>
      <c r="BU90" s="741">
        <f t="shared" si="77"/>
        <v>18.631098238747558</v>
      </c>
      <c r="BV90" s="741">
        <f t="shared" si="77"/>
        <v>0.86739851272015667</v>
      </c>
      <c r="BW90" s="741">
        <f t="shared" si="77"/>
        <v>0.41947960861056754</v>
      </c>
      <c r="BX90" s="741">
        <f t="shared" si="77"/>
        <v>20.870157522987427</v>
      </c>
      <c r="BY90" s="741">
        <f t="shared" si="77"/>
        <v>47.81860508806264</v>
      </c>
      <c r="BZ90" s="741"/>
    </row>
    <row r="111" spans="55:78">
      <c r="BC111" s="742" t="s">
        <v>398</v>
      </c>
    </row>
    <row r="112" spans="55:78">
      <c r="BC112" s="723" t="s">
        <v>420</v>
      </c>
      <c r="BD112" s="723" t="s">
        <v>1061</v>
      </c>
      <c r="BE112" s="745">
        <f>BE11</f>
        <v>0.7</v>
      </c>
      <c r="BF112" s="745"/>
      <c r="BG112" s="745">
        <f>BG11</f>
        <v>0</v>
      </c>
      <c r="BH112" s="745">
        <f>BH11</f>
        <v>0.7</v>
      </c>
      <c r="BI112" s="745">
        <f>BI11</f>
        <v>0.7</v>
      </c>
      <c r="BJ112" s="745">
        <f>BJ11</f>
        <v>0.7</v>
      </c>
      <c r="BK112" s="745"/>
      <c r="BL112" s="745"/>
      <c r="BM112" s="745">
        <f t="shared" ref="BM112:BY112" si="78">BM11</f>
        <v>0.7</v>
      </c>
      <c r="BN112" s="745">
        <f t="shared" si="78"/>
        <v>0</v>
      </c>
      <c r="BO112" s="745">
        <f t="shared" si="78"/>
        <v>0</v>
      </c>
      <c r="BP112" s="745">
        <f t="shared" si="78"/>
        <v>0</v>
      </c>
      <c r="BQ112" s="745">
        <f t="shared" si="78"/>
        <v>1.2</v>
      </c>
      <c r="BR112" s="745">
        <f t="shared" si="78"/>
        <v>1</v>
      </c>
      <c r="BS112" s="745">
        <f t="shared" si="78"/>
        <v>1</v>
      </c>
      <c r="BT112" s="745">
        <f t="shared" si="78"/>
        <v>0</v>
      </c>
      <c r="BU112" s="745">
        <f t="shared" si="78"/>
        <v>0</v>
      </c>
      <c r="BV112" s="745">
        <f t="shared" si="78"/>
        <v>0.7</v>
      </c>
      <c r="BW112" s="745">
        <f t="shared" si="78"/>
        <v>0.3</v>
      </c>
      <c r="BX112" s="745">
        <f t="shared" si="78"/>
        <v>0.7</v>
      </c>
      <c r="BY112" s="745">
        <f t="shared" si="78"/>
        <v>0.7</v>
      </c>
      <c r="BZ112" s="745"/>
    </row>
    <row r="113" spans="55:78">
      <c r="BC113" s="723" t="s">
        <v>1400</v>
      </c>
      <c r="BD113" s="723" t="s">
        <v>1061</v>
      </c>
      <c r="BE113" s="745">
        <f>AE21</f>
        <v>0.57351989562948469</v>
      </c>
      <c r="BF113" s="745"/>
      <c r="BG113" s="745">
        <f>AG21</f>
        <v>1.0037621222004782</v>
      </c>
      <c r="BH113" s="745">
        <f>AH21</f>
        <v>0.43778264840182646</v>
      </c>
      <c r="BI113" s="745">
        <f>AI21</f>
        <v>0.64317916938464892</v>
      </c>
      <c r="BJ113" s="745">
        <f>AJ21</f>
        <v>0.75930854533594272</v>
      </c>
      <c r="BK113" s="745"/>
      <c r="BL113" s="745"/>
      <c r="BM113" s="745">
        <f t="shared" ref="BM113:BY113" si="79">AM21</f>
        <v>0.85060078277886508</v>
      </c>
      <c r="BN113" s="745">
        <f t="shared" si="79"/>
        <v>0.84656425309849981</v>
      </c>
      <c r="BO113" s="745">
        <f t="shared" si="79"/>
        <v>0.85060078277886508</v>
      </c>
      <c r="BP113" s="745">
        <f t="shared" si="79"/>
        <v>0.78478799739073724</v>
      </c>
      <c r="BQ113" s="745">
        <f t="shared" si="79"/>
        <v>1.44791128506197</v>
      </c>
      <c r="BR113" s="745">
        <f t="shared" si="79"/>
        <v>1.6150619699934765</v>
      </c>
      <c r="BS113" s="745">
        <f t="shared" si="79"/>
        <v>1.0882187432050445</v>
      </c>
      <c r="BT113" s="745">
        <f t="shared" si="79"/>
        <v>1.0982826701456838</v>
      </c>
      <c r="BU113" s="745">
        <f t="shared" si="79"/>
        <v>1.1412415742552731</v>
      </c>
      <c r="BV113" s="745">
        <f t="shared" si="79"/>
        <v>0.57845821555410593</v>
      </c>
      <c r="BW113" s="745">
        <f t="shared" si="79"/>
        <v>0.57741813437703859</v>
      </c>
      <c r="BX113" s="745">
        <f t="shared" si="79"/>
        <v>0.91933789954337897</v>
      </c>
      <c r="BY113" s="745">
        <f t="shared" si="79"/>
        <v>1.4123222439660799</v>
      </c>
      <c r="BZ113" s="745"/>
    </row>
    <row r="114" spans="55:78">
      <c r="BC114" s="213" t="s">
        <v>1149</v>
      </c>
      <c r="BD114" s="723" t="s">
        <v>1061</v>
      </c>
      <c r="BE114" s="743">
        <f>BE113-BE112</f>
        <v>-0.12648010437051527</v>
      </c>
      <c r="BF114" s="743"/>
      <c r="BG114" s="743">
        <f>BG113-BG112</f>
        <v>1.0037621222004782</v>
      </c>
      <c r="BH114" s="743">
        <f>BH113-BH112</f>
        <v>-0.2622173515981735</v>
      </c>
      <c r="BI114" s="743">
        <f>BI113-BI112</f>
        <v>-5.6820830615351037E-2</v>
      </c>
      <c r="BJ114" s="743">
        <f>BJ113-BJ112</f>
        <v>5.9308545335942764E-2</v>
      </c>
      <c r="BK114" s="743"/>
      <c r="BL114" s="743"/>
      <c r="BM114" s="743">
        <f t="shared" ref="BM114:BY114" si="80">BM113-BM112</f>
        <v>0.15060078277886513</v>
      </c>
      <c r="BN114" s="743">
        <f t="shared" si="80"/>
        <v>0.84656425309849981</v>
      </c>
      <c r="BO114" s="743">
        <f t="shared" si="80"/>
        <v>0.85060078277886508</v>
      </c>
      <c r="BP114" s="743">
        <f t="shared" si="80"/>
        <v>0.78478799739073724</v>
      </c>
      <c r="BQ114" s="743">
        <f t="shared" si="80"/>
        <v>0.24791128506197002</v>
      </c>
      <c r="BR114" s="743">
        <f t="shared" si="80"/>
        <v>0.61506196999347651</v>
      </c>
      <c r="BS114" s="743">
        <f t="shared" si="80"/>
        <v>8.8218743205044525E-2</v>
      </c>
      <c r="BT114" s="743">
        <f t="shared" si="80"/>
        <v>1.0982826701456838</v>
      </c>
      <c r="BU114" s="743">
        <f t="shared" si="80"/>
        <v>1.1412415742552731</v>
      </c>
      <c r="BV114" s="743">
        <f t="shared" si="80"/>
        <v>-0.12154178444589403</v>
      </c>
      <c r="BW114" s="743">
        <f t="shared" si="80"/>
        <v>0.27741813437703861</v>
      </c>
      <c r="BX114" s="743">
        <f t="shared" si="80"/>
        <v>0.21933789954337901</v>
      </c>
      <c r="BY114" s="743">
        <f t="shared" si="80"/>
        <v>0.7123222439660799</v>
      </c>
      <c r="BZ114" s="743"/>
    </row>
    <row r="115" spans="55:78">
      <c r="BC115" s="723" t="s">
        <v>1401</v>
      </c>
      <c r="BD115" s="723" t="s">
        <v>1061</v>
      </c>
      <c r="BE115" s="745">
        <f>1/AE29*BE120*AE30/24</f>
        <v>0.39187162426614486</v>
      </c>
      <c r="BF115" s="745">
        <f t="shared" ref="BF115:BU115" si="81">1/AF29*36*AF30/24</f>
        <v>0.39187162426614486</v>
      </c>
      <c r="BG115" s="745">
        <f t="shared" si="81"/>
        <v>0.64171585127201547</v>
      </c>
      <c r="BH115" s="745">
        <f>1/AH29*BH120*AH30/24</f>
        <v>0.29044602739726028</v>
      </c>
      <c r="BI115" s="745">
        <f>1/AI29*BI120*AI30/24</f>
        <v>0.37561174168297456</v>
      </c>
      <c r="BJ115" s="745">
        <f>1/AJ29*BJ120*AJ30/24</f>
        <v>0.64192485322896287</v>
      </c>
      <c r="BK115" s="745">
        <f t="shared" si="81"/>
        <v>0.77030982387475555</v>
      </c>
      <c r="BL115" s="745">
        <f t="shared" si="81"/>
        <v>0.79905909980430545</v>
      </c>
      <c r="BM115" s="745">
        <f>1/AM29*BM120*AM30/24</f>
        <v>0.67209393346379642</v>
      </c>
      <c r="BN115" s="745">
        <f t="shared" si="81"/>
        <v>0.67209393346379642</v>
      </c>
      <c r="BO115" s="745">
        <f t="shared" si="81"/>
        <v>0.67209393346379642</v>
      </c>
      <c r="BP115" s="745">
        <f t="shared" si="81"/>
        <v>0.36831311154598828</v>
      </c>
      <c r="BQ115" s="745">
        <f>1/AQ29*BQ120*AQ30/24</f>
        <v>1.4063248532289629</v>
      </c>
      <c r="BR115" s="745">
        <f>1/AR29*BR120*AR30/24</f>
        <v>1.88853228962818</v>
      </c>
      <c r="BS115" s="745">
        <f>1/AS29*BS120*AS30/24</f>
        <v>1.1077761252446185</v>
      </c>
      <c r="BT115" s="745">
        <f t="shared" si="81"/>
        <v>1.0866035225048924</v>
      </c>
      <c r="BU115" s="745">
        <f t="shared" si="81"/>
        <v>1.2211350293542076</v>
      </c>
      <c r="BV115" s="745">
        <f>1/AV29*BV120*AV30/24</f>
        <v>0.24527279843444227</v>
      </c>
      <c r="BW115" s="745">
        <f>1/AW29*BW120*AW30/24</f>
        <v>0.19386927592954986</v>
      </c>
      <c r="BX115" s="745">
        <f>1/AX29*BX120*AX30/24</f>
        <v>0.27879452054794518</v>
      </c>
      <c r="BY115" s="745">
        <f>1/AY29*BY120*AY30/24</f>
        <v>0.60136203522504894</v>
      </c>
    </row>
    <row r="116" spans="55:78">
      <c r="BC116" s="213" t="s">
        <v>1407</v>
      </c>
      <c r="BD116" s="723" t="s">
        <v>1061</v>
      </c>
      <c r="BE116" s="745">
        <f>BE115+0.15</f>
        <v>0.54187162426614488</v>
      </c>
      <c r="BF116" s="745">
        <f t="shared" ref="BF116:BY116" si="82">BF115+0.15</f>
        <v>0.54187162426614488</v>
      </c>
      <c r="BG116" s="745">
        <f t="shared" si="82"/>
        <v>0.79171585127201549</v>
      </c>
      <c r="BH116" s="745">
        <f t="shared" si="82"/>
        <v>0.44044602739726024</v>
      </c>
      <c r="BI116" s="745">
        <f t="shared" si="82"/>
        <v>0.52561174168297453</v>
      </c>
      <c r="BJ116" s="745">
        <f t="shared" si="82"/>
        <v>0.79192485322896289</v>
      </c>
      <c r="BK116" s="745">
        <f t="shared" si="82"/>
        <v>0.92030982387475557</v>
      </c>
      <c r="BL116" s="745">
        <f t="shared" si="82"/>
        <v>0.94905909980430547</v>
      </c>
      <c r="BM116" s="745">
        <f t="shared" si="82"/>
        <v>0.82209393346379644</v>
      </c>
      <c r="BN116" s="745">
        <f t="shared" si="82"/>
        <v>0.82209393346379644</v>
      </c>
      <c r="BO116" s="745">
        <f t="shared" si="82"/>
        <v>0.82209393346379644</v>
      </c>
      <c r="BP116" s="745">
        <f t="shared" si="82"/>
        <v>0.51831311154598825</v>
      </c>
      <c r="BQ116" s="745">
        <f t="shared" si="82"/>
        <v>1.5563248532289629</v>
      </c>
      <c r="BR116" s="745">
        <f t="shared" si="82"/>
        <v>2.0385322896281801</v>
      </c>
      <c r="BS116" s="745">
        <f t="shared" si="82"/>
        <v>1.2577761252446185</v>
      </c>
      <c r="BT116" s="745">
        <f t="shared" si="82"/>
        <v>1.2366035225048924</v>
      </c>
      <c r="BU116" s="745">
        <f t="shared" si="82"/>
        <v>1.3711350293542075</v>
      </c>
      <c r="BV116" s="745">
        <f t="shared" si="82"/>
        <v>0.3952727984344423</v>
      </c>
      <c r="BW116" s="745">
        <f t="shared" si="82"/>
        <v>0.34386927592954986</v>
      </c>
      <c r="BX116" s="745">
        <f t="shared" si="82"/>
        <v>0.4287945205479452</v>
      </c>
      <c r="BY116" s="745">
        <f t="shared" si="82"/>
        <v>0.75136203522504896</v>
      </c>
    </row>
    <row r="118" spans="55:78">
      <c r="BC118" s="723" t="s">
        <v>420</v>
      </c>
      <c r="BD118" s="723" t="s">
        <v>1142</v>
      </c>
      <c r="BE118" s="723">
        <f t="shared" ref="BE118:BY118" si="83">BE11*BE4*24/BE6</f>
        <v>56</v>
      </c>
      <c r="BF118" s="723" t="e">
        <f t="shared" si="83"/>
        <v>#DIV/0!</v>
      </c>
      <c r="BG118" s="723" t="e">
        <f t="shared" si="83"/>
        <v>#DIV/0!</v>
      </c>
      <c r="BH118" s="723">
        <f t="shared" si="83"/>
        <v>84</v>
      </c>
      <c r="BI118" s="723">
        <f t="shared" si="83"/>
        <v>56</v>
      </c>
      <c r="BJ118" s="723">
        <f t="shared" si="83"/>
        <v>42</v>
      </c>
      <c r="BK118" s="723" t="e">
        <f t="shared" si="83"/>
        <v>#DIV/0!</v>
      </c>
      <c r="BL118" s="723" t="e">
        <f t="shared" si="83"/>
        <v>#DIV/0!</v>
      </c>
      <c r="BM118" s="723">
        <f t="shared" si="83"/>
        <v>42</v>
      </c>
      <c r="BN118" s="723" t="e">
        <f t="shared" si="83"/>
        <v>#DIV/0!</v>
      </c>
      <c r="BO118" s="723" t="e">
        <f t="shared" si="83"/>
        <v>#DIV/0!</v>
      </c>
      <c r="BP118" s="723" t="e">
        <f t="shared" si="83"/>
        <v>#DIV/0!</v>
      </c>
      <c r="BQ118" s="723">
        <f t="shared" si="83"/>
        <v>48</v>
      </c>
      <c r="BR118" s="723">
        <f t="shared" si="83"/>
        <v>40</v>
      </c>
      <c r="BS118" s="723">
        <f t="shared" si="83"/>
        <v>45</v>
      </c>
      <c r="BT118" s="723" t="e">
        <f t="shared" si="83"/>
        <v>#DIV/0!</v>
      </c>
      <c r="BU118" s="723" t="e">
        <f t="shared" si="83"/>
        <v>#DIV/0!</v>
      </c>
      <c r="BV118" s="723">
        <f t="shared" si="83"/>
        <v>84</v>
      </c>
      <c r="BW118" s="723">
        <f t="shared" si="83"/>
        <v>120</v>
      </c>
      <c r="BX118" s="723">
        <f t="shared" si="83"/>
        <v>56</v>
      </c>
      <c r="BY118" s="723">
        <f t="shared" si="83"/>
        <v>84</v>
      </c>
    </row>
    <row r="119" spans="55:78">
      <c r="BC119" s="723" t="s">
        <v>1400</v>
      </c>
      <c r="BD119" s="723" t="s">
        <v>1142</v>
      </c>
      <c r="BE119" s="723">
        <f t="shared" ref="BE119:BS119" si="84">CD13*CD4*24/CD6</f>
        <v>55.384615384615387</v>
      </c>
      <c r="BF119" s="723" t="e">
        <f t="shared" si="84"/>
        <v>#DIV/0!</v>
      </c>
      <c r="BG119" s="723">
        <f t="shared" si="84"/>
        <v>0</v>
      </c>
      <c r="BH119" s="723">
        <f t="shared" si="84"/>
        <v>51.692307692307693</v>
      </c>
      <c r="BI119" s="723">
        <f t="shared" si="84"/>
        <v>51.428571428571431</v>
      </c>
      <c r="BJ119" s="723">
        <f t="shared" si="84"/>
        <v>38.4</v>
      </c>
      <c r="BK119" s="723" t="e">
        <f t="shared" si="84"/>
        <v>#DIV/0!</v>
      </c>
      <c r="BL119" s="723" t="e">
        <f t="shared" si="84"/>
        <v>#DIV/0!</v>
      </c>
      <c r="BM119" s="723">
        <f t="shared" si="84"/>
        <v>46.285714285714285</v>
      </c>
      <c r="BN119" s="723">
        <f t="shared" si="84"/>
        <v>41.142857142857146</v>
      </c>
      <c r="BO119" s="723">
        <f t="shared" si="84"/>
        <v>46.285714285714285</v>
      </c>
      <c r="BP119" s="723">
        <f t="shared" si="84"/>
        <v>82.285714285714292</v>
      </c>
      <c r="BQ119" s="723">
        <f t="shared" si="84"/>
        <v>42</v>
      </c>
      <c r="BR119" s="723">
        <f t="shared" si="84"/>
        <v>24</v>
      </c>
      <c r="BS119" s="723">
        <f t="shared" si="84"/>
        <v>37.714285714285715</v>
      </c>
      <c r="BT119" s="723">
        <f>CU13*CU4*24/CU6</f>
        <v>86.4</v>
      </c>
      <c r="BU119" s="723">
        <f>CV13*CV4*24/CV6</f>
        <v>108</v>
      </c>
      <c r="BV119" s="723">
        <f>CU13*CU4*24/CU6</f>
        <v>86.4</v>
      </c>
      <c r="BW119" s="723">
        <f>CV13*CV4*24/CV6</f>
        <v>108</v>
      </c>
      <c r="BX119" s="723">
        <f>CW13*CW4*24/CW6</f>
        <v>288</v>
      </c>
      <c r="BY119" s="723">
        <f>CX13*CX4*24/CX6</f>
        <v>84</v>
      </c>
    </row>
    <row r="120" spans="55:78">
      <c r="BC120" s="723" t="s">
        <v>1401</v>
      </c>
      <c r="BD120" s="723" t="s">
        <v>1142</v>
      </c>
      <c r="BE120" s="744">
        <v>36</v>
      </c>
      <c r="BF120" s="744" t="e">
        <f t="shared" ref="BF120:BP120" si="85">BF115*CE4/CE6*24</f>
        <v>#DIV/0!</v>
      </c>
      <c r="BG120" s="744">
        <f t="shared" si="85"/>
        <v>0</v>
      </c>
      <c r="BH120" s="744">
        <v>36</v>
      </c>
      <c r="BI120" s="744">
        <v>36</v>
      </c>
      <c r="BJ120" s="744">
        <v>30</v>
      </c>
      <c r="BK120" s="744" t="e">
        <f t="shared" si="85"/>
        <v>#DIV/0!</v>
      </c>
      <c r="BL120" s="744" t="e">
        <f t="shared" si="85"/>
        <v>#DIV/0!</v>
      </c>
      <c r="BM120" s="744">
        <v>36</v>
      </c>
      <c r="BN120" s="744">
        <f t="shared" si="85"/>
        <v>34.564830863852386</v>
      </c>
      <c r="BO120" s="744">
        <f t="shared" si="85"/>
        <v>34.564830863852386</v>
      </c>
      <c r="BP120" s="744">
        <f t="shared" si="85"/>
        <v>37.883634330444508</v>
      </c>
      <c r="BQ120" s="744">
        <v>36</v>
      </c>
      <c r="BR120" s="744">
        <v>36</v>
      </c>
      <c r="BS120" s="744">
        <v>36</v>
      </c>
      <c r="BT120" s="744">
        <f>BT115*CU4/CU6*24</f>
        <v>156.47090724070455</v>
      </c>
      <c r="BU120" s="744">
        <f>BU115*CV4/CV6*24</f>
        <v>219.80430528375734</v>
      </c>
      <c r="BV120" s="744">
        <v>36</v>
      </c>
      <c r="BW120" s="744">
        <v>36</v>
      </c>
      <c r="BX120" s="744">
        <v>90</v>
      </c>
      <c r="BY120" s="744">
        <v>36</v>
      </c>
    </row>
    <row r="121" spans="55:78">
      <c r="BC121" s="213" t="s">
        <v>1153</v>
      </c>
      <c r="BD121" s="723" t="s">
        <v>1142</v>
      </c>
      <c r="BE121" s="723">
        <f t="shared" ref="BE121:BS121" si="86">BE116*CD4/CD6*24</f>
        <v>50.018919163028755</v>
      </c>
      <c r="BF121" s="723" t="e">
        <f t="shared" si="86"/>
        <v>#DIV/0!</v>
      </c>
      <c r="BG121" s="723">
        <f t="shared" si="86"/>
        <v>0</v>
      </c>
      <c r="BH121" s="723">
        <f t="shared" si="86"/>
        <v>56.919178925184404</v>
      </c>
      <c r="BI121" s="723">
        <f t="shared" si="86"/>
        <v>45.052435001397818</v>
      </c>
      <c r="BJ121" s="723">
        <f t="shared" si="86"/>
        <v>38.012392954990219</v>
      </c>
      <c r="BK121" s="723" t="e">
        <f t="shared" si="86"/>
        <v>#DIV/0!</v>
      </c>
      <c r="BL121" s="723" t="e">
        <f t="shared" si="86"/>
        <v>#DIV/0!</v>
      </c>
      <c r="BM121" s="723">
        <f t="shared" si="86"/>
        <v>42.279116578138101</v>
      </c>
      <c r="BN121" s="723">
        <f t="shared" si="86"/>
        <v>42.279116578138101</v>
      </c>
      <c r="BO121" s="723">
        <f t="shared" si="86"/>
        <v>42.279116578138101</v>
      </c>
      <c r="BP121" s="723">
        <f t="shared" si="86"/>
        <v>53.312205759015924</v>
      </c>
      <c r="BQ121" s="723">
        <f t="shared" si="86"/>
        <v>46.689745596868889</v>
      </c>
      <c r="BR121" s="723">
        <f t="shared" si="86"/>
        <v>30.577984344422699</v>
      </c>
      <c r="BS121" s="723">
        <f t="shared" si="86"/>
        <v>43.123752865529774</v>
      </c>
      <c r="BT121" s="723">
        <f>BT116*CU4/CU6*24</f>
        <v>178.07090724070451</v>
      </c>
      <c r="BU121" s="723">
        <f>BU116*CV4/CV6*24</f>
        <v>246.80430528375734</v>
      </c>
      <c r="BV121" s="723">
        <f>BV116*CU4/CU6*24</f>
        <v>56.919282974559685</v>
      </c>
      <c r="BW121" s="723">
        <f>BW116*CV4/CV6*24</f>
        <v>61.896469667318968</v>
      </c>
      <c r="BX121" s="723">
        <f>BX116*CW4/CW6*24</f>
        <v>137.21424657534246</v>
      </c>
      <c r="BY121" s="723">
        <f>BY116*CX4/CX6*24</f>
        <v>45.081722113502934</v>
      </c>
    </row>
    <row r="123" spans="55:78">
      <c r="BE123" s="745"/>
      <c r="BF123" s="745"/>
      <c r="BG123" s="745"/>
      <c r="BH123" s="745"/>
      <c r="BI123" s="745"/>
      <c r="BJ123" s="745"/>
      <c r="BK123" s="745"/>
      <c r="BL123" s="745"/>
      <c r="BM123" s="745"/>
      <c r="BN123" s="745"/>
      <c r="BO123" s="745"/>
      <c r="BP123" s="745"/>
      <c r="BQ123" s="745"/>
      <c r="BR123" s="745"/>
      <c r="BS123" s="745"/>
      <c r="BT123" s="745"/>
      <c r="BU123" s="745"/>
      <c r="BV123" s="745"/>
      <c r="BW123" s="745"/>
      <c r="BX123" s="745"/>
      <c r="BY123" s="745"/>
    </row>
    <row r="124" spans="55:78">
      <c r="BE124" s="745"/>
      <c r="BF124" s="745"/>
      <c r="BG124" s="745"/>
      <c r="BH124" s="745"/>
      <c r="BI124" s="745"/>
      <c r="BJ124" s="745"/>
      <c r="BK124" s="745"/>
      <c r="BL124" s="745"/>
      <c r="BM124" s="745"/>
      <c r="BN124" s="745"/>
      <c r="BO124" s="745"/>
      <c r="BP124" s="745"/>
      <c r="BQ124" s="745"/>
      <c r="BR124" s="745"/>
      <c r="BS124" s="745"/>
      <c r="BT124" s="745"/>
      <c r="BU124" s="745"/>
      <c r="BV124" s="745"/>
      <c r="BW124" s="745"/>
      <c r="BX124" s="745"/>
      <c r="BY124" s="745"/>
    </row>
    <row r="162" spans="55:78">
      <c r="BC162" s="742" t="s">
        <v>1121</v>
      </c>
    </row>
    <row r="163" spans="55:78">
      <c r="BC163" s="723" t="s">
        <v>420</v>
      </c>
      <c r="BD163" s="723" t="s">
        <v>134</v>
      </c>
      <c r="BE163" s="743">
        <f t="shared" ref="BE163:BY163" si="87">BE5/BE4*BE6*365/1000</f>
        <v>7.665</v>
      </c>
      <c r="BF163" s="743"/>
      <c r="BG163" s="743" t="e">
        <f t="shared" si="87"/>
        <v>#DIV/0!</v>
      </c>
      <c r="BH163" s="743">
        <f t="shared" si="87"/>
        <v>5.1100000000000003</v>
      </c>
      <c r="BI163" s="743">
        <f t="shared" si="87"/>
        <v>8.76</v>
      </c>
      <c r="BJ163" s="743">
        <f t="shared" si="87"/>
        <v>10.220000000000001</v>
      </c>
      <c r="BK163" s="743"/>
      <c r="BL163" s="743"/>
      <c r="BM163" s="743">
        <f t="shared" si="87"/>
        <v>13.14</v>
      </c>
      <c r="BN163" s="743" t="e">
        <f t="shared" si="87"/>
        <v>#DIV/0!</v>
      </c>
      <c r="BO163" s="743" t="e">
        <f t="shared" si="87"/>
        <v>#DIV/0!</v>
      </c>
      <c r="BP163" s="743" t="e">
        <f t="shared" si="87"/>
        <v>#DIV/0!</v>
      </c>
      <c r="BQ163" s="743">
        <f t="shared" si="87"/>
        <v>21.9</v>
      </c>
      <c r="BR163" s="743">
        <f t="shared" si="87"/>
        <v>17.52</v>
      </c>
      <c r="BS163" s="743">
        <f t="shared" si="87"/>
        <v>15.573333333333332</v>
      </c>
      <c r="BT163" s="743" t="e">
        <f t="shared" si="87"/>
        <v>#DIV/0!</v>
      </c>
      <c r="BU163" s="743" t="e">
        <f t="shared" si="87"/>
        <v>#DIV/0!</v>
      </c>
      <c r="BV163" s="743">
        <f t="shared" si="87"/>
        <v>7.3</v>
      </c>
      <c r="BW163" s="743">
        <f t="shared" si="87"/>
        <v>2.19</v>
      </c>
      <c r="BX163" s="743">
        <f t="shared" si="87"/>
        <v>10.95</v>
      </c>
      <c r="BY163" s="743">
        <f t="shared" si="87"/>
        <v>4.38</v>
      </c>
      <c r="BZ163" s="743"/>
    </row>
    <row r="164" spans="55:78">
      <c r="BC164" s="723" t="s">
        <v>1300</v>
      </c>
      <c r="BD164" s="723" t="s">
        <v>134</v>
      </c>
      <c r="BE164" s="743">
        <f>AE27</f>
        <v>6.6748800000000008</v>
      </c>
      <c r="BF164" s="743"/>
      <c r="BG164" s="743">
        <f>AG27</f>
        <v>10.93056</v>
      </c>
      <c r="BH164" s="743">
        <f>AH27</f>
        <v>4.9472640000000006</v>
      </c>
      <c r="BI164" s="743">
        <f>AI27</f>
        <v>6.3979200000000001</v>
      </c>
      <c r="BJ164" s="743">
        <f>AJ27</f>
        <v>13.120944000000001</v>
      </c>
      <c r="BK164" s="743"/>
      <c r="BL164" s="743"/>
      <c r="BM164" s="743">
        <f t="shared" ref="BM164:BY164" si="88">AM27</f>
        <v>11.448</v>
      </c>
      <c r="BN164" s="743">
        <f t="shared" si="88"/>
        <v>11.448</v>
      </c>
      <c r="BO164" s="743">
        <f t="shared" si="88"/>
        <v>11.448</v>
      </c>
      <c r="BP164" s="743">
        <f t="shared" si="88"/>
        <v>6.273600000000001</v>
      </c>
      <c r="BQ164" s="743">
        <f t="shared" si="88"/>
        <v>23.954400000000003</v>
      </c>
      <c r="BR164" s="743">
        <f t="shared" si="88"/>
        <v>32.167999999999999</v>
      </c>
      <c r="BS164" s="743">
        <f t="shared" si="88"/>
        <v>18.869119999999999</v>
      </c>
      <c r="BT164" s="743">
        <f t="shared" si="88"/>
        <v>18.508480000000002</v>
      </c>
      <c r="BU164" s="743">
        <f t="shared" si="88"/>
        <v>20.8</v>
      </c>
      <c r="BV164" s="743">
        <f t="shared" si="88"/>
        <v>4.1778133333333338</v>
      </c>
      <c r="BW164" s="743">
        <f t="shared" si="88"/>
        <v>3.3022399999999998</v>
      </c>
      <c r="BX164" s="743">
        <f t="shared" si="88"/>
        <v>3.2563199999999997</v>
      </c>
      <c r="BY164" s="743">
        <f t="shared" si="88"/>
        <v>10.243200000000002</v>
      </c>
      <c r="BZ164" s="743"/>
    </row>
    <row r="165" spans="55:78">
      <c r="BC165" s="213" t="s">
        <v>1149</v>
      </c>
      <c r="BD165" s="723" t="s">
        <v>134</v>
      </c>
      <c r="BE165" s="743">
        <f>BE164-BE163</f>
        <v>-0.99011999999999922</v>
      </c>
      <c r="BF165" s="743"/>
      <c r="BG165" s="743" t="e">
        <f t="shared" ref="BG165:BY165" si="89">BG164-BG163</f>
        <v>#DIV/0!</v>
      </c>
      <c r="BH165" s="743">
        <f t="shared" si="89"/>
        <v>-0.16273599999999977</v>
      </c>
      <c r="BI165" s="743">
        <f t="shared" si="89"/>
        <v>-2.3620799999999997</v>
      </c>
      <c r="BJ165" s="743">
        <f t="shared" si="89"/>
        <v>2.9009440000000009</v>
      </c>
      <c r="BK165" s="743"/>
      <c r="BL165" s="743"/>
      <c r="BM165" s="743">
        <f t="shared" si="89"/>
        <v>-1.6920000000000002</v>
      </c>
      <c r="BN165" s="743" t="e">
        <f t="shared" si="89"/>
        <v>#DIV/0!</v>
      </c>
      <c r="BO165" s="743" t="e">
        <f t="shared" si="89"/>
        <v>#DIV/0!</v>
      </c>
      <c r="BP165" s="743" t="e">
        <f t="shared" si="89"/>
        <v>#DIV/0!</v>
      </c>
      <c r="BQ165" s="743">
        <f t="shared" si="89"/>
        <v>2.0544000000000047</v>
      </c>
      <c r="BR165" s="743">
        <f t="shared" si="89"/>
        <v>14.648</v>
      </c>
      <c r="BS165" s="743">
        <f t="shared" si="89"/>
        <v>3.2957866666666664</v>
      </c>
      <c r="BT165" s="743" t="e">
        <f t="shared" si="89"/>
        <v>#DIV/0!</v>
      </c>
      <c r="BU165" s="743" t="e">
        <f t="shared" si="89"/>
        <v>#DIV/0!</v>
      </c>
      <c r="BV165" s="743">
        <f t="shared" si="89"/>
        <v>-3.122186666666666</v>
      </c>
      <c r="BW165" s="743">
        <f t="shared" si="89"/>
        <v>1.1122399999999999</v>
      </c>
      <c r="BX165" s="743">
        <f t="shared" si="89"/>
        <v>-7.6936799999999996</v>
      </c>
      <c r="BY165" s="743">
        <f t="shared" si="89"/>
        <v>5.8632000000000017</v>
      </c>
      <c r="BZ165" s="743"/>
    </row>
    <row r="187" spans="55:78">
      <c r="BC187" s="742" t="s">
        <v>102</v>
      </c>
    </row>
    <row r="188" spans="55:78">
      <c r="BC188" s="723" t="s">
        <v>420</v>
      </c>
      <c r="BD188" s="723" t="s">
        <v>209</v>
      </c>
      <c r="BE188" s="741">
        <f t="shared" ref="BE188:BY188" si="90">BE4</f>
        <v>40</v>
      </c>
      <c r="BF188" s="741"/>
      <c r="BG188" s="741">
        <f t="shared" si="90"/>
        <v>0</v>
      </c>
      <c r="BH188" s="741">
        <f t="shared" si="90"/>
        <v>60</v>
      </c>
      <c r="BI188" s="741">
        <f t="shared" si="90"/>
        <v>20</v>
      </c>
      <c r="BJ188" s="741">
        <f t="shared" si="90"/>
        <v>10</v>
      </c>
      <c r="BK188" s="741"/>
      <c r="BL188" s="741"/>
      <c r="BM188" s="741">
        <f t="shared" si="90"/>
        <v>10</v>
      </c>
      <c r="BN188" s="741">
        <f t="shared" si="90"/>
        <v>0</v>
      </c>
      <c r="BO188" s="741">
        <f t="shared" si="90"/>
        <v>0</v>
      </c>
      <c r="BP188" s="741">
        <f t="shared" si="90"/>
        <v>0</v>
      </c>
      <c r="BQ188" s="741">
        <f t="shared" si="90"/>
        <v>5</v>
      </c>
      <c r="BR188" s="741">
        <f t="shared" si="90"/>
        <v>5</v>
      </c>
      <c r="BS188" s="741">
        <f t="shared" si="90"/>
        <v>30</v>
      </c>
      <c r="BT188" s="741">
        <f t="shared" si="90"/>
        <v>0</v>
      </c>
      <c r="BU188" s="741">
        <f t="shared" si="90"/>
        <v>0</v>
      </c>
      <c r="BV188" s="741">
        <f t="shared" si="90"/>
        <v>30</v>
      </c>
      <c r="BW188" s="741">
        <f t="shared" si="90"/>
        <v>100</v>
      </c>
      <c r="BX188" s="741">
        <f t="shared" si="90"/>
        <v>20</v>
      </c>
      <c r="BY188" s="741">
        <f t="shared" si="90"/>
        <v>20</v>
      </c>
      <c r="BZ188" s="741"/>
    </row>
    <row r="189" spans="55:78">
      <c r="BC189" s="723" t="s">
        <v>1300</v>
      </c>
      <c r="BD189" s="723" t="s">
        <v>209</v>
      </c>
      <c r="BE189" s="741">
        <f>AE29</f>
        <v>51.470588235294116</v>
      </c>
      <c r="BF189" s="741"/>
      <c r="BG189" s="741">
        <f>AG29</f>
        <v>24.881516587677726</v>
      </c>
      <c r="BH189" s="741">
        <f>AH29</f>
        <v>69.444444444444429</v>
      </c>
      <c r="BI189" s="741">
        <f>AI29</f>
        <v>26.184538653366584</v>
      </c>
      <c r="BJ189" s="741">
        <f>AJ29</f>
        <v>9.9150141643059477</v>
      </c>
      <c r="BK189" s="741"/>
      <c r="BL189" s="741"/>
      <c r="BM189" s="741">
        <f t="shared" ref="BM189:BY189" si="91">AM29</f>
        <v>15.909090909090908</v>
      </c>
      <c r="BN189" s="741">
        <f t="shared" si="91"/>
        <v>15.909090909090908</v>
      </c>
      <c r="BO189" s="741">
        <f t="shared" si="91"/>
        <v>15.909090909090908</v>
      </c>
      <c r="BP189" s="741">
        <f t="shared" si="91"/>
        <v>28.688524590163933</v>
      </c>
      <c r="BQ189" s="741">
        <f t="shared" si="91"/>
        <v>4.5691906005221927</v>
      </c>
      <c r="BR189" s="741">
        <f t="shared" si="91"/>
        <v>6.1403508771929829</v>
      </c>
      <c r="BS189" s="741">
        <f t="shared" si="91"/>
        <v>18.683274021352315</v>
      </c>
      <c r="BT189" s="741">
        <f t="shared" si="91"/>
        <v>16.990291262135919</v>
      </c>
      <c r="BU189" s="741">
        <f t="shared" si="91"/>
        <v>19.662921348314608</v>
      </c>
      <c r="BV189" s="741">
        <f t="shared" si="91"/>
        <v>28.688524590163933</v>
      </c>
      <c r="BW189" s="741">
        <f t="shared" si="91"/>
        <v>59.322033898305079</v>
      </c>
      <c r="BX189" s="741">
        <f t="shared" si="91"/>
        <v>41.666666666666664</v>
      </c>
      <c r="BY189" s="741">
        <f t="shared" si="91"/>
        <v>19.662921348314608</v>
      </c>
      <c r="BZ189" s="741"/>
    </row>
    <row r="190" spans="55:78">
      <c r="BC190" s="213" t="s">
        <v>1149</v>
      </c>
      <c r="BD190" s="723" t="s">
        <v>209</v>
      </c>
      <c r="BE190" s="743">
        <f>BE189-BE188</f>
        <v>11.470588235294116</v>
      </c>
      <c r="BF190" s="743"/>
      <c r="BG190" s="743">
        <f t="shared" ref="BG190:BY190" si="92">BG189-BG188</f>
        <v>24.881516587677726</v>
      </c>
      <c r="BH190" s="743">
        <f t="shared" si="92"/>
        <v>9.4444444444444287</v>
      </c>
      <c r="BI190" s="743">
        <f t="shared" si="92"/>
        <v>6.1845386533665838</v>
      </c>
      <c r="BJ190" s="743">
        <f t="shared" si="92"/>
        <v>-8.498583569405227E-2</v>
      </c>
      <c r="BK190" s="743"/>
      <c r="BL190" s="743"/>
      <c r="BM190" s="743">
        <f t="shared" si="92"/>
        <v>5.9090909090909083</v>
      </c>
      <c r="BN190" s="743">
        <f t="shared" si="92"/>
        <v>15.909090909090908</v>
      </c>
      <c r="BO190" s="743">
        <f t="shared" si="92"/>
        <v>15.909090909090908</v>
      </c>
      <c r="BP190" s="743">
        <f t="shared" si="92"/>
        <v>28.688524590163933</v>
      </c>
      <c r="BQ190" s="743">
        <f t="shared" si="92"/>
        <v>-0.43080939947780728</v>
      </c>
      <c r="BR190" s="743">
        <f t="shared" si="92"/>
        <v>1.1403508771929829</v>
      </c>
      <c r="BS190" s="741">
        <f t="shared" si="92"/>
        <v>-11.316725978647685</v>
      </c>
      <c r="BT190" s="741">
        <f t="shared" si="92"/>
        <v>16.990291262135919</v>
      </c>
      <c r="BU190" s="741">
        <f t="shared" si="92"/>
        <v>19.662921348314608</v>
      </c>
      <c r="BV190" s="743">
        <f t="shared" si="92"/>
        <v>-1.311475409836067</v>
      </c>
      <c r="BW190" s="741">
        <f t="shared" si="92"/>
        <v>-40.677966101694921</v>
      </c>
      <c r="BX190" s="743">
        <f t="shared" si="92"/>
        <v>21.666666666666664</v>
      </c>
      <c r="BY190" s="743">
        <f t="shared" si="92"/>
        <v>-0.33707865168539186</v>
      </c>
      <c r="BZ190" s="743"/>
    </row>
    <row r="213" spans="55:78">
      <c r="BC213" s="742" t="s">
        <v>1098</v>
      </c>
    </row>
    <row r="214" spans="55:78">
      <c r="BC214" s="723" t="s">
        <v>420</v>
      </c>
      <c r="BD214" s="723" t="s">
        <v>209</v>
      </c>
      <c r="BE214" s="741">
        <f>BE3</f>
        <v>20</v>
      </c>
      <c r="BF214" s="741"/>
      <c r="BG214" s="741">
        <f>BG30</f>
        <v>0</v>
      </c>
      <c r="BH214" s="741">
        <f t="shared" ref="BH214:BY214" si="93">BH3</f>
        <v>20</v>
      </c>
      <c r="BI214" s="741">
        <f t="shared" si="93"/>
        <v>20</v>
      </c>
      <c r="BJ214" s="741">
        <f t="shared" si="93"/>
        <v>20</v>
      </c>
      <c r="BK214" s="741">
        <f t="shared" si="93"/>
        <v>0</v>
      </c>
      <c r="BL214" s="741">
        <f t="shared" si="93"/>
        <v>0</v>
      </c>
      <c r="BM214" s="741">
        <f t="shared" si="93"/>
        <v>20</v>
      </c>
      <c r="BN214" s="741">
        <f t="shared" si="93"/>
        <v>0</v>
      </c>
      <c r="BO214" s="741">
        <f t="shared" si="93"/>
        <v>0</v>
      </c>
      <c r="BP214" s="741">
        <f t="shared" si="93"/>
        <v>0</v>
      </c>
      <c r="BQ214" s="741">
        <f t="shared" si="93"/>
        <v>20</v>
      </c>
      <c r="BR214" s="741">
        <f t="shared" si="93"/>
        <v>20</v>
      </c>
      <c r="BS214" s="741">
        <f t="shared" si="93"/>
        <v>22</v>
      </c>
      <c r="BT214" s="741">
        <f t="shared" si="93"/>
        <v>0</v>
      </c>
      <c r="BU214" s="741">
        <f t="shared" si="93"/>
        <v>0</v>
      </c>
      <c r="BV214" s="741">
        <f t="shared" si="93"/>
        <v>18</v>
      </c>
      <c r="BW214" s="741">
        <f t="shared" si="93"/>
        <v>18</v>
      </c>
      <c r="BX214" s="741">
        <f t="shared" si="93"/>
        <v>18</v>
      </c>
      <c r="BY214" s="741">
        <f t="shared" si="93"/>
        <v>28</v>
      </c>
      <c r="BZ214" s="741"/>
    </row>
    <row r="215" spans="55:78">
      <c r="BC215" s="723" t="s">
        <v>1300</v>
      </c>
      <c r="BD215" s="723" t="s">
        <v>209</v>
      </c>
      <c r="BE215" s="741">
        <f>CD3</f>
        <v>22</v>
      </c>
      <c r="BF215" s="741"/>
      <c r="BG215" s="741">
        <f>AG55</f>
        <v>0</v>
      </c>
      <c r="BH215" s="741">
        <f t="shared" ref="BH215:BS215" si="94">CG3</f>
        <v>22</v>
      </c>
      <c r="BI215" s="741">
        <f t="shared" si="94"/>
        <v>22</v>
      </c>
      <c r="BJ215" s="741">
        <f t="shared" si="94"/>
        <v>22</v>
      </c>
      <c r="BK215" s="741">
        <f t="shared" si="94"/>
        <v>0</v>
      </c>
      <c r="BL215" s="741">
        <f t="shared" si="94"/>
        <v>0</v>
      </c>
      <c r="BM215" s="741">
        <f t="shared" si="94"/>
        <v>22</v>
      </c>
      <c r="BN215" s="741">
        <f t="shared" si="94"/>
        <v>0</v>
      </c>
      <c r="BO215" s="741">
        <f t="shared" si="94"/>
        <v>0</v>
      </c>
      <c r="BP215" s="741">
        <f t="shared" si="94"/>
        <v>0</v>
      </c>
      <c r="BQ215" s="741">
        <f t="shared" si="94"/>
        <v>22</v>
      </c>
      <c r="BR215" s="741">
        <f t="shared" si="94"/>
        <v>22</v>
      </c>
      <c r="BS215" s="741">
        <f t="shared" si="94"/>
        <v>22</v>
      </c>
      <c r="BT215" s="741">
        <f>CU3</f>
        <v>20</v>
      </c>
      <c r="BU215" s="741">
        <f>CV3</f>
        <v>18</v>
      </c>
      <c r="BV215" s="741">
        <f t="shared" ref="BV215:BY215" si="95">CU3</f>
        <v>20</v>
      </c>
      <c r="BW215" s="741">
        <f t="shared" si="95"/>
        <v>18</v>
      </c>
      <c r="BX215" s="741">
        <f t="shared" si="95"/>
        <v>18</v>
      </c>
      <c r="BY215" s="741">
        <f t="shared" si="95"/>
        <v>28</v>
      </c>
      <c r="BZ215" s="741"/>
    </row>
    <row r="216" spans="55:78">
      <c r="BC216" s="213" t="s">
        <v>1149</v>
      </c>
      <c r="BD216" s="723" t="s">
        <v>209</v>
      </c>
      <c r="BE216" s="743">
        <f>BE215-BE214</f>
        <v>2</v>
      </c>
      <c r="BF216" s="743"/>
      <c r="BG216" s="743">
        <f>BG215-BG214</f>
        <v>0</v>
      </c>
      <c r="BH216" s="743">
        <f>BH215-BH214</f>
        <v>2</v>
      </c>
      <c r="BI216" s="743">
        <f>BI215-BI214</f>
        <v>2</v>
      </c>
      <c r="BJ216" s="743">
        <f>BJ215-BJ214</f>
        <v>2</v>
      </c>
      <c r="BK216" s="743"/>
      <c r="BL216" s="743"/>
      <c r="BM216" s="743">
        <f t="shared" ref="BM216:BY216" si="96">BM215-BM214</f>
        <v>2</v>
      </c>
      <c r="BN216" s="743">
        <f t="shared" si="96"/>
        <v>0</v>
      </c>
      <c r="BO216" s="743">
        <f t="shared" si="96"/>
        <v>0</v>
      </c>
      <c r="BP216" s="743">
        <f t="shared" si="96"/>
        <v>0</v>
      </c>
      <c r="BQ216" s="743">
        <f t="shared" si="96"/>
        <v>2</v>
      </c>
      <c r="BR216" s="743">
        <f t="shared" si="96"/>
        <v>2</v>
      </c>
      <c r="BS216" s="741">
        <f t="shared" si="96"/>
        <v>0</v>
      </c>
      <c r="BT216" s="741">
        <f t="shared" si="96"/>
        <v>20</v>
      </c>
      <c r="BU216" s="741">
        <f t="shared" si="96"/>
        <v>18</v>
      </c>
      <c r="BV216" s="743">
        <f t="shared" si="96"/>
        <v>2</v>
      </c>
      <c r="BW216" s="741">
        <f t="shared" si="96"/>
        <v>0</v>
      </c>
      <c r="BX216" s="743">
        <f t="shared" si="96"/>
        <v>0</v>
      </c>
      <c r="BY216" s="743">
        <f t="shared" si="96"/>
        <v>0</v>
      </c>
      <c r="BZ216" s="743"/>
    </row>
  </sheetData>
  <dataConsolidate/>
  <mergeCells count="2">
    <mergeCell ref="FW2:FX2"/>
    <mergeCell ref="GV2:GW2"/>
  </mergeCells>
  <pageMargins left="0.25" right="0.25" top="0.75" bottom="0.75" header="0.3" footer="0.3"/>
  <pageSetup paperSize="9" scale="10" orientation="portrait" r:id="rId1"/>
  <headerFooter alignWithMargins="0">
    <oddHeader>&amp;CSIA 2024 Raum-Datenblätter</oddHeader>
    <oddFooter>&amp;CSIA 2024, Copyright © 2021 by SIA Zurich</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blFlächeE1">
    <tabColor theme="9" tint="0.59999389629810485"/>
    <pageSetUpPr fitToPage="1"/>
  </sheetPr>
  <dimension ref="A1:HS217"/>
  <sheetViews>
    <sheetView showRowColHeaders="0" zoomScaleNormal="100" workbookViewId="0">
      <pane ySplit="2" topLeftCell="A3" activePane="bottomLeft" state="frozen"/>
      <selection pane="bottomLeft" activeCell="AE6" sqref="AE6:AY7"/>
    </sheetView>
  </sheetViews>
  <sheetFormatPr baseColWidth="10" defaultColWidth="11.4609375" defaultRowHeight="11.6"/>
  <cols>
    <col min="1" max="1" width="5.69140625" style="723" customWidth="1"/>
    <col min="2" max="2" width="26.23046875" style="723" customWidth="1"/>
    <col min="3" max="3" width="3.4609375" style="723" customWidth="1"/>
    <col min="4" max="25" width="3.765625" style="746" customWidth="1"/>
    <col min="26" max="28" width="5.23046875" style="723" customWidth="1"/>
    <col min="29" max="29" width="42.765625" style="723" customWidth="1"/>
    <col min="30" max="30" width="8.53515625" style="723" customWidth="1"/>
    <col min="31" max="31" width="5.23046875" style="723" customWidth="1"/>
    <col min="32" max="33" width="5.23046875" style="723" hidden="1" customWidth="1"/>
    <col min="34" max="34" width="5.53515625" style="723" customWidth="1"/>
    <col min="35" max="36" width="5.23046875" style="723" customWidth="1"/>
    <col min="37" max="38" width="5.23046875" style="723" hidden="1" customWidth="1"/>
    <col min="39" max="39" width="5.23046875" style="723" customWidth="1"/>
    <col min="40" max="40" width="5.69140625" style="723" hidden="1" customWidth="1"/>
    <col min="41" max="42" width="5.23046875" style="723" hidden="1" customWidth="1"/>
    <col min="43" max="45" width="5.23046875" style="723" customWidth="1"/>
    <col min="46" max="47" width="5.23046875" style="723" hidden="1" customWidth="1"/>
    <col min="48" max="51" width="5.23046875" style="723" customWidth="1"/>
    <col min="52" max="52" width="5.23046875" style="723" hidden="1" customWidth="1"/>
    <col min="53" max="53" width="11.4609375" style="723"/>
    <col min="54" max="54" width="10.23046875" style="723" customWidth="1"/>
    <col min="55" max="55" width="32.23046875" style="723" customWidth="1"/>
    <col min="56" max="56" width="8.53515625" style="723" customWidth="1"/>
    <col min="57" max="57" width="4.765625" style="723" customWidth="1"/>
    <col min="58" max="59" width="4.765625" style="723" hidden="1" customWidth="1"/>
    <col min="60" max="62" width="4.765625" style="723" customWidth="1"/>
    <col min="63" max="64" width="4.765625" style="723" hidden="1" customWidth="1"/>
    <col min="65" max="65" width="4.765625" style="723" customWidth="1"/>
    <col min="66" max="68" width="4.765625" style="723" hidden="1" customWidth="1"/>
    <col min="69" max="71" width="4.765625" style="723" customWidth="1"/>
    <col min="72" max="73" width="4.765625" style="723" hidden="1" customWidth="1"/>
    <col min="74" max="77" width="4.765625" style="723" customWidth="1"/>
    <col min="78" max="78" width="4.23046875" style="723" hidden="1" customWidth="1"/>
    <col min="79" max="79" width="11.4609375" style="723"/>
    <col min="80" max="80" width="40.53515625" style="723" customWidth="1"/>
    <col min="81" max="81" width="8.53515625" style="723" customWidth="1"/>
    <col min="82" max="82" width="3.765625" style="723" customWidth="1"/>
    <col min="83" max="84" width="3.765625" style="723" hidden="1" customWidth="1"/>
    <col min="85" max="87" width="3.765625" style="723" customWidth="1"/>
    <col min="88" max="89" width="3.765625" style="723" hidden="1" customWidth="1"/>
    <col min="90" max="90" width="3.765625" style="723" customWidth="1"/>
    <col min="91" max="93" width="3.765625" style="723" hidden="1" customWidth="1"/>
    <col min="94" max="96" width="3.765625" style="723" customWidth="1"/>
    <col min="97" max="98" width="3.765625" style="723" hidden="1" customWidth="1"/>
    <col min="99" max="102" width="3.765625" style="723" customWidth="1"/>
    <col min="103" max="103" width="3.53515625" style="723" hidden="1" customWidth="1"/>
    <col min="104" max="105" width="11.4609375" style="723"/>
    <col min="106" max="106" width="23" style="723" customWidth="1"/>
    <col min="107" max="107" width="8.53515625" style="723" customWidth="1"/>
    <col min="108" max="108" width="5" style="723" customWidth="1"/>
    <col min="109" max="111" width="5" style="723" hidden="1" customWidth="1"/>
    <col min="112" max="113" width="5" style="723" customWidth="1"/>
    <col min="114" max="116" width="5" style="723" hidden="1" customWidth="1"/>
    <col min="117" max="118" width="5" style="723" customWidth="1"/>
    <col min="119" max="119" width="5" style="723" hidden="1" customWidth="1"/>
    <col min="120" max="120" width="5" style="723" customWidth="1"/>
    <col min="121" max="127" width="5" style="723" hidden="1" customWidth="1"/>
    <col min="128" max="129" width="11.4609375" style="723"/>
    <col min="130" max="130" width="16.765625" style="723" customWidth="1"/>
    <col min="131" max="131" width="10.53515625" style="723" customWidth="1"/>
    <col min="132" max="132" width="4" style="723" customWidth="1"/>
    <col min="133" max="134" width="4" style="723" hidden="1" customWidth="1"/>
    <col min="135" max="135" width="4" style="723" customWidth="1"/>
    <col min="136" max="136" width="4.4609375" style="723" customWidth="1"/>
    <col min="137" max="137" width="4" style="723" customWidth="1"/>
    <col min="138" max="139" width="4" style="723" hidden="1" customWidth="1"/>
    <col min="140" max="140" width="4.53515625" style="723" customWidth="1"/>
    <col min="141" max="143" width="4" style="723" hidden="1" customWidth="1"/>
    <col min="144" max="144" width="4.69140625" style="723" customWidth="1"/>
    <col min="145" max="145" width="4" style="723" customWidth="1"/>
    <col min="146" max="146" width="4.4609375" style="723" customWidth="1"/>
    <col min="147" max="148" width="4" style="723" hidden="1" customWidth="1"/>
    <col min="149" max="151" width="4" style="723" customWidth="1"/>
    <col min="152" max="152" width="4" style="723" hidden="1" customWidth="1"/>
    <col min="153" max="153" width="11.4609375" style="723"/>
    <col min="154" max="154" width="20.23046875" style="723" customWidth="1"/>
    <col min="155" max="155" width="9" style="723" customWidth="1"/>
    <col min="156" max="156" width="4.23046875" style="723" customWidth="1"/>
    <col min="157" max="158" width="4.23046875" style="723" hidden="1" customWidth="1"/>
    <col min="159" max="161" width="4.23046875" style="723" customWidth="1"/>
    <col min="162" max="163" width="4.23046875" style="723" hidden="1" customWidth="1"/>
    <col min="164" max="164" width="4.23046875" style="723" customWidth="1"/>
    <col min="165" max="167" width="4.23046875" style="723" hidden="1" customWidth="1"/>
    <col min="168" max="170" width="4.23046875" style="723" customWidth="1"/>
    <col min="171" max="172" width="4.23046875" style="723" hidden="1" customWidth="1"/>
    <col min="173" max="175" width="4.23046875" style="723" customWidth="1"/>
    <col min="176" max="177" width="4.23046875" style="723" hidden="1" customWidth="1"/>
    <col min="178" max="178" width="4.23046875" style="723" customWidth="1"/>
    <col min="179" max="179" width="23" style="723" customWidth="1"/>
    <col min="180" max="180" width="8.765625" style="723" customWidth="1"/>
    <col min="181" max="181" width="4.765625" style="723" hidden="1" customWidth="1"/>
    <col min="182" max="185" width="4.765625" style="723" customWidth="1"/>
    <col min="186" max="186" width="4.765625" style="723" hidden="1" customWidth="1"/>
    <col min="187" max="188" width="4.765625" style="723" customWidth="1"/>
    <col min="189" max="189" width="4.765625" style="723" hidden="1" customWidth="1"/>
    <col min="190" max="190" width="5.23046875" style="723" customWidth="1"/>
    <col min="191" max="191" width="4.765625" style="723" customWidth="1"/>
    <col min="192" max="192" width="4.765625" style="723" hidden="1" customWidth="1"/>
    <col min="193" max="194" width="4.765625" style="723" customWidth="1"/>
    <col min="195" max="195" width="4.765625" style="723" hidden="1" customWidth="1"/>
    <col min="196" max="202" width="4.765625" style="723" customWidth="1"/>
    <col min="203" max="203" width="11.4609375" style="723"/>
    <col min="204" max="204" width="26.23046875" style="723" customWidth="1"/>
    <col min="205" max="205" width="9.69140625" style="723" customWidth="1"/>
    <col min="206" max="206" width="4.765625" style="723" hidden="1" customWidth="1"/>
    <col min="207" max="210" width="4.765625" style="723" customWidth="1"/>
    <col min="211" max="211" width="4.765625" style="723" hidden="1" customWidth="1"/>
    <col min="212" max="213" width="4.765625" style="723" customWidth="1"/>
    <col min="214" max="214" width="4.765625" style="723" hidden="1" customWidth="1"/>
    <col min="215" max="216" width="4.765625" style="723" customWidth="1"/>
    <col min="217" max="217" width="4.765625" style="723" hidden="1" customWidth="1"/>
    <col min="218" max="219" width="4.765625" style="723" customWidth="1"/>
    <col min="220" max="220" width="4.765625" style="723" hidden="1" customWidth="1"/>
    <col min="221" max="227" width="4.765625" style="723" customWidth="1"/>
    <col min="228" max="16384" width="11.4609375" style="723"/>
  </cols>
  <sheetData>
    <row r="1" spans="1:227">
      <c r="D1" s="724" t="s">
        <v>379</v>
      </c>
      <c r="E1" s="724" t="s">
        <v>1107</v>
      </c>
      <c r="F1" s="724" t="s">
        <v>1140</v>
      </c>
      <c r="G1" s="724" t="s">
        <v>380</v>
      </c>
      <c r="H1" s="724" t="s">
        <v>381</v>
      </c>
      <c r="I1" s="724" t="s">
        <v>382</v>
      </c>
      <c r="J1" s="724" t="s">
        <v>1138</v>
      </c>
      <c r="K1" s="724" t="s">
        <v>1139</v>
      </c>
      <c r="L1" s="724" t="s">
        <v>383</v>
      </c>
      <c r="M1" s="724" t="s">
        <v>1108</v>
      </c>
      <c r="N1" s="724" t="s">
        <v>1109</v>
      </c>
      <c r="O1" s="724" t="s">
        <v>1110</v>
      </c>
      <c r="P1" s="724" t="s">
        <v>384</v>
      </c>
      <c r="Q1" s="724" t="s">
        <v>385</v>
      </c>
      <c r="R1" s="724" t="s">
        <v>386</v>
      </c>
      <c r="S1" s="724" t="s">
        <v>1155</v>
      </c>
      <c r="T1" s="724" t="s">
        <v>1156</v>
      </c>
      <c r="U1" s="724" t="s">
        <v>387</v>
      </c>
      <c r="V1" s="724" t="s">
        <v>139</v>
      </c>
      <c r="W1" s="724" t="s">
        <v>388</v>
      </c>
      <c r="X1" s="724" t="s">
        <v>389</v>
      </c>
      <c r="Y1" s="724" t="s">
        <v>1111</v>
      </c>
      <c r="AA1" s="768"/>
      <c r="AC1" s="795" t="s">
        <v>1532</v>
      </c>
      <c r="AD1" s="796">
        <v>0.8</v>
      </c>
      <c r="AE1" s="725" t="str">
        <f t="shared" ref="AE1:AT2" si="0">D1</f>
        <v>I</v>
      </c>
      <c r="AF1" s="725" t="str">
        <f t="shared" si="0"/>
        <v>I.1</v>
      </c>
      <c r="AG1" s="724" t="str">
        <f t="shared" si="0"/>
        <v>I.2</v>
      </c>
      <c r="AH1" s="724" t="str">
        <f t="shared" si="0"/>
        <v>II</v>
      </c>
      <c r="AI1" s="724" t="str">
        <f t="shared" si="0"/>
        <v>III</v>
      </c>
      <c r="AJ1" s="724" t="str">
        <f t="shared" si="0"/>
        <v>IV</v>
      </c>
      <c r="AK1" s="724" t="str">
        <f t="shared" si="0"/>
        <v>IV.1</v>
      </c>
      <c r="AL1" s="724" t="str">
        <f t="shared" si="0"/>
        <v>IV.2</v>
      </c>
      <c r="AM1" s="724" t="str">
        <f t="shared" si="0"/>
        <v>V</v>
      </c>
      <c r="AN1" s="724" t="str">
        <f t="shared" si="0"/>
        <v>V.1</v>
      </c>
      <c r="AO1" s="724" t="str">
        <f t="shared" si="0"/>
        <v>V.2</v>
      </c>
      <c r="AP1" s="724" t="str">
        <f t="shared" si="0"/>
        <v>V.3</v>
      </c>
      <c r="AQ1" s="724" t="str">
        <f t="shared" si="0"/>
        <v>VI</v>
      </c>
      <c r="AR1" s="724" t="str">
        <f t="shared" si="0"/>
        <v>VII</v>
      </c>
      <c r="AS1" s="724" t="str">
        <f t="shared" si="0"/>
        <v>VIII</v>
      </c>
      <c r="AT1" s="724" t="str">
        <f t="shared" si="0"/>
        <v>VIII.1</v>
      </c>
      <c r="AU1" s="724" t="str">
        <f t="shared" ref="AO1:AZ2" si="1">T1</f>
        <v>VIII.2</v>
      </c>
      <c r="AV1" s="724" t="str">
        <f t="shared" si="1"/>
        <v>IX</v>
      </c>
      <c r="AW1" s="724" t="str">
        <f t="shared" si="1"/>
        <v>X</v>
      </c>
      <c r="AX1" s="724" t="str">
        <f t="shared" si="1"/>
        <v>XI</v>
      </c>
      <c r="AY1" s="724" t="str">
        <f t="shared" si="1"/>
        <v>XII</v>
      </c>
      <c r="AZ1" s="724" t="str">
        <f t="shared" si="1"/>
        <v>XIII</v>
      </c>
      <c r="BC1" s="726" t="s">
        <v>1125</v>
      </c>
      <c r="BD1" s="727"/>
      <c r="BE1" s="724" t="str">
        <f t="shared" ref="BE1:BT2" si="2">D1</f>
        <v>I</v>
      </c>
      <c r="BF1" s="724" t="str">
        <f t="shared" si="2"/>
        <v>I.1</v>
      </c>
      <c r="BG1" s="724" t="str">
        <f t="shared" si="2"/>
        <v>I.2</v>
      </c>
      <c r="BH1" s="724" t="str">
        <f t="shared" si="2"/>
        <v>II</v>
      </c>
      <c r="BI1" s="724" t="str">
        <f t="shared" si="2"/>
        <v>III</v>
      </c>
      <c r="BJ1" s="724" t="str">
        <f t="shared" si="2"/>
        <v>IV</v>
      </c>
      <c r="BK1" s="724" t="str">
        <f t="shared" si="2"/>
        <v>IV.1</v>
      </c>
      <c r="BL1" s="724" t="str">
        <f t="shared" si="2"/>
        <v>IV.2</v>
      </c>
      <c r="BM1" s="724" t="str">
        <f t="shared" si="2"/>
        <v>V</v>
      </c>
      <c r="BN1" s="724" t="str">
        <f t="shared" si="2"/>
        <v>V.1</v>
      </c>
      <c r="BO1" s="724" t="str">
        <f t="shared" si="2"/>
        <v>V.2</v>
      </c>
      <c r="BP1" s="724" t="str">
        <f t="shared" si="2"/>
        <v>V.3</v>
      </c>
      <c r="BQ1" s="724" t="str">
        <f t="shared" si="2"/>
        <v>VI</v>
      </c>
      <c r="BR1" s="724" t="str">
        <f t="shared" si="2"/>
        <v>VII</v>
      </c>
      <c r="BS1" s="724" t="str">
        <f t="shared" si="2"/>
        <v>VIII</v>
      </c>
      <c r="BT1" s="724" t="str">
        <f t="shared" si="2"/>
        <v>VIII.1</v>
      </c>
      <c r="BU1" s="724" t="str">
        <f t="shared" ref="BO1:BZ2" si="3">T1</f>
        <v>VIII.2</v>
      </c>
      <c r="BV1" s="724" t="str">
        <f t="shared" si="3"/>
        <v>IX</v>
      </c>
      <c r="BW1" s="724" t="str">
        <f t="shared" si="3"/>
        <v>X</v>
      </c>
      <c r="BX1" s="724" t="str">
        <f t="shared" si="3"/>
        <v>XI</v>
      </c>
      <c r="BY1" s="724" t="str">
        <f t="shared" si="3"/>
        <v>XII</v>
      </c>
      <c r="BZ1" s="724" t="str">
        <f t="shared" si="3"/>
        <v>XIII</v>
      </c>
      <c r="CB1" s="757" t="s">
        <v>1126</v>
      </c>
      <c r="CC1" s="727"/>
      <c r="CD1" s="724" t="str">
        <f t="shared" ref="CD1:CS2" si="4">D1</f>
        <v>I</v>
      </c>
      <c r="CE1" s="724" t="str">
        <f t="shared" si="4"/>
        <v>I.1</v>
      </c>
      <c r="CF1" s="724" t="str">
        <f t="shared" si="4"/>
        <v>I.2</v>
      </c>
      <c r="CG1" s="724" t="str">
        <f t="shared" si="4"/>
        <v>II</v>
      </c>
      <c r="CH1" s="724" t="str">
        <f t="shared" si="4"/>
        <v>III</v>
      </c>
      <c r="CI1" s="724" t="str">
        <f t="shared" si="4"/>
        <v>IV</v>
      </c>
      <c r="CJ1" s="724" t="str">
        <f t="shared" si="4"/>
        <v>IV.1</v>
      </c>
      <c r="CK1" s="724" t="str">
        <f t="shared" si="4"/>
        <v>IV.2</v>
      </c>
      <c r="CL1" s="724" t="str">
        <f t="shared" si="4"/>
        <v>V</v>
      </c>
      <c r="CM1" s="724" t="str">
        <f t="shared" si="4"/>
        <v>V.1</v>
      </c>
      <c r="CN1" s="724" t="str">
        <f t="shared" si="4"/>
        <v>V.2</v>
      </c>
      <c r="CO1" s="724" t="str">
        <f t="shared" si="4"/>
        <v>V.3</v>
      </c>
      <c r="CP1" s="724" t="str">
        <f t="shared" si="4"/>
        <v>VI</v>
      </c>
      <c r="CQ1" s="724" t="str">
        <f t="shared" si="4"/>
        <v>VII</v>
      </c>
      <c r="CR1" s="724" t="str">
        <f t="shared" si="4"/>
        <v>VIII</v>
      </c>
      <c r="CS1" s="724" t="str">
        <f t="shared" si="4"/>
        <v>VIII.1</v>
      </c>
      <c r="CT1" s="724" t="str">
        <f t="shared" ref="CN1:CY2" si="5">T1</f>
        <v>VIII.2</v>
      </c>
      <c r="CU1" s="724" t="str">
        <f t="shared" si="5"/>
        <v>IX</v>
      </c>
      <c r="CV1" s="724" t="str">
        <f t="shared" si="5"/>
        <v>X</v>
      </c>
      <c r="CW1" s="724" t="str">
        <f t="shared" si="5"/>
        <v>XI</v>
      </c>
      <c r="CX1" s="724" t="str">
        <f t="shared" si="5"/>
        <v>XII</v>
      </c>
      <c r="CY1" s="724" t="str">
        <f t="shared" si="5"/>
        <v>XIII</v>
      </c>
      <c r="DB1" s="726" t="s">
        <v>1096</v>
      </c>
      <c r="DC1" s="727"/>
      <c r="DD1" s="725" t="str">
        <f t="shared" ref="DD1:DR2" si="6">D1</f>
        <v>I</v>
      </c>
      <c r="DE1" s="725" t="str">
        <f t="shared" si="6"/>
        <v>I.1</v>
      </c>
      <c r="DF1" s="724" t="str">
        <f t="shared" si="6"/>
        <v>I.2</v>
      </c>
      <c r="DG1" s="724" t="str">
        <f t="shared" si="6"/>
        <v>II</v>
      </c>
      <c r="DH1" s="724" t="str">
        <f t="shared" si="6"/>
        <v>III</v>
      </c>
      <c r="DI1" s="724" t="str">
        <f t="shared" si="6"/>
        <v>IV</v>
      </c>
      <c r="DJ1" s="724" t="str">
        <f t="shared" si="6"/>
        <v>IV.1</v>
      </c>
      <c r="DK1" s="724" t="str">
        <f t="shared" si="6"/>
        <v>IV.2</v>
      </c>
      <c r="DL1" s="724" t="str">
        <f t="shared" si="6"/>
        <v>V</v>
      </c>
      <c r="DM1" s="724" t="str">
        <f t="shared" si="6"/>
        <v>V.1</v>
      </c>
      <c r="DN1" s="724" t="str">
        <f t="shared" si="6"/>
        <v>V.2</v>
      </c>
      <c r="DO1" s="724" t="str">
        <f t="shared" si="6"/>
        <v>V.3</v>
      </c>
      <c r="DP1" s="724" t="str">
        <f t="shared" si="6"/>
        <v>VI</v>
      </c>
      <c r="DQ1" s="724" t="str">
        <f t="shared" si="6"/>
        <v>VII</v>
      </c>
      <c r="DR1" s="724" t="str">
        <f t="shared" si="6"/>
        <v>VIII</v>
      </c>
      <c r="DS1" s="724" t="str">
        <f t="shared" ref="DS1:DW2" si="7">U1</f>
        <v>IX</v>
      </c>
      <c r="DT1" s="724" t="str">
        <f t="shared" si="7"/>
        <v>X</v>
      </c>
      <c r="DU1" s="724" t="str">
        <f t="shared" si="7"/>
        <v>XI</v>
      </c>
      <c r="DV1" s="724" t="str">
        <f t="shared" si="7"/>
        <v>XII</v>
      </c>
      <c r="DW1" s="724" t="str">
        <f t="shared" si="7"/>
        <v>XIII</v>
      </c>
      <c r="DZ1" s="726" t="s">
        <v>1294</v>
      </c>
      <c r="EA1" s="798"/>
      <c r="EB1" s="724" t="str">
        <f>$D1</f>
        <v>I</v>
      </c>
      <c r="EC1" s="724" t="str">
        <f t="shared" ref="EC1:ER2" si="8">E1</f>
        <v>I.1</v>
      </c>
      <c r="ED1" s="724" t="str">
        <f t="shared" si="8"/>
        <v>I.2</v>
      </c>
      <c r="EE1" s="724" t="str">
        <f t="shared" si="8"/>
        <v>II</v>
      </c>
      <c r="EF1" s="724" t="str">
        <f t="shared" si="8"/>
        <v>III</v>
      </c>
      <c r="EG1" s="724" t="str">
        <f t="shared" si="8"/>
        <v>IV</v>
      </c>
      <c r="EH1" s="724" t="str">
        <f t="shared" si="8"/>
        <v>IV.1</v>
      </c>
      <c r="EI1" s="724" t="str">
        <f t="shared" si="8"/>
        <v>IV.2</v>
      </c>
      <c r="EJ1" s="724" t="str">
        <f t="shared" si="8"/>
        <v>V</v>
      </c>
      <c r="EK1" s="724" t="str">
        <f t="shared" si="8"/>
        <v>V.1</v>
      </c>
      <c r="EL1" s="724" t="str">
        <f t="shared" si="8"/>
        <v>V.2</v>
      </c>
      <c r="EM1" s="724" t="str">
        <f t="shared" si="8"/>
        <v>V.3</v>
      </c>
      <c r="EN1" s="724" t="str">
        <f t="shared" si="8"/>
        <v>VI</v>
      </c>
      <c r="EO1" s="724" t="str">
        <f t="shared" si="8"/>
        <v>VII</v>
      </c>
      <c r="EP1" s="724" t="str">
        <f t="shared" si="8"/>
        <v>VIII</v>
      </c>
      <c r="EQ1" s="724" t="str">
        <f t="shared" si="8"/>
        <v>VIII.1</v>
      </c>
      <c r="ER1" s="724" t="str">
        <f t="shared" si="8"/>
        <v>VIII.2</v>
      </c>
      <c r="ES1" s="724" t="str">
        <f t="shared" ref="EM1:EV2" si="9">U1</f>
        <v>IX</v>
      </c>
      <c r="ET1" s="724" t="str">
        <f t="shared" si="9"/>
        <v>X</v>
      </c>
      <c r="EU1" s="724" t="str">
        <f t="shared" si="9"/>
        <v>XI</v>
      </c>
      <c r="EV1" s="725" t="str">
        <f t="shared" si="9"/>
        <v>XII</v>
      </c>
      <c r="EX1" s="726" t="s">
        <v>1295</v>
      </c>
      <c r="EY1" s="798"/>
      <c r="EZ1" s="724" t="str">
        <f t="shared" ref="EZ1:FO2" si="10">D1</f>
        <v>I</v>
      </c>
      <c r="FA1" s="724" t="str">
        <f t="shared" si="10"/>
        <v>I.1</v>
      </c>
      <c r="FB1" s="724" t="str">
        <f t="shared" si="10"/>
        <v>I.2</v>
      </c>
      <c r="FC1" s="724" t="str">
        <f t="shared" si="10"/>
        <v>II</v>
      </c>
      <c r="FD1" s="724" t="str">
        <f t="shared" si="10"/>
        <v>III</v>
      </c>
      <c r="FE1" s="724" t="str">
        <f t="shared" si="10"/>
        <v>IV</v>
      </c>
      <c r="FF1" s="724" t="str">
        <f t="shared" si="10"/>
        <v>IV.1</v>
      </c>
      <c r="FG1" s="724" t="str">
        <f t="shared" si="10"/>
        <v>IV.2</v>
      </c>
      <c r="FH1" s="724" t="str">
        <f t="shared" si="10"/>
        <v>V</v>
      </c>
      <c r="FI1" s="724" t="str">
        <f t="shared" si="10"/>
        <v>V.1</v>
      </c>
      <c r="FJ1" s="724" t="str">
        <f t="shared" si="10"/>
        <v>V.2</v>
      </c>
      <c r="FK1" s="724" t="str">
        <f t="shared" si="10"/>
        <v>V.3</v>
      </c>
      <c r="FL1" s="724" t="str">
        <f t="shared" si="10"/>
        <v>VI</v>
      </c>
      <c r="FM1" s="724" t="str">
        <f t="shared" si="10"/>
        <v>VII</v>
      </c>
      <c r="FN1" s="724" t="str">
        <f t="shared" si="10"/>
        <v>VIII</v>
      </c>
      <c r="FO1" s="724" t="str">
        <f t="shared" si="10"/>
        <v>VIII.1</v>
      </c>
      <c r="FP1" s="724" t="str">
        <f t="shared" ref="FJ1:FU2" si="11">T1</f>
        <v>VIII.2</v>
      </c>
      <c r="FQ1" s="724" t="str">
        <f t="shared" si="11"/>
        <v>IX</v>
      </c>
      <c r="FR1" s="724" t="str">
        <f t="shared" si="11"/>
        <v>X</v>
      </c>
      <c r="FS1" s="724" t="str">
        <f t="shared" si="11"/>
        <v>XI</v>
      </c>
      <c r="FT1" s="724" t="str">
        <f t="shared" si="11"/>
        <v>XII</v>
      </c>
      <c r="FU1" s="803" t="str">
        <f t="shared" si="11"/>
        <v>XIII</v>
      </c>
      <c r="FV1" s="746"/>
      <c r="FW1" s="726" t="s">
        <v>1655</v>
      </c>
      <c r="FX1" s="798"/>
      <c r="FY1" s="724" t="str">
        <f>D1</f>
        <v>I</v>
      </c>
      <c r="FZ1" s="724" t="str">
        <f t="shared" ref="FZ1:GO2" si="12">E1</f>
        <v>I.1</v>
      </c>
      <c r="GA1" s="724" t="str">
        <f t="shared" si="12"/>
        <v>I.2</v>
      </c>
      <c r="GB1" s="724" t="str">
        <f t="shared" si="12"/>
        <v>II</v>
      </c>
      <c r="GC1" s="724" t="str">
        <f t="shared" si="12"/>
        <v>III</v>
      </c>
      <c r="GD1" s="724" t="str">
        <f t="shared" si="12"/>
        <v>IV</v>
      </c>
      <c r="GE1" s="724" t="str">
        <f t="shared" si="12"/>
        <v>IV.1</v>
      </c>
      <c r="GF1" s="724" t="str">
        <f t="shared" si="12"/>
        <v>IV.2</v>
      </c>
      <c r="GG1" s="724" t="str">
        <f t="shared" si="12"/>
        <v>V</v>
      </c>
      <c r="GH1" s="724" t="str">
        <f t="shared" si="12"/>
        <v>V.1</v>
      </c>
      <c r="GI1" s="724" t="str">
        <f t="shared" si="12"/>
        <v>V.2</v>
      </c>
      <c r="GJ1" s="724" t="str">
        <f t="shared" si="12"/>
        <v>V.3</v>
      </c>
      <c r="GK1" s="724" t="str">
        <f t="shared" si="12"/>
        <v>VI</v>
      </c>
      <c r="GL1" s="724" t="str">
        <f t="shared" si="12"/>
        <v>VII</v>
      </c>
      <c r="GM1" s="724" t="str">
        <f t="shared" si="12"/>
        <v>VIII</v>
      </c>
      <c r="GN1" s="724" t="str">
        <f t="shared" si="12"/>
        <v>VIII.1</v>
      </c>
      <c r="GO1" s="724" t="str">
        <f t="shared" si="12"/>
        <v>VIII.2</v>
      </c>
      <c r="GP1" s="724" t="str">
        <f t="shared" ref="GN1:GT2" si="13">U1</f>
        <v>IX</v>
      </c>
      <c r="GQ1" s="724" t="str">
        <f t="shared" si="13"/>
        <v>X</v>
      </c>
      <c r="GR1" s="724" t="str">
        <f t="shared" si="13"/>
        <v>XI</v>
      </c>
      <c r="GS1" s="724" t="str">
        <f t="shared" si="13"/>
        <v>XII</v>
      </c>
      <c r="GT1" s="724" t="str">
        <f t="shared" si="13"/>
        <v>XIII</v>
      </c>
      <c r="GV1" s="726" t="s">
        <v>1656</v>
      </c>
      <c r="GW1" s="798"/>
      <c r="GX1" s="724" t="str">
        <f>D1</f>
        <v>I</v>
      </c>
      <c r="GY1" s="724" t="str">
        <f t="shared" ref="GY1:HS2" si="14">E1</f>
        <v>I.1</v>
      </c>
      <c r="GZ1" s="724" t="str">
        <f t="shared" si="14"/>
        <v>I.2</v>
      </c>
      <c r="HA1" s="724" t="str">
        <f t="shared" si="14"/>
        <v>II</v>
      </c>
      <c r="HB1" s="724" t="str">
        <f t="shared" si="14"/>
        <v>III</v>
      </c>
      <c r="HC1" s="724" t="str">
        <f t="shared" si="14"/>
        <v>IV</v>
      </c>
      <c r="HD1" s="724" t="str">
        <f t="shared" si="14"/>
        <v>IV.1</v>
      </c>
      <c r="HE1" s="724" t="str">
        <f t="shared" si="14"/>
        <v>IV.2</v>
      </c>
      <c r="HF1" s="724" t="str">
        <f t="shared" si="14"/>
        <v>V</v>
      </c>
      <c r="HG1" s="724" t="str">
        <f t="shared" si="14"/>
        <v>V.1</v>
      </c>
      <c r="HH1" s="724" t="str">
        <f t="shared" si="14"/>
        <v>V.2</v>
      </c>
      <c r="HI1" s="724" t="str">
        <f t="shared" si="14"/>
        <v>V.3</v>
      </c>
      <c r="HJ1" s="724" t="str">
        <f t="shared" si="14"/>
        <v>VI</v>
      </c>
      <c r="HK1" s="724" t="str">
        <f t="shared" si="14"/>
        <v>VII</v>
      </c>
      <c r="HL1" s="724" t="str">
        <f t="shared" si="14"/>
        <v>VIII</v>
      </c>
      <c r="HM1" s="724" t="str">
        <f t="shared" si="14"/>
        <v>VIII.1</v>
      </c>
      <c r="HN1" s="724" t="str">
        <f t="shared" si="14"/>
        <v>VIII.2</v>
      </c>
      <c r="HO1" s="724" t="str">
        <f t="shared" si="14"/>
        <v>IX</v>
      </c>
      <c r="HP1" s="724" t="str">
        <f t="shared" si="14"/>
        <v>X</v>
      </c>
      <c r="HQ1" s="724" t="str">
        <f t="shared" si="14"/>
        <v>XI</v>
      </c>
      <c r="HR1" s="724" t="str">
        <f t="shared" si="14"/>
        <v>XII</v>
      </c>
      <c r="HS1" s="724" t="str">
        <f t="shared" si="14"/>
        <v>XIII</v>
      </c>
    </row>
    <row r="2" spans="1:227" ht="121.5" customHeight="1">
      <c r="A2" s="728"/>
      <c r="B2" s="729" t="s">
        <v>462</v>
      </c>
      <c r="C2" s="730"/>
      <c r="D2" s="731" t="s">
        <v>572</v>
      </c>
      <c r="E2" s="731" t="s">
        <v>214</v>
      </c>
      <c r="F2" s="731" t="s">
        <v>125</v>
      </c>
      <c r="G2" s="731" t="s">
        <v>573</v>
      </c>
      <c r="H2" s="731" t="s">
        <v>126</v>
      </c>
      <c r="I2" s="731" t="s">
        <v>128</v>
      </c>
      <c r="J2" s="731" t="s">
        <v>1137</v>
      </c>
      <c r="K2" s="731" t="s">
        <v>1136</v>
      </c>
      <c r="L2" s="731" t="s">
        <v>61</v>
      </c>
      <c r="M2" s="731" t="s">
        <v>1141</v>
      </c>
      <c r="N2" s="731" t="s">
        <v>434</v>
      </c>
      <c r="O2" s="731" t="s">
        <v>433</v>
      </c>
      <c r="P2" s="731" t="s">
        <v>83</v>
      </c>
      <c r="Q2" s="731" t="s">
        <v>1103</v>
      </c>
      <c r="R2" s="731" t="s">
        <v>130</v>
      </c>
      <c r="S2" s="731" t="s">
        <v>130</v>
      </c>
      <c r="T2" s="731" t="s">
        <v>1157</v>
      </c>
      <c r="U2" s="731" t="s">
        <v>131</v>
      </c>
      <c r="V2" s="731" t="s">
        <v>216</v>
      </c>
      <c r="W2" s="731" t="s">
        <v>1104</v>
      </c>
      <c r="X2" s="731" t="s">
        <v>1105</v>
      </c>
      <c r="Y2" s="731" t="s">
        <v>1112</v>
      </c>
      <c r="AA2" s="731" t="s">
        <v>1123</v>
      </c>
      <c r="AC2" s="732"/>
      <c r="AD2" s="733"/>
      <c r="AE2" s="734" t="str">
        <f t="shared" si="0"/>
        <v>Wohnen MFH</v>
      </c>
      <c r="AF2" s="734" t="str">
        <f t="shared" si="0"/>
        <v>MFH</v>
      </c>
      <c r="AG2" s="731" t="str">
        <f t="shared" si="0"/>
        <v>Hotel</v>
      </c>
      <c r="AH2" s="731" t="str">
        <f t="shared" si="0"/>
        <v>Wohnen EFH</v>
      </c>
      <c r="AI2" s="731" t="str">
        <f t="shared" si="0"/>
        <v>Büro</v>
      </c>
      <c r="AJ2" s="731" t="str">
        <f t="shared" si="0"/>
        <v>Schule</v>
      </c>
      <c r="AK2" s="731" t="str">
        <f t="shared" si="0"/>
        <v>Volksschule</v>
      </c>
      <c r="AL2" s="731" t="str">
        <f t="shared" si="0"/>
        <v>Hochschule</v>
      </c>
      <c r="AM2" s="731" t="str">
        <f t="shared" si="0"/>
        <v>Verkauf</v>
      </c>
      <c r="AN2" s="731" t="str">
        <f t="shared" si="0"/>
        <v>Lebensmittelgeschäft</v>
      </c>
      <c r="AO2" s="731" t="str">
        <f t="shared" si="1"/>
        <v>Fachgeschäft</v>
      </c>
      <c r="AP2" s="731" t="str">
        <f t="shared" si="1"/>
        <v>Verkauf Möbel, Bau, Garten</v>
      </c>
      <c r="AQ2" s="731" t="str">
        <f t="shared" si="1"/>
        <v>Restaurant</v>
      </c>
      <c r="AR2" s="731" t="str">
        <f t="shared" si="1"/>
        <v>Versammlungslokal</v>
      </c>
      <c r="AS2" s="731" t="str">
        <f t="shared" si="1"/>
        <v>Spital</v>
      </c>
      <c r="AT2" s="731" t="str">
        <f t="shared" si="1"/>
        <v>Spital</v>
      </c>
      <c r="AU2" s="731" t="str">
        <f t="shared" si="1"/>
        <v>Pflege</v>
      </c>
      <c r="AV2" s="731" t="str">
        <f t="shared" si="1"/>
        <v>Industrie</v>
      </c>
      <c r="AW2" s="731" t="str">
        <f t="shared" si="1"/>
        <v>Lager</v>
      </c>
      <c r="AX2" s="731" t="str">
        <f t="shared" si="1"/>
        <v>Sportbaute</v>
      </c>
      <c r="AY2" s="731" t="str">
        <f t="shared" si="1"/>
        <v>Hallenbad</v>
      </c>
      <c r="AZ2" s="731" t="str">
        <f t="shared" si="1"/>
        <v>Parking</v>
      </c>
      <c r="BC2" s="735"/>
      <c r="BD2" s="733"/>
      <c r="BE2" s="731" t="str">
        <f t="shared" si="2"/>
        <v>Wohnen MFH</v>
      </c>
      <c r="BF2" s="731" t="str">
        <f t="shared" si="2"/>
        <v>MFH</v>
      </c>
      <c r="BG2" s="731" t="str">
        <f t="shared" si="2"/>
        <v>Hotel</v>
      </c>
      <c r="BH2" s="731" t="str">
        <f t="shared" si="2"/>
        <v>Wohnen EFH</v>
      </c>
      <c r="BI2" s="731" t="s">
        <v>215</v>
      </c>
      <c r="BJ2" s="731" t="str">
        <f t="shared" si="2"/>
        <v>Schule</v>
      </c>
      <c r="BK2" s="731" t="str">
        <f t="shared" si="2"/>
        <v>Volksschule</v>
      </c>
      <c r="BL2" s="731" t="str">
        <f t="shared" si="2"/>
        <v>Hochschule</v>
      </c>
      <c r="BM2" s="731" t="str">
        <f t="shared" si="2"/>
        <v>Verkauf</v>
      </c>
      <c r="BN2" s="731" t="str">
        <f t="shared" si="2"/>
        <v>Lebensmittelgeschäft</v>
      </c>
      <c r="BO2" s="731" t="str">
        <f t="shared" si="3"/>
        <v>Fachgeschäft</v>
      </c>
      <c r="BP2" s="731" t="str">
        <f t="shared" si="3"/>
        <v>Verkauf Möbel, Bau, Garten</v>
      </c>
      <c r="BQ2" s="731" t="str">
        <f t="shared" si="3"/>
        <v>Restaurant</v>
      </c>
      <c r="BR2" s="731" t="str">
        <f t="shared" si="3"/>
        <v>Versammlungslokal</v>
      </c>
      <c r="BS2" s="731" t="str">
        <f t="shared" si="3"/>
        <v>Spital</v>
      </c>
      <c r="BT2" s="731" t="str">
        <f t="shared" si="3"/>
        <v>Spital</v>
      </c>
      <c r="BU2" s="731" t="str">
        <f t="shared" si="3"/>
        <v>Pflege</v>
      </c>
      <c r="BV2" s="731" t="str">
        <f t="shared" si="3"/>
        <v>Industrie</v>
      </c>
      <c r="BW2" s="731" t="str">
        <f t="shared" si="3"/>
        <v>Lager</v>
      </c>
      <c r="BX2" s="731" t="str">
        <f t="shared" si="3"/>
        <v>Sportbaute</v>
      </c>
      <c r="BY2" s="731" t="str">
        <f t="shared" si="3"/>
        <v>Hallenbad</v>
      </c>
      <c r="BZ2" s="731" t="str">
        <f t="shared" si="3"/>
        <v>Parking</v>
      </c>
      <c r="CB2" s="763" t="s">
        <v>1553</v>
      </c>
      <c r="CC2" s="733"/>
      <c r="CD2" s="731" t="str">
        <f t="shared" si="4"/>
        <v>Wohnen MFH</v>
      </c>
      <c r="CE2" s="731" t="str">
        <f t="shared" si="4"/>
        <v>MFH</v>
      </c>
      <c r="CF2" s="731" t="str">
        <f t="shared" si="4"/>
        <v>Hotel</v>
      </c>
      <c r="CG2" s="731" t="str">
        <f t="shared" si="4"/>
        <v>Wohnen EFH</v>
      </c>
      <c r="CH2" s="731" t="str">
        <f t="shared" si="4"/>
        <v>Büro</v>
      </c>
      <c r="CI2" s="731" t="str">
        <f t="shared" si="4"/>
        <v>Schule</v>
      </c>
      <c r="CJ2" s="731" t="str">
        <f t="shared" si="4"/>
        <v>Volksschule</v>
      </c>
      <c r="CK2" s="731" t="str">
        <f t="shared" si="4"/>
        <v>Hochschule</v>
      </c>
      <c r="CL2" s="731" t="str">
        <f t="shared" si="4"/>
        <v>Verkauf</v>
      </c>
      <c r="CM2" s="731" t="str">
        <f t="shared" si="4"/>
        <v>Lebensmittelgeschäft</v>
      </c>
      <c r="CN2" s="731" t="str">
        <f t="shared" si="5"/>
        <v>Fachgeschäft</v>
      </c>
      <c r="CO2" s="731" t="str">
        <f t="shared" si="5"/>
        <v>Verkauf Möbel, Bau, Garten</v>
      </c>
      <c r="CP2" s="731" t="str">
        <f t="shared" si="5"/>
        <v>Restaurant</v>
      </c>
      <c r="CQ2" s="731" t="str">
        <f t="shared" si="5"/>
        <v>Versammlungslokal</v>
      </c>
      <c r="CR2" s="731" t="str">
        <f t="shared" si="5"/>
        <v>Spital</v>
      </c>
      <c r="CS2" s="731" t="str">
        <f t="shared" si="5"/>
        <v>Spital</v>
      </c>
      <c r="CT2" s="731" t="str">
        <f t="shared" si="5"/>
        <v>Pflege</v>
      </c>
      <c r="CU2" s="731" t="str">
        <f t="shared" si="5"/>
        <v>Industrie</v>
      </c>
      <c r="CV2" s="731" t="str">
        <f t="shared" si="5"/>
        <v>Lager</v>
      </c>
      <c r="CW2" s="731" t="str">
        <f t="shared" si="5"/>
        <v>Sportbaute</v>
      </c>
      <c r="CX2" s="731" t="str">
        <f t="shared" si="5"/>
        <v>Hallenbad</v>
      </c>
      <c r="CY2" s="731" t="str">
        <f t="shared" si="5"/>
        <v>Parking</v>
      </c>
      <c r="DB2" s="736"/>
      <c r="DC2" s="733"/>
      <c r="DD2" s="734" t="s">
        <v>104</v>
      </c>
      <c r="DE2" s="734" t="str">
        <f t="shared" si="6"/>
        <v>MFH</v>
      </c>
      <c r="DF2" s="731" t="str">
        <f t="shared" si="6"/>
        <v>Hotel</v>
      </c>
      <c r="DG2" s="731" t="str">
        <f t="shared" si="6"/>
        <v>Wohnen EFH</v>
      </c>
      <c r="DH2" s="731" t="str">
        <f t="shared" si="6"/>
        <v>Büro</v>
      </c>
      <c r="DI2" s="731" t="str">
        <f t="shared" si="6"/>
        <v>Schule</v>
      </c>
      <c r="DJ2" s="731" t="str">
        <f t="shared" si="6"/>
        <v>Volksschule</v>
      </c>
      <c r="DK2" s="731" t="str">
        <f t="shared" si="6"/>
        <v>Hochschule</v>
      </c>
      <c r="DL2" s="731" t="str">
        <f t="shared" si="6"/>
        <v>Verkauf</v>
      </c>
      <c r="DM2" s="731" t="str">
        <f t="shared" si="6"/>
        <v>Lebensmittelgeschäft</v>
      </c>
      <c r="DN2" s="731" t="str">
        <f t="shared" si="6"/>
        <v>Fachgeschäft</v>
      </c>
      <c r="DO2" s="731" t="str">
        <f t="shared" si="6"/>
        <v>Verkauf Möbel, Bau, Garten</v>
      </c>
      <c r="DP2" s="731" t="str">
        <f t="shared" si="6"/>
        <v>Restaurant</v>
      </c>
      <c r="DQ2" s="731" t="str">
        <f t="shared" si="6"/>
        <v>Versammlungslokal</v>
      </c>
      <c r="DR2" s="731" t="str">
        <f t="shared" si="6"/>
        <v>Spital</v>
      </c>
      <c r="DS2" s="731" t="str">
        <f t="shared" si="7"/>
        <v>Industrie</v>
      </c>
      <c r="DT2" s="731" t="str">
        <f t="shared" si="7"/>
        <v>Lager</v>
      </c>
      <c r="DU2" s="731" t="str">
        <f t="shared" si="7"/>
        <v>Sportbaute</v>
      </c>
      <c r="DV2" s="731" t="str">
        <f t="shared" si="7"/>
        <v>Hallenbad</v>
      </c>
      <c r="DW2" s="731" t="str">
        <f t="shared" si="7"/>
        <v>Parking</v>
      </c>
      <c r="DZ2" s="814" t="s">
        <v>1148</v>
      </c>
      <c r="EA2" s="799"/>
      <c r="EB2" s="731" t="str">
        <f>$D2</f>
        <v>Wohnen MFH</v>
      </c>
      <c r="EC2" s="731" t="str">
        <f t="shared" si="8"/>
        <v>MFH</v>
      </c>
      <c r="ED2" s="731" t="str">
        <f t="shared" si="8"/>
        <v>Hotel</v>
      </c>
      <c r="EE2" s="731" t="str">
        <f t="shared" si="8"/>
        <v>Wohnen EFH</v>
      </c>
      <c r="EF2" s="731" t="str">
        <f t="shared" si="8"/>
        <v>Büro</v>
      </c>
      <c r="EG2" s="731" t="str">
        <f t="shared" si="8"/>
        <v>Schule</v>
      </c>
      <c r="EH2" s="731" t="str">
        <f t="shared" si="8"/>
        <v>Volksschule</v>
      </c>
      <c r="EI2" s="731" t="str">
        <f t="shared" si="8"/>
        <v>Hochschule</v>
      </c>
      <c r="EJ2" s="731" t="str">
        <f t="shared" si="8"/>
        <v>Verkauf</v>
      </c>
      <c r="EK2" s="731" t="str">
        <f t="shared" si="8"/>
        <v>Lebensmittelgeschäft</v>
      </c>
      <c r="EL2" s="731" t="str">
        <f t="shared" si="8"/>
        <v>Fachgeschäft</v>
      </c>
      <c r="EM2" s="731" t="str">
        <f t="shared" si="9"/>
        <v>Verkauf Möbel, Bau, Garten</v>
      </c>
      <c r="EN2" s="731" t="str">
        <f t="shared" si="9"/>
        <v>Restaurant</v>
      </c>
      <c r="EO2" s="731" t="str">
        <f t="shared" si="9"/>
        <v>Versammlungslokal</v>
      </c>
      <c r="EP2" s="731" t="str">
        <f t="shared" si="9"/>
        <v>Spital</v>
      </c>
      <c r="EQ2" s="731" t="str">
        <f t="shared" si="9"/>
        <v>Spital</v>
      </c>
      <c r="ER2" s="731" t="str">
        <f t="shared" si="9"/>
        <v>Pflege</v>
      </c>
      <c r="ES2" s="731" t="str">
        <f t="shared" si="9"/>
        <v>Industrie</v>
      </c>
      <c r="ET2" s="731" t="str">
        <f t="shared" si="9"/>
        <v>Lager</v>
      </c>
      <c r="EU2" s="731" t="str">
        <f t="shared" si="9"/>
        <v>Sportbaute</v>
      </c>
      <c r="EV2" s="734" t="str">
        <f t="shared" si="9"/>
        <v>Hallenbad</v>
      </c>
      <c r="EX2" s="814" t="s">
        <v>1204</v>
      </c>
      <c r="EY2" s="799"/>
      <c r="EZ2" s="731" t="str">
        <f t="shared" si="10"/>
        <v>Wohnen MFH</v>
      </c>
      <c r="FA2" s="731" t="str">
        <f t="shared" si="10"/>
        <v>MFH</v>
      </c>
      <c r="FB2" s="731" t="str">
        <f t="shared" si="10"/>
        <v>Hotel</v>
      </c>
      <c r="FC2" s="731" t="str">
        <f t="shared" si="10"/>
        <v>Wohnen EFH</v>
      </c>
      <c r="FD2" s="731" t="str">
        <f t="shared" si="10"/>
        <v>Büro</v>
      </c>
      <c r="FE2" s="731" t="str">
        <f t="shared" si="10"/>
        <v>Schule</v>
      </c>
      <c r="FF2" s="731" t="str">
        <f t="shared" si="10"/>
        <v>Volksschule</v>
      </c>
      <c r="FG2" s="731" t="str">
        <f t="shared" si="10"/>
        <v>Hochschule</v>
      </c>
      <c r="FH2" s="731" t="str">
        <f t="shared" si="10"/>
        <v>Verkauf</v>
      </c>
      <c r="FI2" s="731" t="str">
        <f t="shared" si="10"/>
        <v>Lebensmittelgeschäft</v>
      </c>
      <c r="FJ2" s="731" t="str">
        <f t="shared" si="11"/>
        <v>Fachgeschäft</v>
      </c>
      <c r="FK2" s="731" t="str">
        <f t="shared" si="11"/>
        <v>Verkauf Möbel, Bau, Garten</v>
      </c>
      <c r="FL2" s="731" t="str">
        <f t="shared" si="11"/>
        <v>Restaurant</v>
      </c>
      <c r="FM2" s="731" t="str">
        <f t="shared" si="11"/>
        <v>Versammlungslokal</v>
      </c>
      <c r="FN2" s="731" t="str">
        <f t="shared" si="11"/>
        <v>Spital</v>
      </c>
      <c r="FO2" s="731" t="str">
        <f t="shared" si="11"/>
        <v>Spital</v>
      </c>
      <c r="FP2" s="731" t="str">
        <f t="shared" si="11"/>
        <v>Pflege</v>
      </c>
      <c r="FQ2" s="731" t="str">
        <f t="shared" si="11"/>
        <v>Industrie</v>
      </c>
      <c r="FR2" s="731" t="str">
        <f t="shared" si="11"/>
        <v>Lager</v>
      </c>
      <c r="FS2" s="731" t="str">
        <f t="shared" si="11"/>
        <v>Sportbaute</v>
      </c>
      <c r="FT2" s="731" t="str">
        <f t="shared" si="11"/>
        <v>Hallenbad</v>
      </c>
      <c r="FU2" s="804" t="str">
        <f t="shared" si="11"/>
        <v>Parking</v>
      </c>
      <c r="FV2" s="805"/>
      <c r="FW2" s="1989" t="s">
        <v>1194</v>
      </c>
      <c r="FX2" s="1990"/>
      <c r="FY2" s="731" t="str">
        <f>D2</f>
        <v>Wohnen MFH</v>
      </c>
      <c r="FZ2" s="731" t="str">
        <f t="shared" si="12"/>
        <v>MFH</v>
      </c>
      <c r="GA2" s="731" t="str">
        <f t="shared" si="12"/>
        <v>Hotel</v>
      </c>
      <c r="GB2" s="731" t="str">
        <f t="shared" si="12"/>
        <v>Wohnen EFH</v>
      </c>
      <c r="GC2" s="731" t="str">
        <f t="shared" si="12"/>
        <v>Büro</v>
      </c>
      <c r="GD2" s="731" t="str">
        <f t="shared" si="12"/>
        <v>Schule</v>
      </c>
      <c r="GE2" s="731" t="str">
        <f t="shared" si="12"/>
        <v>Volksschule</v>
      </c>
      <c r="GF2" s="731" t="str">
        <f t="shared" si="12"/>
        <v>Hochschule</v>
      </c>
      <c r="GG2" s="731" t="str">
        <f t="shared" si="12"/>
        <v>Verkauf</v>
      </c>
      <c r="GH2" s="731" t="str">
        <f t="shared" si="12"/>
        <v>Lebensmittelgeschäft</v>
      </c>
      <c r="GI2" s="731" t="str">
        <f t="shared" si="12"/>
        <v>Fachgeschäft</v>
      </c>
      <c r="GJ2" s="731" t="str">
        <f t="shared" si="12"/>
        <v>Verkauf Möbel, Bau, Garten</v>
      </c>
      <c r="GK2" s="731" t="str">
        <f t="shared" si="12"/>
        <v>Restaurant</v>
      </c>
      <c r="GL2" s="731" t="str">
        <f t="shared" si="12"/>
        <v>Versammlungslokal</v>
      </c>
      <c r="GM2" s="731" t="str">
        <f t="shared" si="12"/>
        <v>Spital</v>
      </c>
      <c r="GN2" s="731" t="str">
        <f t="shared" si="13"/>
        <v>Spital</v>
      </c>
      <c r="GO2" s="731" t="str">
        <f t="shared" si="13"/>
        <v>Pflege</v>
      </c>
      <c r="GP2" s="731" t="str">
        <f t="shared" si="13"/>
        <v>Industrie</v>
      </c>
      <c r="GQ2" s="731" t="str">
        <f t="shared" si="13"/>
        <v>Lager</v>
      </c>
      <c r="GR2" s="731" t="str">
        <f t="shared" si="13"/>
        <v>Sportbaute</v>
      </c>
      <c r="GS2" s="731" t="str">
        <f t="shared" si="13"/>
        <v>Hallenbad</v>
      </c>
      <c r="GT2" s="731" t="str">
        <f t="shared" si="13"/>
        <v>Parking</v>
      </c>
      <c r="GV2" s="1989" t="s">
        <v>1555</v>
      </c>
      <c r="GW2" s="1990"/>
      <c r="GX2" s="731" t="str">
        <f>D2</f>
        <v>Wohnen MFH</v>
      </c>
      <c r="GY2" s="731" t="str">
        <f t="shared" si="14"/>
        <v>MFH</v>
      </c>
      <c r="GZ2" s="731" t="str">
        <f t="shared" si="14"/>
        <v>Hotel</v>
      </c>
      <c r="HA2" s="731" t="str">
        <f t="shared" si="14"/>
        <v>Wohnen EFH</v>
      </c>
      <c r="HB2" s="731" t="str">
        <f t="shared" si="14"/>
        <v>Büro</v>
      </c>
      <c r="HC2" s="731" t="str">
        <f t="shared" si="14"/>
        <v>Schule</v>
      </c>
      <c r="HD2" s="731" t="str">
        <f t="shared" si="14"/>
        <v>Volksschule</v>
      </c>
      <c r="HE2" s="731" t="str">
        <f t="shared" si="14"/>
        <v>Hochschule</v>
      </c>
      <c r="HF2" s="731" t="str">
        <f t="shared" si="14"/>
        <v>Verkauf</v>
      </c>
      <c r="HG2" s="731" t="str">
        <f t="shared" si="14"/>
        <v>Lebensmittelgeschäft</v>
      </c>
      <c r="HH2" s="731" t="str">
        <f t="shared" si="14"/>
        <v>Fachgeschäft</v>
      </c>
      <c r="HI2" s="731" t="str">
        <f t="shared" si="14"/>
        <v>Verkauf Möbel, Bau, Garten</v>
      </c>
      <c r="HJ2" s="731" t="str">
        <f t="shared" si="14"/>
        <v>Restaurant</v>
      </c>
      <c r="HK2" s="731" t="str">
        <f t="shared" si="14"/>
        <v>Versammlungslokal</v>
      </c>
      <c r="HL2" s="731" t="str">
        <f t="shared" si="14"/>
        <v>Spital</v>
      </c>
      <c r="HM2" s="731" t="str">
        <f t="shared" si="14"/>
        <v>Spital</v>
      </c>
      <c r="HN2" s="731" t="str">
        <f t="shared" si="14"/>
        <v>Pflege</v>
      </c>
      <c r="HO2" s="731" t="str">
        <f t="shared" si="14"/>
        <v>Industrie</v>
      </c>
      <c r="HP2" s="731" t="str">
        <f t="shared" si="14"/>
        <v>Lager</v>
      </c>
      <c r="HQ2" s="731" t="str">
        <f t="shared" si="14"/>
        <v>Sportbaute</v>
      </c>
      <c r="HR2" s="731" t="str">
        <f t="shared" si="14"/>
        <v>Hallenbad</v>
      </c>
      <c r="HS2" s="731" t="str">
        <f t="shared" si="14"/>
        <v>Parking</v>
      </c>
    </row>
    <row r="3" spans="1:227" s="754" customFormat="1" ht="15.75" customHeight="1">
      <c r="A3" s="1392">
        <f>Eingabedaten!A9</f>
        <v>1.01</v>
      </c>
      <c r="B3" s="750" t="str">
        <f>Eingabedaten!C9</f>
        <v>Wohnen MFH</v>
      </c>
      <c r="C3" s="751" t="s">
        <v>5</v>
      </c>
      <c r="D3" s="752">
        <v>85</v>
      </c>
      <c r="E3" s="752">
        <v>85</v>
      </c>
      <c r="F3" s="753"/>
      <c r="G3" s="753"/>
      <c r="H3" s="753"/>
      <c r="I3" s="753"/>
      <c r="J3" s="753"/>
      <c r="K3" s="753"/>
      <c r="L3" s="753"/>
      <c r="M3" s="753"/>
      <c r="N3" s="753"/>
      <c r="O3" s="753"/>
      <c r="P3" s="753"/>
      <c r="Q3" s="753"/>
      <c r="R3" s="753"/>
      <c r="S3" s="753"/>
      <c r="T3" s="753"/>
      <c r="U3" s="753"/>
      <c r="V3" s="753"/>
      <c r="W3" s="753"/>
      <c r="X3" s="753"/>
      <c r="Y3" s="753"/>
      <c r="AA3" s="769">
        <f>1/Eingabedaten!AP9</f>
        <v>2.8571428571428571E-2</v>
      </c>
      <c r="AC3" s="772" t="s">
        <v>51</v>
      </c>
      <c r="AD3" s="778" t="s">
        <v>134</v>
      </c>
      <c r="AE3" s="1282">
        <f>SUMPRODUCT(KZ_Raum_2024!$K$7:$K$51,'Fläche-ZW'!D$3:D$47)/100*$AD$1</f>
        <v>7.3440000000000012</v>
      </c>
      <c r="AF3" s="1051">
        <f>SUMPRODUCT(KZ_Raum_2024!$C$7:$C$51,'Fläche-ZW'!E$3:E$47)/100*$AD$1</f>
        <v>14.688000000000002</v>
      </c>
      <c r="AG3" s="1051">
        <f>SUMPRODUCT(KZ_Raum_2024!$C$7:$C$51,'Fläche-ZW'!F$3:F$47)/100*$AD$1</f>
        <v>12.284000000000001</v>
      </c>
      <c r="AH3" s="1051">
        <f>SUMPRODUCT(KZ_Raum_2024!$K$7:$K$51,'Fläche-ZW'!G$3:G$47)/100*$AD$1</f>
        <v>6.4080000000000004</v>
      </c>
      <c r="AI3" s="1051">
        <f>SUMPRODUCT(KZ_Raum_2024!$K$7:$K$51,'Fläche-ZW'!H$3:H$47)/100*$AD$1</f>
        <v>10.224</v>
      </c>
      <c r="AJ3" s="1051">
        <f>SUMPRODUCT(KZ_Raum_2024!$K$7:$K$51,'Fläche-ZW'!I$3:I$47)/100*$AD$1</f>
        <v>3.5337600000000005</v>
      </c>
      <c r="AK3" s="1051">
        <f>SUMPRODUCT(KZ_Raum_2024!$K$7:$K$51,'Fläche-ZW'!J$3:J$47)/100*$AD$1</f>
        <v>3.5337600000000005</v>
      </c>
      <c r="AL3" s="1051">
        <f>SUMPRODUCT(KZ_Raum_2024!$K$7:$K$51,'Fläche-ZW'!K$3:K$47)/100*$AD$1</f>
        <v>5.7192000000000007</v>
      </c>
      <c r="AM3" s="1051">
        <f>SUMPRODUCT(KZ_Raum_2024!$K$7:$K$51,'Fläche-ZW'!L$3:L$47)/100*$AD$1</f>
        <v>2.4408000000000003</v>
      </c>
      <c r="AN3" s="1051">
        <f>SUMPRODUCT(KZ_Raum_2024!$K$7:$K$51,'Fläche-ZW'!M$3:M$47)/100*$AD$1</f>
        <v>2.6232000000000002</v>
      </c>
      <c r="AO3" s="1051">
        <f>SUMPRODUCT(KZ_Raum_2024!$K$7:$K$51,'Fläche-ZW'!N$3:N$47)/100*$AD$1</f>
        <v>2.4408000000000003</v>
      </c>
      <c r="AP3" s="1051">
        <f>SUMPRODUCT(KZ_Raum_2024!$K$7:$K$51,'Fläche-ZW'!O$3:O$47)/100*$AD$1</f>
        <v>2.3352000000000004</v>
      </c>
      <c r="AQ3" s="1051">
        <f>SUMPRODUCT(KZ_Raum_2024!$K$7:$K$51,'Fläche-ZW'!P$3:P$47)/100*$AD$1</f>
        <v>3.6224000000000007</v>
      </c>
      <c r="AR3" s="1051">
        <f>SUMPRODUCT(KZ_Raum_2024!$K$7:$K$51,'Fläche-ZW'!Q$3:Q$47)/100*$AD$1</f>
        <v>3.3864000000000005</v>
      </c>
      <c r="AS3" s="1051">
        <f>SUMPRODUCT(KZ_Raum_2024!$K$7:$K$51,'Fläche-ZW'!R$3:R$47)/100*$AD$1</f>
        <v>5.3124000000000002</v>
      </c>
      <c r="AT3" s="1051">
        <f>SUMPRODUCT(KZ_Raum_2024!$K$7:$K$51,'Fläche-ZW'!S$3:S$47)/100*$AD$1</f>
        <v>5.9043999999999999</v>
      </c>
      <c r="AU3" s="1051">
        <f>SUMPRODUCT(KZ_Raum_2024!$K$7:$K$51,'Fläche-ZW'!T$3:T$47)/100*$AD$1</f>
        <v>5.0004</v>
      </c>
      <c r="AV3" s="1051">
        <f>SUMPRODUCT(KZ_Raum_2024!$K$7:$K$51,'Fläche-ZW'!U$3:U$47)/100*$AD$1</f>
        <v>6.9223999999999997</v>
      </c>
      <c r="AW3" s="1051">
        <f>SUMPRODUCT(KZ_Raum_2024!$K$7:$K$51,'Fläche-ZW'!V$3:V$47)/100*$AD$1</f>
        <v>2.468</v>
      </c>
      <c r="AX3" s="1051">
        <f>SUMPRODUCT(KZ_Raum_2024!$K$7:$K$51,'Fläche-ZW'!W$3:W$47)/100*$AD$1</f>
        <v>0</v>
      </c>
      <c r="AY3" s="1052">
        <f>SUMPRODUCT(KZ_Raum_2024!$K$7:$K$51,'Fläche-ZW'!X$3:X$47)/100*$AD$1</f>
        <v>3.9720000000000009</v>
      </c>
      <c r="AZ3" s="1052">
        <f>SUMPRODUCT(KZ_Raum_2024!$C$7:$C$51,'Fläche-ZW'!Y$3:Y$47)/100*$AD$1</f>
        <v>1.5335999999999999</v>
      </c>
      <c r="BC3" s="755" t="s">
        <v>1098</v>
      </c>
      <c r="BD3" s="756" t="s">
        <v>3</v>
      </c>
      <c r="BE3" s="751">
        <v>20</v>
      </c>
      <c r="BF3" s="751"/>
      <c r="BG3" s="751"/>
      <c r="BH3" s="751">
        <v>20</v>
      </c>
      <c r="BI3" s="751">
        <v>20</v>
      </c>
      <c r="BJ3" s="751">
        <v>20</v>
      </c>
      <c r="BK3" s="751"/>
      <c r="BL3" s="751"/>
      <c r="BM3" s="751">
        <v>20</v>
      </c>
      <c r="BN3" s="751"/>
      <c r="BO3" s="751"/>
      <c r="BP3" s="751"/>
      <c r="BQ3" s="751">
        <v>20</v>
      </c>
      <c r="BR3" s="751">
        <v>20</v>
      </c>
      <c r="BS3" s="751">
        <v>22</v>
      </c>
      <c r="BT3" s="751"/>
      <c r="BU3" s="751"/>
      <c r="BV3" s="751">
        <v>18</v>
      </c>
      <c r="BW3" s="751">
        <v>18</v>
      </c>
      <c r="BX3" s="751">
        <v>18</v>
      </c>
      <c r="BY3" s="751">
        <v>28</v>
      </c>
      <c r="BZ3" s="751"/>
      <c r="CB3" s="755" t="s">
        <v>1098</v>
      </c>
      <c r="CC3" s="756" t="s">
        <v>3</v>
      </c>
      <c r="CD3" s="759">
        <v>22</v>
      </c>
      <c r="CE3" s="759"/>
      <c r="CF3" s="759"/>
      <c r="CG3" s="759">
        <v>22</v>
      </c>
      <c r="CH3" s="759">
        <v>22</v>
      </c>
      <c r="CI3" s="759">
        <v>22</v>
      </c>
      <c r="CJ3" s="759"/>
      <c r="CK3" s="759"/>
      <c r="CL3" s="759">
        <v>22</v>
      </c>
      <c r="CM3" s="759"/>
      <c r="CN3" s="759"/>
      <c r="CO3" s="759"/>
      <c r="CP3" s="759">
        <v>22</v>
      </c>
      <c r="CQ3" s="759">
        <v>22</v>
      </c>
      <c r="CR3" s="751">
        <v>22</v>
      </c>
      <c r="CS3" s="751">
        <v>22</v>
      </c>
      <c r="CT3" s="751">
        <v>22</v>
      </c>
      <c r="CU3" s="759">
        <v>20</v>
      </c>
      <c r="CV3" s="751">
        <v>18</v>
      </c>
      <c r="CW3" s="751">
        <v>18</v>
      </c>
      <c r="CX3" s="751">
        <v>28</v>
      </c>
      <c r="CY3" s="751"/>
      <c r="DB3" s="755" t="s">
        <v>51</v>
      </c>
      <c r="DC3" s="756" t="s">
        <v>134</v>
      </c>
      <c r="DD3" s="751">
        <v>12</v>
      </c>
      <c r="DE3" s="751"/>
      <c r="DF3" s="751"/>
      <c r="DG3" s="751"/>
      <c r="DH3" s="751">
        <v>18</v>
      </c>
      <c r="DI3" s="751">
        <v>4</v>
      </c>
      <c r="DJ3" s="751"/>
      <c r="DK3" s="751"/>
      <c r="DL3" s="751"/>
      <c r="DM3" s="751">
        <v>217</v>
      </c>
      <c r="DN3" s="751">
        <v>5</v>
      </c>
      <c r="DO3" s="751"/>
      <c r="DP3" s="751">
        <v>49</v>
      </c>
      <c r="DQ3" s="750"/>
      <c r="DR3" s="750"/>
      <c r="DS3" s="750"/>
      <c r="DT3" s="750"/>
      <c r="DU3" s="750"/>
      <c r="DV3" s="750"/>
      <c r="DW3" s="750"/>
      <c r="DZ3" s="773" t="s">
        <v>1144</v>
      </c>
      <c r="EA3" s="754" t="s">
        <v>134</v>
      </c>
      <c r="EB3" s="806">
        <v>14</v>
      </c>
      <c r="EC3" s="806"/>
      <c r="ED3" s="806"/>
      <c r="EE3" s="806">
        <v>21</v>
      </c>
      <c r="EF3" s="806">
        <v>33</v>
      </c>
      <c r="EG3" s="806">
        <v>28</v>
      </c>
      <c r="EH3" s="806"/>
      <c r="EI3" s="806"/>
      <c r="EJ3" s="806">
        <v>33</v>
      </c>
      <c r="EK3" s="806"/>
      <c r="EL3" s="806"/>
      <c r="EM3" s="806"/>
      <c r="EN3" s="806">
        <v>45</v>
      </c>
      <c r="EO3" s="806">
        <v>26</v>
      </c>
      <c r="EP3" s="806">
        <v>42</v>
      </c>
      <c r="EQ3" s="806"/>
      <c r="ER3" s="806"/>
      <c r="ES3" s="806">
        <v>13</v>
      </c>
      <c r="ET3" s="806">
        <v>19</v>
      </c>
      <c r="EU3" s="806">
        <v>25</v>
      </c>
      <c r="EX3" s="773" t="s">
        <v>1144</v>
      </c>
      <c r="EY3" s="754" t="s">
        <v>134</v>
      </c>
      <c r="EZ3" s="806">
        <f t="shared" ref="EZ3:FO9" si="15">EB3/2</f>
        <v>7</v>
      </c>
      <c r="FA3" s="806">
        <f t="shared" si="15"/>
        <v>0</v>
      </c>
      <c r="FB3" s="806">
        <f t="shared" si="15"/>
        <v>0</v>
      </c>
      <c r="FC3" s="806">
        <f t="shared" si="15"/>
        <v>10.5</v>
      </c>
      <c r="FD3" s="806">
        <f t="shared" si="15"/>
        <v>16.5</v>
      </c>
      <c r="FE3" s="806">
        <f t="shared" si="15"/>
        <v>14</v>
      </c>
      <c r="FF3" s="806">
        <f t="shared" si="15"/>
        <v>0</v>
      </c>
      <c r="FG3" s="806">
        <f t="shared" si="15"/>
        <v>0</v>
      </c>
      <c r="FH3" s="806">
        <f t="shared" si="15"/>
        <v>16.5</v>
      </c>
      <c r="FI3" s="806">
        <f t="shared" si="15"/>
        <v>0</v>
      </c>
      <c r="FJ3" s="806">
        <f t="shared" si="15"/>
        <v>0</v>
      </c>
      <c r="FK3" s="806">
        <f t="shared" si="15"/>
        <v>0</v>
      </c>
      <c r="FL3" s="806">
        <f t="shared" si="15"/>
        <v>22.5</v>
      </c>
      <c r="FM3" s="806">
        <f t="shared" si="15"/>
        <v>13</v>
      </c>
      <c r="FN3" s="806">
        <f t="shared" si="15"/>
        <v>21</v>
      </c>
      <c r="FO3" s="806">
        <f t="shared" si="15"/>
        <v>0</v>
      </c>
      <c r="FP3" s="806">
        <f t="shared" ref="FK3:FU9" si="16">ER3/2</f>
        <v>0</v>
      </c>
      <c r="FQ3" s="806">
        <f t="shared" si="16"/>
        <v>6.5</v>
      </c>
      <c r="FR3" s="806">
        <f t="shared" si="16"/>
        <v>9.5</v>
      </c>
      <c r="FS3" s="806">
        <f t="shared" si="16"/>
        <v>12.5</v>
      </c>
      <c r="FT3" s="774">
        <f t="shared" si="16"/>
        <v>0</v>
      </c>
      <c r="FU3" s="754">
        <f t="shared" si="16"/>
        <v>0</v>
      </c>
      <c r="FW3" s="773" t="s">
        <v>21</v>
      </c>
      <c r="FX3" s="754" t="s">
        <v>134</v>
      </c>
      <c r="FY3" s="770">
        <f t="shared" ref="FY3:GT3" si="17">AE7/4</f>
        <v>2.0317260432288564</v>
      </c>
      <c r="FZ3" s="808">
        <f t="shared" si="17"/>
        <v>2.9316759727925952</v>
      </c>
      <c r="GA3" s="808">
        <f t="shared" si="17"/>
        <v>3.4677420850142067</v>
      </c>
      <c r="GB3" s="770">
        <f t="shared" si="17"/>
        <v>3.0502648677201059</v>
      </c>
      <c r="GC3" s="770">
        <f t="shared" si="17"/>
        <v>1.8523198919491006</v>
      </c>
      <c r="GD3" s="770">
        <f t="shared" si="17"/>
        <v>2.3483891487356088</v>
      </c>
      <c r="GE3" s="808">
        <f t="shared" si="17"/>
        <v>2.3483891487356088</v>
      </c>
      <c r="GF3" s="808">
        <f t="shared" si="17"/>
        <v>1.9680363234112812</v>
      </c>
      <c r="GG3" s="808">
        <f t="shared" si="17"/>
        <v>0.94965736701929415</v>
      </c>
      <c r="GH3" s="770">
        <f t="shared" si="17"/>
        <v>0.91076575582265462</v>
      </c>
      <c r="GI3" s="770">
        <f t="shared" si="17"/>
        <v>0.94965736701929415</v>
      </c>
      <c r="GJ3" s="770">
        <f t="shared" si="17"/>
        <v>1.0654345604599669</v>
      </c>
      <c r="GK3" s="770">
        <f t="shared" si="17"/>
        <v>2.3325170201539636</v>
      </c>
      <c r="GL3" s="770">
        <f t="shared" si="17"/>
        <v>1.5668063428867471</v>
      </c>
      <c r="GM3" s="770">
        <f t="shared" si="17"/>
        <v>1.7234255283634969</v>
      </c>
      <c r="GN3" s="770">
        <f t="shared" si="17"/>
        <v>1.7111783774138762</v>
      </c>
      <c r="GO3" s="770">
        <f t="shared" si="17"/>
        <v>1.6790094780884079</v>
      </c>
      <c r="GP3" s="770">
        <f t="shared" si="17"/>
        <v>1.8248938807526587</v>
      </c>
      <c r="GQ3" s="770">
        <f t="shared" si="17"/>
        <v>1.8097730027225172</v>
      </c>
      <c r="GR3" s="770">
        <f t="shared" si="17"/>
        <v>4.4599547805917608</v>
      </c>
      <c r="GS3" s="770">
        <f t="shared" si="17"/>
        <v>4.4381503947434373</v>
      </c>
      <c r="GT3" s="770">
        <f t="shared" si="17"/>
        <v>0.3137597996041348</v>
      </c>
      <c r="GV3" s="773" t="s">
        <v>21</v>
      </c>
      <c r="GW3" s="754" t="s">
        <v>134</v>
      </c>
      <c r="GX3" s="724"/>
      <c r="GY3" s="724"/>
      <c r="GZ3" s="724"/>
      <c r="HA3" s="724"/>
      <c r="HB3" s="724"/>
      <c r="HC3" s="724"/>
      <c r="HD3" s="724"/>
      <c r="HE3" s="724"/>
      <c r="HF3" s="724"/>
      <c r="HG3" s="724"/>
      <c r="HH3" s="724"/>
      <c r="HI3" s="724"/>
      <c r="HJ3" s="724"/>
      <c r="HK3" s="724"/>
      <c r="HL3" s="724"/>
      <c r="HM3" s="724"/>
      <c r="HN3" s="724"/>
      <c r="HO3" s="724"/>
      <c r="HP3" s="724"/>
      <c r="HQ3" s="724"/>
      <c r="HR3" s="724"/>
      <c r="HS3" s="724"/>
    </row>
    <row r="4" spans="1:227" s="754" customFormat="1" ht="15.75" customHeight="1">
      <c r="A4" s="1392">
        <f>Eingabedaten!A10</f>
        <v>1.02</v>
      </c>
      <c r="B4" s="750" t="str">
        <f>Eingabedaten!C10</f>
        <v>Wohnen EFH</v>
      </c>
      <c r="C4" s="751" t="s">
        <v>5</v>
      </c>
      <c r="D4" s="753"/>
      <c r="E4" s="753"/>
      <c r="F4" s="753"/>
      <c r="G4" s="752">
        <v>90</v>
      </c>
      <c r="H4" s="753"/>
      <c r="I4" s="753"/>
      <c r="J4" s="753"/>
      <c r="K4" s="753"/>
      <c r="L4" s="753"/>
      <c r="M4" s="753"/>
      <c r="N4" s="753"/>
      <c r="O4" s="753"/>
      <c r="P4" s="753"/>
      <c r="Q4" s="753"/>
      <c r="R4" s="753"/>
      <c r="S4" s="753"/>
      <c r="T4" s="753"/>
      <c r="U4" s="753"/>
      <c r="V4" s="753"/>
      <c r="W4" s="753"/>
      <c r="X4" s="753"/>
      <c r="Y4" s="753"/>
      <c r="AA4" s="769">
        <f>1/Eingabedaten!AP10</f>
        <v>0.02</v>
      </c>
      <c r="AC4" s="773" t="s">
        <v>17</v>
      </c>
      <c r="AD4" s="774" t="s">
        <v>134</v>
      </c>
      <c r="AE4" s="1099">
        <f>SUMPRODUCT(KZ_Raum_2024!$M$7:$M$51,'Fläche-ZW'!D$3:D$47)/100*$AD$1</f>
        <v>0.80216196581196597</v>
      </c>
      <c r="AF4" s="1053">
        <f>SUMPRODUCT(KZ_Raum_2024!$E$7:$E$51,'Fläche-ZW'!E$3:E$47)/100*$AD$1</f>
        <v>2.1526810000000007</v>
      </c>
      <c r="AG4" s="1053">
        <f>SUMPRODUCT(KZ_Raum_2024!$E$7:$E$51,'Fläche-ZW'!F$3:F$47)/100*$AD$1</f>
        <v>4.8560016666666677</v>
      </c>
      <c r="AH4" s="1053">
        <f>SUMPRODUCT(KZ_Raum_2024!$M$7:$M$51,'Fläche-ZW'!G$3:G$47)/100*$AD$1</f>
        <v>0.82553874643874647</v>
      </c>
      <c r="AI4" s="1053">
        <f>SUMPRODUCT(KZ_Raum_2024!$M$7:$M$51,'Fläche-ZW'!H$3:H$47)/100*$AD$1</f>
        <v>1.2562361965811963</v>
      </c>
      <c r="AJ4" s="1053">
        <f>SUMPRODUCT(KZ_Raum_2024!$M$7:$M$51,'Fläche-ZW'!I$3:I$47)/100*$AD$1</f>
        <v>0.99508483923483948</v>
      </c>
      <c r="AK4" s="1053">
        <f>SUMPRODUCT(KZ_Raum_2024!$M$7:$M$51,'Fläche-ZW'!J$3:J$47)/100*$AD$1</f>
        <v>0.99508483923483948</v>
      </c>
      <c r="AL4" s="1053">
        <f>SUMPRODUCT(KZ_Raum_2024!$M$7:$M$51,'Fläche-ZW'!K$3:K$47)/100*$AD$1</f>
        <v>1.521361406186406</v>
      </c>
      <c r="AM4" s="1053">
        <f>SUMPRODUCT(KZ_Raum_2024!$M$7:$M$51,'Fläche-ZW'!L$3:L$47)/100*$AD$1</f>
        <v>14.517997136752136</v>
      </c>
      <c r="AN4" s="1053">
        <f>SUMPRODUCT(KZ_Raum_2024!$M$7:$M$51,'Fläche-ZW'!M$3:M$47)/100*$AD$1</f>
        <v>14.512314031339029</v>
      </c>
      <c r="AO4" s="1053">
        <f>SUMPRODUCT(KZ_Raum_2024!$M$7:$M$51,'Fläche-ZW'!N$3:N$47)/100*$AD$1</f>
        <v>14.517997136752136</v>
      </c>
      <c r="AP4" s="1053">
        <f>SUMPRODUCT(KZ_Raum_2024!$M$7:$M$51,'Fläche-ZW'!O$3:O$47)/100*$AD$1</f>
        <v>11.652166367521367</v>
      </c>
      <c r="AQ4" s="1053">
        <f>SUMPRODUCT(KZ_Raum_2024!$M$7:$M$51,'Fläche-ZW'!P$3:P$47)/100*$AD$1</f>
        <v>2.374415242165242</v>
      </c>
      <c r="AR4" s="1053">
        <f>SUMPRODUCT(KZ_Raum_2024!$M$7:$M$51,'Fläche-ZW'!Q$3:Q$47)/100*$AD$1</f>
        <v>6.0826807692307696</v>
      </c>
      <c r="AS4" s="1053">
        <f>SUMPRODUCT(KZ_Raum_2024!$M$7:$M$51,'Fläche-ZW'!R$3:R$47)/100*$AD$1</f>
        <v>3.2836374643874642</v>
      </c>
      <c r="AT4" s="1053">
        <f>SUMPRODUCT(KZ_Raum_2024!$M$7:$M$51,'Fläche-ZW'!S$3:S$47)/100*$AD$1</f>
        <v>3.6043782051282052</v>
      </c>
      <c r="AU4" s="1053">
        <f>SUMPRODUCT(KZ_Raum_2024!$M$7:$M$51,'Fläche-ZW'!T$3:T$47)/100*$AD$1</f>
        <v>2.9449035612535615</v>
      </c>
      <c r="AV4" s="1053">
        <f>SUMPRODUCT(KZ_Raum_2024!$M$7:$M$51,'Fläche-ZW'!U$3:U$47)/100*$AD$1</f>
        <v>1.8168513247863249</v>
      </c>
      <c r="AW4" s="1053">
        <f>SUMPRODUCT(KZ_Raum_2024!$M$7:$M$51,'Fläche-ZW'!V$3:V$47)/100*$AD$1</f>
        <v>2.9044777136752145</v>
      </c>
      <c r="AX4" s="1053">
        <f>SUMPRODUCT(KZ_Raum_2024!$M$7:$M$51,'Fläche-ZW'!W$3:W$47)/100*$AD$1</f>
        <v>2.5448910256410247</v>
      </c>
      <c r="AY4" s="1054">
        <f>SUMPRODUCT(KZ_Raum_2024!$M$7:$M$51,'Fläche-ZW'!X$3:X$47)/100*$AD$1</f>
        <v>1.8661383190883194</v>
      </c>
      <c r="AZ4" s="1054">
        <f>SUMPRODUCT(KZ_Raum_2024!$E$7:$E$51,'Fläche-ZW'!Y$3:Y$47)/100*$AD$1</f>
        <v>1.1488220170940169</v>
      </c>
      <c r="BC4" s="755" t="s">
        <v>102</v>
      </c>
      <c r="BD4" s="756" t="s">
        <v>103</v>
      </c>
      <c r="BE4" s="751">
        <v>40</v>
      </c>
      <c r="BF4" s="751"/>
      <c r="BG4" s="751"/>
      <c r="BH4" s="751">
        <v>60</v>
      </c>
      <c r="BI4" s="751">
        <v>20</v>
      </c>
      <c r="BJ4" s="751">
        <v>10</v>
      </c>
      <c r="BK4" s="751"/>
      <c r="BL4" s="751"/>
      <c r="BM4" s="751">
        <v>10</v>
      </c>
      <c r="BN4" s="751"/>
      <c r="BO4" s="751"/>
      <c r="BP4" s="751"/>
      <c r="BQ4" s="751">
        <v>5</v>
      </c>
      <c r="BR4" s="751">
        <v>5</v>
      </c>
      <c r="BS4" s="751">
        <v>30</v>
      </c>
      <c r="BT4" s="751"/>
      <c r="BU4" s="751"/>
      <c r="BV4" s="751">
        <v>30</v>
      </c>
      <c r="BW4" s="751">
        <v>100</v>
      </c>
      <c r="BX4" s="751">
        <v>20</v>
      </c>
      <c r="BY4" s="751">
        <v>20</v>
      </c>
      <c r="BZ4" s="751"/>
      <c r="CB4" s="755" t="s">
        <v>102</v>
      </c>
      <c r="CC4" s="756" t="s">
        <v>103</v>
      </c>
      <c r="CD4" s="759">
        <f>ROUND(AE29*2,-1)/2</f>
        <v>50</v>
      </c>
      <c r="CE4" s="759"/>
      <c r="CF4" s="751"/>
      <c r="CG4" s="759">
        <f t="shared" ref="CG4:CX4" si="18">ROUND(AH29*2,-1)/2</f>
        <v>70</v>
      </c>
      <c r="CH4" s="759">
        <f t="shared" si="18"/>
        <v>25</v>
      </c>
      <c r="CI4" s="751">
        <f t="shared" si="18"/>
        <v>10</v>
      </c>
      <c r="CJ4" s="751">
        <f t="shared" si="18"/>
        <v>10</v>
      </c>
      <c r="CK4" s="751">
        <f t="shared" si="18"/>
        <v>10</v>
      </c>
      <c r="CL4" s="759">
        <f t="shared" si="18"/>
        <v>15</v>
      </c>
      <c r="CM4" s="751">
        <f t="shared" si="18"/>
        <v>15</v>
      </c>
      <c r="CN4" s="751">
        <f t="shared" si="18"/>
        <v>15</v>
      </c>
      <c r="CO4" s="751">
        <f t="shared" si="18"/>
        <v>30</v>
      </c>
      <c r="CP4" s="751">
        <f t="shared" si="18"/>
        <v>5</v>
      </c>
      <c r="CQ4" s="751">
        <f t="shared" si="18"/>
        <v>5</v>
      </c>
      <c r="CR4" s="758">
        <f t="shared" si="18"/>
        <v>20</v>
      </c>
      <c r="CS4" s="758">
        <f t="shared" si="18"/>
        <v>15</v>
      </c>
      <c r="CT4" s="758">
        <f t="shared" si="18"/>
        <v>20</v>
      </c>
      <c r="CU4" s="751">
        <f t="shared" si="18"/>
        <v>30</v>
      </c>
      <c r="CV4" s="758">
        <f t="shared" si="18"/>
        <v>60</v>
      </c>
      <c r="CW4" s="759">
        <f t="shared" si="18"/>
        <v>40</v>
      </c>
      <c r="CX4" s="751">
        <f t="shared" si="18"/>
        <v>20</v>
      </c>
      <c r="CY4" s="751"/>
      <c r="DB4" s="755" t="s">
        <v>17</v>
      </c>
      <c r="DC4" s="756" t="s">
        <v>134</v>
      </c>
      <c r="DD4" s="751">
        <v>2</v>
      </c>
      <c r="DE4" s="751"/>
      <c r="DF4" s="751"/>
      <c r="DG4" s="751"/>
      <c r="DH4" s="751">
        <v>7</v>
      </c>
      <c r="DI4" s="751">
        <v>5</v>
      </c>
      <c r="DJ4" s="751"/>
      <c r="DK4" s="751"/>
      <c r="DL4" s="751"/>
      <c r="DM4" s="751">
        <v>20</v>
      </c>
      <c r="DN4" s="751">
        <v>30</v>
      </c>
      <c r="DO4" s="751"/>
      <c r="DP4" s="751">
        <v>7</v>
      </c>
      <c r="DQ4" s="750"/>
      <c r="DR4" s="750"/>
      <c r="DS4" s="750"/>
      <c r="DT4" s="750"/>
      <c r="DU4" s="750"/>
      <c r="DV4" s="750"/>
      <c r="DW4" s="750"/>
      <c r="DZ4" s="773" t="s">
        <v>1145</v>
      </c>
      <c r="EA4" s="754" t="s">
        <v>134</v>
      </c>
      <c r="EB4" s="769">
        <v>21</v>
      </c>
      <c r="EC4" s="769"/>
      <c r="ED4" s="769"/>
      <c r="EE4" s="769">
        <v>14</v>
      </c>
      <c r="EF4" s="769">
        <v>7</v>
      </c>
      <c r="EG4" s="769">
        <v>7</v>
      </c>
      <c r="EH4" s="769"/>
      <c r="EI4" s="769"/>
      <c r="EJ4" s="769">
        <v>7</v>
      </c>
      <c r="EK4" s="769"/>
      <c r="EL4" s="769"/>
      <c r="EM4" s="769"/>
      <c r="EN4" s="769">
        <v>0</v>
      </c>
      <c r="EO4" s="769">
        <v>14</v>
      </c>
      <c r="EP4" s="769">
        <v>28</v>
      </c>
      <c r="EQ4" s="769"/>
      <c r="ER4" s="769"/>
      <c r="ES4" s="769">
        <v>7</v>
      </c>
      <c r="ET4" s="769">
        <v>1</v>
      </c>
      <c r="EU4" s="769">
        <v>0</v>
      </c>
      <c r="EX4" s="773" t="s">
        <v>1145</v>
      </c>
      <c r="EY4" s="754" t="s">
        <v>134</v>
      </c>
      <c r="EZ4" s="769">
        <f t="shared" si="15"/>
        <v>10.5</v>
      </c>
      <c r="FA4" s="769">
        <f t="shared" si="15"/>
        <v>0</v>
      </c>
      <c r="FB4" s="769">
        <f t="shared" si="15"/>
        <v>0</v>
      </c>
      <c r="FC4" s="769">
        <f t="shared" si="15"/>
        <v>7</v>
      </c>
      <c r="FD4" s="769">
        <f t="shared" si="15"/>
        <v>3.5</v>
      </c>
      <c r="FE4" s="769">
        <f t="shared" si="15"/>
        <v>3.5</v>
      </c>
      <c r="FF4" s="769">
        <f t="shared" si="15"/>
        <v>0</v>
      </c>
      <c r="FG4" s="769">
        <f t="shared" si="15"/>
        <v>0</v>
      </c>
      <c r="FH4" s="769">
        <f t="shared" si="15"/>
        <v>3.5</v>
      </c>
      <c r="FI4" s="769">
        <f t="shared" si="15"/>
        <v>0</v>
      </c>
      <c r="FJ4" s="769">
        <f t="shared" si="15"/>
        <v>0</v>
      </c>
      <c r="FK4" s="769">
        <f t="shared" si="16"/>
        <v>0</v>
      </c>
      <c r="FL4" s="769">
        <f t="shared" si="16"/>
        <v>0</v>
      </c>
      <c r="FM4" s="769">
        <f t="shared" si="16"/>
        <v>7</v>
      </c>
      <c r="FN4" s="769">
        <f t="shared" si="16"/>
        <v>14</v>
      </c>
      <c r="FO4" s="769">
        <f t="shared" si="16"/>
        <v>0</v>
      </c>
      <c r="FP4" s="769">
        <f t="shared" si="16"/>
        <v>0</v>
      </c>
      <c r="FQ4" s="769">
        <f t="shared" si="16"/>
        <v>3.5</v>
      </c>
      <c r="FR4" s="769">
        <f t="shared" si="16"/>
        <v>0.5</v>
      </c>
      <c r="FS4" s="769">
        <f t="shared" si="16"/>
        <v>0</v>
      </c>
      <c r="FT4" s="774">
        <f t="shared" si="16"/>
        <v>0</v>
      </c>
      <c r="FU4" s="754">
        <f t="shared" si="16"/>
        <v>0</v>
      </c>
      <c r="FW4" s="773" t="s">
        <v>1145</v>
      </c>
      <c r="FX4" s="754" t="s">
        <v>134</v>
      </c>
      <c r="FY4" s="770">
        <f t="shared" ref="FY4:GT4" si="19">AE8/0.67/3</f>
        <v>5.7295920398009956</v>
      </c>
      <c r="FZ4" s="808">
        <f t="shared" si="19"/>
        <v>5.7295920398009956</v>
      </c>
      <c r="GA4" s="808">
        <f t="shared" si="19"/>
        <v>8.7022040274816401</v>
      </c>
      <c r="GB4" s="770">
        <f t="shared" si="19"/>
        <v>4.8533014925373132</v>
      </c>
      <c r="GC4" s="770">
        <f t="shared" si="19"/>
        <v>0.6300506609808102</v>
      </c>
      <c r="GD4" s="770">
        <f t="shared" si="19"/>
        <v>0.82540545223004358</v>
      </c>
      <c r="GE4" s="808">
        <f t="shared" si="19"/>
        <v>0.82540545223004358</v>
      </c>
      <c r="GF4" s="808">
        <f t="shared" si="19"/>
        <v>0.64018304430878881</v>
      </c>
      <c r="GG4" s="770">
        <f t="shared" si="19"/>
        <v>0.70193603411513872</v>
      </c>
      <c r="GH4" s="770">
        <f t="shared" si="19"/>
        <v>0.70193603411513872</v>
      </c>
      <c r="GI4" s="770">
        <f t="shared" si="19"/>
        <v>0.70193603411513872</v>
      </c>
      <c r="GJ4" s="770">
        <f t="shared" si="19"/>
        <v>0.39846618336887002</v>
      </c>
      <c r="GK4" s="770">
        <f t="shared" si="19"/>
        <v>21.72806140724947</v>
      </c>
      <c r="GL4" s="770">
        <f t="shared" si="19"/>
        <v>1.7857569296375269</v>
      </c>
      <c r="GM4" s="770">
        <f t="shared" si="19"/>
        <v>10.836757924662402</v>
      </c>
      <c r="GN4" s="770">
        <f t="shared" si="19"/>
        <v>9.4886186211798158</v>
      </c>
      <c r="GO4" s="770">
        <f t="shared" si="19"/>
        <v>13.533036531627578</v>
      </c>
      <c r="GP4" s="770">
        <f t="shared" si="19"/>
        <v>0.6300506609808102</v>
      </c>
      <c r="GQ4" s="770">
        <f t="shared" si="19"/>
        <v>0.30469663113006401</v>
      </c>
      <c r="GR4" s="770">
        <f t="shared" si="19"/>
        <v>15.159417902269473</v>
      </c>
      <c r="GS4" s="770">
        <f t="shared" si="19"/>
        <v>34.733912153518133</v>
      </c>
      <c r="GT4" s="770">
        <f t="shared" si="19"/>
        <v>0</v>
      </c>
      <c r="GV4" s="773" t="s">
        <v>1145</v>
      </c>
      <c r="GW4" s="754" t="s">
        <v>134</v>
      </c>
      <c r="GX4" s="724"/>
      <c r="GY4" s="724"/>
      <c r="GZ4" s="724"/>
      <c r="HA4" s="724"/>
      <c r="HB4" s="724"/>
      <c r="HC4" s="724"/>
      <c r="HD4" s="724"/>
      <c r="HE4" s="724"/>
      <c r="HF4" s="724"/>
      <c r="HG4" s="724"/>
      <c r="HH4" s="724"/>
      <c r="HI4" s="724"/>
      <c r="HJ4" s="724"/>
      <c r="HK4" s="724"/>
      <c r="HL4" s="724"/>
      <c r="HM4" s="724"/>
      <c r="HN4" s="724"/>
      <c r="HO4" s="724"/>
      <c r="HP4" s="724"/>
      <c r="HQ4" s="724"/>
      <c r="HR4" s="724"/>
      <c r="HS4" s="724"/>
    </row>
    <row r="5" spans="1:227" s="754" customFormat="1" ht="15.75" customHeight="1">
      <c r="A5" s="1392">
        <f>Eingabedaten!A11</f>
        <v>2.0099999999999998</v>
      </c>
      <c r="B5" s="750" t="str">
        <f>Eingabedaten!C11</f>
        <v xml:space="preserve">Hotelzimmer </v>
      </c>
      <c r="C5" s="751" t="s">
        <v>5</v>
      </c>
      <c r="D5" s="753"/>
      <c r="E5" s="753"/>
      <c r="F5" s="752">
        <v>55</v>
      </c>
      <c r="G5" s="753"/>
      <c r="H5" s="753"/>
      <c r="I5" s="753"/>
      <c r="J5" s="753"/>
      <c r="K5" s="753"/>
      <c r="L5" s="753"/>
      <c r="M5" s="753"/>
      <c r="N5" s="753"/>
      <c r="O5" s="753"/>
      <c r="P5" s="753"/>
      <c r="Q5" s="753"/>
      <c r="R5" s="753"/>
      <c r="S5" s="753"/>
      <c r="T5" s="753"/>
      <c r="U5" s="753"/>
      <c r="V5" s="753"/>
      <c r="W5" s="753"/>
      <c r="X5" s="753"/>
      <c r="Y5" s="753"/>
      <c r="AA5" s="769">
        <f>1/Eingabedaten!AP11</f>
        <v>6.6666666666666666E-2</v>
      </c>
      <c r="AC5" s="773" t="s">
        <v>19</v>
      </c>
      <c r="AD5" s="774" t="s">
        <v>134</v>
      </c>
      <c r="AE5" s="1099">
        <f>SUMPRODUCT(KZ_Raum_2024!$N$7:$N$51,'Fläche-ZW'!D$3:D$47)/100*$AD$1</f>
        <v>1.2390284000000003</v>
      </c>
      <c r="AF5" s="1053">
        <f>SUMPRODUCT(KZ_Raum_2024!$F$7:$F$51,'Fläche-ZW'!E$3:E$47)/100*$AD$1</f>
        <v>2.7887072000000006</v>
      </c>
      <c r="AG5" s="1053">
        <f>SUMPRODUCT(KZ_Raum_2024!$F$7:$F$51,'Fläche-ZW'!F$3:F$47)/100*$AD$1</f>
        <v>4.6930259047619058</v>
      </c>
      <c r="AH5" s="1053">
        <f>SUMPRODUCT(KZ_Raum_2024!$N$7:$N$51,'Fläche-ZW'!G$3:G$47)/100*$AD$1</f>
        <v>0.61041411199999995</v>
      </c>
      <c r="AI5" s="1053">
        <f>SUMPRODUCT(KZ_Raum_2024!$N$7:$N$51,'Fläche-ZW'!H$3:H$47)/100*$AD$1</f>
        <v>1.3441032876190475</v>
      </c>
      <c r="AJ5" s="1053">
        <f>SUMPRODUCT(KZ_Raum_2024!$N$7:$N$51,'Fläche-ZW'!I$3:I$47)/100*$AD$1</f>
        <v>1.3628216342857147</v>
      </c>
      <c r="AK5" s="1053">
        <f>SUMPRODUCT(KZ_Raum_2024!$N$7:$N$51,'Fläche-ZW'!J$3:J$47)/100*$AD$1</f>
        <v>1.3628216342857147</v>
      </c>
      <c r="AL5" s="1053">
        <f>SUMPRODUCT(KZ_Raum_2024!$N$7:$N$51,'Fläche-ZW'!K$3:K$47)/100*$AD$1</f>
        <v>1.8935002019047624</v>
      </c>
      <c r="AM5" s="1053">
        <f>SUMPRODUCT(KZ_Raum_2024!$N$7:$N$51,'Fläche-ZW'!L$3:L$47)/100*$AD$1</f>
        <v>1.6159523542857142</v>
      </c>
      <c r="AN5" s="1053">
        <f>SUMPRODUCT(KZ_Raum_2024!$N$7:$N$51,'Fläche-ZW'!M$3:M$47)/100*$AD$1</f>
        <v>1.6138142742857142</v>
      </c>
      <c r="AO5" s="1053">
        <f>SUMPRODUCT(KZ_Raum_2024!$N$7:$N$51,'Fläche-ZW'!N$3:N$47)/100*$AD$1</f>
        <v>1.6159523542857142</v>
      </c>
      <c r="AP5" s="1053">
        <f>SUMPRODUCT(KZ_Raum_2024!$N$7:$N$51,'Fläche-ZW'!O$3:O$47)/100*$AD$1</f>
        <v>1.3304067542857143</v>
      </c>
      <c r="AQ5" s="1053">
        <f>SUMPRODUCT(KZ_Raum_2024!$N$7:$N$51,'Fläche-ZW'!P$3:P$47)/100*$AD$1</f>
        <v>4.1078234742857154</v>
      </c>
      <c r="AR5" s="1053">
        <f>SUMPRODUCT(KZ_Raum_2024!$N$7:$N$51,'Fläche-ZW'!Q$3:Q$47)/100*$AD$1</f>
        <v>4.574929714285715</v>
      </c>
      <c r="AS5" s="1053">
        <f>SUMPRODUCT(KZ_Raum_2024!$N$7:$N$51,'Fläche-ZW'!R$3:R$47)/100*$AD$1</f>
        <v>2.8070022476190482</v>
      </c>
      <c r="AT5" s="1053">
        <f>SUMPRODUCT(KZ_Raum_2024!$N$7:$N$51,'Fläche-ZW'!S$3:S$47)/100*$AD$1</f>
        <v>2.7454758476190477</v>
      </c>
      <c r="AU5" s="1053">
        <f>SUMPRODUCT(KZ_Raum_2024!$N$7:$N$51,'Fläche-ZW'!T$3:T$47)/100*$AD$1</f>
        <v>3.083422247619048</v>
      </c>
      <c r="AV5" s="1053">
        <f>SUMPRODUCT(KZ_Raum_2024!$N$7:$N$51,'Fläche-ZW'!U$3:U$47)/100*$AD$1</f>
        <v>1.1551397498412701</v>
      </c>
      <c r="AW5" s="1053">
        <f>SUMPRODUCT(KZ_Raum_2024!$N$7:$N$51,'Fläche-ZW'!V$3:V$47)/100*$AD$1</f>
        <v>0.75148356095238134</v>
      </c>
      <c r="AX5" s="1053">
        <f>SUMPRODUCT(KZ_Raum_2024!$N$7:$N$51,'Fläche-ZW'!W$3:W$47)/100*$AD$1</f>
        <v>1.3501816</v>
      </c>
      <c r="AY5" s="1054">
        <f>SUMPRODUCT(KZ_Raum_2024!$N$7:$N$51,'Fläche-ZW'!X$3:X$47)/100*$AD$1</f>
        <v>3.0589409142857154</v>
      </c>
      <c r="AZ5" s="876">
        <f>SUMPRODUCT(KZ_Raum_2024!$F$7:$F$51,'Fläche-ZW'!Y$3:Y$47)/100*$AD$1</f>
        <v>7.3372000000000021E-2</v>
      </c>
      <c r="BC5" s="755" t="s">
        <v>1059</v>
      </c>
      <c r="BD5" s="756" t="s">
        <v>319</v>
      </c>
      <c r="BE5" s="751">
        <v>70</v>
      </c>
      <c r="BF5" s="751"/>
      <c r="BG5" s="751"/>
      <c r="BH5" s="751">
        <v>70</v>
      </c>
      <c r="BI5" s="751">
        <v>80</v>
      </c>
      <c r="BJ5" s="751">
        <v>70</v>
      </c>
      <c r="BK5" s="751"/>
      <c r="BL5" s="751"/>
      <c r="BM5" s="751">
        <v>90</v>
      </c>
      <c r="BN5" s="751"/>
      <c r="BO5" s="751"/>
      <c r="BP5" s="751"/>
      <c r="BQ5" s="751">
        <v>100</v>
      </c>
      <c r="BR5" s="751">
        <v>80</v>
      </c>
      <c r="BS5" s="751">
        <v>80</v>
      </c>
      <c r="BT5" s="751"/>
      <c r="BU5" s="751"/>
      <c r="BV5" s="751">
        <v>100</v>
      </c>
      <c r="BW5" s="751">
        <v>100</v>
      </c>
      <c r="BX5" s="751">
        <v>100</v>
      </c>
      <c r="BY5" s="751">
        <v>60</v>
      </c>
      <c r="BZ5" s="751"/>
      <c r="CB5" s="755" t="s">
        <v>1059</v>
      </c>
      <c r="CC5" s="756" t="s">
        <v>319</v>
      </c>
      <c r="CD5" s="760">
        <f>ROUND(AE31,-1)</f>
        <v>70</v>
      </c>
      <c r="CE5" s="761"/>
      <c r="CF5" s="758"/>
      <c r="CG5" s="751">
        <f>ROUND(AH31,-1)</f>
        <v>70</v>
      </c>
      <c r="CH5" s="759">
        <f>ROUND(AI31,-1)</f>
        <v>70</v>
      </c>
      <c r="CI5" s="751">
        <f>ROUND(AJ31,-1)</f>
        <v>70</v>
      </c>
      <c r="CJ5" s="758"/>
      <c r="CK5" s="758"/>
      <c r="CL5" s="759">
        <f t="shared" ref="CL5:CX5" si="20">ROUND(AM31,-1)</f>
        <v>70</v>
      </c>
      <c r="CM5" s="759">
        <f t="shared" si="20"/>
        <v>70</v>
      </c>
      <c r="CN5" s="759">
        <f t="shared" si="20"/>
        <v>70</v>
      </c>
      <c r="CO5" s="759">
        <f t="shared" si="20"/>
        <v>70</v>
      </c>
      <c r="CP5" s="759">
        <f t="shared" si="20"/>
        <v>70</v>
      </c>
      <c r="CQ5" s="759">
        <f t="shared" si="20"/>
        <v>70</v>
      </c>
      <c r="CR5" s="759">
        <f t="shared" si="20"/>
        <v>70</v>
      </c>
      <c r="CS5" s="759">
        <f t="shared" si="20"/>
        <v>70</v>
      </c>
      <c r="CT5" s="759">
        <f t="shared" si="20"/>
        <v>70</v>
      </c>
      <c r="CU5" s="759">
        <f t="shared" si="20"/>
        <v>70</v>
      </c>
      <c r="CV5" s="761">
        <f>ROUND(AW31,-1)</f>
        <v>120</v>
      </c>
      <c r="CW5" s="758">
        <f t="shared" si="20"/>
        <v>180</v>
      </c>
      <c r="CX5" s="758">
        <f t="shared" si="20"/>
        <v>70</v>
      </c>
      <c r="CY5" s="758"/>
      <c r="DB5" s="755" t="s">
        <v>19</v>
      </c>
      <c r="DC5" s="756" t="s">
        <v>134</v>
      </c>
      <c r="DD5" s="751">
        <v>3</v>
      </c>
      <c r="DE5" s="751"/>
      <c r="DF5" s="751"/>
      <c r="DG5" s="751"/>
      <c r="DH5" s="751">
        <v>4</v>
      </c>
      <c r="DI5" s="751">
        <v>4</v>
      </c>
      <c r="DJ5" s="751"/>
      <c r="DK5" s="751"/>
      <c r="DL5" s="751"/>
      <c r="DM5" s="751">
        <v>5</v>
      </c>
      <c r="DN5" s="751">
        <v>5</v>
      </c>
      <c r="DO5" s="751"/>
      <c r="DP5" s="751">
        <v>11</v>
      </c>
      <c r="DQ5" s="750"/>
      <c r="DR5" s="750"/>
      <c r="DS5" s="750"/>
      <c r="DT5" s="750"/>
      <c r="DU5" s="750"/>
      <c r="DV5" s="750"/>
      <c r="DW5" s="750"/>
      <c r="DZ5" s="773" t="s">
        <v>51</v>
      </c>
      <c r="EA5" s="754" t="s">
        <v>134</v>
      </c>
      <c r="EB5" s="769">
        <v>37</v>
      </c>
      <c r="EC5" s="769"/>
      <c r="ED5" s="769"/>
      <c r="EE5" s="769">
        <v>35</v>
      </c>
      <c r="EF5" s="769">
        <v>65</v>
      </c>
      <c r="EG5" s="769">
        <v>14</v>
      </c>
      <c r="EH5" s="769"/>
      <c r="EI5" s="769"/>
      <c r="EJ5" s="769">
        <v>29</v>
      </c>
      <c r="EK5" s="769"/>
      <c r="EL5" s="769"/>
      <c r="EM5" s="769"/>
      <c r="EN5" s="769">
        <v>43</v>
      </c>
      <c r="EO5" s="769">
        <v>7</v>
      </c>
      <c r="EP5" s="769">
        <v>29</v>
      </c>
      <c r="EQ5" s="769"/>
      <c r="ER5" s="769"/>
      <c r="ES5" s="769">
        <v>29</v>
      </c>
      <c r="ET5" s="769">
        <v>7</v>
      </c>
      <c r="EU5" s="769">
        <v>7</v>
      </c>
      <c r="EX5" s="773" t="s">
        <v>51</v>
      </c>
      <c r="EY5" s="754" t="s">
        <v>134</v>
      </c>
      <c r="EZ5" s="769">
        <f t="shared" si="15"/>
        <v>18.5</v>
      </c>
      <c r="FA5" s="769">
        <f t="shared" si="15"/>
        <v>0</v>
      </c>
      <c r="FB5" s="769">
        <f t="shared" si="15"/>
        <v>0</v>
      </c>
      <c r="FC5" s="769">
        <f t="shared" si="15"/>
        <v>17.5</v>
      </c>
      <c r="FD5" s="769">
        <f t="shared" si="15"/>
        <v>32.5</v>
      </c>
      <c r="FE5" s="769">
        <f t="shared" si="15"/>
        <v>7</v>
      </c>
      <c r="FF5" s="769">
        <f t="shared" si="15"/>
        <v>0</v>
      </c>
      <c r="FG5" s="769">
        <f t="shared" si="15"/>
        <v>0</v>
      </c>
      <c r="FH5" s="769">
        <f t="shared" si="15"/>
        <v>14.5</v>
      </c>
      <c r="FI5" s="769">
        <f t="shared" si="15"/>
        <v>0</v>
      </c>
      <c r="FJ5" s="769">
        <f t="shared" si="15"/>
        <v>0</v>
      </c>
      <c r="FK5" s="769">
        <f t="shared" si="16"/>
        <v>0</v>
      </c>
      <c r="FL5" s="769">
        <f t="shared" si="16"/>
        <v>21.5</v>
      </c>
      <c r="FM5" s="769">
        <f t="shared" si="16"/>
        <v>3.5</v>
      </c>
      <c r="FN5" s="769">
        <f t="shared" si="16"/>
        <v>14.5</v>
      </c>
      <c r="FO5" s="769">
        <f t="shared" si="16"/>
        <v>0</v>
      </c>
      <c r="FP5" s="769">
        <f t="shared" si="16"/>
        <v>0</v>
      </c>
      <c r="FQ5" s="769">
        <f t="shared" si="16"/>
        <v>14.5</v>
      </c>
      <c r="FR5" s="769">
        <f t="shared" si="16"/>
        <v>3.5</v>
      </c>
      <c r="FS5" s="769">
        <f t="shared" si="16"/>
        <v>3.5</v>
      </c>
      <c r="FT5" s="774">
        <f t="shared" si="16"/>
        <v>0</v>
      </c>
      <c r="FU5" s="754">
        <f t="shared" si="16"/>
        <v>0</v>
      </c>
      <c r="FW5" s="775" t="s">
        <v>19</v>
      </c>
      <c r="FX5" s="754" t="s">
        <v>134</v>
      </c>
      <c r="FY5" s="808">
        <f t="shared" ref="FY5:GT5" si="21">AE5</f>
        <v>1.2390284000000003</v>
      </c>
      <c r="FZ5" s="808">
        <f t="shared" si="21"/>
        <v>2.7887072000000006</v>
      </c>
      <c r="GA5" s="808">
        <f t="shared" si="21"/>
        <v>4.6930259047619058</v>
      </c>
      <c r="GB5" s="808">
        <f t="shared" si="21"/>
        <v>0.61041411199999995</v>
      </c>
      <c r="GC5" s="808">
        <f t="shared" si="21"/>
        <v>1.3441032876190475</v>
      </c>
      <c r="GD5" s="808">
        <f t="shared" si="21"/>
        <v>1.3628216342857147</v>
      </c>
      <c r="GE5" s="808">
        <f t="shared" si="21"/>
        <v>1.3628216342857147</v>
      </c>
      <c r="GF5" s="808">
        <f t="shared" si="21"/>
        <v>1.8935002019047624</v>
      </c>
      <c r="GG5" s="808">
        <f t="shared" si="21"/>
        <v>1.6159523542857142</v>
      </c>
      <c r="GH5" s="808">
        <f t="shared" si="21"/>
        <v>1.6138142742857142</v>
      </c>
      <c r="GI5" s="808">
        <f t="shared" si="21"/>
        <v>1.6159523542857142</v>
      </c>
      <c r="GJ5" s="808">
        <f t="shared" si="21"/>
        <v>1.3304067542857143</v>
      </c>
      <c r="GK5" s="808">
        <f t="shared" si="21"/>
        <v>4.1078234742857154</v>
      </c>
      <c r="GL5" s="808">
        <f t="shared" si="21"/>
        <v>4.574929714285715</v>
      </c>
      <c r="GM5" s="808">
        <f t="shared" si="21"/>
        <v>2.8070022476190482</v>
      </c>
      <c r="GN5" s="808">
        <f t="shared" si="21"/>
        <v>2.7454758476190477</v>
      </c>
      <c r="GO5" s="808">
        <f t="shared" si="21"/>
        <v>3.083422247619048</v>
      </c>
      <c r="GP5" s="808">
        <f t="shared" si="21"/>
        <v>1.1551397498412701</v>
      </c>
      <c r="GQ5" s="808">
        <f t="shared" si="21"/>
        <v>0.75148356095238134</v>
      </c>
      <c r="GR5" s="808">
        <f t="shared" si="21"/>
        <v>1.3501816</v>
      </c>
      <c r="GS5" s="808">
        <f t="shared" si="21"/>
        <v>3.0589409142857154</v>
      </c>
      <c r="GT5" s="808">
        <f t="shared" si="21"/>
        <v>7.3372000000000021E-2</v>
      </c>
      <c r="GV5" s="775" t="s">
        <v>1297</v>
      </c>
      <c r="GW5" s="754" t="s">
        <v>134</v>
      </c>
      <c r="GX5" s="724"/>
      <c r="GY5" s="1115"/>
      <c r="GZ5" s="1115"/>
      <c r="HA5" s="1115"/>
      <c r="HB5" s="1115"/>
      <c r="HC5" s="1115"/>
      <c r="HD5" s="1115"/>
      <c r="HE5" s="1115"/>
      <c r="HF5" s="1115"/>
      <c r="HG5" s="1115"/>
      <c r="HH5" s="1115"/>
      <c r="HI5" s="1115"/>
      <c r="HJ5" s="1115"/>
      <c r="HK5" s="1115"/>
      <c r="HL5" s="1115"/>
      <c r="HM5" s="1115"/>
      <c r="HN5" s="1115"/>
      <c r="HO5" s="1115"/>
      <c r="HP5" s="1115"/>
      <c r="HQ5" s="1115"/>
      <c r="HR5" s="1115"/>
      <c r="HS5" s="1115"/>
    </row>
    <row r="6" spans="1:227" s="754" customFormat="1" ht="15.75" customHeight="1">
      <c r="A6" s="1392">
        <f>Eingabedaten!A12</f>
        <v>2.02</v>
      </c>
      <c r="B6" s="750" t="str">
        <f>Eingabedaten!C12</f>
        <v>Empfang, Lobby</v>
      </c>
      <c r="C6" s="751" t="s">
        <v>5</v>
      </c>
      <c r="D6" s="753"/>
      <c r="E6" s="753"/>
      <c r="F6" s="752">
        <v>5</v>
      </c>
      <c r="G6" s="753"/>
      <c r="H6" s="753"/>
      <c r="I6" s="753"/>
      <c r="J6" s="753"/>
      <c r="K6" s="752">
        <v>5</v>
      </c>
      <c r="L6" s="753"/>
      <c r="M6" s="753"/>
      <c r="N6" s="753"/>
      <c r="O6" s="753"/>
      <c r="P6" s="753"/>
      <c r="Q6" s="753"/>
      <c r="R6" s="753"/>
      <c r="S6" s="753"/>
      <c r="T6" s="753"/>
      <c r="U6" s="753"/>
      <c r="V6" s="753"/>
      <c r="W6" s="753"/>
      <c r="X6" s="753"/>
      <c r="Y6" s="753"/>
      <c r="AA6" s="769">
        <f>1/Eingabedaten!AP12</f>
        <v>0.2</v>
      </c>
      <c r="AC6" s="773" t="s">
        <v>463</v>
      </c>
      <c r="AD6" s="774" t="s">
        <v>134</v>
      </c>
      <c r="AE6" s="1099">
        <f>SUMPRODUCT(KZ_Raum_2024!$O$7:$O$51,'Fläche-ZW'!D$3:D$47)/100*$AD$1</f>
        <v>1.8750312159711584</v>
      </c>
      <c r="AF6" s="1053">
        <f>SUMPRODUCT(KZ_Raum_2024!$G$7:$G$51,'Fläche-ZW'!E$3:E$47)/100*$AD$1</f>
        <v>3.3889639654036778</v>
      </c>
      <c r="AG6" s="1053">
        <f>SUMPRODUCT(KZ_Raum_2024!$G$7:$G$51,'Fläche-ZW'!F$3:F$47)/100*$AD$1</f>
        <v>4.7381022785109517</v>
      </c>
      <c r="AH6" s="1053">
        <f>SUMPRODUCT(KZ_Raum_2024!$O$7:$O$51,'Fläche-ZW'!G$3:G$47)/100*$AD$1</f>
        <v>0.72702775113040485</v>
      </c>
      <c r="AI6" s="1053">
        <f>SUMPRODUCT(KZ_Raum_2024!$O$7:$O$51,'Fläche-ZW'!H$3:H$47)/100*$AD$1</f>
        <v>3.4427295961817279</v>
      </c>
      <c r="AJ6" s="1053">
        <f>SUMPRODUCT(KZ_Raum_2024!$O$7:$O$51,'Fläche-ZW'!I$3:I$47)/100*$AD$1</f>
        <v>2.6699995175456892</v>
      </c>
      <c r="AK6" s="1053">
        <f>SUMPRODUCT(KZ_Raum_2024!$O$7:$O$51,'Fläche-ZW'!J$3:J$47)/100*$AD$1</f>
        <v>2.6699995175456892</v>
      </c>
      <c r="AL6" s="1053">
        <f>SUMPRODUCT(KZ_Raum_2024!$O$7:$O$51,'Fläche-ZW'!K$3:K$47)/100*$AD$1</f>
        <v>4.3604443990073447</v>
      </c>
      <c r="AM6" s="1053">
        <f>SUMPRODUCT(KZ_Raum_2024!$O$7:$O$51,'Fläche-ZW'!L$3:L$47)/100*$AD$1</f>
        <v>11.05409373138259</v>
      </c>
      <c r="AN6" s="1053">
        <f>SUMPRODUCT(KZ_Raum_2024!$O$7:$O$51,'Fläche-ZW'!M$3:M$47)/100*$AD$1</f>
        <v>11.236493731382589</v>
      </c>
      <c r="AO6" s="1053">
        <f>SUMPRODUCT(KZ_Raum_2024!$O$7:$O$51,'Fläche-ZW'!N$3:N$47)/100*$AD$1</f>
        <v>11.05409373138259</v>
      </c>
      <c r="AP6" s="1053">
        <f>SUMPRODUCT(KZ_Raum_2024!$O$7:$O$51,'Fläche-ZW'!O$3:O$47)/100*$AD$1</f>
        <v>5.1923695794190783</v>
      </c>
      <c r="AQ6" s="1053">
        <f>SUMPRODUCT(KZ_Raum_2024!$O$7:$O$51,'Fläche-ZW'!P$3:P$47)/100*$AD$1</f>
        <v>4.7731405574227415</v>
      </c>
      <c r="AR6" s="1053">
        <f>SUMPRODUCT(KZ_Raum_2024!$O$7:$O$51,'Fläche-ZW'!Q$3:Q$47)/100*$AD$1</f>
        <v>10.53191730434</v>
      </c>
      <c r="AS6" s="1053">
        <f>SUMPRODUCT(KZ_Raum_2024!$O$7:$O$51,'Fläche-ZW'!R$3:R$47)/100*$AD$1</f>
        <v>7.3347532646103959</v>
      </c>
      <c r="AT6" s="1053">
        <f>SUMPRODUCT(KZ_Raum_2024!$O$7:$O$51,'Fläche-ZW'!S$3:S$47)/100*$AD$1</f>
        <v>7.5542592322782767</v>
      </c>
      <c r="AU6" s="1053">
        <f>SUMPRODUCT(KZ_Raum_2024!$O$7:$O$51,'Fläche-ZW'!T$3:T$47)/100*$AD$1</f>
        <v>7.4802057455055948</v>
      </c>
      <c r="AV6" s="1053">
        <f>SUMPRODUCT(KZ_Raum_2024!$O$7:$O$51,'Fläche-ZW'!U$3:U$47)/100*$AD$1</f>
        <v>2.0197354151783848</v>
      </c>
      <c r="AW6" s="1053">
        <f>SUMPRODUCT(KZ_Raum_2024!$O$7:$O$51,'Fläche-ZW'!V$3:V$47)/100*$AD$1</f>
        <v>0.20928253513353298</v>
      </c>
      <c r="AX6" s="1053">
        <f>SUMPRODUCT(KZ_Raum_2024!$O$7:$O$51,'Fläche-ZW'!W$3:W$47)/100*$AD$1</f>
        <v>0</v>
      </c>
      <c r="AY6" s="1054">
        <f>SUMPRODUCT(KZ_Raum_2024!$O$7:$O$51,'Fläche-ZW'!X$3:X$47)/100*$AD$1</f>
        <v>0.20928253513353298</v>
      </c>
      <c r="AZ6" s="1054">
        <f>SUMPRODUCT(KZ_Raum_2024!$G$7:$G$51,'Fläche-ZW'!Y$3:Y$47)/100*$AD$1</f>
        <v>0</v>
      </c>
      <c r="BC6" s="755" t="s">
        <v>321</v>
      </c>
      <c r="BD6" s="756" t="s">
        <v>15</v>
      </c>
      <c r="BE6" s="751">
        <v>12</v>
      </c>
      <c r="BF6" s="751"/>
      <c r="BG6" s="751"/>
      <c r="BH6" s="751">
        <v>12</v>
      </c>
      <c r="BI6" s="751">
        <v>6</v>
      </c>
      <c r="BJ6" s="751">
        <v>4</v>
      </c>
      <c r="BK6" s="751"/>
      <c r="BL6" s="751"/>
      <c r="BM6" s="751">
        <v>4</v>
      </c>
      <c r="BN6" s="751"/>
      <c r="BO6" s="751"/>
      <c r="BP6" s="751"/>
      <c r="BQ6" s="751">
        <v>3</v>
      </c>
      <c r="BR6" s="751">
        <v>3</v>
      </c>
      <c r="BS6" s="751">
        <v>16</v>
      </c>
      <c r="BT6" s="751"/>
      <c r="BU6" s="751"/>
      <c r="BV6" s="751">
        <v>6</v>
      </c>
      <c r="BW6" s="751">
        <v>6</v>
      </c>
      <c r="BX6" s="751">
        <v>6</v>
      </c>
      <c r="BY6" s="751">
        <v>4</v>
      </c>
      <c r="BZ6" s="751"/>
      <c r="CB6" s="755" t="s">
        <v>321</v>
      </c>
      <c r="CC6" s="756" t="s">
        <v>15</v>
      </c>
      <c r="CD6" s="762">
        <f>ROUND(AE30,0)</f>
        <v>13</v>
      </c>
      <c r="CE6" s="762"/>
      <c r="CF6" s="762">
        <f>ROUND(AG30,0)</f>
        <v>11</v>
      </c>
      <c r="CG6" s="762">
        <f>ROUND(AH30,0)</f>
        <v>13</v>
      </c>
      <c r="CH6" s="762">
        <f>ROUND(AI30,0)</f>
        <v>7</v>
      </c>
      <c r="CI6" s="760">
        <f>ROUND(AJ30,0)</f>
        <v>5</v>
      </c>
      <c r="CJ6" s="760"/>
      <c r="CK6" s="760"/>
      <c r="CL6" s="761">
        <f t="shared" ref="CL6:CX6" si="22">ROUND(AM30,0)</f>
        <v>7</v>
      </c>
      <c r="CM6" s="761">
        <f t="shared" si="22"/>
        <v>7</v>
      </c>
      <c r="CN6" s="761">
        <f t="shared" si="22"/>
        <v>7</v>
      </c>
      <c r="CO6" s="761">
        <f t="shared" si="22"/>
        <v>7</v>
      </c>
      <c r="CP6" s="761">
        <f t="shared" si="22"/>
        <v>4</v>
      </c>
      <c r="CQ6" s="761">
        <f t="shared" si="22"/>
        <v>8</v>
      </c>
      <c r="CR6" s="762">
        <f t="shared" si="22"/>
        <v>14</v>
      </c>
      <c r="CS6" s="762">
        <f t="shared" si="22"/>
        <v>12</v>
      </c>
      <c r="CT6" s="762">
        <f t="shared" si="22"/>
        <v>16</v>
      </c>
      <c r="CU6" s="762">
        <f t="shared" si="22"/>
        <v>5</v>
      </c>
      <c r="CV6" s="760">
        <f t="shared" si="22"/>
        <v>5</v>
      </c>
      <c r="CW6" s="762">
        <f t="shared" si="22"/>
        <v>2</v>
      </c>
      <c r="CX6" s="761">
        <f t="shared" si="22"/>
        <v>8</v>
      </c>
      <c r="CY6" s="761"/>
      <c r="DB6" s="755" t="s">
        <v>463</v>
      </c>
      <c r="DC6" s="756" t="s">
        <v>134</v>
      </c>
      <c r="DD6" s="751">
        <v>0</v>
      </c>
      <c r="DE6" s="751"/>
      <c r="DF6" s="751"/>
      <c r="DG6" s="751"/>
      <c r="DH6" s="751">
        <v>18</v>
      </c>
      <c r="DI6" s="751">
        <v>10</v>
      </c>
      <c r="DJ6" s="751"/>
      <c r="DK6" s="751"/>
      <c r="DL6" s="751"/>
      <c r="DM6" s="751">
        <v>10</v>
      </c>
      <c r="DN6" s="751">
        <v>48</v>
      </c>
      <c r="DO6" s="751"/>
      <c r="DP6" s="751">
        <v>36</v>
      </c>
      <c r="DQ6" s="750"/>
      <c r="DR6" s="750"/>
      <c r="DS6" s="750"/>
      <c r="DT6" s="750"/>
      <c r="DU6" s="750"/>
      <c r="DV6" s="750"/>
      <c r="DW6" s="750"/>
      <c r="DZ6" s="773" t="s">
        <v>17</v>
      </c>
      <c r="EA6" s="754" t="s">
        <v>134</v>
      </c>
      <c r="EB6" s="769"/>
      <c r="EC6" s="769"/>
      <c r="ED6" s="769"/>
      <c r="EE6" s="769"/>
      <c r="EF6" s="769">
        <v>18</v>
      </c>
      <c r="EG6" s="769">
        <v>16</v>
      </c>
      <c r="EH6" s="769"/>
      <c r="EI6" s="769"/>
      <c r="EJ6" s="769">
        <v>80</v>
      </c>
      <c r="EK6" s="769"/>
      <c r="EL6" s="769"/>
      <c r="EM6" s="769"/>
      <c r="EN6" s="769">
        <v>28</v>
      </c>
      <c r="EO6" s="769">
        <v>20</v>
      </c>
      <c r="EP6" s="769">
        <v>28</v>
      </c>
      <c r="EQ6" s="769"/>
      <c r="ER6" s="769"/>
      <c r="ES6" s="769">
        <v>28</v>
      </c>
      <c r="ET6" s="769">
        <v>28</v>
      </c>
      <c r="EU6" s="769">
        <v>18</v>
      </c>
      <c r="EX6" s="773" t="s">
        <v>17</v>
      </c>
      <c r="EY6" s="754" t="s">
        <v>134</v>
      </c>
      <c r="EZ6" s="880" t="s">
        <v>16</v>
      </c>
      <c r="FA6" s="880">
        <f t="shared" si="15"/>
        <v>0</v>
      </c>
      <c r="FB6" s="880">
        <f t="shared" si="15"/>
        <v>0</v>
      </c>
      <c r="FC6" s="880" t="s">
        <v>16</v>
      </c>
      <c r="FD6" s="769">
        <f t="shared" si="15"/>
        <v>9</v>
      </c>
      <c r="FE6" s="769">
        <f t="shared" si="15"/>
        <v>8</v>
      </c>
      <c r="FF6" s="769">
        <f t="shared" si="15"/>
        <v>0</v>
      </c>
      <c r="FG6" s="769">
        <f t="shared" si="15"/>
        <v>0</v>
      </c>
      <c r="FH6" s="769">
        <f t="shared" si="15"/>
        <v>40</v>
      </c>
      <c r="FI6" s="769">
        <f t="shared" si="15"/>
        <v>0</v>
      </c>
      <c r="FJ6" s="769">
        <f t="shared" si="15"/>
        <v>0</v>
      </c>
      <c r="FK6" s="769">
        <f t="shared" si="16"/>
        <v>0</v>
      </c>
      <c r="FL6" s="769">
        <f t="shared" si="16"/>
        <v>14</v>
      </c>
      <c r="FM6" s="769">
        <f t="shared" si="16"/>
        <v>10</v>
      </c>
      <c r="FN6" s="769">
        <f t="shared" si="16"/>
        <v>14</v>
      </c>
      <c r="FO6" s="769">
        <f t="shared" si="16"/>
        <v>0</v>
      </c>
      <c r="FP6" s="769">
        <f t="shared" si="16"/>
        <v>0</v>
      </c>
      <c r="FQ6" s="769">
        <f t="shared" si="16"/>
        <v>14</v>
      </c>
      <c r="FR6" s="769">
        <f t="shared" si="16"/>
        <v>14</v>
      </c>
      <c r="FS6" s="769">
        <f t="shared" si="16"/>
        <v>9</v>
      </c>
      <c r="FT6" s="774">
        <f t="shared" si="16"/>
        <v>0</v>
      </c>
      <c r="FU6" s="754">
        <f t="shared" si="16"/>
        <v>0</v>
      </c>
      <c r="FW6" s="775" t="s">
        <v>1189</v>
      </c>
      <c r="FX6" s="754" t="s">
        <v>134</v>
      </c>
      <c r="FY6" s="808">
        <f>AE6/3</f>
        <v>0.62501040532371943</v>
      </c>
      <c r="FZ6" s="808">
        <f t="shared" ref="FZ6:GT6" si="23">AF6/3</f>
        <v>1.1296546551345592</v>
      </c>
      <c r="GA6" s="808">
        <f t="shared" si="23"/>
        <v>1.5793674261703172</v>
      </c>
      <c r="GB6" s="808">
        <f t="shared" si="23"/>
        <v>0.24234258371013495</v>
      </c>
      <c r="GC6" s="808">
        <f t="shared" si="23"/>
        <v>1.147576532060576</v>
      </c>
      <c r="GD6" s="808">
        <f t="shared" si="23"/>
        <v>0.8899998391818964</v>
      </c>
      <c r="GE6" s="808">
        <f t="shared" si="23"/>
        <v>0.8899998391818964</v>
      </c>
      <c r="GF6" s="808">
        <f t="shared" si="23"/>
        <v>1.4534814663357816</v>
      </c>
      <c r="GG6" s="808">
        <f t="shared" si="23"/>
        <v>3.6846979104608635</v>
      </c>
      <c r="GH6" s="808">
        <f t="shared" si="23"/>
        <v>3.745497910460863</v>
      </c>
      <c r="GI6" s="808">
        <f t="shared" si="23"/>
        <v>3.6846979104608635</v>
      </c>
      <c r="GJ6" s="808">
        <f t="shared" si="23"/>
        <v>1.7307898598063594</v>
      </c>
      <c r="GK6" s="808">
        <f t="shared" si="23"/>
        <v>1.5910468524742472</v>
      </c>
      <c r="GL6" s="808">
        <f t="shared" si="23"/>
        <v>3.5106391014466669</v>
      </c>
      <c r="GM6" s="808">
        <f t="shared" si="23"/>
        <v>2.444917754870132</v>
      </c>
      <c r="GN6" s="808">
        <f t="shared" si="23"/>
        <v>2.5180864107594254</v>
      </c>
      <c r="GO6" s="808">
        <f t="shared" si="23"/>
        <v>2.4934019151685316</v>
      </c>
      <c r="GP6" s="808">
        <f t="shared" si="23"/>
        <v>0.67324513839279498</v>
      </c>
      <c r="GQ6" s="808">
        <f t="shared" si="23"/>
        <v>6.9760845044510994E-2</v>
      </c>
      <c r="GR6" s="808">
        <f t="shared" si="23"/>
        <v>0</v>
      </c>
      <c r="GS6" s="808">
        <f t="shared" si="23"/>
        <v>6.9760845044510994E-2</v>
      </c>
      <c r="GT6" s="808">
        <f t="shared" si="23"/>
        <v>0</v>
      </c>
      <c r="GV6" s="775" t="s">
        <v>1189</v>
      </c>
      <c r="GW6" s="754" t="s">
        <v>134</v>
      </c>
      <c r="GX6" s="724"/>
      <c r="GY6" s="1116"/>
      <c r="GZ6" s="1116"/>
      <c r="HA6" s="1116"/>
      <c r="HB6" s="1116"/>
      <c r="HC6" s="1116"/>
      <c r="HD6" s="1116"/>
      <c r="HE6" s="1116"/>
      <c r="HF6" s="1116"/>
      <c r="HG6" s="1116"/>
      <c r="HH6" s="1116"/>
      <c r="HI6" s="1116"/>
      <c r="HJ6" s="1116"/>
      <c r="HK6" s="1116"/>
      <c r="HL6" s="1116"/>
      <c r="HM6" s="1116"/>
      <c r="HN6" s="1116"/>
      <c r="HO6" s="1116"/>
      <c r="HP6" s="1116"/>
      <c r="HQ6" s="1116"/>
      <c r="HR6" s="1116"/>
      <c r="HS6" s="1116"/>
    </row>
    <row r="7" spans="1:227" s="754" customFormat="1" ht="15.75" customHeight="1">
      <c r="A7" s="1392">
        <f>Eingabedaten!A13</f>
        <v>3.01</v>
      </c>
      <c r="B7" s="750" t="str">
        <f>Eingabedaten!C13</f>
        <v>Einzel-, Gruppenbüro</v>
      </c>
      <c r="C7" s="751" t="s">
        <v>5</v>
      </c>
      <c r="D7" s="753"/>
      <c r="E7" s="753"/>
      <c r="F7" s="753">
        <v>5</v>
      </c>
      <c r="G7" s="753"/>
      <c r="H7" s="752">
        <v>40</v>
      </c>
      <c r="I7" s="752">
        <v>5</v>
      </c>
      <c r="J7" s="752">
        <v>5</v>
      </c>
      <c r="K7" s="752">
        <v>10</v>
      </c>
      <c r="L7" s="753">
        <v>5</v>
      </c>
      <c r="M7" s="753">
        <v>5</v>
      </c>
      <c r="N7" s="753">
        <v>5</v>
      </c>
      <c r="O7" s="753">
        <v>5</v>
      </c>
      <c r="P7" s="753">
        <v>5</v>
      </c>
      <c r="Q7" s="753">
        <v>5</v>
      </c>
      <c r="R7" s="753">
        <v>5</v>
      </c>
      <c r="S7" s="753">
        <v>5</v>
      </c>
      <c r="T7" s="753">
        <v>5</v>
      </c>
      <c r="U7" s="753">
        <v>5</v>
      </c>
      <c r="V7" s="753">
        <v>5</v>
      </c>
      <c r="W7" s="753"/>
      <c r="X7" s="753">
        <v>5</v>
      </c>
      <c r="Y7" s="753"/>
      <c r="AA7" s="769">
        <f>1/Eingabedaten!AP13</f>
        <v>7.1428571428571425E-2</v>
      </c>
      <c r="AC7" s="773" t="s">
        <v>464</v>
      </c>
      <c r="AD7" s="774" t="s">
        <v>134</v>
      </c>
      <c r="AE7" s="1099">
        <f>SUMPRODUCT(KZ_Raum_2024!$P$7:$P$51,'Fläche-ZW'!D$3:D$47)/100*$AD$1</f>
        <v>8.1269041729154257</v>
      </c>
      <c r="AF7" s="1053">
        <f>SUMPRODUCT(KZ_Raum_2024!$H$7:$H$51,'Fläche-ZW'!E$3:E$47)/100*$AD$1</f>
        <v>11.726703891170381</v>
      </c>
      <c r="AG7" s="1053">
        <f>SUMPRODUCT(KZ_Raum_2024!$H$7:$H$51,'Fläche-ZW'!F$3:F$47)/100*$AD$1</f>
        <v>13.870968340056827</v>
      </c>
      <c r="AH7" s="1053">
        <f>SUMPRODUCT(KZ_Raum_2024!$P$7:$P$51,'Fläche-ZW'!G$3:G$47)/100*$AD$1</f>
        <v>12.201059470880423</v>
      </c>
      <c r="AI7" s="1053">
        <f>SUMPRODUCT(KZ_Raum_2024!$P$7:$P$51,'Fläche-ZW'!H$3:H$47)/100*$AD$1</f>
        <v>7.4092795677964025</v>
      </c>
      <c r="AJ7" s="1053">
        <f>SUMPRODUCT(KZ_Raum_2024!$P$7:$P$51,'Fläche-ZW'!I$3:I$47)/100*$AD$1</f>
        <v>9.3935565949424351</v>
      </c>
      <c r="AK7" s="1053">
        <f>SUMPRODUCT(KZ_Raum_2024!$P$7:$P$51,'Fläche-ZW'!J$3:J$47)/100*$AD$1</f>
        <v>9.3935565949424351</v>
      </c>
      <c r="AL7" s="1053">
        <f>SUMPRODUCT(KZ_Raum_2024!$P$7:$P$51,'Fläche-ZW'!K$3:K$47)/100*$AD$1</f>
        <v>7.8721452936451248</v>
      </c>
      <c r="AM7" s="1053">
        <f>SUMPRODUCT(KZ_Raum_2024!$P$7:$P$51,'Fläche-ZW'!L$3:L$47)/100*$AD$1</f>
        <v>3.7986294680771766</v>
      </c>
      <c r="AN7" s="1053">
        <f>SUMPRODUCT(KZ_Raum_2024!$P$7:$P$51,'Fläche-ZW'!M$3:M$47)/100*$AD$1</f>
        <v>3.6430630232906185</v>
      </c>
      <c r="AO7" s="1053">
        <f>SUMPRODUCT(KZ_Raum_2024!$P$7:$P$51,'Fläche-ZW'!N$3:N$47)/100*$AD$1</f>
        <v>3.7986294680771766</v>
      </c>
      <c r="AP7" s="1053">
        <f>SUMPRODUCT(KZ_Raum_2024!$P$7:$P$51,'Fläche-ZW'!O$3:O$47)/100*$AD$1</f>
        <v>4.2617382418398675</v>
      </c>
      <c r="AQ7" s="1053">
        <f>SUMPRODUCT(KZ_Raum_2024!$P$7:$P$51,'Fläche-ZW'!P$3:P$47)/100*$AD$1</f>
        <v>9.3300680806158542</v>
      </c>
      <c r="AR7" s="1053">
        <f>SUMPRODUCT(KZ_Raum_2024!$P$7:$P$51,'Fläche-ZW'!Q$3:Q$47)/100*$AD$1</f>
        <v>6.2672253715469886</v>
      </c>
      <c r="AS7" s="1053">
        <f>SUMPRODUCT(KZ_Raum_2024!$P$7:$P$51,'Fläche-ZW'!R$3:R$47)/100*$AD$1</f>
        <v>6.8937021134539878</v>
      </c>
      <c r="AT7" s="1053">
        <f>SUMPRODUCT(KZ_Raum_2024!$P$7:$P$51,'Fläche-ZW'!S$3:S$47)/100*$AD$1</f>
        <v>6.844713509655505</v>
      </c>
      <c r="AU7" s="1053">
        <f>SUMPRODUCT(KZ_Raum_2024!$P$7:$P$51,'Fläche-ZW'!T$3:T$47)/100*$AD$1</f>
        <v>6.7160379123536318</v>
      </c>
      <c r="AV7" s="1053">
        <f>SUMPRODUCT(KZ_Raum_2024!$P$7:$P$51,'Fläche-ZW'!U$3:U$47)/100*$AD$1</f>
        <v>7.2995755230106347</v>
      </c>
      <c r="AW7" s="1053">
        <f>SUMPRODUCT(KZ_Raum_2024!$P$7:$P$51,'Fläche-ZW'!V$3:V$47)/100*$AD$1</f>
        <v>7.2390920108900687</v>
      </c>
      <c r="AX7" s="1053">
        <f>SUMPRODUCT(KZ_Raum_2024!$P$7:$P$51,'Fläche-ZW'!W$3:W$47)/100*$AD$1</f>
        <v>17.839819122367043</v>
      </c>
      <c r="AY7" s="1054">
        <f>SUMPRODUCT(KZ_Raum_2024!$P$7:$P$51,'Fläche-ZW'!X$3:X$47)/100*$AD$1</f>
        <v>17.752601578973749</v>
      </c>
      <c r="AZ7" s="1054">
        <f>SUMPRODUCT(KZ_Raum_2024!$H$7:$H$51,'Fläche-ZW'!Y$3:Y$47)/100*$AD$1</f>
        <v>1.2550391984165392</v>
      </c>
      <c r="BC7" s="764" t="s">
        <v>1195</v>
      </c>
      <c r="BD7" s="756" t="s">
        <v>1101</v>
      </c>
      <c r="BE7" s="760">
        <f>BE5*BE6*365/1000/BE4</f>
        <v>7.6650000000000009</v>
      </c>
      <c r="BF7" s="760"/>
      <c r="BG7" s="760"/>
      <c r="BH7" s="760">
        <f t="shared" ref="BH7:BY7" si="24">BH5*BH6*365/1000/BH4</f>
        <v>5.1100000000000003</v>
      </c>
      <c r="BI7" s="760">
        <f t="shared" si="24"/>
        <v>8.76</v>
      </c>
      <c r="BJ7" s="760">
        <f t="shared" si="24"/>
        <v>10.220000000000001</v>
      </c>
      <c r="BK7" s="760"/>
      <c r="BL7" s="760"/>
      <c r="BM7" s="760">
        <f t="shared" si="24"/>
        <v>13.14</v>
      </c>
      <c r="BN7" s="760" t="e">
        <f t="shared" si="24"/>
        <v>#DIV/0!</v>
      </c>
      <c r="BO7" s="760" t="e">
        <f t="shared" si="24"/>
        <v>#DIV/0!</v>
      </c>
      <c r="BP7" s="760" t="e">
        <f t="shared" si="24"/>
        <v>#DIV/0!</v>
      </c>
      <c r="BQ7" s="760">
        <f t="shared" si="24"/>
        <v>21.9</v>
      </c>
      <c r="BR7" s="760">
        <f t="shared" si="24"/>
        <v>17.52</v>
      </c>
      <c r="BS7" s="760">
        <f t="shared" si="24"/>
        <v>15.573333333333332</v>
      </c>
      <c r="BT7" s="760"/>
      <c r="BU7" s="760"/>
      <c r="BV7" s="760">
        <f t="shared" si="24"/>
        <v>7.3</v>
      </c>
      <c r="BW7" s="760">
        <f t="shared" si="24"/>
        <v>2.19</v>
      </c>
      <c r="BX7" s="760">
        <f t="shared" si="24"/>
        <v>10.95</v>
      </c>
      <c r="BY7" s="760">
        <f t="shared" si="24"/>
        <v>4.38</v>
      </c>
      <c r="BZ7" s="760"/>
      <c r="CB7" s="764" t="s">
        <v>1405</v>
      </c>
      <c r="CC7" s="756" t="s">
        <v>1101</v>
      </c>
      <c r="CD7" s="762">
        <f>ROUND(AE27,0)</f>
        <v>7</v>
      </c>
      <c r="CE7" s="762"/>
      <c r="CF7" s="760"/>
      <c r="CG7" s="762">
        <f t="shared" ref="CG7:CX7" si="25">ROUND(AH27,0)</f>
        <v>5</v>
      </c>
      <c r="CH7" s="762">
        <f t="shared" si="25"/>
        <v>6</v>
      </c>
      <c r="CI7" s="761">
        <f t="shared" si="25"/>
        <v>13</v>
      </c>
      <c r="CJ7" s="761">
        <f t="shared" si="25"/>
        <v>13</v>
      </c>
      <c r="CK7" s="761">
        <f t="shared" si="25"/>
        <v>14</v>
      </c>
      <c r="CL7" s="762">
        <f t="shared" si="25"/>
        <v>11</v>
      </c>
      <c r="CM7" s="760">
        <f t="shared" si="25"/>
        <v>11</v>
      </c>
      <c r="CN7" s="760">
        <f t="shared" si="25"/>
        <v>11</v>
      </c>
      <c r="CO7" s="760">
        <f t="shared" si="25"/>
        <v>6</v>
      </c>
      <c r="CP7" s="760">
        <f t="shared" si="25"/>
        <v>24</v>
      </c>
      <c r="CQ7" s="761">
        <f t="shared" si="25"/>
        <v>32</v>
      </c>
      <c r="CR7" s="760">
        <f t="shared" si="25"/>
        <v>19</v>
      </c>
      <c r="CS7" s="760">
        <f t="shared" si="25"/>
        <v>19</v>
      </c>
      <c r="CT7" s="760">
        <f t="shared" si="25"/>
        <v>21</v>
      </c>
      <c r="CU7" s="762">
        <f t="shared" si="25"/>
        <v>4</v>
      </c>
      <c r="CV7" s="761">
        <f t="shared" si="25"/>
        <v>3</v>
      </c>
      <c r="CW7" s="762">
        <f t="shared" si="25"/>
        <v>3</v>
      </c>
      <c r="CX7" s="761">
        <f t="shared" si="25"/>
        <v>10</v>
      </c>
      <c r="CY7" s="761"/>
      <c r="DB7" s="764" t="s">
        <v>464</v>
      </c>
      <c r="DC7" s="756" t="s">
        <v>134</v>
      </c>
      <c r="DD7" s="751"/>
      <c r="DE7" s="751"/>
      <c r="DF7" s="751"/>
      <c r="DG7" s="751"/>
      <c r="DH7" s="751"/>
      <c r="DI7" s="751"/>
      <c r="DJ7" s="751"/>
      <c r="DK7" s="751"/>
      <c r="DL7" s="751"/>
      <c r="DM7" s="751"/>
      <c r="DN7" s="751"/>
      <c r="DO7" s="751"/>
      <c r="DP7" s="751"/>
      <c r="DQ7" s="750"/>
      <c r="DR7" s="750"/>
      <c r="DS7" s="750"/>
      <c r="DT7" s="750"/>
      <c r="DU7" s="750"/>
      <c r="DV7" s="750"/>
      <c r="DW7" s="750"/>
      <c r="DZ7" s="773" t="s">
        <v>1143</v>
      </c>
      <c r="EA7" s="754" t="s">
        <v>134</v>
      </c>
      <c r="EB7" s="769"/>
      <c r="EC7" s="769"/>
      <c r="ED7" s="769"/>
      <c r="EE7" s="769"/>
      <c r="EF7" s="769">
        <v>14</v>
      </c>
      <c r="EG7" s="769">
        <v>7</v>
      </c>
      <c r="EH7" s="769"/>
      <c r="EI7" s="769"/>
      <c r="EJ7" s="769">
        <v>7</v>
      </c>
      <c r="EK7" s="769"/>
      <c r="EL7" s="769"/>
      <c r="EM7" s="769"/>
      <c r="EN7" s="769">
        <v>7</v>
      </c>
      <c r="EO7" s="769">
        <v>7</v>
      </c>
      <c r="EP7" s="769">
        <v>14</v>
      </c>
      <c r="EQ7" s="769"/>
      <c r="ER7" s="769"/>
      <c r="ES7" s="769">
        <v>7</v>
      </c>
      <c r="ET7" s="769">
        <v>7</v>
      </c>
      <c r="EU7" s="769">
        <v>7</v>
      </c>
      <c r="EX7" s="773" t="s">
        <v>1143</v>
      </c>
      <c r="EY7" s="754" t="s">
        <v>134</v>
      </c>
      <c r="EZ7" s="880" t="s">
        <v>16</v>
      </c>
      <c r="FA7" s="880">
        <f t="shared" si="15"/>
        <v>0</v>
      </c>
      <c r="FB7" s="880">
        <f t="shared" si="15"/>
        <v>0</v>
      </c>
      <c r="FC7" s="880" t="s">
        <v>16</v>
      </c>
      <c r="FD7" s="769">
        <f t="shared" si="15"/>
        <v>7</v>
      </c>
      <c r="FE7" s="769">
        <f t="shared" si="15"/>
        <v>3.5</v>
      </c>
      <c r="FF7" s="769">
        <f t="shared" si="15"/>
        <v>0</v>
      </c>
      <c r="FG7" s="769">
        <f t="shared" si="15"/>
        <v>0</v>
      </c>
      <c r="FH7" s="769">
        <f t="shared" si="15"/>
        <v>3.5</v>
      </c>
      <c r="FI7" s="769">
        <f t="shared" si="15"/>
        <v>0</v>
      </c>
      <c r="FJ7" s="769">
        <f t="shared" si="15"/>
        <v>0</v>
      </c>
      <c r="FK7" s="769">
        <f t="shared" si="16"/>
        <v>0</v>
      </c>
      <c r="FL7" s="769">
        <f t="shared" si="16"/>
        <v>3.5</v>
      </c>
      <c r="FM7" s="769">
        <f t="shared" si="16"/>
        <v>3.5</v>
      </c>
      <c r="FN7" s="769">
        <f t="shared" si="16"/>
        <v>7</v>
      </c>
      <c r="FO7" s="769">
        <f t="shared" si="16"/>
        <v>0</v>
      </c>
      <c r="FP7" s="769">
        <f t="shared" si="16"/>
        <v>0</v>
      </c>
      <c r="FQ7" s="769">
        <f t="shared" si="16"/>
        <v>3.5</v>
      </c>
      <c r="FR7" s="769">
        <f t="shared" si="16"/>
        <v>3.5</v>
      </c>
      <c r="FS7" s="769">
        <f t="shared" si="16"/>
        <v>3.5</v>
      </c>
      <c r="FT7" s="774">
        <f t="shared" si="16"/>
        <v>0</v>
      </c>
      <c r="FU7" s="754">
        <f t="shared" si="16"/>
        <v>0</v>
      </c>
      <c r="FW7" s="773" t="s">
        <v>51</v>
      </c>
      <c r="FX7" s="754" t="s">
        <v>134</v>
      </c>
      <c r="FY7" s="808">
        <f t="shared" ref="FY7" si="26">AE3</f>
        <v>7.3440000000000012</v>
      </c>
      <c r="FZ7" s="808">
        <f>AF3</f>
        <v>14.688000000000002</v>
      </c>
      <c r="GA7" s="808">
        <f t="shared" ref="GA7:GT7" si="27">AG3</f>
        <v>12.284000000000001</v>
      </c>
      <c r="GB7" s="808">
        <f t="shared" si="27"/>
        <v>6.4080000000000004</v>
      </c>
      <c r="GC7" s="808">
        <f t="shared" si="27"/>
        <v>10.224</v>
      </c>
      <c r="GD7" s="808">
        <f t="shared" si="27"/>
        <v>3.5337600000000005</v>
      </c>
      <c r="GE7" s="808">
        <f t="shared" si="27"/>
        <v>3.5337600000000005</v>
      </c>
      <c r="GF7" s="808">
        <f t="shared" si="27"/>
        <v>5.7192000000000007</v>
      </c>
      <c r="GG7" s="808">
        <f t="shared" si="27"/>
        <v>2.4408000000000003</v>
      </c>
      <c r="GH7" s="808">
        <f t="shared" si="27"/>
        <v>2.6232000000000002</v>
      </c>
      <c r="GI7" s="808">
        <f t="shared" si="27"/>
        <v>2.4408000000000003</v>
      </c>
      <c r="GJ7" s="808">
        <f t="shared" si="27"/>
        <v>2.3352000000000004</v>
      </c>
      <c r="GK7" s="808">
        <f t="shared" si="27"/>
        <v>3.6224000000000007</v>
      </c>
      <c r="GL7" s="808">
        <f t="shared" si="27"/>
        <v>3.3864000000000005</v>
      </c>
      <c r="GM7" s="808">
        <f t="shared" si="27"/>
        <v>5.3124000000000002</v>
      </c>
      <c r="GN7" s="808">
        <f t="shared" si="27"/>
        <v>5.9043999999999999</v>
      </c>
      <c r="GO7" s="808">
        <f t="shared" si="27"/>
        <v>5.0004</v>
      </c>
      <c r="GP7" s="808">
        <f t="shared" si="27"/>
        <v>6.9223999999999997</v>
      </c>
      <c r="GQ7" s="808">
        <f t="shared" si="27"/>
        <v>2.468</v>
      </c>
      <c r="GR7" s="808">
        <f t="shared" si="27"/>
        <v>0</v>
      </c>
      <c r="GS7" s="808">
        <f t="shared" si="27"/>
        <v>3.9720000000000009</v>
      </c>
      <c r="GT7" s="808">
        <f t="shared" si="27"/>
        <v>1.5335999999999999</v>
      </c>
      <c r="GV7" s="773" t="s">
        <v>51</v>
      </c>
      <c r="GW7" s="754" t="s">
        <v>134</v>
      </c>
      <c r="GX7" s="724"/>
      <c r="GY7" s="1292">
        <v>15.5</v>
      </c>
      <c r="GZ7" s="1297">
        <v>10.9</v>
      </c>
      <c r="HA7" s="1292">
        <v>12.5</v>
      </c>
      <c r="HB7" s="1292">
        <v>16.5</v>
      </c>
      <c r="HC7" s="1292"/>
      <c r="HD7" s="1292">
        <v>5</v>
      </c>
      <c r="HE7" s="1297">
        <v>15.6</v>
      </c>
      <c r="HF7" s="1292"/>
      <c r="HG7" s="1297">
        <v>5</v>
      </c>
      <c r="HH7" s="1292">
        <v>5</v>
      </c>
      <c r="HI7" s="1292"/>
      <c r="HJ7" s="1292">
        <v>4.5</v>
      </c>
      <c r="HK7" s="1292">
        <v>4</v>
      </c>
      <c r="HL7" s="1292">
        <v>8.3000000000000007</v>
      </c>
      <c r="HM7" s="1292">
        <v>8.5</v>
      </c>
      <c r="HN7" s="1292">
        <v>8.5</v>
      </c>
      <c r="HO7" s="1292">
        <v>7</v>
      </c>
      <c r="HP7" s="1292">
        <v>4</v>
      </c>
      <c r="HQ7" s="1292">
        <v>2</v>
      </c>
      <c r="HR7" s="1297">
        <v>5.5</v>
      </c>
      <c r="HS7" s="1297">
        <v>1.7</v>
      </c>
    </row>
    <row r="8" spans="1:227" s="754" customFormat="1" ht="15.75" customHeight="1">
      <c r="A8" s="1392">
        <f>Eingabedaten!A14</f>
        <v>3.02</v>
      </c>
      <c r="B8" s="750" t="str">
        <f>Eingabedaten!C14</f>
        <v>Grossraumbüro</v>
      </c>
      <c r="C8" s="751" t="s">
        <v>5</v>
      </c>
      <c r="D8" s="753"/>
      <c r="E8" s="753"/>
      <c r="F8" s="753"/>
      <c r="G8" s="753"/>
      <c r="H8" s="752">
        <v>15</v>
      </c>
      <c r="I8" s="753"/>
      <c r="J8" s="753"/>
      <c r="K8" s="752"/>
      <c r="L8" s="753"/>
      <c r="M8" s="753"/>
      <c r="N8" s="753"/>
      <c r="O8" s="753"/>
      <c r="P8" s="753"/>
      <c r="Q8" s="753"/>
      <c r="R8" s="753"/>
      <c r="S8" s="753"/>
      <c r="T8" s="753"/>
      <c r="U8" s="753"/>
      <c r="V8" s="753"/>
      <c r="W8" s="753"/>
      <c r="X8" s="753"/>
      <c r="Y8" s="753"/>
      <c r="AA8" s="769">
        <f>1/Eingabedaten!AP14</f>
        <v>0.1</v>
      </c>
      <c r="AC8" s="773" t="s">
        <v>268</v>
      </c>
      <c r="AD8" s="774" t="s">
        <v>134</v>
      </c>
      <c r="AE8" s="1099">
        <f>SUMPRODUCT(KZ_Raum_2024!$Q$7:$Q$51,'Fläche-ZW'!D$3:D$47)/100*$AD$1</f>
        <v>11.516480000000003</v>
      </c>
      <c r="AF8" s="1053">
        <f>SUMPRODUCT(KZ_Raum_2024!$I$7:$I$51,'Fläche-ZW'!E$3:E$47)/100*$AD$1</f>
        <v>11.516480000000003</v>
      </c>
      <c r="AG8" s="1053">
        <f>SUMPRODUCT(KZ_Raum_2024!$I$7:$I$51,'Fläche-ZW'!F$3:F$47)/100*$AD$1</f>
        <v>17.491430095238098</v>
      </c>
      <c r="AH8" s="1053">
        <f>SUMPRODUCT(KZ_Raum_2024!$Q$7:$Q$51,'Fläche-ZW'!G$3:G$47)/100*$AD$1</f>
        <v>9.7551360000000003</v>
      </c>
      <c r="AI8" s="1053">
        <f>SUMPRODUCT(KZ_Raum_2024!$Q$7:$Q$51,'Fläche-ZW'!H$3:H$47)/100*$AD$1</f>
        <v>1.2664018285714287</v>
      </c>
      <c r="AJ8" s="1053">
        <f>SUMPRODUCT(KZ_Raum_2024!$Q$7:$Q$51,'Fläche-ZW'!I$3:I$47)/100*$AD$1</f>
        <v>1.6590649589823876</v>
      </c>
      <c r="AK8" s="1053">
        <f>SUMPRODUCT(KZ_Raum_2024!$Q$7:$Q$51,'Fläche-ZW'!J$3:J$47)/100*$AD$1</f>
        <v>1.6590649589823876</v>
      </c>
      <c r="AL8" s="1053">
        <f>SUMPRODUCT(KZ_Raum_2024!$Q$7:$Q$51,'Fläche-ZW'!K$3:K$47)/100*$AD$1</f>
        <v>1.2867679190606656</v>
      </c>
      <c r="AM8" s="1053">
        <f>SUMPRODUCT(KZ_Raum_2024!$Q$7:$Q$51,'Fläche-ZW'!L$3:L$47)/100*$AD$1</f>
        <v>1.4108914285714289</v>
      </c>
      <c r="AN8" s="1053">
        <f>SUMPRODUCT(KZ_Raum_2024!$Q$7:$Q$51,'Fläche-ZW'!M$3:M$47)/100*$AD$1</f>
        <v>1.4108914285714289</v>
      </c>
      <c r="AO8" s="1053">
        <f>SUMPRODUCT(KZ_Raum_2024!$Q$7:$Q$51,'Fläche-ZW'!N$3:N$47)/100*$AD$1</f>
        <v>1.4108914285714289</v>
      </c>
      <c r="AP8" s="1053">
        <f>SUMPRODUCT(KZ_Raum_2024!$Q$7:$Q$51,'Fläche-ZW'!O$3:O$47)/100*$AD$1</f>
        <v>0.80091702857142877</v>
      </c>
      <c r="AQ8" s="1053">
        <f>SUMPRODUCT(KZ_Raum_2024!$Q$7:$Q$51,'Fläche-ZW'!P$3:P$47)/100*$AD$1</f>
        <v>43.67340342857144</v>
      </c>
      <c r="AR8" s="1053">
        <f>SUMPRODUCT(KZ_Raum_2024!$Q$7:$Q$51,'Fläche-ZW'!Q$3:Q$47)/100*$AD$1</f>
        <v>3.5893714285714289</v>
      </c>
      <c r="AS8" s="1053">
        <f>SUMPRODUCT(KZ_Raum_2024!$Q$7:$Q$51,'Fläche-ZW'!R$3:R$47)/100*$AD$1</f>
        <v>21.781883428571433</v>
      </c>
      <c r="AT8" s="1053">
        <f>SUMPRODUCT(KZ_Raum_2024!$Q$7:$Q$51,'Fläche-ZW'!S$3:S$47)/100*$AD$1</f>
        <v>19.07212342857143</v>
      </c>
      <c r="AU8" s="1053">
        <f>SUMPRODUCT(KZ_Raum_2024!$Q$7:$Q$51,'Fläche-ZW'!T$3:T$47)/100*$AD$1</f>
        <v>27.201403428571435</v>
      </c>
      <c r="AV8" s="1053">
        <f>SUMPRODUCT(KZ_Raum_2024!$Q$7:$Q$51,'Fläche-ZW'!U$3:U$47)/100*$AD$1</f>
        <v>1.2664018285714287</v>
      </c>
      <c r="AW8" s="1053">
        <f>SUMPRODUCT(KZ_Raum_2024!$Q$7:$Q$51,'Fläche-ZW'!V$3:V$47)/100*$AD$1</f>
        <v>0.61244022857142866</v>
      </c>
      <c r="AX8" s="1053">
        <f>SUMPRODUCT(KZ_Raum_2024!$Q$7:$Q$51,'Fläche-ZW'!W$3:W$47)/100*$AD$1</f>
        <v>30.47042998356164</v>
      </c>
      <c r="AY8" s="781">
        <f>SUMPRODUCT(KZ_Raum_2024!$Q$7:$Q$51,'Fläche-ZW'!X$3:X$47)/100*$AD$1</f>
        <v>69.815163428571452</v>
      </c>
      <c r="AZ8" s="1054">
        <f>SUMPRODUCT(KZ_Raum_2024!$I$7:$I$51,'Fläche-ZW'!Y$3:Y$47)/100*$AD$1</f>
        <v>0</v>
      </c>
      <c r="BC8" s="755" t="s">
        <v>517</v>
      </c>
      <c r="BD8" s="756" t="s">
        <v>1101</v>
      </c>
      <c r="BE8" s="751">
        <v>28</v>
      </c>
      <c r="BF8" s="751"/>
      <c r="BG8" s="751"/>
      <c r="BH8" s="751">
        <v>22</v>
      </c>
      <c r="BI8" s="751">
        <v>22</v>
      </c>
      <c r="BJ8" s="751">
        <v>11</v>
      </c>
      <c r="BK8" s="751"/>
      <c r="BL8" s="751"/>
      <c r="BM8" s="751">
        <v>33</v>
      </c>
      <c r="BN8" s="751"/>
      <c r="BO8" s="751"/>
      <c r="BP8" s="751"/>
      <c r="BQ8" s="751">
        <v>33</v>
      </c>
      <c r="BR8" s="751">
        <v>17</v>
      </c>
      <c r="BS8" s="751">
        <v>28</v>
      </c>
      <c r="BT8" s="751"/>
      <c r="BU8" s="751"/>
      <c r="BV8" s="751">
        <v>17</v>
      </c>
      <c r="BW8" s="751">
        <v>6</v>
      </c>
      <c r="BX8" s="751">
        <v>6</v>
      </c>
      <c r="BY8" s="751">
        <v>56</v>
      </c>
      <c r="BZ8" s="751"/>
      <c r="CB8" s="755" t="s">
        <v>1403</v>
      </c>
      <c r="CC8" s="756" t="s">
        <v>1101</v>
      </c>
      <c r="CD8" s="762">
        <f>ROUND(AE10+AE11,0)</f>
        <v>12</v>
      </c>
      <c r="CE8" s="762"/>
      <c r="CF8" s="751"/>
      <c r="CG8" s="759">
        <f t="shared" ref="CG8:CX8" si="28">ROUND(AH10+AH11,0)</f>
        <v>9</v>
      </c>
      <c r="CH8" s="758">
        <f t="shared" si="28"/>
        <v>16</v>
      </c>
      <c r="CI8" s="758">
        <f t="shared" si="28"/>
        <v>9</v>
      </c>
      <c r="CJ8" s="758">
        <f t="shared" si="28"/>
        <v>9</v>
      </c>
      <c r="CK8" s="758">
        <f t="shared" si="28"/>
        <v>17</v>
      </c>
      <c r="CL8" s="758">
        <f t="shared" si="28"/>
        <v>26</v>
      </c>
      <c r="CM8" s="751">
        <f t="shared" si="28"/>
        <v>26</v>
      </c>
      <c r="CN8" s="751">
        <f t="shared" si="28"/>
        <v>26</v>
      </c>
      <c r="CO8" s="751">
        <f t="shared" si="28"/>
        <v>23</v>
      </c>
      <c r="CP8" s="761">
        <f>ROUND(AQ10+AQ11,0)</f>
        <v>18</v>
      </c>
      <c r="CQ8" s="758">
        <f t="shared" si="28"/>
        <v>18</v>
      </c>
      <c r="CR8" s="758">
        <f t="shared" si="28"/>
        <v>20</v>
      </c>
      <c r="CS8" s="758">
        <f t="shared" si="28"/>
        <v>20</v>
      </c>
      <c r="CT8" s="758">
        <f t="shared" si="28"/>
        <v>19</v>
      </c>
      <c r="CU8" s="758">
        <f t="shared" si="28"/>
        <v>17</v>
      </c>
      <c r="CV8" s="758">
        <f t="shared" si="28"/>
        <v>8</v>
      </c>
      <c r="CW8" s="758">
        <f t="shared" si="28"/>
        <v>7</v>
      </c>
      <c r="CX8" s="759">
        <f t="shared" si="28"/>
        <v>16</v>
      </c>
      <c r="CY8" s="759"/>
      <c r="DB8" s="755" t="s">
        <v>268</v>
      </c>
      <c r="DC8" s="756" t="s">
        <v>134</v>
      </c>
      <c r="DD8" s="751">
        <v>16</v>
      </c>
      <c r="DE8" s="751"/>
      <c r="DF8" s="751"/>
      <c r="DG8" s="751"/>
      <c r="DH8" s="751">
        <v>2</v>
      </c>
      <c r="DI8" s="751">
        <v>3</v>
      </c>
      <c r="DJ8" s="751"/>
      <c r="DK8" s="751"/>
      <c r="DL8" s="751"/>
      <c r="DM8" s="751">
        <v>2</v>
      </c>
      <c r="DN8" s="751">
        <v>2</v>
      </c>
      <c r="DO8" s="751"/>
      <c r="DP8" s="751">
        <v>59</v>
      </c>
      <c r="DQ8" s="750"/>
      <c r="DR8" s="750"/>
      <c r="DS8" s="750"/>
      <c r="DT8" s="750"/>
      <c r="DU8" s="750"/>
      <c r="DV8" s="750"/>
      <c r="DW8" s="750"/>
      <c r="DZ8" s="773" t="s">
        <v>1058</v>
      </c>
      <c r="EA8" s="754" t="s">
        <v>134</v>
      </c>
      <c r="EB8" s="769">
        <f>SUM(EB3:EB7)</f>
        <v>72</v>
      </c>
      <c r="EC8" s="769"/>
      <c r="ED8" s="769"/>
      <c r="EE8" s="769">
        <f>SUM(EE3:EE7)</f>
        <v>70</v>
      </c>
      <c r="EF8" s="769">
        <f>SUM(EF3:EF7)</f>
        <v>137</v>
      </c>
      <c r="EG8" s="769">
        <f>SUM(EG3:EG7)</f>
        <v>72</v>
      </c>
      <c r="EH8" s="769"/>
      <c r="EI8" s="769"/>
      <c r="EJ8" s="769">
        <f>SUM(EJ3:EJ7)</f>
        <v>156</v>
      </c>
      <c r="EK8" s="769"/>
      <c r="EL8" s="769"/>
      <c r="EM8" s="769"/>
      <c r="EN8" s="769">
        <f t="shared" ref="EN8:EU8" si="29">SUM(EN3:EN7)</f>
        <v>123</v>
      </c>
      <c r="EO8" s="769">
        <f t="shared" si="29"/>
        <v>74</v>
      </c>
      <c r="EP8" s="769">
        <f t="shared" si="29"/>
        <v>141</v>
      </c>
      <c r="EQ8" s="769"/>
      <c r="ER8" s="769"/>
      <c r="ES8" s="769">
        <f t="shared" si="29"/>
        <v>84</v>
      </c>
      <c r="ET8" s="769">
        <f t="shared" si="29"/>
        <v>62</v>
      </c>
      <c r="EU8" s="769">
        <f t="shared" si="29"/>
        <v>57</v>
      </c>
      <c r="EX8" s="857" t="s">
        <v>1058</v>
      </c>
      <c r="EY8" s="858" t="s">
        <v>134</v>
      </c>
      <c r="EZ8" s="859">
        <f t="shared" si="15"/>
        <v>36</v>
      </c>
      <c r="FA8" s="859">
        <f t="shared" si="15"/>
        <v>0</v>
      </c>
      <c r="FB8" s="859">
        <f t="shared" si="15"/>
        <v>0</v>
      </c>
      <c r="FC8" s="859">
        <f t="shared" si="15"/>
        <v>35</v>
      </c>
      <c r="FD8" s="859">
        <f t="shared" si="15"/>
        <v>68.5</v>
      </c>
      <c r="FE8" s="859">
        <f t="shared" si="15"/>
        <v>36</v>
      </c>
      <c r="FF8" s="859">
        <f t="shared" si="15"/>
        <v>0</v>
      </c>
      <c r="FG8" s="859">
        <f t="shared" si="15"/>
        <v>0</v>
      </c>
      <c r="FH8" s="859">
        <f t="shared" si="15"/>
        <v>78</v>
      </c>
      <c r="FI8" s="859">
        <f t="shared" si="15"/>
        <v>0</v>
      </c>
      <c r="FJ8" s="859">
        <f t="shared" si="15"/>
        <v>0</v>
      </c>
      <c r="FK8" s="859">
        <f t="shared" si="16"/>
        <v>0</v>
      </c>
      <c r="FL8" s="859">
        <f t="shared" si="16"/>
        <v>61.5</v>
      </c>
      <c r="FM8" s="859">
        <f t="shared" si="16"/>
        <v>37</v>
      </c>
      <c r="FN8" s="859">
        <f t="shared" si="16"/>
        <v>70.5</v>
      </c>
      <c r="FO8" s="859">
        <f t="shared" si="16"/>
        <v>0</v>
      </c>
      <c r="FP8" s="859">
        <f t="shared" si="16"/>
        <v>0</v>
      </c>
      <c r="FQ8" s="859">
        <f t="shared" si="16"/>
        <v>42</v>
      </c>
      <c r="FR8" s="859">
        <f t="shared" si="16"/>
        <v>31</v>
      </c>
      <c r="FS8" s="859">
        <f t="shared" si="16"/>
        <v>28.5</v>
      </c>
      <c r="FT8" s="774">
        <f t="shared" si="16"/>
        <v>0</v>
      </c>
      <c r="FU8" s="754">
        <f t="shared" si="16"/>
        <v>0</v>
      </c>
      <c r="FW8" s="775" t="s">
        <v>1181</v>
      </c>
      <c r="FX8" s="754" t="s">
        <v>134</v>
      </c>
      <c r="FY8" s="1055">
        <f>AE9</f>
        <v>0</v>
      </c>
      <c r="FZ8" s="1055">
        <f t="shared" ref="FZ8:GT8" si="30">AF9</f>
        <v>0</v>
      </c>
      <c r="GA8" s="1055">
        <f t="shared" si="30"/>
        <v>0</v>
      </c>
      <c r="GB8" s="1055">
        <f t="shared" si="30"/>
        <v>0</v>
      </c>
      <c r="GC8" s="1055">
        <f t="shared" si="30"/>
        <v>5.6080000000000005</v>
      </c>
      <c r="GD8" s="1055">
        <f t="shared" si="30"/>
        <v>0</v>
      </c>
      <c r="GE8" s="1055">
        <f t="shared" si="30"/>
        <v>0</v>
      </c>
      <c r="GF8" s="1055">
        <f t="shared" si="30"/>
        <v>5.6080000000000005</v>
      </c>
      <c r="GG8" s="1055">
        <f t="shared" si="30"/>
        <v>0</v>
      </c>
      <c r="GH8" s="1055">
        <f t="shared" si="30"/>
        <v>158.05439999999999</v>
      </c>
      <c r="GI8" s="1055">
        <f t="shared" si="30"/>
        <v>0</v>
      </c>
      <c r="GJ8" s="1055">
        <f t="shared" si="30"/>
        <v>0</v>
      </c>
      <c r="GK8" s="1055">
        <f t="shared" si="30"/>
        <v>32.406400000000005</v>
      </c>
      <c r="GL8" s="1055">
        <f t="shared" si="30"/>
        <v>0</v>
      </c>
      <c r="GM8" s="1055">
        <f t="shared" si="30"/>
        <v>0.87200000000000011</v>
      </c>
      <c r="GN8" s="1055">
        <f>AT9</f>
        <v>1.3080000000000001</v>
      </c>
      <c r="GO8" s="1055">
        <f t="shared" si="30"/>
        <v>0.43600000000000005</v>
      </c>
      <c r="GP8" s="1055">
        <f t="shared" si="30"/>
        <v>7.5680000000000014</v>
      </c>
      <c r="GQ8" s="1055">
        <f t="shared" si="30"/>
        <v>0</v>
      </c>
      <c r="GR8" s="1055">
        <f t="shared" si="30"/>
        <v>0</v>
      </c>
      <c r="GS8" s="1055">
        <f t="shared" si="30"/>
        <v>81.84</v>
      </c>
      <c r="GT8" s="1055">
        <f t="shared" si="30"/>
        <v>0</v>
      </c>
      <c r="GV8" s="775" t="s">
        <v>1298</v>
      </c>
      <c r="GW8" s="754" t="s">
        <v>134</v>
      </c>
      <c r="GX8" s="724"/>
      <c r="GY8" s="1292"/>
      <c r="GZ8" s="1297">
        <v>44</v>
      </c>
      <c r="HA8" s="1292"/>
      <c r="HB8" s="1292"/>
      <c r="HC8" s="1292"/>
      <c r="HD8" s="1292"/>
      <c r="HE8" s="1297">
        <v>10</v>
      </c>
      <c r="HF8" s="1292"/>
      <c r="HG8" s="1297">
        <v>200</v>
      </c>
      <c r="HH8" s="1292"/>
      <c r="HI8" s="1292"/>
      <c r="HJ8" s="1292"/>
      <c r="HK8" s="1292"/>
      <c r="HL8" s="1292"/>
      <c r="HM8" s="1292">
        <v>35</v>
      </c>
      <c r="HN8" s="1292">
        <v>35</v>
      </c>
      <c r="HO8" s="1292">
        <v>100</v>
      </c>
      <c r="HP8" s="1292"/>
      <c r="HQ8" s="1292"/>
      <c r="HR8" s="1297">
        <v>700</v>
      </c>
      <c r="HS8" s="1297"/>
    </row>
    <row r="9" spans="1:227" s="754" customFormat="1" ht="15.75" customHeight="1">
      <c r="A9" s="1392">
        <f>Eingabedaten!A15</f>
        <v>3.03</v>
      </c>
      <c r="B9" s="750" t="str">
        <f>Eingabedaten!C15</f>
        <v>Sitzungszimmer</v>
      </c>
      <c r="C9" s="751" t="s">
        <v>5</v>
      </c>
      <c r="D9" s="753"/>
      <c r="E9" s="753"/>
      <c r="F9" s="753">
        <v>5</v>
      </c>
      <c r="G9" s="753"/>
      <c r="H9" s="752">
        <v>5</v>
      </c>
      <c r="I9" s="753"/>
      <c r="J9" s="753"/>
      <c r="K9" s="752">
        <v>5</v>
      </c>
      <c r="L9" s="753"/>
      <c r="M9" s="753"/>
      <c r="N9" s="753"/>
      <c r="O9" s="753"/>
      <c r="P9" s="753"/>
      <c r="Q9" s="753"/>
      <c r="R9" s="753"/>
      <c r="S9" s="753"/>
      <c r="T9" s="753"/>
      <c r="U9" s="753"/>
      <c r="V9" s="753"/>
      <c r="W9" s="753"/>
      <c r="X9" s="753"/>
      <c r="Y9" s="753"/>
      <c r="AA9" s="809">
        <v>0</v>
      </c>
      <c r="AC9" s="773" t="s">
        <v>1181</v>
      </c>
      <c r="AD9" s="774"/>
      <c r="AE9" s="1099">
        <f>SUMPRODUCT(KZ_Raum_2024!$L$7:$L$51,'Fläche-ZW'!D$3:D$47)/100*$AD$1</f>
        <v>0</v>
      </c>
      <c r="AF9" s="1053">
        <f>SUMPRODUCT(KZ_Raum_2024!$D$7:$D$51,'Fläche-ZW'!E$3:E$47)/100*$AD$1</f>
        <v>0</v>
      </c>
      <c r="AG9" s="1053">
        <f>SUMPRODUCT(KZ_Raum_2024!$D$7:$D$51,'Fläche-ZW'!F$3:F$47)/100*$AD$1</f>
        <v>0</v>
      </c>
      <c r="AH9" s="1053">
        <f>SUMPRODUCT(KZ_Raum_2024!$L$7:$L$51,'Fläche-ZW'!G$3:G$47)/100*$AD$1</f>
        <v>0</v>
      </c>
      <c r="AI9" s="1053">
        <f>SUMPRODUCT(KZ_Raum_2024!$L$7:$L$51,'Fläche-ZW'!H$3:H$47)/100*$AD$1</f>
        <v>5.6080000000000005</v>
      </c>
      <c r="AJ9" s="1053">
        <f>SUMPRODUCT(KZ_Raum_2024!$L$7:$L$51,'Fläche-ZW'!I$3:I$47)/100*$AD$1</f>
        <v>0</v>
      </c>
      <c r="AK9" s="1053">
        <f>SUMPRODUCT(KZ_Raum_2024!$L$7:$L$51,'Fläche-ZW'!J$3:J$47)/100*$AD$1</f>
        <v>0</v>
      </c>
      <c r="AL9" s="1053">
        <f>SUMPRODUCT(KZ_Raum_2024!$L$7:$L$51,'Fläche-ZW'!K$3:K$47)/100*$AD$1</f>
        <v>5.6080000000000005</v>
      </c>
      <c r="AM9" s="1053">
        <f>SUMPRODUCT(KZ_Raum_2024!$L$7:$L$51,'Fläche-ZW'!L$3:L$47)/100*$AD$1</f>
        <v>0</v>
      </c>
      <c r="AN9" s="780">
        <f>SUMPRODUCT(KZ_Raum_2024!$L$7:$L$51,'Fläche-ZW'!M$3:M$47)/100*$AD$1</f>
        <v>158.05439999999999</v>
      </c>
      <c r="AO9" s="1053">
        <f>SUMPRODUCT(KZ_Raum_2024!$L$7:$L$51,'Fläche-ZW'!N$3:N$47)/100*$AD$1</f>
        <v>0</v>
      </c>
      <c r="AP9" s="1053">
        <f>SUMPRODUCT(KZ_Raum_2024!$L$7:$L$51,'Fläche-ZW'!O$3:O$47)/100*$AD$1</f>
        <v>0</v>
      </c>
      <c r="AQ9" s="1053">
        <f>SUMPRODUCT(KZ_Raum_2024!$L$7:$L$51,'Fläche-ZW'!P$3:P$47)/100*$AD$1</f>
        <v>32.406400000000005</v>
      </c>
      <c r="AR9" s="1053">
        <f>SUMPRODUCT(KZ_Raum_2024!$L$7:$L$51,'Fläche-ZW'!Q$3:Q$47)/100*$AD$1</f>
        <v>0</v>
      </c>
      <c r="AS9" s="1053">
        <f>SUMPRODUCT(KZ_Raum_2024!$L$7:$L$51,'Fläche-ZW'!R$3:R$47)/100*$AD$1</f>
        <v>0.87200000000000011</v>
      </c>
      <c r="AT9" s="1053">
        <f>SUMPRODUCT(KZ_Raum_2024!$L$7:$L$51,'Fläche-ZW'!S$3:S$47)/100*$AD$1</f>
        <v>1.3080000000000001</v>
      </c>
      <c r="AU9" s="1053">
        <f>SUMPRODUCT(KZ_Raum_2024!$L$7:$L$51,'Fläche-ZW'!T$3:T$47)/100*$AD$1</f>
        <v>0.43600000000000005</v>
      </c>
      <c r="AV9" s="1053">
        <f>SUMPRODUCT(KZ_Raum_2024!$L$7:$L$51,'Fläche-ZW'!U$3:U$47)/100*$AD$1</f>
        <v>7.5680000000000014</v>
      </c>
      <c r="AW9" s="1053">
        <f>SUMPRODUCT(KZ_Raum_2024!$L$7:$L$51,'Fläche-ZW'!V$3:V$47)/100*$AD$1</f>
        <v>0</v>
      </c>
      <c r="AX9" s="1053">
        <f>SUMPRODUCT(KZ_Raum_2024!$L$7:$L$51,'Fläche-ZW'!W$3:W$47)/100*$AD$1</f>
        <v>0</v>
      </c>
      <c r="AY9" s="781">
        <f>SUMPRODUCT(KZ_Raum_2024!$L$7:$L$51,'Fläche-ZW'!X$3:X$47)/100*$AD$1</f>
        <v>81.84</v>
      </c>
      <c r="AZ9" s="1054">
        <f>SUMPRODUCT(KZ_Raum_2024!$D$7:$D$51,'Fläche-ZW'!Y$3:Y$47)/100*$AD$1</f>
        <v>0</v>
      </c>
      <c r="BC9" s="755" t="s">
        <v>1099</v>
      </c>
      <c r="BD9" s="756" t="s">
        <v>16</v>
      </c>
      <c r="BE9" s="751">
        <v>0.7</v>
      </c>
      <c r="BF9" s="751"/>
      <c r="BG9" s="751"/>
      <c r="BH9" s="751">
        <v>0.7</v>
      </c>
      <c r="BI9" s="751">
        <v>0.9</v>
      </c>
      <c r="BJ9" s="751">
        <v>0.9</v>
      </c>
      <c r="BK9" s="751"/>
      <c r="BL9" s="751"/>
      <c r="BM9" s="751">
        <v>0.8</v>
      </c>
      <c r="BN9" s="751"/>
      <c r="BO9" s="751"/>
      <c r="BP9" s="751"/>
      <c r="BQ9" s="751">
        <v>0.7</v>
      </c>
      <c r="BR9" s="751">
        <v>0.8</v>
      </c>
      <c r="BS9" s="751">
        <v>0.7</v>
      </c>
      <c r="BT9" s="751"/>
      <c r="BU9" s="751"/>
      <c r="BV9" s="751">
        <v>0.9</v>
      </c>
      <c r="BW9" s="751">
        <v>0.9</v>
      </c>
      <c r="BX9" s="751">
        <v>0.9</v>
      </c>
      <c r="BY9" s="751">
        <v>0.7</v>
      </c>
      <c r="BZ9" s="751"/>
      <c r="CB9" s="755" t="s">
        <v>1099</v>
      </c>
      <c r="CC9" s="756" t="s">
        <v>16</v>
      </c>
      <c r="CD9" s="767">
        <f>ROUND((AE3+AE4)/CD8,1)</f>
        <v>0.7</v>
      </c>
      <c r="CE9" s="813"/>
      <c r="CF9" s="813"/>
      <c r="CG9" s="767">
        <f t="shared" ref="CG9:CO9" si="31">ROUND((AH3+AH4)/CG8,1)</f>
        <v>0.8</v>
      </c>
      <c r="CH9" s="766">
        <f t="shared" si="31"/>
        <v>0.7</v>
      </c>
      <c r="CI9" s="766">
        <f t="shared" si="31"/>
        <v>0.5</v>
      </c>
      <c r="CJ9" s="766">
        <f t="shared" si="31"/>
        <v>0.5</v>
      </c>
      <c r="CK9" s="766">
        <f t="shared" si="31"/>
        <v>0.4</v>
      </c>
      <c r="CL9" s="813">
        <f t="shared" si="31"/>
        <v>0.7</v>
      </c>
      <c r="CM9" s="813">
        <f t="shared" si="31"/>
        <v>0.7</v>
      </c>
      <c r="CN9" s="813">
        <f t="shared" si="31"/>
        <v>0.7</v>
      </c>
      <c r="CO9" s="813">
        <f t="shared" si="31"/>
        <v>0.6</v>
      </c>
      <c r="CP9" s="766">
        <f>ROUND((AQ3+AQ4)/CP8,1)</f>
        <v>0.3</v>
      </c>
      <c r="CQ9" s="766">
        <f t="shared" ref="CQ9:CX9" si="32">ROUND((AR3+AR4)/CQ8,1)</f>
        <v>0.5</v>
      </c>
      <c r="CR9" s="766">
        <f t="shared" si="32"/>
        <v>0.4</v>
      </c>
      <c r="CS9" s="766">
        <f t="shared" si="32"/>
        <v>0.5</v>
      </c>
      <c r="CT9" s="766">
        <f t="shared" si="32"/>
        <v>0.4</v>
      </c>
      <c r="CU9" s="766">
        <f t="shared" si="32"/>
        <v>0.5</v>
      </c>
      <c r="CV9" s="813">
        <f t="shared" si="32"/>
        <v>0.7</v>
      </c>
      <c r="CW9" s="766">
        <f t="shared" si="32"/>
        <v>0.4</v>
      </c>
      <c r="CX9" s="766">
        <f t="shared" si="32"/>
        <v>0.4</v>
      </c>
      <c r="CY9" s="759"/>
      <c r="DB9" s="764" t="s">
        <v>1097</v>
      </c>
      <c r="DC9" s="756" t="s">
        <v>134</v>
      </c>
      <c r="DD9" s="813">
        <f>DD8-AE8</f>
        <v>4.4835199999999968</v>
      </c>
      <c r="DE9" s="751"/>
      <c r="DF9" s="751"/>
      <c r="DG9" s="751"/>
      <c r="DH9" s="813">
        <f>DH8-AI8</f>
        <v>0.73359817142857131</v>
      </c>
      <c r="DI9" s="813">
        <f>DI8-AJ8</f>
        <v>1.3409350410176124</v>
      </c>
      <c r="DJ9" s="751"/>
      <c r="DK9" s="751"/>
      <c r="DL9" s="751"/>
      <c r="DM9" s="813">
        <f>DM8-AN8</f>
        <v>0.58910857142857109</v>
      </c>
      <c r="DN9" s="813">
        <f>DN8-AO8</f>
        <v>0.58910857142857109</v>
      </c>
      <c r="DO9" s="751"/>
      <c r="DP9" s="813">
        <f>DP8-AQ8</f>
        <v>15.32659657142856</v>
      </c>
      <c r="DQ9" s="750"/>
      <c r="DR9" s="750"/>
      <c r="DS9" s="750"/>
      <c r="DT9" s="750"/>
      <c r="DU9" s="750"/>
      <c r="DV9" s="750"/>
      <c r="DW9" s="750"/>
      <c r="DZ9" s="800" t="s">
        <v>1146</v>
      </c>
      <c r="EA9" s="797" t="s">
        <v>134</v>
      </c>
      <c r="EB9" s="807">
        <v>55</v>
      </c>
      <c r="EC9" s="807"/>
      <c r="ED9" s="807"/>
      <c r="EE9" s="807">
        <v>55</v>
      </c>
      <c r="EF9" s="807">
        <v>110</v>
      </c>
      <c r="EG9" s="807">
        <v>45</v>
      </c>
      <c r="EH9" s="807"/>
      <c r="EI9" s="807"/>
      <c r="EJ9" s="807">
        <v>120</v>
      </c>
      <c r="EK9" s="807"/>
      <c r="EL9" s="807"/>
      <c r="EM9" s="807"/>
      <c r="EN9" s="807">
        <v>100</v>
      </c>
      <c r="EO9" s="807">
        <v>55</v>
      </c>
      <c r="EP9" s="807">
        <v>110</v>
      </c>
      <c r="EQ9" s="807"/>
      <c r="ER9" s="807"/>
      <c r="ES9" s="807">
        <v>80</v>
      </c>
      <c r="ET9" s="807">
        <v>55</v>
      </c>
      <c r="EU9" s="807">
        <v>55</v>
      </c>
      <c r="EX9" s="800" t="s">
        <v>1203</v>
      </c>
      <c r="EY9" s="797" t="s">
        <v>134</v>
      </c>
      <c r="EZ9" s="807">
        <f>EB9/2</f>
        <v>27.5</v>
      </c>
      <c r="FA9" s="807">
        <f t="shared" si="15"/>
        <v>0</v>
      </c>
      <c r="FB9" s="807">
        <f t="shared" si="15"/>
        <v>0</v>
      </c>
      <c r="FC9" s="807">
        <f t="shared" si="15"/>
        <v>27.5</v>
      </c>
      <c r="FD9" s="807">
        <f t="shared" si="15"/>
        <v>55</v>
      </c>
      <c r="FE9" s="807">
        <f t="shared" si="15"/>
        <v>22.5</v>
      </c>
      <c r="FF9" s="807">
        <f t="shared" si="15"/>
        <v>0</v>
      </c>
      <c r="FG9" s="807">
        <f t="shared" si="15"/>
        <v>0</v>
      </c>
      <c r="FH9" s="807">
        <f t="shared" si="15"/>
        <v>60</v>
      </c>
      <c r="FI9" s="807">
        <f t="shared" si="15"/>
        <v>0</v>
      </c>
      <c r="FJ9" s="807">
        <f t="shared" si="15"/>
        <v>0</v>
      </c>
      <c r="FK9" s="807">
        <f t="shared" si="16"/>
        <v>0</v>
      </c>
      <c r="FL9" s="807">
        <f t="shared" si="16"/>
        <v>50</v>
      </c>
      <c r="FM9" s="807">
        <f t="shared" si="16"/>
        <v>27.5</v>
      </c>
      <c r="FN9" s="807">
        <f t="shared" si="16"/>
        <v>55</v>
      </c>
      <c r="FO9" s="807">
        <f t="shared" si="16"/>
        <v>0</v>
      </c>
      <c r="FP9" s="807">
        <f t="shared" si="16"/>
        <v>0</v>
      </c>
      <c r="FQ9" s="807">
        <f t="shared" si="16"/>
        <v>40</v>
      </c>
      <c r="FR9" s="807">
        <f t="shared" si="16"/>
        <v>27.5</v>
      </c>
      <c r="FS9" s="807">
        <f t="shared" si="16"/>
        <v>27.5</v>
      </c>
      <c r="FT9" s="801">
        <f t="shared" si="16"/>
        <v>0</v>
      </c>
      <c r="FU9" s="797">
        <f t="shared" si="16"/>
        <v>0</v>
      </c>
      <c r="FV9" s="797"/>
      <c r="FW9" s="773" t="s">
        <v>17</v>
      </c>
      <c r="FX9" s="754" t="s">
        <v>134</v>
      </c>
      <c r="FY9" s="808">
        <f t="shared" ref="FY9:GT9" si="33">AE4</f>
        <v>0.80216196581196597</v>
      </c>
      <c r="FZ9" s="808">
        <f t="shared" si="33"/>
        <v>2.1526810000000007</v>
      </c>
      <c r="GA9" s="808">
        <f t="shared" si="33"/>
        <v>4.8560016666666677</v>
      </c>
      <c r="GB9" s="808">
        <f t="shared" si="33"/>
        <v>0.82553874643874647</v>
      </c>
      <c r="GC9" s="808">
        <f t="shared" si="33"/>
        <v>1.2562361965811963</v>
      </c>
      <c r="GD9" s="808">
        <f t="shared" si="33"/>
        <v>0.99508483923483948</v>
      </c>
      <c r="GE9" s="808">
        <f t="shared" si="33"/>
        <v>0.99508483923483948</v>
      </c>
      <c r="GF9" s="808">
        <f t="shared" si="33"/>
        <v>1.521361406186406</v>
      </c>
      <c r="GG9" s="808">
        <f t="shared" si="33"/>
        <v>14.517997136752136</v>
      </c>
      <c r="GH9" s="808">
        <f t="shared" si="33"/>
        <v>14.512314031339029</v>
      </c>
      <c r="GI9" s="808">
        <f t="shared" si="33"/>
        <v>14.517997136752136</v>
      </c>
      <c r="GJ9" s="808">
        <f t="shared" si="33"/>
        <v>11.652166367521367</v>
      </c>
      <c r="GK9" s="808">
        <f t="shared" si="33"/>
        <v>2.374415242165242</v>
      </c>
      <c r="GL9" s="808">
        <f t="shared" si="33"/>
        <v>6.0826807692307696</v>
      </c>
      <c r="GM9" s="808">
        <f t="shared" si="33"/>
        <v>3.2836374643874642</v>
      </c>
      <c r="GN9" s="808">
        <f t="shared" si="33"/>
        <v>3.6043782051282052</v>
      </c>
      <c r="GO9" s="808">
        <f t="shared" si="33"/>
        <v>2.9449035612535615</v>
      </c>
      <c r="GP9" s="808">
        <f t="shared" si="33"/>
        <v>1.8168513247863249</v>
      </c>
      <c r="GQ9" s="808">
        <f t="shared" si="33"/>
        <v>2.9044777136752145</v>
      </c>
      <c r="GR9" s="808">
        <f t="shared" si="33"/>
        <v>2.5448910256410247</v>
      </c>
      <c r="GS9" s="808">
        <f t="shared" si="33"/>
        <v>1.8661383190883194</v>
      </c>
      <c r="GT9" s="808">
        <f t="shared" si="33"/>
        <v>1.1488220170940169</v>
      </c>
      <c r="GV9" s="773" t="s">
        <v>17</v>
      </c>
      <c r="GW9" s="754" t="s">
        <v>134</v>
      </c>
      <c r="GX9" s="724"/>
      <c r="GY9" s="1292">
        <v>5.5</v>
      </c>
      <c r="GZ9" s="1297">
        <v>6.2</v>
      </c>
      <c r="HA9" s="1292">
        <v>5.5</v>
      </c>
      <c r="HB9" s="1292">
        <v>10.1</v>
      </c>
      <c r="HC9" s="1292"/>
      <c r="HD9" s="1292">
        <v>8.5</v>
      </c>
      <c r="HE9" s="1297">
        <v>9</v>
      </c>
      <c r="HF9" s="1292"/>
      <c r="HG9" s="1297">
        <v>30.5</v>
      </c>
      <c r="HH9" s="1292">
        <v>30.5</v>
      </c>
      <c r="HI9" s="1292"/>
      <c r="HJ9" s="1292">
        <v>10.5</v>
      </c>
      <c r="HK9" s="1292">
        <v>16.5</v>
      </c>
      <c r="HL9" s="1292"/>
      <c r="HM9" s="1292">
        <v>13.5</v>
      </c>
      <c r="HN9" s="1292">
        <v>11</v>
      </c>
      <c r="HO9" s="1292">
        <v>13.4</v>
      </c>
      <c r="HP9" s="1292">
        <v>18.5</v>
      </c>
      <c r="HQ9" s="1292">
        <v>13.8</v>
      </c>
      <c r="HR9" s="1297">
        <v>11.9</v>
      </c>
      <c r="HS9" s="1297">
        <v>2</v>
      </c>
    </row>
    <row r="10" spans="1:227" s="754" customFormat="1" ht="15.75" customHeight="1">
      <c r="A10" s="1392">
        <f>Eingabedaten!A16</f>
        <v>3.04</v>
      </c>
      <c r="B10" s="750" t="str">
        <f>Eingabedaten!C16</f>
        <v>Schalterhalle, Empfang</v>
      </c>
      <c r="C10" s="751" t="s">
        <v>5</v>
      </c>
      <c r="D10" s="753"/>
      <c r="E10" s="753"/>
      <c r="F10" s="753"/>
      <c r="G10" s="753"/>
      <c r="H10" s="753">
        <v>5</v>
      </c>
      <c r="I10" s="753"/>
      <c r="J10" s="753"/>
      <c r="K10" s="752">
        <v>5</v>
      </c>
      <c r="L10" s="753"/>
      <c r="M10" s="753"/>
      <c r="N10" s="753"/>
      <c r="O10" s="753"/>
      <c r="P10" s="753"/>
      <c r="Q10" s="753"/>
      <c r="R10" s="753"/>
      <c r="S10" s="753"/>
      <c r="T10" s="753"/>
      <c r="U10" s="753"/>
      <c r="V10" s="753"/>
      <c r="W10" s="753"/>
      <c r="X10" s="753"/>
      <c r="Y10" s="753"/>
      <c r="AA10" s="769">
        <f>1/Eingabedaten!AP16</f>
        <v>8.3333333333333329E-2</v>
      </c>
      <c r="AC10" s="773" t="s">
        <v>1402</v>
      </c>
      <c r="AD10" s="774" t="s">
        <v>134</v>
      </c>
      <c r="AE10" s="1100">
        <f>SUM(AE3:AE5)</f>
        <v>9.3851903658119671</v>
      </c>
      <c r="AF10" s="780">
        <f>SUM(AF3:AF5)</f>
        <v>19.629388200000005</v>
      </c>
      <c r="AG10" s="780">
        <f t="shared" ref="AG10:AZ10" si="34">SUM(AG3:AG5)</f>
        <v>21.833027571428577</v>
      </c>
      <c r="AH10" s="780">
        <f t="shared" si="34"/>
        <v>7.8439528584387466</v>
      </c>
      <c r="AI10" s="780">
        <f t="shared" si="34"/>
        <v>12.824339484200244</v>
      </c>
      <c r="AJ10" s="780">
        <f t="shared" si="34"/>
        <v>5.8916664735205551</v>
      </c>
      <c r="AK10" s="780">
        <f t="shared" si="34"/>
        <v>5.8916664735205551</v>
      </c>
      <c r="AL10" s="780">
        <f t="shared" si="34"/>
        <v>9.1340616080911694</v>
      </c>
      <c r="AM10" s="780">
        <f t="shared" si="34"/>
        <v>18.574749491037849</v>
      </c>
      <c r="AN10" s="780">
        <f t="shared" si="34"/>
        <v>18.749328305624744</v>
      </c>
      <c r="AO10" s="780">
        <f t="shared" si="34"/>
        <v>18.574749491037849</v>
      </c>
      <c r="AP10" s="780">
        <f t="shared" si="34"/>
        <v>15.317773121807083</v>
      </c>
      <c r="AQ10" s="780">
        <f t="shared" si="34"/>
        <v>10.104638716450957</v>
      </c>
      <c r="AR10" s="780">
        <f t="shared" si="34"/>
        <v>14.044010483516484</v>
      </c>
      <c r="AS10" s="780">
        <f t="shared" si="34"/>
        <v>11.403039712006512</v>
      </c>
      <c r="AT10" s="780">
        <f t="shared" si="34"/>
        <v>12.254254052747253</v>
      </c>
      <c r="AU10" s="780">
        <f t="shared" si="34"/>
        <v>11.028725808872609</v>
      </c>
      <c r="AV10" s="780">
        <f t="shared" si="34"/>
        <v>9.8943910746275954</v>
      </c>
      <c r="AW10" s="780">
        <f t="shared" si="34"/>
        <v>6.1239612746275967</v>
      </c>
      <c r="AX10" s="780">
        <f t="shared" si="34"/>
        <v>3.8950726256410246</v>
      </c>
      <c r="AY10" s="781">
        <f t="shared" si="34"/>
        <v>8.8970792333740363</v>
      </c>
      <c r="AZ10" s="781">
        <f t="shared" si="34"/>
        <v>2.7557940170940167</v>
      </c>
      <c r="BC10" s="764" t="s">
        <v>1196</v>
      </c>
      <c r="BD10" s="756" t="s">
        <v>1101</v>
      </c>
      <c r="BE10" s="760">
        <f>BE8*BE9</f>
        <v>19.599999999999998</v>
      </c>
      <c r="BF10" s="760">
        <f t="shared" ref="BF10:BY10" si="35">BF8*BF9</f>
        <v>0</v>
      </c>
      <c r="BG10" s="760">
        <f t="shared" si="35"/>
        <v>0</v>
      </c>
      <c r="BH10" s="760">
        <f t="shared" si="35"/>
        <v>15.399999999999999</v>
      </c>
      <c r="BI10" s="760">
        <f t="shared" si="35"/>
        <v>19.8</v>
      </c>
      <c r="BJ10" s="760">
        <f t="shared" si="35"/>
        <v>9.9</v>
      </c>
      <c r="BK10" s="760">
        <f t="shared" si="35"/>
        <v>0</v>
      </c>
      <c r="BL10" s="760">
        <f t="shared" si="35"/>
        <v>0</v>
      </c>
      <c r="BM10" s="760">
        <f t="shared" si="35"/>
        <v>26.400000000000002</v>
      </c>
      <c r="BN10" s="760">
        <f t="shared" si="35"/>
        <v>0</v>
      </c>
      <c r="BO10" s="760">
        <f t="shared" si="35"/>
        <v>0</v>
      </c>
      <c r="BP10" s="760">
        <f t="shared" si="35"/>
        <v>0</v>
      </c>
      <c r="BQ10" s="760">
        <f t="shared" si="35"/>
        <v>23.099999999999998</v>
      </c>
      <c r="BR10" s="760">
        <f t="shared" si="35"/>
        <v>13.600000000000001</v>
      </c>
      <c r="BS10" s="760">
        <f t="shared" si="35"/>
        <v>19.599999999999998</v>
      </c>
      <c r="BT10" s="760">
        <f t="shared" si="35"/>
        <v>0</v>
      </c>
      <c r="BU10" s="760">
        <f t="shared" si="35"/>
        <v>0</v>
      </c>
      <c r="BV10" s="760">
        <f t="shared" si="35"/>
        <v>15.3</v>
      </c>
      <c r="BW10" s="760">
        <f t="shared" si="35"/>
        <v>5.4</v>
      </c>
      <c r="BX10" s="760">
        <f t="shared" si="35"/>
        <v>5.4</v>
      </c>
      <c r="BY10" s="760">
        <f t="shared" si="35"/>
        <v>39.199999999999996</v>
      </c>
      <c r="BZ10" s="751"/>
      <c r="CB10" s="764" t="s">
        <v>1404</v>
      </c>
      <c r="CC10" s="756" t="s">
        <v>1101</v>
      </c>
      <c r="CD10" s="762">
        <f>CD8*CD9</f>
        <v>8.3999999999999986</v>
      </c>
      <c r="CE10" s="762">
        <f t="shared" ref="CE10:CX10" si="36">CE8*CE9</f>
        <v>0</v>
      </c>
      <c r="CF10" s="751">
        <f t="shared" si="36"/>
        <v>0</v>
      </c>
      <c r="CG10" s="758">
        <f t="shared" si="36"/>
        <v>7.2</v>
      </c>
      <c r="CH10" s="758">
        <f t="shared" si="36"/>
        <v>11.2</v>
      </c>
      <c r="CI10" s="758">
        <f t="shared" si="36"/>
        <v>4.5</v>
      </c>
      <c r="CJ10" s="758">
        <f t="shared" si="36"/>
        <v>4.5</v>
      </c>
      <c r="CK10" s="758">
        <f t="shared" si="36"/>
        <v>6.8000000000000007</v>
      </c>
      <c r="CL10" s="758">
        <f t="shared" si="36"/>
        <v>18.2</v>
      </c>
      <c r="CM10" s="751">
        <f t="shared" si="36"/>
        <v>18.2</v>
      </c>
      <c r="CN10" s="751">
        <f t="shared" si="36"/>
        <v>18.2</v>
      </c>
      <c r="CO10" s="751">
        <f t="shared" si="36"/>
        <v>13.799999999999999</v>
      </c>
      <c r="CP10" s="759">
        <f t="shared" si="36"/>
        <v>5.3999999999999995</v>
      </c>
      <c r="CQ10" s="758">
        <f t="shared" si="36"/>
        <v>9</v>
      </c>
      <c r="CR10" s="751">
        <f t="shared" si="36"/>
        <v>8</v>
      </c>
      <c r="CS10" s="758">
        <f t="shared" si="36"/>
        <v>10</v>
      </c>
      <c r="CT10" s="758">
        <f t="shared" si="36"/>
        <v>7.6000000000000005</v>
      </c>
      <c r="CU10" s="758">
        <f t="shared" si="36"/>
        <v>8.5</v>
      </c>
      <c r="CV10" s="758">
        <f t="shared" si="36"/>
        <v>5.6</v>
      </c>
      <c r="CW10" s="758">
        <f t="shared" si="36"/>
        <v>2.8000000000000003</v>
      </c>
      <c r="CX10" s="759">
        <f t="shared" si="36"/>
        <v>6.4</v>
      </c>
      <c r="CY10" s="759"/>
      <c r="DB10" s="755" t="s">
        <v>1095</v>
      </c>
      <c r="DC10" s="756" t="s">
        <v>134</v>
      </c>
      <c r="DD10" s="760">
        <f>SUM(DD3:DD5)</f>
        <v>17</v>
      </c>
      <c r="DE10" s="760"/>
      <c r="DF10" s="760"/>
      <c r="DG10" s="760"/>
      <c r="DH10" s="760">
        <f>SUM(DH3:DH5)</f>
        <v>29</v>
      </c>
      <c r="DI10" s="760">
        <f>SUM(DI3:DI5)</f>
        <v>13</v>
      </c>
      <c r="DJ10" s="760"/>
      <c r="DK10" s="760"/>
      <c r="DL10" s="751"/>
      <c r="DM10" s="760">
        <f>SUM(DM3:DM5)</f>
        <v>242</v>
      </c>
      <c r="DN10" s="760">
        <f>SUM(DN3:DN5)</f>
        <v>40</v>
      </c>
      <c r="DO10" s="751"/>
      <c r="DP10" s="760">
        <f>SUM(DP3:DP5)</f>
        <v>67</v>
      </c>
      <c r="DQ10" s="750"/>
      <c r="DR10" s="750"/>
      <c r="DS10" s="750"/>
      <c r="DT10" s="750"/>
      <c r="DU10" s="750"/>
      <c r="DV10" s="750"/>
      <c r="DW10" s="750"/>
      <c r="DZ10" s="773" t="s">
        <v>1147</v>
      </c>
      <c r="EA10" s="754" t="s">
        <v>134</v>
      </c>
      <c r="EB10" s="769">
        <f>EB8-EB9</f>
        <v>17</v>
      </c>
      <c r="EC10" s="769">
        <f t="shared" ref="EC10:EU10" si="37">EC8-EC9</f>
        <v>0</v>
      </c>
      <c r="ED10" s="769">
        <f t="shared" si="37"/>
        <v>0</v>
      </c>
      <c r="EE10" s="769">
        <f t="shared" si="37"/>
        <v>15</v>
      </c>
      <c r="EF10" s="769">
        <f t="shared" si="37"/>
        <v>27</v>
      </c>
      <c r="EG10" s="769">
        <f t="shared" si="37"/>
        <v>27</v>
      </c>
      <c r="EH10" s="769">
        <f t="shared" si="37"/>
        <v>0</v>
      </c>
      <c r="EI10" s="769">
        <f t="shared" si="37"/>
        <v>0</v>
      </c>
      <c r="EJ10" s="769">
        <f t="shared" si="37"/>
        <v>36</v>
      </c>
      <c r="EK10" s="769">
        <f t="shared" si="37"/>
        <v>0</v>
      </c>
      <c r="EL10" s="769">
        <f t="shared" si="37"/>
        <v>0</v>
      </c>
      <c r="EM10" s="769">
        <f t="shared" si="37"/>
        <v>0</v>
      </c>
      <c r="EN10" s="769">
        <f t="shared" si="37"/>
        <v>23</v>
      </c>
      <c r="EO10" s="769">
        <f t="shared" si="37"/>
        <v>19</v>
      </c>
      <c r="EP10" s="769">
        <f t="shared" si="37"/>
        <v>31</v>
      </c>
      <c r="EQ10" s="769"/>
      <c r="ER10" s="769"/>
      <c r="ES10" s="769">
        <f t="shared" si="37"/>
        <v>4</v>
      </c>
      <c r="ET10" s="769">
        <f t="shared" si="37"/>
        <v>7</v>
      </c>
      <c r="EU10" s="769">
        <f t="shared" si="37"/>
        <v>2</v>
      </c>
      <c r="EX10" s="773" t="s">
        <v>1202</v>
      </c>
      <c r="EY10" s="754" t="s">
        <v>134</v>
      </c>
      <c r="EZ10" s="769">
        <f>EZ8-EZ9</f>
        <v>8.5</v>
      </c>
      <c r="FA10" s="769">
        <f t="shared" ref="FA10:FU10" si="38">FA8-FA9</f>
        <v>0</v>
      </c>
      <c r="FB10" s="769">
        <f t="shared" si="38"/>
        <v>0</v>
      </c>
      <c r="FC10" s="769">
        <f t="shared" si="38"/>
        <v>7.5</v>
      </c>
      <c r="FD10" s="769">
        <f t="shared" si="38"/>
        <v>13.5</v>
      </c>
      <c r="FE10" s="769">
        <f t="shared" si="38"/>
        <v>13.5</v>
      </c>
      <c r="FF10" s="769">
        <f t="shared" si="38"/>
        <v>0</v>
      </c>
      <c r="FG10" s="769">
        <f t="shared" si="38"/>
        <v>0</v>
      </c>
      <c r="FH10" s="769">
        <f t="shared" si="38"/>
        <v>18</v>
      </c>
      <c r="FI10" s="769">
        <f t="shared" si="38"/>
        <v>0</v>
      </c>
      <c r="FJ10" s="769">
        <f t="shared" si="38"/>
        <v>0</v>
      </c>
      <c r="FK10" s="769">
        <f t="shared" si="38"/>
        <v>0</v>
      </c>
      <c r="FL10" s="769">
        <f t="shared" si="38"/>
        <v>11.5</v>
      </c>
      <c r="FM10" s="769">
        <f t="shared" si="38"/>
        <v>9.5</v>
      </c>
      <c r="FN10" s="769">
        <f t="shared" si="38"/>
        <v>15.5</v>
      </c>
      <c r="FO10" s="769">
        <f t="shared" si="38"/>
        <v>0</v>
      </c>
      <c r="FP10" s="769">
        <f t="shared" si="38"/>
        <v>0</v>
      </c>
      <c r="FQ10" s="769">
        <f t="shared" si="38"/>
        <v>2</v>
      </c>
      <c r="FR10" s="769">
        <f t="shared" si="38"/>
        <v>3.5</v>
      </c>
      <c r="FS10" s="769">
        <f t="shared" si="38"/>
        <v>1</v>
      </c>
      <c r="FT10" s="774">
        <f t="shared" si="38"/>
        <v>0</v>
      </c>
      <c r="FU10" s="754">
        <f t="shared" si="38"/>
        <v>0</v>
      </c>
      <c r="FW10" s="773" t="s">
        <v>1143</v>
      </c>
      <c r="FX10" s="754" t="s">
        <v>134</v>
      </c>
      <c r="FY10" s="808">
        <f t="shared" ref="FY10:GT10" si="39">AE11</f>
        <v>3</v>
      </c>
      <c r="FZ10" s="808">
        <f t="shared" si="39"/>
        <v>3</v>
      </c>
      <c r="GA10" s="808">
        <f t="shared" si="39"/>
        <v>8.16</v>
      </c>
      <c r="GB10" s="808">
        <f t="shared" si="39"/>
        <v>1.4</v>
      </c>
      <c r="GC10" s="808">
        <f t="shared" si="39"/>
        <v>3.3680000000000003</v>
      </c>
      <c r="GD10" s="808">
        <f t="shared" si="39"/>
        <v>3.1280000000000001</v>
      </c>
      <c r="GE10" s="808">
        <f t="shared" si="39"/>
        <v>3.1280000000000001</v>
      </c>
      <c r="GF10" s="808">
        <f t="shared" si="39"/>
        <v>8.16</v>
      </c>
      <c r="GG10" s="808">
        <f t="shared" si="39"/>
        <v>7.5440000000000005</v>
      </c>
      <c r="GH10" s="808">
        <f t="shared" si="39"/>
        <v>7.5440000000000005</v>
      </c>
      <c r="GI10" s="808">
        <f t="shared" si="39"/>
        <v>7.5440000000000005</v>
      </c>
      <c r="GJ10" s="808">
        <f t="shared" si="39"/>
        <v>7.5440000000000005</v>
      </c>
      <c r="GK10" s="808">
        <f t="shared" si="39"/>
        <v>8.3840000000000003</v>
      </c>
      <c r="GL10" s="808">
        <f t="shared" si="39"/>
        <v>3.8479999999999999</v>
      </c>
      <c r="GM10" s="808">
        <f t="shared" si="39"/>
        <v>8.2000000000000011</v>
      </c>
      <c r="GN10" s="808">
        <f t="shared" si="39"/>
        <v>8.2000000000000011</v>
      </c>
      <c r="GO10" s="808">
        <f t="shared" si="39"/>
        <v>8.2000000000000011</v>
      </c>
      <c r="GP10" s="808">
        <f t="shared" si="39"/>
        <v>6.6959999999999997</v>
      </c>
      <c r="GQ10" s="808">
        <f t="shared" si="39"/>
        <v>1.6480000000000001</v>
      </c>
      <c r="GR10" s="808">
        <f t="shared" si="39"/>
        <v>3.2320000000000002</v>
      </c>
      <c r="GS10" s="808">
        <f t="shared" si="39"/>
        <v>6.88</v>
      </c>
      <c r="GT10" s="808">
        <f t="shared" si="39"/>
        <v>4.2160000000000002</v>
      </c>
      <c r="GV10" s="773" t="s">
        <v>1143</v>
      </c>
      <c r="GW10" s="754" t="s">
        <v>134</v>
      </c>
      <c r="GX10" s="724"/>
      <c r="GY10" s="1296">
        <f>AF11</f>
        <v>3</v>
      </c>
      <c r="GZ10" s="1116">
        <f t="shared" ref="GZ10:HS10" si="40">AG11</f>
        <v>8.16</v>
      </c>
      <c r="HA10" s="1116">
        <f t="shared" si="40"/>
        <v>1.4</v>
      </c>
      <c r="HB10" s="1116">
        <f t="shared" si="40"/>
        <v>3.3680000000000003</v>
      </c>
      <c r="HC10" s="1116">
        <f t="shared" si="40"/>
        <v>3.1280000000000001</v>
      </c>
      <c r="HD10" s="1116">
        <f t="shared" si="40"/>
        <v>3.1280000000000001</v>
      </c>
      <c r="HE10" s="1116">
        <f t="shared" si="40"/>
        <v>8.16</v>
      </c>
      <c r="HF10" s="1116">
        <f t="shared" si="40"/>
        <v>7.5440000000000005</v>
      </c>
      <c r="HG10" s="1116">
        <f t="shared" si="40"/>
        <v>7.5440000000000005</v>
      </c>
      <c r="HH10" s="1116">
        <f t="shared" si="40"/>
        <v>7.5440000000000005</v>
      </c>
      <c r="HI10" s="1116">
        <f t="shared" si="40"/>
        <v>7.5440000000000005</v>
      </c>
      <c r="HJ10" s="1116">
        <f t="shared" si="40"/>
        <v>8.3840000000000003</v>
      </c>
      <c r="HK10" s="1116">
        <f t="shared" si="40"/>
        <v>3.8479999999999999</v>
      </c>
      <c r="HL10" s="1116">
        <f t="shared" si="40"/>
        <v>8.2000000000000011</v>
      </c>
      <c r="HM10" s="1116">
        <f t="shared" si="40"/>
        <v>8.2000000000000011</v>
      </c>
      <c r="HN10" s="1116">
        <f t="shared" si="40"/>
        <v>8.2000000000000011</v>
      </c>
      <c r="HO10" s="1116">
        <f t="shared" si="40"/>
        <v>6.6959999999999997</v>
      </c>
      <c r="HP10" s="1116">
        <f t="shared" si="40"/>
        <v>1.6480000000000001</v>
      </c>
      <c r="HQ10" s="1116">
        <f t="shared" si="40"/>
        <v>3.2320000000000002</v>
      </c>
      <c r="HR10" s="1116">
        <f t="shared" si="40"/>
        <v>6.88</v>
      </c>
      <c r="HS10" s="1116">
        <f t="shared" si="40"/>
        <v>4.2160000000000002</v>
      </c>
    </row>
    <row r="11" spans="1:227" ht="15.75" customHeight="1">
      <c r="A11" s="1393">
        <f>Eingabedaten!A17</f>
        <v>4.01</v>
      </c>
      <c r="B11" s="738" t="str">
        <f>Eingabedaten!C17</f>
        <v>Schulzimmer</v>
      </c>
      <c r="C11" s="724" t="s">
        <v>5</v>
      </c>
      <c r="D11" s="740"/>
      <c r="E11" s="740"/>
      <c r="F11" s="740"/>
      <c r="G11" s="740"/>
      <c r="H11" s="740"/>
      <c r="I11" s="739">
        <v>45</v>
      </c>
      <c r="J11" s="739">
        <v>45</v>
      </c>
      <c r="K11" s="739">
        <v>10</v>
      </c>
      <c r="L11" s="740"/>
      <c r="M11" s="740"/>
      <c r="N11" s="740"/>
      <c r="O11" s="740"/>
      <c r="P11" s="740"/>
      <c r="Q11" s="740"/>
      <c r="R11" s="740"/>
      <c r="S11" s="740"/>
      <c r="T11" s="740"/>
      <c r="U11" s="740"/>
      <c r="V11" s="740"/>
      <c r="W11" s="740"/>
      <c r="X11" s="740"/>
      <c r="Y11" s="740"/>
      <c r="AA11" s="770">
        <f>1/Eingabedaten!AP17</f>
        <v>0.25</v>
      </c>
      <c r="AC11" s="775" t="s">
        <v>1114</v>
      </c>
      <c r="AD11" s="776" t="s">
        <v>134</v>
      </c>
      <c r="AE11" s="1295">
        <f>3.75*$AD1</f>
        <v>3</v>
      </c>
      <c r="AF11" s="1293">
        <f>AE11</f>
        <v>3</v>
      </c>
      <c r="AG11" s="782">
        <f>10.2*$AD1</f>
        <v>8.16</v>
      </c>
      <c r="AH11" s="782">
        <v>1.4</v>
      </c>
      <c r="AI11" s="1293">
        <f>4.21*$AD1</f>
        <v>3.3680000000000003</v>
      </c>
      <c r="AJ11" s="1293">
        <f>3.91*$AD1</f>
        <v>3.1280000000000001</v>
      </c>
      <c r="AK11" s="1293">
        <f>AJ11</f>
        <v>3.1280000000000001</v>
      </c>
      <c r="AL11" s="1293">
        <f>10.2*$AD1</f>
        <v>8.16</v>
      </c>
      <c r="AM11" s="1293">
        <f>9.43*$AD1</f>
        <v>7.5440000000000005</v>
      </c>
      <c r="AN11" s="1293">
        <f>AM11</f>
        <v>7.5440000000000005</v>
      </c>
      <c r="AO11" s="1293">
        <f>AM11</f>
        <v>7.5440000000000005</v>
      </c>
      <c r="AP11" s="1293">
        <f>AM11</f>
        <v>7.5440000000000005</v>
      </c>
      <c r="AQ11" s="1293">
        <f>10.48*$AD1</f>
        <v>8.3840000000000003</v>
      </c>
      <c r="AR11" s="1293">
        <f>4.81*$AD1</f>
        <v>3.8479999999999999</v>
      </c>
      <c r="AS11" s="1293">
        <f>10.25*$AD1</f>
        <v>8.2000000000000011</v>
      </c>
      <c r="AT11" s="1293">
        <f>AS11</f>
        <v>8.2000000000000011</v>
      </c>
      <c r="AU11" s="1293">
        <f>AS11</f>
        <v>8.2000000000000011</v>
      </c>
      <c r="AV11" s="1293">
        <f>8.37*$AD1</f>
        <v>6.6959999999999997</v>
      </c>
      <c r="AW11" s="1293">
        <f>2.06*$AD1</f>
        <v>1.6480000000000001</v>
      </c>
      <c r="AX11" s="1293">
        <f>4.04*$AD1</f>
        <v>3.2320000000000002</v>
      </c>
      <c r="AY11" s="1294">
        <f>8.6*$AD1</f>
        <v>6.88</v>
      </c>
      <c r="AZ11" s="1294">
        <f>5.27*$AD1</f>
        <v>4.2160000000000002</v>
      </c>
      <c r="BC11" s="755" t="s">
        <v>398</v>
      </c>
      <c r="BD11" s="756" t="s">
        <v>1102</v>
      </c>
      <c r="BE11" s="751">
        <v>0.7</v>
      </c>
      <c r="BF11" s="751"/>
      <c r="BG11" s="751"/>
      <c r="BH11" s="751">
        <v>0.7</v>
      </c>
      <c r="BI11" s="751">
        <v>0.7</v>
      </c>
      <c r="BJ11" s="751">
        <v>0.7</v>
      </c>
      <c r="BK11" s="751"/>
      <c r="BL11" s="751"/>
      <c r="BM11" s="751">
        <v>0.7</v>
      </c>
      <c r="BN11" s="751"/>
      <c r="BO11" s="751"/>
      <c r="BP11" s="751"/>
      <c r="BQ11" s="751">
        <v>1.2</v>
      </c>
      <c r="BR11" s="751">
        <v>1</v>
      </c>
      <c r="BS11" s="751">
        <v>1</v>
      </c>
      <c r="BT11" s="751"/>
      <c r="BU11" s="751"/>
      <c r="BV11" s="751">
        <v>0.7</v>
      </c>
      <c r="BW11" s="751">
        <v>0.3</v>
      </c>
      <c r="BX11" s="751">
        <v>0.7</v>
      </c>
      <c r="BY11" s="751">
        <v>0.7</v>
      </c>
      <c r="BZ11" s="751"/>
      <c r="CB11" s="755" t="s">
        <v>717</v>
      </c>
      <c r="CC11" s="756" t="s">
        <v>1198</v>
      </c>
      <c r="CD11" s="750">
        <f>25/70*CD5</f>
        <v>25</v>
      </c>
      <c r="CE11" s="750" t="e">
        <v>#DIV/0!</v>
      </c>
      <c r="CF11" s="750">
        <v>0</v>
      </c>
      <c r="CG11" s="750">
        <f t="shared" ref="CG11:CX11" si="41">25/70*CG5</f>
        <v>25</v>
      </c>
      <c r="CH11" s="750">
        <f t="shared" si="41"/>
        <v>25</v>
      </c>
      <c r="CI11" s="750">
        <f t="shared" si="41"/>
        <v>25</v>
      </c>
      <c r="CJ11" s="750">
        <f t="shared" si="41"/>
        <v>0</v>
      </c>
      <c r="CK11" s="750">
        <f t="shared" si="41"/>
        <v>0</v>
      </c>
      <c r="CL11" s="750">
        <f t="shared" si="41"/>
        <v>25</v>
      </c>
      <c r="CM11" s="750">
        <f t="shared" si="41"/>
        <v>25</v>
      </c>
      <c r="CN11" s="750">
        <f t="shared" si="41"/>
        <v>25</v>
      </c>
      <c r="CO11" s="750">
        <f t="shared" si="41"/>
        <v>25</v>
      </c>
      <c r="CP11" s="750">
        <f t="shared" si="41"/>
        <v>25</v>
      </c>
      <c r="CQ11" s="750">
        <f t="shared" si="41"/>
        <v>25</v>
      </c>
      <c r="CR11" s="750">
        <f t="shared" si="41"/>
        <v>25</v>
      </c>
      <c r="CS11" s="750">
        <f t="shared" si="41"/>
        <v>25</v>
      </c>
      <c r="CT11" s="750">
        <f t="shared" si="41"/>
        <v>25</v>
      </c>
      <c r="CU11" s="750">
        <f t="shared" si="41"/>
        <v>25</v>
      </c>
      <c r="CV11" s="750">
        <f t="shared" si="41"/>
        <v>42.857142857142861</v>
      </c>
      <c r="CW11" s="750">
        <f t="shared" si="41"/>
        <v>64.285714285714292</v>
      </c>
      <c r="CX11" s="750">
        <f t="shared" si="41"/>
        <v>25</v>
      </c>
      <c r="CY11" s="759"/>
      <c r="DB11" s="764" t="s">
        <v>1097</v>
      </c>
      <c r="DC11" s="756" t="s">
        <v>134</v>
      </c>
      <c r="DD11" s="793">
        <f>DD10-AE10</f>
        <v>7.6148096341880329</v>
      </c>
      <c r="DE11" s="793"/>
      <c r="DF11" s="793"/>
      <c r="DG11" s="793"/>
      <c r="DH11" s="793">
        <f>DH10-AI10</f>
        <v>16.175660515799756</v>
      </c>
      <c r="DI11" s="793">
        <f>DI10-AJ10</f>
        <v>7.1083335264794449</v>
      </c>
      <c r="DJ11" s="793"/>
      <c r="DK11" s="793"/>
      <c r="DL11" s="724"/>
      <c r="DM11" s="793">
        <f>DM10-AN10</f>
        <v>223.25067169437526</v>
      </c>
      <c r="DN11" s="793">
        <f>DN10-AO10</f>
        <v>21.425250508962151</v>
      </c>
      <c r="DO11" s="724"/>
      <c r="DP11" s="793">
        <f>DP10-AQ10</f>
        <v>56.895361283549043</v>
      </c>
      <c r="DQ11" s="738"/>
      <c r="DR11" s="738"/>
      <c r="DS11" s="738"/>
      <c r="DT11" s="738"/>
      <c r="DU11" s="738"/>
      <c r="DV11" s="738"/>
      <c r="DW11" s="738"/>
      <c r="DZ11" s="735"/>
      <c r="EA11" s="802" t="s">
        <v>5</v>
      </c>
      <c r="EB11" s="771">
        <f>EB10/EB8%</f>
        <v>23.611111111111111</v>
      </c>
      <c r="EC11" s="771" t="e">
        <f t="shared" ref="EC11:EU11" si="42">EC10/EC8%</f>
        <v>#DIV/0!</v>
      </c>
      <c r="ED11" s="771" t="e">
        <f t="shared" si="42"/>
        <v>#DIV/0!</v>
      </c>
      <c r="EE11" s="771">
        <f t="shared" si="42"/>
        <v>21.428571428571431</v>
      </c>
      <c r="EF11" s="771">
        <f t="shared" si="42"/>
        <v>19.70802919708029</v>
      </c>
      <c r="EG11" s="771">
        <f t="shared" si="42"/>
        <v>37.5</v>
      </c>
      <c r="EH11" s="771" t="e">
        <f t="shared" si="42"/>
        <v>#DIV/0!</v>
      </c>
      <c r="EI11" s="771" t="e">
        <f t="shared" si="42"/>
        <v>#DIV/0!</v>
      </c>
      <c r="EJ11" s="771">
        <f t="shared" si="42"/>
        <v>23.076923076923077</v>
      </c>
      <c r="EK11" s="771" t="e">
        <f t="shared" si="42"/>
        <v>#DIV/0!</v>
      </c>
      <c r="EL11" s="771" t="e">
        <f t="shared" si="42"/>
        <v>#DIV/0!</v>
      </c>
      <c r="EM11" s="771" t="e">
        <f t="shared" si="42"/>
        <v>#DIV/0!</v>
      </c>
      <c r="EN11" s="771">
        <f t="shared" si="42"/>
        <v>18.699186991869919</v>
      </c>
      <c r="EO11" s="771">
        <f t="shared" si="42"/>
        <v>25.675675675675677</v>
      </c>
      <c r="EP11" s="771">
        <f t="shared" si="42"/>
        <v>21.98581560283688</v>
      </c>
      <c r="EQ11" s="771"/>
      <c r="ER11" s="771"/>
      <c r="ES11" s="771">
        <f t="shared" si="42"/>
        <v>4.7619047619047619</v>
      </c>
      <c r="ET11" s="771">
        <f t="shared" si="42"/>
        <v>11.290322580645162</v>
      </c>
      <c r="EU11" s="771">
        <f t="shared" si="42"/>
        <v>3.5087719298245617</v>
      </c>
      <c r="EX11" s="735"/>
      <c r="EY11" s="802" t="s">
        <v>5</v>
      </c>
      <c r="EZ11" s="771">
        <f t="shared" ref="EZ11:FU11" si="43">EZ10/EZ8%</f>
        <v>23.611111111111111</v>
      </c>
      <c r="FA11" s="771" t="e">
        <f t="shared" si="43"/>
        <v>#DIV/0!</v>
      </c>
      <c r="FB11" s="771" t="e">
        <f t="shared" si="43"/>
        <v>#DIV/0!</v>
      </c>
      <c r="FC11" s="771">
        <f t="shared" si="43"/>
        <v>21.428571428571431</v>
      </c>
      <c r="FD11" s="771">
        <f t="shared" si="43"/>
        <v>19.70802919708029</v>
      </c>
      <c r="FE11" s="771">
        <f t="shared" si="43"/>
        <v>37.5</v>
      </c>
      <c r="FF11" s="771" t="e">
        <f t="shared" si="43"/>
        <v>#DIV/0!</v>
      </c>
      <c r="FG11" s="771" t="e">
        <f t="shared" si="43"/>
        <v>#DIV/0!</v>
      </c>
      <c r="FH11" s="771">
        <f t="shared" si="43"/>
        <v>23.076923076923077</v>
      </c>
      <c r="FI11" s="771" t="e">
        <f t="shared" si="43"/>
        <v>#DIV/0!</v>
      </c>
      <c r="FJ11" s="771" t="e">
        <f t="shared" si="43"/>
        <v>#DIV/0!</v>
      </c>
      <c r="FK11" s="771" t="e">
        <f t="shared" si="43"/>
        <v>#DIV/0!</v>
      </c>
      <c r="FL11" s="771">
        <f t="shared" si="43"/>
        <v>18.699186991869919</v>
      </c>
      <c r="FM11" s="771">
        <f t="shared" si="43"/>
        <v>25.675675675675677</v>
      </c>
      <c r="FN11" s="771">
        <f t="shared" si="43"/>
        <v>21.98581560283688</v>
      </c>
      <c r="FO11" s="771" t="e">
        <f t="shared" si="43"/>
        <v>#DIV/0!</v>
      </c>
      <c r="FP11" s="771" t="e">
        <f t="shared" si="43"/>
        <v>#DIV/0!</v>
      </c>
      <c r="FQ11" s="771">
        <f t="shared" si="43"/>
        <v>4.7619047619047619</v>
      </c>
      <c r="FR11" s="771">
        <f t="shared" si="43"/>
        <v>11.290322580645162</v>
      </c>
      <c r="FS11" s="771">
        <f t="shared" si="43"/>
        <v>3.5087719298245617</v>
      </c>
      <c r="FT11" s="733" t="e">
        <f t="shared" si="43"/>
        <v>#DIV/0!</v>
      </c>
      <c r="FU11" s="802" t="e">
        <f t="shared" si="43"/>
        <v>#DIV/0!</v>
      </c>
      <c r="FW11" s="857" t="s">
        <v>1058</v>
      </c>
      <c r="FX11" s="858" t="s">
        <v>134</v>
      </c>
      <c r="FY11" s="881">
        <f t="shared" ref="FY11" si="44">SUM(FY3:FY10)</f>
        <v>20.771518854165539</v>
      </c>
      <c r="FZ11" s="1050">
        <f>SUM(FZ7:FZ10)</f>
        <v>19.840681000000004</v>
      </c>
      <c r="GA11" s="1050">
        <f t="shared" ref="GA11:GT11" si="45">SUM(GA7:GA10)</f>
        <v>25.30000166666667</v>
      </c>
      <c r="GB11" s="1050">
        <f t="shared" si="45"/>
        <v>8.633538746438747</v>
      </c>
      <c r="GC11" s="1050">
        <f t="shared" si="45"/>
        <v>20.456236196581195</v>
      </c>
      <c r="GD11" s="1050">
        <f t="shared" si="45"/>
        <v>7.6568448392348403</v>
      </c>
      <c r="GE11" s="1050">
        <f t="shared" si="45"/>
        <v>7.6568448392348403</v>
      </c>
      <c r="GF11" s="1050">
        <f t="shared" si="45"/>
        <v>21.008561406186409</v>
      </c>
      <c r="GG11" s="1050">
        <f t="shared" si="45"/>
        <v>24.502797136752136</v>
      </c>
      <c r="GH11" s="1050">
        <f t="shared" si="45"/>
        <v>182.73391403133903</v>
      </c>
      <c r="GI11" s="1050">
        <f t="shared" si="45"/>
        <v>24.502797136752136</v>
      </c>
      <c r="GJ11" s="1050">
        <f t="shared" si="45"/>
        <v>21.531366367521368</v>
      </c>
      <c r="GK11" s="1050">
        <f t="shared" si="45"/>
        <v>46.787215242165246</v>
      </c>
      <c r="GL11" s="1050">
        <f t="shared" si="45"/>
        <v>13.31708076923077</v>
      </c>
      <c r="GM11" s="1050">
        <f t="shared" si="45"/>
        <v>17.668037464387467</v>
      </c>
      <c r="GN11" s="1050">
        <f t="shared" si="45"/>
        <v>19.016778205128205</v>
      </c>
      <c r="GO11" s="1050">
        <f t="shared" si="45"/>
        <v>16.581303561253563</v>
      </c>
      <c r="GP11" s="1050">
        <f t="shared" si="45"/>
        <v>23.003251324786326</v>
      </c>
      <c r="GQ11" s="1050">
        <f t="shared" si="45"/>
        <v>7.0204777136752146</v>
      </c>
      <c r="GR11" s="1050">
        <f t="shared" si="45"/>
        <v>5.7768910256410244</v>
      </c>
      <c r="GS11" s="1050">
        <f t="shared" si="45"/>
        <v>94.558138319088314</v>
      </c>
      <c r="GT11" s="1050">
        <f t="shared" si="45"/>
        <v>6.8984220170940169</v>
      </c>
      <c r="GU11" s="754"/>
      <c r="GV11" s="857" t="s">
        <v>1058</v>
      </c>
      <c r="GW11" s="858" t="s">
        <v>134</v>
      </c>
      <c r="GX11" s="881">
        <f t="shared" ref="GX11:HS11" si="46">SUM(GX3:GX10)</f>
        <v>0</v>
      </c>
      <c r="GY11" s="1050">
        <f>SUM(GY3:GY10)</f>
        <v>24</v>
      </c>
      <c r="GZ11" s="1050">
        <f t="shared" si="46"/>
        <v>69.260000000000005</v>
      </c>
      <c r="HA11" s="1050">
        <f t="shared" si="46"/>
        <v>19.399999999999999</v>
      </c>
      <c r="HB11" s="1050">
        <f t="shared" si="46"/>
        <v>29.968000000000004</v>
      </c>
      <c r="HC11" s="1050">
        <f t="shared" si="46"/>
        <v>3.1280000000000001</v>
      </c>
      <c r="HD11" s="1050">
        <f t="shared" si="46"/>
        <v>16.628</v>
      </c>
      <c r="HE11" s="1050">
        <f t="shared" si="46"/>
        <v>42.760000000000005</v>
      </c>
      <c r="HF11" s="1050">
        <f t="shared" si="46"/>
        <v>7.5440000000000005</v>
      </c>
      <c r="HG11" s="1050">
        <f t="shared" si="46"/>
        <v>243.04400000000001</v>
      </c>
      <c r="HH11" s="1050">
        <f t="shared" si="46"/>
        <v>43.043999999999997</v>
      </c>
      <c r="HI11" s="1050">
        <f t="shared" si="46"/>
        <v>7.5440000000000005</v>
      </c>
      <c r="HJ11" s="1050">
        <f t="shared" si="46"/>
        <v>23.384</v>
      </c>
      <c r="HK11" s="1050">
        <f t="shared" si="46"/>
        <v>24.347999999999999</v>
      </c>
      <c r="HL11" s="1050">
        <f t="shared" si="46"/>
        <v>16.5</v>
      </c>
      <c r="HM11" s="1050">
        <f t="shared" si="46"/>
        <v>65.2</v>
      </c>
      <c r="HN11" s="1050">
        <f t="shared" si="46"/>
        <v>62.7</v>
      </c>
      <c r="HO11" s="1050">
        <f t="shared" si="46"/>
        <v>127.096</v>
      </c>
      <c r="HP11" s="1050">
        <f t="shared" si="46"/>
        <v>24.148</v>
      </c>
      <c r="HQ11" s="1050">
        <f t="shared" si="46"/>
        <v>19.032</v>
      </c>
      <c r="HR11" s="1050">
        <f t="shared" si="46"/>
        <v>724.28</v>
      </c>
      <c r="HS11" s="1050">
        <f t="shared" si="46"/>
        <v>7.9160000000000004</v>
      </c>
    </row>
    <row r="12" spans="1:227" ht="15.75" customHeight="1">
      <c r="A12" s="1393">
        <f>Eingabedaten!A18</f>
        <v>4.0199999999999996</v>
      </c>
      <c r="B12" s="738" t="str">
        <f>Eingabedaten!C18</f>
        <v>Lehrerzimmer</v>
      </c>
      <c r="C12" s="724" t="s">
        <v>5</v>
      </c>
      <c r="D12" s="740"/>
      <c r="E12" s="740"/>
      <c r="F12" s="740"/>
      <c r="G12" s="740"/>
      <c r="H12" s="740"/>
      <c r="I12" s="740">
        <v>4</v>
      </c>
      <c r="J12" s="740">
        <v>4</v>
      </c>
      <c r="K12" s="739">
        <v>5</v>
      </c>
      <c r="L12" s="740"/>
      <c r="M12" s="740"/>
      <c r="N12" s="740"/>
      <c r="O12" s="740"/>
      <c r="P12" s="740"/>
      <c r="Q12" s="740"/>
      <c r="R12" s="740"/>
      <c r="S12" s="740"/>
      <c r="T12" s="740"/>
      <c r="U12" s="740"/>
      <c r="V12" s="740"/>
      <c r="W12" s="740"/>
      <c r="X12" s="740"/>
      <c r="Y12" s="740"/>
      <c r="AA12" s="810">
        <v>0</v>
      </c>
      <c r="AC12" s="775" t="s">
        <v>1113</v>
      </c>
      <c r="AD12" s="776" t="s">
        <v>134</v>
      </c>
      <c r="AE12" s="1283">
        <f t="shared" ref="AE12:AZ12" si="47">AE7+AE8</f>
        <v>19.643384172915429</v>
      </c>
      <c r="AF12" s="748">
        <f>AF7+AF8</f>
        <v>23.243183891170382</v>
      </c>
      <c r="AG12" s="748">
        <f t="shared" si="47"/>
        <v>31.362398435294924</v>
      </c>
      <c r="AH12" s="748">
        <f t="shared" si="47"/>
        <v>21.956195470880424</v>
      </c>
      <c r="AI12" s="748">
        <f t="shared" si="47"/>
        <v>8.6756813963678319</v>
      </c>
      <c r="AJ12" s="748">
        <f t="shared" si="47"/>
        <v>11.052621553924823</v>
      </c>
      <c r="AK12" s="748">
        <f t="shared" si="47"/>
        <v>11.052621553924823</v>
      </c>
      <c r="AL12" s="748">
        <f t="shared" si="47"/>
        <v>9.1589132127057908</v>
      </c>
      <c r="AM12" s="748">
        <f t="shared" si="47"/>
        <v>5.2095208966486055</v>
      </c>
      <c r="AN12" s="748">
        <f t="shared" si="47"/>
        <v>5.0539544518620474</v>
      </c>
      <c r="AO12" s="748">
        <f t="shared" si="47"/>
        <v>5.2095208966486055</v>
      </c>
      <c r="AP12" s="748">
        <f t="shared" si="47"/>
        <v>5.0626552704112964</v>
      </c>
      <c r="AQ12" s="748">
        <f t="shared" si="47"/>
        <v>53.003471509187293</v>
      </c>
      <c r="AR12" s="748">
        <f t="shared" si="47"/>
        <v>9.8565968001184174</v>
      </c>
      <c r="AS12" s="748">
        <f t="shared" si="47"/>
        <v>28.67558554202542</v>
      </c>
      <c r="AT12" s="748">
        <f t="shared" si="47"/>
        <v>25.916836938226936</v>
      </c>
      <c r="AU12" s="748">
        <f t="shared" si="47"/>
        <v>33.917441340925066</v>
      </c>
      <c r="AV12" s="748">
        <f t="shared" si="47"/>
        <v>8.5659773515820632</v>
      </c>
      <c r="AW12" s="748">
        <f t="shared" si="47"/>
        <v>7.8515322394614975</v>
      </c>
      <c r="AX12" s="748">
        <f t="shared" si="47"/>
        <v>48.310249105928683</v>
      </c>
      <c r="AY12" s="784">
        <f t="shared" si="47"/>
        <v>87.567765007545205</v>
      </c>
      <c r="AZ12" s="784">
        <f t="shared" si="47"/>
        <v>1.2550391984165392</v>
      </c>
      <c r="BC12" s="755" t="s">
        <v>1100</v>
      </c>
      <c r="BD12" s="756" t="s">
        <v>1101</v>
      </c>
      <c r="BE12" s="751">
        <v>21</v>
      </c>
      <c r="BF12" s="751"/>
      <c r="BG12" s="751"/>
      <c r="BH12" s="751">
        <v>14</v>
      </c>
      <c r="BI12" s="760">
        <v>7</v>
      </c>
      <c r="BJ12" s="751">
        <v>7</v>
      </c>
      <c r="BK12" s="751"/>
      <c r="BL12" s="751"/>
      <c r="BM12" s="751">
        <v>7</v>
      </c>
      <c r="BN12" s="751"/>
      <c r="BO12" s="751"/>
      <c r="BP12" s="751"/>
      <c r="BQ12" s="751">
        <v>56</v>
      </c>
      <c r="BR12" s="751">
        <v>14</v>
      </c>
      <c r="BS12" s="751">
        <v>28</v>
      </c>
      <c r="BT12" s="751"/>
      <c r="BU12" s="751"/>
      <c r="BV12" s="751">
        <v>7</v>
      </c>
      <c r="BW12" s="751">
        <v>1</v>
      </c>
      <c r="BX12" s="751">
        <v>83</v>
      </c>
      <c r="BY12" s="751">
        <v>83</v>
      </c>
      <c r="BZ12" s="746"/>
      <c r="CB12" s="755" t="s">
        <v>1550</v>
      </c>
      <c r="CC12" s="756" t="s">
        <v>1197</v>
      </c>
      <c r="CD12" s="813">
        <f>CD11/CD4*CD6/24</f>
        <v>0.27083333333333331</v>
      </c>
      <c r="CE12" s="813" t="e">
        <f t="shared" ref="CE12:CX12" si="48">CE11/CE4*CE6/24</f>
        <v>#DIV/0!</v>
      </c>
      <c r="CF12" s="813" t="e">
        <f t="shared" si="48"/>
        <v>#DIV/0!</v>
      </c>
      <c r="CG12" s="813">
        <f t="shared" si="48"/>
        <v>0.19345238095238096</v>
      </c>
      <c r="CH12" s="813">
        <f t="shared" si="48"/>
        <v>0.29166666666666669</v>
      </c>
      <c r="CI12" s="813">
        <f t="shared" si="48"/>
        <v>0.52083333333333337</v>
      </c>
      <c r="CJ12" s="813">
        <f t="shared" si="48"/>
        <v>0</v>
      </c>
      <c r="CK12" s="813">
        <f t="shared" si="48"/>
        <v>0</v>
      </c>
      <c r="CL12" s="813">
        <f t="shared" si="48"/>
        <v>0.48611111111111116</v>
      </c>
      <c r="CM12" s="813">
        <f t="shared" si="48"/>
        <v>0.48611111111111116</v>
      </c>
      <c r="CN12" s="813">
        <f t="shared" si="48"/>
        <v>0.48611111111111116</v>
      </c>
      <c r="CO12" s="813">
        <f t="shared" si="48"/>
        <v>0.24305555555555558</v>
      </c>
      <c r="CP12" s="813">
        <f t="shared" si="48"/>
        <v>0.83333333333333337</v>
      </c>
      <c r="CQ12" s="813">
        <f t="shared" si="48"/>
        <v>1.6666666666666667</v>
      </c>
      <c r="CR12" s="813">
        <f t="shared" si="48"/>
        <v>0.72916666666666663</v>
      </c>
      <c r="CS12" s="813">
        <f t="shared" si="48"/>
        <v>0.83333333333333337</v>
      </c>
      <c r="CT12" s="813">
        <f t="shared" si="48"/>
        <v>0.83333333333333337</v>
      </c>
      <c r="CU12" s="813">
        <f t="shared" si="48"/>
        <v>0.17361111111111113</v>
      </c>
      <c r="CV12" s="813">
        <f t="shared" si="48"/>
        <v>0.14880952380952381</v>
      </c>
      <c r="CW12" s="813">
        <f t="shared" si="48"/>
        <v>0.13392857142857142</v>
      </c>
      <c r="CX12" s="813">
        <f t="shared" si="48"/>
        <v>0.41666666666666669</v>
      </c>
      <c r="DD12" s="746"/>
      <c r="DE12" s="746"/>
      <c r="DF12" s="746"/>
      <c r="DG12" s="746"/>
      <c r="DH12" s="746"/>
      <c r="DI12" s="746"/>
      <c r="DJ12" s="746"/>
      <c r="DK12" s="746"/>
      <c r="DL12" s="746"/>
      <c r="DM12" s="746"/>
      <c r="DN12" s="746"/>
      <c r="DO12" s="746"/>
      <c r="DP12" s="746"/>
      <c r="FW12" s="857" t="s">
        <v>1554</v>
      </c>
      <c r="FX12" s="858" t="s">
        <v>134</v>
      </c>
      <c r="FY12" s="1050">
        <f>SUM(FY5:FY10)</f>
        <v>13.010200771135686</v>
      </c>
      <c r="FZ12" s="1050">
        <f>FZ7+FZ9</f>
        <v>16.840681000000004</v>
      </c>
      <c r="GA12" s="1050">
        <f t="shared" ref="GA12:GT12" si="49">GA7+GA9</f>
        <v>17.14000166666667</v>
      </c>
      <c r="GB12" s="1050">
        <f t="shared" si="49"/>
        <v>7.2335387464387466</v>
      </c>
      <c r="GC12" s="1050">
        <f t="shared" si="49"/>
        <v>11.480236196581197</v>
      </c>
      <c r="GD12" s="1050">
        <f t="shared" si="49"/>
        <v>4.5288448392348402</v>
      </c>
      <c r="GE12" s="1050">
        <f t="shared" si="49"/>
        <v>4.5288448392348402</v>
      </c>
      <c r="GF12" s="1050">
        <f t="shared" si="49"/>
        <v>7.2405614061864068</v>
      </c>
      <c r="GG12" s="1050">
        <f t="shared" si="49"/>
        <v>16.958797136752136</v>
      </c>
      <c r="GH12" s="1050">
        <f t="shared" si="49"/>
        <v>17.135514031339028</v>
      </c>
      <c r="GI12" s="1050">
        <f t="shared" si="49"/>
        <v>16.958797136752136</v>
      </c>
      <c r="GJ12" s="1050">
        <f t="shared" si="49"/>
        <v>13.987366367521368</v>
      </c>
      <c r="GK12" s="1050">
        <f t="shared" si="49"/>
        <v>5.9968152421652423</v>
      </c>
      <c r="GL12" s="1050">
        <f t="shared" si="49"/>
        <v>9.4690807692307697</v>
      </c>
      <c r="GM12" s="1050">
        <f t="shared" si="49"/>
        <v>8.5960374643874644</v>
      </c>
      <c r="GN12" s="1050">
        <f t="shared" si="49"/>
        <v>9.5087782051282055</v>
      </c>
      <c r="GO12" s="1050">
        <f t="shared" si="49"/>
        <v>7.9453035612535619</v>
      </c>
      <c r="GP12" s="1050">
        <f t="shared" si="49"/>
        <v>8.7392513247863253</v>
      </c>
      <c r="GQ12" s="1050">
        <f t="shared" si="49"/>
        <v>5.3724777136752149</v>
      </c>
      <c r="GR12" s="1050">
        <f t="shared" si="49"/>
        <v>2.5448910256410247</v>
      </c>
      <c r="GS12" s="1050">
        <f t="shared" si="49"/>
        <v>5.83813831908832</v>
      </c>
      <c r="GT12" s="1050">
        <f t="shared" si="49"/>
        <v>2.6824220170940167</v>
      </c>
      <c r="GU12" s="754"/>
      <c r="GV12" s="857" t="str">
        <f>FW12</f>
        <v>Geräte + Beleuchtung</v>
      </c>
      <c r="GW12" s="858" t="s">
        <v>134</v>
      </c>
      <c r="GX12" s="881">
        <f>GX11-GX8</f>
        <v>0</v>
      </c>
      <c r="GY12" s="1050">
        <f>GY7+GY9</f>
        <v>21</v>
      </c>
      <c r="GZ12" s="1050">
        <f t="shared" ref="GZ12:HS12" si="50">GZ7+GZ9</f>
        <v>17.100000000000001</v>
      </c>
      <c r="HA12" s="1050">
        <f t="shared" si="50"/>
        <v>18</v>
      </c>
      <c r="HB12" s="1050">
        <f t="shared" si="50"/>
        <v>26.6</v>
      </c>
      <c r="HC12" s="1050">
        <f t="shared" si="50"/>
        <v>0</v>
      </c>
      <c r="HD12" s="1050">
        <f t="shared" si="50"/>
        <v>13.5</v>
      </c>
      <c r="HE12" s="1050">
        <f t="shared" si="50"/>
        <v>24.6</v>
      </c>
      <c r="HF12" s="1050">
        <f t="shared" si="50"/>
        <v>0</v>
      </c>
      <c r="HG12" s="1050">
        <f t="shared" si="50"/>
        <v>35.5</v>
      </c>
      <c r="HH12" s="1050">
        <f t="shared" si="50"/>
        <v>35.5</v>
      </c>
      <c r="HI12" s="1050">
        <f t="shared" si="50"/>
        <v>0</v>
      </c>
      <c r="HJ12" s="1050">
        <f t="shared" si="50"/>
        <v>15</v>
      </c>
      <c r="HK12" s="1050">
        <f t="shared" si="50"/>
        <v>20.5</v>
      </c>
      <c r="HL12" s="1050">
        <f t="shared" si="50"/>
        <v>8.3000000000000007</v>
      </c>
      <c r="HM12" s="1050">
        <f t="shared" si="50"/>
        <v>22</v>
      </c>
      <c r="HN12" s="1050">
        <f t="shared" si="50"/>
        <v>19.5</v>
      </c>
      <c r="HO12" s="1050">
        <f t="shared" si="50"/>
        <v>20.399999999999999</v>
      </c>
      <c r="HP12" s="1050">
        <f t="shared" si="50"/>
        <v>22.5</v>
      </c>
      <c r="HQ12" s="1050">
        <f t="shared" si="50"/>
        <v>15.8</v>
      </c>
      <c r="HR12" s="1050">
        <f t="shared" si="50"/>
        <v>17.399999999999999</v>
      </c>
      <c r="HS12" s="1050">
        <f t="shared" si="50"/>
        <v>3.7</v>
      </c>
    </row>
    <row r="13" spans="1:227" ht="15.75" customHeight="1">
      <c r="A13" s="1393">
        <f>Eingabedaten!A19</f>
        <v>4.03</v>
      </c>
      <c r="B13" s="738" t="str">
        <f>Eingabedaten!C19</f>
        <v>Bibliothek</v>
      </c>
      <c r="C13" s="724" t="s">
        <v>5</v>
      </c>
      <c r="D13" s="740"/>
      <c r="E13" s="740"/>
      <c r="F13" s="740"/>
      <c r="G13" s="740"/>
      <c r="H13" s="740"/>
      <c r="I13" s="740">
        <v>4</v>
      </c>
      <c r="J13" s="740">
        <v>4</v>
      </c>
      <c r="K13" s="739">
        <v>5</v>
      </c>
      <c r="L13" s="740"/>
      <c r="M13" s="740"/>
      <c r="N13" s="740"/>
      <c r="O13" s="740"/>
      <c r="P13" s="740"/>
      <c r="Q13" s="740"/>
      <c r="R13" s="740"/>
      <c r="S13" s="740"/>
      <c r="T13" s="740"/>
      <c r="U13" s="740"/>
      <c r="V13" s="740"/>
      <c r="W13" s="740"/>
      <c r="X13" s="740"/>
      <c r="Y13" s="740"/>
      <c r="AA13" s="810">
        <v>0</v>
      </c>
      <c r="AC13" s="775"/>
      <c r="AD13" s="776"/>
      <c r="AE13" s="1284"/>
      <c r="AF13" s="746"/>
      <c r="AG13" s="746"/>
      <c r="AH13" s="746"/>
      <c r="AI13" s="746"/>
      <c r="AJ13" s="746"/>
      <c r="AK13" s="746"/>
      <c r="AL13" s="746"/>
      <c r="AM13" s="746"/>
      <c r="AN13" s="746"/>
      <c r="AO13" s="746"/>
      <c r="AP13" s="746"/>
      <c r="AQ13" s="746"/>
      <c r="AR13" s="746"/>
      <c r="AS13" s="746"/>
      <c r="AT13" s="746"/>
      <c r="AU13" s="746"/>
      <c r="AV13" s="746"/>
      <c r="AW13" s="746"/>
      <c r="AX13" s="746"/>
      <c r="AY13" s="785"/>
      <c r="AZ13" s="785"/>
      <c r="CB13" s="755" t="s">
        <v>1551</v>
      </c>
      <c r="CC13" s="756" t="s">
        <v>1197</v>
      </c>
      <c r="CD13" s="767">
        <f>ROUND(AE21,1)</f>
        <v>0.6</v>
      </c>
      <c r="CE13" s="767"/>
      <c r="CF13" s="751"/>
      <c r="CG13" s="767">
        <f t="shared" ref="CG13:CX13" si="51">ROUND(AH21,1)</f>
        <v>0.4</v>
      </c>
      <c r="CH13" s="767">
        <f t="shared" si="51"/>
        <v>0.7</v>
      </c>
      <c r="CI13" s="813">
        <f t="shared" si="51"/>
        <v>0.9</v>
      </c>
      <c r="CJ13" s="766">
        <f t="shared" si="51"/>
        <v>0.9</v>
      </c>
      <c r="CK13" s="766">
        <f t="shared" si="51"/>
        <v>1</v>
      </c>
      <c r="CL13" s="766">
        <f t="shared" si="51"/>
        <v>1.1000000000000001</v>
      </c>
      <c r="CM13" s="813">
        <f t="shared" si="51"/>
        <v>1.1000000000000001</v>
      </c>
      <c r="CN13" s="813">
        <f t="shared" si="51"/>
        <v>1.1000000000000001</v>
      </c>
      <c r="CO13" s="813">
        <f t="shared" si="51"/>
        <v>0.8</v>
      </c>
      <c r="CP13" s="813">
        <f t="shared" si="51"/>
        <v>2</v>
      </c>
      <c r="CQ13" s="766">
        <f t="shared" si="51"/>
        <v>1.9</v>
      </c>
      <c r="CR13" s="767">
        <f t="shared" si="51"/>
        <v>1.2</v>
      </c>
      <c r="CS13" s="813">
        <f t="shared" si="51"/>
        <v>1.2</v>
      </c>
      <c r="CT13" s="813">
        <f t="shared" si="51"/>
        <v>1.2</v>
      </c>
      <c r="CU13" s="767">
        <f t="shared" si="51"/>
        <v>0.6</v>
      </c>
      <c r="CV13" s="766">
        <f t="shared" si="51"/>
        <v>0.6</v>
      </c>
      <c r="CW13" s="766">
        <f t="shared" si="51"/>
        <v>1.1000000000000001</v>
      </c>
      <c r="CX13" s="766">
        <f t="shared" si="51"/>
        <v>1.7</v>
      </c>
      <c r="CY13" s="793"/>
      <c r="DB13" s="755" t="s">
        <v>1128</v>
      </c>
      <c r="DC13" s="756" t="s">
        <v>209</v>
      </c>
      <c r="DD13" s="760">
        <v>60</v>
      </c>
      <c r="DE13" s="760"/>
      <c r="DF13" s="760"/>
      <c r="DG13" s="760"/>
      <c r="DH13" s="760">
        <v>45</v>
      </c>
      <c r="DI13" s="760">
        <v>21</v>
      </c>
      <c r="DJ13" s="760"/>
      <c r="DK13" s="760"/>
      <c r="DL13" s="751"/>
      <c r="DM13" s="760">
        <v>3.2</v>
      </c>
      <c r="DN13" s="760">
        <v>41</v>
      </c>
      <c r="DO13" s="751"/>
      <c r="DP13" s="760">
        <v>6.8</v>
      </c>
      <c r="DQ13" s="738"/>
      <c r="DR13" s="738"/>
      <c r="DS13" s="738"/>
      <c r="DT13" s="738"/>
      <c r="DU13" s="738"/>
      <c r="DV13" s="738"/>
      <c r="DW13" s="738"/>
      <c r="FW13" s="798"/>
      <c r="FX13" s="1118"/>
      <c r="FY13" s="798"/>
      <c r="FZ13" s="1119"/>
      <c r="GA13" s="798"/>
      <c r="GB13" s="798"/>
      <c r="GC13" s="798"/>
      <c r="GD13" s="798"/>
      <c r="GE13" s="798"/>
      <c r="GF13" s="798"/>
      <c r="GG13" s="798"/>
      <c r="GH13" s="798"/>
      <c r="GI13" s="798"/>
      <c r="GJ13" s="798"/>
      <c r="GK13" s="798"/>
      <c r="GL13" s="798"/>
      <c r="GM13" s="798"/>
      <c r="GN13" s="798"/>
      <c r="GO13" s="798"/>
      <c r="GP13" s="798"/>
      <c r="GQ13" s="798"/>
      <c r="GR13" s="798"/>
      <c r="GS13" s="798"/>
      <c r="GT13" s="798"/>
      <c r="GV13" s="775" t="s">
        <v>1299</v>
      </c>
      <c r="GW13" s="754" t="s">
        <v>134</v>
      </c>
      <c r="GX13" s="793">
        <f t="shared" ref="GX13:HS13" si="52">GX12-FY12</f>
        <v>-13.010200771135686</v>
      </c>
      <c r="GY13" s="793">
        <f>GY12-FZ12</f>
        <v>4.1593189999999964</v>
      </c>
      <c r="GZ13" s="793">
        <f t="shared" si="52"/>
        <v>-4.0001666666668712E-2</v>
      </c>
      <c r="HA13" s="793">
        <f t="shared" si="52"/>
        <v>10.766461253561253</v>
      </c>
      <c r="HB13" s="793">
        <f t="shared" si="52"/>
        <v>15.119763803418804</v>
      </c>
      <c r="HC13" s="793">
        <f t="shared" si="52"/>
        <v>-4.5288448392348402</v>
      </c>
      <c r="HD13" s="793">
        <f t="shared" si="52"/>
        <v>8.9711551607651607</v>
      </c>
      <c r="HE13" s="793">
        <f t="shared" si="52"/>
        <v>17.359438593813593</v>
      </c>
      <c r="HF13" s="793">
        <f t="shared" si="52"/>
        <v>-16.958797136752136</v>
      </c>
      <c r="HG13" s="793">
        <f t="shared" si="52"/>
        <v>18.364485968660972</v>
      </c>
      <c r="HH13" s="793">
        <f t="shared" si="52"/>
        <v>18.541202863247864</v>
      </c>
      <c r="HI13" s="793">
        <f t="shared" si="52"/>
        <v>-13.987366367521368</v>
      </c>
      <c r="HJ13" s="793">
        <f t="shared" si="52"/>
        <v>9.0031847578347577</v>
      </c>
      <c r="HK13" s="793">
        <f t="shared" si="52"/>
        <v>11.03091923076923</v>
      </c>
      <c r="HL13" s="793">
        <f t="shared" si="52"/>
        <v>-0.2960374643874637</v>
      </c>
      <c r="HM13" s="793">
        <f t="shared" si="52"/>
        <v>12.491221794871795</v>
      </c>
      <c r="HN13" s="793">
        <f t="shared" si="52"/>
        <v>11.554696438746438</v>
      </c>
      <c r="HO13" s="793">
        <f t="shared" si="52"/>
        <v>11.660748675213673</v>
      </c>
      <c r="HP13" s="793">
        <f t="shared" si="52"/>
        <v>17.127522286324783</v>
      </c>
      <c r="HQ13" s="793">
        <f t="shared" si="52"/>
        <v>13.255108974358976</v>
      </c>
      <c r="HR13" s="793">
        <f t="shared" si="52"/>
        <v>11.561861680911679</v>
      </c>
      <c r="HS13" s="793">
        <f t="shared" si="52"/>
        <v>1.0175779829059834</v>
      </c>
    </row>
    <row r="14" spans="1:227" ht="15.75" customHeight="1">
      <c r="A14" s="1393">
        <f>Eingabedaten!A20</f>
        <v>4.04</v>
      </c>
      <c r="B14" s="738" t="str">
        <f>Eingabedaten!C20</f>
        <v>Hörsaal</v>
      </c>
      <c r="C14" s="724" t="s">
        <v>5</v>
      </c>
      <c r="D14" s="740"/>
      <c r="E14" s="740"/>
      <c r="F14" s="740"/>
      <c r="G14" s="740"/>
      <c r="H14" s="740"/>
      <c r="I14" s="740"/>
      <c r="J14" s="740"/>
      <c r="K14" s="739">
        <v>15</v>
      </c>
      <c r="L14" s="740"/>
      <c r="M14" s="740"/>
      <c r="N14" s="740"/>
      <c r="O14" s="740"/>
      <c r="P14" s="740"/>
      <c r="Q14" s="740"/>
      <c r="R14" s="740"/>
      <c r="S14" s="740"/>
      <c r="T14" s="740"/>
      <c r="U14" s="740"/>
      <c r="V14" s="740"/>
      <c r="W14" s="740"/>
      <c r="X14" s="740"/>
      <c r="Y14" s="740"/>
      <c r="AA14" s="770">
        <f>1/Eingabedaten!AP20</f>
        <v>0.33333333333333331</v>
      </c>
      <c r="AC14" s="775" t="s">
        <v>1060</v>
      </c>
      <c r="AD14" s="776" t="s">
        <v>3</v>
      </c>
      <c r="AE14" s="1285">
        <f>SUMPRODUCT(Eingabedaten!$AC$9:$AC$53,'Fläche-ZW'!D$3:D$47)/100</f>
        <v>20.55</v>
      </c>
      <c r="AF14" s="786">
        <f>SUMPRODUCT(Eingabedaten!$AC$9:$AC$53,'Fläche-ZW'!E$3:E$47)/100</f>
        <v>20.55</v>
      </c>
      <c r="AG14" s="786">
        <f>SUMPRODUCT(Eingabedaten!$AC$9:$AC$53,'Fläche-ZW'!F$3:F$47)/100</f>
        <v>20.7</v>
      </c>
      <c r="AH14" s="786">
        <f>SUMPRODUCT(Eingabedaten!$AC$9:$AC$53,'Fläche-ZW'!G$3:G$47)/100</f>
        <v>20.7</v>
      </c>
      <c r="AI14" s="786">
        <f>SUMPRODUCT(Eingabedaten!$AC$9:$AC$53,'Fläche-ZW'!H$3:H$47)/100</f>
        <v>20.440000000000001</v>
      </c>
      <c r="AJ14" s="786">
        <f>SUMPRODUCT(Eingabedaten!$AC$9:$AC$53,'Fläche-ZW'!I$3:I$47)/100</f>
        <v>20.55</v>
      </c>
      <c r="AK14" s="786">
        <f>SUMPRODUCT(Eingabedaten!$AC$9:$AC$53,'Fläche-ZW'!J$3:J$47)/100</f>
        <v>20.55</v>
      </c>
      <c r="AL14" s="786">
        <f>SUMPRODUCT(Eingabedaten!$AC$9:$AC$53,'Fläche-ZW'!K$3:K$47)/100</f>
        <v>20.38</v>
      </c>
      <c r="AM14" s="786">
        <f>SUMPRODUCT(Eingabedaten!$AC$9:$AC$53,'Fläche-ZW'!L$3:L$47)/100</f>
        <v>20.04</v>
      </c>
      <c r="AN14" s="786">
        <f>SUMPRODUCT(Eingabedaten!$AC$9:$AC$53,'Fläche-ZW'!M$3:M$47)/100</f>
        <v>19.68</v>
      </c>
      <c r="AO14" s="786">
        <f>SUMPRODUCT(Eingabedaten!$AC$9:$AC$53,'Fläche-ZW'!N$3:N$47)/100</f>
        <v>20.04</v>
      </c>
      <c r="AP14" s="786">
        <f>SUMPRODUCT(Eingabedaten!$AC$9:$AC$53,'Fläche-ZW'!O$3:O$47)/100</f>
        <v>20.04</v>
      </c>
      <c r="AQ14" s="786">
        <f>SUMPRODUCT(Eingabedaten!$AC$9:$AC$53,'Fläche-ZW'!P$3:P$47)/100</f>
        <v>20.18</v>
      </c>
      <c r="AR14" s="786">
        <f>SUMPRODUCT(Eingabedaten!$AC$9:$AC$53,'Fläche-ZW'!Q$3:Q$47)/100</f>
        <v>20.7</v>
      </c>
      <c r="AS14" s="786">
        <f>SUMPRODUCT(Eingabedaten!$AC$9:$AC$53,'Fläche-ZW'!R$3:R$47)/100</f>
        <v>21.05</v>
      </c>
      <c r="AT14" s="786">
        <f>SUMPRODUCT(Eingabedaten!$AC$9:$AC$53,'Fläche-ZW'!S$3:S$47)/100</f>
        <v>21.05</v>
      </c>
      <c r="AU14" s="786">
        <f>SUMPRODUCT(Eingabedaten!$AC$9:$AC$53,'Fläche-ZW'!T$3:T$47)/100</f>
        <v>21.1</v>
      </c>
      <c r="AV14" s="786">
        <f>SUMPRODUCT(Eingabedaten!$AC$9:$AC$53,'Fläche-ZW'!U$3:U$47)/100</f>
        <v>20.28</v>
      </c>
      <c r="AW14" s="786">
        <f>SUMPRODUCT(Eingabedaten!$AC$9:$AC$53,'Fläche-ZW'!V$3:V$47)/100</f>
        <v>18.63</v>
      </c>
      <c r="AX14" s="786">
        <f>SUMPRODUCT(Eingabedaten!$AC$9:$AC$53,'Fläche-ZW'!W$3:W$47)/100</f>
        <v>18.899999999999999</v>
      </c>
      <c r="AY14" s="787">
        <f>SUMPRODUCT(Eingabedaten!$AC$9:$AC$53,'Fläche-ZW'!X$3:X$47)/100</f>
        <v>22.5</v>
      </c>
      <c r="AZ14" s="787">
        <f>SUMPRODUCT(Eingabedaten!$AC$9:$AC$53,'Fläche-ZW'!Y$3:Y$47)/100</f>
        <v>1.95</v>
      </c>
      <c r="CB14" s="755" t="s">
        <v>1552</v>
      </c>
      <c r="CC14" s="756" t="s">
        <v>1101</v>
      </c>
      <c r="CD14" s="761">
        <f>ROUND(AE8/0.67,0)</f>
        <v>17</v>
      </c>
      <c r="CE14" s="761"/>
      <c r="CF14" s="751"/>
      <c r="CG14" s="759">
        <f t="shared" ref="CG14:CX14" si="53">ROUND(AH8/0.67,0)</f>
        <v>15</v>
      </c>
      <c r="CH14" s="758">
        <f t="shared" si="53"/>
        <v>2</v>
      </c>
      <c r="CI14" s="758">
        <f t="shared" si="53"/>
        <v>2</v>
      </c>
      <c r="CJ14" s="758">
        <f t="shared" si="53"/>
        <v>2</v>
      </c>
      <c r="CK14" s="758">
        <f t="shared" si="53"/>
        <v>2</v>
      </c>
      <c r="CL14" s="758">
        <f t="shared" si="53"/>
        <v>2</v>
      </c>
      <c r="CM14" s="751">
        <f t="shared" si="53"/>
        <v>2</v>
      </c>
      <c r="CN14" s="751">
        <f t="shared" si="53"/>
        <v>2</v>
      </c>
      <c r="CO14" s="751">
        <f t="shared" si="53"/>
        <v>1</v>
      </c>
      <c r="CP14" s="759">
        <f t="shared" si="53"/>
        <v>65</v>
      </c>
      <c r="CQ14" s="758">
        <f t="shared" si="53"/>
        <v>5</v>
      </c>
      <c r="CR14" s="759">
        <f t="shared" si="53"/>
        <v>33</v>
      </c>
      <c r="CS14" s="759">
        <f t="shared" si="53"/>
        <v>28</v>
      </c>
      <c r="CT14" s="759">
        <f t="shared" si="53"/>
        <v>41</v>
      </c>
      <c r="CU14" s="758">
        <f t="shared" si="53"/>
        <v>2</v>
      </c>
      <c r="CV14" s="751">
        <f t="shared" si="53"/>
        <v>1</v>
      </c>
      <c r="CW14" s="758">
        <f t="shared" si="53"/>
        <v>45</v>
      </c>
      <c r="CX14" s="759">
        <f t="shared" si="53"/>
        <v>104</v>
      </c>
      <c r="CY14" s="793"/>
      <c r="DB14" s="755" t="s">
        <v>1129</v>
      </c>
      <c r="DC14" s="756" t="s">
        <v>209</v>
      </c>
      <c r="DD14" s="793">
        <f>AE29</f>
        <v>51.470588235294116</v>
      </c>
      <c r="DE14" s="793"/>
      <c r="DF14" s="793"/>
      <c r="DG14" s="793"/>
      <c r="DH14" s="794">
        <f>CH4</f>
        <v>25</v>
      </c>
      <c r="DI14" s="794">
        <f>CI4</f>
        <v>10</v>
      </c>
      <c r="DJ14" s="794"/>
      <c r="DK14" s="794"/>
      <c r="DL14" s="724"/>
      <c r="DM14" s="793">
        <f>AN29</f>
        <v>15.909090909090908</v>
      </c>
      <c r="DN14" s="793">
        <f>AO29</f>
        <v>15.909090909090908</v>
      </c>
      <c r="DO14" s="724"/>
      <c r="DP14" s="793">
        <f>AQ29</f>
        <v>4.5691906005221927</v>
      </c>
      <c r="DQ14" s="738"/>
      <c r="DR14" s="738"/>
      <c r="DS14" s="738"/>
      <c r="DT14" s="738"/>
      <c r="DU14" s="738"/>
      <c r="DV14" s="738"/>
      <c r="DW14" s="738"/>
      <c r="FT14" s="723">
        <f>AY7/4+AY5</f>
        <v>7.4970913090291527</v>
      </c>
      <c r="FU14" s="723">
        <f>AZ7/4+AZ5</f>
        <v>0.3871317996041348</v>
      </c>
      <c r="GV14" s="735"/>
      <c r="GW14" s="802" t="s">
        <v>5</v>
      </c>
      <c r="GX14" s="724">
        <f t="shared" ref="GX14" si="54">D12</f>
        <v>0</v>
      </c>
      <c r="GY14" s="724">
        <f>GY13/GY12%</f>
        <v>19.806280952380938</v>
      </c>
      <c r="GZ14" s="724">
        <f t="shared" ref="GZ14:HS14" si="55">GZ13/GZ12%</f>
        <v>-0.23392787524367667</v>
      </c>
      <c r="HA14" s="724">
        <f t="shared" si="55"/>
        <v>59.813673630895856</v>
      </c>
      <c r="HB14" s="724">
        <f t="shared" si="55"/>
        <v>56.841217306085724</v>
      </c>
      <c r="HC14" s="724" t="e">
        <f t="shared" si="55"/>
        <v>#DIV/0!</v>
      </c>
      <c r="HD14" s="724">
        <f t="shared" si="55"/>
        <v>66.453001190853044</v>
      </c>
      <c r="HE14" s="724">
        <f t="shared" si="55"/>
        <v>70.566823552087769</v>
      </c>
      <c r="HF14" s="724" t="e">
        <f t="shared" si="55"/>
        <v>#DIV/0!</v>
      </c>
      <c r="HG14" s="724">
        <f t="shared" si="55"/>
        <v>51.730946390594291</v>
      </c>
      <c r="HH14" s="724">
        <f t="shared" si="55"/>
        <v>52.228740459853142</v>
      </c>
      <c r="HI14" s="724" t="e">
        <f t="shared" si="55"/>
        <v>#DIV/0!</v>
      </c>
      <c r="HJ14" s="724">
        <f t="shared" si="55"/>
        <v>60.021231718898385</v>
      </c>
      <c r="HK14" s="724">
        <f t="shared" si="55"/>
        <v>53.809362101313319</v>
      </c>
      <c r="HL14" s="724">
        <f t="shared" si="55"/>
        <v>-3.5667164384031769</v>
      </c>
      <c r="HM14" s="724">
        <f t="shared" si="55"/>
        <v>56.778280885780887</v>
      </c>
      <c r="HN14" s="724">
        <f t="shared" si="55"/>
        <v>59.254853532033017</v>
      </c>
      <c r="HO14" s="724">
        <f t="shared" si="55"/>
        <v>57.160532721635654</v>
      </c>
      <c r="HP14" s="724">
        <f t="shared" si="55"/>
        <v>76.122321272554586</v>
      </c>
      <c r="HQ14" s="724">
        <f t="shared" si="55"/>
        <v>83.893094774423901</v>
      </c>
      <c r="HR14" s="724">
        <f t="shared" si="55"/>
        <v>66.447480924779768</v>
      </c>
      <c r="HS14" s="724">
        <f t="shared" si="55"/>
        <v>27.502107646107657</v>
      </c>
    </row>
    <row r="15" spans="1:227" ht="15.75" customHeight="1">
      <c r="A15" s="1393">
        <f>Eingabedaten!A21</f>
        <v>4.05</v>
      </c>
      <c r="B15" s="738" t="str">
        <f>Eingabedaten!C21</f>
        <v>Schulfachraum (Spezialraum)</v>
      </c>
      <c r="C15" s="724" t="s">
        <v>5</v>
      </c>
      <c r="D15" s="740"/>
      <c r="E15" s="740"/>
      <c r="F15" s="740"/>
      <c r="G15" s="740"/>
      <c r="H15" s="740"/>
      <c r="I15" s="740">
        <v>5</v>
      </c>
      <c r="J15" s="740">
        <v>5</v>
      </c>
      <c r="K15" s="739">
        <v>5</v>
      </c>
      <c r="L15" s="740"/>
      <c r="M15" s="740"/>
      <c r="N15" s="740"/>
      <c r="O15" s="740"/>
      <c r="P15" s="740"/>
      <c r="Q15" s="740"/>
      <c r="R15" s="740"/>
      <c r="S15" s="740"/>
      <c r="T15" s="740"/>
      <c r="U15" s="740"/>
      <c r="V15" s="740"/>
      <c r="W15" s="740"/>
      <c r="X15" s="740"/>
      <c r="Y15" s="740"/>
      <c r="AA15" s="770">
        <f>1/Eingabedaten!AP21</f>
        <v>0.2</v>
      </c>
      <c r="AC15" s="775"/>
      <c r="AD15" s="776"/>
      <c r="AE15" s="1284"/>
      <c r="AF15" s="746"/>
      <c r="AG15" s="746"/>
      <c r="AH15" s="746"/>
      <c r="AI15" s="746"/>
      <c r="AJ15" s="746"/>
      <c r="AK15" s="746"/>
      <c r="AL15" s="746"/>
      <c r="AM15" s="746"/>
      <c r="AN15" s="746"/>
      <c r="AO15" s="746"/>
      <c r="AP15" s="746"/>
      <c r="AQ15" s="746"/>
      <c r="AR15" s="746"/>
      <c r="AS15" s="746"/>
      <c r="AT15" s="746"/>
      <c r="AU15" s="746"/>
      <c r="AV15" s="746"/>
      <c r="AW15" s="746"/>
      <c r="AX15" s="746"/>
      <c r="AY15" s="785"/>
      <c r="AZ15" s="785"/>
      <c r="BA15" s="744"/>
      <c r="BC15" s="723" t="s">
        <v>557</v>
      </c>
      <c r="CB15" s="755" t="s">
        <v>1560</v>
      </c>
      <c r="CC15" s="756" t="s">
        <v>1101</v>
      </c>
      <c r="CD15" s="761">
        <f>ROUND(AE8,0)</f>
        <v>12</v>
      </c>
      <c r="CE15" s="761"/>
      <c r="CF15" s="751"/>
      <c r="CG15" s="759">
        <f t="shared" ref="CG15:CX15" si="56">ROUND(AH8,0)</f>
        <v>10</v>
      </c>
      <c r="CH15" s="758">
        <f t="shared" si="56"/>
        <v>1</v>
      </c>
      <c r="CI15" s="758">
        <f t="shared" si="56"/>
        <v>2</v>
      </c>
      <c r="CJ15" s="758">
        <f t="shared" si="56"/>
        <v>2</v>
      </c>
      <c r="CK15" s="758">
        <f t="shared" si="56"/>
        <v>1</v>
      </c>
      <c r="CL15" s="758">
        <f t="shared" si="56"/>
        <v>1</v>
      </c>
      <c r="CM15" s="751">
        <f t="shared" si="56"/>
        <v>1</v>
      </c>
      <c r="CN15" s="751">
        <f t="shared" si="56"/>
        <v>1</v>
      </c>
      <c r="CO15" s="751">
        <f t="shared" si="56"/>
        <v>1</v>
      </c>
      <c r="CP15" s="759">
        <f t="shared" si="56"/>
        <v>44</v>
      </c>
      <c r="CQ15" s="758">
        <f t="shared" si="56"/>
        <v>4</v>
      </c>
      <c r="CR15" s="759">
        <f t="shared" si="56"/>
        <v>22</v>
      </c>
      <c r="CS15" s="759">
        <f t="shared" si="56"/>
        <v>19</v>
      </c>
      <c r="CT15" s="759">
        <f t="shared" si="56"/>
        <v>27</v>
      </c>
      <c r="CU15" s="758">
        <f t="shared" si="56"/>
        <v>1</v>
      </c>
      <c r="CV15" s="751">
        <f t="shared" si="56"/>
        <v>1</v>
      </c>
      <c r="CW15" s="758">
        <f t="shared" si="56"/>
        <v>30</v>
      </c>
      <c r="CX15" s="759">
        <f t="shared" si="56"/>
        <v>70</v>
      </c>
      <c r="FT15" s="723">
        <f>AY8/0.67/3</f>
        <v>34.733912153518133</v>
      </c>
      <c r="FU15" s="723">
        <f>AZ8/0.67/3</f>
        <v>0</v>
      </c>
    </row>
    <row r="16" spans="1:227" ht="15.75" customHeight="1">
      <c r="A16" s="1393">
        <f>Eingabedaten!A22</f>
        <v>5.01</v>
      </c>
      <c r="B16" s="738" t="str">
        <f>Eingabedaten!C22</f>
        <v>Lebensmittelverkauf</v>
      </c>
      <c r="C16" s="724" t="s">
        <v>5</v>
      </c>
      <c r="D16" s="740"/>
      <c r="E16" s="740"/>
      <c r="F16" s="740"/>
      <c r="G16" s="740"/>
      <c r="H16" s="740"/>
      <c r="I16" s="740"/>
      <c r="J16" s="740"/>
      <c r="K16" s="740"/>
      <c r="L16" s="740"/>
      <c r="M16" s="739">
        <v>60</v>
      </c>
      <c r="N16" s="740"/>
      <c r="O16" s="740"/>
      <c r="P16" s="740"/>
      <c r="Q16" s="740"/>
      <c r="R16" s="740"/>
      <c r="S16" s="740"/>
      <c r="T16" s="740"/>
      <c r="U16" s="740"/>
      <c r="V16" s="740"/>
      <c r="W16" s="740"/>
      <c r="X16" s="740"/>
      <c r="Y16" s="740"/>
      <c r="AA16" s="770">
        <f>1/Eingabedaten!AP22</f>
        <v>0.125</v>
      </c>
      <c r="AC16" s="775"/>
      <c r="AD16" s="779"/>
      <c r="AE16" s="1286"/>
      <c r="AF16" s="788"/>
      <c r="AG16" s="788"/>
      <c r="AH16" s="788"/>
      <c r="AI16" s="788"/>
      <c r="AJ16" s="788"/>
      <c r="AK16" s="788"/>
      <c r="AL16" s="788"/>
      <c r="AM16" s="788"/>
      <c r="AN16" s="788"/>
      <c r="AO16" s="788"/>
      <c r="AP16" s="788"/>
      <c r="AQ16" s="788"/>
      <c r="AR16" s="788"/>
      <c r="AS16" s="788"/>
      <c r="AT16" s="788"/>
      <c r="AU16" s="788"/>
      <c r="AV16" s="788"/>
      <c r="AW16" s="788"/>
      <c r="AX16" s="788"/>
      <c r="AY16" s="789"/>
      <c r="AZ16" s="789"/>
      <c r="BA16" s="744"/>
      <c r="BC16" s="723" t="s">
        <v>420</v>
      </c>
      <c r="BD16" s="723" t="s">
        <v>24</v>
      </c>
      <c r="BE16" s="723">
        <f>BE8*BE9/8.76+BE5/BE4*BE6/24</f>
        <v>3.112442922374429</v>
      </c>
      <c r="BF16" s="723" t="e">
        <f t="shared" ref="BF16:BY16" si="57">BF8*BF9/8.76+BF5/BF4*BF6/24</f>
        <v>#DIV/0!</v>
      </c>
      <c r="BG16" s="723" t="e">
        <f t="shared" si="57"/>
        <v>#DIV/0!</v>
      </c>
      <c r="BH16" s="723">
        <f t="shared" si="57"/>
        <v>2.3413242009132418</v>
      </c>
      <c r="BI16" s="723">
        <f t="shared" si="57"/>
        <v>3.2602739726027399</v>
      </c>
      <c r="BJ16" s="723">
        <f t="shared" si="57"/>
        <v>2.2968036529680367</v>
      </c>
      <c r="BK16" s="723" t="e">
        <f t="shared" si="57"/>
        <v>#DIV/0!</v>
      </c>
      <c r="BL16" s="723" t="e">
        <f t="shared" si="57"/>
        <v>#DIV/0!</v>
      </c>
      <c r="BM16" s="723">
        <f t="shared" si="57"/>
        <v>4.5136986301369868</v>
      </c>
      <c r="BN16" s="723" t="e">
        <f t="shared" si="57"/>
        <v>#DIV/0!</v>
      </c>
      <c r="BO16" s="723" t="e">
        <f t="shared" si="57"/>
        <v>#DIV/0!</v>
      </c>
      <c r="BP16" s="723" t="e">
        <f t="shared" si="57"/>
        <v>#DIV/0!</v>
      </c>
      <c r="BQ16" s="723">
        <f t="shared" si="57"/>
        <v>5.1369863013698627</v>
      </c>
      <c r="BR16" s="723">
        <f t="shared" si="57"/>
        <v>3.5525114155251143</v>
      </c>
      <c r="BS16" s="723">
        <f t="shared" si="57"/>
        <v>4.0152207001522067</v>
      </c>
      <c r="BT16" s="723" t="e">
        <f t="shared" si="57"/>
        <v>#DIV/0!</v>
      </c>
      <c r="BU16" s="723" t="e">
        <f t="shared" si="57"/>
        <v>#DIV/0!</v>
      </c>
      <c r="BV16" s="723">
        <f t="shared" si="57"/>
        <v>2.579908675799087</v>
      </c>
      <c r="BW16" s="723">
        <f t="shared" si="57"/>
        <v>0.86643835616438358</v>
      </c>
      <c r="BX16" s="723">
        <f t="shared" si="57"/>
        <v>1.8664383561643836</v>
      </c>
      <c r="BY16" s="743">
        <f t="shared" si="57"/>
        <v>4.974885844748858</v>
      </c>
      <c r="CB16" s="792" t="s">
        <v>1133</v>
      </c>
      <c r="CC16" s="756" t="s">
        <v>1101</v>
      </c>
      <c r="CD16" s="793">
        <f>CD5*CD6*365/1000/CD4</f>
        <v>6.6429999999999998</v>
      </c>
      <c r="CE16" s="793"/>
      <c r="CF16" s="793" t="e">
        <f>CF5*CF6*365/1000/CF4</f>
        <v>#DIV/0!</v>
      </c>
      <c r="CG16" s="793">
        <f>CG5*CG6*365/1000/CG4</f>
        <v>4.7450000000000001</v>
      </c>
      <c r="CH16" s="793">
        <f>CH5*CH6*365/1000/CH4</f>
        <v>7.1539999999999999</v>
      </c>
      <c r="CI16" s="793">
        <f>CI5*CI6*365/1000/CI4</f>
        <v>12.775</v>
      </c>
      <c r="CJ16" s="793"/>
      <c r="CK16" s="793"/>
      <c r="CL16" s="793">
        <f t="shared" ref="CL16:CX16" si="58">CL5*CL6*365/1000/CL4</f>
        <v>11.923333333333334</v>
      </c>
      <c r="CM16" s="793">
        <f t="shared" si="58"/>
        <v>11.923333333333334</v>
      </c>
      <c r="CN16" s="793">
        <f t="shared" si="58"/>
        <v>11.923333333333334</v>
      </c>
      <c r="CO16" s="793">
        <f t="shared" si="58"/>
        <v>5.9616666666666669</v>
      </c>
      <c r="CP16" s="793">
        <f t="shared" si="58"/>
        <v>20.440000000000001</v>
      </c>
      <c r="CQ16" s="793">
        <f t="shared" si="58"/>
        <v>40.880000000000003</v>
      </c>
      <c r="CR16" s="793">
        <f t="shared" si="58"/>
        <v>17.884999999999998</v>
      </c>
      <c r="CS16" s="793">
        <f t="shared" si="58"/>
        <v>20.440000000000001</v>
      </c>
      <c r="CT16" s="793">
        <f t="shared" si="58"/>
        <v>20.440000000000001</v>
      </c>
      <c r="CU16" s="793">
        <f t="shared" si="58"/>
        <v>4.2583333333333337</v>
      </c>
      <c r="CV16" s="793">
        <f t="shared" si="58"/>
        <v>3.65</v>
      </c>
      <c r="CW16" s="793">
        <f t="shared" si="58"/>
        <v>3.2850000000000001</v>
      </c>
      <c r="CX16" s="793">
        <f t="shared" si="58"/>
        <v>10.220000000000001</v>
      </c>
      <c r="FT16" s="741">
        <f>AY3</f>
        <v>3.9720000000000009</v>
      </c>
      <c r="FU16" s="741">
        <f>AZ3</f>
        <v>1.5335999999999999</v>
      </c>
      <c r="FV16" s="741"/>
    </row>
    <row r="17" spans="1:181" ht="15.75" customHeight="1">
      <c r="A17" s="1393">
        <f>Eingabedaten!A23</f>
        <v>5.0199999999999996</v>
      </c>
      <c r="B17" s="738" t="str">
        <f>Eingabedaten!C23</f>
        <v>Fachgeschäft</v>
      </c>
      <c r="C17" s="724" t="s">
        <v>5</v>
      </c>
      <c r="D17" s="740"/>
      <c r="E17" s="740"/>
      <c r="F17" s="740"/>
      <c r="G17" s="740"/>
      <c r="H17" s="740"/>
      <c r="I17" s="740"/>
      <c r="J17" s="740"/>
      <c r="K17" s="740"/>
      <c r="L17" s="739">
        <v>60</v>
      </c>
      <c r="M17" s="740"/>
      <c r="N17" s="739">
        <v>60</v>
      </c>
      <c r="O17" s="740"/>
      <c r="P17" s="740"/>
      <c r="Q17" s="740"/>
      <c r="R17" s="740"/>
      <c r="S17" s="740"/>
      <c r="T17" s="740"/>
      <c r="U17" s="740"/>
      <c r="V17" s="740"/>
      <c r="W17" s="740"/>
      <c r="X17" s="740"/>
      <c r="Y17" s="740"/>
      <c r="AA17" s="770">
        <f>1/Eingabedaten!AP23</f>
        <v>0.125</v>
      </c>
      <c r="AC17" s="775" t="s">
        <v>1135</v>
      </c>
      <c r="AD17" s="776" t="s">
        <v>1131</v>
      </c>
      <c r="AE17" s="1283">
        <f>AE8*AE29</f>
        <v>592.7600000000001</v>
      </c>
      <c r="AF17" s="748">
        <f>AF8*AF29</f>
        <v>592.7600000000001</v>
      </c>
      <c r="AG17" s="748">
        <f t="shared" ref="AG17:AZ17" si="59">AG8*AG29</f>
        <v>435.21330805687211</v>
      </c>
      <c r="AH17" s="748">
        <f t="shared" si="59"/>
        <v>677.43999999999983</v>
      </c>
      <c r="AI17" s="748">
        <f t="shared" si="59"/>
        <v>33.160147630922694</v>
      </c>
      <c r="AJ17" s="748">
        <f t="shared" si="59"/>
        <v>16.449652567814038</v>
      </c>
      <c r="AK17" s="748">
        <f>AK8*AK29</f>
        <v>16.449652567814038</v>
      </c>
      <c r="AL17" s="748">
        <f>AL8*AL29</f>
        <v>15.129969932964151</v>
      </c>
      <c r="AM17" s="748">
        <f t="shared" si="59"/>
        <v>22.446000000000005</v>
      </c>
      <c r="AN17" s="748">
        <f t="shared" si="59"/>
        <v>22.446000000000005</v>
      </c>
      <c r="AO17" s="748">
        <f t="shared" si="59"/>
        <v>22.446000000000005</v>
      </c>
      <c r="AP17" s="748">
        <f t="shared" si="59"/>
        <v>22.977127868852463</v>
      </c>
      <c r="AQ17" s="748">
        <f t="shared" si="59"/>
        <v>199.55210443864232</v>
      </c>
      <c r="AR17" s="748">
        <f t="shared" si="59"/>
        <v>22.040000000000003</v>
      </c>
      <c r="AS17" s="748">
        <f t="shared" si="59"/>
        <v>406.95689679715315</v>
      </c>
      <c r="AT17" s="748">
        <f t="shared" si="59"/>
        <v>324.04093203883491</v>
      </c>
      <c r="AU17" s="748">
        <f t="shared" si="59"/>
        <v>534.85905617977539</v>
      </c>
      <c r="AV17" s="748">
        <f t="shared" si="59"/>
        <v>36.331200000000003</v>
      </c>
      <c r="AW17" s="748">
        <f t="shared" si="59"/>
        <v>36.331200000000003</v>
      </c>
      <c r="AX17" s="748">
        <f t="shared" si="59"/>
        <v>1269.6012493150683</v>
      </c>
      <c r="AY17" s="784">
        <f t="shared" si="59"/>
        <v>1372.7700674157309</v>
      </c>
      <c r="AZ17" s="784">
        <f t="shared" si="59"/>
        <v>0</v>
      </c>
      <c r="BA17" s="744"/>
      <c r="BC17" s="723" t="s">
        <v>1539</v>
      </c>
      <c r="BD17" s="723" t="s">
        <v>24</v>
      </c>
      <c r="BE17" s="723">
        <f t="shared" ref="BE17:BS17" si="60">CD8*CD9/8.76+CD5/CD4*CD6/24</f>
        <v>1.7172374429223742</v>
      </c>
      <c r="BF17" s="723" t="e">
        <f t="shared" si="60"/>
        <v>#DIV/0!</v>
      </c>
      <c r="BG17" s="723" t="e">
        <f t="shared" si="60"/>
        <v>#DIV/0!</v>
      </c>
      <c r="BH17" s="723">
        <f t="shared" si="60"/>
        <v>1.3635844748858448</v>
      </c>
      <c r="BI17" s="723">
        <f t="shared" si="60"/>
        <v>2.0952054794520545</v>
      </c>
      <c r="BJ17" s="723">
        <f t="shared" si="60"/>
        <v>1.9720319634703196</v>
      </c>
      <c r="BK17" s="723">
        <f t="shared" si="60"/>
        <v>0.51369863013698636</v>
      </c>
      <c r="BL17" s="723">
        <f t="shared" si="60"/>
        <v>0.77625570776255715</v>
      </c>
      <c r="BM17" s="723">
        <f t="shared" si="60"/>
        <v>3.4387366818873675</v>
      </c>
      <c r="BN17" s="723">
        <f t="shared" si="60"/>
        <v>3.4387366818873675</v>
      </c>
      <c r="BO17" s="723">
        <f t="shared" si="60"/>
        <v>3.4387366818873675</v>
      </c>
      <c r="BP17" s="723">
        <f t="shared" si="60"/>
        <v>2.2558980213089801</v>
      </c>
      <c r="BQ17" s="723">
        <f t="shared" si="60"/>
        <v>2.9497716894977168</v>
      </c>
      <c r="BR17" s="723">
        <f t="shared" si="60"/>
        <v>5.6940639269406397</v>
      </c>
      <c r="BS17" s="723">
        <f t="shared" si="60"/>
        <v>2.9549086757990866</v>
      </c>
      <c r="BT17" s="723">
        <f>CU8*CU9/8.76+CU5/CU4*CU6/24</f>
        <v>1.4564307458143075</v>
      </c>
      <c r="BU17" s="723">
        <f>CV8*CV9/8.76+CV5/CV4*CV6/24</f>
        <v>1.0559360730593608</v>
      </c>
      <c r="BV17" s="723">
        <f>CU8*CU9/8.76+CU5/CU4*CU6/24</f>
        <v>1.4564307458143075</v>
      </c>
      <c r="BW17" s="723">
        <f>CV8*CV9/8.76+CV5/CV4*CV6/24</f>
        <v>1.0559360730593608</v>
      </c>
      <c r="BX17" s="723">
        <f>CW8*CW9/8.76+CW5/CW4*CW6/24</f>
        <v>0.69463470319634713</v>
      </c>
      <c r="BY17" s="743">
        <f>CX8*CX9/8.76+CX5/CX4*CX6/24</f>
        <v>1.897260273972603</v>
      </c>
      <c r="CB17" s="728" t="s">
        <v>1201</v>
      </c>
      <c r="CC17" s="756" t="s">
        <v>1101</v>
      </c>
      <c r="CD17" s="793">
        <f>CD16-CD7</f>
        <v>-0.35700000000000021</v>
      </c>
      <c r="CE17" s="793"/>
      <c r="CF17" s="738"/>
      <c r="CG17" s="793">
        <f>CG16-CG7</f>
        <v>-0.25499999999999989</v>
      </c>
      <c r="CH17" s="793">
        <f>CH16-CH7</f>
        <v>1.1539999999999999</v>
      </c>
      <c r="CI17" s="793">
        <f>CI16-CI7</f>
        <v>-0.22499999999999964</v>
      </c>
      <c r="CJ17" s="793"/>
      <c r="CK17" s="793"/>
      <c r="CL17" s="793">
        <f t="shared" ref="CL17:CX17" si="61">CL16-CL7</f>
        <v>0.92333333333333378</v>
      </c>
      <c r="CM17" s="793">
        <f t="shared" si="61"/>
        <v>0.92333333333333378</v>
      </c>
      <c r="CN17" s="793">
        <f t="shared" si="61"/>
        <v>0.92333333333333378</v>
      </c>
      <c r="CO17" s="793">
        <f t="shared" si="61"/>
        <v>-3.8333333333333108E-2</v>
      </c>
      <c r="CP17" s="793">
        <f t="shared" si="61"/>
        <v>-3.5599999999999987</v>
      </c>
      <c r="CQ17" s="793">
        <f t="shared" si="61"/>
        <v>8.8800000000000026</v>
      </c>
      <c r="CR17" s="793">
        <f t="shared" si="61"/>
        <v>-1.115000000000002</v>
      </c>
      <c r="CS17" s="793">
        <f t="shared" si="61"/>
        <v>1.4400000000000013</v>
      </c>
      <c r="CT17" s="793">
        <f t="shared" si="61"/>
        <v>-0.55999999999999872</v>
      </c>
      <c r="CU17" s="793">
        <f t="shared" si="61"/>
        <v>0.25833333333333375</v>
      </c>
      <c r="CV17" s="793">
        <f t="shared" si="61"/>
        <v>0.64999999999999991</v>
      </c>
      <c r="CW17" s="793">
        <f t="shared" si="61"/>
        <v>0.28500000000000014</v>
      </c>
      <c r="CX17" s="793">
        <f t="shared" si="61"/>
        <v>0.22000000000000064</v>
      </c>
      <c r="DB17" s="723" t="s">
        <v>1134</v>
      </c>
      <c r="FT17" s="741">
        <f>AY4</f>
        <v>1.8661383190883194</v>
      </c>
      <c r="FU17" s="741">
        <f>AZ4</f>
        <v>1.1488220170940169</v>
      </c>
      <c r="FV17" s="741"/>
    </row>
    <row r="18" spans="1:181">
      <c r="A18" s="1393">
        <f>Eingabedaten!A24</f>
        <v>5.03</v>
      </c>
      <c r="B18" s="738" t="str">
        <f>Eingabedaten!C24</f>
        <v>Verkauf Möbel, Bau, Garten</v>
      </c>
      <c r="C18" s="724" t="s">
        <v>5</v>
      </c>
      <c r="D18" s="740"/>
      <c r="E18" s="740"/>
      <c r="F18" s="740"/>
      <c r="G18" s="740"/>
      <c r="H18" s="740"/>
      <c r="I18" s="740"/>
      <c r="J18" s="740"/>
      <c r="K18" s="740"/>
      <c r="L18" s="740"/>
      <c r="M18" s="740"/>
      <c r="N18" s="740"/>
      <c r="O18" s="739">
        <v>60</v>
      </c>
      <c r="P18" s="740"/>
      <c r="Q18" s="740"/>
      <c r="R18" s="740"/>
      <c r="S18" s="740"/>
      <c r="T18" s="740"/>
      <c r="U18" s="740"/>
      <c r="V18" s="740"/>
      <c r="W18" s="740"/>
      <c r="X18" s="740"/>
      <c r="Y18" s="740"/>
      <c r="AA18" s="770">
        <f>1/Eingabedaten!AP24</f>
        <v>6.6666666666666666E-2</v>
      </c>
      <c r="AC18" s="775"/>
      <c r="AD18" s="779"/>
      <c r="AE18" s="1286"/>
      <c r="AF18" s="788"/>
      <c r="AG18" s="788"/>
      <c r="AH18" s="788"/>
      <c r="AI18" s="788"/>
      <c r="AJ18" s="788"/>
      <c r="AK18" s="788"/>
      <c r="AL18" s="788"/>
      <c r="AM18" s="788"/>
      <c r="AN18" s="788"/>
      <c r="AO18" s="788"/>
      <c r="AP18" s="788"/>
      <c r="AQ18" s="788"/>
      <c r="AR18" s="788"/>
      <c r="AS18" s="788"/>
      <c r="AT18" s="788"/>
      <c r="AU18" s="788"/>
      <c r="AV18" s="788"/>
      <c r="AW18" s="788"/>
      <c r="AX18" s="788"/>
      <c r="AY18" s="789"/>
      <c r="AZ18" s="789"/>
      <c r="FT18" s="723">
        <f>AY11</f>
        <v>6.88</v>
      </c>
      <c r="FU18" s="723">
        <f>AZ11</f>
        <v>4.2160000000000002</v>
      </c>
      <c r="FW18" s="741"/>
      <c r="FX18" s="741"/>
      <c r="FY18" s="741"/>
    </row>
    <row r="19" spans="1:181">
      <c r="A19" s="1393">
        <f>Eingabedaten!A25</f>
        <v>6.01</v>
      </c>
      <c r="B19" s="738" t="str">
        <f>Eingabedaten!C25</f>
        <v>Restaurant</v>
      </c>
      <c r="C19" s="724" t="s">
        <v>5</v>
      </c>
      <c r="D19" s="740"/>
      <c r="E19" s="740"/>
      <c r="F19" s="740"/>
      <c r="G19" s="740"/>
      <c r="H19" s="740"/>
      <c r="I19" s="740"/>
      <c r="J19" s="740"/>
      <c r="K19" s="740"/>
      <c r="L19" s="740"/>
      <c r="M19" s="740"/>
      <c r="N19" s="740"/>
      <c r="O19" s="740"/>
      <c r="P19" s="739">
        <v>50</v>
      </c>
      <c r="Q19" s="740"/>
      <c r="R19" s="740"/>
      <c r="S19" s="740"/>
      <c r="T19" s="740"/>
      <c r="U19" s="740"/>
      <c r="V19" s="740"/>
      <c r="W19" s="740"/>
      <c r="X19" s="740"/>
      <c r="Y19" s="740"/>
      <c r="AA19" s="770">
        <f>1/Eingabedaten!AP25</f>
        <v>0.5</v>
      </c>
      <c r="AC19" s="775"/>
      <c r="AD19" s="776"/>
      <c r="AE19" s="1284"/>
      <c r="AF19" s="746"/>
      <c r="AG19" s="746"/>
      <c r="AH19" s="746"/>
      <c r="AI19" s="746"/>
      <c r="AJ19" s="746"/>
      <c r="AK19" s="746"/>
      <c r="AL19" s="746"/>
      <c r="AM19" s="746"/>
      <c r="AN19" s="746"/>
      <c r="AO19" s="746"/>
      <c r="AP19" s="746"/>
      <c r="AQ19" s="746"/>
      <c r="AR19" s="746"/>
      <c r="AS19" s="746"/>
      <c r="AT19" s="746"/>
      <c r="AU19" s="746"/>
      <c r="AV19" s="746"/>
      <c r="AW19" s="746"/>
      <c r="AX19" s="746"/>
      <c r="AY19" s="785"/>
      <c r="AZ19" s="785"/>
      <c r="FT19" s="742">
        <f>SUM(FT14:FT18)</f>
        <v>54.94914178163561</v>
      </c>
      <c r="FU19" s="742">
        <f>SUM(FU14:FU18)</f>
        <v>7.2855538166981519</v>
      </c>
      <c r="FV19" s="742"/>
      <c r="FW19" s="741"/>
      <c r="FX19" s="741"/>
      <c r="FY19" s="741"/>
    </row>
    <row r="20" spans="1:181">
      <c r="A20" s="1393">
        <f>Eingabedaten!A26</f>
        <v>6.02</v>
      </c>
      <c r="B20" s="738" t="str">
        <f>Eingabedaten!C26</f>
        <v>Selbstbedienungsrestaurant</v>
      </c>
      <c r="C20" s="724" t="s">
        <v>5</v>
      </c>
      <c r="D20" s="740"/>
      <c r="E20" s="740"/>
      <c r="F20" s="740"/>
      <c r="G20" s="740"/>
      <c r="H20" s="740"/>
      <c r="I20" s="740"/>
      <c r="J20" s="740"/>
      <c r="K20" s="740"/>
      <c r="L20" s="740"/>
      <c r="M20" s="740"/>
      <c r="N20" s="740"/>
      <c r="O20" s="740"/>
      <c r="P20" s="740"/>
      <c r="Q20" s="740"/>
      <c r="R20" s="740"/>
      <c r="S20" s="740"/>
      <c r="T20" s="740"/>
      <c r="U20" s="740"/>
      <c r="V20" s="740"/>
      <c r="W20" s="740"/>
      <c r="X20" s="740"/>
      <c r="Y20" s="740"/>
      <c r="AA20" s="770">
        <f>1/Eingabedaten!AP26</f>
        <v>0.5</v>
      </c>
      <c r="AC20" s="775" t="s">
        <v>1545</v>
      </c>
      <c r="AD20" s="776" t="s">
        <v>1061</v>
      </c>
      <c r="AE20" s="1287">
        <f>SUMPRODUCT('Resultate Standard'!$AD$6:$AD$50,'Fläche-ZW'!D$3:D$47)/100*$AD$1</f>
        <v>0.62342857142857155</v>
      </c>
      <c r="AF20" s="790"/>
      <c r="AG20" s="790"/>
      <c r="AH20" s="790">
        <f>SUMPRODUCT('Resultate Standard'!$AD$6:$AD$50,'Fläche-ZW'!G$3:G$47)/100*$AD$1</f>
        <v>0.45760000000000001</v>
      </c>
      <c r="AI20" s="790">
        <f>SUMPRODUCT('Resultate Standard'!$AD$6:$AD$50,'Fläche-ZW'!H$3:H$47)/100*$AD$1</f>
        <v>1.9781904761904763</v>
      </c>
      <c r="AJ20" s="790">
        <f>SUMPRODUCT('Resultate Standard'!$AD$6:$AD$50,'Fläche-ZW'!I$3:I$47)/100*$AD$1</f>
        <v>3.6104571428571428</v>
      </c>
      <c r="AK20" s="790">
        <f>SUMPRODUCT('Resultate Standard'!$AD$6:$AD$50,'Fläche-ZW'!J$3:J$47)/100*$AD$1</f>
        <v>3.6104571428571428</v>
      </c>
      <c r="AL20" s="790">
        <f>SUMPRODUCT('Resultate Standard'!$AD$6:$AD$50,'Fläche-ZW'!K$3:K$47)/100*$AD$1</f>
        <v>3.6350476190476186</v>
      </c>
      <c r="AM20" s="790">
        <f>SUMPRODUCT('Resultate Standard'!$AD$6:$AD$50,'Fläche-ZW'!L$3:L$47)/100*$AD$1</f>
        <v>2.1428571428571432</v>
      </c>
      <c r="AN20" s="790">
        <f>SUMPRODUCT('Resultate Standard'!$AD$6:$AD$50,'Fläche-ZW'!M$3:M$47)/100*$AD$1</f>
        <v>2.1348571428571432</v>
      </c>
      <c r="AO20" s="790">
        <f>SUMPRODUCT('Resultate Standard'!$AD$6:$AD$50,'Fläche-ZW'!N$3:N$47)/100*$AD$1</f>
        <v>2.1428571428571432</v>
      </c>
      <c r="AP20" s="790">
        <f>SUMPRODUCT('Resultate Standard'!$AD$6:$AD$50,'Fläche-ZW'!O$3:O$47)/100*$AD$1</f>
        <v>1.330857142857143</v>
      </c>
      <c r="AQ20" s="790">
        <f>SUMPRODUCT('Resultate Standard'!$AD$6:$AD$50,'Fläche-ZW'!P$3:P$47)/100*$AD$1</f>
        <v>6.968190476190478</v>
      </c>
      <c r="AR20" s="790">
        <f>SUMPRODUCT('Resultate Standard'!$AD$6:$AD$50,'Fläche-ZW'!Q$3:Q$47)/100*$AD$1</f>
        <v>5.1628571428571437</v>
      </c>
      <c r="AS20" s="790">
        <f>SUMPRODUCT('Resultate Standard'!$AD$6:$AD$50,'Fläche-ZW'!R$3:R$47)/100*$AD$1</f>
        <v>2.0121904761904763</v>
      </c>
      <c r="AT20" s="790">
        <f>SUMPRODUCT('Resultate Standard'!$AD$6:$AD$50,'Fläche-ZW'!S$3:S$47)/100*$AD$1</f>
        <v>2.1668571428571433</v>
      </c>
      <c r="AU20" s="790">
        <f>SUMPRODUCT('Resultate Standard'!$AD$6:$AD$50,'Fläche-ZW'!T$3:T$47)/100*$AD$1</f>
        <v>1.914857142857143</v>
      </c>
      <c r="AV20" s="790">
        <f>SUMPRODUCT('Resultate Standard'!$AD$6:$AD$50,'Fläche-ZW'!U$3:U$47)/100*$AD$1</f>
        <v>1.313968253968254</v>
      </c>
      <c r="AW20" s="790">
        <f>SUMPRODUCT('Resultate Standard'!$AD$6:$AD$50,'Fläche-ZW'!V$3:V$47)/100*$AD$1</f>
        <v>0.91952380952380963</v>
      </c>
      <c r="AX20" s="790">
        <f>SUMPRODUCT('Resultate Standard'!$AD$6:$AD$50,'Fläche-ZW'!W$3:W$47)/100*$AD$1</f>
        <v>3.1</v>
      </c>
      <c r="AY20" s="791">
        <f>SUMPRODUCT('Resultate Standard'!$AD$6:$AD$50,'Fläche-ZW'!X$3:X$47)/100*$AD$1</f>
        <v>3.4428571428571431</v>
      </c>
      <c r="AZ20" s="785"/>
      <c r="FT20" s="723">
        <f>FT19-FT9</f>
        <v>54.94914178163561</v>
      </c>
      <c r="FU20" s="723">
        <f>FU19-FU9</f>
        <v>7.2855538166981519</v>
      </c>
    </row>
    <row r="21" spans="1:181">
      <c r="A21" s="1393">
        <f>Eingabedaten!A27</f>
        <v>6.03</v>
      </c>
      <c r="B21" s="738" t="str">
        <f>Eingabedaten!C27</f>
        <v>Küche zu Restaurant</v>
      </c>
      <c r="C21" s="724" t="s">
        <v>5</v>
      </c>
      <c r="D21" s="740"/>
      <c r="E21" s="740"/>
      <c r="F21" s="740"/>
      <c r="G21" s="740"/>
      <c r="H21" s="740"/>
      <c r="I21" s="740"/>
      <c r="J21" s="740"/>
      <c r="K21" s="740"/>
      <c r="L21" s="740"/>
      <c r="M21" s="740"/>
      <c r="N21" s="740"/>
      <c r="O21" s="740"/>
      <c r="P21" s="740">
        <v>10</v>
      </c>
      <c r="Q21" s="740"/>
      <c r="R21" s="740"/>
      <c r="S21" s="740"/>
      <c r="T21" s="740"/>
      <c r="U21" s="740"/>
      <c r="V21" s="740"/>
      <c r="W21" s="740"/>
      <c r="X21" s="740"/>
      <c r="Y21" s="740"/>
      <c r="AA21" s="770">
        <f>1/Eingabedaten!AP27</f>
        <v>0.2</v>
      </c>
      <c r="AC21" s="775" t="s">
        <v>1559</v>
      </c>
      <c r="AD21" s="776" t="s">
        <v>1061</v>
      </c>
      <c r="AE21" s="1287">
        <f>SUMPRODUCT('Resultate Standard'!$AD$6:$AD$50,'Fläche-ZW'!D$3:D$47,'Resultate Standard'!$AE$6:$AE$50)/100/8760*$AD$1</f>
        <v>0.57351989562948469</v>
      </c>
      <c r="AF21" s="790">
        <f>SUMPRODUCT('Resultate Standard'!$AD$6:$AD$50,'Fläche-ZW'!E$3:E$47,'Resultate Standard'!$AE$6:$AE$50)/100/8760*$AD$1</f>
        <v>0.57351989562948469</v>
      </c>
      <c r="AG21" s="790">
        <f>SUMPRODUCT('Resultate Standard'!$AD$6:$AD$50,'Fläche-ZW'!F$3:F$47,'Resultate Standard'!$AE$6:$AE$50)/100/8760*$AD$1</f>
        <v>1.0918199608610566</v>
      </c>
      <c r="AH21" s="790">
        <f>SUMPRODUCT('Resultate Standard'!$AD$6:$AD$50,'Fläche-ZW'!G$3:G$47,'Resultate Standard'!$AE$6:$AE$50)/100/8760*$AD$1</f>
        <v>0.43778264840182646</v>
      </c>
      <c r="AI21" s="790">
        <f>SUMPRODUCT('Resultate Standard'!$AD$6:$AD$50,'Fläche-ZW'!H$3:H$47,'Resultate Standard'!$AE$6:$AE$50)/100/8760*$AD$1</f>
        <v>0.67670732767993047</v>
      </c>
      <c r="AJ21" s="790">
        <f>SUMPRODUCT('Resultate Standard'!$AD$6:$AD$50,'Fläche-ZW'!I$3:I$47,'Resultate Standard'!$AE$6:$AE$50)/100/8760*$AD$1</f>
        <v>0.91802224396607957</v>
      </c>
      <c r="AK21" s="790">
        <f>SUMPRODUCT('Resultate Standard'!$AD$6:$AD$50,'Fläche-ZW'!J$3:J$47,'Resultate Standard'!$AE$6:$AE$50)/100/8760*$AD$1</f>
        <v>0.91802224396607957</v>
      </c>
      <c r="AL21" s="790">
        <f>SUMPRODUCT('Resultate Standard'!$AD$6:$AD$50,'Fläche-ZW'!K$3:K$47,'Resultate Standard'!$AE$6:$AE$50)/100/8760*$AD$1</f>
        <v>1.0468948684496631</v>
      </c>
      <c r="AM21" s="790">
        <f>SUMPRODUCT('Resultate Standard'!$AD$6:$AD$50,'Fläche-ZW'!L$3:L$47,'Resultate Standard'!$AE$6:$AE$50)/100/8760*$AD$1</f>
        <v>1.1072035225048922</v>
      </c>
      <c r="AN21" s="790">
        <f>SUMPRODUCT('Resultate Standard'!$AD$6:$AD$50,'Fläche-ZW'!M$3:M$47,'Resultate Standard'!$AE$6:$AE$50)/100/8760*$AD$1</f>
        <v>1.1031669928245271</v>
      </c>
      <c r="AO21" s="790">
        <f>SUMPRODUCT('Resultate Standard'!$AD$6:$AD$50,'Fläche-ZW'!N$3:N$47,'Resultate Standard'!$AE$6:$AE$50)/100/8760*$AD$1</f>
        <v>1.1072035225048922</v>
      </c>
      <c r="AP21" s="790">
        <f>SUMPRODUCT('Resultate Standard'!$AD$6:$AD$50,'Fläche-ZW'!O$3:O$47,'Resultate Standard'!$AE$6:$AE$50)/100/8760*$AD$1</f>
        <v>0.7950893672537509</v>
      </c>
      <c r="AQ21" s="790">
        <f>SUMPRODUCT('Resultate Standard'!$AD$6:$AD$50,'Fläche-ZW'!P$3:P$47,'Resultate Standard'!$AE$6:$AE$50)/100/8760*$AD$1</f>
        <v>1.9812720156555774</v>
      </c>
      <c r="AR21" s="790">
        <f>SUMPRODUCT('Resultate Standard'!$AD$6:$AD$50,'Fläche-ZW'!Q$3:Q$47,'Resultate Standard'!$AE$6:$AE$50)/100/8760*$AD$1</f>
        <v>1.9270863231137203</v>
      </c>
      <c r="AS21" s="790">
        <f>SUMPRODUCT('Resultate Standard'!$AD$6:$AD$50,'Fläche-ZW'!R$3:R$47,'Resultate Standard'!$AE$6:$AE$50)/100/8760*$AD$1</f>
        <v>1.1850163078930203</v>
      </c>
      <c r="AT21" s="790">
        <f>SUMPRODUCT('Resultate Standard'!$AD$6:$AD$50,'Fläche-ZW'!S$3:S$47,'Resultate Standard'!$AE$6:$AE$50)/100/8760*$AD$1</f>
        <v>1.2128245270711027</v>
      </c>
      <c r="AU21" s="790">
        <f>SUMPRODUCT('Resultate Standard'!$AD$6:$AD$50,'Fläche-ZW'!T$3:T$47,'Resultate Standard'!$AE$6:$AE$50)/100/8760*$AD$1</f>
        <v>1.2202948467058057</v>
      </c>
      <c r="AV21" s="790">
        <f>SUMPRODUCT('Resultate Standard'!$AD$6:$AD$50,'Fläche-ZW'!U$3:U$47,'Resultate Standard'!$AE$6:$AE$50)/100/8760*$AD$1</f>
        <v>0.61190722620859617</v>
      </c>
      <c r="AW21" s="790">
        <f>SUMPRODUCT('Resultate Standard'!$AD$6:$AD$50,'Fläche-ZW'!V$3:V$47,'Resultate Standard'!$AE$6:$AE$50)/100/8760*$AD$1</f>
        <v>0.58085192433137656</v>
      </c>
      <c r="AX21" s="790">
        <f>SUMPRODUCT('Resultate Standard'!$AD$6:$AD$50,'Fläche-ZW'!W$3:W$47,'Resultate Standard'!$AE$6:$AE$50)/100/8760*$AD$1</f>
        <v>1.1171232876712329</v>
      </c>
      <c r="AY21" s="791">
        <f>SUMPRODUCT('Resultate Standard'!$AD$6:$AD$50,'Fläche-ZW'!X$3:X$47,'Resultate Standard'!$AE$6:$AE$50)/100/8760*$AD$1</f>
        <v>1.6889432485322897</v>
      </c>
      <c r="AZ21" s="787">
        <f>SUMPRODUCT('Resultate Standard'!$AD$6:$AD$50,'Fläche-ZW'!Y$3:Y$47,'Resultate Standard'!$AG$6:$AG$50)/100/8760*$AD$1</f>
        <v>2.0182648401826486E-2</v>
      </c>
      <c r="EX21" s="742"/>
      <c r="FT21" s="723" t="e">
        <f>FT20/FT9%</f>
        <v>#DIV/0!</v>
      </c>
      <c r="FU21" s="723" t="e">
        <f>FU20/FU9%</f>
        <v>#DIV/0!</v>
      </c>
      <c r="FW21" s="742"/>
      <c r="FX21" s="742"/>
      <c r="FY21" s="742"/>
    </row>
    <row r="22" spans="1:181">
      <c r="A22" s="1393">
        <f>Eingabedaten!A28</f>
        <v>6.04</v>
      </c>
      <c r="B22" s="738" t="str">
        <f>Eingabedaten!C28</f>
        <v>Küche zu Selbstbedienungsrest.</v>
      </c>
      <c r="C22" s="724" t="s">
        <v>5</v>
      </c>
      <c r="D22" s="740"/>
      <c r="E22" s="740"/>
      <c r="F22" s="740"/>
      <c r="G22" s="740"/>
      <c r="H22" s="740"/>
      <c r="I22" s="740"/>
      <c r="J22" s="740"/>
      <c r="K22" s="740"/>
      <c r="L22" s="740"/>
      <c r="M22" s="740"/>
      <c r="N22" s="740"/>
      <c r="O22" s="740"/>
      <c r="P22" s="740"/>
      <c r="Q22" s="740"/>
      <c r="R22" s="740"/>
      <c r="S22" s="740"/>
      <c r="T22" s="740"/>
      <c r="U22" s="740"/>
      <c r="V22" s="740"/>
      <c r="W22" s="740"/>
      <c r="X22" s="740"/>
      <c r="Y22" s="740"/>
      <c r="AA22" s="770">
        <f>1/Eingabedaten!AP28</f>
        <v>0.2</v>
      </c>
      <c r="AC22" s="775" t="s">
        <v>1558</v>
      </c>
      <c r="AD22" s="776" t="s">
        <v>1061</v>
      </c>
      <c r="AE22" s="1287">
        <f>SUMPRODUCT('Resultate Standard'!$AZ$6:$AZ$50,'Fläche-ZW'!D$3:D$47)/100</f>
        <v>0.33369952707110245</v>
      </c>
      <c r="AF22" s="790">
        <f>SUMPRODUCT('Resultate Standard'!$AZ$6:$AZ$50,'Fläche-ZW'!E$3:E$47)/100</f>
        <v>0.33369952707110245</v>
      </c>
      <c r="AG22" s="790">
        <f>SUMPRODUCT('Resultate Standard'!$AZ$6:$AZ$50,'Fläche-ZW'!F$3:F$47)/100</f>
        <v>0.59541964285714288</v>
      </c>
      <c r="AH22" s="790">
        <f>SUMPRODUCT('Resultate Standard'!$AZ$6:$AZ$50,'Fläche-ZW'!G$3:G$47)/100</f>
        <v>0.28375981735159816</v>
      </c>
      <c r="AI22" s="790">
        <f>SUMPRODUCT('Resultate Standard'!$AZ$6:$AZ$50,'Fläche-ZW'!H$3:H$47)/100</f>
        <v>0.39216955724070457</v>
      </c>
      <c r="AJ22" s="790">
        <f>SUMPRODUCT('Resultate Standard'!$AZ$6:$AZ$50,'Fläche-ZW'!I$3:I$47)/100</f>
        <v>0.49311969993476856</v>
      </c>
      <c r="AK22" s="790">
        <f>SUMPRODUCT('Resultate Standard'!$AZ$6:$AZ$50,'Fläche-ZW'!J$3:J$47)/100</f>
        <v>0.49311969993476856</v>
      </c>
      <c r="AL22" s="790">
        <f>SUMPRODUCT('Resultate Standard'!$AZ$6:$AZ$50,'Fläche-ZW'!K$3:K$47)/100</f>
        <v>0.53602407452707124</v>
      </c>
      <c r="AM22" s="790">
        <f>SUMPRODUCT('Resultate Standard'!$AZ$6:$AZ$50,'Fläche-ZW'!L$3:L$47)/100</f>
        <v>0.55222072733202887</v>
      </c>
      <c r="AN22" s="790">
        <f>SUMPRODUCT('Resultate Standard'!$AZ$6:$AZ$50,'Fläche-ZW'!M$3:M$47)/100</f>
        <v>0.54568876386170917</v>
      </c>
      <c r="AO22" s="790">
        <f>SUMPRODUCT('Resultate Standard'!$AZ$6:$AZ$50,'Fläche-ZW'!N$3:N$47)/100</f>
        <v>0.55222072733202887</v>
      </c>
      <c r="AP22" s="790">
        <f>SUMPRODUCT('Resultate Standard'!$AZ$6:$AZ$50,'Fläche-ZW'!O$3:O$47)/100</f>
        <v>0.43101696020874114</v>
      </c>
      <c r="AQ22" s="790">
        <f>SUMPRODUCT('Resultate Standard'!$AZ$6:$AZ$50,'Fläche-ZW'!P$3:P$47)/100</f>
        <v>0.88654521363339867</v>
      </c>
      <c r="AR22" s="790">
        <f>SUMPRODUCT('Resultate Standard'!$AZ$6:$AZ$50,'Fläche-ZW'!Q$3:Q$47)/100</f>
        <v>0.86647729125896911</v>
      </c>
      <c r="AS22" s="790">
        <f>SUMPRODUCT('Resultate Standard'!$AZ$6:$AZ$50,'Fläche-ZW'!R$3:R$47)/100</f>
        <v>0.57733374103065893</v>
      </c>
      <c r="AT22" s="790">
        <f>SUMPRODUCT('Resultate Standard'!$AZ$6:$AZ$50,'Fläche-ZW'!S$3:S$47)/100</f>
        <v>0.58899213144161788</v>
      </c>
      <c r="AU22" s="790">
        <f>SUMPRODUCT('Resultate Standard'!$AZ$6:$AZ$50,'Fläche-ZW'!T$3:T$47)/100</f>
        <v>0.58868562459230278</v>
      </c>
      <c r="AV22" s="790">
        <f>SUMPRODUCT('Resultate Standard'!$AZ$6:$AZ$50,'Fläche-ZW'!U$3:U$47)/100</f>
        <v>0.37024945640356605</v>
      </c>
      <c r="AW22" s="790">
        <f>SUMPRODUCT('Resultate Standard'!$AZ$6:$AZ$50,'Fläche-ZW'!V$3:V$47)/100</f>
        <v>0.3499607387475539</v>
      </c>
      <c r="AX22" s="790">
        <f>SUMPRODUCT('Resultate Standard'!$AZ$6:$AZ$50,'Fläche-ZW'!W$3:W$47)/100</f>
        <v>1.2967862442922373</v>
      </c>
      <c r="AY22" s="791">
        <f>SUMPRODUCT('Resultate Standard'!$AZ$6:$AZ$50,'Fläche-ZW'!X$3:X$47)/100</f>
        <v>0.77235000815394661</v>
      </c>
      <c r="AZ22" s="791">
        <f>SUMPRODUCT('Resultate Standard'!$AZ$6:$AZ$50,'Fläche-ZW'!Y$3:Y$47)/100</f>
        <v>2.6478881278538813E-2</v>
      </c>
    </row>
    <row r="23" spans="1:181">
      <c r="A23" s="1393">
        <f>Eingabedaten!A29</f>
        <v>7.01</v>
      </c>
      <c r="B23" s="738" t="str">
        <f>Eingabedaten!C29</f>
        <v>Vorstellungsraum</v>
      </c>
      <c r="C23" s="724" t="s">
        <v>5</v>
      </c>
      <c r="D23" s="740"/>
      <c r="E23" s="740"/>
      <c r="F23" s="740"/>
      <c r="G23" s="740"/>
      <c r="H23" s="740"/>
      <c r="I23" s="740"/>
      <c r="J23" s="740"/>
      <c r="K23" s="740"/>
      <c r="L23" s="740"/>
      <c r="M23" s="740"/>
      <c r="N23" s="740"/>
      <c r="O23" s="740"/>
      <c r="P23" s="740"/>
      <c r="Q23" s="740">
        <v>20</v>
      </c>
      <c r="R23" s="740"/>
      <c r="S23" s="740"/>
      <c r="T23" s="740"/>
      <c r="U23" s="740"/>
      <c r="V23" s="740"/>
      <c r="W23" s="740"/>
      <c r="X23" s="740"/>
      <c r="Y23" s="740"/>
      <c r="AA23" s="770">
        <f>1/Eingabedaten!AP29</f>
        <v>0.33333333333333331</v>
      </c>
      <c r="AC23" s="777" t="s">
        <v>1152</v>
      </c>
      <c r="AD23" s="776"/>
      <c r="AE23" s="1284">
        <f>AE22/AE21</f>
        <v>0.58184472694681344</v>
      </c>
      <c r="AF23" s="746">
        <f>AF22/AF21</f>
        <v>0.58184472694681344</v>
      </c>
      <c r="AG23" s="746">
        <f t="shared" ref="AG23:AZ23" si="62">AG22/AG21</f>
        <v>0.54534599494551206</v>
      </c>
      <c r="AH23" s="746">
        <f t="shared" si="62"/>
        <v>0.64817511243877413</v>
      </c>
      <c r="AI23" s="746">
        <f t="shared" si="62"/>
        <v>0.5795260982103525</v>
      </c>
      <c r="AJ23" s="746">
        <f t="shared" si="62"/>
        <v>0.53715441338803671</v>
      </c>
      <c r="AK23" s="746">
        <f>AK22/AK21</f>
        <v>0.53715441338803671</v>
      </c>
      <c r="AL23" s="746">
        <f>AL22/AL21</f>
        <v>0.51201327915654449</v>
      </c>
      <c r="AM23" s="746">
        <f t="shared" si="62"/>
        <v>0.49875268286963825</v>
      </c>
      <c r="AN23" s="746">
        <f t="shared" si="62"/>
        <v>0.49465653650907226</v>
      </c>
      <c r="AO23" s="746">
        <f t="shared" si="62"/>
        <v>0.49875268286963825</v>
      </c>
      <c r="AP23" s="746">
        <f t="shared" si="62"/>
        <v>0.54209876016513636</v>
      </c>
      <c r="AQ23" s="790">
        <f t="shared" si="62"/>
        <v>0.44746264350786397</v>
      </c>
      <c r="AR23" s="790">
        <f t="shared" si="62"/>
        <v>0.44963076166663085</v>
      </c>
      <c r="AS23" s="746">
        <f t="shared" si="62"/>
        <v>0.48719476448148502</v>
      </c>
      <c r="AT23" s="746">
        <f t="shared" si="62"/>
        <v>0.48563672509493028</v>
      </c>
      <c r="AU23" s="746">
        <f t="shared" si="62"/>
        <v>0.48241261214981251</v>
      </c>
      <c r="AV23" s="746">
        <f t="shared" si="62"/>
        <v>0.60507449584743067</v>
      </c>
      <c r="AW23" s="746">
        <f t="shared" si="62"/>
        <v>0.60249561736478119</v>
      </c>
      <c r="AX23" s="746">
        <f t="shared" si="62"/>
        <v>1.1608264357245042</v>
      </c>
      <c r="AY23" s="785">
        <f t="shared" si="62"/>
        <v>0.45729778595291892</v>
      </c>
      <c r="AZ23" s="785">
        <f t="shared" si="62"/>
        <v>1.3119626696832578</v>
      </c>
    </row>
    <row r="24" spans="1:181">
      <c r="A24" s="1393">
        <f>Eingabedaten!A30</f>
        <v>7.02</v>
      </c>
      <c r="B24" s="738" t="str">
        <f>Eingabedaten!C30</f>
        <v>Mehrzweckhalle</v>
      </c>
      <c r="C24" s="724" t="s">
        <v>5</v>
      </c>
      <c r="D24" s="740"/>
      <c r="E24" s="740"/>
      <c r="F24" s="740"/>
      <c r="G24" s="740"/>
      <c r="H24" s="740"/>
      <c r="I24" s="740"/>
      <c r="J24" s="740"/>
      <c r="K24" s="740"/>
      <c r="L24" s="740"/>
      <c r="M24" s="740"/>
      <c r="N24" s="740"/>
      <c r="O24" s="740"/>
      <c r="P24" s="740"/>
      <c r="Q24" s="740">
        <v>20</v>
      </c>
      <c r="R24" s="740"/>
      <c r="S24" s="740"/>
      <c r="T24" s="740"/>
      <c r="U24" s="740"/>
      <c r="V24" s="740"/>
      <c r="W24" s="740"/>
      <c r="X24" s="740"/>
      <c r="Y24" s="740"/>
      <c r="AA24" s="770">
        <f>1/Eingabedaten!AP30</f>
        <v>0.33333333333333331</v>
      </c>
      <c r="AC24" s="775"/>
      <c r="AD24" s="776"/>
      <c r="AE24" s="1284"/>
      <c r="AF24" s="746"/>
      <c r="AG24" s="746"/>
      <c r="AH24" s="746"/>
      <c r="AI24" s="746"/>
      <c r="AJ24" s="746"/>
      <c r="AK24" s="746"/>
      <c r="AL24" s="746"/>
      <c r="AM24" s="746"/>
      <c r="AN24" s="746"/>
      <c r="AO24" s="746"/>
      <c r="AP24" s="746"/>
      <c r="AQ24" s="746"/>
      <c r="AR24" s="746"/>
      <c r="AS24" s="746"/>
      <c r="AT24" s="746"/>
      <c r="AU24" s="746"/>
      <c r="AV24" s="746"/>
      <c r="AW24" s="746"/>
      <c r="AX24" s="746"/>
      <c r="AY24" s="785"/>
      <c r="AZ24" s="785"/>
    </row>
    <row r="25" spans="1:181">
      <c r="A25" s="1393">
        <f>Eingabedaten!A31</f>
        <v>7.03</v>
      </c>
      <c r="B25" s="738" t="str">
        <f>Eingabedaten!C31</f>
        <v>Ausstellungshalle</v>
      </c>
      <c r="C25" s="724" t="s">
        <v>5</v>
      </c>
      <c r="D25" s="740"/>
      <c r="E25" s="740"/>
      <c r="F25" s="740"/>
      <c r="G25" s="740"/>
      <c r="H25" s="740"/>
      <c r="I25" s="740"/>
      <c r="J25" s="740"/>
      <c r="K25" s="740"/>
      <c r="L25" s="740"/>
      <c r="M25" s="740"/>
      <c r="N25" s="740"/>
      <c r="O25" s="740"/>
      <c r="P25" s="740"/>
      <c r="Q25" s="740">
        <v>20</v>
      </c>
      <c r="R25" s="740"/>
      <c r="S25" s="740"/>
      <c r="T25" s="740"/>
      <c r="U25" s="740"/>
      <c r="V25" s="740"/>
      <c r="W25" s="740"/>
      <c r="X25" s="740"/>
      <c r="Y25" s="740"/>
      <c r="AA25" s="770">
        <f>1/Eingabedaten!AP31</f>
        <v>0.33333333333333331</v>
      </c>
      <c r="AC25" s="775"/>
      <c r="AD25" s="776"/>
      <c r="AE25" s="1284"/>
      <c r="AF25" s="746"/>
      <c r="AG25" s="746"/>
      <c r="AH25" s="746"/>
      <c r="AI25" s="746"/>
      <c r="AJ25" s="746"/>
      <c r="AK25" s="746"/>
      <c r="AL25" s="746"/>
      <c r="AM25" s="746"/>
      <c r="AN25" s="746"/>
      <c r="AO25" s="746"/>
      <c r="AP25" s="746"/>
      <c r="AQ25" s="746"/>
      <c r="AR25" s="746"/>
      <c r="AS25" s="746"/>
      <c r="AT25" s="746"/>
      <c r="AU25" s="746"/>
      <c r="AV25" s="746"/>
      <c r="AW25" s="746"/>
      <c r="AX25" s="746"/>
      <c r="AY25" s="785"/>
      <c r="AZ25" s="785"/>
      <c r="EX25" s="726" t="s">
        <v>1150</v>
      </c>
      <c r="EY25" s="798"/>
      <c r="EZ25" s="724" t="str">
        <f>EZ1</f>
        <v>I</v>
      </c>
      <c r="FA25" s="724" t="str">
        <f t="shared" ref="FA25:FS25" si="63">FA1</f>
        <v>I.1</v>
      </c>
      <c r="FB25" s="724" t="str">
        <f t="shared" si="63"/>
        <v>I.2</v>
      </c>
      <c r="FC25" s="724" t="str">
        <f t="shared" si="63"/>
        <v>II</v>
      </c>
      <c r="FD25" s="724" t="str">
        <f t="shared" si="63"/>
        <v>III</v>
      </c>
      <c r="FE25" s="724" t="str">
        <f t="shared" si="63"/>
        <v>IV</v>
      </c>
      <c r="FF25" s="724" t="str">
        <f t="shared" si="63"/>
        <v>IV.1</v>
      </c>
      <c r="FG25" s="724" t="str">
        <f t="shared" si="63"/>
        <v>IV.2</v>
      </c>
      <c r="FH25" s="724" t="str">
        <f t="shared" si="63"/>
        <v>V</v>
      </c>
      <c r="FI25" s="724" t="str">
        <f t="shared" si="63"/>
        <v>V.1</v>
      </c>
      <c r="FJ25" s="724" t="str">
        <f t="shared" si="63"/>
        <v>V.2</v>
      </c>
      <c r="FK25" s="724" t="str">
        <f t="shared" si="63"/>
        <v>V.3</v>
      </c>
      <c r="FL25" s="724" t="str">
        <f t="shared" si="63"/>
        <v>VI</v>
      </c>
      <c r="FM25" s="724" t="str">
        <f t="shared" si="63"/>
        <v>VII</v>
      </c>
      <c r="FN25" s="724" t="str">
        <f t="shared" si="63"/>
        <v>VIII</v>
      </c>
      <c r="FO25" s="724" t="str">
        <f t="shared" si="63"/>
        <v>VIII.1</v>
      </c>
      <c r="FP25" s="724" t="str">
        <f t="shared" si="63"/>
        <v>VIII.2</v>
      </c>
      <c r="FQ25" s="724" t="str">
        <f t="shared" si="63"/>
        <v>IX</v>
      </c>
      <c r="FR25" s="724" t="str">
        <f t="shared" si="63"/>
        <v>X</v>
      </c>
      <c r="FS25" s="724" t="str">
        <f t="shared" si="63"/>
        <v>XI</v>
      </c>
    </row>
    <row r="26" spans="1:181">
      <c r="A26" s="1393">
        <f>Eingabedaten!A32</f>
        <v>8.01</v>
      </c>
      <c r="B26" s="738" t="str">
        <f>Eingabedaten!C32</f>
        <v xml:space="preserve">Bettenzimmer </v>
      </c>
      <c r="C26" s="724" t="s">
        <v>5</v>
      </c>
      <c r="D26" s="740"/>
      <c r="E26" s="740"/>
      <c r="F26" s="740"/>
      <c r="G26" s="740"/>
      <c r="H26" s="740"/>
      <c r="I26" s="740"/>
      <c r="J26" s="740"/>
      <c r="K26" s="740"/>
      <c r="L26" s="740"/>
      <c r="M26" s="740"/>
      <c r="N26" s="740"/>
      <c r="O26" s="740"/>
      <c r="P26" s="740"/>
      <c r="Q26" s="740"/>
      <c r="R26" s="739">
        <v>40</v>
      </c>
      <c r="S26" s="739">
        <v>35</v>
      </c>
      <c r="T26" s="739">
        <v>50</v>
      </c>
      <c r="U26" s="740"/>
      <c r="V26" s="740"/>
      <c r="W26" s="740"/>
      <c r="X26" s="740"/>
      <c r="Y26" s="740"/>
      <c r="AA26" s="770">
        <f>1/Eingabedaten!AP32</f>
        <v>6.6666666666666666E-2</v>
      </c>
      <c r="AC26" s="775"/>
      <c r="AD26" s="776"/>
      <c r="AE26" s="1284"/>
      <c r="AF26" s="746"/>
      <c r="AG26" s="746"/>
      <c r="AH26" s="746"/>
      <c r="AI26" s="746"/>
      <c r="AJ26" s="746"/>
      <c r="AK26" s="746"/>
      <c r="AL26" s="746"/>
      <c r="AM26" s="746"/>
      <c r="AN26" s="746"/>
      <c r="AO26" s="746"/>
      <c r="AP26" s="746"/>
      <c r="AQ26" s="746"/>
      <c r="AR26" s="746"/>
      <c r="AS26" s="746"/>
      <c r="AT26" s="746"/>
      <c r="AU26" s="746"/>
      <c r="AV26" s="746"/>
      <c r="AW26" s="746"/>
      <c r="AX26" s="746"/>
      <c r="AY26" s="785"/>
      <c r="AZ26" s="785"/>
      <c r="EX26" s="775" t="s">
        <v>1190</v>
      </c>
      <c r="EY26" s="723" t="s">
        <v>134</v>
      </c>
      <c r="EZ26" s="738">
        <f t="shared" ref="EZ26:FS27" si="64">EZ8</f>
        <v>36</v>
      </c>
      <c r="FA26" s="738">
        <f t="shared" si="64"/>
        <v>0</v>
      </c>
      <c r="FB26" s="738">
        <f t="shared" si="64"/>
        <v>0</v>
      </c>
      <c r="FC26" s="738">
        <f t="shared" si="64"/>
        <v>35</v>
      </c>
      <c r="FD26" s="738">
        <f t="shared" si="64"/>
        <v>68.5</v>
      </c>
      <c r="FE26" s="738">
        <f t="shared" si="64"/>
        <v>36</v>
      </c>
      <c r="FF26" s="738">
        <f t="shared" si="64"/>
        <v>0</v>
      </c>
      <c r="FG26" s="738">
        <f t="shared" si="64"/>
        <v>0</v>
      </c>
      <c r="FH26" s="738">
        <f t="shared" si="64"/>
        <v>78</v>
      </c>
      <c r="FI26" s="738">
        <f t="shared" si="64"/>
        <v>0</v>
      </c>
      <c r="FJ26" s="738">
        <f t="shared" si="64"/>
        <v>0</v>
      </c>
      <c r="FK26" s="738">
        <f t="shared" si="64"/>
        <v>0</v>
      </c>
      <c r="FL26" s="738">
        <f t="shared" si="64"/>
        <v>61.5</v>
      </c>
      <c r="FM26" s="738">
        <f t="shared" si="64"/>
        <v>37</v>
      </c>
      <c r="FN26" s="738">
        <f t="shared" si="64"/>
        <v>70.5</v>
      </c>
      <c r="FO26" s="738">
        <f t="shared" si="64"/>
        <v>0</v>
      </c>
      <c r="FP26" s="738">
        <f t="shared" si="64"/>
        <v>0</v>
      </c>
      <c r="FQ26" s="738">
        <f t="shared" si="64"/>
        <v>42</v>
      </c>
      <c r="FR26" s="738">
        <f t="shared" si="64"/>
        <v>31</v>
      </c>
      <c r="FS26" s="738">
        <f t="shared" si="64"/>
        <v>28.5</v>
      </c>
    </row>
    <row r="27" spans="1:181">
      <c r="A27" s="1393">
        <f>Eingabedaten!A33</f>
        <v>8.02</v>
      </c>
      <c r="B27" s="738" t="str">
        <f>Eingabedaten!C33</f>
        <v xml:space="preserve">Stationszimmer </v>
      </c>
      <c r="C27" s="724" t="s">
        <v>5</v>
      </c>
      <c r="D27" s="740"/>
      <c r="E27" s="740"/>
      <c r="F27" s="740"/>
      <c r="G27" s="740"/>
      <c r="H27" s="740"/>
      <c r="I27" s="740"/>
      <c r="J27" s="740"/>
      <c r="K27" s="740"/>
      <c r="L27" s="740"/>
      <c r="M27" s="740"/>
      <c r="N27" s="740"/>
      <c r="O27" s="740"/>
      <c r="P27" s="740"/>
      <c r="Q27" s="740"/>
      <c r="R27" s="740">
        <v>5</v>
      </c>
      <c r="S27" s="740">
        <v>5</v>
      </c>
      <c r="T27" s="740">
        <v>5</v>
      </c>
      <c r="U27" s="740"/>
      <c r="V27" s="740"/>
      <c r="W27" s="740"/>
      <c r="X27" s="740"/>
      <c r="Y27" s="740"/>
      <c r="AA27" s="770">
        <f>1/Eingabedaten!AP33</f>
        <v>0.33333333333333331</v>
      </c>
      <c r="AC27" s="775" t="s">
        <v>1200</v>
      </c>
      <c r="AD27" s="776" t="s">
        <v>134</v>
      </c>
      <c r="AE27" s="1283">
        <f>SUMPRODUCT('Resultate Standard'!$M$6:$M$50,'Fläche-ZW'!D$3:D$47)/100*$AD$1</f>
        <v>6.6748800000000008</v>
      </c>
      <c r="AF27" s="748">
        <f>SUMPRODUCT('Resultate Standard'!$M$6:$M$50,'Fläche-ZW'!E$3:E$47)/100*$AD$1</f>
        <v>6.6748800000000008</v>
      </c>
      <c r="AG27" s="748">
        <f>SUMPRODUCT('Resultate Standard'!$M$6:$M$50,'Fläche-ZW'!F$3:F$47)/100*$AD$1</f>
        <v>10.93056</v>
      </c>
      <c r="AH27" s="748">
        <f>SUMPRODUCT('Resultate Standard'!$M$6:$M$50,'Fläche-ZW'!G$3:G$47)/100*$AD$1</f>
        <v>4.9472640000000006</v>
      </c>
      <c r="AI27" s="748">
        <f>SUMPRODUCT('Resultate Standard'!$M$6:$M$50,'Fläche-ZW'!H$3:H$47)/100*$AD$1</f>
        <v>6.3979200000000001</v>
      </c>
      <c r="AJ27" s="748">
        <f>SUMPRODUCT('Resultate Standard'!$M$6:$M$50,'Fläche-ZW'!I$3:I$47)/100*$AD$1</f>
        <v>13.120944000000001</v>
      </c>
      <c r="AK27" s="748">
        <f>SUMPRODUCT('Resultate Standard'!$M$6:$M$50,'Fläche-ZW'!J$3:J$47)/100*$AD$1</f>
        <v>13.120944000000001</v>
      </c>
      <c r="AL27" s="748">
        <f>SUMPRODUCT('Resultate Standard'!$M$6:$M$50,'Fläche-ZW'!K$3:K$47)/100*$AD$1</f>
        <v>13.610640000000002</v>
      </c>
      <c r="AM27" s="748">
        <f>SUMPRODUCT('Resultate Standard'!$M$6:$M$50,'Fläche-ZW'!L$3:L$47)/100*$AD$1</f>
        <v>11.448</v>
      </c>
      <c r="AN27" s="748">
        <f>SUMPRODUCT('Resultate Standard'!$M$6:$M$50,'Fläche-ZW'!M$3:M$47)/100*$AD$1</f>
        <v>11.448</v>
      </c>
      <c r="AO27" s="748">
        <f>SUMPRODUCT('Resultate Standard'!$M$6:$M$50,'Fläche-ZW'!N$3:N$47)/100*$AD$1</f>
        <v>11.448</v>
      </c>
      <c r="AP27" s="748">
        <f>SUMPRODUCT('Resultate Standard'!$M$6:$M$50,'Fläche-ZW'!O$3:O$47)/100*$AD$1</f>
        <v>6.273600000000001</v>
      </c>
      <c r="AQ27" s="748">
        <f>SUMPRODUCT('Resultate Standard'!$M$6:$M$50,'Fläche-ZW'!P$3:P$47)/100*$AD$1</f>
        <v>23.954400000000003</v>
      </c>
      <c r="AR27" s="748">
        <f>SUMPRODUCT('Resultate Standard'!$M$6:$M$50,'Fläche-ZW'!Q$3:Q$47)/100*$AD$1</f>
        <v>32.167999999999999</v>
      </c>
      <c r="AS27" s="748">
        <f>SUMPRODUCT('Resultate Standard'!$M$6:$M$50,'Fläche-ZW'!R$3:R$47)/100*$AD$1</f>
        <v>18.869119999999999</v>
      </c>
      <c r="AT27" s="748">
        <f>SUMPRODUCT('Resultate Standard'!$M$6:$M$50,'Fläche-ZW'!S$3:S$47)/100*$AD$1</f>
        <v>18.508480000000002</v>
      </c>
      <c r="AU27" s="748">
        <f>SUMPRODUCT('Resultate Standard'!$M$6:$M$50,'Fläche-ZW'!T$3:T$47)/100*$AD$1</f>
        <v>20.8</v>
      </c>
      <c r="AV27" s="748">
        <f>SUMPRODUCT('Resultate Standard'!$M$6:$M$50,'Fläche-ZW'!U$3:U$47)/100*$AD$1</f>
        <v>4.1778133333333338</v>
      </c>
      <c r="AW27" s="748">
        <f>SUMPRODUCT('Resultate Standard'!$M$6:$M$50,'Fläche-ZW'!V$3:V$47)/100*$AD$1</f>
        <v>3.3022399999999998</v>
      </c>
      <c r="AX27" s="748">
        <f>SUMPRODUCT('Resultate Standard'!$M$6:$M$50,'Fläche-ZW'!W$3:W$47)/100*$AD$1</f>
        <v>3.2563199999999997</v>
      </c>
      <c r="AY27" s="784">
        <f>SUMPRODUCT('Resultate Standard'!$M$6:$M$50,'Fläche-ZW'!X$3:X$47)/100*$AD$1</f>
        <v>10.243200000000002</v>
      </c>
      <c r="AZ27" s="784">
        <f>SUMPRODUCT('Resultate Standard'!$M$6:$M$50,'Fläche-ZW'!Y$3:Y$47)/100*$AD$1</f>
        <v>0</v>
      </c>
      <c r="EX27" s="775" t="s">
        <v>1151</v>
      </c>
      <c r="EY27" s="723" t="s">
        <v>134</v>
      </c>
      <c r="EZ27" s="738">
        <f>EZ9</f>
        <v>27.5</v>
      </c>
      <c r="FA27" s="738">
        <f t="shared" si="64"/>
        <v>0</v>
      </c>
      <c r="FB27" s="738">
        <f t="shared" si="64"/>
        <v>0</v>
      </c>
      <c r="FC27" s="738">
        <f t="shared" si="64"/>
        <v>27.5</v>
      </c>
      <c r="FD27" s="738">
        <f t="shared" si="64"/>
        <v>55</v>
      </c>
      <c r="FE27" s="738">
        <f t="shared" si="64"/>
        <v>22.5</v>
      </c>
      <c r="FF27" s="738">
        <f t="shared" si="64"/>
        <v>0</v>
      </c>
      <c r="FG27" s="738">
        <f t="shared" si="64"/>
        <v>0</v>
      </c>
      <c r="FH27" s="738">
        <f t="shared" si="64"/>
        <v>60</v>
      </c>
      <c r="FI27" s="738">
        <f t="shared" si="64"/>
        <v>0</v>
      </c>
      <c r="FJ27" s="738">
        <f t="shared" si="64"/>
        <v>0</v>
      </c>
      <c r="FK27" s="738">
        <f t="shared" si="64"/>
        <v>0</v>
      </c>
      <c r="FL27" s="738">
        <f t="shared" si="64"/>
        <v>50</v>
      </c>
      <c r="FM27" s="738">
        <f t="shared" si="64"/>
        <v>27.5</v>
      </c>
      <c r="FN27" s="738">
        <f t="shared" si="64"/>
        <v>55</v>
      </c>
      <c r="FO27" s="738"/>
      <c r="FP27" s="738"/>
      <c r="FQ27" s="738">
        <f t="shared" si="64"/>
        <v>40</v>
      </c>
      <c r="FR27" s="738">
        <f t="shared" si="64"/>
        <v>27.5</v>
      </c>
      <c r="FS27" s="738">
        <f t="shared" si="64"/>
        <v>27.5</v>
      </c>
    </row>
    <row r="28" spans="1:181">
      <c r="A28" s="1393">
        <f>Eingabedaten!A34</f>
        <v>8.0299999999999994</v>
      </c>
      <c r="B28" s="738" t="str">
        <f>Eingabedaten!C34</f>
        <v>Behandlungsraum</v>
      </c>
      <c r="C28" s="724" t="s">
        <v>5</v>
      </c>
      <c r="D28" s="740"/>
      <c r="E28" s="740"/>
      <c r="F28" s="740"/>
      <c r="G28" s="740"/>
      <c r="H28" s="740"/>
      <c r="I28" s="740"/>
      <c r="J28" s="740"/>
      <c r="K28" s="740"/>
      <c r="L28" s="740"/>
      <c r="M28" s="740"/>
      <c r="N28" s="740"/>
      <c r="O28" s="740"/>
      <c r="P28" s="740"/>
      <c r="Q28" s="740"/>
      <c r="R28" s="740">
        <v>10</v>
      </c>
      <c r="S28" s="740">
        <v>15</v>
      </c>
      <c r="T28" s="740">
        <v>5</v>
      </c>
      <c r="U28" s="740"/>
      <c r="V28" s="740"/>
      <c r="W28" s="740"/>
      <c r="X28" s="740"/>
      <c r="Y28" s="740"/>
      <c r="AA28" s="770">
        <f>1/Eingabedaten!AP34</f>
        <v>0.2</v>
      </c>
      <c r="AC28" s="775"/>
      <c r="AD28" s="776"/>
      <c r="AE28" s="1284"/>
      <c r="AF28" s="746"/>
      <c r="AG28" s="746"/>
      <c r="AH28" s="746"/>
      <c r="AI28" s="746"/>
      <c r="AJ28" s="746"/>
      <c r="AK28" s="746"/>
      <c r="AL28" s="746"/>
      <c r="AM28" s="746"/>
      <c r="AN28" s="746"/>
      <c r="AO28" s="746"/>
      <c r="AP28" s="746"/>
      <c r="AQ28" s="746"/>
      <c r="AR28" s="746"/>
      <c r="AS28" s="746"/>
      <c r="AT28" s="746"/>
      <c r="AU28" s="746"/>
      <c r="AV28" s="746"/>
      <c r="AW28" s="746"/>
      <c r="AX28" s="746"/>
      <c r="AY28" s="785"/>
      <c r="AZ28" s="785"/>
      <c r="EX28" s="735" t="s">
        <v>1300</v>
      </c>
      <c r="EY28" s="802" t="s">
        <v>134</v>
      </c>
      <c r="EZ28" s="738">
        <f>FY11</f>
        <v>20.771518854165539</v>
      </c>
      <c r="FA28" s="738">
        <f t="shared" ref="FA28:FM28" si="65">FZ11</f>
        <v>19.840681000000004</v>
      </c>
      <c r="FB28" s="738">
        <f t="shared" si="65"/>
        <v>25.30000166666667</v>
      </c>
      <c r="FC28" s="738">
        <f t="shared" si="65"/>
        <v>8.633538746438747</v>
      </c>
      <c r="FD28" s="738">
        <f t="shared" si="65"/>
        <v>20.456236196581195</v>
      </c>
      <c r="FE28" s="738">
        <f t="shared" si="65"/>
        <v>7.6568448392348403</v>
      </c>
      <c r="FF28" s="738">
        <f t="shared" si="65"/>
        <v>7.6568448392348403</v>
      </c>
      <c r="FG28" s="738">
        <f t="shared" si="65"/>
        <v>21.008561406186409</v>
      </c>
      <c r="FH28" s="738">
        <f t="shared" si="65"/>
        <v>24.502797136752136</v>
      </c>
      <c r="FI28" s="738">
        <f t="shared" si="65"/>
        <v>182.73391403133903</v>
      </c>
      <c r="FJ28" s="738">
        <f t="shared" si="65"/>
        <v>24.502797136752136</v>
      </c>
      <c r="FK28" s="738">
        <f t="shared" si="65"/>
        <v>21.531366367521368</v>
      </c>
      <c r="FL28" s="738">
        <f t="shared" si="65"/>
        <v>46.787215242165246</v>
      </c>
      <c r="FM28" s="738">
        <f t="shared" si="65"/>
        <v>13.31708076923077</v>
      </c>
      <c r="FN28" s="738">
        <f>GM11</f>
        <v>17.668037464387467</v>
      </c>
      <c r="FO28" s="738"/>
      <c r="FP28" s="738"/>
      <c r="FQ28" s="738">
        <f>GP11</f>
        <v>23.003251324786326</v>
      </c>
      <c r="FR28" s="738">
        <f>GQ11</f>
        <v>7.0204777136752146</v>
      </c>
      <c r="FS28" s="738">
        <f>GR11</f>
        <v>5.7768910256410244</v>
      </c>
    </row>
    <row r="29" spans="1:181">
      <c r="A29" s="1393">
        <f>Eingabedaten!A35</f>
        <v>9.01</v>
      </c>
      <c r="B29" s="738" t="str">
        <f>Eingabedaten!C35</f>
        <v>Produktion (grobe Arbeit)</v>
      </c>
      <c r="C29" s="724" t="s">
        <v>5</v>
      </c>
      <c r="D29" s="740"/>
      <c r="E29" s="740"/>
      <c r="F29" s="740"/>
      <c r="G29" s="740"/>
      <c r="H29" s="740"/>
      <c r="I29" s="740"/>
      <c r="J29" s="740"/>
      <c r="K29" s="740"/>
      <c r="L29" s="740"/>
      <c r="M29" s="740"/>
      <c r="N29" s="740"/>
      <c r="O29" s="740"/>
      <c r="P29" s="740"/>
      <c r="Q29" s="740"/>
      <c r="R29" s="740"/>
      <c r="S29" s="740"/>
      <c r="T29" s="740"/>
      <c r="U29" s="740">
        <v>10</v>
      </c>
      <c r="V29" s="740"/>
      <c r="W29" s="740"/>
      <c r="X29" s="740"/>
      <c r="Y29" s="740"/>
      <c r="AA29" s="770">
        <f>1/Eingabedaten!AP35</f>
        <v>6.6666666666666666E-2</v>
      </c>
      <c r="AC29" s="775" t="s">
        <v>102</v>
      </c>
      <c r="AD29" s="776" t="s">
        <v>209</v>
      </c>
      <c r="AE29" s="1283">
        <f>1/(SUMPRODUCT('Fläche-ZW'!D$3:D$47,$AA$3:$AA$47)/100*$AD$1)</f>
        <v>51.470588235294116</v>
      </c>
      <c r="AF29" s="748">
        <f>1/(SUMPRODUCT('Fläche-ZW'!E$3:E$47,$AA$3:$AA$47)/100*$AD$1)</f>
        <v>51.470588235294116</v>
      </c>
      <c r="AG29" s="748">
        <f>1/(SUMPRODUCT('Fläche-ZW'!F$3:F$47,$AA$3:$AA$47)/100*$AD$1)</f>
        <v>24.881516587677726</v>
      </c>
      <c r="AH29" s="748">
        <f>1/(SUMPRODUCT('Fläche-ZW'!G$3:G$47,$AA$3:$AA$47)/100*$AD$1)</f>
        <v>69.444444444444429</v>
      </c>
      <c r="AI29" s="748">
        <f>1/(SUMPRODUCT('Fläche-ZW'!H$3:H$47,$AA$3:$AA$47)/100*$AD$1)</f>
        <v>26.184538653366584</v>
      </c>
      <c r="AJ29" s="748">
        <f>1/(SUMPRODUCT('Fläche-ZW'!I$3:I$47,$AA$3:$AA$47)/100*$AD$1)</f>
        <v>9.9150141643059477</v>
      </c>
      <c r="AK29" s="748">
        <f>1/(SUMPRODUCT('Fläche-ZW'!J$3:J$47,$AA$3:$AA$47)/100*$AD$1)</f>
        <v>9.9150141643059477</v>
      </c>
      <c r="AL29" s="748">
        <f>1/(SUMPRODUCT('Fläche-ZW'!K$3:K$47,$AA$3:$AA$47)/100*$AD$1)</f>
        <v>11.758118701007838</v>
      </c>
      <c r="AM29" s="748">
        <f>1/(SUMPRODUCT('Fläche-ZW'!L$3:L$47,$AA$3:$AA$47)/100*$AD$1)</f>
        <v>15.909090909090908</v>
      </c>
      <c r="AN29" s="748">
        <f>1/(SUMPRODUCT('Fläche-ZW'!M$3:M$47,$AA$3:$AA$47)/100*$AD$1)</f>
        <v>15.909090909090908</v>
      </c>
      <c r="AO29" s="748">
        <f>1/(SUMPRODUCT('Fläche-ZW'!N$3:N$47,$AA$3:$AA$47)/100*$AD$1)</f>
        <v>15.909090909090908</v>
      </c>
      <c r="AP29" s="748">
        <f>1/(SUMPRODUCT('Fläche-ZW'!O$3:O$47,$AA$3:$AA$47)/100*$AD$1)</f>
        <v>28.688524590163933</v>
      </c>
      <c r="AQ29" s="748">
        <f>1/(SUMPRODUCT('Fläche-ZW'!P$3:P$47,$AA$3:$AA$47)/100*$AD$1)</f>
        <v>4.5691906005221927</v>
      </c>
      <c r="AR29" s="748">
        <f>1/(SUMPRODUCT('Fläche-ZW'!Q$3:Q$47,$AA$3:$AA$47)/100*$AD$1)</f>
        <v>6.1403508771929829</v>
      </c>
      <c r="AS29" s="748">
        <f>1/(SUMPRODUCT('Fläche-ZW'!R$3:R$47,$AA$3:$AA$47)/100*$AD$1)</f>
        <v>18.683274021352315</v>
      </c>
      <c r="AT29" s="748">
        <f>1/(SUMPRODUCT('Fläche-ZW'!S$3:S$47,$AA$3:$AA$47)/100*$AD$1)</f>
        <v>16.990291262135919</v>
      </c>
      <c r="AU29" s="748">
        <f>1/(SUMPRODUCT('Fläche-ZW'!T$3:T$47,$AA$3:$AA$47)/100*$AD$1)</f>
        <v>19.662921348314608</v>
      </c>
      <c r="AV29" s="748">
        <f>1/(SUMPRODUCT('Fläche-ZW'!U$3:U$47,$AA$3:$AA$47)/100*$AD$1)</f>
        <v>28.688524590163933</v>
      </c>
      <c r="AW29" s="748">
        <f>1/(SUMPRODUCT('Fläche-ZW'!V$3:V$47,$AA$3:$AA$47)/100*$AD$1)</f>
        <v>59.322033898305079</v>
      </c>
      <c r="AX29" s="748">
        <f>1/(SUMPRODUCT('Fläche-ZW'!W$3:W$47,$AA$3:$AA$47)/100*$AD$1)</f>
        <v>41.666666666666664</v>
      </c>
      <c r="AY29" s="784">
        <f>1/(SUMPRODUCT('Fläche-ZW'!X$3:X$47,$AA$3:$AA$47)/100*$AD$1)</f>
        <v>19.662921348314608</v>
      </c>
      <c r="AZ29" s="784">
        <v>0</v>
      </c>
    </row>
    <row r="30" spans="1:181">
      <c r="A30" s="1393">
        <f>Eingabedaten!A36</f>
        <v>9.02</v>
      </c>
      <c r="B30" s="738" t="str">
        <f>Eingabedaten!C36</f>
        <v>Produktion (feine Arbeit)</v>
      </c>
      <c r="C30" s="724" t="s">
        <v>5</v>
      </c>
      <c r="D30" s="740"/>
      <c r="E30" s="740"/>
      <c r="F30" s="740"/>
      <c r="G30" s="740"/>
      <c r="H30" s="740"/>
      <c r="I30" s="740"/>
      <c r="J30" s="740"/>
      <c r="K30" s="740"/>
      <c r="L30" s="740"/>
      <c r="M30" s="740"/>
      <c r="N30" s="740"/>
      <c r="O30" s="740"/>
      <c r="P30" s="740"/>
      <c r="Q30" s="740"/>
      <c r="R30" s="740"/>
      <c r="S30" s="740"/>
      <c r="T30" s="740"/>
      <c r="U30" s="739">
        <v>50</v>
      </c>
      <c r="V30" s="740"/>
      <c r="W30" s="740"/>
      <c r="X30" s="740"/>
      <c r="Y30" s="740"/>
      <c r="AA30" s="770">
        <f>1/Eingabedaten!AP36</f>
        <v>6.6666666666666666E-2</v>
      </c>
      <c r="AC30" s="775" t="s">
        <v>1549</v>
      </c>
      <c r="AD30" s="776" t="s">
        <v>15</v>
      </c>
      <c r="AE30" s="1283">
        <f>AE27*AE29*1000/AE31/365</f>
        <v>13.446575342465753</v>
      </c>
      <c r="AF30" s="748">
        <f>AF27*AF29*1000/AF31/365</f>
        <v>13.446575342465753</v>
      </c>
      <c r="AG30" s="748">
        <f t="shared" ref="AG30:AZ30" si="66">AG27*AG29*1000/AG31/365</f>
        <v>10.644575732000259</v>
      </c>
      <c r="AH30" s="748">
        <f t="shared" si="66"/>
        <v>13.446575342465751</v>
      </c>
      <c r="AI30" s="748">
        <f t="shared" si="66"/>
        <v>6.5568134458374612</v>
      </c>
      <c r="AJ30" s="748">
        <f t="shared" si="66"/>
        <v>5.0917552097481469</v>
      </c>
      <c r="AK30" s="748">
        <f t="shared" si="66"/>
        <v>5.0917552097481469</v>
      </c>
      <c r="AL30" s="748">
        <f t="shared" si="66"/>
        <v>6.2636211630796614</v>
      </c>
      <c r="AM30" s="748">
        <f t="shared" si="66"/>
        <v>7.12826899128269</v>
      </c>
      <c r="AN30" s="748">
        <f t="shared" si="66"/>
        <v>7.12826899128269</v>
      </c>
      <c r="AO30" s="748">
        <f t="shared" si="66"/>
        <v>7.12826899128269</v>
      </c>
      <c r="AP30" s="748">
        <f t="shared" si="66"/>
        <v>7.0442398383112508</v>
      </c>
      <c r="AQ30" s="748">
        <f>AQ27*AQ29*1000/AQ31/365</f>
        <v>4.2838442004363531</v>
      </c>
      <c r="AR30" s="748">
        <f t="shared" si="66"/>
        <v>7.7308339341504455</v>
      </c>
      <c r="AS30" s="748">
        <f t="shared" si="66"/>
        <v>13.797923268171406</v>
      </c>
      <c r="AT30" s="748">
        <f t="shared" si="66"/>
        <v>12.307806889213991</v>
      </c>
      <c r="AU30" s="748">
        <f t="shared" si="66"/>
        <v>16.007388025242424</v>
      </c>
      <c r="AV30" s="748">
        <f t="shared" si="66"/>
        <v>4.6910098061232128</v>
      </c>
      <c r="AW30" s="748">
        <f t="shared" si="66"/>
        <v>4.6002879034130482</v>
      </c>
      <c r="AX30" s="748">
        <f t="shared" si="66"/>
        <v>2.1241487279843438</v>
      </c>
      <c r="AY30" s="784">
        <f t="shared" si="66"/>
        <v>7.8830229336616915</v>
      </c>
      <c r="AZ30" s="784">
        <f t="shared" si="66"/>
        <v>0</v>
      </c>
    </row>
    <row r="31" spans="1:181">
      <c r="A31" s="1393">
        <f>Eingabedaten!A37</f>
        <v>9.0299999999999994</v>
      </c>
      <c r="B31" s="738" t="str">
        <f>Eingabedaten!C37</f>
        <v>Laborraum</v>
      </c>
      <c r="C31" s="724" t="s">
        <v>5</v>
      </c>
      <c r="D31" s="740"/>
      <c r="E31" s="740"/>
      <c r="F31" s="740"/>
      <c r="G31" s="740"/>
      <c r="H31" s="740"/>
      <c r="I31" s="740"/>
      <c r="J31" s="740"/>
      <c r="K31" s="740"/>
      <c r="L31" s="740"/>
      <c r="M31" s="740"/>
      <c r="N31" s="740"/>
      <c r="O31" s="740"/>
      <c r="P31" s="740"/>
      <c r="Q31" s="740"/>
      <c r="R31" s="740"/>
      <c r="S31" s="740"/>
      <c r="T31" s="740"/>
      <c r="U31" s="740"/>
      <c r="V31" s="740"/>
      <c r="W31" s="740"/>
      <c r="X31" s="740"/>
      <c r="Y31" s="740"/>
      <c r="AA31" s="770">
        <f>1/Eingabedaten!AP37</f>
        <v>6.6666666666666666E-2</v>
      </c>
      <c r="AC31" s="735" t="s">
        <v>1059</v>
      </c>
      <c r="AD31" s="733" t="s">
        <v>319</v>
      </c>
      <c r="AE31" s="1288">
        <v>70</v>
      </c>
      <c r="AF31" s="811">
        <v>70</v>
      </c>
      <c r="AG31" s="811">
        <v>70</v>
      </c>
      <c r="AH31" s="811">
        <v>70</v>
      </c>
      <c r="AI31" s="811">
        <v>70</v>
      </c>
      <c r="AJ31" s="811">
        <v>70</v>
      </c>
      <c r="AK31" s="811">
        <v>70</v>
      </c>
      <c r="AL31" s="811">
        <v>70</v>
      </c>
      <c r="AM31" s="811">
        <v>70</v>
      </c>
      <c r="AN31" s="811">
        <v>70</v>
      </c>
      <c r="AO31" s="811">
        <v>70</v>
      </c>
      <c r="AP31" s="811">
        <v>70</v>
      </c>
      <c r="AQ31" s="811">
        <v>70</v>
      </c>
      <c r="AR31" s="811">
        <v>70</v>
      </c>
      <c r="AS31" s="811">
        <v>70</v>
      </c>
      <c r="AT31" s="811">
        <v>70</v>
      </c>
      <c r="AU31" s="811">
        <v>70</v>
      </c>
      <c r="AV31" s="811">
        <v>70</v>
      </c>
      <c r="AW31" s="811">
        <f>70/1.2*2</f>
        <v>116.66666666666667</v>
      </c>
      <c r="AX31" s="811">
        <f>70/1.2*3</f>
        <v>175</v>
      </c>
      <c r="AY31" s="812">
        <v>70</v>
      </c>
      <c r="AZ31" s="812">
        <v>70</v>
      </c>
    </row>
    <row r="32" spans="1:181">
      <c r="A32" s="1393">
        <f>Eingabedaten!A38</f>
        <v>10.01</v>
      </c>
      <c r="B32" s="738" t="str">
        <f>Eingabedaten!C38</f>
        <v>Lagerhalle</v>
      </c>
      <c r="C32" s="724" t="s">
        <v>5</v>
      </c>
      <c r="D32" s="740"/>
      <c r="E32" s="740"/>
      <c r="F32" s="740"/>
      <c r="G32" s="740"/>
      <c r="H32" s="740"/>
      <c r="I32" s="740"/>
      <c r="J32" s="740"/>
      <c r="K32" s="740"/>
      <c r="L32" s="740"/>
      <c r="M32" s="740"/>
      <c r="N32" s="740"/>
      <c r="O32" s="740"/>
      <c r="P32" s="740"/>
      <c r="Q32" s="740"/>
      <c r="R32" s="740"/>
      <c r="S32" s="740"/>
      <c r="T32" s="740"/>
      <c r="U32" s="740"/>
      <c r="V32" s="739">
        <v>70</v>
      </c>
      <c r="W32" s="740"/>
      <c r="X32" s="740"/>
      <c r="Y32" s="740"/>
      <c r="AA32" s="770">
        <f>1/Eingabedaten!AP38</f>
        <v>2.5000000000000001E-2</v>
      </c>
    </row>
    <row r="33" spans="1:78">
      <c r="A33" s="1393">
        <f>Eingabedaten!A39</f>
        <v>11.01</v>
      </c>
      <c r="B33" s="738" t="str">
        <f>Eingabedaten!C39</f>
        <v>Turnhalle</v>
      </c>
      <c r="C33" s="724" t="s">
        <v>5</v>
      </c>
      <c r="D33" s="740"/>
      <c r="E33" s="740"/>
      <c r="F33" s="740"/>
      <c r="G33" s="740"/>
      <c r="H33" s="740"/>
      <c r="I33" s="740"/>
      <c r="J33" s="740"/>
      <c r="K33" s="740"/>
      <c r="L33" s="740"/>
      <c r="M33" s="740"/>
      <c r="N33" s="740"/>
      <c r="O33" s="740"/>
      <c r="P33" s="740"/>
      <c r="Q33" s="740"/>
      <c r="R33" s="740"/>
      <c r="S33" s="740"/>
      <c r="T33" s="740"/>
      <c r="U33" s="740"/>
      <c r="V33" s="740"/>
      <c r="W33" s="739">
        <v>60</v>
      </c>
      <c r="X33" s="740"/>
      <c r="Y33" s="740"/>
      <c r="AA33" s="770">
        <f>1/Eingabedaten!AP39</f>
        <v>0.05</v>
      </c>
      <c r="AE33" s="741"/>
      <c r="AF33" s="741"/>
      <c r="AG33" s="741"/>
      <c r="AH33" s="741"/>
      <c r="AI33" s="741"/>
      <c r="AJ33" s="741"/>
      <c r="AK33" s="741"/>
      <c r="AL33" s="741"/>
      <c r="AM33" s="741"/>
      <c r="AN33" s="741"/>
      <c r="AO33" s="741"/>
      <c r="AP33" s="741"/>
      <c r="AQ33" s="741"/>
      <c r="AR33" s="741"/>
      <c r="AS33" s="741"/>
      <c r="AT33" s="741"/>
      <c r="AU33" s="741"/>
      <c r="AV33" s="741"/>
      <c r="AW33" s="741"/>
      <c r="AX33" s="741"/>
      <c r="AY33" s="741"/>
      <c r="AZ33" s="741"/>
    </row>
    <row r="34" spans="1:78">
      <c r="A34" s="1393">
        <f>Eingabedaten!A40</f>
        <v>11.02</v>
      </c>
      <c r="B34" s="738" t="str">
        <f>Eingabedaten!C40</f>
        <v>Fitnessraum</v>
      </c>
      <c r="C34" s="724" t="s">
        <v>5</v>
      </c>
      <c r="D34" s="740"/>
      <c r="E34" s="740"/>
      <c r="F34" s="740"/>
      <c r="G34" s="740"/>
      <c r="H34" s="740"/>
      <c r="I34" s="740"/>
      <c r="J34" s="740"/>
      <c r="K34" s="740"/>
      <c r="L34" s="740"/>
      <c r="M34" s="740"/>
      <c r="N34" s="740"/>
      <c r="O34" s="740"/>
      <c r="P34" s="740"/>
      <c r="Q34" s="740"/>
      <c r="R34" s="740"/>
      <c r="S34" s="740"/>
      <c r="T34" s="740"/>
      <c r="U34" s="740"/>
      <c r="V34" s="740"/>
      <c r="W34" s="740"/>
      <c r="X34" s="740"/>
      <c r="Y34" s="740"/>
      <c r="AA34" s="770">
        <f>1/Eingabedaten!AP40</f>
        <v>0.1</v>
      </c>
    </row>
    <row r="35" spans="1:78">
      <c r="A35" s="1393">
        <f>Eingabedaten!A41</f>
        <v>11.03</v>
      </c>
      <c r="B35" s="738" t="str">
        <f>Eingabedaten!C41</f>
        <v>Schwimmhalle</v>
      </c>
      <c r="C35" s="724" t="s">
        <v>5</v>
      </c>
      <c r="D35" s="740"/>
      <c r="E35" s="740"/>
      <c r="F35" s="740"/>
      <c r="G35" s="740"/>
      <c r="H35" s="740"/>
      <c r="I35" s="740"/>
      <c r="J35" s="740"/>
      <c r="K35" s="740"/>
      <c r="L35" s="740"/>
      <c r="M35" s="740"/>
      <c r="N35" s="740"/>
      <c r="O35" s="740"/>
      <c r="P35" s="740"/>
      <c r="Q35" s="740"/>
      <c r="R35" s="740"/>
      <c r="S35" s="740"/>
      <c r="T35" s="740"/>
      <c r="U35" s="740"/>
      <c r="V35" s="740"/>
      <c r="W35" s="740"/>
      <c r="X35" s="740">
        <v>60</v>
      </c>
      <c r="Y35" s="740"/>
      <c r="AA35" s="770">
        <f>1/Eingabedaten!AP41</f>
        <v>0.1</v>
      </c>
      <c r="AC35" s="728" t="s">
        <v>1531</v>
      </c>
      <c r="AD35" s="730" t="s">
        <v>134</v>
      </c>
      <c r="AE35" s="1289">
        <f>AE11/0.8</f>
        <v>3.75</v>
      </c>
      <c r="AF35" s="1278">
        <f>AE11/0.8</f>
        <v>3.75</v>
      </c>
      <c r="AG35" s="1278">
        <f t="shared" ref="AG35" si="67">AF11/0.8</f>
        <v>3.75</v>
      </c>
      <c r="AH35" s="1278">
        <f>AH11/0.8</f>
        <v>1.7499999999999998</v>
      </c>
      <c r="AI35" s="1278">
        <f>AI11/0.8</f>
        <v>4.21</v>
      </c>
      <c r="AJ35" s="1278">
        <f>AJ11/0.8</f>
        <v>3.91</v>
      </c>
      <c r="AK35" s="1278">
        <f>AK11/0.8</f>
        <v>3.91</v>
      </c>
      <c r="AL35" s="1278">
        <f>AN11/0.8</f>
        <v>9.43</v>
      </c>
      <c r="AM35" s="1278">
        <f>AM11/0.8</f>
        <v>9.43</v>
      </c>
      <c r="AN35" s="1278">
        <f>AQ11/0.8</f>
        <v>10.48</v>
      </c>
      <c r="AO35" s="1278">
        <f>AR11/0.8</f>
        <v>4.8099999999999996</v>
      </c>
      <c r="AP35" s="1278">
        <f>AT11/0.8</f>
        <v>10.25</v>
      </c>
      <c r="AQ35" s="1278">
        <f>AQ11/0.8</f>
        <v>10.48</v>
      </c>
      <c r="AR35" s="1278">
        <f>AR11/0.8</f>
        <v>4.8099999999999996</v>
      </c>
      <c r="AS35" s="1278">
        <f>AS11/0.8</f>
        <v>10.25</v>
      </c>
      <c r="AT35" s="1278">
        <f t="shared" ref="AT35:AU35" si="68">AX11/0.8</f>
        <v>4.04</v>
      </c>
      <c r="AU35" s="1278">
        <f t="shared" si="68"/>
        <v>8.6</v>
      </c>
      <c r="AV35" s="1278">
        <f>AV11/0.8</f>
        <v>8.3699999999999992</v>
      </c>
      <c r="AW35" s="1278">
        <f>AW11/0.8</f>
        <v>2.06</v>
      </c>
      <c r="AX35" s="1278">
        <f>AX11/0.8</f>
        <v>4.04</v>
      </c>
      <c r="AY35" s="1290">
        <f>AY11/0.8</f>
        <v>8.6</v>
      </c>
      <c r="AZ35" s="730"/>
      <c r="BC35" s="742" t="s">
        <v>517</v>
      </c>
    </row>
    <row r="36" spans="1:78">
      <c r="A36" s="1393">
        <f>Eingabedaten!A42</f>
        <v>12.01</v>
      </c>
      <c r="B36" s="738" t="str">
        <f>Eingabedaten!C42</f>
        <v>Verkehrsfläche</v>
      </c>
      <c r="C36" s="724" t="s">
        <v>5</v>
      </c>
      <c r="D36" s="740"/>
      <c r="E36" s="740"/>
      <c r="F36" s="739">
        <v>10</v>
      </c>
      <c r="G36" s="740"/>
      <c r="H36" s="739">
        <v>20</v>
      </c>
      <c r="I36" s="739">
        <v>20</v>
      </c>
      <c r="J36" s="739">
        <v>20</v>
      </c>
      <c r="K36" s="739">
        <v>20</v>
      </c>
      <c r="L36" s="739">
        <v>20</v>
      </c>
      <c r="M36" s="739">
        <v>20</v>
      </c>
      <c r="N36" s="739">
        <v>20</v>
      </c>
      <c r="O36" s="739">
        <v>20</v>
      </c>
      <c r="P36" s="739">
        <v>20</v>
      </c>
      <c r="Q36" s="739">
        <v>20</v>
      </c>
      <c r="R36" s="739">
        <v>10</v>
      </c>
      <c r="S36" s="739">
        <v>10</v>
      </c>
      <c r="T36" s="739">
        <v>10</v>
      </c>
      <c r="U36" s="739">
        <v>10</v>
      </c>
      <c r="V36" s="739">
        <v>15</v>
      </c>
      <c r="W36" s="740">
        <v>10</v>
      </c>
      <c r="X36" s="740">
        <v>10</v>
      </c>
      <c r="Y36" s="740">
        <v>5</v>
      </c>
      <c r="AA36" s="770"/>
      <c r="AE36" s="743"/>
      <c r="AF36" s="743"/>
      <c r="BC36" s="723" t="s">
        <v>420</v>
      </c>
      <c r="BD36" s="723" t="s">
        <v>134</v>
      </c>
      <c r="BE36" s="741">
        <f t="shared" ref="BE36:BY36" si="69">BE8</f>
        <v>28</v>
      </c>
      <c r="BF36" s="741"/>
      <c r="BG36" s="741">
        <f t="shared" si="69"/>
        <v>0</v>
      </c>
      <c r="BH36" s="741">
        <f t="shared" si="69"/>
        <v>22</v>
      </c>
      <c r="BI36" s="741">
        <f t="shared" si="69"/>
        <v>22</v>
      </c>
      <c r="BJ36" s="741">
        <f t="shared" si="69"/>
        <v>11</v>
      </c>
      <c r="BK36" s="741"/>
      <c r="BL36" s="741"/>
      <c r="BM36" s="741">
        <f t="shared" si="69"/>
        <v>33</v>
      </c>
      <c r="BN36" s="741">
        <f t="shared" si="69"/>
        <v>0</v>
      </c>
      <c r="BO36" s="741">
        <f t="shared" si="69"/>
        <v>0</v>
      </c>
      <c r="BP36" s="741">
        <f t="shared" si="69"/>
        <v>0</v>
      </c>
      <c r="BQ36" s="741">
        <f t="shared" si="69"/>
        <v>33</v>
      </c>
      <c r="BR36" s="741">
        <f t="shared" si="69"/>
        <v>17</v>
      </c>
      <c r="BS36" s="741">
        <f t="shared" si="69"/>
        <v>28</v>
      </c>
      <c r="BT36" s="741">
        <f t="shared" si="69"/>
        <v>0</v>
      </c>
      <c r="BU36" s="741">
        <f t="shared" si="69"/>
        <v>0</v>
      </c>
      <c r="BV36" s="741">
        <f t="shared" si="69"/>
        <v>17</v>
      </c>
      <c r="BW36" s="741">
        <f t="shared" si="69"/>
        <v>6</v>
      </c>
      <c r="BX36" s="741">
        <f t="shared" si="69"/>
        <v>6</v>
      </c>
      <c r="BY36" s="741">
        <f t="shared" si="69"/>
        <v>56</v>
      </c>
      <c r="BZ36" s="741"/>
    </row>
    <row r="37" spans="1:78">
      <c r="A37" s="1393">
        <f>Eingabedaten!A43</f>
        <v>12.02</v>
      </c>
      <c r="B37" s="738" t="str">
        <f>Eingabedaten!C43</f>
        <v>Verkehrsfläche 24 h</v>
      </c>
      <c r="C37" s="724" t="s">
        <v>5</v>
      </c>
      <c r="D37" s="740"/>
      <c r="E37" s="740"/>
      <c r="F37" s="739">
        <v>5</v>
      </c>
      <c r="G37" s="740"/>
      <c r="H37" s="740"/>
      <c r="I37" s="740"/>
      <c r="J37" s="740"/>
      <c r="K37" s="740"/>
      <c r="L37" s="740"/>
      <c r="M37" s="740"/>
      <c r="N37" s="740"/>
      <c r="O37" s="740"/>
      <c r="P37" s="740"/>
      <c r="Q37" s="740"/>
      <c r="R37" s="739">
        <v>10</v>
      </c>
      <c r="S37" s="739">
        <v>10</v>
      </c>
      <c r="T37" s="739">
        <v>5</v>
      </c>
      <c r="U37" s="739">
        <v>10</v>
      </c>
      <c r="V37" s="740"/>
      <c r="W37" s="740"/>
      <c r="X37" s="740"/>
      <c r="Y37" s="740"/>
      <c r="AA37" s="770"/>
      <c r="BC37" s="723" t="s">
        <v>1538</v>
      </c>
      <c r="BD37" s="723" t="s">
        <v>134</v>
      </c>
      <c r="BE37" s="741">
        <f>AE10+AE11</f>
        <v>12.385190365811967</v>
      </c>
      <c r="BF37" s="741"/>
      <c r="BG37" s="741">
        <f>AG10+AG11</f>
        <v>29.993027571428577</v>
      </c>
      <c r="BH37" s="741">
        <f>AH10+AH11</f>
        <v>9.243952858438746</v>
      </c>
      <c r="BI37" s="741">
        <f>AI10+AI11</f>
        <v>16.192339484200247</v>
      </c>
      <c r="BJ37" s="741">
        <f>AJ10+AJ11</f>
        <v>9.0196664735205552</v>
      </c>
      <c r="BK37" s="741"/>
      <c r="BL37" s="741"/>
      <c r="BM37" s="741">
        <f t="shared" ref="BM37:BY37" si="70">AM10+AM11</f>
        <v>26.11874949103785</v>
      </c>
      <c r="BN37" s="741">
        <f t="shared" si="70"/>
        <v>26.293328305624744</v>
      </c>
      <c r="BO37" s="741">
        <f t="shared" si="70"/>
        <v>26.11874949103785</v>
      </c>
      <c r="BP37" s="741">
        <f t="shared" si="70"/>
        <v>22.861773121807083</v>
      </c>
      <c r="BQ37" s="741">
        <f t="shared" si="70"/>
        <v>18.488638716450957</v>
      </c>
      <c r="BR37" s="741">
        <f t="shared" si="70"/>
        <v>17.892010483516483</v>
      </c>
      <c r="BS37" s="741">
        <f t="shared" si="70"/>
        <v>19.603039712006513</v>
      </c>
      <c r="BT37" s="741">
        <f t="shared" si="70"/>
        <v>20.454254052747253</v>
      </c>
      <c r="BU37" s="741">
        <f t="shared" si="70"/>
        <v>19.228725808872611</v>
      </c>
      <c r="BV37" s="741">
        <f t="shared" si="70"/>
        <v>16.590391074627597</v>
      </c>
      <c r="BW37" s="741">
        <f t="shared" si="70"/>
        <v>7.7719612746275963</v>
      </c>
      <c r="BX37" s="741">
        <f t="shared" si="70"/>
        <v>7.1270726256410253</v>
      </c>
      <c r="BY37" s="741">
        <f t="shared" si="70"/>
        <v>15.777079233374035</v>
      </c>
      <c r="BZ37" s="741"/>
    </row>
    <row r="38" spans="1:78">
      <c r="A38" s="1393">
        <f>Eingabedaten!A44</f>
        <v>12.03</v>
      </c>
      <c r="B38" s="738" t="str">
        <f>Eingabedaten!C44</f>
        <v>Treppenhaus</v>
      </c>
      <c r="C38" s="724" t="s">
        <v>5</v>
      </c>
      <c r="D38" s="740">
        <v>10</v>
      </c>
      <c r="E38" s="740">
        <v>10</v>
      </c>
      <c r="F38" s="740">
        <v>5</v>
      </c>
      <c r="G38" s="740"/>
      <c r="H38" s="740">
        <v>5</v>
      </c>
      <c r="I38" s="740">
        <v>5</v>
      </c>
      <c r="J38" s="740">
        <v>5</v>
      </c>
      <c r="K38" s="739">
        <v>5</v>
      </c>
      <c r="L38" s="740">
        <v>5</v>
      </c>
      <c r="M38" s="740">
        <v>5</v>
      </c>
      <c r="N38" s="740">
        <v>5</v>
      </c>
      <c r="O38" s="740">
        <v>5</v>
      </c>
      <c r="P38" s="740"/>
      <c r="Q38" s="740"/>
      <c r="R38" s="740">
        <v>5</v>
      </c>
      <c r="S38" s="740">
        <v>5</v>
      </c>
      <c r="T38" s="740">
        <v>5</v>
      </c>
      <c r="U38" s="740">
        <v>5</v>
      </c>
      <c r="V38" s="740"/>
      <c r="W38" s="740"/>
      <c r="X38" s="740"/>
      <c r="Y38" s="740"/>
      <c r="AA38" s="770"/>
      <c r="BC38" s="213" t="s">
        <v>1149</v>
      </c>
      <c r="BD38" s="723" t="s">
        <v>134</v>
      </c>
      <c r="BE38" s="741">
        <f t="shared" ref="BE38:BY38" si="71">BE37-BE36</f>
        <v>-15.614809634188033</v>
      </c>
      <c r="BF38" s="741"/>
      <c r="BG38" s="741">
        <f t="shared" si="71"/>
        <v>29.993027571428577</v>
      </c>
      <c r="BH38" s="741">
        <f t="shared" si="71"/>
        <v>-12.756047141561254</v>
      </c>
      <c r="BI38" s="741">
        <f t="shared" si="71"/>
        <v>-5.8076605157997534</v>
      </c>
      <c r="BJ38" s="741">
        <f t="shared" si="71"/>
        <v>-1.9803335264794448</v>
      </c>
      <c r="BK38" s="741"/>
      <c r="BL38" s="741"/>
      <c r="BM38" s="741">
        <f t="shared" si="71"/>
        <v>-6.8812505089621503</v>
      </c>
      <c r="BN38" s="741">
        <f t="shared" si="71"/>
        <v>26.293328305624744</v>
      </c>
      <c r="BO38" s="741">
        <f t="shared" si="71"/>
        <v>26.11874949103785</v>
      </c>
      <c r="BP38" s="741">
        <f t="shared" si="71"/>
        <v>22.861773121807083</v>
      </c>
      <c r="BQ38" s="741">
        <f t="shared" si="71"/>
        <v>-14.511361283549043</v>
      </c>
      <c r="BR38" s="741">
        <f t="shared" si="71"/>
        <v>0.89201048351648282</v>
      </c>
      <c r="BS38" s="741">
        <f t="shared" si="71"/>
        <v>-8.3969602879934868</v>
      </c>
      <c r="BT38" s="741">
        <f t="shared" si="71"/>
        <v>20.454254052747253</v>
      </c>
      <c r="BU38" s="741">
        <f t="shared" si="71"/>
        <v>19.228725808872611</v>
      </c>
      <c r="BV38" s="741">
        <f t="shared" si="71"/>
        <v>-0.40960892537240312</v>
      </c>
      <c r="BW38" s="741">
        <f t="shared" si="71"/>
        <v>1.7719612746275963</v>
      </c>
      <c r="BX38" s="741">
        <f t="shared" si="71"/>
        <v>1.1270726256410253</v>
      </c>
      <c r="BY38" s="741">
        <f t="shared" si="71"/>
        <v>-40.222920766625961</v>
      </c>
      <c r="BZ38" s="741"/>
    </row>
    <row r="39" spans="1:78">
      <c r="A39" s="1393">
        <f>Eingabedaten!A45</f>
        <v>12.04</v>
      </c>
      <c r="B39" s="738" t="str">
        <f>Eingabedaten!C45</f>
        <v>Nebenraum</v>
      </c>
      <c r="C39" s="724" t="s">
        <v>5</v>
      </c>
      <c r="D39" s="739">
        <v>5</v>
      </c>
      <c r="E39" s="739">
        <v>5</v>
      </c>
      <c r="F39" s="740">
        <v>5</v>
      </c>
      <c r="G39" s="739">
        <v>10</v>
      </c>
      <c r="H39" s="740">
        <v>5</v>
      </c>
      <c r="I39" s="739">
        <v>10</v>
      </c>
      <c r="J39" s="739">
        <v>10</v>
      </c>
      <c r="K39" s="739">
        <v>7</v>
      </c>
      <c r="L39" s="740">
        <v>7</v>
      </c>
      <c r="M39" s="740">
        <v>5</v>
      </c>
      <c r="N39" s="740">
        <v>7</v>
      </c>
      <c r="O39" s="740">
        <v>7</v>
      </c>
      <c r="P39" s="740">
        <v>10</v>
      </c>
      <c r="Q39" s="740">
        <v>10</v>
      </c>
      <c r="R39" s="740">
        <v>10</v>
      </c>
      <c r="S39" s="740">
        <v>10</v>
      </c>
      <c r="T39" s="740">
        <v>10</v>
      </c>
      <c r="U39" s="740">
        <v>9</v>
      </c>
      <c r="V39" s="740">
        <v>9</v>
      </c>
      <c r="W39" s="740">
        <v>10</v>
      </c>
      <c r="X39" s="740">
        <v>10</v>
      </c>
      <c r="Y39" s="740">
        <v>5</v>
      </c>
      <c r="AA39" s="770"/>
    </row>
    <row r="40" spans="1:78">
      <c r="A40" s="1393">
        <f>Eingabedaten!A46</f>
        <v>12.05</v>
      </c>
      <c r="B40" s="738" t="str">
        <f>Eingabedaten!C46</f>
        <v>Küche, Teeküche</v>
      </c>
      <c r="C40" s="724" t="s">
        <v>5</v>
      </c>
      <c r="D40" s="740"/>
      <c r="E40" s="740"/>
      <c r="F40" s="740"/>
      <c r="G40" s="740"/>
      <c r="H40" s="740">
        <v>2</v>
      </c>
      <c r="I40" s="740"/>
      <c r="J40" s="740"/>
      <c r="K40" s="740"/>
      <c r="L40" s="740"/>
      <c r="M40" s="740"/>
      <c r="N40" s="740"/>
      <c r="O40" s="740"/>
      <c r="P40" s="740"/>
      <c r="Q40" s="740"/>
      <c r="R40" s="740"/>
      <c r="S40" s="740"/>
      <c r="T40" s="740"/>
      <c r="U40" s="740"/>
      <c r="V40" s="740"/>
      <c r="W40" s="740"/>
      <c r="X40" s="740"/>
      <c r="Y40" s="740"/>
      <c r="AA40" s="810">
        <v>0</v>
      </c>
      <c r="AC40" s="795" t="s">
        <v>1533</v>
      </c>
      <c r="AD40" s="1279"/>
      <c r="AE40" s="725" t="str">
        <f>AE1</f>
        <v>I</v>
      </c>
      <c r="AF40" s="725">
        <f t="shared" ref="AF40:AG40" si="72">E40</f>
        <v>0</v>
      </c>
      <c r="AG40" s="724">
        <f t="shared" si="72"/>
        <v>0</v>
      </c>
      <c r="AH40" s="725" t="str">
        <f>AH1</f>
        <v>II</v>
      </c>
      <c r="AI40" s="725" t="str">
        <f>AI1</f>
        <v>III</v>
      </c>
      <c r="AJ40" s="725" t="str">
        <f>AJ1</f>
        <v>IV</v>
      </c>
      <c r="AK40" s="724">
        <f t="shared" ref="AK40:AL40" si="73">J40</f>
        <v>0</v>
      </c>
      <c r="AL40" s="724">
        <f t="shared" si="73"/>
        <v>0</v>
      </c>
      <c r="AM40" s="725" t="str">
        <f>AM1</f>
        <v>V</v>
      </c>
      <c r="AN40" s="724">
        <f t="shared" ref="AN40:AP40" si="74">M40</f>
        <v>0</v>
      </c>
      <c r="AO40" s="724">
        <f t="shared" si="74"/>
        <v>0</v>
      </c>
      <c r="AP40" s="724">
        <f t="shared" si="74"/>
        <v>0</v>
      </c>
      <c r="AQ40" s="725" t="str">
        <f>AQ1</f>
        <v>VI</v>
      </c>
      <c r="AR40" s="725" t="str">
        <f>AR1</f>
        <v>VII</v>
      </c>
      <c r="AS40" s="725" t="str">
        <f>AS1</f>
        <v>VIII</v>
      </c>
      <c r="AT40" s="724">
        <f t="shared" ref="AT40:AU40" si="75">S40</f>
        <v>0</v>
      </c>
      <c r="AU40" s="724">
        <f t="shared" si="75"/>
        <v>0</v>
      </c>
      <c r="AV40" s="725" t="str">
        <f>AV1</f>
        <v>IX</v>
      </c>
      <c r="AW40" s="725" t="str">
        <f>AW1</f>
        <v>X</v>
      </c>
      <c r="AX40" s="725" t="str">
        <f>AX1</f>
        <v>XI</v>
      </c>
      <c r="AY40" s="725" t="str">
        <f>AY1</f>
        <v>XII</v>
      </c>
    </row>
    <row r="41" spans="1:78">
      <c r="A41" s="1393">
        <f>Eingabedaten!A47</f>
        <v>12.06</v>
      </c>
      <c r="B41" s="738" t="str">
        <f>Eingabedaten!C47</f>
        <v xml:space="preserve">WC, Bad, Dusche </v>
      </c>
      <c r="C41" s="724" t="s">
        <v>5</v>
      </c>
      <c r="D41" s="740"/>
      <c r="E41" s="740"/>
      <c r="F41" s="740">
        <v>5</v>
      </c>
      <c r="G41" s="740"/>
      <c r="H41" s="740"/>
      <c r="I41" s="740"/>
      <c r="J41" s="740"/>
      <c r="K41" s="740"/>
      <c r="L41" s="740"/>
      <c r="M41" s="740"/>
      <c r="N41" s="740"/>
      <c r="O41" s="740"/>
      <c r="P41" s="740"/>
      <c r="Q41" s="740"/>
      <c r="R41" s="740"/>
      <c r="S41" s="740"/>
      <c r="T41" s="740"/>
      <c r="U41" s="740"/>
      <c r="V41" s="740"/>
      <c r="W41" s="739">
        <v>5</v>
      </c>
      <c r="X41" s="740"/>
      <c r="Y41" s="740"/>
      <c r="AA41" s="770"/>
      <c r="AC41" s="732"/>
      <c r="AD41" s="733"/>
      <c r="AE41" s="734"/>
      <c r="AF41" s="734"/>
      <c r="AG41" s="731"/>
      <c r="AH41" s="731"/>
      <c r="AI41" s="731"/>
      <c r="AJ41" s="731"/>
      <c r="AK41" s="731"/>
      <c r="AL41" s="731"/>
      <c r="AM41" s="731"/>
      <c r="AN41" s="731"/>
      <c r="AO41" s="731"/>
      <c r="AP41" s="731"/>
      <c r="AQ41" s="731"/>
      <c r="AR41" s="731"/>
      <c r="AS41" s="731"/>
      <c r="AT41" s="731"/>
      <c r="AU41" s="731"/>
      <c r="AV41" s="731"/>
      <c r="AW41" s="731"/>
      <c r="AX41" s="731"/>
      <c r="AY41" s="731"/>
    </row>
    <row r="42" spans="1:78">
      <c r="A42" s="1393">
        <f>Eingabedaten!A48</f>
        <v>12.07</v>
      </c>
      <c r="B42" s="738" t="str">
        <f>Eingabedaten!C48</f>
        <v>WC</v>
      </c>
      <c r="C42" s="724" t="s">
        <v>5</v>
      </c>
      <c r="D42" s="740"/>
      <c r="E42" s="740"/>
      <c r="F42" s="740"/>
      <c r="G42" s="740"/>
      <c r="H42" s="740">
        <v>2</v>
      </c>
      <c r="I42" s="740">
        <v>2</v>
      </c>
      <c r="J42" s="740">
        <v>2</v>
      </c>
      <c r="K42" s="739">
        <v>2</v>
      </c>
      <c r="L42" s="740">
        <v>1</v>
      </c>
      <c r="M42" s="740">
        <v>1</v>
      </c>
      <c r="N42" s="740">
        <v>1</v>
      </c>
      <c r="O42" s="740">
        <v>1</v>
      </c>
      <c r="P42" s="740">
        <v>1</v>
      </c>
      <c r="Q42" s="740">
        <v>5</v>
      </c>
      <c r="R42" s="740">
        <v>5</v>
      </c>
      <c r="S42" s="740">
        <v>5</v>
      </c>
      <c r="T42" s="740">
        <v>5</v>
      </c>
      <c r="U42" s="740">
        <v>1</v>
      </c>
      <c r="V42" s="740">
        <v>1</v>
      </c>
      <c r="W42" s="740">
        <v>5</v>
      </c>
      <c r="X42" s="740">
        <v>5</v>
      </c>
      <c r="Y42" s="740"/>
      <c r="AA42" s="770"/>
      <c r="AC42" s="772" t="s">
        <v>51</v>
      </c>
      <c r="AD42" s="778" t="s">
        <v>134</v>
      </c>
      <c r="AE42" s="1051">
        <f>SUMPRODUCT(KZ_Raum_2024!$K$7:$K$51,'Fläche-ZW'!D$3:D$47)/100*$AD$1</f>
        <v>7.3440000000000012</v>
      </c>
      <c r="AF42" s="1051">
        <f>SUMPRODUCT(KZ_Raum_2024!$C$7:$C$51,'Fläche-ZW'!E$3:E$47)/100*$AD$1</f>
        <v>14.688000000000002</v>
      </c>
      <c r="AG42" s="1051">
        <f>SUMPRODUCT(KZ_Raum_2024!$C$7:$C$51,'Fläche-ZW'!F$3:F$47)/100*$AD$1</f>
        <v>12.284000000000001</v>
      </c>
      <c r="AH42" s="1051">
        <f>SUMPRODUCT(KZ_Raum_2024!$K$7:$K$51,'Fläche-ZW'!G$3:G$47)/100*$AD$1</f>
        <v>6.4080000000000004</v>
      </c>
      <c r="AI42" s="1051">
        <f>SUMPRODUCT(KZ_Raum_2024!$K$7:$K$51,'Fläche-ZW'!H$3:H$47)/100*$AD$1</f>
        <v>10.224</v>
      </c>
      <c r="AJ42" s="1051">
        <f>SUMPRODUCT(KZ_Raum_2024!$K$7:$K$51,'Fläche-ZW'!I$3:I$47)/100*$AD$1</f>
        <v>3.5337600000000005</v>
      </c>
      <c r="AK42" s="1051">
        <f>SUMPRODUCT(KZ_Raum_2024!$C$7:$C$51,'Fläche-ZW'!J$3:J$47)/100*$AD$1</f>
        <v>6.9511200000000004</v>
      </c>
      <c r="AL42" s="1051">
        <f>SUMPRODUCT(KZ_Raum_2024!$C$7:$C$51,'Fläche-ZW'!K$3:K$47)/100*$AD$1</f>
        <v>11.325200000000002</v>
      </c>
      <c r="AM42" s="1051">
        <f>SUMPRODUCT(KZ_Raum_2024!$K$7:$K$51,'Fläche-ZW'!L$3:L$47)/100*$AD$1</f>
        <v>2.4408000000000003</v>
      </c>
      <c r="AN42" s="1051">
        <f>SUMPRODUCT(KZ_Raum_2024!$C$7:$C$51,'Fläche-ZW'!M$3:M$47)/100*$AD$1</f>
        <v>5.13</v>
      </c>
      <c r="AO42" s="1051">
        <f>SUMPRODUCT(KZ_Raum_2024!$C$7:$C$51,'Fläche-ZW'!N$3:N$47)/100*$AD$1</f>
        <v>4.7652000000000001</v>
      </c>
      <c r="AP42" s="1051">
        <f>SUMPRODUCT(KZ_Raum_2024!$C$7:$C$51,'Fläche-ZW'!O$3:O$47)/100*$AD$1</f>
        <v>4.5540000000000003</v>
      </c>
      <c r="AQ42" s="1051">
        <f>SUMPRODUCT(KZ_Raum_2024!$K$7:$K$51,'Fläche-ZW'!P$3:P$47)/100*$AD$1</f>
        <v>3.6224000000000007</v>
      </c>
      <c r="AR42" s="1051">
        <f>SUMPRODUCT(KZ_Raum_2024!$K$7:$K$51,'Fläche-ZW'!Q$3:Q$47)/100*$AD$1</f>
        <v>3.3864000000000005</v>
      </c>
      <c r="AS42" s="1051">
        <f>SUMPRODUCT(KZ_Raum_2024!$K$7:$K$51,'Fläche-ZW'!R$3:R$47)/100*$AD$1</f>
        <v>5.3124000000000002</v>
      </c>
      <c r="AT42" s="1051">
        <f>SUMPRODUCT(KZ_Raum_2024!$C$7:$C$51,'Fläche-ZW'!S$3:S$47)/100*$AD$1</f>
        <v>9.4044000000000008</v>
      </c>
      <c r="AU42" s="1051">
        <f>SUMPRODUCT(KZ_Raum_2024!$C$7:$C$51,'Fläche-ZW'!T$3:T$47)/100*$AD$1</f>
        <v>8.0483999999999991</v>
      </c>
      <c r="AV42" s="1051">
        <f>SUMPRODUCT(KZ_Raum_2024!$K$7:$K$51,'Fläche-ZW'!U$3:U$47)/100*$AD$1</f>
        <v>6.9223999999999997</v>
      </c>
      <c r="AW42" s="1051">
        <f>SUMPRODUCT(KZ_Raum_2024!$K$7:$K$51,'Fläche-ZW'!V$3:V$47)/100*$AD$1</f>
        <v>2.468</v>
      </c>
      <c r="AX42" s="1051">
        <f>SUMPRODUCT(KZ_Raum_2024!$K$7:$K$51,'Fläche-ZW'!W$3:W$47)/100*$AD$1</f>
        <v>0</v>
      </c>
      <c r="AY42" s="1052">
        <f>SUMPRODUCT(KZ_Raum_2024!$K$7:$K$51,'Fläche-ZW'!X$3:X$47)/100*$AD$1</f>
        <v>3.9720000000000009</v>
      </c>
    </row>
    <row r="43" spans="1:78">
      <c r="A43" s="1393">
        <f>Eingabedaten!A49</f>
        <v>12.08</v>
      </c>
      <c r="B43" s="738" t="str">
        <f>Eingabedaten!C49</f>
        <v>Garderobe, Dusche</v>
      </c>
      <c r="C43" s="724" t="s">
        <v>5</v>
      </c>
      <c r="D43" s="740"/>
      <c r="E43" s="740"/>
      <c r="F43" s="740"/>
      <c r="G43" s="740"/>
      <c r="H43" s="740"/>
      <c r="I43" s="740"/>
      <c r="J43" s="740"/>
      <c r="K43" s="740"/>
      <c r="L43" s="740">
        <v>2</v>
      </c>
      <c r="M43" s="740">
        <v>2</v>
      </c>
      <c r="N43" s="740">
        <v>2</v>
      </c>
      <c r="O43" s="740">
        <v>2</v>
      </c>
      <c r="P43" s="740">
        <v>2</v>
      </c>
      <c r="Q43" s="740"/>
      <c r="R43" s="740"/>
      <c r="S43" s="740"/>
      <c r="T43" s="740"/>
      <c r="U43" s="740"/>
      <c r="V43" s="740"/>
      <c r="W43" s="739">
        <v>10</v>
      </c>
      <c r="X43" s="740">
        <v>10</v>
      </c>
      <c r="Y43" s="740"/>
      <c r="AA43" s="770"/>
      <c r="AC43" s="773" t="s">
        <v>17</v>
      </c>
      <c r="AD43" s="774" t="s">
        <v>134</v>
      </c>
      <c r="AE43" s="1053">
        <f>SUMPRODUCT(KZ_Raum_2024!$M$7:$M$51,'Fläche-ZW'!D$3:D$47)/100*$AD$1</f>
        <v>0.80216196581196597</v>
      </c>
      <c r="AF43" s="1053">
        <f>SUMPRODUCT(KZ_Raum_2024!$E$7:$E$51,'Fläche-ZW'!E$3:E$47)/100*$AD$1</f>
        <v>2.1526810000000007</v>
      </c>
      <c r="AG43" s="1053">
        <f>SUMPRODUCT(KZ_Raum_2024!$E$7:$E$51,'Fläche-ZW'!F$3:F$47)/100*$AD$1</f>
        <v>4.8560016666666677</v>
      </c>
      <c r="AH43" s="1053">
        <f>SUMPRODUCT(KZ_Raum_2024!$M$7:$M$51,'Fläche-ZW'!G$3:G$47)/100*$AD$1</f>
        <v>0.82553874643874647</v>
      </c>
      <c r="AI43" s="1053">
        <f>SUMPRODUCT(KZ_Raum_2024!$M$7:$M$51,'Fläche-ZW'!H$3:H$47)/100*$AD$1</f>
        <v>1.2562361965811963</v>
      </c>
      <c r="AJ43" s="1053">
        <f>SUMPRODUCT(KZ_Raum_2024!$M$7:$M$51,'Fläche-ZW'!I$3:I$47)/100*$AD$1</f>
        <v>0.99508483923483948</v>
      </c>
      <c r="AK43" s="1053">
        <f>SUMPRODUCT(KZ_Raum_2024!$E$7:$E$51,'Fläche-ZW'!J$3:J$47)/100*$AD$1</f>
        <v>6.6046965079365085</v>
      </c>
      <c r="AL43" s="1053">
        <f>SUMPRODUCT(KZ_Raum_2024!$E$7:$E$51,'Fläche-ZW'!K$3:K$47)/100*$AD$1</f>
        <v>7.0316882857142859</v>
      </c>
      <c r="AM43" s="1053">
        <f>SUMPRODUCT(KZ_Raum_2024!$M$7:$M$51,'Fläche-ZW'!L$3:L$47)/100*$AD$1</f>
        <v>14.517997136752136</v>
      </c>
      <c r="AN43" s="1053">
        <f>SUMPRODUCT(KZ_Raum_2024!$E$7:$E$51,'Fläche-ZW'!M$3:M$47)/100*$AD$1</f>
        <v>23.902055481481479</v>
      </c>
      <c r="AO43" s="1053">
        <f>SUMPRODUCT(KZ_Raum_2024!$E$7:$E$51,'Fläche-ZW'!N$3:N$47)/100*$AD$1</f>
        <v>23.952625644444446</v>
      </c>
      <c r="AP43" s="1053">
        <f>SUMPRODUCT(KZ_Raum_2024!$E$7:$E$51,'Fläche-ZW'!O$3:O$47)/100*$AD$1</f>
        <v>19.481929644444445</v>
      </c>
      <c r="AQ43" s="1053">
        <f>SUMPRODUCT(KZ_Raum_2024!$M$7:$M$51,'Fläche-ZW'!P$3:P$47)/100*$AD$1</f>
        <v>2.374415242165242</v>
      </c>
      <c r="AR43" s="1053">
        <f>SUMPRODUCT(KZ_Raum_2024!$M$7:$M$51,'Fläche-ZW'!Q$3:Q$47)/100*$AD$1</f>
        <v>6.0826807692307696</v>
      </c>
      <c r="AS43" s="1053">
        <f>SUMPRODUCT(KZ_Raum_2024!$M$7:$M$51,'Fläche-ZW'!R$3:R$47)/100*$AD$1</f>
        <v>3.2836374643874642</v>
      </c>
      <c r="AT43" s="1053">
        <f>SUMPRODUCT(KZ_Raum_2024!$E$7:$E$51,'Fläche-ZW'!S$3:S$47)/100*$AD$1</f>
        <v>10.714216444444446</v>
      </c>
      <c r="AU43" s="1053">
        <f>SUMPRODUCT(KZ_Raum_2024!$E$7:$E$51,'Fläche-ZW'!T$3:T$47)/100*$AD$1</f>
        <v>8.7956600000000034</v>
      </c>
      <c r="AV43" s="1053">
        <f>SUMPRODUCT(KZ_Raum_2024!$M$7:$M$51,'Fläche-ZW'!U$3:U$47)/100*$AD$1</f>
        <v>1.8168513247863249</v>
      </c>
      <c r="AW43" s="1053">
        <f>SUMPRODUCT(KZ_Raum_2024!$M$7:$M$51,'Fläche-ZW'!V$3:V$47)/100*$AD$1</f>
        <v>2.9044777136752145</v>
      </c>
      <c r="AX43" s="1053">
        <f>SUMPRODUCT(KZ_Raum_2024!$M$7:$M$51,'Fläche-ZW'!W$3:W$47)/100*$AD$1</f>
        <v>2.5448910256410247</v>
      </c>
      <c r="AY43" s="1054">
        <f>SUMPRODUCT(KZ_Raum_2024!$M$7:$M$51,'Fläche-ZW'!X$3:X$47)/100*$AD$1</f>
        <v>1.8661383190883194</v>
      </c>
      <c r="BC43" s="742" t="s">
        <v>1099</v>
      </c>
    </row>
    <row r="44" spans="1:78">
      <c r="A44" s="1393">
        <f>Eingabedaten!A50</f>
        <v>12.09</v>
      </c>
      <c r="B44" s="738" t="str">
        <f>Eingabedaten!C50</f>
        <v>Parkhaus</v>
      </c>
      <c r="C44" s="724" t="s">
        <v>5</v>
      </c>
      <c r="D44" s="740"/>
      <c r="E44" s="740"/>
      <c r="F44" s="740"/>
      <c r="G44" s="740"/>
      <c r="H44" s="740"/>
      <c r="I44" s="740"/>
      <c r="J44" s="740"/>
      <c r="K44" s="740"/>
      <c r="L44" s="740"/>
      <c r="M44" s="740"/>
      <c r="N44" s="740"/>
      <c r="O44" s="740"/>
      <c r="P44" s="740"/>
      <c r="Q44" s="740"/>
      <c r="R44" s="740"/>
      <c r="S44" s="740"/>
      <c r="T44" s="740"/>
      <c r="U44" s="740"/>
      <c r="V44" s="740"/>
      <c r="W44" s="740"/>
      <c r="X44" s="740"/>
      <c r="Y44" s="740">
        <v>90</v>
      </c>
      <c r="AA44" s="770"/>
      <c r="AC44" s="773" t="s">
        <v>19</v>
      </c>
      <c r="AD44" s="774" t="s">
        <v>134</v>
      </c>
      <c r="AE44" s="1053">
        <f>SUMPRODUCT(KZ_Raum_2024!$N$7:$N$51,'Fläche-ZW'!D$3:D$47)/100*$AD$1</f>
        <v>1.2390284000000003</v>
      </c>
      <c r="AF44" s="1053">
        <f>SUMPRODUCT(KZ_Raum_2024!$F$7:$F$51,'Fläche-ZW'!E$3:E$47)/100*$AD$1</f>
        <v>2.7887072000000006</v>
      </c>
      <c r="AG44" s="1053">
        <f>SUMPRODUCT(KZ_Raum_2024!$F$7:$F$51,'Fläche-ZW'!F$3:F$47)/100*$AD$1</f>
        <v>4.6930259047619058</v>
      </c>
      <c r="AH44" s="1053">
        <f>SUMPRODUCT(KZ_Raum_2024!$N$7:$N$51,'Fläche-ZW'!G$3:G$47)/100*$AD$1</f>
        <v>0.61041411199999995</v>
      </c>
      <c r="AI44" s="1053">
        <f>SUMPRODUCT(KZ_Raum_2024!$N$7:$N$51,'Fläche-ZW'!H$3:H$47)/100*$AD$1</f>
        <v>1.3441032876190475</v>
      </c>
      <c r="AJ44" s="1053">
        <f>SUMPRODUCT(KZ_Raum_2024!$N$7:$N$51,'Fläche-ZW'!I$3:I$47)/100*$AD$1</f>
        <v>1.3628216342857147</v>
      </c>
      <c r="AK44" s="1053">
        <f>SUMPRODUCT(KZ_Raum_2024!$F$7:$F$51,'Fläche-ZW'!J$3:J$47)/100*$AD$1</f>
        <v>2.3824341714285713</v>
      </c>
      <c r="AL44" s="1053">
        <f>SUMPRODUCT(KZ_Raum_2024!$F$7:$F$51,'Fläche-ZW'!K$3:K$47)/100*$AD$1</f>
        <v>3.5070634095238091</v>
      </c>
      <c r="AM44" s="1053">
        <f>SUMPRODUCT(KZ_Raum_2024!$N$7:$N$51,'Fläche-ZW'!L$3:L$47)/100*$AD$1</f>
        <v>1.6159523542857142</v>
      </c>
      <c r="AN44" s="1053">
        <f>SUMPRODUCT(KZ_Raum_2024!$F$7:$F$51,'Fläche-ZW'!M$3:M$47)/100*$AD$1</f>
        <v>3.9833393714285714</v>
      </c>
      <c r="AO44" s="1053">
        <f>SUMPRODUCT(KZ_Raum_2024!$F$7:$F$51,'Fläche-ZW'!N$3:N$47)/100*$AD$1</f>
        <v>3.993240171428571</v>
      </c>
      <c r="AP44" s="1053">
        <f>SUMPRODUCT(KZ_Raum_2024!$F$7:$F$51,'Fläche-ZW'!O$3:O$47)/100*$AD$1</f>
        <v>3.6761541714285713</v>
      </c>
      <c r="AQ44" s="1053">
        <f>SUMPRODUCT(KZ_Raum_2024!$N$7:$N$51,'Fläche-ZW'!P$3:P$47)/100*$AD$1</f>
        <v>4.1078234742857154</v>
      </c>
      <c r="AR44" s="1053">
        <f>SUMPRODUCT(KZ_Raum_2024!$N$7:$N$51,'Fläche-ZW'!Q$3:Q$47)/100*$AD$1</f>
        <v>4.574929714285715</v>
      </c>
      <c r="AS44" s="1053">
        <f>SUMPRODUCT(KZ_Raum_2024!$N$7:$N$51,'Fläche-ZW'!R$3:R$47)/100*$AD$1</f>
        <v>2.8070022476190482</v>
      </c>
      <c r="AT44" s="1053">
        <f>SUMPRODUCT(KZ_Raum_2024!$F$7:$F$51,'Fläche-ZW'!S$3:S$47)/100*$AD$1</f>
        <v>5.1245579047619048</v>
      </c>
      <c r="AU44" s="1053">
        <f>SUMPRODUCT(KZ_Raum_2024!$F$7:$F$51,'Fläche-ZW'!T$3:T$47)/100*$AD$1</f>
        <v>5.3315339047619057</v>
      </c>
      <c r="AV44" s="1053">
        <f>SUMPRODUCT(KZ_Raum_2024!$N$7:$N$51,'Fläche-ZW'!U$3:U$47)/100*$AD$1</f>
        <v>1.1551397498412701</v>
      </c>
      <c r="AW44" s="1053">
        <f>SUMPRODUCT(KZ_Raum_2024!$N$7:$N$51,'Fläche-ZW'!V$3:V$47)/100*$AD$1</f>
        <v>0.75148356095238134</v>
      </c>
      <c r="AX44" s="1053">
        <f>SUMPRODUCT(KZ_Raum_2024!$N$7:$N$51,'Fläche-ZW'!W$3:W$47)/100*$AD$1</f>
        <v>1.3501816</v>
      </c>
      <c r="AY44" s="1054">
        <f>SUMPRODUCT(KZ_Raum_2024!$N$7:$N$51,'Fläche-ZW'!X$3:X$47)/100*$AD$1</f>
        <v>3.0589409142857154</v>
      </c>
      <c r="BC44" s="723" t="s">
        <v>420</v>
      </c>
      <c r="BD44" s="723" t="s">
        <v>16</v>
      </c>
      <c r="BE44" s="723">
        <f t="shared" ref="BE44:BY44" si="76">BE9</f>
        <v>0.7</v>
      </c>
      <c r="BG44" s="723">
        <f t="shared" si="76"/>
        <v>0</v>
      </c>
      <c r="BH44" s="723">
        <f t="shared" si="76"/>
        <v>0.7</v>
      </c>
      <c r="BI44" s="723">
        <f t="shared" si="76"/>
        <v>0.9</v>
      </c>
      <c r="BJ44" s="723">
        <f t="shared" si="76"/>
        <v>0.9</v>
      </c>
      <c r="BM44" s="723">
        <f t="shared" si="76"/>
        <v>0.8</v>
      </c>
      <c r="BN44" s="723">
        <f t="shared" si="76"/>
        <v>0</v>
      </c>
      <c r="BO44" s="723">
        <f t="shared" si="76"/>
        <v>0</v>
      </c>
      <c r="BP44" s="723">
        <f t="shared" si="76"/>
        <v>0</v>
      </c>
      <c r="BQ44" s="723">
        <f t="shared" si="76"/>
        <v>0.7</v>
      </c>
      <c r="BR44" s="723">
        <f t="shared" si="76"/>
        <v>0.8</v>
      </c>
      <c r="BS44" s="723">
        <f t="shared" si="76"/>
        <v>0.7</v>
      </c>
      <c r="BT44" s="723">
        <f t="shared" si="76"/>
        <v>0</v>
      </c>
      <c r="BU44" s="723">
        <f t="shared" si="76"/>
        <v>0</v>
      </c>
      <c r="BV44" s="723">
        <f t="shared" si="76"/>
        <v>0.9</v>
      </c>
      <c r="BW44" s="723">
        <f t="shared" si="76"/>
        <v>0.9</v>
      </c>
      <c r="BX44" s="723">
        <f t="shared" si="76"/>
        <v>0.9</v>
      </c>
      <c r="BY44" s="723">
        <f t="shared" si="76"/>
        <v>0.7</v>
      </c>
    </row>
    <row r="45" spans="1:78" ht="12.45">
      <c r="A45" s="633">
        <f>Eingabedaten!A51</f>
        <v>12.1</v>
      </c>
      <c r="B45" s="738" t="str">
        <f>Eingabedaten!C51</f>
        <v>Wasch- und Trockenraum</v>
      </c>
      <c r="C45" s="724" t="s">
        <v>5</v>
      </c>
      <c r="D45" s="740"/>
      <c r="E45" s="740"/>
      <c r="F45" s="740"/>
      <c r="G45" s="740"/>
      <c r="H45" s="740"/>
      <c r="I45" s="740"/>
      <c r="J45" s="740"/>
      <c r="K45" s="740"/>
      <c r="L45" s="740"/>
      <c r="M45" s="740"/>
      <c r="N45" s="740"/>
      <c r="O45" s="740"/>
      <c r="P45" s="740"/>
      <c r="Q45" s="740"/>
      <c r="R45" s="740"/>
      <c r="S45" s="740"/>
      <c r="T45" s="740"/>
      <c r="U45" s="740"/>
      <c r="V45" s="740"/>
      <c r="W45" s="740"/>
      <c r="X45" s="740"/>
      <c r="Y45" s="740"/>
      <c r="AA45" s="770"/>
      <c r="AC45" s="773" t="s">
        <v>463</v>
      </c>
      <c r="AD45" s="774" t="s">
        <v>134</v>
      </c>
      <c r="AE45" s="1053">
        <f>SUMPRODUCT(KZ_Raum_2024!$O$7:$O$51,'Fläche-ZW'!D$3:D$47)/100*$AD$1</f>
        <v>1.8750312159711584</v>
      </c>
      <c r="AF45" s="1053">
        <f>SUMPRODUCT(KZ_Raum_2024!$G$7:$G$51,'Fläche-ZW'!E$3:E$47)/100*$AD$1</f>
        <v>3.3889639654036778</v>
      </c>
      <c r="AG45" s="1053">
        <f>SUMPRODUCT(KZ_Raum_2024!$G$7:$G$51,'Fläche-ZW'!F$3:F$47)/100*$AD$1</f>
        <v>4.7381022785109517</v>
      </c>
      <c r="AH45" s="1053">
        <f>SUMPRODUCT(KZ_Raum_2024!$O$7:$O$51,'Fläche-ZW'!G$3:G$47)/100*$AD$1</f>
        <v>0.72702775113040485</v>
      </c>
      <c r="AI45" s="1053">
        <f>SUMPRODUCT(KZ_Raum_2024!$O$7:$O$51,'Fläche-ZW'!H$3:H$47)/100*$AD$1</f>
        <v>3.4427295961817279</v>
      </c>
      <c r="AJ45" s="1053">
        <f>SUMPRODUCT(KZ_Raum_2024!$O$7:$O$51,'Fläche-ZW'!I$3:I$47)/100*$AD$1</f>
        <v>2.6699995175456892</v>
      </c>
      <c r="AK45" s="1053">
        <f>SUMPRODUCT(KZ_Raum_2024!$G$7:$G$51,'Fläche-ZW'!J$3:J$47)/100*$AD$1</f>
        <v>4.7746948126511946</v>
      </c>
      <c r="AL45" s="1053">
        <f>SUMPRODUCT(KZ_Raum_2024!$G$7:$G$51,'Fläche-ZW'!K$3:K$47)/100*$AD$1</f>
        <v>7.6636916706564904</v>
      </c>
      <c r="AM45" s="1053">
        <f>SUMPRODUCT(KZ_Raum_2024!$O$7:$O$51,'Fläche-ZW'!L$3:L$47)/100*$AD$1</f>
        <v>11.05409373138259</v>
      </c>
      <c r="AN45" s="1053">
        <f>SUMPRODUCT(KZ_Raum_2024!$G$7:$G$51,'Fläche-ZW'!M$3:M$47)/100*$AD$1</f>
        <v>11.926227215554942</v>
      </c>
      <c r="AO45" s="1053">
        <f>SUMPRODUCT(KZ_Raum_2024!$G$7:$G$51,'Fläche-ZW'!N$3:N$47)/100*$AD$1</f>
        <v>11.651377900486445</v>
      </c>
      <c r="AP45" s="1053">
        <f>SUMPRODUCT(KZ_Raum_2024!$G$7:$G$51,'Fläche-ZW'!O$3:O$47)/100*$AD$1</f>
        <v>7.2009850607139558</v>
      </c>
      <c r="AQ45" s="1053">
        <f>SUMPRODUCT(KZ_Raum_2024!$O$7:$O$51,'Fläche-ZW'!P$3:P$47)/100*$AD$1</f>
        <v>4.7731405574227415</v>
      </c>
      <c r="AR45" s="1053">
        <f>SUMPRODUCT(KZ_Raum_2024!$O$7:$O$51,'Fläche-ZW'!Q$3:Q$47)/100*$AD$1</f>
        <v>10.53191730434</v>
      </c>
      <c r="AS45" s="1053">
        <f>SUMPRODUCT(KZ_Raum_2024!$O$7:$O$51,'Fläche-ZW'!R$3:R$47)/100*$AD$1</f>
        <v>7.3347532646103959</v>
      </c>
      <c r="AT45" s="1053">
        <f>SUMPRODUCT(KZ_Raum_2024!$G$7:$G$51,'Fläche-ZW'!S$3:S$47)/100*$AD$1</f>
        <v>10.896918506140496</v>
      </c>
      <c r="AU45" s="1053">
        <f>SUMPRODUCT(KZ_Raum_2024!$G$7:$G$51,'Fläche-ZW'!T$3:T$47)/100*$AD$1</f>
        <v>10.269304483987643</v>
      </c>
      <c r="AV45" s="1053">
        <f>SUMPRODUCT(KZ_Raum_2024!$O$7:$O$51,'Fläche-ZW'!U$3:U$47)/100*$AD$1</f>
        <v>2.0197354151783848</v>
      </c>
      <c r="AW45" s="1053">
        <f>SUMPRODUCT(KZ_Raum_2024!$O$7:$O$51,'Fläche-ZW'!V$3:V$47)/100*$AD$1</f>
        <v>0.20928253513353298</v>
      </c>
      <c r="AX45" s="1053">
        <f>SUMPRODUCT(KZ_Raum_2024!$O$7:$O$51,'Fläche-ZW'!W$3:W$47)/100*$AD$1</f>
        <v>0</v>
      </c>
      <c r="AY45" s="1054">
        <f>SUMPRODUCT(KZ_Raum_2024!$O$7:$O$51,'Fläche-ZW'!X$3:X$47)/100*$AD$1</f>
        <v>0.20928253513353298</v>
      </c>
      <c r="BC45" s="723" t="s">
        <v>1539</v>
      </c>
      <c r="BD45" s="723" t="s">
        <v>16</v>
      </c>
      <c r="BE45" s="723">
        <f>BE62/BE37</f>
        <v>0.67822938137368705</v>
      </c>
      <c r="BG45" s="723">
        <f t="shared" ref="BG45:BY45" si="77">BG62/BG37</f>
        <v>0</v>
      </c>
      <c r="BH45" s="723">
        <f t="shared" si="77"/>
        <v>0.77888757226051475</v>
      </c>
      <c r="BI45" s="723">
        <f t="shared" si="77"/>
        <v>0.69168510275667416</v>
      </c>
      <c r="BJ45" s="723">
        <f t="shared" si="77"/>
        <v>0.49890980040236016</v>
      </c>
      <c r="BM45" s="723">
        <f t="shared" si="77"/>
        <v>0.69681743401402052</v>
      </c>
      <c r="BN45" s="723">
        <f t="shared" si="77"/>
        <v>0.69219080172922054</v>
      </c>
      <c r="BO45" s="723">
        <f t="shared" si="77"/>
        <v>0.69681743401402052</v>
      </c>
      <c r="BP45" s="723">
        <f t="shared" si="77"/>
        <v>0.60362772067039017</v>
      </c>
      <c r="BQ45" s="723">
        <f>BQ62/BQ37</f>
        <v>0.29207125969718623</v>
      </c>
      <c r="BR45" s="723">
        <f t="shared" si="77"/>
        <v>0.50301781391708345</v>
      </c>
      <c r="BS45" s="723">
        <f t="shared" si="77"/>
        <v>0.40809997416370802</v>
      </c>
      <c r="BT45" s="723">
        <f t="shared" si="77"/>
        <v>0.48889585385084622</v>
      </c>
      <c r="BU45" s="723">
        <f t="shared" si="77"/>
        <v>0.39524199759992273</v>
      </c>
      <c r="BV45" s="723">
        <f t="shared" si="77"/>
        <v>0.51234476401218887</v>
      </c>
      <c r="BW45" s="723">
        <f t="shared" si="77"/>
        <v>0.72053884497363641</v>
      </c>
      <c r="BX45" s="723">
        <f t="shared" si="77"/>
        <v>0.39286817282125869</v>
      </c>
      <c r="BY45" s="723">
        <f t="shared" si="77"/>
        <v>0.40565176261913954</v>
      </c>
    </row>
    <row r="46" spans="1:78" ht="12.45">
      <c r="A46" s="634">
        <f>Eingabedaten!A52</f>
        <v>12.11</v>
      </c>
      <c r="B46" s="738" t="str">
        <f>Eingabedaten!C52</f>
        <v>Kühlraum</v>
      </c>
      <c r="C46" s="724" t="s">
        <v>5</v>
      </c>
      <c r="D46" s="740"/>
      <c r="E46" s="740"/>
      <c r="F46" s="740"/>
      <c r="G46" s="740"/>
      <c r="H46" s="740"/>
      <c r="I46" s="740"/>
      <c r="J46" s="740"/>
      <c r="K46" s="740"/>
      <c r="L46" s="739"/>
      <c r="M46" s="740">
        <v>2</v>
      </c>
      <c r="N46" s="740"/>
      <c r="O46" s="740"/>
      <c r="P46" s="739">
        <v>2</v>
      </c>
      <c r="Q46" s="740"/>
      <c r="R46" s="740"/>
      <c r="S46" s="740"/>
      <c r="T46" s="740"/>
      <c r="U46" s="740"/>
      <c r="V46" s="740"/>
      <c r="W46" s="740"/>
      <c r="X46" s="740"/>
      <c r="Y46" s="740"/>
      <c r="AA46" s="770"/>
      <c r="AC46" s="773" t="s">
        <v>464</v>
      </c>
      <c r="AD46" s="774" t="s">
        <v>134</v>
      </c>
      <c r="AE46" s="1053">
        <f>SUMPRODUCT(KZ_Raum_2024!$P$7:$P$51,'Fläche-ZW'!D$3:D$47)/100*$AD$1</f>
        <v>8.1269041729154257</v>
      </c>
      <c r="AF46" s="1053">
        <f>SUMPRODUCT(KZ_Raum_2024!$H$7:$H$51,'Fläche-ZW'!E$3:E$47)/100*$AD$1</f>
        <v>11.726703891170381</v>
      </c>
      <c r="AG46" s="1053">
        <f>SUMPRODUCT(KZ_Raum_2024!$H$7:$H$51,'Fläche-ZW'!F$3:F$47)/100*$AD$1</f>
        <v>13.870968340056827</v>
      </c>
      <c r="AH46" s="1053">
        <f>SUMPRODUCT(KZ_Raum_2024!$P$7:$P$51,'Fläche-ZW'!G$3:G$47)/100*$AD$1</f>
        <v>12.201059470880423</v>
      </c>
      <c r="AI46" s="1053">
        <f>SUMPRODUCT(KZ_Raum_2024!$P$7:$P$51,'Fläche-ZW'!H$3:H$47)/100*$AD$1</f>
        <v>7.4092795677964025</v>
      </c>
      <c r="AJ46" s="1053">
        <f>SUMPRODUCT(KZ_Raum_2024!$P$7:$P$51,'Fläche-ZW'!I$3:I$47)/100*$AD$1</f>
        <v>9.3935565949424351</v>
      </c>
      <c r="AK46" s="1053">
        <f>SUMPRODUCT(KZ_Raum_2024!$H$7:$H$51,'Fläche-ZW'!J$3:J$47)/100*$AD$1</f>
        <v>13.537004115365571</v>
      </c>
      <c r="AL46" s="1053">
        <f>SUMPRODUCT(KZ_Raum_2024!$H$7:$H$51,'Fläche-ZW'!K$3:K$47)/100*$AD$1</f>
        <v>11.336089072607724</v>
      </c>
      <c r="AM46" s="1053">
        <f>SUMPRODUCT(KZ_Raum_2024!$P$7:$P$51,'Fläche-ZW'!L$3:L$47)/100*$AD$1</f>
        <v>3.7986294680771766</v>
      </c>
      <c r="AN46" s="1053">
        <f>SUMPRODUCT(KZ_Raum_2024!$H$7:$H$51,'Fläche-ZW'!M$3:M$47)/100*$AD$1</f>
        <v>5.336005221474303</v>
      </c>
      <c r="AO46" s="1053">
        <f>SUMPRODUCT(KZ_Raum_2024!$H$7:$H$51,'Fläche-ZW'!N$3:N$47)/100*$AD$1</f>
        <v>5.5844225421050364</v>
      </c>
      <c r="AP46" s="1053">
        <f>SUMPRODUCT(KZ_Raum_2024!$H$7:$H$51,'Fläche-ZW'!O$3:O$47)/100*$AD$1</f>
        <v>6.1032108798011526</v>
      </c>
      <c r="AQ46" s="1053">
        <f>SUMPRODUCT(KZ_Raum_2024!$P$7:$P$51,'Fläche-ZW'!P$3:P$47)/100*$AD$1</f>
        <v>9.3300680806158542</v>
      </c>
      <c r="AR46" s="1053">
        <f>SUMPRODUCT(KZ_Raum_2024!$P$7:$P$51,'Fläche-ZW'!Q$3:Q$47)/100*$AD$1</f>
        <v>6.2672253715469886</v>
      </c>
      <c r="AS46" s="1053">
        <f>SUMPRODUCT(KZ_Raum_2024!$P$7:$P$51,'Fläche-ZW'!R$3:R$47)/100*$AD$1</f>
        <v>6.8937021134539878</v>
      </c>
      <c r="AT46" s="1053">
        <f>SUMPRODUCT(KZ_Raum_2024!$H$7:$H$51,'Fläche-ZW'!S$3:S$47)/100*$AD$1</f>
        <v>10.373697935999942</v>
      </c>
      <c r="AU46" s="1053">
        <f>SUMPRODUCT(KZ_Raum_2024!$H$7:$H$51,'Fläche-ZW'!T$3:T$47)/100*$AD$1</f>
        <v>10.392353857645658</v>
      </c>
      <c r="AV46" s="1053">
        <f>SUMPRODUCT(KZ_Raum_2024!$P$7:$P$51,'Fläche-ZW'!U$3:U$47)/100*$AD$1</f>
        <v>7.2995755230106347</v>
      </c>
      <c r="AW46" s="1053">
        <f>SUMPRODUCT(KZ_Raum_2024!$P$7:$P$51,'Fläche-ZW'!V$3:V$47)/100*$AD$1</f>
        <v>7.2390920108900687</v>
      </c>
      <c r="AX46" s="1053">
        <f>SUMPRODUCT(KZ_Raum_2024!$P$7:$P$51,'Fläche-ZW'!W$3:W$47)/100*$AD$1</f>
        <v>17.839819122367043</v>
      </c>
      <c r="AY46" s="1054">
        <f>SUMPRODUCT(KZ_Raum_2024!$P$7:$P$51,'Fläche-ZW'!X$3:X$47)/100*$AD$1</f>
        <v>17.752601578973749</v>
      </c>
    </row>
    <row r="47" spans="1:78" ht="12.45">
      <c r="A47" s="638">
        <f>Eingabedaten!A53</f>
        <v>12.12</v>
      </c>
      <c r="B47" s="738" t="str">
        <f>Eingabedaten!C53</f>
        <v>Serverraum</v>
      </c>
      <c r="C47" s="724" t="s">
        <v>5</v>
      </c>
      <c r="D47" s="740"/>
      <c r="E47" s="740"/>
      <c r="F47" s="740"/>
      <c r="G47" s="740"/>
      <c r="H47" s="740">
        <v>1</v>
      </c>
      <c r="I47" s="740"/>
      <c r="J47" s="740"/>
      <c r="K47" s="739">
        <v>1</v>
      </c>
      <c r="L47" s="740"/>
      <c r="M47" s="740"/>
      <c r="N47" s="740"/>
      <c r="O47" s="740"/>
      <c r="P47" s="740"/>
      <c r="Q47" s="740"/>
      <c r="R47" s="739"/>
      <c r="S47" s="739"/>
      <c r="T47" s="739"/>
      <c r="U47" s="740"/>
      <c r="V47" s="740"/>
      <c r="W47" s="740"/>
      <c r="X47" s="740"/>
      <c r="Y47" s="740"/>
      <c r="AA47" s="770"/>
      <c r="AC47" s="773" t="s">
        <v>268</v>
      </c>
      <c r="AD47" s="774" t="s">
        <v>134</v>
      </c>
      <c r="AE47" s="1099">
        <f>SUMPRODUCT(KZ_Raum_2024!$Q$7:$Q$51,'Fläche-ZW'!D$3:D$47)/100*$AD$1</f>
        <v>11.516480000000003</v>
      </c>
      <c r="AF47" s="1053">
        <f>SUMPRODUCT(KZ_Raum_2024!$I$7:$I$51,'Fläche-ZW'!E$3:E$47)/100*$AD$1</f>
        <v>11.516480000000003</v>
      </c>
      <c r="AG47" s="1053">
        <f>SUMPRODUCT(KZ_Raum_2024!$I$7:$I$51,'Fläche-ZW'!F$3:F$47)/100*$AD$1</f>
        <v>17.491430095238098</v>
      </c>
      <c r="AH47" s="1053">
        <f>SUMPRODUCT(KZ_Raum_2024!$Q$7:$Q$51,'Fläche-ZW'!G$3:G$47)/100*$AD$1</f>
        <v>9.7551360000000003</v>
      </c>
      <c r="AI47" s="1053">
        <f>SUMPRODUCT(KZ_Raum_2024!$Q$7:$Q$51,'Fläche-ZW'!H$3:H$47)/100*$AD$1</f>
        <v>1.2664018285714287</v>
      </c>
      <c r="AJ47" s="1053">
        <f>SUMPRODUCT(KZ_Raum_2024!$Q$7:$Q$51,'Fläche-ZW'!I$3:I$47)/100*$AD$1</f>
        <v>1.6590649589823876</v>
      </c>
      <c r="AK47" s="1053">
        <f>SUMPRODUCT(KZ_Raum_2024!$I$7:$I$51,'Fläche-ZW'!J$3:J$47)/100*$AD$1</f>
        <v>1.6590649589823876</v>
      </c>
      <c r="AL47" s="1053">
        <f>SUMPRODUCT(KZ_Raum_2024!$I$7:$I$51,'Fläche-ZW'!K$3:K$47)/100*$AD$1</f>
        <v>1.2867679190606656</v>
      </c>
      <c r="AM47" s="1053">
        <f>SUMPRODUCT(KZ_Raum_2024!$Q$7:$Q$51,'Fläche-ZW'!L$3:L$47)/100*$AD$1</f>
        <v>1.4108914285714289</v>
      </c>
      <c r="AN47" s="1053">
        <f>SUMPRODUCT(KZ_Raum_2024!$I$7:$I$51,'Fläche-ZW'!M$3:M$47)/100*$AD$1</f>
        <v>1.4108914285714289</v>
      </c>
      <c r="AO47" s="1053">
        <f>SUMPRODUCT(KZ_Raum_2024!$I$7:$I$51,'Fläche-ZW'!N$3:N$47)/100*$AD$1</f>
        <v>1.4108914285714289</v>
      </c>
      <c r="AP47" s="1053">
        <f>SUMPRODUCT(KZ_Raum_2024!$I$7:$I$51,'Fläche-ZW'!O$3:O$47)/100*$AD$1</f>
        <v>0.80091702857142877</v>
      </c>
      <c r="AQ47" s="1053">
        <f>SUMPRODUCT(KZ_Raum_2024!$Q$7:$Q$51,'Fläche-ZW'!P$3:P$47)/100*$AD$1</f>
        <v>43.67340342857144</v>
      </c>
      <c r="AR47" s="1053">
        <f>SUMPRODUCT(KZ_Raum_2024!$Q$7:$Q$51,'Fläche-ZW'!Q$3:Q$47)/100*$AD$1</f>
        <v>3.5893714285714289</v>
      </c>
      <c r="AS47" s="1053">
        <f>SUMPRODUCT(KZ_Raum_2024!$Q$7:$Q$51,'Fläche-ZW'!R$3:R$47)/100*$AD$1</f>
        <v>21.781883428571433</v>
      </c>
      <c r="AT47" s="1053">
        <f>SUMPRODUCT(KZ_Raum_2024!$I$7:$I$51,'Fläche-ZW'!S$3:S$47)/100*$AD$1</f>
        <v>19.07212342857143</v>
      </c>
      <c r="AU47" s="1053">
        <f>SUMPRODUCT(KZ_Raum_2024!$I$7:$I$51,'Fläche-ZW'!T$3:T$47)/100*$AD$1</f>
        <v>27.201403428571435</v>
      </c>
      <c r="AV47" s="1053">
        <f>SUMPRODUCT(KZ_Raum_2024!$Q$7:$Q$51,'Fläche-ZW'!U$3:U$47)/100*$AD$1</f>
        <v>1.2664018285714287</v>
      </c>
      <c r="AW47" s="1053">
        <f>SUMPRODUCT(KZ_Raum_2024!$Q$7:$Q$51,'Fläche-ZW'!V$3:V$47)/100*$AD$1</f>
        <v>0.61244022857142866</v>
      </c>
      <c r="AX47" s="1053">
        <f>SUMPRODUCT(KZ_Raum_2024!$Q$7:$Q$51,'Fläche-ZW'!W$3:W$47)/100*$AD$1</f>
        <v>30.47042998356164</v>
      </c>
      <c r="AY47" s="781">
        <f>SUMPRODUCT(KZ_Raum_2024!$Q$7:$Q$51,'Fläche-ZW'!X$3:X$47)/100*$AD$1</f>
        <v>69.815163428571452</v>
      </c>
    </row>
    <row r="48" spans="1:78">
      <c r="A48" s="738"/>
      <c r="B48" s="728" t="s">
        <v>1058</v>
      </c>
      <c r="C48" s="724" t="s">
        <v>5</v>
      </c>
      <c r="D48" s="724">
        <f t="shared" ref="D48:P48" si="78">SUM(D3:D47)</f>
        <v>100</v>
      </c>
      <c r="E48" s="724">
        <f>SUM(E3:E47)</f>
        <v>100</v>
      </c>
      <c r="F48" s="724">
        <f>SUM(F3:F47)</f>
        <v>100</v>
      </c>
      <c r="G48" s="724">
        <f t="shared" si="78"/>
        <v>100</v>
      </c>
      <c r="H48" s="724">
        <f t="shared" si="78"/>
        <v>100</v>
      </c>
      <c r="I48" s="724">
        <f t="shared" si="78"/>
        <v>100</v>
      </c>
      <c r="J48" s="724">
        <f>SUM(J3:J47)</f>
        <v>100</v>
      </c>
      <c r="K48" s="724">
        <f>SUM(K3:K47)</f>
        <v>100</v>
      </c>
      <c r="L48" s="724">
        <f>SUM(L3:L47)</f>
        <v>100</v>
      </c>
      <c r="M48" s="724">
        <f t="shared" si="78"/>
        <v>100</v>
      </c>
      <c r="N48" s="724">
        <f t="shared" si="78"/>
        <v>100</v>
      </c>
      <c r="O48" s="724">
        <f t="shared" si="78"/>
        <v>100</v>
      </c>
      <c r="P48" s="724">
        <f t="shared" si="78"/>
        <v>100</v>
      </c>
      <c r="Q48" s="724">
        <f t="shared" ref="Q48:Y48" si="79">SUM(Q3:Q47)</f>
        <v>100</v>
      </c>
      <c r="R48" s="724">
        <f t="shared" si="79"/>
        <v>100</v>
      </c>
      <c r="S48" s="724">
        <f t="shared" si="79"/>
        <v>100</v>
      </c>
      <c r="T48" s="724">
        <f t="shared" si="79"/>
        <v>100</v>
      </c>
      <c r="U48" s="724">
        <f t="shared" si="79"/>
        <v>100</v>
      </c>
      <c r="V48" s="724">
        <f t="shared" si="79"/>
        <v>100</v>
      </c>
      <c r="W48" s="724">
        <f t="shared" si="79"/>
        <v>100</v>
      </c>
      <c r="X48" s="724">
        <f t="shared" si="79"/>
        <v>100</v>
      </c>
      <c r="Y48" s="724">
        <f t="shared" si="79"/>
        <v>100</v>
      </c>
      <c r="AA48" s="771"/>
      <c r="AC48" s="773" t="s">
        <v>1181</v>
      </c>
      <c r="AD48" s="774"/>
      <c r="AE48" s="1099">
        <f>SUMPRODUCT(KZ_Raum_2024!$L$7:$L$51,'Fläche-ZW'!D$3:D$47)/100*$AD$1</f>
        <v>0</v>
      </c>
      <c r="AF48" s="1053">
        <f>SUMPRODUCT(KZ_Raum_2024!$D$7:$D$51,'Fläche-ZW'!E$3:E$47)/100*$AD$1</f>
        <v>0</v>
      </c>
      <c r="AG48" s="1053">
        <f>SUMPRODUCT(KZ_Raum_2024!$D$7:$D$51,'Fläche-ZW'!F$3:F$47)/100*$AD$1</f>
        <v>0</v>
      </c>
      <c r="AH48" s="1053">
        <f>SUMPRODUCT(KZ_Raum_2024!$L$7:$L$51,'Fläche-ZW'!G$3:G$47)/100*$AD$1</f>
        <v>0</v>
      </c>
      <c r="AI48" s="1053">
        <f>SUMPRODUCT(KZ_Raum_2024!$L$7:$L$51,'Fläche-ZW'!H$3:H$47)/100*$AD$1</f>
        <v>5.6080000000000005</v>
      </c>
      <c r="AJ48" s="1053">
        <f>SUMPRODUCT(KZ_Raum_2024!$L$7:$L$51,'Fläche-ZW'!I$3:I$47)/100*$AD$1</f>
        <v>0</v>
      </c>
      <c r="AK48" s="1053">
        <f>SUMPRODUCT(KZ_Raum_2024!$D$7:$D$51,'Fläche-ZW'!J$3:J$47)/100*$AD$1</f>
        <v>0</v>
      </c>
      <c r="AL48" s="1053">
        <f>SUMPRODUCT(KZ_Raum_2024!$D$7:$D$51,'Fläche-ZW'!K$3:K$47)/100*$AD$1</f>
        <v>8.4120000000000008</v>
      </c>
      <c r="AM48" s="1053">
        <f>SUMPRODUCT(KZ_Raum_2024!$L$7:$L$51,'Fläche-ZW'!L$3:L$47)/100*$AD$1</f>
        <v>0</v>
      </c>
      <c r="AN48" s="780">
        <f>SUMPRODUCT(KZ_Raum_2024!$D$7:$D$51,'Fläche-ZW'!M$3:M$47)/100*$AD$1</f>
        <v>197.56800000000001</v>
      </c>
      <c r="AO48" s="1053">
        <f>SUMPRODUCT(KZ_Raum_2024!$D$7:$D$51,'Fläche-ZW'!N$3:N$47)/100*$AD$1</f>
        <v>0</v>
      </c>
      <c r="AP48" s="1053">
        <f>SUMPRODUCT(KZ_Raum_2024!$D$7:$D$51,'Fläche-ZW'!O$3:O$47)/100*$AD$1</f>
        <v>0</v>
      </c>
      <c r="AQ48" s="1053">
        <f>SUMPRODUCT(KZ_Raum_2024!$L$7:$L$51,'Fläche-ZW'!P$3:P$47)/100*$AD$1</f>
        <v>32.406400000000005</v>
      </c>
      <c r="AR48" s="1053">
        <f>SUMPRODUCT(KZ_Raum_2024!$L$7:$L$51,'Fläche-ZW'!Q$3:Q$47)/100*$AD$1</f>
        <v>0</v>
      </c>
      <c r="AS48" s="1053">
        <f>SUMPRODUCT(KZ_Raum_2024!$L$7:$L$51,'Fläche-ZW'!R$3:R$47)/100*$AD$1</f>
        <v>0.87200000000000011</v>
      </c>
      <c r="AT48" s="1053">
        <f>SUMPRODUCT(KZ_Raum_2024!$D$7:$D$51,'Fläche-ZW'!S$3:S$47)/100*$AD$1</f>
        <v>3.9240000000000004</v>
      </c>
      <c r="AU48" s="1053">
        <f>SUMPRODUCT(KZ_Raum_2024!$D$7:$D$51,'Fläche-ZW'!T$3:T$47)/100*$AD$1</f>
        <v>1.3080000000000001</v>
      </c>
      <c r="AV48" s="1053">
        <f>SUMPRODUCT(KZ_Raum_2024!$L$7:$L$51,'Fläche-ZW'!U$3:U$47)/100*$AD$1</f>
        <v>7.5680000000000014</v>
      </c>
      <c r="AW48" s="1053">
        <f>SUMPRODUCT(KZ_Raum_2024!$L$7:$L$51,'Fläche-ZW'!V$3:V$47)/100*$AD$1</f>
        <v>0</v>
      </c>
      <c r="AX48" s="1053">
        <f>SUMPRODUCT(KZ_Raum_2024!$L$7:$L$51,'Fläche-ZW'!W$3:W$47)/100*$AD$1</f>
        <v>0</v>
      </c>
      <c r="AY48" s="781">
        <f>SUMPRODUCT(KZ_Raum_2024!$L$7:$L$51,'Fläche-ZW'!X$3:X$47)/100*$AD$1</f>
        <v>81.84</v>
      </c>
    </row>
    <row r="49" spans="1:78">
      <c r="AC49" s="735" t="s">
        <v>1114</v>
      </c>
      <c r="AD49" s="733" t="s">
        <v>134</v>
      </c>
      <c r="AE49" s="1280">
        <f>AE11</f>
        <v>3</v>
      </c>
      <c r="AF49" s="1280">
        <v>3</v>
      </c>
      <c r="AG49" s="1280">
        <v>8.1999999999999993</v>
      </c>
      <c r="AH49" s="1280">
        <v>1.4</v>
      </c>
      <c r="AI49" s="1280">
        <v>3.6</v>
      </c>
      <c r="AJ49" s="1280">
        <v>3.3</v>
      </c>
      <c r="AK49" s="1280">
        <v>3.3</v>
      </c>
      <c r="AL49" s="1280">
        <v>8</v>
      </c>
      <c r="AM49" s="1280">
        <v>8.4</v>
      </c>
      <c r="AN49" s="1280">
        <v>8.4</v>
      </c>
      <c r="AO49" s="1280">
        <v>8.4</v>
      </c>
      <c r="AP49" s="1280">
        <v>8.4</v>
      </c>
      <c r="AQ49" s="1280">
        <v>9.5</v>
      </c>
      <c r="AR49" s="1280">
        <v>4.0999999999999996</v>
      </c>
      <c r="AS49" s="1280">
        <v>9.3000000000000007</v>
      </c>
      <c r="AT49" s="1280">
        <v>9.3000000000000007</v>
      </c>
      <c r="AU49" s="1280">
        <v>9.3000000000000007</v>
      </c>
      <c r="AV49" s="1280">
        <v>7.7</v>
      </c>
      <c r="AW49" s="1280">
        <v>1.7</v>
      </c>
      <c r="AX49" s="1280">
        <v>3.4</v>
      </c>
      <c r="AY49" s="1281">
        <v>7.1</v>
      </c>
    </row>
    <row r="50" spans="1:78">
      <c r="A50" s="746"/>
      <c r="B50" s="747"/>
      <c r="C50" s="746"/>
      <c r="D50" s="748"/>
      <c r="E50" s="748"/>
      <c r="F50" s="748"/>
      <c r="G50" s="748"/>
      <c r="H50" s="748"/>
      <c r="I50" s="748"/>
      <c r="J50" s="748"/>
      <c r="K50" s="748"/>
      <c r="L50" s="748"/>
      <c r="M50" s="748"/>
      <c r="N50" s="748"/>
      <c r="O50" s="748"/>
      <c r="P50" s="748"/>
      <c r="Q50" s="748"/>
      <c r="R50" s="748"/>
      <c r="S50" s="748"/>
      <c r="T50" s="748"/>
      <c r="U50" s="748"/>
      <c r="V50" s="748"/>
      <c r="W50" s="748"/>
      <c r="X50" s="748"/>
      <c r="Y50" s="748"/>
    </row>
    <row r="51" spans="1:78">
      <c r="A51" s="746"/>
      <c r="B51" s="747"/>
    </row>
    <row r="52" spans="1:78">
      <c r="A52" s="746"/>
      <c r="B52" s="747"/>
    </row>
    <row r="53" spans="1:78">
      <c r="A53" s="746"/>
      <c r="B53" s="747"/>
      <c r="AB53" s="746"/>
    </row>
    <row r="54" spans="1:78">
      <c r="A54" s="746"/>
      <c r="B54" s="747"/>
      <c r="AB54" s="746"/>
      <c r="AC54" s="795" t="s">
        <v>1534</v>
      </c>
      <c r="AD54" s="1279"/>
      <c r="AE54" s="725" t="str">
        <f>AE1</f>
        <v>I</v>
      </c>
      <c r="AF54" s="725" t="str">
        <f t="shared" ref="AF54:AY54" si="80">AF1</f>
        <v>I.1</v>
      </c>
      <c r="AG54" s="725" t="str">
        <f t="shared" si="80"/>
        <v>I.2</v>
      </c>
      <c r="AH54" s="725" t="str">
        <f t="shared" si="80"/>
        <v>II</v>
      </c>
      <c r="AI54" s="725" t="str">
        <f t="shared" si="80"/>
        <v>III</v>
      </c>
      <c r="AJ54" s="725" t="str">
        <f t="shared" si="80"/>
        <v>IV</v>
      </c>
      <c r="AK54" s="725" t="str">
        <f t="shared" si="80"/>
        <v>IV.1</v>
      </c>
      <c r="AL54" s="725" t="str">
        <f t="shared" si="80"/>
        <v>IV.2</v>
      </c>
      <c r="AM54" s="725" t="str">
        <f t="shared" si="80"/>
        <v>V</v>
      </c>
      <c r="AN54" s="725" t="str">
        <f t="shared" si="80"/>
        <v>V.1</v>
      </c>
      <c r="AO54" s="725" t="str">
        <f t="shared" si="80"/>
        <v>V.2</v>
      </c>
      <c r="AP54" s="725" t="str">
        <f t="shared" si="80"/>
        <v>V.3</v>
      </c>
      <c r="AQ54" s="725" t="str">
        <f t="shared" si="80"/>
        <v>VI</v>
      </c>
      <c r="AR54" s="725" t="str">
        <f t="shared" si="80"/>
        <v>VII</v>
      </c>
      <c r="AS54" s="725" t="str">
        <f t="shared" si="80"/>
        <v>VIII</v>
      </c>
      <c r="AT54" s="725" t="str">
        <f t="shared" si="80"/>
        <v>VIII.1</v>
      </c>
      <c r="AU54" s="725" t="str">
        <f t="shared" si="80"/>
        <v>VIII.2</v>
      </c>
      <c r="AV54" s="725" t="str">
        <f t="shared" si="80"/>
        <v>IX</v>
      </c>
      <c r="AW54" s="725" t="str">
        <f t="shared" si="80"/>
        <v>X</v>
      </c>
      <c r="AX54" s="725" t="str">
        <f t="shared" si="80"/>
        <v>XI</v>
      </c>
      <c r="AY54" s="725" t="str">
        <f t="shared" si="80"/>
        <v>XII</v>
      </c>
    </row>
    <row r="55" spans="1:78">
      <c r="A55" s="746"/>
      <c r="B55" s="747"/>
      <c r="AB55" s="746"/>
      <c r="AC55" s="732"/>
      <c r="AD55" s="733"/>
      <c r="AE55" s="734"/>
      <c r="AF55" s="734"/>
      <c r="AG55" s="731"/>
      <c r="AH55" s="731"/>
      <c r="AI55" s="731"/>
      <c r="AJ55" s="731"/>
      <c r="AK55" s="731"/>
      <c r="AL55" s="731"/>
      <c r="AM55" s="731"/>
      <c r="AN55" s="731"/>
      <c r="AO55" s="731"/>
      <c r="AP55" s="731"/>
      <c r="AQ55" s="731"/>
      <c r="AR55" s="731"/>
      <c r="AS55" s="731"/>
      <c r="AT55" s="731"/>
      <c r="AU55" s="731"/>
      <c r="AV55" s="731"/>
      <c r="AW55" s="731"/>
      <c r="AX55" s="731"/>
      <c r="AY55" s="731"/>
    </row>
    <row r="56" spans="1:78">
      <c r="A56" s="746"/>
      <c r="B56" s="747"/>
      <c r="AB56" s="746"/>
      <c r="AC56" s="772" t="s">
        <v>51</v>
      </c>
      <c r="AD56" s="778" t="s">
        <v>134</v>
      </c>
      <c r="AE56" s="1051">
        <f>SUMPRODUCT(KZ_Raum_2024!$S$7:$S$51,'Fläche-ZW'!D$3:D$47)/100*$AD$1</f>
        <v>17.625600000000002</v>
      </c>
      <c r="AF56" s="1051">
        <f>SUMPRODUCT(KZ_Raum_2024!$C$7:$C$51,'Fläche-ZW'!E$3:E$47)/100*$AD$1</f>
        <v>14.688000000000002</v>
      </c>
      <c r="AG56" s="1051">
        <f>SUMPRODUCT(KZ_Raum_2024!$C$7:$C$51,'Fläche-ZW'!F$3:F$47)/100*$AD$1</f>
        <v>12.284000000000001</v>
      </c>
      <c r="AH56" s="1051">
        <f>SUMPRODUCT(KZ_Raum_2024!$S$7:$S$51,'Fläche-ZW'!G$3:G$47)/100*$AD$1</f>
        <v>15.379200000000001</v>
      </c>
      <c r="AI56" s="1051">
        <f>SUMPRODUCT(KZ_Raum_2024!$S$7:$S$51,'Fläche-ZW'!H$3:H$47)/100*$AD$1</f>
        <v>26.730400000000003</v>
      </c>
      <c r="AJ56" s="1051">
        <f>SUMPRODUCT(KZ_Raum_2024!$S$7:$S$51,'Fläche-ZW'!I$3:I$47)/100*$AD$1</f>
        <v>10.88448</v>
      </c>
      <c r="AK56" s="1051">
        <f>SUMPRODUCT(KZ_Raum_2024!$C$7:$C$51,'Fläche-ZW'!J$3:J$47)/100*$AD$1</f>
        <v>6.9511200000000004</v>
      </c>
      <c r="AL56" s="1051">
        <f>SUMPRODUCT(KZ_Raum_2024!$C$7:$C$51,'Fläche-ZW'!K$3:K$47)/100*$AD$1</f>
        <v>11.325200000000002</v>
      </c>
      <c r="AM56" s="1051">
        <f>SUMPRODUCT(KZ_Raum_2024!$S$7:$S$51,'Fläche-ZW'!L$3:L$47)/100*$AD$1</f>
        <v>7.3224000000000018</v>
      </c>
      <c r="AN56" s="1051">
        <f>SUMPRODUCT(KZ_Raum_2024!$C$7:$C$51,'Fläche-ZW'!M$3:M$47)/100*$AD$1</f>
        <v>5.13</v>
      </c>
      <c r="AO56" s="1051">
        <f>SUMPRODUCT(KZ_Raum_2024!$C$7:$C$51,'Fläche-ZW'!N$3:N$47)/100*$AD$1</f>
        <v>4.7652000000000001</v>
      </c>
      <c r="AP56" s="1051">
        <f>SUMPRODUCT(KZ_Raum_2024!$C$7:$C$51,'Fläche-ZW'!O$3:O$47)/100*$AD$1</f>
        <v>4.5540000000000003</v>
      </c>
      <c r="AQ56" s="1051">
        <f>SUMPRODUCT(KZ_Raum_2024!$S$7:$S$51,'Fläche-ZW'!P$3:P$47)/100*$AD$1</f>
        <v>8.8432000000000013</v>
      </c>
      <c r="AR56" s="1051">
        <f>SUMPRODUCT(KZ_Raum_2024!$S$7:$S$51,'Fläche-ZW'!Q$3:Q$47)/100*$AD$1</f>
        <v>12.943200000000003</v>
      </c>
      <c r="AS56" s="1051">
        <f>SUMPRODUCT(KZ_Raum_2024!$S$7:$S$51,'Fläche-ZW'!R$3:R$47)/100*$AD$1</f>
        <v>11.953200000000002</v>
      </c>
      <c r="AT56" s="1051">
        <f>SUMPRODUCT(KZ_Raum_2024!$C$7:$C$51,'Fläche-ZW'!S$3:S$47)/100*$AD$1</f>
        <v>9.4044000000000008</v>
      </c>
      <c r="AU56" s="1051">
        <f>SUMPRODUCT(KZ_Raum_2024!$C$7:$C$51,'Fläche-ZW'!T$3:T$47)/100*$AD$1</f>
        <v>8.0483999999999991</v>
      </c>
      <c r="AV56" s="1051">
        <f>SUMPRODUCT(KZ_Raum_2024!$S$7:$S$51,'Fläche-ZW'!U$3:U$47)/100*$AD$1</f>
        <v>14.543200000000002</v>
      </c>
      <c r="AW56" s="1051">
        <f>SUMPRODUCT(KZ_Raum_2024!$S$7:$S$51,'Fläche-ZW'!V$3:V$47)/100*$AD$1</f>
        <v>7.4040000000000008</v>
      </c>
      <c r="AX56" s="1051">
        <f>SUMPRODUCT(KZ_Raum_2024!$S$7:$S$51,'Fläche-ZW'!W$3:W$47)/100*$AD$1</f>
        <v>2.4863999999999997</v>
      </c>
      <c r="AY56" s="1052">
        <f>SUMPRODUCT(KZ_Raum_2024!$S$7:$S$51,'Fläche-ZW'!X$3:X$47)/100*$AD$1</f>
        <v>8.6424000000000021</v>
      </c>
    </row>
    <row r="57" spans="1:78">
      <c r="A57" s="746"/>
      <c r="B57" s="747"/>
      <c r="AB57" s="746"/>
      <c r="AC57" s="773" t="s">
        <v>17</v>
      </c>
      <c r="AD57" s="774" t="s">
        <v>134</v>
      </c>
      <c r="AE57" s="1053">
        <f>SUMPRODUCT(KZ_Raum_2024!$U$7:$U$51,'Fläche-ZW'!D$3:D$47)/100*$AD$1</f>
        <v>2.7677327142857151</v>
      </c>
      <c r="AF57" s="1053">
        <f>SUMPRODUCT(KZ_Raum_2024!$E$7:$E$51,'Fläche-ZW'!E$3:E$47)/100*$AD$1</f>
        <v>2.1526810000000007</v>
      </c>
      <c r="AG57" s="1053">
        <f>SUMPRODUCT(KZ_Raum_2024!$E$7:$E$51,'Fläche-ZW'!F$3:F$47)/100*$AD$1</f>
        <v>4.8560016666666677</v>
      </c>
      <c r="AH57" s="1053">
        <f>SUMPRODUCT(KZ_Raum_2024!$U$7:$U$51,'Fläche-ZW'!G$3:G$47)/100*$AD$1</f>
        <v>2.6700277142857152</v>
      </c>
      <c r="AI57" s="1053">
        <f>SUMPRODUCT(KZ_Raum_2024!$U$7:$U$51,'Fläche-ZW'!H$3:H$47)/100*$AD$1</f>
        <v>9.9573936000000032</v>
      </c>
      <c r="AJ57" s="1053">
        <f>SUMPRODUCT(KZ_Raum_2024!$U$7:$U$51,'Fläche-ZW'!I$3:I$47)/100*$AD$1</f>
        <v>8.4917526530612246</v>
      </c>
      <c r="AK57" s="1053">
        <f>SUMPRODUCT(KZ_Raum_2024!$E$7:$E$51,'Fläche-ZW'!J$3:J$47)/100*$AD$1</f>
        <v>6.6046965079365085</v>
      </c>
      <c r="AL57" s="1053">
        <f>SUMPRODUCT(KZ_Raum_2024!$E$7:$E$51,'Fläche-ZW'!K$3:K$47)/100*$AD$1</f>
        <v>7.0316882857142859</v>
      </c>
      <c r="AM57" s="1053">
        <f>SUMPRODUCT(KZ_Raum_2024!$U$7:$U$51,'Fläche-ZW'!L$3:L$47)/100*$AD$1</f>
        <v>30.796232971428573</v>
      </c>
      <c r="AN57" s="1053">
        <f>SUMPRODUCT(KZ_Raum_2024!$E$7:$E$51,'Fläche-ZW'!M$3:M$47)/100*$AD$1</f>
        <v>23.902055481481479</v>
      </c>
      <c r="AO57" s="1053">
        <f>SUMPRODUCT(KZ_Raum_2024!$E$7:$E$51,'Fläche-ZW'!N$3:N$47)/100*$AD$1</f>
        <v>23.952625644444446</v>
      </c>
      <c r="AP57" s="1053">
        <f>SUMPRODUCT(KZ_Raum_2024!$E$7:$E$51,'Fläche-ZW'!O$3:O$47)/100*$AD$1</f>
        <v>19.481929644444445</v>
      </c>
      <c r="AQ57" s="1053">
        <f>SUMPRODUCT(KZ_Raum_2024!$U$7:$U$51,'Fläche-ZW'!P$3:P$47)/100*$AD$1</f>
        <v>10.611797904761907</v>
      </c>
      <c r="AR57" s="1053">
        <f>SUMPRODUCT(KZ_Raum_2024!$U$7:$U$51,'Fläche-ZW'!Q$3:Q$47)/100*$AD$1</f>
        <v>16.323401142857143</v>
      </c>
      <c r="AS57" s="1053">
        <f>SUMPRODUCT(KZ_Raum_2024!$U$7:$U$51,'Fläche-ZW'!R$3:R$47)/100*$AD$1</f>
        <v>12.755721142857148</v>
      </c>
      <c r="AT57" s="1053">
        <f>SUMPRODUCT(KZ_Raum_2024!$E$7:$E$51,'Fläche-ZW'!S$3:S$47)/100*$AD$1</f>
        <v>10.714216444444446</v>
      </c>
      <c r="AU57" s="1053">
        <f>SUMPRODUCT(KZ_Raum_2024!$E$7:$E$51,'Fläche-ZW'!T$3:T$47)/100*$AD$1</f>
        <v>8.7956600000000034</v>
      </c>
      <c r="AV57" s="1053">
        <f>SUMPRODUCT(KZ_Raum_2024!$U$7:$U$51,'Fläche-ZW'!U$3:U$47)/100*$AD$1</f>
        <v>13.444611371428577</v>
      </c>
      <c r="AW57" s="1053">
        <f>SUMPRODUCT(KZ_Raum_2024!$U$7:$U$51,'Fläche-ZW'!V$3:V$47)/100*$AD$1</f>
        <v>18.512811942857141</v>
      </c>
      <c r="AX57" s="1053">
        <f>SUMPRODUCT(KZ_Raum_2024!$U$7:$U$51,'Fläche-ZW'!W$3:W$47)/100*$AD$1</f>
        <v>13.777361142857144</v>
      </c>
      <c r="AY57" s="1054">
        <f>SUMPRODUCT(KZ_Raum_2024!$U$7:$U$51,'Fläche-ZW'!X$3:X$47)/100*$AD$1</f>
        <v>11.925770285714288</v>
      </c>
    </row>
    <row r="58" spans="1:78">
      <c r="A58" s="746"/>
      <c r="B58" s="747"/>
      <c r="AB58" s="746"/>
      <c r="AC58" s="773" t="s">
        <v>19</v>
      </c>
      <c r="AD58" s="774" t="s">
        <v>134</v>
      </c>
      <c r="AE58" s="1053">
        <f>SUMPRODUCT(KZ_Raum_2024!$V$7:$V$51,'Fläche-ZW'!D$3:D$47)/100*$AD$1</f>
        <v>0</v>
      </c>
      <c r="AF58" s="1053">
        <f>SUMPRODUCT(KZ_Raum_2024!$F$7:$F$51,'Fläche-ZW'!E$3:E$47)/100*$AD$1</f>
        <v>2.7887072000000006</v>
      </c>
      <c r="AG58" s="1053">
        <f>SUMPRODUCT(KZ_Raum_2024!$F$7:$F$51,'Fläche-ZW'!F$3:F$47)/100*$AD$1</f>
        <v>4.6930259047619058</v>
      </c>
      <c r="AH58" s="1053">
        <f>SUMPRODUCT(KZ_Raum_2024!$V$7:$V$51,'Fläche-ZW'!G$3:G$47)/100*$AD$1</f>
        <v>0</v>
      </c>
      <c r="AI58" s="1053">
        <f>SUMPRODUCT(KZ_Raum_2024!$V$7:$V$51,'Fläche-ZW'!H$3:H$47)/100*$AD$1</f>
        <v>5.1105403999999997</v>
      </c>
      <c r="AJ58" s="1053">
        <f>SUMPRODUCT(KZ_Raum_2024!$V$7:$V$51,'Fläche-ZW'!I$3:I$47)/100*$AD$1</f>
        <v>0.73900400000000022</v>
      </c>
      <c r="AK58" s="1053">
        <f>SUMPRODUCT(KZ_Raum_2024!$F$7:$F$51,'Fläche-ZW'!J$3:J$47)/100*$AD$1</f>
        <v>2.3824341714285713</v>
      </c>
      <c r="AL58" s="1053">
        <f>SUMPRODUCT(KZ_Raum_2024!$F$7:$F$51,'Fläche-ZW'!K$3:K$47)/100*$AD$1</f>
        <v>3.5070634095238091</v>
      </c>
      <c r="AM58" s="1053">
        <f>SUMPRODUCT(KZ_Raum_2024!$V$7:$V$51,'Fläche-ZW'!L$3:L$47)/100*$AD$1</f>
        <v>6.2902260000000005</v>
      </c>
      <c r="AN58" s="1053">
        <f>SUMPRODUCT(KZ_Raum_2024!$F$7:$F$51,'Fläche-ZW'!M$3:M$47)/100*$AD$1</f>
        <v>3.9833393714285714</v>
      </c>
      <c r="AO58" s="1053">
        <f>SUMPRODUCT(KZ_Raum_2024!$F$7:$F$51,'Fläche-ZW'!N$3:N$47)/100*$AD$1</f>
        <v>3.993240171428571</v>
      </c>
      <c r="AP58" s="1053">
        <f>SUMPRODUCT(KZ_Raum_2024!$F$7:$F$51,'Fläche-ZW'!O$3:O$47)/100*$AD$1</f>
        <v>3.6761541714285713</v>
      </c>
      <c r="AQ58" s="1053">
        <f>SUMPRODUCT(KZ_Raum_2024!$V$7:$V$51,'Fläche-ZW'!P$3:P$47)/100*$AD$1</f>
        <v>20.377208</v>
      </c>
      <c r="AR58" s="1053">
        <f>SUMPRODUCT(KZ_Raum_2024!$V$7:$V$51,'Fläche-ZW'!Q$3:Q$47)/100*$AD$1</f>
        <v>19.110726666666665</v>
      </c>
      <c r="AS58" s="1053">
        <f>SUMPRODUCT(KZ_Raum_2024!$V$7:$V$51,'Fläche-ZW'!R$3:R$47)/100*$AD$1</f>
        <v>0.60253999999999996</v>
      </c>
      <c r="AT58" s="1053">
        <f>SUMPRODUCT(KZ_Raum_2024!$F$7:$F$51,'Fläche-ZW'!S$3:S$47)/100*$AD$1</f>
        <v>5.1245579047619048</v>
      </c>
      <c r="AU58" s="1053">
        <f>SUMPRODUCT(KZ_Raum_2024!$F$7:$F$51,'Fläche-ZW'!T$3:T$47)/100*$AD$1</f>
        <v>5.3315339047619057</v>
      </c>
      <c r="AV58" s="1053">
        <f>SUMPRODUCT(KZ_Raum_2024!$V$7:$V$51,'Fläche-ZW'!U$3:U$47)/100*$AD$1</f>
        <v>4.0597391111111119</v>
      </c>
      <c r="AW58" s="1053">
        <f>SUMPRODUCT(KZ_Raum_2024!$V$7:$V$51,'Fläche-ZW'!V$3:V$47)/100*$AD$1</f>
        <v>0.35575599999999996</v>
      </c>
      <c r="AX58" s="1053">
        <f>SUMPRODUCT(KZ_Raum_2024!$V$7:$V$51,'Fläche-ZW'!W$3:W$47)/100*$AD$1</f>
        <v>1.2339200000000001</v>
      </c>
      <c r="AY58" s="1054">
        <f>SUMPRODUCT(KZ_Raum_2024!$V$7:$V$51,'Fläche-ZW'!X$3:X$47)/100*$AD$1</f>
        <v>10.656564000000003</v>
      </c>
    </row>
    <row r="59" spans="1:78">
      <c r="A59" s="746"/>
      <c r="B59" s="747"/>
      <c r="AB59" s="746"/>
      <c r="AC59" s="773" t="s">
        <v>463</v>
      </c>
      <c r="AD59" s="774" t="s">
        <v>134</v>
      </c>
      <c r="AE59" s="1053">
        <f>SUMPRODUCT(KZ_Raum_2024!$W$7:$W$51,'Fläche-ZW'!D$3:D$47)/100*$AD$1</f>
        <v>0</v>
      </c>
      <c r="AF59" s="1053">
        <f>SUMPRODUCT(KZ_Raum_2024!$G$7:$G$51,'Fläche-ZW'!E$3:E$47)/100*$AD$1</f>
        <v>3.3889639654036778</v>
      </c>
      <c r="AG59" s="1053">
        <f>SUMPRODUCT(KZ_Raum_2024!$G$7:$G$51,'Fläche-ZW'!F$3:F$47)/100*$AD$1</f>
        <v>4.7381022785109517</v>
      </c>
      <c r="AH59" s="1053">
        <f>SUMPRODUCT(KZ_Raum_2024!$W$7:$W$51,'Fläche-ZW'!G$3:G$47)/100*$AD$1</f>
        <v>0</v>
      </c>
      <c r="AI59" s="1053">
        <f>SUMPRODUCT(KZ_Raum_2024!$W$7:$W$51,'Fläche-ZW'!H$3:H$47)/100*$AD$1</f>
        <v>2.2813707098516853</v>
      </c>
      <c r="AJ59" s="1053">
        <f>SUMPRODUCT(KZ_Raum_2024!$W$7:$W$51,'Fläche-ZW'!I$3:I$47)/100*$AD$1</f>
        <v>0.18252109550201001</v>
      </c>
      <c r="AK59" s="1053">
        <f>SUMPRODUCT(KZ_Raum_2024!$G$7:$G$51,'Fläche-ZW'!J$3:J$47)/100*$AD$1</f>
        <v>4.7746948126511946</v>
      </c>
      <c r="AL59" s="1053">
        <f>SUMPRODUCT(KZ_Raum_2024!$G$7:$G$51,'Fläche-ZW'!K$3:K$47)/100*$AD$1</f>
        <v>7.6636916706564904</v>
      </c>
      <c r="AM59" s="1053">
        <f>SUMPRODUCT(KZ_Raum_2024!$W$7:$W$51,'Fläche-ZW'!L$3:L$47)/100*$AD$1</f>
        <v>0.18252109550201001</v>
      </c>
      <c r="AN59" s="1053">
        <f>SUMPRODUCT(KZ_Raum_2024!$G$7:$G$51,'Fläche-ZW'!M$3:M$47)/100*$AD$1</f>
        <v>11.926227215554942</v>
      </c>
      <c r="AO59" s="1053">
        <f>SUMPRODUCT(KZ_Raum_2024!$G$7:$G$51,'Fläche-ZW'!N$3:N$47)/100*$AD$1</f>
        <v>11.651377900486445</v>
      </c>
      <c r="AP59" s="1053">
        <f>SUMPRODUCT(KZ_Raum_2024!$G$7:$G$51,'Fläche-ZW'!O$3:O$47)/100*$AD$1</f>
        <v>7.2009850607139558</v>
      </c>
      <c r="AQ59" s="1053">
        <f>SUMPRODUCT(KZ_Raum_2024!$W$7:$W$51,'Fläche-ZW'!P$3:P$47)/100*$AD$1</f>
        <v>0.18252109550201001</v>
      </c>
      <c r="AR59" s="1053">
        <f>SUMPRODUCT(KZ_Raum_2024!$W$7:$W$51,'Fläche-ZW'!Q$3:Q$47)/100*$AD$1</f>
        <v>1.304245034532854</v>
      </c>
      <c r="AS59" s="1053">
        <f>SUMPRODUCT(KZ_Raum_2024!$W$7:$W$51,'Fläche-ZW'!R$3:R$47)/100*$AD$1</f>
        <v>1.9555033618930562</v>
      </c>
      <c r="AT59" s="1053">
        <f>SUMPRODUCT(KZ_Raum_2024!$G$7:$G$51,'Fläche-ZW'!S$3:S$47)/100*$AD$1</f>
        <v>10.896918506140496</v>
      </c>
      <c r="AU59" s="1053">
        <f>SUMPRODUCT(KZ_Raum_2024!$G$7:$G$51,'Fläche-ZW'!T$3:T$47)/100*$AD$1</f>
        <v>10.269304483987643</v>
      </c>
      <c r="AV59" s="1053">
        <f>SUMPRODUCT(KZ_Raum_2024!$W$7:$W$51,'Fläche-ZW'!U$3:U$47)/100*$AD$1</f>
        <v>0.82047603551894732</v>
      </c>
      <c r="AW59" s="1053">
        <f>SUMPRODUCT(KZ_Raum_2024!$W$7:$W$51,'Fläche-ZW'!V$3:V$47)/100*$AD$1</f>
        <v>0.18252109550201001</v>
      </c>
      <c r="AX59" s="1053">
        <f>SUMPRODUCT(KZ_Raum_2024!$W$7:$W$51,'Fläche-ZW'!W$3:W$47)/100*$AD$1</f>
        <v>0</v>
      </c>
      <c r="AY59" s="1054">
        <f>SUMPRODUCT(KZ_Raum_2024!$W$7:$W$51,'Fläche-ZW'!X$3:X$47)/100*$AD$1</f>
        <v>0.18252109550201001</v>
      </c>
    </row>
    <row r="60" spans="1:78">
      <c r="AB60" s="746"/>
      <c r="AC60" s="773" t="s">
        <v>464</v>
      </c>
      <c r="AD60" s="774" t="s">
        <v>134</v>
      </c>
      <c r="AE60" s="1053">
        <f>SUMPRODUCT(KZ_Raum_2024!$X$7:$X$51,'Fläche-ZW'!D$3:D$47)/100*$AD$1</f>
        <v>73.279871690013451</v>
      </c>
      <c r="AF60" s="1053">
        <f>SUMPRODUCT(KZ_Raum_2024!$H$7:$H$51,'Fläche-ZW'!E$3:E$47)/100*$AD$1</f>
        <v>11.726703891170381</v>
      </c>
      <c r="AG60" s="1053">
        <f>SUMPRODUCT(KZ_Raum_2024!$H$7:$H$51,'Fläche-ZW'!F$3:F$47)/100*$AD$1</f>
        <v>13.870968340056827</v>
      </c>
      <c r="AH60" s="1053">
        <f>SUMPRODUCT(KZ_Raum_2024!$X$7:$X$51,'Fläche-ZW'!G$3:G$47)/100*$AD$1</f>
        <v>121.98974805553947</v>
      </c>
      <c r="AI60" s="1053">
        <f>SUMPRODUCT(KZ_Raum_2024!$X$7:$X$51,'Fläche-ZW'!H$3:H$47)/100*$AD$1</f>
        <v>43.673953250611781</v>
      </c>
      <c r="AJ60" s="1053">
        <f>SUMPRODUCT(KZ_Raum_2024!$X7:$X$51,'Fläche-ZW'!I$3:I$47)/100*$AD$1</f>
        <v>71.053261207030104</v>
      </c>
      <c r="AK60" s="1053">
        <f>SUMPRODUCT(KZ_Raum_2024!$H$7:$H$51,'Fläche-ZW'!J$3:J$47)/100*$AD$1</f>
        <v>13.537004115365571</v>
      </c>
      <c r="AL60" s="1053">
        <f>SUMPRODUCT(KZ_Raum_2024!$H$7:$H$51,'Fläche-ZW'!K$3:K$47)/100*$AD$1</f>
        <v>11.336089072607724</v>
      </c>
      <c r="AM60" s="1053">
        <f>SUMPRODUCT(KZ_Raum_2024!$X$7:$X$51,'Fläche-ZW'!L$3:L$47)/100*$AD$1</f>
        <v>54.460247670822369</v>
      </c>
      <c r="AN60" s="1053">
        <f>SUMPRODUCT(KZ_Raum_2024!$H$7:$H$51,'Fläche-ZW'!M$3:M$47)/100*$AD$1</f>
        <v>5.336005221474303</v>
      </c>
      <c r="AO60" s="1053">
        <f>SUMPRODUCT(KZ_Raum_2024!$H$7:$H$51,'Fläche-ZW'!N$3:N$47)/100*$AD$1</f>
        <v>5.5844225421050364</v>
      </c>
      <c r="AP60" s="1053">
        <f>SUMPRODUCT(KZ_Raum_2024!$H$7:$H$51,'Fläche-ZW'!O$3:O$47)/100*$AD$1</f>
        <v>6.1032108798011526</v>
      </c>
      <c r="AQ60" s="1053">
        <f>SUMPRODUCT(KZ_Raum_2024!$X$7:$X$51,'Fläche-ZW'!P$3:P$47)/100*$AD$1</f>
        <v>96.489907741714205</v>
      </c>
      <c r="AR60" s="1053">
        <f>SUMPRODUCT(KZ_Raum_2024!$X$7:$X$51,'Fläche-ZW'!Q$3:Q$47)/100*$AD$1</f>
        <v>78.71149268936648</v>
      </c>
      <c r="AS60" s="1053">
        <f>SUMPRODUCT(KZ_Raum_2024!$X$7:$X$51,'Fläche-ZW'!R$3:R$47)/100*$AD$1</f>
        <v>55.287117787418325</v>
      </c>
      <c r="AT60" s="1053">
        <f>SUMPRODUCT(KZ_Raum_2024!$H$7:$H$51,'Fläche-ZW'!S$3:S$47)/100*$AD$1</f>
        <v>10.373697935999942</v>
      </c>
      <c r="AU60" s="1053">
        <f>SUMPRODUCT(KZ_Raum_2024!$H$7:$H$51,'Fläche-ZW'!T$3:T$47)/100*$AD$1</f>
        <v>10.392353857645658</v>
      </c>
      <c r="AV60" s="1053">
        <f>SUMPRODUCT(KZ_Raum_2024!$X$7:$X$51,'Fläche-ZW'!U$3:U$47)/100*$AD$1</f>
        <v>48.637311945890751</v>
      </c>
      <c r="AW60" s="1053">
        <f>SUMPRODUCT(KZ_Raum_2024!$X$7:$X$51,'Fläche-ZW'!V$3:V$47)/100*$AD$1</f>
        <v>49.776670373160755</v>
      </c>
      <c r="AX60" s="1053">
        <f>SUMPRODUCT(KZ_Raum_2024!$X$7:$X$51,'Fläche-ZW'!W$3:W$47)/100*$AD$1</f>
        <v>65.566783724858695</v>
      </c>
      <c r="AY60" s="1054">
        <f>SUMPRODUCT(KZ_Raum_2024!$X$7:$X$51,'Fläche-ZW'!X$3:X$47)/100*$AD$1</f>
        <v>119.74599595909704</v>
      </c>
      <c r="BC60" s="742" t="s">
        <v>1122</v>
      </c>
    </row>
    <row r="61" spans="1:78">
      <c r="AB61" s="746"/>
      <c r="AC61" s="773" t="s">
        <v>268</v>
      </c>
      <c r="AD61" s="774" t="s">
        <v>134</v>
      </c>
      <c r="AE61" s="1099">
        <f>SUMPRODUCT(KZ_Raum_2024!$Y$7:$Y$51,'Fläche-ZW'!D$3:D$47)/100*$AD$1</f>
        <v>11.516480000000003</v>
      </c>
      <c r="AF61" s="1053">
        <f>SUMPRODUCT(KZ_Raum_2024!$I$7:$I$51,'Fläche-ZW'!E$3:E$47)/100*$AD$1</f>
        <v>11.516480000000003</v>
      </c>
      <c r="AG61" s="1053">
        <f>SUMPRODUCT(KZ_Raum_2024!$I$7:$I$51,'Fläche-ZW'!F$3:F$47)/100*$AD$1</f>
        <v>17.491430095238098</v>
      </c>
      <c r="AH61" s="1053">
        <f>SUMPRODUCT(KZ_Raum_2024!$Y$7:$Y$51,'Fläche-ZW'!G$3:G$47)/100*$AD$1</f>
        <v>9.7551360000000003</v>
      </c>
      <c r="AI61" s="1053">
        <f>SUMPRODUCT(KZ_Raum_2024!$Y$7:$Y$51,'Fläche-ZW'!H$3:H$47)/100*$AD$1</f>
        <v>1.2664018285714287</v>
      </c>
      <c r="AJ61" s="1053">
        <f>SUMPRODUCT(KZ_Raum_2024!$Y$7:$Y$51,'Fläche-ZW'!I$3:I$47)/100*$AD$1</f>
        <v>1.6590649589823876</v>
      </c>
      <c r="AK61" s="1053">
        <f>SUMPRODUCT(KZ_Raum_2024!$I$7:$I$51,'Fläche-ZW'!J$3:J$47)/100*$AD$1</f>
        <v>1.6590649589823876</v>
      </c>
      <c r="AL61" s="1053">
        <f>SUMPRODUCT(KZ_Raum_2024!$I$7:$I$51,'Fläche-ZW'!K$3:K$47)/100*$AD$1</f>
        <v>1.2867679190606656</v>
      </c>
      <c r="AM61" s="1053">
        <f>SUMPRODUCT(KZ_Raum_2024!$Y$7:$Y$51,'Fläche-ZW'!L$3:L$47)/100*$AD$1</f>
        <v>1.4108914285714289</v>
      </c>
      <c r="AN61" s="1053">
        <f>SUMPRODUCT(KZ_Raum_2024!$I$7:$I$51,'Fläche-ZW'!M$3:M$47)/100*$AD$1</f>
        <v>1.4108914285714289</v>
      </c>
      <c r="AO61" s="1053">
        <f>SUMPRODUCT(KZ_Raum_2024!$I$7:$I$51,'Fläche-ZW'!N$3:N$47)/100*$AD$1</f>
        <v>1.4108914285714289</v>
      </c>
      <c r="AP61" s="1053">
        <f>SUMPRODUCT(KZ_Raum_2024!$I$7:$I$51,'Fläche-ZW'!O$3:O$47)/100*$AD$1</f>
        <v>0.80091702857142877</v>
      </c>
      <c r="AQ61" s="1053">
        <f>SUMPRODUCT(KZ_Raum_2024!$Y$7:$Y$51,'Fläche-ZW'!P$3:P$47)/100*$AD$1</f>
        <v>43.67340342857144</v>
      </c>
      <c r="AR61" s="1053">
        <f>SUMPRODUCT(KZ_Raum_2024!$Y$7:$Y$51,'Fläche-ZW'!Q$3:Q$47)/100*$AD$1</f>
        <v>3.5893714285714289</v>
      </c>
      <c r="AS61" s="1053">
        <f>SUMPRODUCT(KZ_Raum_2024!$Y$7:$Y$51,'Fläche-ZW'!R$3:R$47)/100*$AD$1</f>
        <v>21.781883428571433</v>
      </c>
      <c r="AT61" s="1053">
        <f>SUMPRODUCT(KZ_Raum_2024!$I$7:$I$51,'Fläche-ZW'!S$3:S$47)/100*$AD$1</f>
        <v>19.07212342857143</v>
      </c>
      <c r="AU61" s="1053">
        <f>SUMPRODUCT(KZ_Raum_2024!$I$7:$I$51,'Fläche-ZW'!T$3:T$47)/100*$AD$1</f>
        <v>27.201403428571435</v>
      </c>
      <c r="AV61" s="1053">
        <f>SUMPRODUCT(KZ_Raum_2024!$Y$7:$Y$51,'Fläche-ZW'!U$3:U$47)/100*$AD$1</f>
        <v>1.2664018285714287</v>
      </c>
      <c r="AW61" s="1053">
        <f>SUMPRODUCT(KZ_Raum_2024!$Y$7:$Y$51,'Fläche-ZW'!V$3:V$47)/100*$AD$1</f>
        <v>0.61244022857142866</v>
      </c>
      <c r="AX61" s="1053">
        <f>SUMPRODUCT(KZ_Raum_2024!$Y$7:$Y$51,'Fläche-ZW'!W$3:W$47)/100*$AD$1</f>
        <v>30.47042998356164</v>
      </c>
      <c r="AY61" s="781">
        <f>SUMPRODUCT(KZ_Raum_2024!$Y$7:$Y$51,'Fläche-ZW'!X$3:X$47)/100*$AD$1</f>
        <v>69.815163428571452</v>
      </c>
      <c r="BC61" s="723" t="s">
        <v>420</v>
      </c>
      <c r="BD61" s="723" t="s">
        <v>134</v>
      </c>
      <c r="BE61" s="741">
        <f>BE8*BE9</f>
        <v>19.599999999999998</v>
      </c>
      <c r="BF61" s="741"/>
      <c r="BG61" s="741"/>
      <c r="BH61" s="741">
        <f>BH8*BH9</f>
        <v>15.399999999999999</v>
      </c>
      <c r="BI61" s="741">
        <f>BI8*BI9</f>
        <v>19.8</v>
      </c>
      <c r="BJ61" s="741">
        <f>BJ8*BJ9</f>
        <v>9.9</v>
      </c>
      <c r="BK61" s="741"/>
      <c r="BL61" s="741"/>
      <c r="BM61" s="741">
        <f>BM8*BM9</f>
        <v>26.400000000000002</v>
      </c>
      <c r="BN61" s="741">
        <f>BN8*BN9</f>
        <v>0</v>
      </c>
      <c r="BO61" s="741">
        <f>BO8*BO9</f>
        <v>0</v>
      </c>
      <c r="BP61" s="741">
        <f>BP8*BP9</f>
        <v>0</v>
      </c>
      <c r="BQ61" s="741">
        <f t="shared" ref="BQ61:BY61" si="81">BQ8*BQ9</f>
        <v>23.099999999999998</v>
      </c>
      <c r="BR61" s="741">
        <f t="shared" si="81"/>
        <v>13.600000000000001</v>
      </c>
      <c r="BS61" s="741">
        <f t="shared" si="81"/>
        <v>19.599999999999998</v>
      </c>
      <c r="BT61" s="741">
        <f t="shared" si="81"/>
        <v>0</v>
      </c>
      <c r="BU61" s="741">
        <f t="shared" si="81"/>
        <v>0</v>
      </c>
      <c r="BV61" s="741">
        <f t="shared" si="81"/>
        <v>15.3</v>
      </c>
      <c r="BW61" s="741">
        <f t="shared" si="81"/>
        <v>5.4</v>
      </c>
      <c r="BX61" s="741">
        <f t="shared" si="81"/>
        <v>5.4</v>
      </c>
      <c r="BY61" s="741">
        <f t="shared" si="81"/>
        <v>39.199999999999996</v>
      </c>
      <c r="BZ61" s="741"/>
    </row>
    <row r="62" spans="1:78">
      <c r="AB62" s="746"/>
      <c r="AC62" s="773" t="s">
        <v>1181</v>
      </c>
      <c r="AD62" s="774"/>
      <c r="AE62" s="1099">
        <f>SUMPRODUCT(KZ_Raum_2024!$T$7:$T$51,'Fläche-ZW'!D$3:D$47)/100*$AD$1</f>
        <v>0</v>
      </c>
      <c r="AF62" s="1053">
        <f>SUMPRODUCT(KZ_Raum_2024!$D$7:$D$51,'Fläche-ZW'!E$3:E$47)/100*$AD$1</f>
        <v>0</v>
      </c>
      <c r="AG62" s="1053">
        <f>SUMPRODUCT(KZ_Raum_2024!$D$7:$D$51,'Fläche-ZW'!F$3:F$47)/100*$AD$1</f>
        <v>0</v>
      </c>
      <c r="AH62" s="1053">
        <f>SUMPRODUCT(KZ_Raum_2024!$T$7:$T$51,'Fläche-ZW'!G$3:G$47)/100*$AD$1</f>
        <v>0</v>
      </c>
      <c r="AI62" s="1053">
        <f>SUMPRODUCT(KZ_Raum_2024!$T$7:$T$51,'Fläche-ZW'!H$3:H$47)/100*$AD$1</f>
        <v>11.216000000000001</v>
      </c>
      <c r="AJ62" s="1053">
        <f>SUMPRODUCT(KZ_Raum_2024!$T$7:$T$51,'Fläche-ZW'!I$3:I$47)/100*$AD$1</f>
        <v>0</v>
      </c>
      <c r="AK62" s="1053">
        <f>SUMPRODUCT(KZ_Raum_2024!$D$7:$D$51,'Fläche-ZW'!J$3:J$47)/100*$AD$1</f>
        <v>0</v>
      </c>
      <c r="AL62" s="1053">
        <f>SUMPRODUCT(KZ_Raum_2024!$D$7:$D$51,'Fläche-ZW'!K$3:K$47)/100*$AD$1</f>
        <v>8.4120000000000008</v>
      </c>
      <c r="AM62" s="1053">
        <f>SUMPRODUCT(KZ_Raum_2024!$T$7:$T$51,'Fläche-ZW'!L$3:L$47)/100*$AD$1</f>
        <v>0</v>
      </c>
      <c r="AN62" s="780">
        <f>SUMPRODUCT(KZ_Raum_2024!$D$7:$D$51,'Fläche-ZW'!M$3:M$47)/100*$AD$1</f>
        <v>197.56800000000001</v>
      </c>
      <c r="AO62" s="1053">
        <f>SUMPRODUCT(KZ_Raum_2024!$D$7:$D$51,'Fläche-ZW'!N$3:N$47)/100*$AD$1</f>
        <v>0</v>
      </c>
      <c r="AP62" s="1053">
        <f>SUMPRODUCT(KZ_Raum_2024!$D$7:$D$51,'Fläche-ZW'!O$3:O$47)/100*$AD$1</f>
        <v>0</v>
      </c>
      <c r="AQ62" s="1053">
        <f>SUMPRODUCT(KZ_Raum_2024!$T$7:$T$51,'Fläche-ZW'!P$3:P$47)/100*$AD$1</f>
        <v>52.657600000000002</v>
      </c>
      <c r="AR62" s="1053">
        <f>SUMPRODUCT(KZ_Raum_2024!$T$7:$T$51,'Fläche-ZW'!Q$3:Q$47)/100*$AD$1</f>
        <v>0</v>
      </c>
      <c r="AS62" s="1053">
        <f>SUMPRODUCT(KZ_Raum_2024!$T$7:$T$51,'Fläche-ZW'!R$3:R$47)/100*$AD$1</f>
        <v>3.4880000000000004</v>
      </c>
      <c r="AT62" s="1053">
        <f>SUMPRODUCT(KZ_Raum_2024!$D$7:$D$51,'Fläche-ZW'!S$3:S$47)/100*$AD$1</f>
        <v>3.9240000000000004</v>
      </c>
      <c r="AU62" s="1053">
        <f>SUMPRODUCT(KZ_Raum_2024!$D$7:$D$51,'Fläche-ZW'!T$3:T$47)/100*$AD$1</f>
        <v>1.3080000000000001</v>
      </c>
      <c r="AV62" s="1053">
        <f>SUMPRODUCT(KZ_Raum_2024!$T$7:$T$51,'Fläche-ZW'!U$3:U$47)/100*$AD$1</f>
        <v>27.584</v>
      </c>
      <c r="AW62" s="1053">
        <f>SUMPRODUCT(KZ_Raum_2024!$T$7:$T$51,'Fläche-ZW'!V$3:V$47)/100*$AD$1</f>
        <v>0</v>
      </c>
      <c r="AX62" s="1053">
        <f>SUMPRODUCT(KZ_Raum_2024!$T$7:$T$51,'Fläche-ZW'!W$3:W$47)/100*$AD$1</f>
        <v>0</v>
      </c>
      <c r="AY62" s="781">
        <f>SUMPRODUCT(KZ_Raum_2024!$T$7:$T$51,'Fläche-ZW'!X$3:X$47)/100*$AD$1</f>
        <v>245.51999999999998</v>
      </c>
      <c r="BC62" s="723" t="s">
        <v>1540</v>
      </c>
      <c r="BD62" s="723" t="s">
        <v>134</v>
      </c>
      <c r="BE62" s="741">
        <f>CD10</f>
        <v>8.3999999999999986</v>
      </c>
      <c r="BF62" s="741">
        <f t="shared" ref="BF62:BY62" si="82">CE10</f>
        <v>0</v>
      </c>
      <c r="BG62" s="741">
        <f t="shared" si="82"/>
        <v>0</v>
      </c>
      <c r="BH62" s="741">
        <f t="shared" si="82"/>
        <v>7.2</v>
      </c>
      <c r="BI62" s="741">
        <f t="shared" si="82"/>
        <v>11.2</v>
      </c>
      <c r="BJ62" s="741">
        <f t="shared" si="82"/>
        <v>4.5</v>
      </c>
      <c r="BK62" s="741">
        <f t="shared" si="82"/>
        <v>4.5</v>
      </c>
      <c r="BL62" s="741">
        <f t="shared" si="82"/>
        <v>6.8000000000000007</v>
      </c>
      <c r="BM62" s="741">
        <f t="shared" si="82"/>
        <v>18.2</v>
      </c>
      <c r="BN62" s="741">
        <f t="shared" si="82"/>
        <v>18.2</v>
      </c>
      <c r="BO62" s="741">
        <f t="shared" si="82"/>
        <v>18.2</v>
      </c>
      <c r="BP62" s="741">
        <f t="shared" si="82"/>
        <v>13.799999999999999</v>
      </c>
      <c r="BQ62" s="741">
        <f t="shared" si="82"/>
        <v>5.3999999999999995</v>
      </c>
      <c r="BR62" s="741">
        <f t="shared" si="82"/>
        <v>9</v>
      </c>
      <c r="BS62" s="741">
        <f t="shared" si="82"/>
        <v>8</v>
      </c>
      <c r="BT62" s="741">
        <f t="shared" si="82"/>
        <v>10</v>
      </c>
      <c r="BU62" s="741">
        <f t="shared" si="82"/>
        <v>7.6000000000000005</v>
      </c>
      <c r="BV62" s="741">
        <f t="shared" si="82"/>
        <v>8.5</v>
      </c>
      <c r="BW62" s="741">
        <f t="shared" si="82"/>
        <v>5.6</v>
      </c>
      <c r="BX62" s="741">
        <f t="shared" si="82"/>
        <v>2.8000000000000003</v>
      </c>
      <c r="BY62" s="741">
        <f t="shared" si="82"/>
        <v>6.4</v>
      </c>
      <c r="BZ62" s="741"/>
    </row>
    <row r="63" spans="1:78">
      <c r="AB63" s="746"/>
      <c r="AC63" s="735" t="s">
        <v>1114</v>
      </c>
      <c r="AD63" s="733" t="s">
        <v>134</v>
      </c>
      <c r="AE63" s="1280">
        <f>AE11</f>
        <v>3</v>
      </c>
      <c r="AF63" s="1280">
        <f t="shared" ref="AF63:AY63" si="83">AF11</f>
        <v>3</v>
      </c>
      <c r="AG63" s="1280">
        <f t="shared" si="83"/>
        <v>8.16</v>
      </c>
      <c r="AH63" s="1280">
        <f t="shared" si="83"/>
        <v>1.4</v>
      </c>
      <c r="AI63" s="1280">
        <f t="shared" si="83"/>
        <v>3.3680000000000003</v>
      </c>
      <c r="AJ63" s="1280">
        <f t="shared" si="83"/>
        <v>3.1280000000000001</v>
      </c>
      <c r="AK63" s="1280">
        <f t="shared" si="83"/>
        <v>3.1280000000000001</v>
      </c>
      <c r="AL63" s="1280">
        <f t="shared" si="83"/>
        <v>8.16</v>
      </c>
      <c r="AM63" s="1280">
        <f t="shared" si="83"/>
        <v>7.5440000000000005</v>
      </c>
      <c r="AN63" s="1280">
        <f t="shared" si="83"/>
        <v>7.5440000000000005</v>
      </c>
      <c r="AO63" s="1280">
        <f t="shared" si="83"/>
        <v>7.5440000000000005</v>
      </c>
      <c r="AP63" s="1280">
        <f t="shared" si="83"/>
        <v>7.5440000000000005</v>
      </c>
      <c r="AQ63" s="1280">
        <f t="shared" si="83"/>
        <v>8.3840000000000003</v>
      </c>
      <c r="AR63" s="1280">
        <f t="shared" si="83"/>
        <v>3.8479999999999999</v>
      </c>
      <c r="AS63" s="1280">
        <f t="shared" si="83"/>
        <v>8.2000000000000011</v>
      </c>
      <c r="AT63" s="1280">
        <f t="shared" si="83"/>
        <v>8.2000000000000011</v>
      </c>
      <c r="AU63" s="1280">
        <f t="shared" si="83"/>
        <v>8.2000000000000011</v>
      </c>
      <c r="AV63" s="1280">
        <f t="shared" si="83"/>
        <v>6.6959999999999997</v>
      </c>
      <c r="AW63" s="1280">
        <f t="shared" si="83"/>
        <v>1.6480000000000001</v>
      </c>
      <c r="AX63" s="1280">
        <f t="shared" si="83"/>
        <v>3.2320000000000002</v>
      </c>
      <c r="AY63" s="1281">
        <f t="shared" si="83"/>
        <v>6.88</v>
      </c>
      <c r="BC63" s="213" t="s">
        <v>1149</v>
      </c>
      <c r="BD63" s="723" t="s">
        <v>134</v>
      </c>
      <c r="BE63" s="741">
        <f t="shared" ref="BE63:BY63" si="84">BE62-BE61</f>
        <v>-11.2</v>
      </c>
      <c r="BF63" s="741"/>
      <c r="BG63" s="741">
        <f t="shared" si="84"/>
        <v>0</v>
      </c>
      <c r="BH63" s="741">
        <f t="shared" si="84"/>
        <v>-8.1999999999999993</v>
      </c>
      <c r="BI63" s="741">
        <f t="shared" si="84"/>
        <v>-8.6000000000000014</v>
      </c>
      <c r="BJ63" s="741">
        <f t="shared" si="84"/>
        <v>-5.4</v>
      </c>
      <c r="BK63" s="741"/>
      <c r="BL63" s="741"/>
      <c r="BM63" s="741">
        <f t="shared" si="84"/>
        <v>-8.2000000000000028</v>
      </c>
      <c r="BN63" s="741">
        <f t="shared" si="84"/>
        <v>18.2</v>
      </c>
      <c r="BO63" s="741">
        <f t="shared" si="84"/>
        <v>18.2</v>
      </c>
      <c r="BP63" s="741">
        <f t="shared" si="84"/>
        <v>13.799999999999999</v>
      </c>
      <c r="BQ63" s="741">
        <f t="shared" si="84"/>
        <v>-17.7</v>
      </c>
      <c r="BR63" s="741">
        <f t="shared" si="84"/>
        <v>-4.6000000000000014</v>
      </c>
      <c r="BS63" s="741">
        <f t="shared" si="84"/>
        <v>-11.599999999999998</v>
      </c>
      <c r="BT63" s="741">
        <f t="shared" si="84"/>
        <v>10</v>
      </c>
      <c r="BU63" s="741">
        <f t="shared" si="84"/>
        <v>7.6000000000000005</v>
      </c>
      <c r="BV63" s="741">
        <f t="shared" si="84"/>
        <v>-6.8000000000000007</v>
      </c>
      <c r="BW63" s="741">
        <f t="shared" si="84"/>
        <v>0.19999999999999929</v>
      </c>
      <c r="BX63" s="741">
        <f t="shared" si="84"/>
        <v>-2.6</v>
      </c>
      <c r="BY63" s="741">
        <f t="shared" si="84"/>
        <v>-32.799999999999997</v>
      </c>
      <c r="BZ63" s="741"/>
    </row>
    <row r="64" spans="1:78">
      <c r="AB64" s="746"/>
    </row>
    <row r="65" spans="28:227">
      <c r="AB65" s="746"/>
    </row>
    <row r="66" spans="28:227">
      <c r="AB66" s="746"/>
    </row>
    <row r="67" spans="28:227">
      <c r="AB67" s="746"/>
    </row>
    <row r="70" spans="28:227">
      <c r="GV70" s="723" t="s">
        <v>1657</v>
      </c>
      <c r="GW70" s="723" t="s">
        <v>134</v>
      </c>
      <c r="GY70" s="743">
        <f>GY7-FZ7</f>
        <v>0.81199999999999761</v>
      </c>
      <c r="GZ70" s="1561">
        <f t="shared" ref="GZ70:HS70" si="85">GZ7-GA7</f>
        <v>-1.3840000000000003</v>
      </c>
      <c r="HA70" s="743">
        <f t="shared" si="85"/>
        <v>6.0919999999999996</v>
      </c>
      <c r="HB70" s="743">
        <f t="shared" si="85"/>
        <v>6.2759999999999998</v>
      </c>
      <c r="HC70" s="743">
        <f t="shared" si="85"/>
        <v>-3.5337600000000005</v>
      </c>
      <c r="HD70" s="1561">
        <f t="shared" si="85"/>
        <v>1.4662399999999995</v>
      </c>
      <c r="HE70" s="1561">
        <f t="shared" si="85"/>
        <v>9.8807999999999989</v>
      </c>
      <c r="HF70" s="743">
        <f t="shared" si="85"/>
        <v>-2.4408000000000003</v>
      </c>
      <c r="HG70" s="743">
        <f t="shared" si="85"/>
        <v>2.3767999999999998</v>
      </c>
      <c r="HH70" s="743">
        <f t="shared" si="85"/>
        <v>2.5591999999999997</v>
      </c>
      <c r="HI70" s="743">
        <f t="shared" si="85"/>
        <v>-2.3352000000000004</v>
      </c>
      <c r="HJ70" s="743">
        <f t="shared" si="85"/>
        <v>0.87759999999999927</v>
      </c>
      <c r="HK70" s="1561">
        <f t="shared" si="85"/>
        <v>0.61359999999999948</v>
      </c>
      <c r="HL70" s="743">
        <f t="shared" si="85"/>
        <v>2.9876000000000005</v>
      </c>
      <c r="HM70" s="743">
        <f t="shared" si="85"/>
        <v>2.5956000000000001</v>
      </c>
      <c r="HN70" s="743">
        <f t="shared" si="85"/>
        <v>3.4996</v>
      </c>
      <c r="HO70" s="743">
        <f t="shared" si="85"/>
        <v>7.7600000000000335E-2</v>
      </c>
      <c r="HP70" s="743">
        <f t="shared" si="85"/>
        <v>1.532</v>
      </c>
      <c r="HQ70" s="743">
        <f t="shared" si="85"/>
        <v>2</v>
      </c>
      <c r="HR70" s="743">
        <f t="shared" si="85"/>
        <v>1.5279999999999991</v>
      </c>
      <c r="HS70" s="743">
        <f t="shared" si="85"/>
        <v>0.1664000000000001</v>
      </c>
    </row>
    <row r="71" spans="28:227">
      <c r="GW71" s="723" t="s">
        <v>5</v>
      </c>
      <c r="GY71" s="723">
        <f>GY70/GY7%</f>
        <v>5.2387096774193394</v>
      </c>
      <c r="GZ71" s="723">
        <f t="shared" ref="GZ71:HS71" si="86">GZ70/GZ7%</f>
        <v>-12.697247706422022</v>
      </c>
      <c r="HA71" s="723">
        <f t="shared" si="86"/>
        <v>48.735999999999997</v>
      </c>
      <c r="HB71" s="723">
        <f t="shared" si="86"/>
        <v>38.036363636363632</v>
      </c>
      <c r="HC71" s="723" t="e">
        <f t="shared" si="86"/>
        <v>#DIV/0!</v>
      </c>
      <c r="HD71" s="744">
        <f t="shared" si="86"/>
        <v>29.324799999999989</v>
      </c>
      <c r="HE71" s="744">
        <f t="shared" si="86"/>
        <v>63.33846153846153</v>
      </c>
      <c r="HF71" s="723" t="e">
        <f t="shared" si="86"/>
        <v>#DIV/0!</v>
      </c>
      <c r="HG71" s="723">
        <f t="shared" si="86"/>
        <v>47.535999999999994</v>
      </c>
      <c r="HH71" s="723">
        <f t="shared" si="86"/>
        <v>51.18399999999999</v>
      </c>
      <c r="HI71" s="723" t="e">
        <f t="shared" si="86"/>
        <v>#DIV/0!</v>
      </c>
      <c r="HJ71" s="723">
        <f t="shared" si="86"/>
        <v>19.502222222222208</v>
      </c>
      <c r="HK71" s="744">
        <f t="shared" si="86"/>
        <v>15.339999999999987</v>
      </c>
      <c r="HL71" s="723">
        <f t="shared" si="86"/>
        <v>35.995180722891568</v>
      </c>
      <c r="HM71" s="723">
        <f t="shared" si="86"/>
        <v>30.536470588235293</v>
      </c>
      <c r="HN71" s="723">
        <f t="shared" si="86"/>
        <v>41.171764705882353</v>
      </c>
      <c r="HO71" s="723">
        <f t="shared" si="86"/>
        <v>1.1085714285714332</v>
      </c>
      <c r="HP71" s="744">
        <f t="shared" si="86"/>
        <v>38.299999999999997</v>
      </c>
      <c r="HQ71" s="744">
        <f t="shared" si="86"/>
        <v>100</v>
      </c>
      <c r="HR71" s="723">
        <f t="shared" si="86"/>
        <v>27.781818181818167</v>
      </c>
      <c r="HS71" s="723">
        <f t="shared" si="86"/>
        <v>9.7882352941176531</v>
      </c>
    </row>
    <row r="85" spans="55:78">
      <c r="BC85" s="742" t="s">
        <v>1100</v>
      </c>
    </row>
    <row r="86" spans="55:78">
      <c r="BC86" s="723" t="s">
        <v>420</v>
      </c>
      <c r="BD86" s="723" t="s">
        <v>134</v>
      </c>
      <c r="BE86" s="741">
        <f>BE12</f>
        <v>21</v>
      </c>
      <c r="BF86" s="741"/>
      <c r="BG86" s="741"/>
      <c r="BH86" s="741">
        <f>BH12</f>
        <v>14</v>
      </c>
      <c r="BI86" s="741">
        <f>BI12</f>
        <v>7</v>
      </c>
      <c r="BJ86" s="741">
        <f>BJ12</f>
        <v>7</v>
      </c>
      <c r="BK86" s="741"/>
      <c r="BL86" s="741"/>
      <c r="BM86" s="741">
        <f t="shared" ref="BM86:BY86" si="87">BM12</f>
        <v>7</v>
      </c>
      <c r="BN86" s="741">
        <f t="shared" si="87"/>
        <v>0</v>
      </c>
      <c r="BO86" s="741">
        <f t="shared" si="87"/>
        <v>0</v>
      </c>
      <c r="BP86" s="741">
        <f t="shared" si="87"/>
        <v>0</v>
      </c>
      <c r="BQ86" s="741">
        <f t="shared" si="87"/>
        <v>56</v>
      </c>
      <c r="BR86" s="741">
        <f t="shared" si="87"/>
        <v>14</v>
      </c>
      <c r="BS86" s="741">
        <f t="shared" si="87"/>
        <v>28</v>
      </c>
      <c r="BT86" s="741">
        <f t="shared" si="87"/>
        <v>0</v>
      </c>
      <c r="BU86" s="741">
        <f t="shared" si="87"/>
        <v>0</v>
      </c>
      <c r="BV86" s="741">
        <f t="shared" si="87"/>
        <v>7</v>
      </c>
      <c r="BW86" s="741">
        <f t="shared" si="87"/>
        <v>1</v>
      </c>
      <c r="BX86" s="741">
        <f t="shared" si="87"/>
        <v>83</v>
      </c>
      <c r="BY86" s="741">
        <f t="shared" si="87"/>
        <v>83</v>
      </c>
      <c r="BZ86" s="741"/>
    </row>
    <row r="87" spans="55:78">
      <c r="BC87" s="723" t="s">
        <v>1541</v>
      </c>
      <c r="BD87" s="723" t="s">
        <v>134</v>
      </c>
      <c r="BE87" s="741">
        <f>AE8/0.67</f>
        <v>17.188776119402988</v>
      </c>
      <c r="BF87" s="741"/>
      <c r="BG87" s="741">
        <f>AG8/0.67</f>
        <v>26.106612082444919</v>
      </c>
      <c r="BH87" s="741">
        <f>AH8/0.67</f>
        <v>14.559904477611941</v>
      </c>
      <c r="BI87" s="741">
        <f>AI8/0.67</f>
        <v>1.8901519829424307</v>
      </c>
      <c r="BJ87" s="741">
        <f>AJ8/0.67</f>
        <v>2.4762163566901307</v>
      </c>
      <c r="BK87" s="741"/>
      <c r="BL87" s="741"/>
      <c r="BM87" s="741">
        <f t="shared" ref="BM87:BY87" si="88">AM8/0.67</f>
        <v>2.1058081023454163</v>
      </c>
      <c r="BN87" s="741">
        <f t="shared" si="88"/>
        <v>2.1058081023454163</v>
      </c>
      <c r="BO87" s="741">
        <f t="shared" si="88"/>
        <v>2.1058081023454163</v>
      </c>
      <c r="BP87" s="741">
        <f t="shared" si="88"/>
        <v>1.19539855010661</v>
      </c>
      <c r="BQ87" s="741">
        <f t="shared" si="88"/>
        <v>65.18418422174841</v>
      </c>
      <c r="BR87" s="741">
        <f t="shared" si="88"/>
        <v>5.3572707889125804</v>
      </c>
      <c r="BS87" s="741">
        <f t="shared" si="88"/>
        <v>32.510273773987208</v>
      </c>
      <c r="BT87" s="741">
        <f t="shared" si="88"/>
        <v>28.465855863539446</v>
      </c>
      <c r="BU87" s="741">
        <f t="shared" si="88"/>
        <v>40.599109594882734</v>
      </c>
      <c r="BV87" s="741">
        <f t="shared" si="88"/>
        <v>1.8901519829424307</v>
      </c>
      <c r="BW87" s="741">
        <f t="shared" si="88"/>
        <v>0.91408989339019198</v>
      </c>
      <c r="BX87" s="741">
        <f t="shared" si="88"/>
        <v>45.478253706808417</v>
      </c>
      <c r="BY87" s="741">
        <f t="shared" si="88"/>
        <v>104.2017364605544</v>
      </c>
      <c r="BZ87" s="741"/>
    </row>
    <row r="88" spans="55:78">
      <c r="BC88" s="213" t="s">
        <v>1149</v>
      </c>
      <c r="BD88" s="723" t="s">
        <v>134</v>
      </c>
      <c r="BE88" s="741">
        <f>BE87-BE86</f>
        <v>-3.8112238805970122</v>
      </c>
      <c r="BF88" s="741"/>
      <c r="BG88" s="741">
        <f t="shared" ref="BG88:BY88" si="89">BG87-BG86</f>
        <v>26.106612082444919</v>
      </c>
      <c r="BH88" s="741">
        <f t="shared" si="89"/>
        <v>0.55990447761194062</v>
      </c>
      <c r="BI88" s="741">
        <f t="shared" si="89"/>
        <v>-5.1098480170575691</v>
      </c>
      <c r="BJ88" s="741">
        <f t="shared" si="89"/>
        <v>-4.5237836433098693</v>
      </c>
      <c r="BK88" s="741"/>
      <c r="BL88" s="741"/>
      <c r="BM88" s="741">
        <f t="shared" si="89"/>
        <v>-4.8941918976545837</v>
      </c>
      <c r="BN88" s="741">
        <f t="shared" si="89"/>
        <v>2.1058081023454163</v>
      </c>
      <c r="BO88" s="741">
        <f t="shared" si="89"/>
        <v>2.1058081023454163</v>
      </c>
      <c r="BP88" s="741">
        <f t="shared" si="89"/>
        <v>1.19539855010661</v>
      </c>
      <c r="BQ88" s="741">
        <f t="shared" si="89"/>
        <v>9.18418422174841</v>
      </c>
      <c r="BR88" s="741">
        <f t="shared" si="89"/>
        <v>-8.6427292110874205</v>
      </c>
      <c r="BS88" s="741">
        <f t="shared" si="89"/>
        <v>4.5102737739872083</v>
      </c>
      <c r="BT88" s="741">
        <f t="shared" si="89"/>
        <v>28.465855863539446</v>
      </c>
      <c r="BU88" s="741">
        <f t="shared" si="89"/>
        <v>40.599109594882734</v>
      </c>
      <c r="BV88" s="741">
        <f t="shared" si="89"/>
        <v>-5.1098480170575691</v>
      </c>
      <c r="BW88" s="741">
        <f t="shared" si="89"/>
        <v>-8.5910106609808023E-2</v>
      </c>
      <c r="BX88" s="741">
        <f t="shared" si="89"/>
        <v>-37.521746293191583</v>
      </c>
      <c r="BY88" s="741">
        <f t="shared" si="89"/>
        <v>21.2017364605544</v>
      </c>
      <c r="BZ88" s="741"/>
    </row>
    <row r="90" spans="55:78">
      <c r="BC90" s="723" t="s">
        <v>1542</v>
      </c>
      <c r="BD90" s="723" t="s">
        <v>134</v>
      </c>
      <c r="BE90" s="741">
        <f>AE8</f>
        <v>11.516480000000003</v>
      </c>
      <c r="BF90" s="741"/>
      <c r="BG90" s="741">
        <f>AG11/0.67</f>
        <v>12.17910447761194</v>
      </c>
      <c r="BH90" s="741">
        <f>AH8</f>
        <v>9.7551360000000003</v>
      </c>
      <c r="BI90" s="741">
        <f>AI8</f>
        <v>1.2664018285714287</v>
      </c>
      <c r="BJ90" s="741">
        <f>AJ8</f>
        <v>1.6590649589823876</v>
      </c>
      <c r="BK90" s="741"/>
      <c r="BL90" s="741"/>
      <c r="BM90" s="741">
        <f>AM8</f>
        <v>1.4108914285714289</v>
      </c>
      <c r="BN90" s="741">
        <f>AN11/0.67</f>
        <v>11.259701492537314</v>
      </c>
      <c r="BO90" s="741">
        <f>AO11/0.67</f>
        <v>11.259701492537314</v>
      </c>
      <c r="BP90" s="741">
        <f>AP11/0.67</f>
        <v>11.259701492537314</v>
      </c>
      <c r="BQ90" s="741">
        <f t="shared" ref="BQ90:BY90" si="90">AQ8</f>
        <v>43.67340342857144</v>
      </c>
      <c r="BR90" s="741">
        <f t="shared" si="90"/>
        <v>3.5893714285714289</v>
      </c>
      <c r="BS90" s="741">
        <f t="shared" si="90"/>
        <v>21.781883428571433</v>
      </c>
      <c r="BT90" s="741">
        <f t="shared" si="90"/>
        <v>19.07212342857143</v>
      </c>
      <c r="BU90" s="741">
        <f t="shared" si="90"/>
        <v>27.201403428571435</v>
      </c>
      <c r="BV90" s="741">
        <f t="shared" si="90"/>
        <v>1.2664018285714287</v>
      </c>
      <c r="BW90" s="741">
        <f t="shared" si="90"/>
        <v>0.61244022857142866</v>
      </c>
      <c r="BX90" s="741">
        <f t="shared" si="90"/>
        <v>30.47042998356164</v>
      </c>
      <c r="BY90" s="741">
        <f t="shared" si="90"/>
        <v>69.815163428571452</v>
      </c>
      <c r="BZ90" s="741"/>
    </row>
    <row r="111" spans="55:78">
      <c r="BC111" s="742" t="s">
        <v>398</v>
      </c>
    </row>
    <row r="112" spans="55:78">
      <c r="BC112" s="723" t="s">
        <v>420</v>
      </c>
      <c r="BD112" s="723" t="s">
        <v>1061</v>
      </c>
      <c r="BE112" s="745">
        <f>BE11</f>
        <v>0.7</v>
      </c>
      <c r="BF112" s="745"/>
      <c r="BG112" s="745">
        <f>BG11</f>
        <v>0</v>
      </c>
      <c r="BH112" s="745">
        <f>BH11</f>
        <v>0.7</v>
      </c>
      <c r="BI112" s="745">
        <f>BI11</f>
        <v>0.7</v>
      </c>
      <c r="BJ112" s="745">
        <f>BJ11</f>
        <v>0.7</v>
      </c>
      <c r="BK112" s="745"/>
      <c r="BL112" s="745"/>
      <c r="BM112" s="745">
        <f t="shared" ref="BM112:BY112" si="91">BM11</f>
        <v>0.7</v>
      </c>
      <c r="BN112" s="745">
        <f t="shared" si="91"/>
        <v>0</v>
      </c>
      <c r="BO112" s="745">
        <f t="shared" si="91"/>
        <v>0</v>
      </c>
      <c r="BP112" s="745">
        <f t="shared" si="91"/>
        <v>0</v>
      </c>
      <c r="BQ112" s="745">
        <f t="shared" si="91"/>
        <v>1.2</v>
      </c>
      <c r="BR112" s="745">
        <f t="shared" si="91"/>
        <v>1</v>
      </c>
      <c r="BS112" s="745">
        <f t="shared" si="91"/>
        <v>1</v>
      </c>
      <c r="BT112" s="745">
        <f t="shared" si="91"/>
        <v>0</v>
      </c>
      <c r="BU112" s="745">
        <f t="shared" si="91"/>
        <v>0</v>
      </c>
      <c r="BV112" s="745">
        <f t="shared" si="91"/>
        <v>0.7</v>
      </c>
      <c r="BW112" s="745">
        <f t="shared" si="91"/>
        <v>0.3</v>
      </c>
      <c r="BX112" s="745">
        <f t="shared" si="91"/>
        <v>0.7</v>
      </c>
      <c r="BY112" s="745">
        <f t="shared" si="91"/>
        <v>0.7</v>
      </c>
      <c r="BZ112" s="745"/>
    </row>
    <row r="113" spans="55:78">
      <c r="BC113" s="723" t="s">
        <v>1547</v>
      </c>
      <c r="BD113" s="723" t="s">
        <v>1061</v>
      </c>
      <c r="BE113" s="745">
        <f>1/AE29*BE145*AE30/24</f>
        <v>0.27213307240704504</v>
      </c>
      <c r="BF113" s="745">
        <f>1/AF29*36*AF30/24</f>
        <v>0.39187162426614486</v>
      </c>
      <c r="BG113" s="745">
        <f>1/AG29*36*AG30/24</f>
        <v>0.64171585127201547</v>
      </c>
      <c r="BH113" s="745">
        <f>1/AH29*BH145*AH30/24</f>
        <v>0.20169863013698633</v>
      </c>
      <c r="BI113" s="745">
        <f>1/AI29*BI145*AI30/24</f>
        <v>0.26084148727984346</v>
      </c>
      <c r="BJ113" s="745">
        <f>1/AJ29*BJ145*AJ30/24</f>
        <v>0.53493737769080241</v>
      </c>
      <c r="BK113" s="745">
        <f>1/AK29*36*AK30/24</f>
        <v>0.77030982387475555</v>
      </c>
      <c r="BL113" s="745">
        <f>1/AL29*36*AL30/24</f>
        <v>0.79905909980430545</v>
      </c>
      <c r="BM113" s="745">
        <f>1/AM29*BM145*AM30/24</f>
        <v>0.46673189823874761</v>
      </c>
      <c r="BN113" s="745">
        <f>1/AN29*36*AN30/24</f>
        <v>0.67209393346379642</v>
      </c>
      <c r="BO113" s="745">
        <f>1/AO29*36*AO30/24</f>
        <v>0.67209393346379642</v>
      </c>
      <c r="BP113" s="745">
        <f>1/AP29*36*AP30/24</f>
        <v>0.36831311154598828</v>
      </c>
      <c r="BQ113" s="745">
        <f>1/AQ29*BQ145*AQ30/24</f>
        <v>0.97661448140900209</v>
      </c>
      <c r="BR113" s="745">
        <f>1/AR29*BR145*AR30/24</f>
        <v>1.3114807566862361</v>
      </c>
      <c r="BS113" s="745">
        <f>1/AS29*BS145*AS30/24</f>
        <v>0.76928897586431833</v>
      </c>
      <c r="BT113" s="745">
        <f>1/AT29*36*AT30/24</f>
        <v>1.0866035225048924</v>
      </c>
      <c r="BU113" s="745">
        <f>1/AU29*36*AU30/24</f>
        <v>1.2211350293542076</v>
      </c>
      <c r="BV113" s="745">
        <f>1/AV29*BV145*AV30/24</f>
        <v>0.1703283322461405</v>
      </c>
      <c r="BW113" s="745">
        <f>1/AW29*BW145*AW30/24</f>
        <v>0.13463144161774301</v>
      </c>
      <c r="BX113" s="745">
        <f>1/AX29*BX145*AX30/24</f>
        <v>0.13275929549902152</v>
      </c>
      <c r="BY113" s="745">
        <f>1/AY29*BY145*AY30/24</f>
        <v>0.41761252446183961</v>
      </c>
      <c r="BZ113" s="745"/>
    </row>
    <row r="114" spans="55:78">
      <c r="BC114" s="723" t="s">
        <v>1548</v>
      </c>
      <c r="BD114" s="723" t="s">
        <v>1061</v>
      </c>
      <c r="BE114" s="745">
        <f>BE113+0.15</f>
        <v>0.42213307240704501</v>
      </c>
      <c r="BF114" s="745">
        <f t="shared" ref="BF114:BY114" si="92">BF113+0.15</f>
        <v>0.54187162426614488</v>
      </c>
      <c r="BG114" s="745">
        <f t="shared" si="92"/>
        <v>0.79171585127201549</v>
      </c>
      <c r="BH114" s="745">
        <f t="shared" si="92"/>
        <v>0.35169863013698632</v>
      </c>
      <c r="BI114" s="745">
        <f t="shared" si="92"/>
        <v>0.41084148727984349</v>
      </c>
      <c r="BJ114" s="745">
        <f t="shared" si="92"/>
        <v>0.68493737769080243</v>
      </c>
      <c r="BK114" s="745">
        <f t="shared" si="92"/>
        <v>0.92030982387475557</v>
      </c>
      <c r="BL114" s="745">
        <f t="shared" si="92"/>
        <v>0.94905909980430547</v>
      </c>
      <c r="BM114" s="745">
        <f t="shared" si="92"/>
        <v>0.61673189823874763</v>
      </c>
      <c r="BN114" s="745">
        <f t="shared" si="92"/>
        <v>0.82209393346379644</v>
      </c>
      <c r="BO114" s="745">
        <f t="shared" si="92"/>
        <v>0.82209393346379644</v>
      </c>
      <c r="BP114" s="745">
        <f t="shared" si="92"/>
        <v>0.51831311154598825</v>
      </c>
      <c r="BQ114" s="745">
        <f t="shared" si="92"/>
        <v>1.126614481409002</v>
      </c>
      <c r="BR114" s="745">
        <f t="shared" si="92"/>
        <v>1.461480756686236</v>
      </c>
      <c r="BS114" s="745">
        <f t="shared" si="92"/>
        <v>0.91928897586431835</v>
      </c>
      <c r="BT114" s="745">
        <f t="shared" si="92"/>
        <v>1.2366035225048924</v>
      </c>
      <c r="BU114" s="745">
        <f t="shared" si="92"/>
        <v>1.3711350293542075</v>
      </c>
      <c r="BV114" s="745">
        <f t="shared" si="92"/>
        <v>0.32032833224614049</v>
      </c>
      <c r="BW114" s="745">
        <f t="shared" si="92"/>
        <v>0.28463144161774301</v>
      </c>
      <c r="BX114" s="745">
        <f t="shared" si="92"/>
        <v>0.28275929549902151</v>
      </c>
      <c r="BY114" s="745">
        <f t="shared" si="92"/>
        <v>0.56761252446183963</v>
      </c>
      <c r="BZ114" s="745"/>
    </row>
    <row r="115" spans="55:78">
      <c r="BC115" s="723" t="s">
        <v>1546</v>
      </c>
      <c r="BD115" s="723" t="s">
        <v>1061</v>
      </c>
      <c r="BE115" s="745">
        <f>AE21</f>
        <v>0.57351989562948469</v>
      </c>
      <c r="BF115" s="745"/>
      <c r="BG115" s="745">
        <f>AG21</f>
        <v>1.0918199608610566</v>
      </c>
      <c r="BH115" s="745">
        <f>AH21</f>
        <v>0.43778264840182646</v>
      </c>
      <c r="BI115" s="745">
        <f>AI21</f>
        <v>0.67670732767993047</v>
      </c>
      <c r="BJ115" s="745">
        <f>AJ21</f>
        <v>0.91802224396607957</v>
      </c>
      <c r="BK115" s="745"/>
      <c r="BL115" s="745"/>
      <c r="BM115" s="745">
        <f t="shared" ref="BM115:BY115" si="93">AM21</f>
        <v>1.1072035225048922</v>
      </c>
      <c r="BN115" s="745">
        <f t="shared" si="93"/>
        <v>1.1031669928245271</v>
      </c>
      <c r="BO115" s="745">
        <f t="shared" si="93"/>
        <v>1.1072035225048922</v>
      </c>
      <c r="BP115" s="745">
        <f t="shared" si="93"/>
        <v>0.7950893672537509</v>
      </c>
      <c r="BQ115" s="745">
        <f t="shared" si="93"/>
        <v>1.9812720156555774</v>
      </c>
      <c r="BR115" s="745">
        <f t="shared" si="93"/>
        <v>1.9270863231137203</v>
      </c>
      <c r="BS115" s="745">
        <f t="shared" si="93"/>
        <v>1.1850163078930203</v>
      </c>
      <c r="BT115" s="745">
        <f t="shared" si="93"/>
        <v>1.2128245270711027</v>
      </c>
      <c r="BU115" s="745">
        <f t="shared" si="93"/>
        <v>1.2202948467058057</v>
      </c>
      <c r="BV115" s="745">
        <f t="shared" si="93"/>
        <v>0.61190722620859617</v>
      </c>
      <c r="BW115" s="745">
        <f t="shared" si="93"/>
        <v>0.58085192433137656</v>
      </c>
      <c r="BX115" s="745">
        <f t="shared" si="93"/>
        <v>1.1171232876712329</v>
      </c>
      <c r="BY115" s="745">
        <f t="shared" si="93"/>
        <v>1.6889432485322897</v>
      </c>
      <c r="BZ115" s="743"/>
    </row>
    <row r="116" spans="55:78">
      <c r="BC116" s="723" t="s">
        <v>1543</v>
      </c>
      <c r="BD116" s="723" t="s">
        <v>1061</v>
      </c>
      <c r="BE116" s="745">
        <f t="shared" ref="BE116:BY116" si="94">AE20</f>
        <v>0.62342857142857155</v>
      </c>
      <c r="BF116" s="745">
        <f t="shared" si="94"/>
        <v>0</v>
      </c>
      <c r="BG116" s="745">
        <f t="shared" si="94"/>
        <v>0</v>
      </c>
      <c r="BH116" s="745">
        <f t="shared" si="94"/>
        <v>0.45760000000000001</v>
      </c>
      <c r="BI116" s="745">
        <f t="shared" si="94"/>
        <v>1.9781904761904763</v>
      </c>
      <c r="BJ116" s="745">
        <f t="shared" si="94"/>
        <v>3.6104571428571428</v>
      </c>
      <c r="BK116" s="745">
        <f t="shared" si="94"/>
        <v>3.6104571428571428</v>
      </c>
      <c r="BL116" s="745">
        <f t="shared" si="94"/>
        <v>3.6350476190476186</v>
      </c>
      <c r="BM116" s="745">
        <f t="shared" si="94"/>
        <v>2.1428571428571432</v>
      </c>
      <c r="BN116" s="745">
        <f t="shared" si="94"/>
        <v>2.1348571428571432</v>
      </c>
      <c r="BO116" s="745">
        <f t="shared" si="94"/>
        <v>2.1428571428571432</v>
      </c>
      <c r="BP116" s="745">
        <f t="shared" si="94"/>
        <v>1.330857142857143</v>
      </c>
      <c r="BQ116" s="745">
        <f t="shared" si="94"/>
        <v>6.968190476190478</v>
      </c>
      <c r="BR116" s="745">
        <f t="shared" si="94"/>
        <v>5.1628571428571437</v>
      </c>
      <c r="BS116" s="745">
        <f t="shared" si="94"/>
        <v>2.0121904761904763</v>
      </c>
      <c r="BT116" s="745">
        <f t="shared" si="94"/>
        <v>2.1668571428571433</v>
      </c>
      <c r="BU116" s="745">
        <f t="shared" si="94"/>
        <v>1.914857142857143</v>
      </c>
      <c r="BV116" s="745">
        <f t="shared" si="94"/>
        <v>1.313968253968254</v>
      </c>
      <c r="BW116" s="745">
        <f t="shared" si="94"/>
        <v>0.91952380952380963</v>
      </c>
      <c r="BX116" s="745">
        <f t="shared" si="94"/>
        <v>3.1</v>
      </c>
      <c r="BY116" s="745">
        <f t="shared" si="94"/>
        <v>3.4428571428571431</v>
      </c>
    </row>
    <row r="143" spans="55:77">
      <c r="BC143" s="723" t="s">
        <v>420</v>
      </c>
      <c r="BD143" s="723" t="s">
        <v>1142</v>
      </c>
      <c r="BE143" s="723">
        <f t="shared" ref="BE143:BY143" si="95">BE11*BE4*24/BE6</f>
        <v>56</v>
      </c>
      <c r="BF143" s="723" t="e">
        <f t="shared" si="95"/>
        <v>#DIV/0!</v>
      </c>
      <c r="BG143" s="723" t="e">
        <f t="shared" si="95"/>
        <v>#DIV/0!</v>
      </c>
      <c r="BH143" s="723">
        <f t="shared" si="95"/>
        <v>84</v>
      </c>
      <c r="BI143" s="723">
        <f t="shared" si="95"/>
        <v>56</v>
      </c>
      <c r="BJ143" s="723">
        <f t="shared" si="95"/>
        <v>42</v>
      </c>
      <c r="BK143" s="723" t="e">
        <f t="shared" si="95"/>
        <v>#DIV/0!</v>
      </c>
      <c r="BL143" s="723" t="e">
        <f t="shared" si="95"/>
        <v>#DIV/0!</v>
      </c>
      <c r="BM143" s="723">
        <f t="shared" si="95"/>
        <v>42</v>
      </c>
      <c r="BN143" s="723" t="e">
        <f t="shared" si="95"/>
        <v>#DIV/0!</v>
      </c>
      <c r="BO143" s="723" t="e">
        <f t="shared" si="95"/>
        <v>#DIV/0!</v>
      </c>
      <c r="BP143" s="723" t="e">
        <f t="shared" si="95"/>
        <v>#DIV/0!</v>
      </c>
      <c r="BQ143" s="723">
        <f t="shared" si="95"/>
        <v>48</v>
      </c>
      <c r="BR143" s="723">
        <f t="shared" si="95"/>
        <v>40</v>
      </c>
      <c r="BS143" s="723">
        <f t="shared" si="95"/>
        <v>45</v>
      </c>
      <c r="BT143" s="723" t="e">
        <f t="shared" si="95"/>
        <v>#DIV/0!</v>
      </c>
      <c r="BU143" s="723" t="e">
        <f t="shared" si="95"/>
        <v>#DIV/0!</v>
      </c>
      <c r="BV143" s="723">
        <f t="shared" si="95"/>
        <v>84</v>
      </c>
      <c r="BW143" s="723">
        <f t="shared" si="95"/>
        <v>120</v>
      </c>
      <c r="BX143" s="723">
        <f t="shared" si="95"/>
        <v>56</v>
      </c>
      <c r="BY143" s="723">
        <f t="shared" si="95"/>
        <v>84</v>
      </c>
    </row>
    <row r="144" spans="55:77">
      <c r="BC144" s="723" t="s">
        <v>1543</v>
      </c>
      <c r="BD144" s="723" t="s">
        <v>1142</v>
      </c>
      <c r="BE144" s="723">
        <f t="shared" ref="BE144:BS144" si="96">CD13*CD4*24/CD6</f>
        <v>55.384615384615387</v>
      </c>
      <c r="BF144" s="723" t="e">
        <f t="shared" si="96"/>
        <v>#DIV/0!</v>
      </c>
      <c r="BG144" s="723">
        <f t="shared" si="96"/>
        <v>0</v>
      </c>
      <c r="BH144" s="723">
        <f t="shared" si="96"/>
        <v>51.692307692307693</v>
      </c>
      <c r="BI144" s="723">
        <f t="shared" si="96"/>
        <v>60</v>
      </c>
      <c r="BJ144" s="723">
        <f t="shared" si="96"/>
        <v>43.2</v>
      </c>
      <c r="BK144" s="723" t="e">
        <f t="shared" si="96"/>
        <v>#DIV/0!</v>
      </c>
      <c r="BL144" s="723" t="e">
        <f t="shared" si="96"/>
        <v>#DIV/0!</v>
      </c>
      <c r="BM144" s="723">
        <f t="shared" si="96"/>
        <v>56.571428571428569</v>
      </c>
      <c r="BN144" s="723">
        <f t="shared" si="96"/>
        <v>56.571428571428569</v>
      </c>
      <c r="BO144" s="723">
        <f t="shared" si="96"/>
        <v>56.571428571428569</v>
      </c>
      <c r="BP144" s="723">
        <f t="shared" si="96"/>
        <v>82.285714285714292</v>
      </c>
      <c r="BQ144" s="723">
        <f t="shared" si="96"/>
        <v>60</v>
      </c>
      <c r="BR144" s="723">
        <f t="shared" si="96"/>
        <v>28.5</v>
      </c>
      <c r="BS144" s="723">
        <f t="shared" si="96"/>
        <v>41.142857142857146</v>
      </c>
      <c r="BT144" s="723">
        <f>CU13*CU4*24/CU6</f>
        <v>86.4</v>
      </c>
      <c r="BU144" s="723">
        <f>CV13*CV4*24/CV6</f>
        <v>172.8</v>
      </c>
      <c r="BV144" s="723">
        <f>CU13*CU4*24/CU6</f>
        <v>86.4</v>
      </c>
      <c r="BW144" s="723">
        <f>CV13*CV4*24/CV6</f>
        <v>172.8</v>
      </c>
      <c r="BX144" s="723">
        <f>CW13*CW4*24/CW6</f>
        <v>528</v>
      </c>
      <c r="BY144" s="723">
        <f>CX13*CX4*24/CX6</f>
        <v>102</v>
      </c>
    </row>
    <row r="145" spans="55:77">
      <c r="BC145" s="723" t="s">
        <v>1544</v>
      </c>
      <c r="BD145" s="723" t="s">
        <v>1142</v>
      </c>
      <c r="BE145" s="1298">
        <v>25</v>
      </c>
      <c r="BF145" s="1298" t="e">
        <f>BF113*CE4/CE6*24</f>
        <v>#DIV/0!</v>
      </c>
      <c r="BG145" s="1298">
        <f>BG113*CF4/CF6*24</f>
        <v>0</v>
      </c>
      <c r="BH145" s="1298">
        <v>25</v>
      </c>
      <c r="BI145" s="1298">
        <v>25</v>
      </c>
      <c r="BJ145" s="1298">
        <v>25</v>
      </c>
      <c r="BK145" s="1298" t="e">
        <f>BK113*CJ4/CJ6*24</f>
        <v>#DIV/0!</v>
      </c>
      <c r="BL145" s="1298" t="e">
        <f>BL113*CK4/CK6*24</f>
        <v>#DIV/0!</v>
      </c>
      <c r="BM145" s="1298">
        <v>25</v>
      </c>
      <c r="BN145" s="1298">
        <f>BN113*CM4/CM6*24</f>
        <v>34.564830863852386</v>
      </c>
      <c r="BO145" s="1298">
        <f>BO113*CN4/CN6*24</f>
        <v>34.564830863852386</v>
      </c>
      <c r="BP145" s="1298">
        <f>BP113*CO4/CO6*24</f>
        <v>37.883634330444508</v>
      </c>
      <c r="BQ145" s="1298">
        <v>25</v>
      </c>
      <c r="BR145" s="1298">
        <v>25</v>
      </c>
      <c r="BS145" s="1298">
        <v>25</v>
      </c>
      <c r="BT145" s="1298">
        <f>BT113*CU4/CU6*24</f>
        <v>156.47090724070455</v>
      </c>
      <c r="BU145" s="1298">
        <f>BU113*CV4/CV6*24</f>
        <v>351.68688845401175</v>
      </c>
      <c r="BV145" s="1298">
        <v>25</v>
      </c>
      <c r="BW145" s="1298">
        <f>25/1.2*2</f>
        <v>41.666666666666671</v>
      </c>
      <c r="BX145" s="1298">
        <f>25/1.2*3</f>
        <v>62.500000000000007</v>
      </c>
      <c r="BY145" s="1298">
        <v>25</v>
      </c>
    </row>
    <row r="146" spans="55:77">
      <c r="BC146" s="213" t="s">
        <v>1153</v>
      </c>
      <c r="BD146" s="723" t="s">
        <v>1142</v>
      </c>
      <c r="BE146" s="723">
        <f t="shared" ref="BE146:BS146" si="97">BE114*CD4/CD6*24</f>
        <v>38.966129760650311</v>
      </c>
      <c r="BF146" s="723" t="e">
        <f t="shared" si="97"/>
        <v>#DIV/0!</v>
      </c>
      <c r="BG146" s="723">
        <f t="shared" si="97"/>
        <v>0</v>
      </c>
      <c r="BH146" s="723">
        <f t="shared" si="97"/>
        <v>45.45028451001054</v>
      </c>
      <c r="BI146" s="723">
        <f t="shared" si="97"/>
        <v>35.214984623986581</v>
      </c>
      <c r="BJ146" s="723">
        <f t="shared" si="97"/>
        <v>32.876994129158518</v>
      </c>
      <c r="BK146" s="723" t="e">
        <f t="shared" si="97"/>
        <v>#DIV/0!</v>
      </c>
      <c r="BL146" s="723" t="e">
        <f t="shared" si="97"/>
        <v>#DIV/0!</v>
      </c>
      <c r="BM146" s="723">
        <f t="shared" si="97"/>
        <v>31.71764048084988</v>
      </c>
      <c r="BN146" s="723">
        <f t="shared" si="97"/>
        <v>42.279116578138101</v>
      </c>
      <c r="BO146" s="723">
        <f t="shared" si="97"/>
        <v>42.279116578138101</v>
      </c>
      <c r="BP146" s="723">
        <f t="shared" si="97"/>
        <v>53.312205759015924</v>
      </c>
      <c r="BQ146" s="723">
        <f t="shared" si="97"/>
        <v>33.798434442270057</v>
      </c>
      <c r="BR146" s="723">
        <f t="shared" si="97"/>
        <v>21.922211350293541</v>
      </c>
      <c r="BS146" s="723">
        <f t="shared" si="97"/>
        <v>31.518479172490913</v>
      </c>
      <c r="BT146" s="723">
        <f>BT114*CU4/CU6*24</f>
        <v>178.07090724070451</v>
      </c>
      <c r="BU146" s="723">
        <f>BU114*CV4/CV6*24</f>
        <v>394.88688845401174</v>
      </c>
      <c r="BV146" s="723">
        <f>BV114*CU4/CU6*24</f>
        <v>46.127279843444228</v>
      </c>
      <c r="BW146" s="723">
        <f>BW114*CV4/CV6*24</f>
        <v>81.973855185909969</v>
      </c>
      <c r="BX146" s="723">
        <f>BX114*CW4/CW6*24</f>
        <v>135.72446183953031</v>
      </c>
      <c r="BY146" s="723">
        <f>BY114*CX4/CX6*24</f>
        <v>34.056751467710377</v>
      </c>
    </row>
    <row r="163" spans="55:78">
      <c r="BC163" s="742" t="s">
        <v>1121</v>
      </c>
    </row>
    <row r="164" spans="55:78">
      <c r="BC164" s="723" t="s">
        <v>420</v>
      </c>
      <c r="BD164" s="723" t="s">
        <v>134</v>
      </c>
      <c r="BE164" s="743">
        <f t="shared" ref="BE164:BY164" si="98">BE5/BE4*BE6*365/1000</f>
        <v>7.665</v>
      </c>
      <c r="BF164" s="743"/>
      <c r="BG164" s="743" t="e">
        <f t="shared" si="98"/>
        <v>#DIV/0!</v>
      </c>
      <c r="BH164" s="743">
        <f t="shared" si="98"/>
        <v>5.1100000000000003</v>
      </c>
      <c r="BI164" s="743">
        <f t="shared" si="98"/>
        <v>8.76</v>
      </c>
      <c r="BJ164" s="743">
        <f t="shared" si="98"/>
        <v>10.220000000000001</v>
      </c>
      <c r="BK164" s="743"/>
      <c r="BL164" s="743"/>
      <c r="BM164" s="743">
        <f t="shared" si="98"/>
        <v>13.14</v>
      </c>
      <c r="BN164" s="743" t="e">
        <f t="shared" si="98"/>
        <v>#DIV/0!</v>
      </c>
      <c r="BO164" s="743" t="e">
        <f t="shared" si="98"/>
        <v>#DIV/0!</v>
      </c>
      <c r="BP164" s="743" t="e">
        <f t="shared" si="98"/>
        <v>#DIV/0!</v>
      </c>
      <c r="BQ164" s="743">
        <f t="shared" si="98"/>
        <v>21.9</v>
      </c>
      <c r="BR164" s="743">
        <f t="shared" si="98"/>
        <v>17.52</v>
      </c>
      <c r="BS164" s="743">
        <f t="shared" si="98"/>
        <v>15.573333333333332</v>
      </c>
      <c r="BT164" s="743" t="e">
        <f t="shared" si="98"/>
        <v>#DIV/0!</v>
      </c>
      <c r="BU164" s="743" t="e">
        <f t="shared" si="98"/>
        <v>#DIV/0!</v>
      </c>
      <c r="BV164" s="743">
        <f t="shared" si="98"/>
        <v>7.3</v>
      </c>
      <c r="BW164" s="743">
        <f t="shared" si="98"/>
        <v>2.19</v>
      </c>
      <c r="BX164" s="743">
        <f t="shared" si="98"/>
        <v>10.95</v>
      </c>
      <c r="BY164" s="743">
        <f t="shared" si="98"/>
        <v>4.38</v>
      </c>
      <c r="BZ164" s="743"/>
    </row>
    <row r="165" spans="55:78">
      <c r="BC165" s="723" t="s">
        <v>1539</v>
      </c>
      <c r="BD165" s="723" t="s">
        <v>134</v>
      </c>
      <c r="BE165" s="743">
        <f>AE27</f>
        <v>6.6748800000000008</v>
      </c>
      <c r="BF165" s="743"/>
      <c r="BG165" s="743">
        <f>AG27</f>
        <v>10.93056</v>
      </c>
      <c r="BH165" s="743">
        <f>AH27</f>
        <v>4.9472640000000006</v>
      </c>
      <c r="BI165" s="743">
        <f>AI27</f>
        <v>6.3979200000000001</v>
      </c>
      <c r="BJ165" s="743">
        <f>AJ27</f>
        <v>13.120944000000001</v>
      </c>
      <c r="BK165" s="743"/>
      <c r="BL165" s="743"/>
      <c r="BM165" s="743">
        <f t="shared" ref="BM165:BY165" si="99">AM27</f>
        <v>11.448</v>
      </c>
      <c r="BN165" s="743">
        <f t="shared" si="99"/>
        <v>11.448</v>
      </c>
      <c r="BO165" s="743">
        <f t="shared" si="99"/>
        <v>11.448</v>
      </c>
      <c r="BP165" s="743">
        <f t="shared" si="99"/>
        <v>6.273600000000001</v>
      </c>
      <c r="BQ165" s="743">
        <f t="shared" si="99"/>
        <v>23.954400000000003</v>
      </c>
      <c r="BR165" s="743">
        <f t="shared" si="99"/>
        <v>32.167999999999999</v>
      </c>
      <c r="BS165" s="743">
        <f t="shared" si="99"/>
        <v>18.869119999999999</v>
      </c>
      <c r="BT165" s="743">
        <f t="shared" si="99"/>
        <v>18.508480000000002</v>
      </c>
      <c r="BU165" s="743">
        <f t="shared" si="99"/>
        <v>20.8</v>
      </c>
      <c r="BV165" s="743">
        <f t="shared" si="99"/>
        <v>4.1778133333333338</v>
      </c>
      <c r="BW165" s="743">
        <f t="shared" si="99"/>
        <v>3.3022399999999998</v>
      </c>
      <c r="BX165" s="743">
        <f t="shared" si="99"/>
        <v>3.2563199999999997</v>
      </c>
      <c r="BY165" s="743">
        <f t="shared" si="99"/>
        <v>10.243200000000002</v>
      </c>
      <c r="BZ165" s="743"/>
    </row>
    <row r="166" spans="55:78">
      <c r="BC166" s="213" t="s">
        <v>1149</v>
      </c>
      <c r="BD166" s="723" t="s">
        <v>134</v>
      </c>
      <c r="BE166" s="743">
        <f>BE165-BE164</f>
        <v>-0.99011999999999922</v>
      </c>
      <c r="BF166" s="743"/>
      <c r="BG166" s="743" t="e">
        <f t="shared" ref="BG166:BY166" si="100">BG165-BG164</f>
        <v>#DIV/0!</v>
      </c>
      <c r="BH166" s="743">
        <f t="shared" si="100"/>
        <v>-0.16273599999999977</v>
      </c>
      <c r="BI166" s="743">
        <f t="shared" si="100"/>
        <v>-2.3620799999999997</v>
      </c>
      <c r="BJ166" s="743">
        <f t="shared" si="100"/>
        <v>2.9009440000000009</v>
      </c>
      <c r="BK166" s="743"/>
      <c r="BL166" s="743"/>
      <c r="BM166" s="743">
        <f t="shared" si="100"/>
        <v>-1.6920000000000002</v>
      </c>
      <c r="BN166" s="743" t="e">
        <f t="shared" si="100"/>
        <v>#DIV/0!</v>
      </c>
      <c r="BO166" s="743" t="e">
        <f t="shared" si="100"/>
        <v>#DIV/0!</v>
      </c>
      <c r="BP166" s="743" t="e">
        <f t="shared" si="100"/>
        <v>#DIV/0!</v>
      </c>
      <c r="BQ166" s="743">
        <f t="shared" si="100"/>
        <v>2.0544000000000047</v>
      </c>
      <c r="BR166" s="743">
        <f t="shared" si="100"/>
        <v>14.648</v>
      </c>
      <c r="BS166" s="743">
        <f t="shared" si="100"/>
        <v>3.2957866666666664</v>
      </c>
      <c r="BT166" s="743" t="e">
        <f t="shared" si="100"/>
        <v>#DIV/0!</v>
      </c>
      <c r="BU166" s="743" t="e">
        <f t="shared" si="100"/>
        <v>#DIV/0!</v>
      </c>
      <c r="BV166" s="743">
        <f t="shared" si="100"/>
        <v>-3.122186666666666</v>
      </c>
      <c r="BW166" s="743">
        <f t="shared" si="100"/>
        <v>1.1122399999999999</v>
      </c>
      <c r="BX166" s="743">
        <f t="shared" si="100"/>
        <v>-7.6936799999999996</v>
      </c>
      <c r="BY166" s="743">
        <f t="shared" si="100"/>
        <v>5.8632000000000017</v>
      </c>
      <c r="BZ166" s="743"/>
    </row>
    <row r="188" spans="55:78">
      <c r="BC188" s="742" t="s">
        <v>102</v>
      </c>
    </row>
    <row r="189" spans="55:78">
      <c r="BC189" s="723" t="s">
        <v>420</v>
      </c>
      <c r="BD189" s="723" t="s">
        <v>209</v>
      </c>
      <c r="BE189" s="741">
        <f t="shared" ref="BE189:BY189" si="101">BE4</f>
        <v>40</v>
      </c>
      <c r="BF189" s="741"/>
      <c r="BG189" s="741">
        <f t="shared" si="101"/>
        <v>0</v>
      </c>
      <c r="BH189" s="741">
        <f t="shared" si="101"/>
        <v>60</v>
      </c>
      <c r="BI189" s="741">
        <f t="shared" si="101"/>
        <v>20</v>
      </c>
      <c r="BJ189" s="741">
        <f t="shared" si="101"/>
        <v>10</v>
      </c>
      <c r="BK189" s="741"/>
      <c r="BL189" s="741"/>
      <c r="BM189" s="741">
        <f t="shared" si="101"/>
        <v>10</v>
      </c>
      <c r="BN189" s="741">
        <f t="shared" si="101"/>
        <v>0</v>
      </c>
      <c r="BO189" s="741">
        <f t="shared" si="101"/>
        <v>0</v>
      </c>
      <c r="BP189" s="741">
        <f t="shared" si="101"/>
        <v>0</v>
      </c>
      <c r="BQ189" s="741">
        <f t="shared" si="101"/>
        <v>5</v>
      </c>
      <c r="BR189" s="741">
        <f t="shared" si="101"/>
        <v>5</v>
      </c>
      <c r="BS189" s="741">
        <f t="shared" si="101"/>
        <v>30</v>
      </c>
      <c r="BT189" s="741">
        <f t="shared" si="101"/>
        <v>0</v>
      </c>
      <c r="BU189" s="741">
        <f t="shared" si="101"/>
        <v>0</v>
      </c>
      <c r="BV189" s="741">
        <f t="shared" si="101"/>
        <v>30</v>
      </c>
      <c r="BW189" s="741">
        <f t="shared" si="101"/>
        <v>100</v>
      </c>
      <c r="BX189" s="741">
        <f t="shared" si="101"/>
        <v>20</v>
      </c>
      <c r="BY189" s="741">
        <f t="shared" si="101"/>
        <v>20</v>
      </c>
      <c r="BZ189" s="741"/>
    </row>
    <row r="190" spans="55:78">
      <c r="BC190" s="723" t="s">
        <v>1539</v>
      </c>
      <c r="BD190" s="723" t="s">
        <v>209</v>
      </c>
      <c r="BE190" s="741">
        <f>AE29</f>
        <v>51.470588235294116</v>
      </c>
      <c r="BF190" s="741"/>
      <c r="BG190" s="741">
        <f>AG29</f>
        <v>24.881516587677726</v>
      </c>
      <c r="BH190" s="741">
        <f>AH29</f>
        <v>69.444444444444429</v>
      </c>
      <c r="BI190" s="741">
        <f>AI29</f>
        <v>26.184538653366584</v>
      </c>
      <c r="BJ190" s="741">
        <f>AJ29</f>
        <v>9.9150141643059477</v>
      </c>
      <c r="BK190" s="741"/>
      <c r="BL190" s="741"/>
      <c r="BM190" s="741">
        <f t="shared" ref="BM190:BY190" si="102">AM29</f>
        <v>15.909090909090908</v>
      </c>
      <c r="BN190" s="741">
        <f t="shared" si="102"/>
        <v>15.909090909090908</v>
      </c>
      <c r="BO190" s="741">
        <f t="shared" si="102"/>
        <v>15.909090909090908</v>
      </c>
      <c r="BP190" s="741">
        <f t="shared" si="102"/>
        <v>28.688524590163933</v>
      </c>
      <c r="BQ190" s="741">
        <f t="shared" si="102"/>
        <v>4.5691906005221927</v>
      </c>
      <c r="BR190" s="741">
        <f t="shared" si="102"/>
        <v>6.1403508771929829</v>
      </c>
      <c r="BS190" s="741">
        <f t="shared" si="102"/>
        <v>18.683274021352315</v>
      </c>
      <c r="BT190" s="741">
        <f t="shared" si="102"/>
        <v>16.990291262135919</v>
      </c>
      <c r="BU190" s="741">
        <f t="shared" si="102"/>
        <v>19.662921348314608</v>
      </c>
      <c r="BV190" s="741">
        <f t="shared" si="102"/>
        <v>28.688524590163933</v>
      </c>
      <c r="BW190" s="741">
        <f t="shared" si="102"/>
        <v>59.322033898305079</v>
      </c>
      <c r="BX190" s="741">
        <f t="shared" si="102"/>
        <v>41.666666666666664</v>
      </c>
      <c r="BY190" s="741">
        <f t="shared" si="102"/>
        <v>19.662921348314608</v>
      </c>
      <c r="BZ190" s="741"/>
    </row>
    <row r="191" spans="55:78">
      <c r="BC191" s="213" t="s">
        <v>1149</v>
      </c>
      <c r="BD191" s="723" t="s">
        <v>209</v>
      </c>
      <c r="BE191" s="743">
        <f>BE190-BE189</f>
        <v>11.470588235294116</v>
      </c>
      <c r="BF191" s="743"/>
      <c r="BG191" s="743">
        <f t="shared" ref="BG191:BY191" si="103">BG190-BG189</f>
        <v>24.881516587677726</v>
      </c>
      <c r="BH191" s="743">
        <f t="shared" si="103"/>
        <v>9.4444444444444287</v>
      </c>
      <c r="BI191" s="743">
        <f t="shared" si="103"/>
        <v>6.1845386533665838</v>
      </c>
      <c r="BJ191" s="743">
        <f t="shared" si="103"/>
        <v>-8.498583569405227E-2</v>
      </c>
      <c r="BK191" s="743"/>
      <c r="BL191" s="743"/>
      <c r="BM191" s="743">
        <f t="shared" si="103"/>
        <v>5.9090909090909083</v>
      </c>
      <c r="BN191" s="743">
        <f t="shared" si="103"/>
        <v>15.909090909090908</v>
      </c>
      <c r="BO191" s="743">
        <f t="shared" si="103"/>
        <v>15.909090909090908</v>
      </c>
      <c r="BP191" s="743">
        <f t="shared" si="103"/>
        <v>28.688524590163933</v>
      </c>
      <c r="BQ191" s="743">
        <f t="shared" si="103"/>
        <v>-0.43080939947780728</v>
      </c>
      <c r="BR191" s="743">
        <f t="shared" si="103"/>
        <v>1.1403508771929829</v>
      </c>
      <c r="BS191" s="741">
        <f t="shared" si="103"/>
        <v>-11.316725978647685</v>
      </c>
      <c r="BT191" s="741">
        <f t="shared" si="103"/>
        <v>16.990291262135919</v>
      </c>
      <c r="BU191" s="741">
        <f t="shared" si="103"/>
        <v>19.662921348314608</v>
      </c>
      <c r="BV191" s="743">
        <f t="shared" si="103"/>
        <v>-1.311475409836067</v>
      </c>
      <c r="BW191" s="741">
        <f t="shared" si="103"/>
        <v>-40.677966101694921</v>
      </c>
      <c r="BX191" s="743">
        <f t="shared" si="103"/>
        <v>21.666666666666664</v>
      </c>
      <c r="BY191" s="743">
        <f t="shared" si="103"/>
        <v>-0.33707865168539186</v>
      </c>
      <c r="BZ191" s="743"/>
    </row>
    <row r="214" spans="55:78">
      <c r="BC214" s="742" t="s">
        <v>1098</v>
      </c>
    </row>
    <row r="215" spans="55:78">
      <c r="BC215" s="723" t="s">
        <v>420</v>
      </c>
      <c r="BD215" s="723" t="s">
        <v>209</v>
      </c>
      <c r="BE215" s="741">
        <f>BE3</f>
        <v>20</v>
      </c>
      <c r="BF215" s="741"/>
      <c r="BG215" s="741">
        <f>BG30</f>
        <v>0</v>
      </c>
      <c r="BH215" s="741">
        <f t="shared" ref="BH215:BY215" si="104">BH3</f>
        <v>20</v>
      </c>
      <c r="BI215" s="741">
        <f t="shared" si="104"/>
        <v>20</v>
      </c>
      <c r="BJ215" s="741">
        <f t="shared" si="104"/>
        <v>20</v>
      </c>
      <c r="BK215" s="741">
        <f t="shared" si="104"/>
        <v>0</v>
      </c>
      <c r="BL215" s="741">
        <f t="shared" si="104"/>
        <v>0</v>
      </c>
      <c r="BM215" s="741">
        <f t="shared" si="104"/>
        <v>20</v>
      </c>
      <c r="BN215" s="741">
        <f t="shared" si="104"/>
        <v>0</v>
      </c>
      <c r="BO215" s="741">
        <f t="shared" si="104"/>
        <v>0</v>
      </c>
      <c r="BP215" s="741">
        <f t="shared" si="104"/>
        <v>0</v>
      </c>
      <c r="BQ215" s="741">
        <f t="shared" si="104"/>
        <v>20</v>
      </c>
      <c r="BR215" s="741">
        <f t="shared" si="104"/>
        <v>20</v>
      </c>
      <c r="BS215" s="741">
        <f t="shared" si="104"/>
        <v>22</v>
      </c>
      <c r="BT215" s="741">
        <f t="shared" si="104"/>
        <v>0</v>
      </c>
      <c r="BU215" s="741">
        <f t="shared" si="104"/>
        <v>0</v>
      </c>
      <c r="BV215" s="741">
        <f t="shared" si="104"/>
        <v>18</v>
      </c>
      <c r="BW215" s="741">
        <f t="shared" si="104"/>
        <v>18</v>
      </c>
      <c r="BX215" s="741">
        <f t="shared" si="104"/>
        <v>18</v>
      </c>
      <c r="BY215" s="741">
        <f t="shared" si="104"/>
        <v>28</v>
      </c>
      <c r="BZ215" s="741"/>
    </row>
    <row r="216" spans="55:78">
      <c r="BC216" s="723" t="s">
        <v>1539</v>
      </c>
      <c r="BD216" s="723" t="s">
        <v>209</v>
      </c>
      <c r="BE216" s="741">
        <f>CD3</f>
        <v>22</v>
      </c>
      <c r="BF216" s="741"/>
      <c r="BG216" s="741">
        <f>AG55</f>
        <v>0</v>
      </c>
      <c r="BH216" s="741">
        <f t="shared" ref="BH216:BS216" si="105">CG3</f>
        <v>22</v>
      </c>
      <c r="BI216" s="741">
        <f t="shared" si="105"/>
        <v>22</v>
      </c>
      <c r="BJ216" s="741">
        <f t="shared" si="105"/>
        <v>22</v>
      </c>
      <c r="BK216" s="741">
        <f t="shared" si="105"/>
        <v>0</v>
      </c>
      <c r="BL216" s="741">
        <f t="shared" si="105"/>
        <v>0</v>
      </c>
      <c r="BM216" s="741">
        <f t="shared" si="105"/>
        <v>22</v>
      </c>
      <c r="BN216" s="741">
        <f t="shared" si="105"/>
        <v>0</v>
      </c>
      <c r="BO216" s="741">
        <f t="shared" si="105"/>
        <v>0</v>
      </c>
      <c r="BP216" s="741">
        <f t="shared" si="105"/>
        <v>0</v>
      </c>
      <c r="BQ216" s="741">
        <f t="shared" si="105"/>
        <v>22</v>
      </c>
      <c r="BR216" s="741">
        <f t="shared" si="105"/>
        <v>22</v>
      </c>
      <c r="BS216" s="741">
        <f t="shared" si="105"/>
        <v>22</v>
      </c>
      <c r="BT216" s="741">
        <f>CU3</f>
        <v>20</v>
      </c>
      <c r="BU216" s="741">
        <f>CV3</f>
        <v>18</v>
      </c>
      <c r="BV216" s="741">
        <f t="shared" ref="BV216:BY216" si="106">CU3</f>
        <v>20</v>
      </c>
      <c r="BW216" s="741">
        <f t="shared" si="106"/>
        <v>18</v>
      </c>
      <c r="BX216" s="741">
        <f t="shared" si="106"/>
        <v>18</v>
      </c>
      <c r="BY216" s="741">
        <f t="shared" si="106"/>
        <v>28</v>
      </c>
      <c r="BZ216" s="741"/>
    </row>
    <row r="217" spans="55:78">
      <c r="BC217" s="213" t="s">
        <v>1149</v>
      </c>
      <c r="BD217" s="723" t="s">
        <v>209</v>
      </c>
      <c r="BE217" s="743">
        <f>BE216-BE215</f>
        <v>2</v>
      </c>
      <c r="BF217" s="743"/>
      <c r="BG217" s="743">
        <f>BG216-BG215</f>
        <v>0</v>
      </c>
      <c r="BH217" s="743">
        <f>BH216-BH215</f>
        <v>2</v>
      </c>
      <c r="BI217" s="743">
        <f>BI216-BI215</f>
        <v>2</v>
      </c>
      <c r="BJ217" s="743">
        <f>BJ216-BJ215</f>
        <v>2</v>
      </c>
      <c r="BK217" s="743"/>
      <c r="BL217" s="743"/>
      <c r="BM217" s="743">
        <f t="shared" ref="BM217:BY217" si="107">BM216-BM215</f>
        <v>2</v>
      </c>
      <c r="BN217" s="743">
        <f t="shared" si="107"/>
        <v>0</v>
      </c>
      <c r="BO217" s="743">
        <f t="shared" si="107"/>
        <v>0</v>
      </c>
      <c r="BP217" s="743">
        <f t="shared" si="107"/>
        <v>0</v>
      </c>
      <c r="BQ217" s="743">
        <f t="shared" si="107"/>
        <v>2</v>
      </c>
      <c r="BR217" s="743">
        <f t="shared" si="107"/>
        <v>2</v>
      </c>
      <c r="BS217" s="741">
        <f t="shared" si="107"/>
        <v>0</v>
      </c>
      <c r="BT217" s="741">
        <f t="shared" si="107"/>
        <v>20</v>
      </c>
      <c r="BU217" s="741">
        <f t="shared" si="107"/>
        <v>18</v>
      </c>
      <c r="BV217" s="743">
        <f t="shared" si="107"/>
        <v>2</v>
      </c>
      <c r="BW217" s="741">
        <f t="shared" si="107"/>
        <v>0</v>
      </c>
      <c r="BX217" s="743">
        <f t="shared" si="107"/>
        <v>0</v>
      </c>
      <c r="BY217" s="743">
        <f t="shared" si="107"/>
        <v>0</v>
      </c>
      <c r="BZ217" s="743"/>
    </row>
  </sheetData>
  <dataConsolidate/>
  <mergeCells count="2">
    <mergeCell ref="FW2:FX2"/>
    <mergeCell ref="GV2:GW2"/>
  </mergeCells>
  <pageMargins left="0.25" right="0.25" top="0.75" bottom="0.75" header="0.3" footer="0.3"/>
  <pageSetup paperSize="9" scale="10" orientation="portrait" r:id="rId1"/>
  <headerFooter alignWithMargins="0">
    <oddHeader>&amp;CSIA 2024 Raum-Datenblätter</oddHeader>
    <oddFooter>&amp;CSIA 2024, Copyright © 2021 by SIA Zurich</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blFlächeE2">
    <tabColor theme="9" tint="0.59999389629810485"/>
    <pageSetUpPr fitToPage="1"/>
  </sheetPr>
  <dimension ref="A1:HS217"/>
  <sheetViews>
    <sheetView showRowColHeaders="0" topLeftCell="Y1" zoomScaleNormal="100" workbookViewId="0">
      <pane ySplit="2" topLeftCell="A3" activePane="bottomLeft" state="frozen"/>
      <selection pane="bottomLeft" activeCell="AE6" sqref="AE6:AY7"/>
    </sheetView>
  </sheetViews>
  <sheetFormatPr baseColWidth="10" defaultColWidth="11.4609375" defaultRowHeight="11.6"/>
  <cols>
    <col min="1" max="1" width="5.69140625" style="723" customWidth="1"/>
    <col min="2" max="2" width="26.23046875" style="723" customWidth="1"/>
    <col min="3" max="3" width="3.4609375" style="723" customWidth="1"/>
    <col min="4" max="25" width="3.765625" style="746" customWidth="1"/>
    <col min="26" max="28" width="5.23046875" style="723" customWidth="1"/>
    <col min="29" max="29" width="42.765625" style="723" customWidth="1"/>
    <col min="30" max="30" width="8.53515625" style="723" customWidth="1"/>
    <col min="31" max="31" width="5.23046875" style="723" customWidth="1"/>
    <col min="32" max="33" width="5.23046875" style="723" hidden="1" customWidth="1"/>
    <col min="34" max="34" width="5.53515625" style="723" customWidth="1"/>
    <col min="35" max="36" width="5.23046875" style="723" customWidth="1"/>
    <col min="37" max="38" width="5.23046875" style="723" hidden="1" customWidth="1"/>
    <col min="39" max="39" width="5.23046875" style="723" customWidth="1"/>
    <col min="40" max="40" width="5.69140625" style="723" hidden="1" customWidth="1"/>
    <col min="41" max="42" width="5.23046875" style="723" hidden="1" customWidth="1"/>
    <col min="43" max="45" width="5.23046875" style="723" customWidth="1"/>
    <col min="46" max="47" width="5.23046875" style="723" hidden="1" customWidth="1"/>
    <col min="48" max="51" width="5.23046875" style="723" customWidth="1"/>
    <col min="52" max="52" width="5.23046875" style="723" hidden="1" customWidth="1"/>
    <col min="53" max="53" width="11.4609375" style="723"/>
    <col min="54" max="54" width="10.23046875" style="723" customWidth="1"/>
    <col min="55" max="55" width="32.23046875" style="723" customWidth="1"/>
    <col min="56" max="56" width="8.53515625" style="723" customWidth="1"/>
    <col min="57" max="57" width="4.765625" style="723" customWidth="1"/>
    <col min="58" max="59" width="4.765625" style="723" hidden="1" customWidth="1"/>
    <col min="60" max="62" width="4.765625" style="723" customWidth="1"/>
    <col min="63" max="64" width="4.765625" style="723" hidden="1" customWidth="1"/>
    <col min="65" max="65" width="4.765625" style="723" customWidth="1"/>
    <col min="66" max="68" width="4.765625" style="723" hidden="1" customWidth="1"/>
    <col min="69" max="71" width="4.765625" style="723" customWidth="1"/>
    <col min="72" max="73" width="4.765625" style="723" hidden="1" customWidth="1"/>
    <col min="74" max="77" width="4.765625" style="723" customWidth="1"/>
    <col min="78" max="78" width="4.23046875" style="723" hidden="1" customWidth="1"/>
    <col min="79" max="79" width="11.4609375" style="723"/>
    <col min="80" max="80" width="40.53515625" style="723" customWidth="1"/>
    <col min="81" max="81" width="8.53515625" style="723" customWidth="1"/>
    <col min="82" max="82" width="3.765625" style="723" customWidth="1"/>
    <col min="83" max="84" width="3.765625" style="723" hidden="1" customWidth="1"/>
    <col min="85" max="87" width="3.765625" style="723" customWidth="1"/>
    <col min="88" max="89" width="3.765625" style="723" hidden="1" customWidth="1"/>
    <col min="90" max="90" width="3.765625" style="723" customWidth="1"/>
    <col min="91" max="93" width="3.765625" style="723" hidden="1" customWidth="1"/>
    <col min="94" max="96" width="3.765625" style="723" customWidth="1"/>
    <col min="97" max="98" width="3.765625" style="723" hidden="1" customWidth="1"/>
    <col min="99" max="102" width="3.765625" style="723" customWidth="1"/>
    <col min="103" max="103" width="3.53515625" style="723" hidden="1" customWidth="1"/>
    <col min="104" max="105" width="11.4609375" style="723"/>
    <col min="106" max="106" width="23" style="723" customWidth="1"/>
    <col min="107" max="107" width="8.53515625" style="723" customWidth="1"/>
    <col min="108" max="108" width="5" style="723" customWidth="1"/>
    <col min="109" max="111" width="5" style="723" hidden="1" customWidth="1"/>
    <col min="112" max="113" width="5" style="723" customWidth="1"/>
    <col min="114" max="116" width="5" style="723" hidden="1" customWidth="1"/>
    <col min="117" max="118" width="5" style="723" customWidth="1"/>
    <col min="119" max="119" width="5" style="723" hidden="1" customWidth="1"/>
    <col min="120" max="120" width="5" style="723" customWidth="1"/>
    <col min="121" max="127" width="5" style="723" hidden="1" customWidth="1"/>
    <col min="128" max="129" width="11.4609375" style="723"/>
    <col min="130" max="130" width="16.765625" style="723" customWidth="1"/>
    <col min="131" max="131" width="10.53515625" style="723" customWidth="1"/>
    <col min="132" max="132" width="4" style="723" customWidth="1"/>
    <col min="133" max="134" width="4" style="723" hidden="1" customWidth="1"/>
    <col min="135" max="135" width="4" style="723" customWidth="1"/>
    <col min="136" max="136" width="4.4609375" style="723" customWidth="1"/>
    <col min="137" max="137" width="4" style="723" customWidth="1"/>
    <col min="138" max="139" width="4" style="723" hidden="1" customWidth="1"/>
    <col min="140" max="140" width="4.53515625" style="723" customWidth="1"/>
    <col min="141" max="143" width="4" style="723" hidden="1" customWidth="1"/>
    <col min="144" max="144" width="4.69140625" style="723" customWidth="1"/>
    <col min="145" max="145" width="4" style="723" customWidth="1"/>
    <col min="146" max="146" width="4.4609375" style="723" customWidth="1"/>
    <col min="147" max="148" width="4" style="723" hidden="1" customWidth="1"/>
    <col min="149" max="151" width="4" style="723" customWidth="1"/>
    <col min="152" max="152" width="4" style="723" hidden="1" customWidth="1"/>
    <col min="153" max="153" width="11.4609375" style="723"/>
    <col min="154" max="154" width="20.23046875" style="723" customWidth="1"/>
    <col min="155" max="155" width="9" style="723" customWidth="1"/>
    <col min="156" max="156" width="4.23046875" style="723" customWidth="1"/>
    <col min="157" max="158" width="4.23046875" style="723" hidden="1" customWidth="1"/>
    <col min="159" max="161" width="4.23046875" style="723" customWidth="1"/>
    <col min="162" max="163" width="4.23046875" style="723" hidden="1" customWidth="1"/>
    <col min="164" max="164" width="4.23046875" style="723" customWidth="1"/>
    <col min="165" max="167" width="4.23046875" style="723" hidden="1" customWidth="1"/>
    <col min="168" max="170" width="4.23046875" style="723" customWidth="1"/>
    <col min="171" max="172" width="4.23046875" style="723" hidden="1" customWidth="1"/>
    <col min="173" max="175" width="4.23046875" style="723" customWidth="1"/>
    <col min="176" max="177" width="4.23046875" style="723" hidden="1" customWidth="1"/>
    <col min="178" max="178" width="4.23046875" style="723" customWidth="1"/>
    <col min="179" max="179" width="23" style="723" customWidth="1"/>
    <col min="180" max="180" width="8.765625" style="723" customWidth="1"/>
    <col min="181" max="181" width="4.765625" style="723" hidden="1" customWidth="1"/>
    <col min="182" max="185" width="4.765625" style="723" customWidth="1"/>
    <col min="186" max="186" width="4.765625" style="723" hidden="1" customWidth="1"/>
    <col min="187" max="188" width="4.765625" style="723" customWidth="1"/>
    <col min="189" max="189" width="4.765625" style="723" hidden="1" customWidth="1"/>
    <col min="190" max="190" width="5.23046875" style="723" customWidth="1"/>
    <col min="191" max="191" width="4.765625" style="723" customWidth="1"/>
    <col min="192" max="192" width="4.765625" style="723" hidden="1" customWidth="1"/>
    <col min="193" max="194" width="4.765625" style="723" customWidth="1"/>
    <col min="195" max="195" width="4.765625" style="723" hidden="1" customWidth="1"/>
    <col min="196" max="202" width="4.765625" style="723" customWidth="1"/>
    <col min="203" max="203" width="11.4609375" style="723"/>
    <col min="204" max="204" width="26.23046875" style="723" customWidth="1"/>
    <col min="205" max="205" width="9.69140625" style="723" customWidth="1"/>
    <col min="206" max="206" width="4.765625" style="723" hidden="1" customWidth="1"/>
    <col min="207" max="210" width="4.765625" style="723" customWidth="1"/>
    <col min="211" max="211" width="4.765625" style="723" hidden="1" customWidth="1"/>
    <col min="212" max="213" width="4.765625" style="723" customWidth="1"/>
    <col min="214" max="214" width="4.765625" style="723" hidden="1" customWidth="1"/>
    <col min="215" max="216" width="4.765625" style="723" customWidth="1"/>
    <col min="217" max="217" width="4.765625" style="723" hidden="1" customWidth="1"/>
    <col min="218" max="219" width="4.765625" style="723" customWidth="1"/>
    <col min="220" max="220" width="4.765625" style="723" hidden="1" customWidth="1"/>
    <col min="221" max="227" width="4.765625" style="723" customWidth="1"/>
    <col min="228" max="16384" width="11.4609375" style="723"/>
  </cols>
  <sheetData>
    <row r="1" spans="1:227">
      <c r="D1" s="724" t="s">
        <v>379</v>
      </c>
      <c r="E1" s="724" t="s">
        <v>1107</v>
      </c>
      <c r="F1" s="724" t="s">
        <v>1140</v>
      </c>
      <c r="G1" s="724" t="s">
        <v>380</v>
      </c>
      <c r="H1" s="724" t="s">
        <v>381</v>
      </c>
      <c r="I1" s="724" t="s">
        <v>382</v>
      </c>
      <c r="J1" s="724" t="s">
        <v>1138</v>
      </c>
      <c r="K1" s="724" t="s">
        <v>1139</v>
      </c>
      <c r="L1" s="724" t="s">
        <v>383</v>
      </c>
      <c r="M1" s="724" t="s">
        <v>1108</v>
      </c>
      <c r="N1" s="724" t="s">
        <v>1109</v>
      </c>
      <c r="O1" s="724" t="s">
        <v>1110</v>
      </c>
      <c r="P1" s="724" t="s">
        <v>384</v>
      </c>
      <c r="Q1" s="724" t="s">
        <v>385</v>
      </c>
      <c r="R1" s="724" t="s">
        <v>386</v>
      </c>
      <c r="S1" s="724" t="s">
        <v>1155</v>
      </c>
      <c r="T1" s="724" t="s">
        <v>1156</v>
      </c>
      <c r="U1" s="724" t="s">
        <v>387</v>
      </c>
      <c r="V1" s="724" t="s">
        <v>139</v>
      </c>
      <c r="W1" s="724" t="s">
        <v>388</v>
      </c>
      <c r="X1" s="724" t="s">
        <v>389</v>
      </c>
      <c r="Y1" s="724" t="s">
        <v>1111</v>
      </c>
      <c r="AA1" s="768"/>
      <c r="AC1" s="795" t="s">
        <v>1532</v>
      </c>
      <c r="AD1" s="796">
        <v>0.8</v>
      </c>
      <c r="AE1" s="725" t="str">
        <f t="shared" ref="AE1:AT2" si="0">D1</f>
        <v>I</v>
      </c>
      <c r="AF1" s="725" t="str">
        <f t="shared" si="0"/>
        <v>I.1</v>
      </c>
      <c r="AG1" s="724" t="str">
        <f t="shared" si="0"/>
        <v>I.2</v>
      </c>
      <c r="AH1" s="724" t="str">
        <f t="shared" si="0"/>
        <v>II</v>
      </c>
      <c r="AI1" s="724" t="str">
        <f t="shared" si="0"/>
        <v>III</v>
      </c>
      <c r="AJ1" s="724" t="str">
        <f t="shared" si="0"/>
        <v>IV</v>
      </c>
      <c r="AK1" s="724" t="str">
        <f t="shared" si="0"/>
        <v>IV.1</v>
      </c>
      <c r="AL1" s="724" t="str">
        <f t="shared" si="0"/>
        <v>IV.2</v>
      </c>
      <c r="AM1" s="724" t="str">
        <f t="shared" si="0"/>
        <v>V</v>
      </c>
      <c r="AN1" s="724" t="str">
        <f t="shared" si="0"/>
        <v>V.1</v>
      </c>
      <c r="AO1" s="724" t="str">
        <f t="shared" si="0"/>
        <v>V.2</v>
      </c>
      <c r="AP1" s="724" t="str">
        <f t="shared" si="0"/>
        <v>V.3</v>
      </c>
      <c r="AQ1" s="724" t="str">
        <f t="shared" si="0"/>
        <v>VI</v>
      </c>
      <c r="AR1" s="724" t="str">
        <f t="shared" si="0"/>
        <v>VII</v>
      </c>
      <c r="AS1" s="724" t="str">
        <f t="shared" si="0"/>
        <v>VIII</v>
      </c>
      <c r="AT1" s="724" t="str">
        <f t="shared" si="0"/>
        <v>VIII.1</v>
      </c>
      <c r="AU1" s="724" t="str">
        <f t="shared" ref="AO1:AZ2" si="1">T1</f>
        <v>VIII.2</v>
      </c>
      <c r="AV1" s="724" t="str">
        <f t="shared" si="1"/>
        <v>IX</v>
      </c>
      <c r="AW1" s="724" t="str">
        <f t="shared" si="1"/>
        <v>X</v>
      </c>
      <c r="AX1" s="724" t="str">
        <f t="shared" si="1"/>
        <v>XI</v>
      </c>
      <c r="AY1" s="724" t="str">
        <f t="shared" si="1"/>
        <v>XII</v>
      </c>
      <c r="AZ1" s="724" t="str">
        <f t="shared" si="1"/>
        <v>XIII</v>
      </c>
      <c r="BC1" s="726" t="s">
        <v>1125</v>
      </c>
      <c r="BD1" s="727"/>
      <c r="BE1" s="724" t="str">
        <f t="shared" ref="BE1:BT2" si="2">D1</f>
        <v>I</v>
      </c>
      <c r="BF1" s="724" t="str">
        <f t="shared" si="2"/>
        <v>I.1</v>
      </c>
      <c r="BG1" s="724" t="str">
        <f t="shared" si="2"/>
        <v>I.2</v>
      </c>
      <c r="BH1" s="724" t="str">
        <f t="shared" si="2"/>
        <v>II</v>
      </c>
      <c r="BI1" s="724" t="str">
        <f t="shared" si="2"/>
        <v>III</v>
      </c>
      <c r="BJ1" s="724" t="str">
        <f t="shared" si="2"/>
        <v>IV</v>
      </c>
      <c r="BK1" s="724" t="str">
        <f t="shared" si="2"/>
        <v>IV.1</v>
      </c>
      <c r="BL1" s="724" t="str">
        <f t="shared" si="2"/>
        <v>IV.2</v>
      </c>
      <c r="BM1" s="724" t="str">
        <f t="shared" si="2"/>
        <v>V</v>
      </c>
      <c r="BN1" s="724" t="str">
        <f t="shared" si="2"/>
        <v>V.1</v>
      </c>
      <c r="BO1" s="724" t="str">
        <f t="shared" si="2"/>
        <v>V.2</v>
      </c>
      <c r="BP1" s="724" t="str">
        <f t="shared" si="2"/>
        <v>V.3</v>
      </c>
      <c r="BQ1" s="724" t="str">
        <f t="shared" si="2"/>
        <v>VI</v>
      </c>
      <c r="BR1" s="724" t="str">
        <f t="shared" si="2"/>
        <v>VII</v>
      </c>
      <c r="BS1" s="724" t="str">
        <f t="shared" si="2"/>
        <v>VIII</v>
      </c>
      <c r="BT1" s="724" t="str">
        <f t="shared" si="2"/>
        <v>VIII.1</v>
      </c>
      <c r="BU1" s="724" t="str">
        <f t="shared" ref="BO1:BZ2" si="3">T1</f>
        <v>VIII.2</v>
      </c>
      <c r="BV1" s="724" t="str">
        <f t="shared" si="3"/>
        <v>IX</v>
      </c>
      <c r="BW1" s="724" t="str">
        <f t="shared" si="3"/>
        <v>X</v>
      </c>
      <c r="BX1" s="724" t="str">
        <f t="shared" si="3"/>
        <v>XI</v>
      </c>
      <c r="BY1" s="724" t="str">
        <f t="shared" si="3"/>
        <v>XII</v>
      </c>
      <c r="BZ1" s="724" t="str">
        <f t="shared" si="3"/>
        <v>XIII</v>
      </c>
      <c r="CB1" s="757" t="s">
        <v>1126</v>
      </c>
      <c r="CC1" s="727"/>
      <c r="CD1" s="724" t="str">
        <f t="shared" ref="CD1:CS2" si="4">D1</f>
        <v>I</v>
      </c>
      <c r="CE1" s="724" t="str">
        <f t="shared" si="4"/>
        <v>I.1</v>
      </c>
      <c r="CF1" s="724" t="str">
        <f t="shared" si="4"/>
        <v>I.2</v>
      </c>
      <c r="CG1" s="724" t="str">
        <f t="shared" si="4"/>
        <v>II</v>
      </c>
      <c r="CH1" s="724" t="str">
        <f t="shared" si="4"/>
        <v>III</v>
      </c>
      <c r="CI1" s="724" t="str">
        <f t="shared" si="4"/>
        <v>IV</v>
      </c>
      <c r="CJ1" s="724" t="str">
        <f t="shared" si="4"/>
        <v>IV.1</v>
      </c>
      <c r="CK1" s="724" t="str">
        <f t="shared" si="4"/>
        <v>IV.2</v>
      </c>
      <c r="CL1" s="724" t="str">
        <f t="shared" si="4"/>
        <v>V</v>
      </c>
      <c r="CM1" s="724" t="str">
        <f t="shared" si="4"/>
        <v>V.1</v>
      </c>
      <c r="CN1" s="724" t="str">
        <f t="shared" si="4"/>
        <v>V.2</v>
      </c>
      <c r="CO1" s="724" t="str">
        <f t="shared" si="4"/>
        <v>V.3</v>
      </c>
      <c r="CP1" s="724" t="str">
        <f t="shared" si="4"/>
        <v>VI</v>
      </c>
      <c r="CQ1" s="724" t="str">
        <f t="shared" si="4"/>
        <v>VII</v>
      </c>
      <c r="CR1" s="724" t="str">
        <f t="shared" si="4"/>
        <v>VIII</v>
      </c>
      <c r="CS1" s="724" t="str">
        <f t="shared" si="4"/>
        <v>VIII.1</v>
      </c>
      <c r="CT1" s="724" t="str">
        <f t="shared" ref="CN1:CY2" si="5">T1</f>
        <v>VIII.2</v>
      </c>
      <c r="CU1" s="724" t="str">
        <f t="shared" si="5"/>
        <v>IX</v>
      </c>
      <c r="CV1" s="724" t="str">
        <f t="shared" si="5"/>
        <v>X</v>
      </c>
      <c r="CW1" s="724" t="str">
        <f t="shared" si="5"/>
        <v>XI</v>
      </c>
      <c r="CX1" s="724" t="str">
        <f t="shared" si="5"/>
        <v>XII</v>
      </c>
      <c r="CY1" s="724" t="str">
        <f t="shared" si="5"/>
        <v>XIII</v>
      </c>
      <c r="DB1" s="726" t="s">
        <v>1096</v>
      </c>
      <c r="DC1" s="727"/>
      <c r="DD1" s="725" t="str">
        <f t="shared" ref="DD1:DR2" si="6">D1</f>
        <v>I</v>
      </c>
      <c r="DE1" s="725" t="str">
        <f t="shared" si="6"/>
        <v>I.1</v>
      </c>
      <c r="DF1" s="724" t="str">
        <f t="shared" si="6"/>
        <v>I.2</v>
      </c>
      <c r="DG1" s="724" t="str">
        <f t="shared" si="6"/>
        <v>II</v>
      </c>
      <c r="DH1" s="724" t="str">
        <f t="shared" si="6"/>
        <v>III</v>
      </c>
      <c r="DI1" s="724" t="str">
        <f t="shared" si="6"/>
        <v>IV</v>
      </c>
      <c r="DJ1" s="724" t="str">
        <f t="shared" si="6"/>
        <v>IV.1</v>
      </c>
      <c r="DK1" s="724" t="str">
        <f t="shared" si="6"/>
        <v>IV.2</v>
      </c>
      <c r="DL1" s="724" t="str">
        <f t="shared" si="6"/>
        <v>V</v>
      </c>
      <c r="DM1" s="724" t="str">
        <f t="shared" si="6"/>
        <v>V.1</v>
      </c>
      <c r="DN1" s="724" t="str">
        <f t="shared" si="6"/>
        <v>V.2</v>
      </c>
      <c r="DO1" s="724" t="str">
        <f t="shared" si="6"/>
        <v>V.3</v>
      </c>
      <c r="DP1" s="724" t="str">
        <f t="shared" si="6"/>
        <v>VI</v>
      </c>
      <c r="DQ1" s="724" t="str">
        <f t="shared" si="6"/>
        <v>VII</v>
      </c>
      <c r="DR1" s="724" t="str">
        <f t="shared" si="6"/>
        <v>VIII</v>
      </c>
      <c r="DS1" s="724" t="str">
        <f t="shared" ref="DS1:DW2" si="7">U1</f>
        <v>IX</v>
      </c>
      <c r="DT1" s="724" t="str">
        <f t="shared" si="7"/>
        <v>X</v>
      </c>
      <c r="DU1" s="724" t="str">
        <f t="shared" si="7"/>
        <v>XI</v>
      </c>
      <c r="DV1" s="724" t="str">
        <f t="shared" si="7"/>
        <v>XII</v>
      </c>
      <c r="DW1" s="724" t="str">
        <f t="shared" si="7"/>
        <v>XIII</v>
      </c>
      <c r="DZ1" s="726" t="s">
        <v>1294</v>
      </c>
      <c r="EA1" s="798"/>
      <c r="EB1" s="724" t="str">
        <f>$D1</f>
        <v>I</v>
      </c>
      <c r="EC1" s="724" t="str">
        <f t="shared" ref="EC1:ER2" si="8">E1</f>
        <v>I.1</v>
      </c>
      <c r="ED1" s="724" t="str">
        <f t="shared" si="8"/>
        <v>I.2</v>
      </c>
      <c r="EE1" s="724" t="str">
        <f t="shared" si="8"/>
        <v>II</v>
      </c>
      <c r="EF1" s="724" t="str">
        <f t="shared" si="8"/>
        <v>III</v>
      </c>
      <c r="EG1" s="724" t="str">
        <f t="shared" si="8"/>
        <v>IV</v>
      </c>
      <c r="EH1" s="724" t="str">
        <f t="shared" si="8"/>
        <v>IV.1</v>
      </c>
      <c r="EI1" s="724" t="str">
        <f t="shared" si="8"/>
        <v>IV.2</v>
      </c>
      <c r="EJ1" s="724" t="str">
        <f t="shared" si="8"/>
        <v>V</v>
      </c>
      <c r="EK1" s="724" t="str">
        <f t="shared" si="8"/>
        <v>V.1</v>
      </c>
      <c r="EL1" s="724" t="str">
        <f t="shared" si="8"/>
        <v>V.2</v>
      </c>
      <c r="EM1" s="724" t="str">
        <f t="shared" si="8"/>
        <v>V.3</v>
      </c>
      <c r="EN1" s="724" t="str">
        <f t="shared" si="8"/>
        <v>VI</v>
      </c>
      <c r="EO1" s="724" t="str">
        <f t="shared" si="8"/>
        <v>VII</v>
      </c>
      <c r="EP1" s="724" t="str">
        <f t="shared" si="8"/>
        <v>VIII</v>
      </c>
      <c r="EQ1" s="724" t="str">
        <f t="shared" si="8"/>
        <v>VIII.1</v>
      </c>
      <c r="ER1" s="724" t="str">
        <f t="shared" si="8"/>
        <v>VIII.2</v>
      </c>
      <c r="ES1" s="724" t="str">
        <f t="shared" ref="EM1:EV2" si="9">U1</f>
        <v>IX</v>
      </c>
      <c r="ET1" s="724" t="str">
        <f t="shared" si="9"/>
        <v>X</v>
      </c>
      <c r="EU1" s="724" t="str">
        <f t="shared" si="9"/>
        <v>XI</v>
      </c>
      <c r="EV1" s="725" t="str">
        <f t="shared" si="9"/>
        <v>XII</v>
      </c>
      <c r="EX1" s="726" t="s">
        <v>1295</v>
      </c>
      <c r="EY1" s="798"/>
      <c r="EZ1" s="724" t="str">
        <f t="shared" ref="EZ1:FO2" si="10">D1</f>
        <v>I</v>
      </c>
      <c r="FA1" s="724" t="str">
        <f t="shared" si="10"/>
        <v>I.1</v>
      </c>
      <c r="FB1" s="724" t="str">
        <f t="shared" si="10"/>
        <v>I.2</v>
      </c>
      <c r="FC1" s="724" t="str">
        <f t="shared" si="10"/>
        <v>II</v>
      </c>
      <c r="FD1" s="724" t="str">
        <f t="shared" si="10"/>
        <v>III</v>
      </c>
      <c r="FE1" s="724" t="str">
        <f t="shared" si="10"/>
        <v>IV</v>
      </c>
      <c r="FF1" s="724" t="str">
        <f t="shared" si="10"/>
        <v>IV.1</v>
      </c>
      <c r="FG1" s="724" t="str">
        <f t="shared" si="10"/>
        <v>IV.2</v>
      </c>
      <c r="FH1" s="724" t="str">
        <f t="shared" si="10"/>
        <v>V</v>
      </c>
      <c r="FI1" s="724" t="str">
        <f t="shared" si="10"/>
        <v>V.1</v>
      </c>
      <c r="FJ1" s="724" t="str">
        <f t="shared" si="10"/>
        <v>V.2</v>
      </c>
      <c r="FK1" s="724" t="str">
        <f t="shared" si="10"/>
        <v>V.3</v>
      </c>
      <c r="FL1" s="724" t="str">
        <f t="shared" si="10"/>
        <v>VI</v>
      </c>
      <c r="FM1" s="724" t="str">
        <f t="shared" si="10"/>
        <v>VII</v>
      </c>
      <c r="FN1" s="724" t="str">
        <f t="shared" si="10"/>
        <v>VIII</v>
      </c>
      <c r="FO1" s="724" t="str">
        <f t="shared" si="10"/>
        <v>VIII.1</v>
      </c>
      <c r="FP1" s="724" t="str">
        <f t="shared" ref="FJ1:FU2" si="11">T1</f>
        <v>VIII.2</v>
      </c>
      <c r="FQ1" s="724" t="str">
        <f t="shared" si="11"/>
        <v>IX</v>
      </c>
      <c r="FR1" s="724" t="str">
        <f t="shared" si="11"/>
        <v>X</v>
      </c>
      <c r="FS1" s="724" t="str">
        <f t="shared" si="11"/>
        <v>XI</v>
      </c>
      <c r="FT1" s="724" t="str">
        <f t="shared" si="11"/>
        <v>XII</v>
      </c>
      <c r="FU1" s="803" t="str">
        <f t="shared" si="11"/>
        <v>XIII</v>
      </c>
      <c r="FV1" s="746"/>
      <c r="FW1" s="726" t="s">
        <v>1655</v>
      </c>
      <c r="FX1" s="798"/>
      <c r="FY1" s="724" t="str">
        <f>D1</f>
        <v>I</v>
      </c>
      <c r="FZ1" s="724" t="str">
        <f t="shared" ref="FZ1:GO2" si="12">E1</f>
        <v>I.1</v>
      </c>
      <c r="GA1" s="724" t="str">
        <f t="shared" si="12"/>
        <v>I.2</v>
      </c>
      <c r="GB1" s="724" t="str">
        <f t="shared" si="12"/>
        <v>II</v>
      </c>
      <c r="GC1" s="724" t="str">
        <f t="shared" si="12"/>
        <v>III</v>
      </c>
      <c r="GD1" s="724" t="str">
        <f t="shared" si="12"/>
        <v>IV</v>
      </c>
      <c r="GE1" s="724" t="str">
        <f t="shared" si="12"/>
        <v>IV.1</v>
      </c>
      <c r="GF1" s="724" t="str">
        <f t="shared" si="12"/>
        <v>IV.2</v>
      </c>
      <c r="GG1" s="724" t="str">
        <f t="shared" si="12"/>
        <v>V</v>
      </c>
      <c r="GH1" s="724" t="str">
        <f t="shared" si="12"/>
        <v>V.1</v>
      </c>
      <c r="GI1" s="724" t="str">
        <f t="shared" si="12"/>
        <v>V.2</v>
      </c>
      <c r="GJ1" s="724" t="str">
        <f t="shared" si="12"/>
        <v>V.3</v>
      </c>
      <c r="GK1" s="724" t="str">
        <f t="shared" si="12"/>
        <v>VI</v>
      </c>
      <c r="GL1" s="724" t="str">
        <f t="shared" si="12"/>
        <v>VII</v>
      </c>
      <c r="GM1" s="724" t="str">
        <f t="shared" si="12"/>
        <v>VIII</v>
      </c>
      <c r="GN1" s="724" t="str">
        <f t="shared" si="12"/>
        <v>VIII.1</v>
      </c>
      <c r="GO1" s="724" t="str">
        <f t="shared" si="12"/>
        <v>VIII.2</v>
      </c>
      <c r="GP1" s="724" t="str">
        <f t="shared" ref="GN1:GT2" si="13">U1</f>
        <v>IX</v>
      </c>
      <c r="GQ1" s="724" t="str">
        <f t="shared" si="13"/>
        <v>X</v>
      </c>
      <c r="GR1" s="724" t="str">
        <f t="shared" si="13"/>
        <v>XI</v>
      </c>
      <c r="GS1" s="724" t="str">
        <f t="shared" si="13"/>
        <v>XII</v>
      </c>
      <c r="GT1" s="724" t="str">
        <f t="shared" si="13"/>
        <v>XIII</v>
      </c>
      <c r="GV1" s="726" t="s">
        <v>1656</v>
      </c>
      <c r="GW1" s="798"/>
      <c r="GX1" s="724" t="str">
        <f>D1</f>
        <v>I</v>
      </c>
      <c r="GY1" s="724" t="str">
        <f t="shared" ref="GY1:HN2" si="14">E1</f>
        <v>I.1</v>
      </c>
      <c r="GZ1" s="724" t="str">
        <f t="shared" si="14"/>
        <v>I.2</v>
      </c>
      <c r="HA1" s="724" t="str">
        <f t="shared" si="14"/>
        <v>II</v>
      </c>
      <c r="HB1" s="724" t="str">
        <f t="shared" si="14"/>
        <v>III</v>
      </c>
      <c r="HC1" s="724" t="str">
        <f t="shared" si="14"/>
        <v>IV</v>
      </c>
      <c r="HD1" s="724" t="str">
        <f t="shared" si="14"/>
        <v>IV.1</v>
      </c>
      <c r="HE1" s="724" t="str">
        <f t="shared" si="14"/>
        <v>IV.2</v>
      </c>
      <c r="HF1" s="724" t="str">
        <f t="shared" si="14"/>
        <v>V</v>
      </c>
      <c r="HG1" s="724" t="str">
        <f t="shared" si="14"/>
        <v>V.1</v>
      </c>
      <c r="HH1" s="724" t="str">
        <f t="shared" si="14"/>
        <v>V.2</v>
      </c>
      <c r="HI1" s="724" t="str">
        <f t="shared" si="14"/>
        <v>V.3</v>
      </c>
      <c r="HJ1" s="724" t="str">
        <f t="shared" si="14"/>
        <v>VI</v>
      </c>
      <c r="HK1" s="724" t="str">
        <f t="shared" si="14"/>
        <v>VII</v>
      </c>
      <c r="HL1" s="724" t="str">
        <f t="shared" si="14"/>
        <v>VIII</v>
      </c>
      <c r="HM1" s="724" t="str">
        <f t="shared" si="14"/>
        <v>VIII.1</v>
      </c>
      <c r="HN1" s="724" t="str">
        <f t="shared" si="14"/>
        <v>VIII.2</v>
      </c>
      <c r="HO1" s="724" t="str">
        <f t="shared" ref="HO1:HS2" si="15">U1</f>
        <v>IX</v>
      </c>
      <c r="HP1" s="724" t="str">
        <f t="shared" si="15"/>
        <v>X</v>
      </c>
      <c r="HQ1" s="724" t="str">
        <f t="shared" si="15"/>
        <v>XI</v>
      </c>
      <c r="HR1" s="724" t="str">
        <f t="shared" si="15"/>
        <v>XII</v>
      </c>
      <c r="HS1" s="724" t="str">
        <f t="shared" si="15"/>
        <v>XIII</v>
      </c>
    </row>
    <row r="2" spans="1:227" ht="121.5" customHeight="1">
      <c r="A2" s="728"/>
      <c r="B2" s="729" t="s">
        <v>462</v>
      </c>
      <c r="C2" s="730"/>
      <c r="D2" s="731" t="s">
        <v>572</v>
      </c>
      <c r="E2" s="731" t="s">
        <v>214</v>
      </c>
      <c r="F2" s="731" t="s">
        <v>125</v>
      </c>
      <c r="G2" s="731" t="s">
        <v>573</v>
      </c>
      <c r="H2" s="731" t="s">
        <v>126</v>
      </c>
      <c r="I2" s="731" t="s">
        <v>128</v>
      </c>
      <c r="J2" s="731" t="s">
        <v>1137</v>
      </c>
      <c r="K2" s="731" t="s">
        <v>1136</v>
      </c>
      <c r="L2" s="731" t="s">
        <v>61</v>
      </c>
      <c r="M2" s="731" t="s">
        <v>1141</v>
      </c>
      <c r="N2" s="731" t="s">
        <v>434</v>
      </c>
      <c r="O2" s="731" t="s">
        <v>433</v>
      </c>
      <c r="P2" s="731" t="s">
        <v>83</v>
      </c>
      <c r="Q2" s="731" t="s">
        <v>1103</v>
      </c>
      <c r="R2" s="731" t="s">
        <v>130</v>
      </c>
      <c r="S2" s="731" t="s">
        <v>130</v>
      </c>
      <c r="T2" s="731" t="s">
        <v>1157</v>
      </c>
      <c r="U2" s="731" t="s">
        <v>131</v>
      </c>
      <c r="V2" s="731" t="s">
        <v>216</v>
      </c>
      <c r="W2" s="731" t="s">
        <v>1104</v>
      </c>
      <c r="X2" s="731" t="s">
        <v>1105</v>
      </c>
      <c r="Y2" s="731" t="s">
        <v>1112</v>
      </c>
      <c r="AA2" s="731" t="s">
        <v>1123</v>
      </c>
      <c r="AC2" s="732"/>
      <c r="AD2" s="733"/>
      <c r="AE2" s="734" t="str">
        <f t="shared" si="0"/>
        <v>Wohnen MFH</v>
      </c>
      <c r="AF2" s="734" t="str">
        <f t="shared" si="0"/>
        <v>MFH</v>
      </c>
      <c r="AG2" s="731" t="str">
        <f t="shared" si="0"/>
        <v>Hotel</v>
      </c>
      <c r="AH2" s="731" t="str">
        <f t="shared" si="0"/>
        <v>Wohnen EFH</v>
      </c>
      <c r="AI2" s="731" t="str">
        <f t="shared" si="0"/>
        <v>Büro</v>
      </c>
      <c r="AJ2" s="731" t="str">
        <f t="shared" si="0"/>
        <v>Schule</v>
      </c>
      <c r="AK2" s="731" t="str">
        <f t="shared" si="0"/>
        <v>Volksschule</v>
      </c>
      <c r="AL2" s="731" t="str">
        <f t="shared" si="0"/>
        <v>Hochschule</v>
      </c>
      <c r="AM2" s="731" t="str">
        <f t="shared" si="0"/>
        <v>Verkauf</v>
      </c>
      <c r="AN2" s="731" t="str">
        <f t="shared" si="0"/>
        <v>Lebensmittelgeschäft</v>
      </c>
      <c r="AO2" s="731" t="str">
        <f t="shared" si="1"/>
        <v>Fachgeschäft</v>
      </c>
      <c r="AP2" s="731" t="str">
        <f t="shared" si="1"/>
        <v>Verkauf Möbel, Bau, Garten</v>
      </c>
      <c r="AQ2" s="731" t="str">
        <f t="shared" si="1"/>
        <v>Restaurant</v>
      </c>
      <c r="AR2" s="731" t="str">
        <f t="shared" si="1"/>
        <v>Versammlungslokal</v>
      </c>
      <c r="AS2" s="731" t="str">
        <f t="shared" si="1"/>
        <v>Spital</v>
      </c>
      <c r="AT2" s="731" t="str">
        <f t="shared" si="1"/>
        <v>Spital</v>
      </c>
      <c r="AU2" s="731" t="str">
        <f t="shared" si="1"/>
        <v>Pflege</v>
      </c>
      <c r="AV2" s="731" t="str">
        <f t="shared" si="1"/>
        <v>Industrie</v>
      </c>
      <c r="AW2" s="731" t="str">
        <f t="shared" si="1"/>
        <v>Lager</v>
      </c>
      <c r="AX2" s="731" t="str">
        <f t="shared" si="1"/>
        <v>Sportbaute</v>
      </c>
      <c r="AY2" s="731" t="str">
        <f t="shared" si="1"/>
        <v>Hallenbad</v>
      </c>
      <c r="AZ2" s="731" t="str">
        <f t="shared" si="1"/>
        <v>Parking</v>
      </c>
      <c r="BC2" s="735"/>
      <c r="BD2" s="733"/>
      <c r="BE2" s="731" t="str">
        <f t="shared" si="2"/>
        <v>Wohnen MFH</v>
      </c>
      <c r="BF2" s="731" t="str">
        <f t="shared" si="2"/>
        <v>MFH</v>
      </c>
      <c r="BG2" s="731" t="str">
        <f t="shared" si="2"/>
        <v>Hotel</v>
      </c>
      <c r="BH2" s="731" t="str">
        <f t="shared" si="2"/>
        <v>Wohnen EFH</v>
      </c>
      <c r="BI2" s="731" t="s">
        <v>215</v>
      </c>
      <c r="BJ2" s="731" t="str">
        <f t="shared" si="2"/>
        <v>Schule</v>
      </c>
      <c r="BK2" s="731" t="str">
        <f t="shared" si="2"/>
        <v>Volksschule</v>
      </c>
      <c r="BL2" s="731" t="str">
        <f t="shared" si="2"/>
        <v>Hochschule</v>
      </c>
      <c r="BM2" s="731" t="str">
        <f t="shared" si="2"/>
        <v>Verkauf</v>
      </c>
      <c r="BN2" s="731" t="str">
        <f t="shared" si="2"/>
        <v>Lebensmittelgeschäft</v>
      </c>
      <c r="BO2" s="731" t="str">
        <f t="shared" si="3"/>
        <v>Fachgeschäft</v>
      </c>
      <c r="BP2" s="731" t="str">
        <f t="shared" si="3"/>
        <v>Verkauf Möbel, Bau, Garten</v>
      </c>
      <c r="BQ2" s="731" t="str">
        <f t="shared" si="3"/>
        <v>Restaurant</v>
      </c>
      <c r="BR2" s="731" t="str">
        <f t="shared" si="3"/>
        <v>Versammlungslokal</v>
      </c>
      <c r="BS2" s="731" t="str">
        <f t="shared" si="3"/>
        <v>Spital</v>
      </c>
      <c r="BT2" s="731" t="str">
        <f t="shared" si="3"/>
        <v>Spital</v>
      </c>
      <c r="BU2" s="731" t="str">
        <f t="shared" si="3"/>
        <v>Pflege</v>
      </c>
      <c r="BV2" s="731" t="str">
        <f t="shared" si="3"/>
        <v>Industrie</v>
      </c>
      <c r="BW2" s="731" t="str">
        <f t="shared" si="3"/>
        <v>Lager</v>
      </c>
      <c r="BX2" s="731" t="str">
        <f t="shared" si="3"/>
        <v>Sportbaute</v>
      </c>
      <c r="BY2" s="731" t="str">
        <f t="shared" si="3"/>
        <v>Hallenbad</v>
      </c>
      <c r="BZ2" s="731" t="str">
        <f t="shared" si="3"/>
        <v>Parking</v>
      </c>
      <c r="CB2" s="763" t="s">
        <v>1553</v>
      </c>
      <c r="CC2" s="733"/>
      <c r="CD2" s="731" t="str">
        <f t="shared" si="4"/>
        <v>Wohnen MFH</v>
      </c>
      <c r="CE2" s="731" t="str">
        <f t="shared" si="4"/>
        <v>MFH</v>
      </c>
      <c r="CF2" s="731" t="str">
        <f t="shared" si="4"/>
        <v>Hotel</v>
      </c>
      <c r="CG2" s="731" t="str">
        <f t="shared" si="4"/>
        <v>Wohnen EFH</v>
      </c>
      <c r="CH2" s="731" t="str">
        <f t="shared" si="4"/>
        <v>Büro</v>
      </c>
      <c r="CI2" s="731" t="str">
        <f t="shared" si="4"/>
        <v>Schule</v>
      </c>
      <c r="CJ2" s="731" t="str">
        <f t="shared" si="4"/>
        <v>Volksschule</v>
      </c>
      <c r="CK2" s="731" t="str">
        <f t="shared" si="4"/>
        <v>Hochschule</v>
      </c>
      <c r="CL2" s="731" t="str">
        <f t="shared" si="4"/>
        <v>Verkauf</v>
      </c>
      <c r="CM2" s="731" t="str">
        <f t="shared" si="4"/>
        <v>Lebensmittelgeschäft</v>
      </c>
      <c r="CN2" s="731" t="str">
        <f t="shared" si="5"/>
        <v>Fachgeschäft</v>
      </c>
      <c r="CO2" s="731" t="str">
        <f t="shared" si="5"/>
        <v>Verkauf Möbel, Bau, Garten</v>
      </c>
      <c r="CP2" s="731" t="str">
        <f t="shared" si="5"/>
        <v>Restaurant</v>
      </c>
      <c r="CQ2" s="731" t="str">
        <f t="shared" si="5"/>
        <v>Versammlungslokal</v>
      </c>
      <c r="CR2" s="731" t="str">
        <f t="shared" si="5"/>
        <v>Spital</v>
      </c>
      <c r="CS2" s="731" t="str">
        <f t="shared" si="5"/>
        <v>Spital</v>
      </c>
      <c r="CT2" s="731" t="str">
        <f t="shared" si="5"/>
        <v>Pflege</v>
      </c>
      <c r="CU2" s="731" t="str">
        <f t="shared" si="5"/>
        <v>Industrie</v>
      </c>
      <c r="CV2" s="731" t="str">
        <f t="shared" si="5"/>
        <v>Lager</v>
      </c>
      <c r="CW2" s="731" t="str">
        <f t="shared" si="5"/>
        <v>Sportbaute</v>
      </c>
      <c r="CX2" s="731" t="str">
        <f t="shared" si="5"/>
        <v>Hallenbad</v>
      </c>
      <c r="CY2" s="731" t="str">
        <f t="shared" si="5"/>
        <v>Parking</v>
      </c>
      <c r="DB2" s="736"/>
      <c r="DC2" s="733"/>
      <c r="DD2" s="734" t="s">
        <v>104</v>
      </c>
      <c r="DE2" s="734" t="str">
        <f t="shared" si="6"/>
        <v>MFH</v>
      </c>
      <c r="DF2" s="731" t="str">
        <f t="shared" si="6"/>
        <v>Hotel</v>
      </c>
      <c r="DG2" s="731" t="str">
        <f t="shared" si="6"/>
        <v>Wohnen EFH</v>
      </c>
      <c r="DH2" s="731" t="str">
        <f t="shared" si="6"/>
        <v>Büro</v>
      </c>
      <c r="DI2" s="731" t="str">
        <f t="shared" si="6"/>
        <v>Schule</v>
      </c>
      <c r="DJ2" s="731" t="str">
        <f t="shared" si="6"/>
        <v>Volksschule</v>
      </c>
      <c r="DK2" s="731" t="str">
        <f t="shared" si="6"/>
        <v>Hochschule</v>
      </c>
      <c r="DL2" s="731" t="str">
        <f t="shared" si="6"/>
        <v>Verkauf</v>
      </c>
      <c r="DM2" s="731" t="str">
        <f t="shared" si="6"/>
        <v>Lebensmittelgeschäft</v>
      </c>
      <c r="DN2" s="731" t="str">
        <f t="shared" si="6"/>
        <v>Fachgeschäft</v>
      </c>
      <c r="DO2" s="731" t="str">
        <f t="shared" si="6"/>
        <v>Verkauf Möbel, Bau, Garten</v>
      </c>
      <c r="DP2" s="731" t="str">
        <f t="shared" si="6"/>
        <v>Restaurant</v>
      </c>
      <c r="DQ2" s="731" t="str">
        <f t="shared" si="6"/>
        <v>Versammlungslokal</v>
      </c>
      <c r="DR2" s="731" t="str">
        <f t="shared" si="6"/>
        <v>Spital</v>
      </c>
      <c r="DS2" s="731" t="str">
        <f t="shared" si="7"/>
        <v>Industrie</v>
      </c>
      <c r="DT2" s="731" t="str">
        <f t="shared" si="7"/>
        <v>Lager</v>
      </c>
      <c r="DU2" s="731" t="str">
        <f t="shared" si="7"/>
        <v>Sportbaute</v>
      </c>
      <c r="DV2" s="731" t="str">
        <f t="shared" si="7"/>
        <v>Hallenbad</v>
      </c>
      <c r="DW2" s="731" t="str">
        <f t="shared" si="7"/>
        <v>Parking</v>
      </c>
      <c r="DZ2" s="814" t="s">
        <v>1148</v>
      </c>
      <c r="EA2" s="799"/>
      <c r="EB2" s="731" t="str">
        <f>$D2</f>
        <v>Wohnen MFH</v>
      </c>
      <c r="EC2" s="731" t="str">
        <f t="shared" si="8"/>
        <v>MFH</v>
      </c>
      <c r="ED2" s="731" t="str">
        <f t="shared" si="8"/>
        <v>Hotel</v>
      </c>
      <c r="EE2" s="731" t="str">
        <f t="shared" si="8"/>
        <v>Wohnen EFH</v>
      </c>
      <c r="EF2" s="731" t="str">
        <f t="shared" si="8"/>
        <v>Büro</v>
      </c>
      <c r="EG2" s="731" t="str">
        <f t="shared" si="8"/>
        <v>Schule</v>
      </c>
      <c r="EH2" s="731" t="str">
        <f t="shared" si="8"/>
        <v>Volksschule</v>
      </c>
      <c r="EI2" s="731" t="str">
        <f t="shared" si="8"/>
        <v>Hochschule</v>
      </c>
      <c r="EJ2" s="731" t="str">
        <f t="shared" si="8"/>
        <v>Verkauf</v>
      </c>
      <c r="EK2" s="731" t="str">
        <f t="shared" si="8"/>
        <v>Lebensmittelgeschäft</v>
      </c>
      <c r="EL2" s="731" t="str">
        <f t="shared" si="8"/>
        <v>Fachgeschäft</v>
      </c>
      <c r="EM2" s="731" t="str">
        <f t="shared" si="9"/>
        <v>Verkauf Möbel, Bau, Garten</v>
      </c>
      <c r="EN2" s="731" t="str">
        <f t="shared" si="9"/>
        <v>Restaurant</v>
      </c>
      <c r="EO2" s="731" t="str">
        <f t="shared" si="9"/>
        <v>Versammlungslokal</v>
      </c>
      <c r="EP2" s="731" t="str">
        <f t="shared" si="9"/>
        <v>Spital</v>
      </c>
      <c r="EQ2" s="731" t="str">
        <f t="shared" si="9"/>
        <v>Spital</v>
      </c>
      <c r="ER2" s="731" t="str">
        <f t="shared" si="9"/>
        <v>Pflege</v>
      </c>
      <c r="ES2" s="731" t="str">
        <f t="shared" si="9"/>
        <v>Industrie</v>
      </c>
      <c r="ET2" s="731" t="str">
        <f t="shared" si="9"/>
        <v>Lager</v>
      </c>
      <c r="EU2" s="731" t="str">
        <f t="shared" si="9"/>
        <v>Sportbaute</v>
      </c>
      <c r="EV2" s="734" t="str">
        <f t="shared" si="9"/>
        <v>Hallenbad</v>
      </c>
      <c r="EX2" s="814" t="s">
        <v>1204</v>
      </c>
      <c r="EY2" s="799"/>
      <c r="EZ2" s="731" t="str">
        <f t="shared" si="10"/>
        <v>Wohnen MFH</v>
      </c>
      <c r="FA2" s="731" t="str">
        <f t="shared" si="10"/>
        <v>MFH</v>
      </c>
      <c r="FB2" s="731" t="str">
        <f t="shared" si="10"/>
        <v>Hotel</v>
      </c>
      <c r="FC2" s="731" t="str">
        <f t="shared" si="10"/>
        <v>Wohnen EFH</v>
      </c>
      <c r="FD2" s="731" t="str">
        <f t="shared" si="10"/>
        <v>Büro</v>
      </c>
      <c r="FE2" s="731" t="str">
        <f t="shared" si="10"/>
        <v>Schule</v>
      </c>
      <c r="FF2" s="731" t="str">
        <f t="shared" si="10"/>
        <v>Volksschule</v>
      </c>
      <c r="FG2" s="731" t="str">
        <f t="shared" si="10"/>
        <v>Hochschule</v>
      </c>
      <c r="FH2" s="731" t="str">
        <f t="shared" si="10"/>
        <v>Verkauf</v>
      </c>
      <c r="FI2" s="731" t="str">
        <f t="shared" si="10"/>
        <v>Lebensmittelgeschäft</v>
      </c>
      <c r="FJ2" s="731" t="str">
        <f t="shared" si="11"/>
        <v>Fachgeschäft</v>
      </c>
      <c r="FK2" s="731" t="str">
        <f t="shared" si="11"/>
        <v>Verkauf Möbel, Bau, Garten</v>
      </c>
      <c r="FL2" s="731" t="str">
        <f t="shared" si="11"/>
        <v>Restaurant</v>
      </c>
      <c r="FM2" s="731" t="str">
        <f t="shared" si="11"/>
        <v>Versammlungslokal</v>
      </c>
      <c r="FN2" s="731" t="str">
        <f t="shared" si="11"/>
        <v>Spital</v>
      </c>
      <c r="FO2" s="731" t="str">
        <f t="shared" si="11"/>
        <v>Spital</v>
      </c>
      <c r="FP2" s="731" t="str">
        <f t="shared" si="11"/>
        <v>Pflege</v>
      </c>
      <c r="FQ2" s="731" t="str">
        <f t="shared" si="11"/>
        <v>Industrie</v>
      </c>
      <c r="FR2" s="731" t="str">
        <f t="shared" si="11"/>
        <v>Lager</v>
      </c>
      <c r="FS2" s="731" t="str">
        <f t="shared" si="11"/>
        <v>Sportbaute</v>
      </c>
      <c r="FT2" s="731" t="str">
        <f t="shared" si="11"/>
        <v>Hallenbad</v>
      </c>
      <c r="FU2" s="804" t="str">
        <f t="shared" si="11"/>
        <v>Parking</v>
      </c>
      <c r="FV2" s="805"/>
      <c r="FW2" s="1989" t="s">
        <v>1194</v>
      </c>
      <c r="FX2" s="1990"/>
      <c r="FY2" s="731" t="str">
        <f>D2</f>
        <v>Wohnen MFH</v>
      </c>
      <c r="FZ2" s="731" t="str">
        <f t="shared" si="12"/>
        <v>MFH</v>
      </c>
      <c r="GA2" s="731" t="str">
        <f t="shared" si="12"/>
        <v>Hotel</v>
      </c>
      <c r="GB2" s="731" t="str">
        <f t="shared" si="12"/>
        <v>Wohnen EFH</v>
      </c>
      <c r="GC2" s="731" t="str">
        <f t="shared" si="12"/>
        <v>Büro</v>
      </c>
      <c r="GD2" s="731" t="str">
        <f t="shared" si="12"/>
        <v>Schule</v>
      </c>
      <c r="GE2" s="731" t="str">
        <f t="shared" si="12"/>
        <v>Volksschule</v>
      </c>
      <c r="GF2" s="731" t="str">
        <f t="shared" si="12"/>
        <v>Hochschule</v>
      </c>
      <c r="GG2" s="731" t="str">
        <f t="shared" si="12"/>
        <v>Verkauf</v>
      </c>
      <c r="GH2" s="731" t="str">
        <f t="shared" si="12"/>
        <v>Lebensmittelgeschäft</v>
      </c>
      <c r="GI2" s="731" t="str">
        <f t="shared" si="12"/>
        <v>Fachgeschäft</v>
      </c>
      <c r="GJ2" s="731" t="str">
        <f t="shared" si="12"/>
        <v>Verkauf Möbel, Bau, Garten</v>
      </c>
      <c r="GK2" s="731" t="str">
        <f t="shared" si="12"/>
        <v>Restaurant</v>
      </c>
      <c r="GL2" s="731" t="str">
        <f t="shared" si="12"/>
        <v>Versammlungslokal</v>
      </c>
      <c r="GM2" s="731" t="str">
        <f t="shared" si="12"/>
        <v>Spital</v>
      </c>
      <c r="GN2" s="731" t="str">
        <f t="shared" si="13"/>
        <v>Spital</v>
      </c>
      <c r="GO2" s="731" t="str">
        <f t="shared" si="13"/>
        <v>Pflege</v>
      </c>
      <c r="GP2" s="731" t="str">
        <f t="shared" si="13"/>
        <v>Industrie</v>
      </c>
      <c r="GQ2" s="731" t="str">
        <f t="shared" si="13"/>
        <v>Lager</v>
      </c>
      <c r="GR2" s="731" t="str">
        <f t="shared" si="13"/>
        <v>Sportbaute</v>
      </c>
      <c r="GS2" s="731" t="str">
        <f t="shared" si="13"/>
        <v>Hallenbad</v>
      </c>
      <c r="GT2" s="731" t="str">
        <f t="shared" si="13"/>
        <v>Parking</v>
      </c>
      <c r="GV2" s="1989" t="s">
        <v>1555</v>
      </c>
      <c r="GW2" s="1990"/>
      <c r="GX2" s="731" t="str">
        <f>D2</f>
        <v>Wohnen MFH</v>
      </c>
      <c r="GY2" s="731" t="str">
        <f t="shared" si="14"/>
        <v>MFH</v>
      </c>
      <c r="GZ2" s="731" t="str">
        <f t="shared" si="14"/>
        <v>Hotel</v>
      </c>
      <c r="HA2" s="731" t="str">
        <f t="shared" si="14"/>
        <v>Wohnen EFH</v>
      </c>
      <c r="HB2" s="731" t="str">
        <f t="shared" si="14"/>
        <v>Büro</v>
      </c>
      <c r="HC2" s="731" t="str">
        <f t="shared" si="14"/>
        <v>Schule</v>
      </c>
      <c r="HD2" s="731" t="str">
        <f t="shared" si="14"/>
        <v>Volksschule</v>
      </c>
      <c r="HE2" s="731" t="str">
        <f t="shared" si="14"/>
        <v>Hochschule</v>
      </c>
      <c r="HF2" s="731" t="str">
        <f t="shared" si="14"/>
        <v>Verkauf</v>
      </c>
      <c r="HG2" s="731" t="str">
        <f t="shared" si="14"/>
        <v>Lebensmittelgeschäft</v>
      </c>
      <c r="HH2" s="731" t="str">
        <f t="shared" si="14"/>
        <v>Fachgeschäft</v>
      </c>
      <c r="HI2" s="731" t="str">
        <f t="shared" si="14"/>
        <v>Verkauf Möbel, Bau, Garten</v>
      </c>
      <c r="HJ2" s="731" t="str">
        <f t="shared" si="14"/>
        <v>Restaurant</v>
      </c>
      <c r="HK2" s="731" t="str">
        <f t="shared" si="14"/>
        <v>Versammlungslokal</v>
      </c>
      <c r="HL2" s="731" t="str">
        <f t="shared" si="14"/>
        <v>Spital</v>
      </c>
      <c r="HM2" s="731" t="str">
        <f t="shared" si="14"/>
        <v>Spital</v>
      </c>
      <c r="HN2" s="731" t="str">
        <f t="shared" si="14"/>
        <v>Pflege</v>
      </c>
      <c r="HO2" s="731" t="str">
        <f t="shared" si="15"/>
        <v>Industrie</v>
      </c>
      <c r="HP2" s="731" t="str">
        <f t="shared" si="15"/>
        <v>Lager</v>
      </c>
      <c r="HQ2" s="731" t="str">
        <f t="shared" si="15"/>
        <v>Sportbaute</v>
      </c>
      <c r="HR2" s="731" t="str">
        <f t="shared" si="15"/>
        <v>Hallenbad</v>
      </c>
      <c r="HS2" s="731" t="str">
        <f t="shared" si="15"/>
        <v>Parking</v>
      </c>
    </row>
    <row r="3" spans="1:227" s="754" customFormat="1" ht="15.75" customHeight="1">
      <c r="A3" s="1392">
        <f>Eingabedaten!A9</f>
        <v>1.01</v>
      </c>
      <c r="B3" s="750" t="str">
        <f>Eingabedaten!C9</f>
        <v>Wohnen MFH</v>
      </c>
      <c r="C3" s="751" t="s">
        <v>5</v>
      </c>
      <c r="D3" s="752">
        <v>85</v>
      </c>
      <c r="E3" s="752">
        <v>85</v>
      </c>
      <c r="F3" s="753"/>
      <c r="G3" s="753"/>
      <c r="H3" s="753"/>
      <c r="I3" s="753"/>
      <c r="J3" s="753"/>
      <c r="K3" s="753"/>
      <c r="L3" s="753"/>
      <c r="M3" s="753"/>
      <c r="N3" s="753"/>
      <c r="O3" s="753"/>
      <c r="P3" s="753"/>
      <c r="Q3" s="753"/>
      <c r="R3" s="753"/>
      <c r="S3" s="753"/>
      <c r="T3" s="753"/>
      <c r="U3" s="753"/>
      <c r="V3" s="753"/>
      <c r="W3" s="753"/>
      <c r="X3" s="753"/>
      <c r="Y3" s="753"/>
      <c r="AA3" s="769">
        <f>1/Eingabedaten!AP9</f>
        <v>2.8571428571428571E-2</v>
      </c>
      <c r="AC3" s="772" t="s">
        <v>51</v>
      </c>
      <c r="AD3" s="778" t="s">
        <v>134</v>
      </c>
      <c r="AE3" s="1282">
        <f>SUMPRODUCT(KZ_Raum_2024!$S$7:$S$51,'Fläche-Best'!D$3:D$47)/100*$AD$1</f>
        <v>17.625600000000002</v>
      </c>
      <c r="AF3" s="1051">
        <f>SUMPRODUCT(KZ_Raum_2024!$C$7:$C$51,'Fläche-Best'!E$3:E$47)/100*$AD$1</f>
        <v>14.688000000000002</v>
      </c>
      <c r="AG3" s="1051">
        <f>SUMPRODUCT(KZ_Raum_2024!$C$7:$C$51,'Fläche-Best'!F$3:F$47)/100*$AD$1</f>
        <v>12.284000000000001</v>
      </c>
      <c r="AH3" s="1051">
        <f>SUMPRODUCT(KZ_Raum_2024!$S$7:$S$51,'Fläche-Best'!G$3:G$47)/100*$AD$1</f>
        <v>15.379200000000001</v>
      </c>
      <c r="AI3" s="1051">
        <f>SUMPRODUCT(KZ_Raum_2024!$S$7:$S$51,'Fläche-Best'!H$3:H$47)/100*$AD$1</f>
        <v>26.730400000000003</v>
      </c>
      <c r="AJ3" s="1051">
        <f>SUMPRODUCT(KZ_Raum_2024!$S$7:$S$51,'Fläche-Best'!I$3:I$47)/100*$AD$1</f>
        <v>10.88448</v>
      </c>
      <c r="AK3" s="1051">
        <f>SUMPRODUCT(KZ_Raum_2024!$S$7:$S$51,'Fläche-Best'!J$3:J$47)/100*$AD$1</f>
        <v>10.88448</v>
      </c>
      <c r="AL3" s="1051">
        <f>SUMPRODUCT(KZ_Raum_2024!$S$7:$S$51,'Fläche-Best'!K$3:K$47)/100*$AD$1</f>
        <v>18.624000000000006</v>
      </c>
      <c r="AM3" s="1051">
        <f>SUMPRODUCT(KZ_Raum_2024!$S$7:$S$51,'Fläche-Best'!L$3:L$47)/100*$AD$1</f>
        <v>7.3224000000000018</v>
      </c>
      <c r="AN3" s="1051">
        <f>SUMPRODUCT(KZ_Raum_2024!$S$7:$S$51,'Fläche-Best'!M$3:M$47)/100*$AD$1</f>
        <v>7.8696000000000002</v>
      </c>
      <c r="AO3" s="1051">
        <f>SUMPRODUCT(KZ_Raum_2024!$S$7:$S$51,'Fläche-Best'!N$3:N$47)/100*$AD$1</f>
        <v>7.3224000000000018</v>
      </c>
      <c r="AP3" s="1051">
        <f>SUMPRODUCT(KZ_Raum_2024!$S$7:$S$51,'Fläche-Best'!O$3:O$47)/100*$AD$1</f>
        <v>7.0056000000000003</v>
      </c>
      <c r="AQ3" s="1051">
        <f>SUMPRODUCT(KZ_Raum_2024!$S$7:$S$51,'Fläche-Best'!P$3:P$47)/100*$AD$1</f>
        <v>8.8432000000000013</v>
      </c>
      <c r="AR3" s="1051">
        <f>SUMPRODUCT(KZ_Raum_2024!$S$7:$S$51,'Fläche-Best'!Q$3:Q$47)/100*$AD$1</f>
        <v>12.943200000000003</v>
      </c>
      <c r="AS3" s="1051">
        <f>SUMPRODUCT(KZ_Raum_2024!$S$7:$S$51,'Fläche-Best'!R$3:R$47)/100*$AD$1</f>
        <v>11.953200000000002</v>
      </c>
      <c r="AT3" s="1051">
        <f>SUMPRODUCT(KZ_Raum_2024!$S$7:$S$51,'Fläche-Best'!S$3:S$47)/100*$AD$1</f>
        <v>13.137200000000002</v>
      </c>
      <c r="AU3" s="1051">
        <f>SUMPRODUCT(KZ_Raum_2024!$S$7:$S$51,'Fläche-Best'!T$3:T$47)/100*$AD$1</f>
        <v>11.3292</v>
      </c>
      <c r="AV3" s="1051">
        <f>SUMPRODUCT(KZ_Raum_2024!$S$7:$S$51,'Fläche-Best'!U$3:U$47)/100*$AD$1</f>
        <v>14.543200000000002</v>
      </c>
      <c r="AW3" s="1051">
        <f>SUMPRODUCT(KZ_Raum_2024!$S$7:$S$51,'Fläche-Best'!V$3:V$47)/100*$AD$1</f>
        <v>7.4040000000000008</v>
      </c>
      <c r="AX3" s="1051">
        <f>SUMPRODUCT(KZ_Raum_2024!$S$7:$S$51,'Fläche-Best'!W$3:W$47)/100*$AD$1</f>
        <v>2.4863999999999997</v>
      </c>
      <c r="AY3" s="1052">
        <f>SUMPRODUCT(KZ_Raum_2024!$S$7:$S$51,'Fläche-Best'!X$3:X$47)/100*$AD$1</f>
        <v>8.6424000000000021</v>
      </c>
      <c r="AZ3" s="1052">
        <f>SUMPRODUCT(KZ_Raum_2024!$C$7:$C$51,'Fläche-Best'!Y$3:Y$47)/100*$AD$1</f>
        <v>1.5335999999999999</v>
      </c>
      <c r="BC3" s="755" t="s">
        <v>1098</v>
      </c>
      <c r="BD3" s="756" t="s">
        <v>3</v>
      </c>
      <c r="BE3" s="751">
        <v>20</v>
      </c>
      <c r="BF3" s="751"/>
      <c r="BG3" s="751"/>
      <c r="BH3" s="751">
        <v>20</v>
      </c>
      <c r="BI3" s="751">
        <v>20</v>
      </c>
      <c r="BJ3" s="751">
        <v>20</v>
      </c>
      <c r="BK3" s="751"/>
      <c r="BL3" s="751"/>
      <c r="BM3" s="751">
        <v>20</v>
      </c>
      <c r="BN3" s="751"/>
      <c r="BO3" s="751"/>
      <c r="BP3" s="751"/>
      <c r="BQ3" s="751">
        <v>20</v>
      </c>
      <c r="BR3" s="751">
        <v>20</v>
      </c>
      <c r="BS3" s="751">
        <v>22</v>
      </c>
      <c r="BT3" s="751"/>
      <c r="BU3" s="751"/>
      <c r="BV3" s="751">
        <v>18</v>
      </c>
      <c r="BW3" s="751">
        <v>18</v>
      </c>
      <c r="BX3" s="751">
        <v>18</v>
      </c>
      <c r="BY3" s="751">
        <v>28</v>
      </c>
      <c r="BZ3" s="751"/>
      <c r="CB3" s="755" t="s">
        <v>1098</v>
      </c>
      <c r="CC3" s="756" t="s">
        <v>3</v>
      </c>
      <c r="CD3" s="759">
        <v>22</v>
      </c>
      <c r="CE3" s="759"/>
      <c r="CF3" s="759"/>
      <c r="CG3" s="759">
        <v>22</v>
      </c>
      <c r="CH3" s="759">
        <v>22</v>
      </c>
      <c r="CI3" s="759">
        <v>22</v>
      </c>
      <c r="CJ3" s="759"/>
      <c r="CK3" s="759"/>
      <c r="CL3" s="759">
        <v>22</v>
      </c>
      <c r="CM3" s="759"/>
      <c r="CN3" s="759"/>
      <c r="CO3" s="759"/>
      <c r="CP3" s="759">
        <v>22</v>
      </c>
      <c r="CQ3" s="759">
        <v>22</v>
      </c>
      <c r="CR3" s="751">
        <v>22</v>
      </c>
      <c r="CS3" s="751">
        <v>22</v>
      </c>
      <c r="CT3" s="751">
        <v>22</v>
      </c>
      <c r="CU3" s="759">
        <v>20</v>
      </c>
      <c r="CV3" s="751">
        <v>18</v>
      </c>
      <c r="CW3" s="751">
        <v>18</v>
      </c>
      <c r="CX3" s="751">
        <v>28</v>
      </c>
      <c r="CY3" s="751"/>
      <c r="DB3" s="755" t="s">
        <v>51</v>
      </c>
      <c r="DC3" s="756" t="s">
        <v>134</v>
      </c>
      <c r="DD3" s="751">
        <v>12</v>
      </c>
      <c r="DE3" s="751"/>
      <c r="DF3" s="751"/>
      <c r="DG3" s="751"/>
      <c r="DH3" s="751">
        <v>18</v>
      </c>
      <c r="DI3" s="751">
        <v>4</v>
      </c>
      <c r="DJ3" s="751"/>
      <c r="DK3" s="751"/>
      <c r="DL3" s="751"/>
      <c r="DM3" s="751">
        <v>217</v>
      </c>
      <c r="DN3" s="751">
        <v>5</v>
      </c>
      <c r="DO3" s="751"/>
      <c r="DP3" s="751">
        <v>49</v>
      </c>
      <c r="DQ3" s="750"/>
      <c r="DR3" s="750"/>
      <c r="DS3" s="750"/>
      <c r="DT3" s="750"/>
      <c r="DU3" s="750"/>
      <c r="DV3" s="750"/>
      <c r="DW3" s="750"/>
      <c r="DZ3" s="773" t="s">
        <v>1144</v>
      </c>
      <c r="EA3" s="754" t="s">
        <v>134</v>
      </c>
      <c r="EB3" s="806">
        <v>14</v>
      </c>
      <c r="EC3" s="806"/>
      <c r="ED3" s="806"/>
      <c r="EE3" s="806">
        <v>21</v>
      </c>
      <c r="EF3" s="806">
        <v>33</v>
      </c>
      <c r="EG3" s="806">
        <v>28</v>
      </c>
      <c r="EH3" s="806"/>
      <c r="EI3" s="806"/>
      <c r="EJ3" s="806">
        <v>33</v>
      </c>
      <c r="EK3" s="806"/>
      <c r="EL3" s="806"/>
      <c r="EM3" s="806"/>
      <c r="EN3" s="806">
        <v>45</v>
      </c>
      <c r="EO3" s="806">
        <v>26</v>
      </c>
      <c r="EP3" s="806">
        <v>42</v>
      </c>
      <c r="EQ3" s="806"/>
      <c r="ER3" s="806"/>
      <c r="ES3" s="806">
        <v>13</v>
      </c>
      <c r="ET3" s="806">
        <v>19</v>
      </c>
      <c r="EU3" s="806">
        <v>25</v>
      </c>
      <c r="EX3" s="773" t="s">
        <v>1144</v>
      </c>
      <c r="EY3" s="754" t="s">
        <v>134</v>
      </c>
      <c r="EZ3" s="806">
        <f t="shared" ref="EZ3:FO9" si="16">EB3/2</f>
        <v>7</v>
      </c>
      <c r="FA3" s="806">
        <f t="shared" si="16"/>
        <v>0</v>
      </c>
      <c r="FB3" s="806">
        <f t="shared" si="16"/>
        <v>0</v>
      </c>
      <c r="FC3" s="806">
        <f t="shared" si="16"/>
        <v>10.5</v>
      </c>
      <c r="FD3" s="806">
        <f t="shared" si="16"/>
        <v>16.5</v>
      </c>
      <c r="FE3" s="806">
        <f t="shared" si="16"/>
        <v>14</v>
      </c>
      <c r="FF3" s="806">
        <f t="shared" si="16"/>
        <v>0</v>
      </c>
      <c r="FG3" s="806">
        <f t="shared" si="16"/>
        <v>0</v>
      </c>
      <c r="FH3" s="806">
        <f t="shared" si="16"/>
        <v>16.5</v>
      </c>
      <c r="FI3" s="806">
        <f t="shared" si="16"/>
        <v>0</v>
      </c>
      <c r="FJ3" s="806">
        <f t="shared" si="16"/>
        <v>0</v>
      </c>
      <c r="FK3" s="806">
        <f t="shared" si="16"/>
        <v>0</v>
      </c>
      <c r="FL3" s="806">
        <f t="shared" si="16"/>
        <v>22.5</v>
      </c>
      <c r="FM3" s="806">
        <f t="shared" si="16"/>
        <v>13</v>
      </c>
      <c r="FN3" s="806">
        <f t="shared" si="16"/>
        <v>21</v>
      </c>
      <c r="FO3" s="806">
        <f t="shared" si="16"/>
        <v>0</v>
      </c>
      <c r="FP3" s="806">
        <f t="shared" ref="FK3:FU9" si="17">ER3/2</f>
        <v>0</v>
      </c>
      <c r="FQ3" s="806">
        <f t="shared" si="17"/>
        <v>6.5</v>
      </c>
      <c r="FR3" s="806">
        <f t="shared" si="17"/>
        <v>9.5</v>
      </c>
      <c r="FS3" s="806">
        <f t="shared" si="17"/>
        <v>12.5</v>
      </c>
      <c r="FT3" s="774">
        <f t="shared" si="17"/>
        <v>0</v>
      </c>
      <c r="FU3" s="754">
        <f t="shared" si="17"/>
        <v>0</v>
      </c>
      <c r="FW3" s="773" t="s">
        <v>21</v>
      </c>
      <c r="FX3" s="754" t="s">
        <v>134</v>
      </c>
      <c r="FY3" s="770">
        <f t="shared" ref="FY3:GT3" si="18">AE7/4</f>
        <v>18.319967922503363</v>
      </c>
      <c r="FZ3" s="808">
        <f t="shared" si="18"/>
        <v>2.9316759727925952</v>
      </c>
      <c r="GA3" s="808">
        <f t="shared" si="18"/>
        <v>3.4677420850142067</v>
      </c>
      <c r="GB3" s="770">
        <f t="shared" si="18"/>
        <v>30.497437013884866</v>
      </c>
      <c r="GC3" s="770">
        <f t="shared" si="18"/>
        <v>10.918488312652945</v>
      </c>
      <c r="GD3" s="770">
        <f t="shared" si="18"/>
        <v>17.763315301757526</v>
      </c>
      <c r="GE3" s="808">
        <f t="shared" si="18"/>
        <v>17.763315301757526</v>
      </c>
      <c r="GF3" s="808">
        <f t="shared" si="18"/>
        <v>13.725827183373434</v>
      </c>
      <c r="GG3" s="808">
        <f t="shared" si="18"/>
        <v>13.615061917705592</v>
      </c>
      <c r="GH3" s="770">
        <f t="shared" si="18"/>
        <v>13.337853466511655</v>
      </c>
      <c r="GI3" s="770">
        <f t="shared" si="18"/>
        <v>13.615061917705592</v>
      </c>
      <c r="GJ3" s="770">
        <f t="shared" si="18"/>
        <v>14.161193266841915</v>
      </c>
      <c r="GK3" s="770">
        <f t="shared" si="18"/>
        <v>24.122476935428551</v>
      </c>
      <c r="GL3" s="770">
        <f t="shared" si="18"/>
        <v>19.67787317234162</v>
      </c>
      <c r="GM3" s="770">
        <f t="shared" si="18"/>
        <v>13.821779446854581</v>
      </c>
      <c r="GN3" s="770">
        <f t="shared" si="18"/>
        <v>13.803823937866847</v>
      </c>
      <c r="GO3" s="770">
        <f t="shared" si="18"/>
        <v>14.530139976958782</v>
      </c>
      <c r="GP3" s="770">
        <f t="shared" si="18"/>
        <v>12.159327986472688</v>
      </c>
      <c r="GQ3" s="770">
        <f t="shared" si="18"/>
        <v>12.444167593290189</v>
      </c>
      <c r="GR3" s="770">
        <f t="shared" si="18"/>
        <v>16.391695931214674</v>
      </c>
      <c r="GS3" s="770">
        <f t="shared" si="18"/>
        <v>29.936498989774261</v>
      </c>
      <c r="GT3" s="770">
        <f t="shared" si="18"/>
        <v>0.3137597996041348</v>
      </c>
      <c r="GV3" s="773" t="s">
        <v>21</v>
      </c>
      <c r="GW3" s="754" t="s">
        <v>134</v>
      </c>
      <c r="GX3" s="724"/>
      <c r="GY3" s="724"/>
      <c r="GZ3" s="724"/>
      <c r="HA3" s="724"/>
      <c r="HB3" s="724"/>
      <c r="HC3" s="724"/>
      <c r="HD3" s="724"/>
      <c r="HE3" s="724"/>
      <c r="HF3" s="724"/>
      <c r="HG3" s="724"/>
      <c r="HH3" s="724"/>
      <c r="HI3" s="724"/>
      <c r="HJ3" s="724"/>
      <c r="HK3" s="724"/>
      <c r="HL3" s="724"/>
      <c r="HM3" s="724"/>
      <c r="HN3" s="724"/>
      <c r="HO3" s="724"/>
      <c r="HP3" s="724"/>
      <c r="HQ3" s="724"/>
      <c r="HR3" s="724"/>
      <c r="HS3" s="724"/>
    </row>
    <row r="4" spans="1:227" s="754" customFormat="1" ht="15.75" customHeight="1">
      <c r="A4" s="1392">
        <f>Eingabedaten!A10</f>
        <v>1.02</v>
      </c>
      <c r="B4" s="750" t="str">
        <f>Eingabedaten!C10</f>
        <v>Wohnen EFH</v>
      </c>
      <c r="C4" s="751" t="s">
        <v>5</v>
      </c>
      <c r="D4" s="753"/>
      <c r="E4" s="753"/>
      <c r="F4" s="753"/>
      <c r="G4" s="752">
        <v>90</v>
      </c>
      <c r="H4" s="753"/>
      <c r="I4" s="753"/>
      <c r="J4" s="753"/>
      <c r="K4" s="753"/>
      <c r="L4" s="753"/>
      <c r="M4" s="753"/>
      <c r="N4" s="753"/>
      <c r="O4" s="753"/>
      <c r="P4" s="753"/>
      <c r="Q4" s="753"/>
      <c r="R4" s="753"/>
      <c r="S4" s="753"/>
      <c r="T4" s="753"/>
      <c r="U4" s="753"/>
      <c r="V4" s="753"/>
      <c r="W4" s="753"/>
      <c r="X4" s="753"/>
      <c r="Y4" s="753"/>
      <c r="AA4" s="769">
        <f>1/Eingabedaten!AP10</f>
        <v>0.02</v>
      </c>
      <c r="AC4" s="773" t="s">
        <v>17</v>
      </c>
      <c r="AD4" s="774" t="s">
        <v>134</v>
      </c>
      <c r="AE4" s="1099">
        <f>SUMPRODUCT(KZ_Raum_2024!$U$7:$U$51,'Fläche-Best'!D$3:D$47)/100*$AD$1</f>
        <v>2.7677327142857151</v>
      </c>
      <c r="AF4" s="1053">
        <f>SUMPRODUCT(KZ_Raum_2024!$E$7:$E$51,'Fläche-Best'!E$3:E$47)/100*$AD$1</f>
        <v>2.1526810000000007</v>
      </c>
      <c r="AG4" s="1053">
        <f>SUMPRODUCT(KZ_Raum_2024!$E$7:$E$51,'Fläche-Best'!F$3:F$47)/100*$AD$1</f>
        <v>4.8560016666666677</v>
      </c>
      <c r="AH4" s="1053">
        <f>SUMPRODUCT(KZ_Raum_2024!$U$7:$U$51,'Fläche-Best'!G$3:G$47)/100*$AD$1</f>
        <v>2.6700277142857152</v>
      </c>
      <c r="AI4" s="1053">
        <f>SUMPRODUCT(KZ_Raum_2024!$U$7:$U$51,'Fläche-Best'!H$3:H$47)/100*$AD$1</f>
        <v>9.9573936000000032</v>
      </c>
      <c r="AJ4" s="1053">
        <f>SUMPRODUCT(KZ_Raum_2024!$U$7:$U$51,'Fläche-Best'!I$3:I$47)/100*$AD$1</f>
        <v>8.4917526530612246</v>
      </c>
      <c r="AK4" s="1053">
        <f>SUMPRODUCT(KZ_Raum_2024!$U$7:$U$51,'Fläche-Best'!J$3:J$47)/100*$AD$1</f>
        <v>8.4917526530612246</v>
      </c>
      <c r="AL4" s="1053">
        <f>SUMPRODUCT(KZ_Raum_2024!$U$7:$U$51,'Fläche-Best'!K$3:K$47)/100*$AD$1</f>
        <v>9.0407420816326542</v>
      </c>
      <c r="AM4" s="1053">
        <f>SUMPRODUCT(KZ_Raum_2024!$U$7:$U$51,'Fläche-Best'!L$3:L$47)/100*$AD$1</f>
        <v>30.796232971428573</v>
      </c>
      <c r="AN4" s="1053">
        <f>SUMPRODUCT(KZ_Raum_2024!$U$7:$U$51,'Fläche-Best'!M$3:M$47)/100*$AD$1</f>
        <v>30.731214190476187</v>
      </c>
      <c r="AO4" s="1053">
        <f>SUMPRODUCT(KZ_Raum_2024!$U$7:$U$51,'Fläche-Best'!N$3:N$47)/100*$AD$1</f>
        <v>30.796232971428573</v>
      </c>
      <c r="AP4" s="1053">
        <f>SUMPRODUCT(KZ_Raum_2024!$U$7:$U$51,'Fläche-Best'!O$3:O$47)/100*$AD$1</f>
        <v>25.048195257142858</v>
      </c>
      <c r="AQ4" s="1053">
        <f>SUMPRODUCT(KZ_Raum_2024!$U$7:$U$51,'Fläche-Best'!P$3:P$47)/100*$AD$1</f>
        <v>10.611797904761907</v>
      </c>
      <c r="AR4" s="1053">
        <f>SUMPRODUCT(KZ_Raum_2024!$U$7:$U$51,'Fläche-Best'!Q$3:Q$47)/100*$AD$1</f>
        <v>16.323401142857143</v>
      </c>
      <c r="AS4" s="1053">
        <f>SUMPRODUCT(KZ_Raum_2024!$U$7:$U$51,'Fläche-Best'!R$3:R$47)/100*$AD$1</f>
        <v>12.755721142857148</v>
      </c>
      <c r="AT4" s="1053">
        <f>SUMPRODUCT(KZ_Raum_2024!$U$7:$U$51,'Fläche-Best'!S$3:S$47)/100*$AD$1</f>
        <v>13.775421142857148</v>
      </c>
      <c r="AU4" s="1053">
        <f>SUMPRODUCT(KZ_Raum_2024!$U$7:$U$51,'Fläche-Best'!T$3:T$47)/100*$AD$1</f>
        <v>11.308705714285717</v>
      </c>
      <c r="AV4" s="1053">
        <f>SUMPRODUCT(KZ_Raum_2024!$U$7:$U$51,'Fläche-Best'!U$3:U$47)/100*$AD$1</f>
        <v>13.444611371428577</v>
      </c>
      <c r="AW4" s="1053">
        <f>SUMPRODUCT(KZ_Raum_2024!$U$7:$U$51,'Fläche-Best'!V$3:V$47)/100*$AD$1</f>
        <v>18.512811942857141</v>
      </c>
      <c r="AX4" s="1053">
        <f>SUMPRODUCT(KZ_Raum_2024!$U$7:$U$51,'Fläche-Best'!W$3:W$47)/100*$AD$1</f>
        <v>13.777361142857144</v>
      </c>
      <c r="AY4" s="1054">
        <f>SUMPRODUCT(KZ_Raum_2024!$U$7:$U$51,'Fläche-Best'!X$3:X$47)/100*$AD$1</f>
        <v>11.925770285714288</v>
      </c>
      <c r="AZ4" s="1054">
        <f>SUMPRODUCT(KZ_Raum_2024!$E$7:$E$51,'Fläche-Best'!Y$3:Y$47)/100*$AD$1</f>
        <v>1.1488220170940169</v>
      </c>
      <c r="BC4" s="755" t="s">
        <v>102</v>
      </c>
      <c r="BD4" s="756" t="s">
        <v>103</v>
      </c>
      <c r="BE4" s="751">
        <v>40</v>
      </c>
      <c r="BF4" s="751"/>
      <c r="BG4" s="751"/>
      <c r="BH4" s="751">
        <v>60</v>
      </c>
      <c r="BI4" s="751">
        <v>20</v>
      </c>
      <c r="BJ4" s="751">
        <v>10</v>
      </c>
      <c r="BK4" s="751"/>
      <c r="BL4" s="751"/>
      <c r="BM4" s="751">
        <v>10</v>
      </c>
      <c r="BN4" s="751"/>
      <c r="BO4" s="751"/>
      <c r="BP4" s="751"/>
      <c r="BQ4" s="751">
        <v>5</v>
      </c>
      <c r="BR4" s="751">
        <v>5</v>
      </c>
      <c r="BS4" s="751">
        <v>30</v>
      </c>
      <c r="BT4" s="751"/>
      <c r="BU4" s="751"/>
      <c r="BV4" s="751">
        <v>30</v>
      </c>
      <c r="BW4" s="751">
        <v>100</v>
      </c>
      <c r="BX4" s="751">
        <v>20</v>
      </c>
      <c r="BY4" s="751">
        <v>20</v>
      </c>
      <c r="BZ4" s="751"/>
      <c r="CB4" s="755" t="s">
        <v>102</v>
      </c>
      <c r="CC4" s="756" t="s">
        <v>103</v>
      </c>
      <c r="CD4" s="759">
        <f>ROUND(AE29*2,-1)/2</f>
        <v>50</v>
      </c>
      <c r="CE4" s="759"/>
      <c r="CF4" s="751"/>
      <c r="CG4" s="759">
        <f t="shared" ref="CG4:CX4" si="19">ROUND(AH29*2,-1)/2</f>
        <v>70</v>
      </c>
      <c r="CH4" s="759">
        <f t="shared" si="19"/>
        <v>25</v>
      </c>
      <c r="CI4" s="751">
        <f t="shared" si="19"/>
        <v>10</v>
      </c>
      <c r="CJ4" s="751">
        <f t="shared" si="19"/>
        <v>10</v>
      </c>
      <c r="CK4" s="751">
        <f t="shared" si="19"/>
        <v>10</v>
      </c>
      <c r="CL4" s="759">
        <f t="shared" si="19"/>
        <v>15</v>
      </c>
      <c r="CM4" s="751">
        <f t="shared" si="19"/>
        <v>15</v>
      </c>
      <c r="CN4" s="751">
        <f t="shared" si="19"/>
        <v>15</v>
      </c>
      <c r="CO4" s="751">
        <f t="shared" si="19"/>
        <v>30</v>
      </c>
      <c r="CP4" s="751">
        <f t="shared" si="19"/>
        <v>5</v>
      </c>
      <c r="CQ4" s="751">
        <f t="shared" si="19"/>
        <v>5</v>
      </c>
      <c r="CR4" s="758">
        <f t="shared" si="19"/>
        <v>20</v>
      </c>
      <c r="CS4" s="758">
        <f t="shared" si="19"/>
        <v>15</v>
      </c>
      <c r="CT4" s="758">
        <f t="shared" si="19"/>
        <v>20</v>
      </c>
      <c r="CU4" s="751">
        <f t="shared" si="19"/>
        <v>30</v>
      </c>
      <c r="CV4" s="758">
        <f t="shared" si="19"/>
        <v>60</v>
      </c>
      <c r="CW4" s="759">
        <f t="shared" si="19"/>
        <v>40</v>
      </c>
      <c r="CX4" s="751">
        <f t="shared" si="19"/>
        <v>20</v>
      </c>
      <c r="CY4" s="751"/>
      <c r="DB4" s="755" t="s">
        <v>17</v>
      </c>
      <c r="DC4" s="756" t="s">
        <v>134</v>
      </c>
      <c r="DD4" s="751">
        <v>2</v>
      </c>
      <c r="DE4" s="751"/>
      <c r="DF4" s="751"/>
      <c r="DG4" s="751"/>
      <c r="DH4" s="751">
        <v>7</v>
      </c>
      <c r="DI4" s="751">
        <v>5</v>
      </c>
      <c r="DJ4" s="751"/>
      <c r="DK4" s="751"/>
      <c r="DL4" s="751"/>
      <c r="DM4" s="751">
        <v>20</v>
      </c>
      <c r="DN4" s="751">
        <v>30</v>
      </c>
      <c r="DO4" s="751"/>
      <c r="DP4" s="751">
        <v>7</v>
      </c>
      <c r="DQ4" s="750"/>
      <c r="DR4" s="750"/>
      <c r="DS4" s="750"/>
      <c r="DT4" s="750"/>
      <c r="DU4" s="750"/>
      <c r="DV4" s="750"/>
      <c r="DW4" s="750"/>
      <c r="DZ4" s="773" t="s">
        <v>1145</v>
      </c>
      <c r="EA4" s="754" t="s">
        <v>134</v>
      </c>
      <c r="EB4" s="769">
        <v>21</v>
      </c>
      <c r="EC4" s="769"/>
      <c r="ED4" s="769"/>
      <c r="EE4" s="769">
        <v>14</v>
      </c>
      <c r="EF4" s="769">
        <v>7</v>
      </c>
      <c r="EG4" s="769">
        <v>7</v>
      </c>
      <c r="EH4" s="769"/>
      <c r="EI4" s="769"/>
      <c r="EJ4" s="769">
        <v>7</v>
      </c>
      <c r="EK4" s="769"/>
      <c r="EL4" s="769"/>
      <c r="EM4" s="769"/>
      <c r="EN4" s="769">
        <v>0</v>
      </c>
      <c r="EO4" s="769">
        <v>14</v>
      </c>
      <c r="EP4" s="769">
        <v>28</v>
      </c>
      <c r="EQ4" s="769"/>
      <c r="ER4" s="769"/>
      <c r="ES4" s="769">
        <v>7</v>
      </c>
      <c r="ET4" s="769">
        <v>1</v>
      </c>
      <c r="EU4" s="769">
        <v>0</v>
      </c>
      <c r="EX4" s="773" t="s">
        <v>1145</v>
      </c>
      <c r="EY4" s="754" t="s">
        <v>134</v>
      </c>
      <c r="EZ4" s="769">
        <f t="shared" si="16"/>
        <v>10.5</v>
      </c>
      <c r="FA4" s="769">
        <f t="shared" si="16"/>
        <v>0</v>
      </c>
      <c r="FB4" s="769">
        <f t="shared" si="16"/>
        <v>0</v>
      </c>
      <c r="FC4" s="769">
        <f t="shared" si="16"/>
        <v>7</v>
      </c>
      <c r="FD4" s="769">
        <f t="shared" si="16"/>
        <v>3.5</v>
      </c>
      <c r="FE4" s="769">
        <f t="shared" si="16"/>
        <v>3.5</v>
      </c>
      <c r="FF4" s="769">
        <f t="shared" si="16"/>
        <v>0</v>
      </c>
      <c r="FG4" s="769">
        <f t="shared" si="16"/>
        <v>0</v>
      </c>
      <c r="FH4" s="769">
        <f t="shared" si="16"/>
        <v>3.5</v>
      </c>
      <c r="FI4" s="769">
        <f t="shared" si="16"/>
        <v>0</v>
      </c>
      <c r="FJ4" s="769">
        <f t="shared" si="16"/>
        <v>0</v>
      </c>
      <c r="FK4" s="769">
        <f t="shared" si="17"/>
        <v>0</v>
      </c>
      <c r="FL4" s="769">
        <f t="shared" si="17"/>
        <v>0</v>
      </c>
      <c r="FM4" s="769">
        <f t="shared" si="17"/>
        <v>7</v>
      </c>
      <c r="FN4" s="769">
        <f t="shared" si="17"/>
        <v>14</v>
      </c>
      <c r="FO4" s="769">
        <f t="shared" si="17"/>
        <v>0</v>
      </c>
      <c r="FP4" s="769">
        <f t="shared" si="17"/>
        <v>0</v>
      </c>
      <c r="FQ4" s="769">
        <f t="shared" si="17"/>
        <v>3.5</v>
      </c>
      <c r="FR4" s="769">
        <f t="shared" si="17"/>
        <v>0.5</v>
      </c>
      <c r="FS4" s="769">
        <f t="shared" si="17"/>
        <v>0</v>
      </c>
      <c r="FT4" s="774">
        <f t="shared" si="17"/>
        <v>0</v>
      </c>
      <c r="FU4" s="754">
        <f t="shared" si="17"/>
        <v>0</v>
      </c>
      <c r="FW4" s="773" t="s">
        <v>1145</v>
      </c>
      <c r="FX4" s="754" t="s">
        <v>134</v>
      </c>
      <c r="FY4" s="770">
        <f t="shared" ref="FY4:GT4" si="20">AE8/0.67/3</f>
        <v>5.7295920398009956</v>
      </c>
      <c r="FZ4" s="808">
        <f t="shared" si="20"/>
        <v>5.7295920398009956</v>
      </c>
      <c r="GA4" s="808">
        <f t="shared" si="20"/>
        <v>8.7022040274816401</v>
      </c>
      <c r="GB4" s="770">
        <f t="shared" si="20"/>
        <v>4.8533014925373132</v>
      </c>
      <c r="GC4" s="770">
        <f t="shared" si="20"/>
        <v>0.6300506609808102</v>
      </c>
      <c r="GD4" s="770">
        <f t="shared" si="20"/>
        <v>0.82540545223004358</v>
      </c>
      <c r="GE4" s="808">
        <f t="shared" si="20"/>
        <v>0.82540545223004358</v>
      </c>
      <c r="GF4" s="808">
        <f t="shared" si="20"/>
        <v>0.64018304430878881</v>
      </c>
      <c r="GG4" s="770">
        <f t="shared" si="20"/>
        <v>0.70193603411513872</v>
      </c>
      <c r="GH4" s="770">
        <f t="shared" si="20"/>
        <v>0.70193603411513872</v>
      </c>
      <c r="GI4" s="770">
        <f t="shared" si="20"/>
        <v>0.70193603411513872</v>
      </c>
      <c r="GJ4" s="770">
        <f t="shared" si="20"/>
        <v>0.39846618336887002</v>
      </c>
      <c r="GK4" s="770">
        <f t="shared" si="20"/>
        <v>21.72806140724947</v>
      </c>
      <c r="GL4" s="770">
        <f t="shared" si="20"/>
        <v>1.7857569296375269</v>
      </c>
      <c r="GM4" s="770">
        <f t="shared" si="20"/>
        <v>10.836757924662402</v>
      </c>
      <c r="GN4" s="770">
        <f t="shared" si="20"/>
        <v>9.4886186211798158</v>
      </c>
      <c r="GO4" s="770">
        <f t="shared" si="20"/>
        <v>13.533036531627578</v>
      </c>
      <c r="GP4" s="770">
        <f t="shared" si="20"/>
        <v>0.6300506609808102</v>
      </c>
      <c r="GQ4" s="770">
        <f t="shared" si="20"/>
        <v>0.30469663113006401</v>
      </c>
      <c r="GR4" s="770">
        <f t="shared" si="20"/>
        <v>15.159417902269473</v>
      </c>
      <c r="GS4" s="770">
        <f t="shared" si="20"/>
        <v>34.733912153518133</v>
      </c>
      <c r="GT4" s="770">
        <f t="shared" si="20"/>
        <v>0</v>
      </c>
      <c r="GV4" s="773" t="s">
        <v>1145</v>
      </c>
      <c r="GW4" s="754" t="s">
        <v>134</v>
      </c>
      <c r="GX4" s="724"/>
      <c r="GY4" s="724"/>
      <c r="GZ4" s="724"/>
      <c r="HA4" s="724"/>
      <c r="HB4" s="724"/>
      <c r="HC4" s="724"/>
      <c r="HD4" s="724"/>
      <c r="HE4" s="724"/>
      <c r="HF4" s="724"/>
      <c r="HG4" s="724"/>
      <c r="HH4" s="724"/>
      <c r="HI4" s="724"/>
      <c r="HJ4" s="724"/>
      <c r="HK4" s="724"/>
      <c r="HL4" s="724"/>
      <c r="HM4" s="724"/>
      <c r="HN4" s="724"/>
      <c r="HO4" s="724"/>
      <c r="HP4" s="724"/>
      <c r="HQ4" s="724"/>
      <c r="HR4" s="724"/>
      <c r="HS4" s="724"/>
    </row>
    <row r="5" spans="1:227" s="754" customFormat="1" ht="15.75" customHeight="1">
      <c r="A5" s="1392">
        <f>Eingabedaten!A11</f>
        <v>2.0099999999999998</v>
      </c>
      <c r="B5" s="750" t="str">
        <f>Eingabedaten!C11</f>
        <v xml:space="preserve">Hotelzimmer </v>
      </c>
      <c r="C5" s="751" t="s">
        <v>5</v>
      </c>
      <c r="D5" s="753"/>
      <c r="E5" s="753"/>
      <c r="F5" s="752">
        <v>55</v>
      </c>
      <c r="G5" s="753"/>
      <c r="H5" s="753"/>
      <c r="I5" s="753"/>
      <c r="J5" s="753"/>
      <c r="K5" s="753"/>
      <c r="L5" s="753"/>
      <c r="M5" s="753"/>
      <c r="N5" s="753"/>
      <c r="O5" s="753"/>
      <c r="P5" s="753"/>
      <c r="Q5" s="753"/>
      <c r="R5" s="753"/>
      <c r="S5" s="753"/>
      <c r="T5" s="753"/>
      <c r="U5" s="753"/>
      <c r="V5" s="753"/>
      <c r="W5" s="753"/>
      <c r="X5" s="753"/>
      <c r="Y5" s="753"/>
      <c r="AA5" s="769">
        <f>1/Eingabedaten!AP11</f>
        <v>6.6666666666666666E-2</v>
      </c>
      <c r="AC5" s="773" t="s">
        <v>19</v>
      </c>
      <c r="AD5" s="774" t="s">
        <v>134</v>
      </c>
      <c r="AE5" s="1099">
        <f>SUMPRODUCT(KZ_Raum_2024!$V$7:$V$51,'Fläche-Best'!D$3:D$47)/100*$AD$1</f>
        <v>0</v>
      </c>
      <c r="AF5" s="1053">
        <f>SUMPRODUCT(KZ_Raum_2024!$F$7:$F$51,'Fläche-Best'!E$3:E$47)/100*$AD$1</f>
        <v>2.7887072000000006</v>
      </c>
      <c r="AG5" s="1053">
        <f>SUMPRODUCT(KZ_Raum_2024!$F$7:$F$51,'Fläche-Best'!F$3:F$47)/100*$AD$1</f>
        <v>4.6930259047619058</v>
      </c>
      <c r="AH5" s="1053">
        <f>SUMPRODUCT(KZ_Raum_2024!$V$7:$V$51,'Fläche-Best'!G$3:G$47)/100*$AD$1</f>
        <v>0</v>
      </c>
      <c r="AI5" s="1053">
        <f>SUMPRODUCT(KZ_Raum_2024!$V$7:$V$51,'Fläche-Best'!H$3:H$47)/100*$AD$1</f>
        <v>5.1105403999999997</v>
      </c>
      <c r="AJ5" s="1053">
        <f>SUMPRODUCT(KZ_Raum_2024!$V$7:$V$51,'Fläche-Best'!I$3:I$47)/100*$AD$1</f>
        <v>0.73900400000000022</v>
      </c>
      <c r="AK5" s="1053">
        <f>SUMPRODUCT(KZ_Raum_2024!$V$7:$V$51,'Fläche-Best'!J$3:J$47)/100*$AD$1</f>
        <v>0.73900400000000022</v>
      </c>
      <c r="AL5" s="1053">
        <f>SUMPRODUCT(KZ_Raum_2024!$V$7:$V$51,'Fläche-Best'!K$3:K$47)/100*$AD$1</f>
        <v>5.6058139999999996</v>
      </c>
      <c r="AM5" s="1053">
        <f>SUMPRODUCT(KZ_Raum_2024!$V$7:$V$51,'Fläche-Best'!L$3:L$47)/100*$AD$1</f>
        <v>6.2902260000000005</v>
      </c>
      <c r="AN5" s="1053">
        <f>SUMPRODUCT(KZ_Raum_2024!$V$7:$V$51,'Fläche-Best'!M$3:M$47)/100*$AD$1</f>
        <v>6.2902260000000005</v>
      </c>
      <c r="AO5" s="1053">
        <f>SUMPRODUCT(KZ_Raum_2024!$V$7:$V$51,'Fläche-Best'!N$3:N$47)/100*$AD$1</f>
        <v>6.2902260000000005</v>
      </c>
      <c r="AP5" s="1053">
        <f>SUMPRODUCT(KZ_Raum_2024!$V$7:$V$51,'Fläche-Best'!O$3:O$47)/100*$AD$1</f>
        <v>5.7655928000000003</v>
      </c>
      <c r="AQ5" s="1053">
        <f>SUMPRODUCT(KZ_Raum_2024!$V$7:$V$51,'Fläche-Best'!P$3:P$47)/100*$AD$1</f>
        <v>20.377208</v>
      </c>
      <c r="AR5" s="1053">
        <f>SUMPRODUCT(KZ_Raum_2024!$V$7:$V$51,'Fläche-Best'!Q$3:Q$47)/100*$AD$1</f>
        <v>19.110726666666665</v>
      </c>
      <c r="AS5" s="1053">
        <f>SUMPRODUCT(KZ_Raum_2024!$V$7:$V$51,'Fläche-Best'!R$3:R$47)/100*$AD$1</f>
        <v>0.60253999999999996</v>
      </c>
      <c r="AT5" s="1053">
        <f>SUMPRODUCT(KZ_Raum_2024!$V$7:$V$51,'Fläche-Best'!S$3:S$47)/100*$AD$1</f>
        <v>0.60253999999999996</v>
      </c>
      <c r="AU5" s="1053">
        <f>SUMPRODUCT(KZ_Raum_2024!$V$7:$V$51,'Fläche-Best'!T$3:T$47)/100*$AD$1</f>
        <v>0.60253999999999996</v>
      </c>
      <c r="AV5" s="1053">
        <f>SUMPRODUCT(KZ_Raum_2024!$V$7:$V$51,'Fläche-Best'!U$3:U$47)/100*$AD$1</f>
        <v>4.0597391111111119</v>
      </c>
      <c r="AW5" s="1053">
        <f>SUMPRODUCT(KZ_Raum_2024!$V$7:$V$51,'Fläche-Best'!V$3:V$47)/100*$AD$1</f>
        <v>0.35575599999999996</v>
      </c>
      <c r="AX5" s="1053">
        <f>SUMPRODUCT(KZ_Raum_2024!$V$7:$V$51,'Fläche-Best'!W$3:W$47)/100*$AD$1</f>
        <v>1.2339200000000001</v>
      </c>
      <c r="AY5" s="1054">
        <f>SUMPRODUCT(KZ_Raum_2024!$V$7:$V$51,'Fläche-Best'!X$3:X$47)/100*$AD$1</f>
        <v>10.656564000000003</v>
      </c>
      <c r="AZ5" s="876">
        <f>SUMPRODUCT(KZ_Raum_2024!$F$7:$F$51,'Fläche-Best'!Y$3:Y$47)/100*$AD$1</f>
        <v>7.3372000000000021E-2</v>
      </c>
      <c r="BC5" s="755" t="s">
        <v>1059</v>
      </c>
      <c r="BD5" s="756" t="s">
        <v>319</v>
      </c>
      <c r="BE5" s="751">
        <v>70</v>
      </c>
      <c r="BF5" s="751"/>
      <c r="BG5" s="751"/>
      <c r="BH5" s="751">
        <v>70</v>
      </c>
      <c r="BI5" s="751">
        <v>80</v>
      </c>
      <c r="BJ5" s="751">
        <v>70</v>
      </c>
      <c r="BK5" s="751"/>
      <c r="BL5" s="751"/>
      <c r="BM5" s="751">
        <v>90</v>
      </c>
      <c r="BN5" s="751"/>
      <c r="BO5" s="751"/>
      <c r="BP5" s="751"/>
      <c r="BQ5" s="751">
        <v>100</v>
      </c>
      <c r="BR5" s="751">
        <v>80</v>
      </c>
      <c r="BS5" s="751">
        <v>80</v>
      </c>
      <c r="BT5" s="751"/>
      <c r="BU5" s="751"/>
      <c r="BV5" s="751">
        <v>100</v>
      </c>
      <c r="BW5" s="751">
        <v>100</v>
      </c>
      <c r="BX5" s="751">
        <v>100</v>
      </c>
      <c r="BY5" s="751">
        <v>60</v>
      </c>
      <c r="BZ5" s="751"/>
      <c r="CB5" s="755" t="s">
        <v>1059</v>
      </c>
      <c r="CC5" s="756" t="s">
        <v>319</v>
      </c>
      <c r="CD5" s="760">
        <f>ROUND(AE31,-1)</f>
        <v>70</v>
      </c>
      <c r="CE5" s="761"/>
      <c r="CF5" s="758"/>
      <c r="CG5" s="751">
        <f>ROUND(AH31,-1)</f>
        <v>70</v>
      </c>
      <c r="CH5" s="759">
        <f>ROUND(AI31,-1)</f>
        <v>70</v>
      </c>
      <c r="CI5" s="751">
        <f>ROUND(AJ31,-1)</f>
        <v>70</v>
      </c>
      <c r="CJ5" s="758"/>
      <c r="CK5" s="758"/>
      <c r="CL5" s="759">
        <f t="shared" ref="CL5:CX5" si="21">ROUND(AM31,-1)</f>
        <v>70</v>
      </c>
      <c r="CM5" s="759">
        <f t="shared" si="21"/>
        <v>70</v>
      </c>
      <c r="CN5" s="759">
        <f t="shared" si="21"/>
        <v>70</v>
      </c>
      <c r="CO5" s="759">
        <f t="shared" si="21"/>
        <v>70</v>
      </c>
      <c r="CP5" s="759">
        <f t="shared" si="21"/>
        <v>70</v>
      </c>
      <c r="CQ5" s="759">
        <f t="shared" si="21"/>
        <v>70</v>
      </c>
      <c r="CR5" s="759">
        <f t="shared" si="21"/>
        <v>70</v>
      </c>
      <c r="CS5" s="759">
        <f t="shared" si="21"/>
        <v>70</v>
      </c>
      <c r="CT5" s="759">
        <f t="shared" si="21"/>
        <v>70</v>
      </c>
      <c r="CU5" s="759">
        <f t="shared" si="21"/>
        <v>70</v>
      </c>
      <c r="CV5" s="761">
        <f>ROUND(AW31,-1)</f>
        <v>120</v>
      </c>
      <c r="CW5" s="758">
        <f t="shared" si="21"/>
        <v>180</v>
      </c>
      <c r="CX5" s="758">
        <f t="shared" si="21"/>
        <v>70</v>
      </c>
      <c r="CY5" s="758"/>
      <c r="DB5" s="755" t="s">
        <v>19</v>
      </c>
      <c r="DC5" s="756" t="s">
        <v>134</v>
      </c>
      <c r="DD5" s="751">
        <v>3</v>
      </c>
      <c r="DE5" s="751"/>
      <c r="DF5" s="751"/>
      <c r="DG5" s="751"/>
      <c r="DH5" s="751">
        <v>4</v>
      </c>
      <c r="DI5" s="751">
        <v>4</v>
      </c>
      <c r="DJ5" s="751"/>
      <c r="DK5" s="751"/>
      <c r="DL5" s="751"/>
      <c r="DM5" s="751">
        <v>5</v>
      </c>
      <c r="DN5" s="751">
        <v>5</v>
      </c>
      <c r="DO5" s="751"/>
      <c r="DP5" s="751">
        <v>11</v>
      </c>
      <c r="DQ5" s="750"/>
      <c r="DR5" s="750"/>
      <c r="DS5" s="750"/>
      <c r="DT5" s="750"/>
      <c r="DU5" s="750"/>
      <c r="DV5" s="750"/>
      <c r="DW5" s="750"/>
      <c r="DZ5" s="773" t="s">
        <v>51</v>
      </c>
      <c r="EA5" s="754" t="s">
        <v>134</v>
      </c>
      <c r="EB5" s="769">
        <v>37</v>
      </c>
      <c r="EC5" s="769"/>
      <c r="ED5" s="769"/>
      <c r="EE5" s="769">
        <v>35</v>
      </c>
      <c r="EF5" s="769">
        <v>65</v>
      </c>
      <c r="EG5" s="769">
        <v>14</v>
      </c>
      <c r="EH5" s="769"/>
      <c r="EI5" s="769"/>
      <c r="EJ5" s="769">
        <v>29</v>
      </c>
      <c r="EK5" s="769"/>
      <c r="EL5" s="769"/>
      <c r="EM5" s="769"/>
      <c r="EN5" s="769">
        <v>43</v>
      </c>
      <c r="EO5" s="769">
        <v>7</v>
      </c>
      <c r="EP5" s="769">
        <v>29</v>
      </c>
      <c r="EQ5" s="769"/>
      <c r="ER5" s="769"/>
      <c r="ES5" s="769">
        <v>29</v>
      </c>
      <c r="ET5" s="769">
        <v>7</v>
      </c>
      <c r="EU5" s="769">
        <v>7</v>
      </c>
      <c r="EX5" s="773" t="s">
        <v>51</v>
      </c>
      <c r="EY5" s="754" t="s">
        <v>134</v>
      </c>
      <c r="EZ5" s="769">
        <f t="shared" si="16"/>
        <v>18.5</v>
      </c>
      <c r="FA5" s="769">
        <f t="shared" si="16"/>
        <v>0</v>
      </c>
      <c r="FB5" s="769">
        <f t="shared" si="16"/>
        <v>0</v>
      </c>
      <c r="FC5" s="769">
        <f t="shared" si="16"/>
        <v>17.5</v>
      </c>
      <c r="FD5" s="769">
        <f t="shared" si="16"/>
        <v>32.5</v>
      </c>
      <c r="FE5" s="769">
        <f t="shared" si="16"/>
        <v>7</v>
      </c>
      <c r="FF5" s="769">
        <f t="shared" si="16"/>
        <v>0</v>
      </c>
      <c r="FG5" s="769">
        <f t="shared" si="16"/>
        <v>0</v>
      </c>
      <c r="FH5" s="769">
        <f t="shared" si="16"/>
        <v>14.5</v>
      </c>
      <c r="FI5" s="769">
        <f t="shared" si="16"/>
        <v>0</v>
      </c>
      <c r="FJ5" s="769">
        <f t="shared" si="16"/>
        <v>0</v>
      </c>
      <c r="FK5" s="769">
        <f t="shared" si="17"/>
        <v>0</v>
      </c>
      <c r="FL5" s="769">
        <f t="shared" si="17"/>
        <v>21.5</v>
      </c>
      <c r="FM5" s="769">
        <f t="shared" si="17"/>
        <v>3.5</v>
      </c>
      <c r="FN5" s="769">
        <f t="shared" si="17"/>
        <v>14.5</v>
      </c>
      <c r="FO5" s="769">
        <f t="shared" si="17"/>
        <v>0</v>
      </c>
      <c r="FP5" s="769">
        <f t="shared" si="17"/>
        <v>0</v>
      </c>
      <c r="FQ5" s="769">
        <f t="shared" si="17"/>
        <v>14.5</v>
      </c>
      <c r="FR5" s="769">
        <f t="shared" si="17"/>
        <v>3.5</v>
      </c>
      <c r="FS5" s="769">
        <f t="shared" si="17"/>
        <v>3.5</v>
      </c>
      <c r="FT5" s="774">
        <f t="shared" si="17"/>
        <v>0</v>
      </c>
      <c r="FU5" s="754">
        <f t="shared" si="17"/>
        <v>0</v>
      </c>
      <c r="FW5" s="775" t="s">
        <v>19</v>
      </c>
      <c r="FX5" s="754" t="s">
        <v>134</v>
      </c>
      <c r="FY5" s="808">
        <f t="shared" ref="FY5:GT5" si="22">AE5</f>
        <v>0</v>
      </c>
      <c r="FZ5" s="808">
        <f t="shared" si="22"/>
        <v>2.7887072000000006</v>
      </c>
      <c r="GA5" s="808">
        <f t="shared" si="22"/>
        <v>4.6930259047619058</v>
      </c>
      <c r="GB5" s="808">
        <f t="shared" si="22"/>
        <v>0</v>
      </c>
      <c r="GC5" s="808">
        <f t="shared" si="22"/>
        <v>5.1105403999999997</v>
      </c>
      <c r="GD5" s="808">
        <f t="shared" si="22"/>
        <v>0.73900400000000022</v>
      </c>
      <c r="GE5" s="808">
        <f t="shared" si="22"/>
        <v>0.73900400000000022</v>
      </c>
      <c r="GF5" s="808">
        <f t="shared" si="22"/>
        <v>5.6058139999999996</v>
      </c>
      <c r="GG5" s="808">
        <f t="shared" si="22"/>
        <v>6.2902260000000005</v>
      </c>
      <c r="GH5" s="808">
        <f t="shared" si="22"/>
        <v>6.2902260000000005</v>
      </c>
      <c r="GI5" s="808">
        <f t="shared" si="22"/>
        <v>6.2902260000000005</v>
      </c>
      <c r="GJ5" s="808">
        <f t="shared" si="22"/>
        <v>5.7655928000000003</v>
      </c>
      <c r="GK5" s="808">
        <f t="shared" si="22"/>
        <v>20.377208</v>
      </c>
      <c r="GL5" s="808">
        <f t="shared" si="22"/>
        <v>19.110726666666665</v>
      </c>
      <c r="GM5" s="808">
        <f t="shared" si="22"/>
        <v>0.60253999999999996</v>
      </c>
      <c r="GN5" s="808">
        <f t="shared" si="22"/>
        <v>0.60253999999999996</v>
      </c>
      <c r="GO5" s="808">
        <f t="shared" si="22"/>
        <v>0.60253999999999996</v>
      </c>
      <c r="GP5" s="808">
        <f t="shared" si="22"/>
        <v>4.0597391111111119</v>
      </c>
      <c r="GQ5" s="808">
        <f t="shared" si="22"/>
        <v>0.35575599999999996</v>
      </c>
      <c r="GR5" s="808">
        <f t="shared" si="22"/>
        <v>1.2339200000000001</v>
      </c>
      <c r="GS5" s="808">
        <f t="shared" si="22"/>
        <v>10.656564000000003</v>
      </c>
      <c r="GT5" s="808">
        <f t="shared" si="22"/>
        <v>7.3372000000000021E-2</v>
      </c>
      <c r="GV5" s="775" t="s">
        <v>1297</v>
      </c>
      <c r="GW5" s="754" t="s">
        <v>134</v>
      </c>
      <c r="GX5" s="724"/>
      <c r="GY5" s="1115"/>
      <c r="GZ5" s="1115"/>
      <c r="HA5" s="1115"/>
      <c r="HB5" s="1115"/>
      <c r="HC5" s="1115"/>
      <c r="HD5" s="1115"/>
      <c r="HE5" s="1115"/>
      <c r="HF5" s="1115"/>
      <c r="HG5" s="1115"/>
      <c r="HH5" s="1115"/>
      <c r="HI5" s="1115"/>
      <c r="HJ5" s="1115"/>
      <c r="HK5" s="1115"/>
      <c r="HL5" s="1115"/>
      <c r="HM5" s="1115"/>
      <c r="HN5" s="1115"/>
      <c r="HO5" s="1115"/>
      <c r="HP5" s="1115"/>
      <c r="HQ5" s="1115"/>
      <c r="HR5" s="1115"/>
      <c r="HS5" s="1115"/>
    </row>
    <row r="6" spans="1:227" s="754" customFormat="1" ht="15.75" customHeight="1">
      <c r="A6" s="1392">
        <f>Eingabedaten!A12</f>
        <v>2.02</v>
      </c>
      <c r="B6" s="750" t="str">
        <f>Eingabedaten!C12</f>
        <v>Empfang, Lobby</v>
      </c>
      <c r="C6" s="751" t="s">
        <v>5</v>
      </c>
      <c r="D6" s="753"/>
      <c r="E6" s="753"/>
      <c r="F6" s="752">
        <v>5</v>
      </c>
      <c r="G6" s="753"/>
      <c r="H6" s="753"/>
      <c r="I6" s="753"/>
      <c r="J6" s="753"/>
      <c r="K6" s="752">
        <v>5</v>
      </c>
      <c r="L6" s="753"/>
      <c r="M6" s="753"/>
      <c r="N6" s="753"/>
      <c r="O6" s="753"/>
      <c r="P6" s="753"/>
      <c r="Q6" s="753"/>
      <c r="R6" s="753"/>
      <c r="S6" s="753"/>
      <c r="T6" s="753"/>
      <c r="U6" s="753"/>
      <c r="V6" s="753"/>
      <c r="W6" s="753"/>
      <c r="X6" s="753"/>
      <c r="Y6" s="753"/>
      <c r="AA6" s="769">
        <f>1/Eingabedaten!AP12</f>
        <v>0.2</v>
      </c>
      <c r="AC6" s="773" t="s">
        <v>463</v>
      </c>
      <c r="AD6" s="774" t="s">
        <v>134</v>
      </c>
      <c r="AE6" s="1099">
        <f>SUMPRODUCT(KZ_Raum_2024!$W$7:$W$51,'Fläche-Best'!D$3:D$47)/100*$AD$1</f>
        <v>0</v>
      </c>
      <c r="AF6" s="1053">
        <f>SUMPRODUCT(KZ_Raum_2024!$G$7:$G$51,'Fläche-Best'!E$3:E$47)/100*$AD$1</f>
        <v>3.3889639654036778</v>
      </c>
      <c r="AG6" s="1053">
        <f>SUMPRODUCT(KZ_Raum_2024!$G$7:$G$51,'Fläche-Best'!F$3:F$47)/100*$AD$1</f>
        <v>4.7381022785109517</v>
      </c>
      <c r="AH6" s="1053">
        <f>SUMPRODUCT(KZ_Raum_2024!$W$7:$W$51,'Fläche-Best'!G$3:G$47)/100*$AD$1</f>
        <v>0</v>
      </c>
      <c r="AI6" s="1053">
        <f>SUMPRODUCT(KZ_Raum_2024!$W$7:$W$51,'Fläche-Best'!H$3:H$47)/100*$AD$1</f>
        <v>2.2813707098516853</v>
      </c>
      <c r="AJ6" s="1053">
        <f>SUMPRODUCT(KZ_Raum_2024!$W$7:$W$51,'Fläche-Best'!I$3:I$47)/100*$AD$1</f>
        <v>0.18252109550201001</v>
      </c>
      <c r="AK6" s="1053">
        <f>SUMPRODUCT(KZ_Raum_2024!$W$7:$W$51,'Fläche-Best'!J$3:J$47)/100*$AD$1</f>
        <v>0.18252109550201001</v>
      </c>
      <c r="AL6" s="1053">
        <f>SUMPRODUCT(KZ_Raum_2024!$W$7:$W$51,'Fläche-Best'!K$3:K$47)/100*$AD$1</f>
        <v>1.8968541637071625</v>
      </c>
      <c r="AM6" s="1053">
        <f>SUMPRODUCT(KZ_Raum_2024!$W$7:$W$51,'Fläche-Best'!L$3:L$47)/100*$AD$1</f>
        <v>0.18252109550201001</v>
      </c>
      <c r="AN6" s="1053">
        <f>SUMPRODUCT(KZ_Raum_2024!$W$7:$W$51,'Fläche-Best'!M$3:M$47)/100*$AD$1</f>
        <v>0.18252109550201001</v>
      </c>
      <c r="AO6" s="1053">
        <f>SUMPRODUCT(KZ_Raum_2024!$W$7:$W$51,'Fläche-Best'!N$3:N$47)/100*$AD$1</f>
        <v>0.18252109550201001</v>
      </c>
      <c r="AP6" s="1053">
        <f>SUMPRODUCT(KZ_Raum_2024!$W$7:$W$51,'Fläche-Best'!O$3:O$47)/100*$AD$1</f>
        <v>0.18252109550201001</v>
      </c>
      <c r="AQ6" s="1053">
        <f>SUMPRODUCT(KZ_Raum_2024!$W$7:$W$51,'Fläche-Best'!P$3:P$47)/100*$AD$1</f>
        <v>0.18252109550201001</v>
      </c>
      <c r="AR6" s="1053">
        <f>SUMPRODUCT(KZ_Raum_2024!$W$7:$W$51,'Fläche-Best'!Q$3:Q$47)/100*$AD$1</f>
        <v>1.304245034532854</v>
      </c>
      <c r="AS6" s="1053">
        <f>SUMPRODUCT(KZ_Raum_2024!$W$7:$W$51,'Fläche-Best'!R$3:R$47)/100*$AD$1</f>
        <v>1.9555033618930562</v>
      </c>
      <c r="AT6" s="1053">
        <f>SUMPRODUCT(KZ_Raum_2024!$W$7:$W$51,'Fläche-Best'!S$3:S$47)/100*$AD$1</f>
        <v>2.1191422384613894</v>
      </c>
      <c r="AU6" s="1053">
        <f>SUMPRODUCT(KZ_Raum_2024!$W$7:$W$51,'Fläche-Best'!T$3:T$47)/100*$AD$1</f>
        <v>1.4839254630353467</v>
      </c>
      <c r="AV6" s="1053">
        <f>SUMPRODUCT(KZ_Raum_2024!$W$7:$W$51,'Fläche-Best'!U$3:U$47)/100*$AD$1</f>
        <v>0.82047603551894732</v>
      </c>
      <c r="AW6" s="1053">
        <f>SUMPRODUCT(KZ_Raum_2024!$W$7:$W$51,'Fläche-Best'!V$3:V$47)/100*$AD$1</f>
        <v>0.18252109550201001</v>
      </c>
      <c r="AX6" s="1053">
        <f>SUMPRODUCT(KZ_Raum_2024!$W$7:$W$51,'Fläche-Best'!W$3:W$47)/100*$AD$1</f>
        <v>0</v>
      </c>
      <c r="AY6" s="1054">
        <f>SUMPRODUCT(KZ_Raum_2024!$W$7:$W$51,'Fläche-Best'!X$3:X$47)/100*$AD$1</f>
        <v>0.18252109550201001</v>
      </c>
      <c r="AZ6" s="1054">
        <f>SUMPRODUCT(KZ_Raum_2024!$G$7:$G$51,'Fläche-Best'!Y$3:Y$47)/100*$AD$1</f>
        <v>0</v>
      </c>
      <c r="BC6" s="755" t="s">
        <v>321</v>
      </c>
      <c r="BD6" s="756" t="s">
        <v>15</v>
      </c>
      <c r="BE6" s="751">
        <v>12</v>
      </c>
      <c r="BF6" s="751"/>
      <c r="BG6" s="751"/>
      <c r="BH6" s="751">
        <v>12</v>
      </c>
      <c r="BI6" s="751">
        <v>6</v>
      </c>
      <c r="BJ6" s="751">
        <v>4</v>
      </c>
      <c r="BK6" s="751"/>
      <c r="BL6" s="751"/>
      <c r="BM6" s="751">
        <v>4</v>
      </c>
      <c r="BN6" s="751"/>
      <c r="BO6" s="751"/>
      <c r="BP6" s="751"/>
      <c r="BQ6" s="751">
        <v>3</v>
      </c>
      <c r="BR6" s="751">
        <v>3</v>
      </c>
      <c r="BS6" s="751">
        <v>16</v>
      </c>
      <c r="BT6" s="751"/>
      <c r="BU6" s="751"/>
      <c r="BV6" s="751">
        <v>6</v>
      </c>
      <c r="BW6" s="751">
        <v>6</v>
      </c>
      <c r="BX6" s="751">
        <v>6</v>
      </c>
      <c r="BY6" s="751">
        <v>4</v>
      </c>
      <c r="BZ6" s="751"/>
      <c r="CB6" s="755" t="s">
        <v>321</v>
      </c>
      <c r="CC6" s="756" t="s">
        <v>15</v>
      </c>
      <c r="CD6" s="762">
        <f>ROUND(AE30,0)</f>
        <v>13</v>
      </c>
      <c r="CE6" s="762"/>
      <c r="CF6" s="762">
        <f>ROUND(AG30,0)</f>
        <v>11</v>
      </c>
      <c r="CG6" s="762">
        <f>ROUND(AH30,0)</f>
        <v>13</v>
      </c>
      <c r="CH6" s="762">
        <f>ROUND(AI30,0)</f>
        <v>7</v>
      </c>
      <c r="CI6" s="760">
        <f>ROUND(AJ30,0)</f>
        <v>5</v>
      </c>
      <c r="CJ6" s="760"/>
      <c r="CK6" s="760"/>
      <c r="CL6" s="761">
        <f t="shared" ref="CL6:CX6" si="23">ROUND(AM30,0)</f>
        <v>7</v>
      </c>
      <c r="CM6" s="761">
        <f t="shared" si="23"/>
        <v>7</v>
      </c>
      <c r="CN6" s="761">
        <f t="shared" si="23"/>
        <v>7</v>
      </c>
      <c r="CO6" s="761">
        <f t="shared" si="23"/>
        <v>7</v>
      </c>
      <c r="CP6" s="761">
        <f t="shared" si="23"/>
        <v>4</v>
      </c>
      <c r="CQ6" s="761">
        <f t="shared" si="23"/>
        <v>8</v>
      </c>
      <c r="CR6" s="762">
        <f t="shared" si="23"/>
        <v>14</v>
      </c>
      <c r="CS6" s="762">
        <f t="shared" si="23"/>
        <v>12</v>
      </c>
      <c r="CT6" s="762">
        <f t="shared" si="23"/>
        <v>16</v>
      </c>
      <c r="CU6" s="762">
        <f t="shared" si="23"/>
        <v>5</v>
      </c>
      <c r="CV6" s="760">
        <f t="shared" si="23"/>
        <v>5</v>
      </c>
      <c r="CW6" s="762">
        <f t="shared" si="23"/>
        <v>2</v>
      </c>
      <c r="CX6" s="761">
        <f t="shared" si="23"/>
        <v>8</v>
      </c>
      <c r="CY6" s="761"/>
      <c r="DB6" s="755" t="s">
        <v>463</v>
      </c>
      <c r="DC6" s="756" t="s">
        <v>134</v>
      </c>
      <c r="DD6" s="751">
        <v>0</v>
      </c>
      <c r="DE6" s="751"/>
      <c r="DF6" s="751"/>
      <c r="DG6" s="751"/>
      <c r="DH6" s="751">
        <v>18</v>
      </c>
      <c r="DI6" s="751">
        <v>10</v>
      </c>
      <c r="DJ6" s="751"/>
      <c r="DK6" s="751"/>
      <c r="DL6" s="751"/>
      <c r="DM6" s="751">
        <v>10</v>
      </c>
      <c r="DN6" s="751">
        <v>48</v>
      </c>
      <c r="DO6" s="751"/>
      <c r="DP6" s="751">
        <v>36</v>
      </c>
      <c r="DQ6" s="750"/>
      <c r="DR6" s="750"/>
      <c r="DS6" s="750"/>
      <c r="DT6" s="750"/>
      <c r="DU6" s="750"/>
      <c r="DV6" s="750"/>
      <c r="DW6" s="750"/>
      <c r="DZ6" s="773" t="s">
        <v>17</v>
      </c>
      <c r="EA6" s="754" t="s">
        <v>134</v>
      </c>
      <c r="EB6" s="769"/>
      <c r="EC6" s="769"/>
      <c r="ED6" s="769"/>
      <c r="EE6" s="769"/>
      <c r="EF6" s="769">
        <v>18</v>
      </c>
      <c r="EG6" s="769">
        <v>16</v>
      </c>
      <c r="EH6" s="769"/>
      <c r="EI6" s="769"/>
      <c r="EJ6" s="769">
        <v>80</v>
      </c>
      <c r="EK6" s="769"/>
      <c r="EL6" s="769"/>
      <c r="EM6" s="769"/>
      <c r="EN6" s="769">
        <v>28</v>
      </c>
      <c r="EO6" s="769">
        <v>20</v>
      </c>
      <c r="EP6" s="769">
        <v>28</v>
      </c>
      <c r="EQ6" s="769"/>
      <c r="ER6" s="769"/>
      <c r="ES6" s="769">
        <v>28</v>
      </c>
      <c r="ET6" s="769">
        <v>28</v>
      </c>
      <c r="EU6" s="769">
        <v>18</v>
      </c>
      <c r="EX6" s="773" t="s">
        <v>17</v>
      </c>
      <c r="EY6" s="754" t="s">
        <v>134</v>
      </c>
      <c r="EZ6" s="880" t="s">
        <v>16</v>
      </c>
      <c r="FA6" s="880">
        <f t="shared" si="16"/>
        <v>0</v>
      </c>
      <c r="FB6" s="880">
        <f t="shared" si="16"/>
        <v>0</v>
      </c>
      <c r="FC6" s="880" t="s">
        <v>16</v>
      </c>
      <c r="FD6" s="769">
        <f t="shared" si="16"/>
        <v>9</v>
      </c>
      <c r="FE6" s="769">
        <f t="shared" si="16"/>
        <v>8</v>
      </c>
      <c r="FF6" s="769">
        <f t="shared" si="16"/>
        <v>0</v>
      </c>
      <c r="FG6" s="769">
        <f t="shared" si="16"/>
        <v>0</v>
      </c>
      <c r="FH6" s="769">
        <f t="shared" si="16"/>
        <v>40</v>
      </c>
      <c r="FI6" s="769">
        <f t="shared" si="16"/>
        <v>0</v>
      </c>
      <c r="FJ6" s="769">
        <f t="shared" si="16"/>
        <v>0</v>
      </c>
      <c r="FK6" s="769">
        <f t="shared" si="17"/>
        <v>0</v>
      </c>
      <c r="FL6" s="769">
        <f t="shared" si="17"/>
        <v>14</v>
      </c>
      <c r="FM6" s="769">
        <f t="shared" si="17"/>
        <v>10</v>
      </c>
      <c r="FN6" s="769">
        <f t="shared" si="17"/>
        <v>14</v>
      </c>
      <c r="FO6" s="769">
        <f t="shared" si="17"/>
        <v>0</v>
      </c>
      <c r="FP6" s="769">
        <f t="shared" si="17"/>
        <v>0</v>
      </c>
      <c r="FQ6" s="769">
        <f t="shared" si="17"/>
        <v>14</v>
      </c>
      <c r="FR6" s="769">
        <f t="shared" si="17"/>
        <v>14</v>
      </c>
      <c r="FS6" s="769">
        <f t="shared" si="17"/>
        <v>9</v>
      </c>
      <c r="FT6" s="774">
        <f t="shared" si="17"/>
        <v>0</v>
      </c>
      <c r="FU6" s="754">
        <f t="shared" si="17"/>
        <v>0</v>
      </c>
      <c r="FW6" s="775" t="s">
        <v>1189</v>
      </c>
      <c r="FX6" s="754" t="s">
        <v>134</v>
      </c>
      <c r="FY6" s="808">
        <f>AE6/3</f>
        <v>0</v>
      </c>
      <c r="FZ6" s="808">
        <f t="shared" ref="FZ6:GT6" si="24">AF6/3</f>
        <v>1.1296546551345592</v>
      </c>
      <c r="GA6" s="808">
        <f t="shared" si="24"/>
        <v>1.5793674261703172</v>
      </c>
      <c r="GB6" s="808">
        <f t="shared" si="24"/>
        <v>0</v>
      </c>
      <c r="GC6" s="808">
        <f t="shared" si="24"/>
        <v>0.76045690328389515</v>
      </c>
      <c r="GD6" s="808">
        <f t="shared" si="24"/>
        <v>6.0840365167336673E-2</v>
      </c>
      <c r="GE6" s="808">
        <f t="shared" si="24"/>
        <v>6.0840365167336673E-2</v>
      </c>
      <c r="GF6" s="808">
        <f t="shared" si="24"/>
        <v>0.63228472123572088</v>
      </c>
      <c r="GG6" s="808">
        <f t="shared" si="24"/>
        <v>6.0840365167336673E-2</v>
      </c>
      <c r="GH6" s="808">
        <f t="shared" si="24"/>
        <v>6.0840365167336673E-2</v>
      </c>
      <c r="GI6" s="808">
        <f t="shared" si="24"/>
        <v>6.0840365167336673E-2</v>
      </c>
      <c r="GJ6" s="808">
        <f t="shared" si="24"/>
        <v>6.0840365167336673E-2</v>
      </c>
      <c r="GK6" s="808">
        <f t="shared" si="24"/>
        <v>6.0840365167336673E-2</v>
      </c>
      <c r="GL6" s="808">
        <f t="shared" si="24"/>
        <v>0.43474834484428465</v>
      </c>
      <c r="GM6" s="808">
        <f t="shared" si="24"/>
        <v>0.65183445396435202</v>
      </c>
      <c r="GN6" s="808">
        <f t="shared" si="24"/>
        <v>0.70638074615379642</v>
      </c>
      <c r="GO6" s="808">
        <f t="shared" si="24"/>
        <v>0.49464182101178222</v>
      </c>
      <c r="GP6" s="808">
        <f t="shared" si="24"/>
        <v>0.27349201183964911</v>
      </c>
      <c r="GQ6" s="808">
        <f t="shared" si="24"/>
        <v>6.0840365167336673E-2</v>
      </c>
      <c r="GR6" s="808">
        <f t="shared" si="24"/>
        <v>0</v>
      </c>
      <c r="GS6" s="808">
        <f t="shared" si="24"/>
        <v>6.0840365167336673E-2</v>
      </c>
      <c r="GT6" s="808">
        <f t="shared" si="24"/>
        <v>0</v>
      </c>
      <c r="GV6" s="775" t="s">
        <v>1189</v>
      </c>
      <c r="GW6" s="754" t="s">
        <v>134</v>
      </c>
      <c r="GX6" s="724"/>
      <c r="GY6" s="1116"/>
      <c r="GZ6" s="1116"/>
      <c r="HA6" s="1116"/>
      <c r="HB6" s="1116"/>
      <c r="HC6" s="1116"/>
      <c r="HD6" s="1116"/>
      <c r="HE6" s="1116"/>
      <c r="HF6" s="1116"/>
      <c r="HG6" s="1116"/>
      <c r="HH6" s="1116"/>
      <c r="HI6" s="1116"/>
      <c r="HJ6" s="1116"/>
      <c r="HK6" s="1116"/>
      <c r="HL6" s="1116"/>
      <c r="HM6" s="1116"/>
      <c r="HN6" s="1116"/>
      <c r="HO6" s="1116"/>
      <c r="HP6" s="1116"/>
      <c r="HQ6" s="1116"/>
      <c r="HR6" s="1116"/>
      <c r="HS6" s="1116"/>
    </row>
    <row r="7" spans="1:227" s="754" customFormat="1" ht="15.75" customHeight="1">
      <c r="A7" s="1392">
        <f>Eingabedaten!A13</f>
        <v>3.01</v>
      </c>
      <c r="B7" s="750" t="str">
        <f>Eingabedaten!C13</f>
        <v>Einzel-, Gruppenbüro</v>
      </c>
      <c r="C7" s="751" t="s">
        <v>5</v>
      </c>
      <c r="D7" s="753"/>
      <c r="E7" s="753"/>
      <c r="F7" s="753">
        <v>5</v>
      </c>
      <c r="G7" s="753"/>
      <c r="H7" s="752">
        <v>40</v>
      </c>
      <c r="I7" s="752">
        <v>5</v>
      </c>
      <c r="J7" s="752">
        <v>5</v>
      </c>
      <c r="K7" s="752">
        <v>10</v>
      </c>
      <c r="L7" s="753">
        <v>5</v>
      </c>
      <c r="M7" s="753">
        <v>5</v>
      </c>
      <c r="N7" s="753">
        <v>5</v>
      </c>
      <c r="O7" s="753">
        <v>5</v>
      </c>
      <c r="P7" s="753">
        <v>5</v>
      </c>
      <c r="Q7" s="753">
        <v>5</v>
      </c>
      <c r="R7" s="753">
        <v>5</v>
      </c>
      <c r="S7" s="753">
        <v>5</v>
      </c>
      <c r="T7" s="753">
        <v>5</v>
      </c>
      <c r="U7" s="753">
        <v>5</v>
      </c>
      <c r="V7" s="753">
        <v>5</v>
      </c>
      <c r="W7" s="753"/>
      <c r="X7" s="753">
        <v>5</v>
      </c>
      <c r="Y7" s="753"/>
      <c r="AA7" s="769">
        <f>1/Eingabedaten!AP13</f>
        <v>7.1428571428571425E-2</v>
      </c>
      <c r="AC7" s="773" t="s">
        <v>464</v>
      </c>
      <c r="AD7" s="774" t="s">
        <v>134</v>
      </c>
      <c r="AE7" s="1099">
        <f>SUMPRODUCT(KZ_Raum_2024!$X$7:$X$51,'Fläche-Best'!D$3:D$47)/100*$AD$1</f>
        <v>73.279871690013451</v>
      </c>
      <c r="AF7" s="1053">
        <f>SUMPRODUCT(KZ_Raum_2024!$H$7:$H$51,'Fläche-Best'!E$3:E$47)/100*$AD$1</f>
        <v>11.726703891170381</v>
      </c>
      <c r="AG7" s="1053">
        <f>SUMPRODUCT(KZ_Raum_2024!$H$7:$H$51,'Fläche-Best'!F$3:F$47)/100*$AD$1</f>
        <v>13.870968340056827</v>
      </c>
      <c r="AH7" s="1053">
        <f>SUMPRODUCT(KZ_Raum_2024!$X$7:$X$51,'Fläche-Best'!G$3:G$47)/100*$AD$1</f>
        <v>121.98974805553947</v>
      </c>
      <c r="AI7" s="1053">
        <f>SUMPRODUCT(KZ_Raum_2024!$X$7:$X$51,'Fläche-Best'!H$3:H$47)/100*$AD$1</f>
        <v>43.673953250611781</v>
      </c>
      <c r="AJ7" s="1053">
        <f>SUMPRODUCT(KZ_Raum_2024!$X$7:$X$51,'Fläche-Best'!I$3:I$47)/100*$AD$1</f>
        <v>71.053261207030104</v>
      </c>
      <c r="AK7" s="1053">
        <f>SUMPRODUCT(KZ_Raum_2024!$X$7:$X$51,'Fläche-Best'!J$3:J$47)/100*$AD$1</f>
        <v>71.053261207030104</v>
      </c>
      <c r="AL7" s="1053">
        <f>SUMPRODUCT(KZ_Raum_2024!$X$7:$X$51,'Fläche-Best'!K$3:K$47)/100*$AD$1</f>
        <v>54.903308733493738</v>
      </c>
      <c r="AM7" s="1053">
        <f>SUMPRODUCT(KZ_Raum_2024!$X$7:$X$51,'Fläche-Best'!L$3:L$47)/100*$AD$1</f>
        <v>54.460247670822369</v>
      </c>
      <c r="AN7" s="1053">
        <f>SUMPRODUCT(KZ_Raum_2024!$X$7:$X$51,'Fläche-Best'!M$3:M$47)/100*$AD$1</f>
        <v>53.35141386604662</v>
      </c>
      <c r="AO7" s="1053">
        <f>SUMPRODUCT(KZ_Raum_2024!$X$7:$X$51,'Fläche-Best'!N$3:N$47)/100*$AD$1</f>
        <v>54.460247670822369</v>
      </c>
      <c r="AP7" s="1053">
        <f>SUMPRODUCT(KZ_Raum_2024!$X$7:$X$51,'Fläche-Best'!O$3:O$47)/100*$AD$1</f>
        <v>56.644773067367659</v>
      </c>
      <c r="AQ7" s="1053">
        <f>SUMPRODUCT(KZ_Raum_2024!$X$7:$X$51,'Fläche-Best'!P$3:P$47)/100*$AD$1</f>
        <v>96.489907741714205</v>
      </c>
      <c r="AR7" s="1053">
        <f>SUMPRODUCT(KZ_Raum_2024!$X$7:$X$51,'Fläche-Best'!Q$3:Q$47)/100*$AD$1</f>
        <v>78.71149268936648</v>
      </c>
      <c r="AS7" s="1053">
        <f>SUMPRODUCT(KZ_Raum_2024!$X$7:$X$51,'Fläche-Best'!R$3:R$47)/100*$AD$1</f>
        <v>55.287117787418325</v>
      </c>
      <c r="AT7" s="1053">
        <f>SUMPRODUCT(KZ_Raum_2024!$X$7:$X$51,'Fläche-Best'!S$3:S$47)/100*$AD$1</f>
        <v>55.215295751467387</v>
      </c>
      <c r="AU7" s="1053">
        <f>SUMPRODUCT(KZ_Raum_2024!$X$7:$X$51,'Fläche-Best'!T$3:T$47)/100*$AD$1</f>
        <v>58.12055990783513</v>
      </c>
      <c r="AV7" s="1053">
        <f>SUMPRODUCT(KZ_Raum_2024!$X$7:$X$51,'Fläche-Best'!U$3:U$47)/100*$AD$1</f>
        <v>48.637311945890751</v>
      </c>
      <c r="AW7" s="1053">
        <f>SUMPRODUCT(KZ_Raum_2024!$X$7:$X$51,'Fläche-Best'!V$3:V$47)/100*$AD$1</f>
        <v>49.776670373160755</v>
      </c>
      <c r="AX7" s="1053">
        <f>SUMPRODUCT(KZ_Raum_2024!$X$7:$X$51,'Fläche-Best'!W$3:W$47)/100*$AD$1</f>
        <v>65.566783724858695</v>
      </c>
      <c r="AY7" s="1054">
        <f>SUMPRODUCT(KZ_Raum_2024!$X$7:$X$51,'Fläche-Best'!X$3:X$47)/100*$AD$1</f>
        <v>119.74599595909704</v>
      </c>
      <c r="AZ7" s="1054">
        <f>SUMPRODUCT(KZ_Raum_2024!$H$7:$H$51,'Fläche-Best'!Y$3:Y$47)/100*$AD$1</f>
        <v>1.2550391984165392</v>
      </c>
      <c r="BC7" s="764" t="s">
        <v>1195</v>
      </c>
      <c r="BD7" s="756" t="s">
        <v>1101</v>
      </c>
      <c r="BE7" s="760">
        <f>BE5*BE6*365/1000/BE4</f>
        <v>7.6650000000000009</v>
      </c>
      <c r="BF7" s="760"/>
      <c r="BG7" s="760"/>
      <c r="BH7" s="760">
        <f t="shared" ref="BH7:BY7" si="25">BH5*BH6*365/1000/BH4</f>
        <v>5.1100000000000003</v>
      </c>
      <c r="BI7" s="760">
        <f t="shared" si="25"/>
        <v>8.76</v>
      </c>
      <c r="BJ7" s="760">
        <f t="shared" si="25"/>
        <v>10.220000000000001</v>
      </c>
      <c r="BK7" s="760"/>
      <c r="BL7" s="760"/>
      <c r="BM7" s="760">
        <f t="shared" si="25"/>
        <v>13.14</v>
      </c>
      <c r="BN7" s="760" t="e">
        <f t="shared" si="25"/>
        <v>#DIV/0!</v>
      </c>
      <c r="BO7" s="760" t="e">
        <f t="shared" si="25"/>
        <v>#DIV/0!</v>
      </c>
      <c r="BP7" s="760" t="e">
        <f t="shared" si="25"/>
        <v>#DIV/0!</v>
      </c>
      <c r="BQ7" s="760">
        <f t="shared" si="25"/>
        <v>21.9</v>
      </c>
      <c r="BR7" s="760">
        <f t="shared" si="25"/>
        <v>17.52</v>
      </c>
      <c r="BS7" s="760">
        <f t="shared" si="25"/>
        <v>15.573333333333332</v>
      </c>
      <c r="BT7" s="760"/>
      <c r="BU7" s="760"/>
      <c r="BV7" s="760">
        <f t="shared" si="25"/>
        <v>7.3</v>
      </c>
      <c r="BW7" s="760">
        <f t="shared" si="25"/>
        <v>2.19</v>
      </c>
      <c r="BX7" s="760">
        <f t="shared" si="25"/>
        <v>10.95</v>
      </c>
      <c r="BY7" s="760">
        <f t="shared" si="25"/>
        <v>4.38</v>
      </c>
      <c r="BZ7" s="760"/>
      <c r="CB7" s="764" t="s">
        <v>1405</v>
      </c>
      <c r="CC7" s="756" t="s">
        <v>1101</v>
      </c>
      <c r="CD7" s="762">
        <f>ROUND(AE27,0)</f>
        <v>7</v>
      </c>
      <c r="CE7" s="762"/>
      <c r="CF7" s="760"/>
      <c r="CG7" s="762">
        <f t="shared" ref="CG7:CX7" si="26">ROUND(AH27,0)</f>
        <v>5</v>
      </c>
      <c r="CH7" s="762">
        <f t="shared" si="26"/>
        <v>6</v>
      </c>
      <c r="CI7" s="761">
        <f t="shared" si="26"/>
        <v>13</v>
      </c>
      <c r="CJ7" s="761">
        <f t="shared" si="26"/>
        <v>13</v>
      </c>
      <c r="CK7" s="761">
        <f t="shared" si="26"/>
        <v>14</v>
      </c>
      <c r="CL7" s="762">
        <f t="shared" si="26"/>
        <v>11</v>
      </c>
      <c r="CM7" s="760">
        <f t="shared" si="26"/>
        <v>11</v>
      </c>
      <c r="CN7" s="760">
        <f t="shared" si="26"/>
        <v>11</v>
      </c>
      <c r="CO7" s="760">
        <f t="shared" si="26"/>
        <v>6</v>
      </c>
      <c r="CP7" s="760">
        <f t="shared" si="26"/>
        <v>24</v>
      </c>
      <c r="CQ7" s="761">
        <f t="shared" si="26"/>
        <v>32</v>
      </c>
      <c r="CR7" s="760">
        <f t="shared" si="26"/>
        <v>19</v>
      </c>
      <c r="CS7" s="760">
        <f t="shared" si="26"/>
        <v>19</v>
      </c>
      <c r="CT7" s="760">
        <f t="shared" si="26"/>
        <v>21</v>
      </c>
      <c r="CU7" s="762">
        <f t="shared" si="26"/>
        <v>4</v>
      </c>
      <c r="CV7" s="761">
        <f t="shared" si="26"/>
        <v>3</v>
      </c>
      <c r="CW7" s="762">
        <f t="shared" si="26"/>
        <v>3</v>
      </c>
      <c r="CX7" s="761">
        <f t="shared" si="26"/>
        <v>10</v>
      </c>
      <c r="CY7" s="761"/>
      <c r="DB7" s="764" t="s">
        <v>464</v>
      </c>
      <c r="DC7" s="756" t="s">
        <v>134</v>
      </c>
      <c r="DD7" s="751"/>
      <c r="DE7" s="751"/>
      <c r="DF7" s="751"/>
      <c r="DG7" s="751"/>
      <c r="DH7" s="751"/>
      <c r="DI7" s="751"/>
      <c r="DJ7" s="751"/>
      <c r="DK7" s="751"/>
      <c r="DL7" s="751"/>
      <c r="DM7" s="751"/>
      <c r="DN7" s="751"/>
      <c r="DO7" s="751"/>
      <c r="DP7" s="751"/>
      <c r="DQ7" s="750"/>
      <c r="DR7" s="750"/>
      <c r="DS7" s="750"/>
      <c r="DT7" s="750"/>
      <c r="DU7" s="750"/>
      <c r="DV7" s="750"/>
      <c r="DW7" s="750"/>
      <c r="DZ7" s="773" t="s">
        <v>1143</v>
      </c>
      <c r="EA7" s="754" t="s">
        <v>134</v>
      </c>
      <c r="EB7" s="769"/>
      <c r="EC7" s="769"/>
      <c r="ED7" s="769"/>
      <c r="EE7" s="769"/>
      <c r="EF7" s="769">
        <v>14</v>
      </c>
      <c r="EG7" s="769">
        <v>7</v>
      </c>
      <c r="EH7" s="769"/>
      <c r="EI7" s="769"/>
      <c r="EJ7" s="769">
        <v>7</v>
      </c>
      <c r="EK7" s="769"/>
      <c r="EL7" s="769"/>
      <c r="EM7" s="769"/>
      <c r="EN7" s="769">
        <v>7</v>
      </c>
      <c r="EO7" s="769">
        <v>7</v>
      </c>
      <c r="EP7" s="769">
        <v>14</v>
      </c>
      <c r="EQ7" s="769"/>
      <c r="ER7" s="769"/>
      <c r="ES7" s="769">
        <v>7</v>
      </c>
      <c r="ET7" s="769">
        <v>7</v>
      </c>
      <c r="EU7" s="769">
        <v>7</v>
      </c>
      <c r="EX7" s="773" t="s">
        <v>1143</v>
      </c>
      <c r="EY7" s="754" t="s">
        <v>134</v>
      </c>
      <c r="EZ7" s="880" t="s">
        <v>16</v>
      </c>
      <c r="FA7" s="880">
        <f t="shared" si="16"/>
        <v>0</v>
      </c>
      <c r="FB7" s="880">
        <f t="shared" si="16"/>
        <v>0</v>
      </c>
      <c r="FC7" s="880" t="s">
        <v>16</v>
      </c>
      <c r="FD7" s="769">
        <f t="shared" si="16"/>
        <v>7</v>
      </c>
      <c r="FE7" s="769">
        <f t="shared" si="16"/>
        <v>3.5</v>
      </c>
      <c r="FF7" s="769">
        <f t="shared" si="16"/>
        <v>0</v>
      </c>
      <c r="FG7" s="769">
        <f t="shared" si="16"/>
        <v>0</v>
      </c>
      <c r="FH7" s="769">
        <f t="shared" si="16"/>
        <v>3.5</v>
      </c>
      <c r="FI7" s="769">
        <f t="shared" si="16"/>
        <v>0</v>
      </c>
      <c r="FJ7" s="769">
        <f t="shared" si="16"/>
        <v>0</v>
      </c>
      <c r="FK7" s="769">
        <f t="shared" si="17"/>
        <v>0</v>
      </c>
      <c r="FL7" s="769">
        <f t="shared" si="17"/>
        <v>3.5</v>
      </c>
      <c r="FM7" s="769">
        <f t="shared" si="17"/>
        <v>3.5</v>
      </c>
      <c r="FN7" s="769">
        <f t="shared" si="17"/>
        <v>7</v>
      </c>
      <c r="FO7" s="769">
        <f t="shared" si="17"/>
        <v>0</v>
      </c>
      <c r="FP7" s="769">
        <f t="shared" si="17"/>
        <v>0</v>
      </c>
      <c r="FQ7" s="769">
        <f t="shared" si="17"/>
        <v>3.5</v>
      </c>
      <c r="FR7" s="769">
        <f t="shared" si="17"/>
        <v>3.5</v>
      </c>
      <c r="FS7" s="769">
        <f t="shared" si="17"/>
        <v>3.5</v>
      </c>
      <c r="FT7" s="774">
        <f t="shared" si="17"/>
        <v>0</v>
      </c>
      <c r="FU7" s="754">
        <f t="shared" si="17"/>
        <v>0</v>
      </c>
      <c r="FW7" s="773" t="s">
        <v>51</v>
      </c>
      <c r="FX7" s="754" t="s">
        <v>134</v>
      </c>
      <c r="FY7" s="808">
        <f t="shared" ref="FY7" si="27">AE3</f>
        <v>17.625600000000002</v>
      </c>
      <c r="FZ7" s="808">
        <f>AF3</f>
        <v>14.688000000000002</v>
      </c>
      <c r="GA7" s="808">
        <f t="shared" ref="GA7:GT7" si="28">AG3</f>
        <v>12.284000000000001</v>
      </c>
      <c r="GB7" s="808">
        <f t="shared" si="28"/>
        <v>15.379200000000001</v>
      </c>
      <c r="GC7" s="808">
        <f t="shared" si="28"/>
        <v>26.730400000000003</v>
      </c>
      <c r="GD7" s="808">
        <f t="shared" si="28"/>
        <v>10.88448</v>
      </c>
      <c r="GE7" s="808">
        <f t="shared" si="28"/>
        <v>10.88448</v>
      </c>
      <c r="GF7" s="808">
        <f t="shared" si="28"/>
        <v>18.624000000000006</v>
      </c>
      <c r="GG7" s="808">
        <f t="shared" si="28"/>
        <v>7.3224000000000018</v>
      </c>
      <c r="GH7" s="808">
        <f t="shared" si="28"/>
        <v>7.8696000000000002</v>
      </c>
      <c r="GI7" s="808">
        <f t="shared" si="28"/>
        <v>7.3224000000000018</v>
      </c>
      <c r="GJ7" s="808">
        <f t="shared" si="28"/>
        <v>7.0056000000000003</v>
      </c>
      <c r="GK7" s="808">
        <f t="shared" si="28"/>
        <v>8.8432000000000013</v>
      </c>
      <c r="GL7" s="808">
        <f t="shared" si="28"/>
        <v>12.943200000000003</v>
      </c>
      <c r="GM7" s="808">
        <f t="shared" si="28"/>
        <v>11.953200000000002</v>
      </c>
      <c r="GN7" s="808">
        <f t="shared" si="28"/>
        <v>13.137200000000002</v>
      </c>
      <c r="GO7" s="808">
        <f t="shared" si="28"/>
        <v>11.3292</v>
      </c>
      <c r="GP7" s="808">
        <f t="shared" si="28"/>
        <v>14.543200000000002</v>
      </c>
      <c r="GQ7" s="808">
        <f t="shared" si="28"/>
        <v>7.4040000000000008</v>
      </c>
      <c r="GR7" s="808">
        <f t="shared" si="28"/>
        <v>2.4863999999999997</v>
      </c>
      <c r="GS7" s="808">
        <f t="shared" si="28"/>
        <v>8.6424000000000021</v>
      </c>
      <c r="GT7" s="808">
        <f t="shared" si="28"/>
        <v>1.5335999999999999</v>
      </c>
      <c r="GV7" s="773" t="s">
        <v>51</v>
      </c>
      <c r="GW7" s="754" t="s">
        <v>134</v>
      </c>
      <c r="GX7" s="724"/>
      <c r="GY7" s="1292">
        <v>15.5</v>
      </c>
      <c r="GZ7" s="1297">
        <v>10.9</v>
      </c>
      <c r="HA7" s="1292">
        <v>12.5</v>
      </c>
      <c r="HB7" s="1292">
        <v>16.5</v>
      </c>
      <c r="HC7" s="1292"/>
      <c r="HD7" s="1292">
        <v>5</v>
      </c>
      <c r="HE7" s="1297">
        <v>15.6</v>
      </c>
      <c r="HF7" s="1292"/>
      <c r="HG7" s="1297">
        <v>5</v>
      </c>
      <c r="HH7" s="1292">
        <v>5</v>
      </c>
      <c r="HI7" s="1292"/>
      <c r="HJ7" s="1292">
        <v>4.5</v>
      </c>
      <c r="HK7" s="1292">
        <v>4</v>
      </c>
      <c r="HL7" s="1292">
        <v>8.3000000000000007</v>
      </c>
      <c r="HM7" s="1292">
        <v>8.5</v>
      </c>
      <c r="HN7" s="1292">
        <v>8.5</v>
      </c>
      <c r="HO7" s="1292">
        <v>7</v>
      </c>
      <c r="HP7" s="1292">
        <v>4</v>
      </c>
      <c r="HQ7" s="1292">
        <v>2</v>
      </c>
      <c r="HR7" s="1297">
        <v>5.5</v>
      </c>
      <c r="HS7" s="1297">
        <v>1.7</v>
      </c>
    </row>
    <row r="8" spans="1:227" s="754" customFormat="1" ht="15.75" customHeight="1">
      <c r="A8" s="1392">
        <f>Eingabedaten!A14</f>
        <v>3.02</v>
      </c>
      <c r="B8" s="750" t="str">
        <f>Eingabedaten!C14</f>
        <v>Grossraumbüro</v>
      </c>
      <c r="C8" s="751" t="s">
        <v>5</v>
      </c>
      <c r="D8" s="753"/>
      <c r="E8" s="753"/>
      <c r="F8" s="753"/>
      <c r="G8" s="753"/>
      <c r="H8" s="752">
        <v>15</v>
      </c>
      <c r="I8" s="753"/>
      <c r="J8" s="753"/>
      <c r="K8" s="752"/>
      <c r="L8" s="753"/>
      <c r="M8" s="753"/>
      <c r="N8" s="753"/>
      <c r="O8" s="753"/>
      <c r="P8" s="753"/>
      <c r="Q8" s="753"/>
      <c r="R8" s="753"/>
      <c r="S8" s="753"/>
      <c r="T8" s="753"/>
      <c r="U8" s="753"/>
      <c r="V8" s="753"/>
      <c r="W8" s="753"/>
      <c r="X8" s="753"/>
      <c r="Y8" s="753"/>
      <c r="AA8" s="769">
        <f>1/Eingabedaten!AP14</f>
        <v>0.1</v>
      </c>
      <c r="AC8" s="773" t="s">
        <v>268</v>
      </c>
      <c r="AD8" s="774" t="s">
        <v>134</v>
      </c>
      <c r="AE8" s="1099">
        <f>SUMPRODUCT(KZ_Raum_2024!$Y$7:$Y$51,'Fläche-Best'!D$3:D$47)/100*$AD$1</f>
        <v>11.516480000000003</v>
      </c>
      <c r="AF8" s="1053">
        <f>SUMPRODUCT(KZ_Raum_2024!$I$7:$I$51,'Fläche-Best'!E$3:E$47)/100*$AD$1</f>
        <v>11.516480000000003</v>
      </c>
      <c r="AG8" s="1053">
        <f>SUMPRODUCT(KZ_Raum_2024!$I$7:$I$51,'Fläche-Best'!F$3:F$47)/100*$AD$1</f>
        <v>17.491430095238098</v>
      </c>
      <c r="AH8" s="1053">
        <f>SUMPRODUCT(KZ_Raum_2024!$Y$7:$Y$51,'Fläche-Best'!G$3:G$47)/100*$AD$1</f>
        <v>9.7551360000000003</v>
      </c>
      <c r="AI8" s="1053">
        <f>SUMPRODUCT(KZ_Raum_2024!$Y$7:$Y$51,'Fläche-Best'!H$3:H$47)/100*$AD$1</f>
        <v>1.2664018285714287</v>
      </c>
      <c r="AJ8" s="1053">
        <f>SUMPRODUCT(KZ_Raum_2024!$Y$7:$Y$51,'Fläche-Best'!I$3:I$47)/100*$AD$1</f>
        <v>1.6590649589823876</v>
      </c>
      <c r="AK8" s="1053">
        <f>SUMPRODUCT(KZ_Raum_2024!$Y$7:$Y$51,'Fläche-Best'!J$3:J$47)/100*$AD$1</f>
        <v>1.6590649589823876</v>
      </c>
      <c r="AL8" s="1053">
        <f>SUMPRODUCT(KZ_Raum_2024!$Y$7:$Y$51,'Fläche-Best'!K$3:K$47)/100*$AD$1</f>
        <v>1.2867679190606656</v>
      </c>
      <c r="AM8" s="1053">
        <f>SUMPRODUCT(KZ_Raum_2024!$Y$7:$Y$51,'Fläche-Best'!L$3:L$47)/100*$AD$1</f>
        <v>1.4108914285714289</v>
      </c>
      <c r="AN8" s="1053">
        <f>SUMPRODUCT(KZ_Raum_2024!$Y$7:$Y$51,'Fläche-Best'!M$3:M$47)/100*$AD$1</f>
        <v>1.4108914285714289</v>
      </c>
      <c r="AO8" s="1053">
        <f>SUMPRODUCT(KZ_Raum_2024!$Y$7:$Y$51,'Fläche-Best'!N$3:N$47)/100*$AD$1</f>
        <v>1.4108914285714289</v>
      </c>
      <c r="AP8" s="1053">
        <f>SUMPRODUCT(KZ_Raum_2024!$Y$7:$Y$51,'Fläche-Best'!O$3:O$47)/100*$AD$1</f>
        <v>0.80091702857142877</v>
      </c>
      <c r="AQ8" s="1053">
        <f>SUMPRODUCT(KZ_Raum_2024!$Y$7:$Y$51,'Fläche-Best'!P$3:P$47)/100*$AD$1</f>
        <v>43.67340342857144</v>
      </c>
      <c r="AR8" s="1053">
        <f>SUMPRODUCT(KZ_Raum_2024!$Y$7:$Y$51,'Fläche-Best'!Q$3:Q$47)/100*$AD$1</f>
        <v>3.5893714285714289</v>
      </c>
      <c r="AS8" s="1053">
        <f>SUMPRODUCT(KZ_Raum_2024!$Y$7:$Y$51,'Fläche-Best'!R$3:R$47)/100*$AD$1</f>
        <v>21.781883428571433</v>
      </c>
      <c r="AT8" s="1053">
        <f>SUMPRODUCT(KZ_Raum_2024!$Y$7:$Y$51,'Fläche-Best'!S$3:S$47)/100*$AD$1</f>
        <v>19.07212342857143</v>
      </c>
      <c r="AU8" s="1053">
        <f>SUMPRODUCT(KZ_Raum_2024!$Y$7:$Y$51,'Fläche-Best'!T$3:T$47)/100*$AD$1</f>
        <v>27.201403428571435</v>
      </c>
      <c r="AV8" s="1053">
        <f>SUMPRODUCT(KZ_Raum_2024!$Y$7:$Y$51,'Fläche-Best'!U$3:U$47)/100*$AD$1</f>
        <v>1.2664018285714287</v>
      </c>
      <c r="AW8" s="1053">
        <f>SUMPRODUCT(KZ_Raum_2024!$Y$7:$Y$51,'Fläche-Best'!V$3:V$47)/100*$AD$1</f>
        <v>0.61244022857142866</v>
      </c>
      <c r="AX8" s="1053">
        <f>SUMPRODUCT(KZ_Raum_2024!$Y$7:$Y$51,'Fläche-Best'!W$3:W$47)/100*$AD$1</f>
        <v>30.47042998356164</v>
      </c>
      <c r="AY8" s="781">
        <f>SUMPRODUCT(KZ_Raum_2024!$Y$7:$Y$51,'Fläche-Best'!X$3:X$47)/100*$AD$1</f>
        <v>69.815163428571452</v>
      </c>
      <c r="AZ8" s="1054">
        <f>SUMPRODUCT(KZ_Raum_2024!$I$7:$I$51,'Fläche-Best'!Y$3:Y$47)/100*$AD$1</f>
        <v>0</v>
      </c>
      <c r="BC8" s="755" t="s">
        <v>517</v>
      </c>
      <c r="BD8" s="756" t="s">
        <v>1101</v>
      </c>
      <c r="BE8" s="751">
        <v>28</v>
      </c>
      <c r="BF8" s="751"/>
      <c r="BG8" s="751"/>
      <c r="BH8" s="751">
        <v>22</v>
      </c>
      <c r="BI8" s="751">
        <v>22</v>
      </c>
      <c r="BJ8" s="751">
        <v>11</v>
      </c>
      <c r="BK8" s="751"/>
      <c r="BL8" s="751"/>
      <c r="BM8" s="751">
        <v>33</v>
      </c>
      <c r="BN8" s="751"/>
      <c r="BO8" s="751"/>
      <c r="BP8" s="751"/>
      <c r="BQ8" s="751">
        <v>33</v>
      </c>
      <c r="BR8" s="751">
        <v>17</v>
      </c>
      <c r="BS8" s="751">
        <v>28</v>
      </c>
      <c r="BT8" s="751"/>
      <c r="BU8" s="751"/>
      <c r="BV8" s="751">
        <v>17</v>
      </c>
      <c r="BW8" s="751">
        <v>6</v>
      </c>
      <c r="BX8" s="751">
        <v>6</v>
      </c>
      <c r="BY8" s="751">
        <v>56</v>
      </c>
      <c r="BZ8" s="751"/>
      <c r="CB8" s="755" t="s">
        <v>1403</v>
      </c>
      <c r="CC8" s="756" t="s">
        <v>1101</v>
      </c>
      <c r="CD8" s="762">
        <f>ROUND(AE10+AE11,0)</f>
        <v>23</v>
      </c>
      <c r="CE8" s="762"/>
      <c r="CF8" s="751"/>
      <c r="CG8" s="759">
        <f t="shared" ref="CG8:CX8" si="29">ROUND(AH10+AH11,0)</f>
        <v>19</v>
      </c>
      <c r="CH8" s="758">
        <f t="shared" si="29"/>
        <v>45</v>
      </c>
      <c r="CI8" s="758">
        <f t="shared" si="29"/>
        <v>23</v>
      </c>
      <c r="CJ8" s="758">
        <f t="shared" si="29"/>
        <v>23</v>
      </c>
      <c r="CK8" s="758">
        <f t="shared" si="29"/>
        <v>41</v>
      </c>
      <c r="CL8" s="758">
        <f t="shared" si="29"/>
        <v>52</v>
      </c>
      <c r="CM8" s="751">
        <f t="shared" si="29"/>
        <v>52</v>
      </c>
      <c r="CN8" s="751">
        <f t="shared" si="29"/>
        <v>52</v>
      </c>
      <c r="CO8" s="751">
        <f t="shared" si="29"/>
        <v>45</v>
      </c>
      <c r="CP8" s="761">
        <f>ROUND(AQ10+AQ11,0)</f>
        <v>48</v>
      </c>
      <c r="CQ8" s="758">
        <f t="shared" si="29"/>
        <v>52</v>
      </c>
      <c r="CR8" s="758">
        <f t="shared" si="29"/>
        <v>34</v>
      </c>
      <c r="CS8" s="758">
        <f t="shared" si="29"/>
        <v>36</v>
      </c>
      <c r="CT8" s="758">
        <f t="shared" si="29"/>
        <v>31</v>
      </c>
      <c r="CU8" s="758">
        <f t="shared" si="29"/>
        <v>39</v>
      </c>
      <c r="CV8" s="758">
        <f t="shared" si="29"/>
        <v>28</v>
      </c>
      <c r="CW8" s="758">
        <f t="shared" si="29"/>
        <v>21</v>
      </c>
      <c r="CX8" s="759">
        <f t="shared" si="29"/>
        <v>38</v>
      </c>
      <c r="CY8" s="759"/>
      <c r="DB8" s="755" t="s">
        <v>268</v>
      </c>
      <c r="DC8" s="756" t="s">
        <v>134</v>
      </c>
      <c r="DD8" s="751">
        <v>16</v>
      </c>
      <c r="DE8" s="751"/>
      <c r="DF8" s="751"/>
      <c r="DG8" s="751"/>
      <c r="DH8" s="751">
        <v>2</v>
      </c>
      <c r="DI8" s="751">
        <v>3</v>
      </c>
      <c r="DJ8" s="751"/>
      <c r="DK8" s="751"/>
      <c r="DL8" s="751"/>
      <c r="DM8" s="751">
        <v>2</v>
      </c>
      <c r="DN8" s="751">
        <v>2</v>
      </c>
      <c r="DO8" s="751"/>
      <c r="DP8" s="751">
        <v>59</v>
      </c>
      <c r="DQ8" s="750"/>
      <c r="DR8" s="750"/>
      <c r="DS8" s="750"/>
      <c r="DT8" s="750"/>
      <c r="DU8" s="750"/>
      <c r="DV8" s="750"/>
      <c r="DW8" s="750"/>
      <c r="DZ8" s="773" t="s">
        <v>1058</v>
      </c>
      <c r="EA8" s="754" t="s">
        <v>134</v>
      </c>
      <c r="EB8" s="769">
        <f>SUM(EB3:EB7)</f>
        <v>72</v>
      </c>
      <c r="EC8" s="769"/>
      <c r="ED8" s="769"/>
      <c r="EE8" s="769">
        <f>SUM(EE3:EE7)</f>
        <v>70</v>
      </c>
      <c r="EF8" s="769">
        <f>SUM(EF3:EF7)</f>
        <v>137</v>
      </c>
      <c r="EG8" s="769">
        <f>SUM(EG3:EG7)</f>
        <v>72</v>
      </c>
      <c r="EH8" s="769"/>
      <c r="EI8" s="769"/>
      <c r="EJ8" s="769">
        <f>SUM(EJ3:EJ7)</f>
        <v>156</v>
      </c>
      <c r="EK8" s="769"/>
      <c r="EL8" s="769"/>
      <c r="EM8" s="769"/>
      <c r="EN8" s="769">
        <f t="shared" ref="EN8:EU8" si="30">SUM(EN3:EN7)</f>
        <v>123</v>
      </c>
      <c r="EO8" s="769">
        <f t="shared" si="30"/>
        <v>74</v>
      </c>
      <c r="EP8" s="769">
        <f t="shared" si="30"/>
        <v>141</v>
      </c>
      <c r="EQ8" s="769"/>
      <c r="ER8" s="769"/>
      <c r="ES8" s="769">
        <f t="shared" si="30"/>
        <v>84</v>
      </c>
      <c r="ET8" s="769">
        <f t="shared" si="30"/>
        <v>62</v>
      </c>
      <c r="EU8" s="769">
        <f t="shared" si="30"/>
        <v>57</v>
      </c>
      <c r="EX8" s="857" t="s">
        <v>1058</v>
      </c>
      <c r="EY8" s="858" t="s">
        <v>134</v>
      </c>
      <c r="EZ8" s="859">
        <f t="shared" si="16"/>
        <v>36</v>
      </c>
      <c r="FA8" s="859">
        <f t="shared" si="16"/>
        <v>0</v>
      </c>
      <c r="FB8" s="859">
        <f t="shared" si="16"/>
        <v>0</v>
      </c>
      <c r="FC8" s="859">
        <f t="shared" si="16"/>
        <v>35</v>
      </c>
      <c r="FD8" s="859">
        <f t="shared" si="16"/>
        <v>68.5</v>
      </c>
      <c r="FE8" s="859">
        <f t="shared" si="16"/>
        <v>36</v>
      </c>
      <c r="FF8" s="859">
        <f t="shared" si="16"/>
        <v>0</v>
      </c>
      <c r="FG8" s="859">
        <f t="shared" si="16"/>
        <v>0</v>
      </c>
      <c r="FH8" s="859">
        <f t="shared" si="16"/>
        <v>78</v>
      </c>
      <c r="FI8" s="859">
        <f t="shared" si="16"/>
        <v>0</v>
      </c>
      <c r="FJ8" s="859">
        <f t="shared" si="16"/>
        <v>0</v>
      </c>
      <c r="FK8" s="859">
        <f t="shared" si="17"/>
        <v>0</v>
      </c>
      <c r="FL8" s="859">
        <f t="shared" si="17"/>
        <v>61.5</v>
      </c>
      <c r="FM8" s="859">
        <f t="shared" si="17"/>
        <v>37</v>
      </c>
      <c r="FN8" s="859">
        <f t="shared" si="17"/>
        <v>70.5</v>
      </c>
      <c r="FO8" s="859">
        <f t="shared" si="17"/>
        <v>0</v>
      </c>
      <c r="FP8" s="859">
        <f t="shared" si="17"/>
        <v>0</v>
      </c>
      <c r="FQ8" s="859">
        <f t="shared" si="17"/>
        <v>42</v>
      </c>
      <c r="FR8" s="859">
        <f t="shared" si="17"/>
        <v>31</v>
      </c>
      <c r="FS8" s="859">
        <f t="shared" si="17"/>
        <v>28.5</v>
      </c>
      <c r="FT8" s="774">
        <f t="shared" si="17"/>
        <v>0</v>
      </c>
      <c r="FU8" s="754">
        <f t="shared" si="17"/>
        <v>0</v>
      </c>
      <c r="FW8" s="775" t="s">
        <v>1181</v>
      </c>
      <c r="FX8" s="754" t="s">
        <v>134</v>
      </c>
      <c r="FY8" s="1055">
        <f>AE9</f>
        <v>0</v>
      </c>
      <c r="FZ8" s="1055">
        <f t="shared" ref="FZ8:GT8" si="31">AF9</f>
        <v>0</v>
      </c>
      <c r="GA8" s="1055">
        <f t="shared" si="31"/>
        <v>0</v>
      </c>
      <c r="GB8" s="1055">
        <f t="shared" si="31"/>
        <v>0</v>
      </c>
      <c r="GC8" s="1055">
        <f t="shared" si="31"/>
        <v>11.216000000000001</v>
      </c>
      <c r="GD8" s="1055">
        <f t="shared" si="31"/>
        <v>0</v>
      </c>
      <c r="GE8" s="1055">
        <f t="shared" si="31"/>
        <v>0</v>
      </c>
      <c r="GF8" s="1055">
        <f t="shared" si="31"/>
        <v>11.216000000000001</v>
      </c>
      <c r="GG8" s="1055">
        <f t="shared" si="31"/>
        <v>0</v>
      </c>
      <c r="GH8" s="1055">
        <f t="shared" si="31"/>
        <v>237.08160000000004</v>
      </c>
      <c r="GI8" s="1055">
        <f t="shared" si="31"/>
        <v>0</v>
      </c>
      <c r="GJ8" s="1055">
        <f t="shared" si="31"/>
        <v>0</v>
      </c>
      <c r="GK8" s="1055">
        <f t="shared" si="31"/>
        <v>52.657600000000002</v>
      </c>
      <c r="GL8" s="1055">
        <f t="shared" si="31"/>
        <v>0</v>
      </c>
      <c r="GM8" s="1055">
        <f t="shared" si="31"/>
        <v>3.4880000000000004</v>
      </c>
      <c r="GN8" s="1055">
        <f>AT9</f>
        <v>5.2320000000000002</v>
      </c>
      <c r="GO8" s="1055">
        <f t="shared" si="31"/>
        <v>1.7440000000000002</v>
      </c>
      <c r="GP8" s="1055">
        <f t="shared" si="31"/>
        <v>27.584</v>
      </c>
      <c r="GQ8" s="1055">
        <f t="shared" si="31"/>
        <v>0</v>
      </c>
      <c r="GR8" s="1055">
        <f t="shared" si="31"/>
        <v>0</v>
      </c>
      <c r="GS8" s="1055">
        <f t="shared" si="31"/>
        <v>245.51999999999998</v>
      </c>
      <c r="GT8" s="1055">
        <f t="shared" si="31"/>
        <v>0</v>
      </c>
      <c r="GV8" s="775" t="s">
        <v>1298</v>
      </c>
      <c r="GW8" s="754" t="s">
        <v>134</v>
      </c>
      <c r="GX8" s="724"/>
      <c r="GY8" s="1292"/>
      <c r="GZ8" s="1297">
        <v>44</v>
      </c>
      <c r="HA8" s="1292"/>
      <c r="HB8" s="1292"/>
      <c r="HC8" s="1292"/>
      <c r="HD8" s="1292"/>
      <c r="HE8" s="1297">
        <v>10</v>
      </c>
      <c r="HF8" s="1292"/>
      <c r="HG8" s="1297">
        <v>200</v>
      </c>
      <c r="HH8" s="1292"/>
      <c r="HI8" s="1292"/>
      <c r="HJ8" s="1292"/>
      <c r="HK8" s="1292"/>
      <c r="HL8" s="1292"/>
      <c r="HM8" s="1292">
        <v>35</v>
      </c>
      <c r="HN8" s="1292">
        <v>35</v>
      </c>
      <c r="HO8" s="1292">
        <v>100</v>
      </c>
      <c r="HP8" s="1292"/>
      <c r="HQ8" s="1292"/>
      <c r="HR8" s="1297">
        <v>700</v>
      </c>
      <c r="HS8" s="1297"/>
    </row>
    <row r="9" spans="1:227" s="754" customFormat="1" ht="15.75" customHeight="1">
      <c r="A9" s="1392">
        <f>Eingabedaten!A15</f>
        <v>3.03</v>
      </c>
      <c r="B9" s="750" t="str">
        <f>Eingabedaten!C15</f>
        <v>Sitzungszimmer</v>
      </c>
      <c r="C9" s="751" t="s">
        <v>5</v>
      </c>
      <c r="D9" s="753"/>
      <c r="E9" s="753"/>
      <c r="F9" s="753">
        <v>5</v>
      </c>
      <c r="G9" s="753"/>
      <c r="H9" s="752">
        <v>5</v>
      </c>
      <c r="I9" s="753"/>
      <c r="J9" s="753"/>
      <c r="K9" s="752">
        <v>5</v>
      </c>
      <c r="L9" s="753"/>
      <c r="M9" s="753"/>
      <c r="N9" s="753"/>
      <c r="O9" s="753"/>
      <c r="P9" s="753"/>
      <c r="Q9" s="753"/>
      <c r="R9" s="753"/>
      <c r="S9" s="753"/>
      <c r="T9" s="753"/>
      <c r="U9" s="753"/>
      <c r="V9" s="753"/>
      <c r="W9" s="753"/>
      <c r="X9" s="753"/>
      <c r="Y9" s="753"/>
      <c r="AA9" s="809">
        <v>0</v>
      </c>
      <c r="AC9" s="773" t="s">
        <v>1181</v>
      </c>
      <c r="AD9" s="774"/>
      <c r="AE9" s="1099">
        <f>SUMPRODUCT(KZ_Raum_2024!$T$7:$T$51,'Fläche-Best'!D$3:D$47)/100*$AD$1</f>
        <v>0</v>
      </c>
      <c r="AF9" s="1053">
        <f>SUMPRODUCT(KZ_Raum_2024!$D$7:$D$51,'Fläche-Best'!E$3:E$47)/100*$AD$1</f>
        <v>0</v>
      </c>
      <c r="AG9" s="1053">
        <f>SUMPRODUCT(KZ_Raum_2024!$D$7:$D$51,'Fläche-Best'!F$3:F$47)/100*$AD$1</f>
        <v>0</v>
      </c>
      <c r="AH9" s="1053">
        <f>SUMPRODUCT(KZ_Raum_2024!$T$7:$T$51,'Fläche-Best'!G$3:G$47)/100*$AD$1</f>
        <v>0</v>
      </c>
      <c r="AI9" s="1053">
        <f>SUMPRODUCT(KZ_Raum_2024!$T$7:$T$51,'Fläche-Best'!H$3:H$47)/100*$AD$1</f>
        <v>11.216000000000001</v>
      </c>
      <c r="AJ9" s="1053">
        <f>SUMPRODUCT(KZ_Raum_2024!$T$7:$T$51,'Fläche-Best'!I$3:I$47)/100*$AD$1</f>
        <v>0</v>
      </c>
      <c r="AK9" s="1053">
        <f>SUMPRODUCT(KZ_Raum_2024!$T$7:$T$51,'Fläche-Best'!J$3:J$47)/100*$AD$1</f>
        <v>0</v>
      </c>
      <c r="AL9" s="1053">
        <f>SUMPRODUCT(KZ_Raum_2024!$T$7:$T$51,'Fläche-Best'!K$3:K$47)/100*$AD$1</f>
        <v>11.216000000000001</v>
      </c>
      <c r="AM9" s="1053">
        <f>SUMPRODUCT(KZ_Raum_2024!$T$7:$T$51,'Fläche-Best'!L$3:L$47)/100*$AD$1</f>
        <v>0</v>
      </c>
      <c r="AN9" s="780">
        <f>SUMPRODUCT(KZ_Raum_2024!$T$7:$T$51,'Fläche-Best'!M$3:M$47)/100*$AD$1</f>
        <v>237.08160000000004</v>
      </c>
      <c r="AO9" s="1053">
        <f>SUMPRODUCT(KZ_Raum_2024!$T$7:$T$51,'Fläche-Best'!N$3:N$47)/100*$AD$1</f>
        <v>0</v>
      </c>
      <c r="AP9" s="1053">
        <f>SUMPRODUCT(KZ_Raum_2024!$T$7:$T$51,'Fläche-Best'!O$3:O$47)/100*$AD$1</f>
        <v>0</v>
      </c>
      <c r="AQ9" s="1053">
        <f>SUMPRODUCT(KZ_Raum_2024!$T$7:$T$51,'Fläche-Best'!P$3:P$47)/100*$AD$1</f>
        <v>52.657600000000002</v>
      </c>
      <c r="AR9" s="1053">
        <f>SUMPRODUCT(KZ_Raum_2024!$T$7:$T$51,'Fläche-Best'!Q$3:Q$47)/100*$AD$1</f>
        <v>0</v>
      </c>
      <c r="AS9" s="1053">
        <f>SUMPRODUCT(KZ_Raum_2024!$T$7:$T$51,'Fläche-Best'!R$3:R$47)/100*$AD$1</f>
        <v>3.4880000000000004</v>
      </c>
      <c r="AT9" s="1053">
        <f>SUMPRODUCT(KZ_Raum_2024!$T$7:$T$51,'Fläche-Best'!S$3:S$47)/100*$AD$1</f>
        <v>5.2320000000000002</v>
      </c>
      <c r="AU9" s="1053">
        <f>SUMPRODUCT(KZ_Raum_2024!$T$7:$T$51,'Fläche-Best'!T$3:T$47)/100*$AD$1</f>
        <v>1.7440000000000002</v>
      </c>
      <c r="AV9" s="1053">
        <f>SUMPRODUCT(KZ_Raum_2024!$T$7:$T$51,'Fläche-Best'!U$3:U$47)/100*$AD$1</f>
        <v>27.584</v>
      </c>
      <c r="AW9" s="1053">
        <f>SUMPRODUCT(KZ_Raum_2024!$T$7:$T$51,'Fläche-Best'!V$3:V$47)/100*$AD$1</f>
        <v>0</v>
      </c>
      <c r="AX9" s="1053">
        <f>SUMPRODUCT(KZ_Raum_2024!$T$7:$T$51,'Fläche-Best'!W$3:W$47)/100*$AD$1</f>
        <v>0</v>
      </c>
      <c r="AY9" s="781">
        <f>SUMPRODUCT(KZ_Raum_2024!$T$7:$T$51,'Fläche-Best'!X$3:X$47)/100*$AD$1</f>
        <v>245.51999999999998</v>
      </c>
      <c r="AZ9" s="1054">
        <f>SUMPRODUCT(KZ_Raum_2024!$D$7:$D$51,'Fläche-Best'!Y$3:Y$47)/100*$AD$1</f>
        <v>0</v>
      </c>
      <c r="BC9" s="755" t="s">
        <v>1099</v>
      </c>
      <c r="BD9" s="756" t="s">
        <v>16</v>
      </c>
      <c r="BE9" s="751">
        <v>0.7</v>
      </c>
      <c r="BF9" s="751"/>
      <c r="BG9" s="751"/>
      <c r="BH9" s="751">
        <v>0.7</v>
      </c>
      <c r="BI9" s="751">
        <v>0.9</v>
      </c>
      <c r="BJ9" s="751">
        <v>0.9</v>
      </c>
      <c r="BK9" s="751"/>
      <c r="BL9" s="751"/>
      <c r="BM9" s="751">
        <v>0.8</v>
      </c>
      <c r="BN9" s="751"/>
      <c r="BO9" s="751"/>
      <c r="BP9" s="751"/>
      <c r="BQ9" s="751">
        <v>0.7</v>
      </c>
      <c r="BR9" s="751">
        <v>0.8</v>
      </c>
      <c r="BS9" s="751">
        <v>0.7</v>
      </c>
      <c r="BT9" s="751"/>
      <c r="BU9" s="751"/>
      <c r="BV9" s="751">
        <v>0.9</v>
      </c>
      <c r="BW9" s="751">
        <v>0.9</v>
      </c>
      <c r="BX9" s="751">
        <v>0.9</v>
      </c>
      <c r="BY9" s="751">
        <v>0.7</v>
      </c>
      <c r="BZ9" s="751"/>
      <c r="CB9" s="755" t="s">
        <v>1099</v>
      </c>
      <c r="CC9" s="756" t="s">
        <v>16</v>
      </c>
      <c r="CD9" s="767">
        <f>ROUND((AE3+AE4)/CD8,1)</f>
        <v>0.9</v>
      </c>
      <c r="CE9" s="813"/>
      <c r="CF9" s="813"/>
      <c r="CG9" s="767">
        <f t="shared" ref="CG9:CO9" si="32">ROUND((AH3+AH4)/CG8,1)</f>
        <v>0.9</v>
      </c>
      <c r="CH9" s="766">
        <f t="shared" si="32"/>
        <v>0.8</v>
      </c>
      <c r="CI9" s="766">
        <f t="shared" si="32"/>
        <v>0.8</v>
      </c>
      <c r="CJ9" s="766">
        <f t="shared" si="32"/>
        <v>0.8</v>
      </c>
      <c r="CK9" s="766">
        <f t="shared" si="32"/>
        <v>0.7</v>
      </c>
      <c r="CL9" s="813">
        <f t="shared" si="32"/>
        <v>0.7</v>
      </c>
      <c r="CM9" s="813">
        <f t="shared" si="32"/>
        <v>0.7</v>
      </c>
      <c r="CN9" s="813">
        <f t="shared" si="32"/>
        <v>0.7</v>
      </c>
      <c r="CO9" s="813">
        <f t="shared" si="32"/>
        <v>0.7</v>
      </c>
      <c r="CP9" s="766">
        <f>ROUND((AQ3+AQ4)/CP8,1)</f>
        <v>0.4</v>
      </c>
      <c r="CQ9" s="766">
        <f t="shared" ref="CQ9:CX9" si="33">ROUND((AR3+AR4)/CQ8,1)</f>
        <v>0.6</v>
      </c>
      <c r="CR9" s="766">
        <f t="shared" si="33"/>
        <v>0.7</v>
      </c>
      <c r="CS9" s="766">
        <f t="shared" si="33"/>
        <v>0.7</v>
      </c>
      <c r="CT9" s="766">
        <f t="shared" si="33"/>
        <v>0.7</v>
      </c>
      <c r="CU9" s="766">
        <f t="shared" si="33"/>
        <v>0.7</v>
      </c>
      <c r="CV9" s="813">
        <f t="shared" si="33"/>
        <v>0.9</v>
      </c>
      <c r="CW9" s="766">
        <f t="shared" si="33"/>
        <v>0.8</v>
      </c>
      <c r="CX9" s="766">
        <f t="shared" si="33"/>
        <v>0.5</v>
      </c>
      <c r="CY9" s="759"/>
      <c r="DB9" s="764" t="s">
        <v>1097</v>
      </c>
      <c r="DC9" s="756" t="s">
        <v>134</v>
      </c>
      <c r="DD9" s="813">
        <f>DD8-AE8</f>
        <v>4.4835199999999968</v>
      </c>
      <c r="DE9" s="751"/>
      <c r="DF9" s="751"/>
      <c r="DG9" s="751"/>
      <c r="DH9" s="813">
        <f>DH8-AI8</f>
        <v>0.73359817142857131</v>
      </c>
      <c r="DI9" s="813">
        <f>DI8-AJ8</f>
        <v>1.3409350410176124</v>
      </c>
      <c r="DJ9" s="751"/>
      <c r="DK9" s="751"/>
      <c r="DL9" s="751"/>
      <c r="DM9" s="813">
        <f>DM8-AN8</f>
        <v>0.58910857142857109</v>
      </c>
      <c r="DN9" s="813">
        <f>DN8-AO8</f>
        <v>0.58910857142857109</v>
      </c>
      <c r="DO9" s="751"/>
      <c r="DP9" s="813">
        <f>DP8-AQ8</f>
        <v>15.32659657142856</v>
      </c>
      <c r="DQ9" s="750"/>
      <c r="DR9" s="750"/>
      <c r="DS9" s="750"/>
      <c r="DT9" s="750"/>
      <c r="DU9" s="750"/>
      <c r="DV9" s="750"/>
      <c r="DW9" s="750"/>
      <c r="DZ9" s="800" t="s">
        <v>1146</v>
      </c>
      <c r="EA9" s="797" t="s">
        <v>134</v>
      </c>
      <c r="EB9" s="807">
        <v>55</v>
      </c>
      <c r="EC9" s="807"/>
      <c r="ED9" s="807"/>
      <c r="EE9" s="807">
        <v>55</v>
      </c>
      <c r="EF9" s="807">
        <v>110</v>
      </c>
      <c r="EG9" s="807">
        <v>45</v>
      </c>
      <c r="EH9" s="807"/>
      <c r="EI9" s="807"/>
      <c r="EJ9" s="807">
        <v>120</v>
      </c>
      <c r="EK9" s="807"/>
      <c r="EL9" s="807"/>
      <c r="EM9" s="807"/>
      <c r="EN9" s="807">
        <v>100</v>
      </c>
      <c r="EO9" s="807">
        <v>55</v>
      </c>
      <c r="EP9" s="807">
        <v>110</v>
      </c>
      <c r="EQ9" s="807"/>
      <c r="ER9" s="807"/>
      <c r="ES9" s="807">
        <v>80</v>
      </c>
      <c r="ET9" s="807">
        <v>55</v>
      </c>
      <c r="EU9" s="807">
        <v>55</v>
      </c>
      <c r="EX9" s="800" t="s">
        <v>1203</v>
      </c>
      <c r="EY9" s="797" t="s">
        <v>134</v>
      </c>
      <c r="EZ9" s="807">
        <f>EB9/2</f>
        <v>27.5</v>
      </c>
      <c r="FA9" s="807">
        <f t="shared" si="16"/>
        <v>0</v>
      </c>
      <c r="FB9" s="807">
        <f t="shared" si="16"/>
        <v>0</v>
      </c>
      <c r="FC9" s="807">
        <f t="shared" si="16"/>
        <v>27.5</v>
      </c>
      <c r="FD9" s="807">
        <f t="shared" si="16"/>
        <v>55</v>
      </c>
      <c r="FE9" s="807">
        <f t="shared" si="16"/>
        <v>22.5</v>
      </c>
      <c r="FF9" s="807">
        <f t="shared" si="16"/>
        <v>0</v>
      </c>
      <c r="FG9" s="807">
        <f t="shared" si="16"/>
        <v>0</v>
      </c>
      <c r="FH9" s="807">
        <f t="shared" si="16"/>
        <v>60</v>
      </c>
      <c r="FI9" s="807">
        <f t="shared" si="16"/>
        <v>0</v>
      </c>
      <c r="FJ9" s="807">
        <f t="shared" si="16"/>
        <v>0</v>
      </c>
      <c r="FK9" s="807">
        <f t="shared" si="17"/>
        <v>0</v>
      </c>
      <c r="FL9" s="807">
        <f t="shared" si="17"/>
        <v>50</v>
      </c>
      <c r="FM9" s="807">
        <f t="shared" si="17"/>
        <v>27.5</v>
      </c>
      <c r="FN9" s="807">
        <f t="shared" si="17"/>
        <v>55</v>
      </c>
      <c r="FO9" s="807">
        <f t="shared" si="17"/>
        <v>0</v>
      </c>
      <c r="FP9" s="807">
        <f t="shared" si="17"/>
        <v>0</v>
      </c>
      <c r="FQ9" s="807">
        <f t="shared" si="17"/>
        <v>40</v>
      </c>
      <c r="FR9" s="807">
        <f t="shared" si="17"/>
        <v>27.5</v>
      </c>
      <c r="FS9" s="807">
        <f t="shared" si="17"/>
        <v>27.5</v>
      </c>
      <c r="FT9" s="801">
        <f t="shared" si="17"/>
        <v>0</v>
      </c>
      <c r="FU9" s="797">
        <f t="shared" si="17"/>
        <v>0</v>
      </c>
      <c r="FV9" s="797"/>
      <c r="FW9" s="773" t="s">
        <v>17</v>
      </c>
      <c r="FX9" s="754" t="s">
        <v>134</v>
      </c>
      <c r="FY9" s="808">
        <f t="shared" ref="FY9:GT9" si="34">AE4</f>
        <v>2.7677327142857151</v>
      </c>
      <c r="FZ9" s="808">
        <f t="shared" si="34"/>
        <v>2.1526810000000007</v>
      </c>
      <c r="GA9" s="808">
        <f t="shared" si="34"/>
        <v>4.8560016666666677</v>
      </c>
      <c r="GB9" s="808">
        <f t="shared" si="34"/>
        <v>2.6700277142857152</v>
      </c>
      <c r="GC9" s="808">
        <f t="shared" si="34"/>
        <v>9.9573936000000032</v>
      </c>
      <c r="GD9" s="808">
        <f t="shared" si="34"/>
        <v>8.4917526530612246</v>
      </c>
      <c r="GE9" s="808">
        <f t="shared" si="34"/>
        <v>8.4917526530612246</v>
      </c>
      <c r="GF9" s="808">
        <f t="shared" si="34"/>
        <v>9.0407420816326542</v>
      </c>
      <c r="GG9" s="808">
        <f t="shared" si="34"/>
        <v>30.796232971428573</v>
      </c>
      <c r="GH9" s="808">
        <f t="shared" si="34"/>
        <v>30.731214190476187</v>
      </c>
      <c r="GI9" s="808">
        <f t="shared" si="34"/>
        <v>30.796232971428573</v>
      </c>
      <c r="GJ9" s="808">
        <f t="shared" si="34"/>
        <v>25.048195257142858</v>
      </c>
      <c r="GK9" s="808">
        <f t="shared" si="34"/>
        <v>10.611797904761907</v>
      </c>
      <c r="GL9" s="808">
        <f t="shared" si="34"/>
        <v>16.323401142857143</v>
      </c>
      <c r="GM9" s="808">
        <f t="shared" si="34"/>
        <v>12.755721142857148</v>
      </c>
      <c r="GN9" s="808">
        <f t="shared" si="34"/>
        <v>13.775421142857148</v>
      </c>
      <c r="GO9" s="808">
        <f t="shared" si="34"/>
        <v>11.308705714285717</v>
      </c>
      <c r="GP9" s="808">
        <f t="shared" si="34"/>
        <v>13.444611371428577</v>
      </c>
      <c r="GQ9" s="808">
        <f t="shared" si="34"/>
        <v>18.512811942857141</v>
      </c>
      <c r="GR9" s="808">
        <f t="shared" si="34"/>
        <v>13.777361142857144</v>
      </c>
      <c r="GS9" s="808">
        <f t="shared" si="34"/>
        <v>11.925770285714288</v>
      </c>
      <c r="GT9" s="808">
        <f t="shared" si="34"/>
        <v>1.1488220170940169</v>
      </c>
      <c r="GV9" s="773" t="s">
        <v>17</v>
      </c>
      <c r="GW9" s="754" t="s">
        <v>134</v>
      </c>
      <c r="GX9" s="724"/>
      <c r="GY9" s="1292">
        <v>5.5</v>
      </c>
      <c r="GZ9" s="1297">
        <v>6.2</v>
      </c>
      <c r="HA9" s="1292">
        <v>5.5</v>
      </c>
      <c r="HB9" s="1292">
        <v>10.1</v>
      </c>
      <c r="HC9" s="1292"/>
      <c r="HD9" s="1292">
        <v>8.5</v>
      </c>
      <c r="HE9" s="1297">
        <v>9</v>
      </c>
      <c r="HF9" s="1292"/>
      <c r="HG9" s="1297">
        <v>30.5</v>
      </c>
      <c r="HH9" s="1292">
        <v>30.5</v>
      </c>
      <c r="HI9" s="1292"/>
      <c r="HJ9" s="1292">
        <v>10.5</v>
      </c>
      <c r="HK9" s="1292">
        <v>16.5</v>
      </c>
      <c r="HL9" s="1292"/>
      <c r="HM9" s="1292">
        <v>13.5</v>
      </c>
      <c r="HN9" s="1292">
        <v>11</v>
      </c>
      <c r="HO9" s="1292">
        <v>13.4</v>
      </c>
      <c r="HP9" s="1292">
        <v>18.5</v>
      </c>
      <c r="HQ9" s="1292">
        <v>13.8</v>
      </c>
      <c r="HR9" s="1297">
        <v>11.9</v>
      </c>
      <c r="HS9" s="1297">
        <v>2</v>
      </c>
    </row>
    <row r="10" spans="1:227" s="754" customFormat="1" ht="15.75" customHeight="1">
      <c r="A10" s="1392">
        <f>Eingabedaten!A16</f>
        <v>3.04</v>
      </c>
      <c r="B10" s="750" t="str">
        <f>Eingabedaten!C16</f>
        <v>Schalterhalle, Empfang</v>
      </c>
      <c r="C10" s="751" t="s">
        <v>5</v>
      </c>
      <c r="D10" s="753"/>
      <c r="E10" s="753"/>
      <c r="F10" s="753"/>
      <c r="G10" s="753"/>
      <c r="H10" s="753">
        <v>5</v>
      </c>
      <c r="I10" s="753"/>
      <c r="J10" s="753"/>
      <c r="K10" s="752">
        <v>5</v>
      </c>
      <c r="L10" s="753"/>
      <c r="M10" s="753"/>
      <c r="N10" s="753"/>
      <c r="O10" s="753"/>
      <c r="P10" s="753"/>
      <c r="Q10" s="753"/>
      <c r="R10" s="753"/>
      <c r="S10" s="753"/>
      <c r="T10" s="753"/>
      <c r="U10" s="753"/>
      <c r="V10" s="753"/>
      <c r="W10" s="753"/>
      <c r="X10" s="753"/>
      <c r="Y10" s="753"/>
      <c r="AA10" s="769">
        <f>1/Eingabedaten!AP16</f>
        <v>8.3333333333333329E-2</v>
      </c>
      <c r="AC10" s="773" t="s">
        <v>1402</v>
      </c>
      <c r="AD10" s="774" t="s">
        <v>134</v>
      </c>
      <c r="AE10" s="1100">
        <f>SUM(AE3:AE5)</f>
        <v>20.393332714285716</v>
      </c>
      <c r="AF10" s="780">
        <f>SUM(AF3:AF5)</f>
        <v>19.629388200000005</v>
      </c>
      <c r="AG10" s="780">
        <f t="shared" ref="AG10:AZ10" si="35">SUM(AG3:AG5)</f>
        <v>21.833027571428577</v>
      </c>
      <c r="AH10" s="780">
        <f t="shared" si="35"/>
        <v>18.049227714285717</v>
      </c>
      <c r="AI10" s="780">
        <f t="shared" si="35"/>
        <v>41.798334000000004</v>
      </c>
      <c r="AJ10" s="780">
        <f t="shared" si="35"/>
        <v>20.115236653061224</v>
      </c>
      <c r="AK10" s="780">
        <f t="shared" si="35"/>
        <v>20.115236653061224</v>
      </c>
      <c r="AL10" s="780">
        <f t="shared" si="35"/>
        <v>33.270556081632662</v>
      </c>
      <c r="AM10" s="780">
        <f t="shared" si="35"/>
        <v>44.408858971428572</v>
      </c>
      <c r="AN10" s="780">
        <f t="shared" si="35"/>
        <v>44.89104019047619</v>
      </c>
      <c r="AO10" s="780">
        <f t="shared" si="35"/>
        <v>44.408858971428572</v>
      </c>
      <c r="AP10" s="780">
        <f t="shared" si="35"/>
        <v>37.819388057142859</v>
      </c>
      <c r="AQ10" s="780">
        <f t="shared" si="35"/>
        <v>39.832205904761906</v>
      </c>
      <c r="AR10" s="780">
        <f t="shared" si="35"/>
        <v>48.377327809523813</v>
      </c>
      <c r="AS10" s="780">
        <f t="shared" si="35"/>
        <v>25.311461142857151</v>
      </c>
      <c r="AT10" s="780">
        <f t="shared" si="35"/>
        <v>27.515161142857149</v>
      </c>
      <c r="AU10" s="780">
        <f t="shared" si="35"/>
        <v>23.240445714285716</v>
      </c>
      <c r="AV10" s="780">
        <f t="shared" si="35"/>
        <v>32.047550482539691</v>
      </c>
      <c r="AW10" s="780">
        <f t="shared" si="35"/>
        <v>26.27256794285714</v>
      </c>
      <c r="AX10" s="780">
        <f t="shared" si="35"/>
        <v>17.497681142857143</v>
      </c>
      <c r="AY10" s="781">
        <f t="shared" si="35"/>
        <v>31.224734285714291</v>
      </c>
      <c r="AZ10" s="781">
        <f t="shared" si="35"/>
        <v>2.7557940170940167</v>
      </c>
      <c r="BC10" s="764" t="s">
        <v>1196</v>
      </c>
      <c r="BD10" s="756" t="s">
        <v>1101</v>
      </c>
      <c r="BE10" s="760">
        <f>BE8*BE9</f>
        <v>19.599999999999998</v>
      </c>
      <c r="BF10" s="760">
        <f t="shared" ref="BF10:BY10" si="36">BF8*BF9</f>
        <v>0</v>
      </c>
      <c r="BG10" s="760">
        <f t="shared" si="36"/>
        <v>0</v>
      </c>
      <c r="BH10" s="760">
        <f t="shared" si="36"/>
        <v>15.399999999999999</v>
      </c>
      <c r="BI10" s="760">
        <f t="shared" si="36"/>
        <v>19.8</v>
      </c>
      <c r="BJ10" s="760">
        <f t="shared" si="36"/>
        <v>9.9</v>
      </c>
      <c r="BK10" s="760">
        <f t="shared" si="36"/>
        <v>0</v>
      </c>
      <c r="BL10" s="760">
        <f t="shared" si="36"/>
        <v>0</v>
      </c>
      <c r="BM10" s="760">
        <f t="shared" si="36"/>
        <v>26.400000000000002</v>
      </c>
      <c r="BN10" s="760">
        <f t="shared" si="36"/>
        <v>0</v>
      </c>
      <c r="BO10" s="760">
        <f t="shared" si="36"/>
        <v>0</v>
      </c>
      <c r="BP10" s="760">
        <f t="shared" si="36"/>
        <v>0</v>
      </c>
      <c r="BQ10" s="760">
        <f t="shared" si="36"/>
        <v>23.099999999999998</v>
      </c>
      <c r="BR10" s="760">
        <f t="shared" si="36"/>
        <v>13.600000000000001</v>
      </c>
      <c r="BS10" s="760">
        <f t="shared" si="36"/>
        <v>19.599999999999998</v>
      </c>
      <c r="BT10" s="760">
        <f t="shared" si="36"/>
        <v>0</v>
      </c>
      <c r="BU10" s="760">
        <f t="shared" si="36"/>
        <v>0</v>
      </c>
      <c r="BV10" s="760">
        <f t="shared" si="36"/>
        <v>15.3</v>
      </c>
      <c r="BW10" s="760">
        <f t="shared" si="36"/>
        <v>5.4</v>
      </c>
      <c r="BX10" s="760">
        <f t="shared" si="36"/>
        <v>5.4</v>
      </c>
      <c r="BY10" s="760">
        <f t="shared" si="36"/>
        <v>39.199999999999996</v>
      </c>
      <c r="BZ10" s="751"/>
      <c r="CB10" s="764" t="s">
        <v>1404</v>
      </c>
      <c r="CC10" s="756" t="s">
        <v>1101</v>
      </c>
      <c r="CD10" s="762">
        <f>CD8*CD9</f>
        <v>20.7</v>
      </c>
      <c r="CE10" s="762">
        <f t="shared" ref="CE10:CX10" si="37">CE8*CE9</f>
        <v>0</v>
      </c>
      <c r="CF10" s="751">
        <f t="shared" si="37"/>
        <v>0</v>
      </c>
      <c r="CG10" s="758">
        <f t="shared" si="37"/>
        <v>17.100000000000001</v>
      </c>
      <c r="CH10" s="758">
        <f t="shared" si="37"/>
        <v>36</v>
      </c>
      <c r="CI10" s="758">
        <f t="shared" si="37"/>
        <v>18.400000000000002</v>
      </c>
      <c r="CJ10" s="758">
        <f t="shared" si="37"/>
        <v>18.400000000000002</v>
      </c>
      <c r="CK10" s="758">
        <f t="shared" si="37"/>
        <v>28.7</v>
      </c>
      <c r="CL10" s="758">
        <f t="shared" si="37"/>
        <v>36.4</v>
      </c>
      <c r="CM10" s="751">
        <f t="shared" si="37"/>
        <v>36.4</v>
      </c>
      <c r="CN10" s="751">
        <f t="shared" si="37"/>
        <v>36.4</v>
      </c>
      <c r="CO10" s="751">
        <f t="shared" si="37"/>
        <v>31.499999999999996</v>
      </c>
      <c r="CP10" s="759">
        <f t="shared" si="37"/>
        <v>19.200000000000003</v>
      </c>
      <c r="CQ10" s="758">
        <f t="shared" si="37"/>
        <v>31.2</v>
      </c>
      <c r="CR10" s="751">
        <f t="shared" si="37"/>
        <v>23.799999999999997</v>
      </c>
      <c r="CS10" s="758">
        <f t="shared" si="37"/>
        <v>25.2</v>
      </c>
      <c r="CT10" s="758">
        <f t="shared" si="37"/>
        <v>21.7</v>
      </c>
      <c r="CU10" s="758">
        <f t="shared" si="37"/>
        <v>27.299999999999997</v>
      </c>
      <c r="CV10" s="758">
        <f t="shared" si="37"/>
        <v>25.2</v>
      </c>
      <c r="CW10" s="758">
        <f t="shared" si="37"/>
        <v>16.8</v>
      </c>
      <c r="CX10" s="759">
        <f t="shared" si="37"/>
        <v>19</v>
      </c>
      <c r="CY10" s="759"/>
      <c r="DB10" s="755" t="s">
        <v>1095</v>
      </c>
      <c r="DC10" s="756" t="s">
        <v>134</v>
      </c>
      <c r="DD10" s="760">
        <f>SUM(DD3:DD5)</f>
        <v>17</v>
      </c>
      <c r="DE10" s="760"/>
      <c r="DF10" s="760"/>
      <c r="DG10" s="760"/>
      <c r="DH10" s="760">
        <f>SUM(DH3:DH5)</f>
        <v>29</v>
      </c>
      <c r="DI10" s="760">
        <f>SUM(DI3:DI5)</f>
        <v>13</v>
      </c>
      <c r="DJ10" s="760"/>
      <c r="DK10" s="760"/>
      <c r="DL10" s="751"/>
      <c r="DM10" s="760">
        <f>SUM(DM3:DM5)</f>
        <v>242</v>
      </c>
      <c r="DN10" s="760">
        <f>SUM(DN3:DN5)</f>
        <v>40</v>
      </c>
      <c r="DO10" s="751"/>
      <c r="DP10" s="760">
        <f>SUM(DP3:DP5)</f>
        <v>67</v>
      </c>
      <c r="DQ10" s="750"/>
      <c r="DR10" s="750"/>
      <c r="DS10" s="750"/>
      <c r="DT10" s="750"/>
      <c r="DU10" s="750"/>
      <c r="DV10" s="750"/>
      <c r="DW10" s="750"/>
      <c r="DZ10" s="773" t="s">
        <v>1147</v>
      </c>
      <c r="EA10" s="754" t="s">
        <v>134</v>
      </c>
      <c r="EB10" s="769">
        <f>EB8-EB9</f>
        <v>17</v>
      </c>
      <c r="EC10" s="769">
        <f t="shared" ref="EC10:EU10" si="38">EC8-EC9</f>
        <v>0</v>
      </c>
      <c r="ED10" s="769">
        <f t="shared" si="38"/>
        <v>0</v>
      </c>
      <c r="EE10" s="769">
        <f t="shared" si="38"/>
        <v>15</v>
      </c>
      <c r="EF10" s="769">
        <f t="shared" si="38"/>
        <v>27</v>
      </c>
      <c r="EG10" s="769">
        <f t="shared" si="38"/>
        <v>27</v>
      </c>
      <c r="EH10" s="769">
        <f t="shared" si="38"/>
        <v>0</v>
      </c>
      <c r="EI10" s="769">
        <f t="shared" si="38"/>
        <v>0</v>
      </c>
      <c r="EJ10" s="769">
        <f t="shared" si="38"/>
        <v>36</v>
      </c>
      <c r="EK10" s="769">
        <f t="shared" si="38"/>
        <v>0</v>
      </c>
      <c r="EL10" s="769">
        <f t="shared" si="38"/>
        <v>0</v>
      </c>
      <c r="EM10" s="769">
        <f t="shared" si="38"/>
        <v>0</v>
      </c>
      <c r="EN10" s="769">
        <f t="shared" si="38"/>
        <v>23</v>
      </c>
      <c r="EO10" s="769">
        <f t="shared" si="38"/>
        <v>19</v>
      </c>
      <c r="EP10" s="769">
        <f t="shared" si="38"/>
        <v>31</v>
      </c>
      <c r="EQ10" s="769"/>
      <c r="ER10" s="769"/>
      <c r="ES10" s="769">
        <f t="shared" si="38"/>
        <v>4</v>
      </c>
      <c r="ET10" s="769">
        <f t="shared" si="38"/>
        <v>7</v>
      </c>
      <c r="EU10" s="769">
        <f t="shared" si="38"/>
        <v>2</v>
      </c>
      <c r="EX10" s="773" t="s">
        <v>1202</v>
      </c>
      <c r="EY10" s="754" t="s">
        <v>134</v>
      </c>
      <c r="EZ10" s="769">
        <f>EZ8-EZ9</f>
        <v>8.5</v>
      </c>
      <c r="FA10" s="769">
        <f t="shared" ref="FA10:FU10" si="39">FA8-FA9</f>
        <v>0</v>
      </c>
      <c r="FB10" s="769">
        <f t="shared" si="39"/>
        <v>0</v>
      </c>
      <c r="FC10" s="769">
        <f t="shared" si="39"/>
        <v>7.5</v>
      </c>
      <c r="FD10" s="769">
        <f t="shared" si="39"/>
        <v>13.5</v>
      </c>
      <c r="FE10" s="769">
        <f t="shared" si="39"/>
        <v>13.5</v>
      </c>
      <c r="FF10" s="769">
        <f t="shared" si="39"/>
        <v>0</v>
      </c>
      <c r="FG10" s="769">
        <f t="shared" si="39"/>
        <v>0</v>
      </c>
      <c r="FH10" s="769">
        <f t="shared" si="39"/>
        <v>18</v>
      </c>
      <c r="FI10" s="769">
        <f t="shared" si="39"/>
        <v>0</v>
      </c>
      <c r="FJ10" s="769">
        <f t="shared" si="39"/>
        <v>0</v>
      </c>
      <c r="FK10" s="769">
        <f t="shared" si="39"/>
        <v>0</v>
      </c>
      <c r="FL10" s="769">
        <f t="shared" si="39"/>
        <v>11.5</v>
      </c>
      <c r="FM10" s="769">
        <f t="shared" si="39"/>
        <v>9.5</v>
      </c>
      <c r="FN10" s="769">
        <f t="shared" si="39"/>
        <v>15.5</v>
      </c>
      <c r="FO10" s="769">
        <f t="shared" si="39"/>
        <v>0</v>
      </c>
      <c r="FP10" s="769">
        <f t="shared" si="39"/>
        <v>0</v>
      </c>
      <c r="FQ10" s="769">
        <f t="shared" si="39"/>
        <v>2</v>
      </c>
      <c r="FR10" s="769">
        <f t="shared" si="39"/>
        <v>3.5</v>
      </c>
      <c r="FS10" s="769">
        <f t="shared" si="39"/>
        <v>1</v>
      </c>
      <c r="FT10" s="774">
        <f t="shared" si="39"/>
        <v>0</v>
      </c>
      <c r="FU10" s="754">
        <f t="shared" si="39"/>
        <v>0</v>
      </c>
      <c r="FW10" s="773" t="s">
        <v>1143</v>
      </c>
      <c r="FX10" s="754" t="s">
        <v>134</v>
      </c>
      <c r="FY10" s="808">
        <f t="shared" ref="FY10:GT10" si="40">AE11</f>
        <v>3</v>
      </c>
      <c r="FZ10" s="808">
        <f t="shared" si="40"/>
        <v>3</v>
      </c>
      <c r="GA10" s="808">
        <f t="shared" si="40"/>
        <v>8.16</v>
      </c>
      <c r="GB10" s="808">
        <f t="shared" si="40"/>
        <v>1.4</v>
      </c>
      <c r="GC10" s="808">
        <f t="shared" si="40"/>
        <v>3.3680000000000003</v>
      </c>
      <c r="GD10" s="808">
        <f t="shared" si="40"/>
        <v>3.1280000000000001</v>
      </c>
      <c r="GE10" s="808">
        <f t="shared" si="40"/>
        <v>3.1280000000000001</v>
      </c>
      <c r="GF10" s="808">
        <f t="shared" si="40"/>
        <v>8.16</v>
      </c>
      <c r="GG10" s="808">
        <f t="shared" si="40"/>
        <v>7.5440000000000005</v>
      </c>
      <c r="GH10" s="808">
        <f t="shared" si="40"/>
        <v>7.5440000000000005</v>
      </c>
      <c r="GI10" s="808">
        <f t="shared" si="40"/>
        <v>7.5440000000000005</v>
      </c>
      <c r="GJ10" s="808">
        <f t="shared" si="40"/>
        <v>7.5440000000000005</v>
      </c>
      <c r="GK10" s="808">
        <f t="shared" si="40"/>
        <v>8.3840000000000003</v>
      </c>
      <c r="GL10" s="808">
        <f t="shared" si="40"/>
        <v>3.8479999999999999</v>
      </c>
      <c r="GM10" s="808">
        <f t="shared" si="40"/>
        <v>8.2000000000000011</v>
      </c>
      <c r="GN10" s="808">
        <f t="shared" si="40"/>
        <v>8.2000000000000011</v>
      </c>
      <c r="GO10" s="808">
        <f t="shared" si="40"/>
        <v>8.2000000000000011</v>
      </c>
      <c r="GP10" s="808">
        <f t="shared" si="40"/>
        <v>6.6959999999999997</v>
      </c>
      <c r="GQ10" s="808">
        <f t="shared" si="40"/>
        <v>1.6480000000000001</v>
      </c>
      <c r="GR10" s="808">
        <f t="shared" si="40"/>
        <v>3.2320000000000002</v>
      </c>
      <c r="GS10" s="808">
        <f t="shared" si="40"/>
        <v>6.88</v>
      </c>
      <c r="GT10" s="808">
        <f t="shared" si="40"/>
        <v>4.2160000000000002</v>
      </c>
      <c r="GV10" s="773" t="s">
        <v>1143</v>
      </c>
      <c r="GW10" s="754" t="s">
        <v>134</v>
      </c>
      <c r="GX10" s="724"/>
      <c r="GY10" s="1296">
        <f>AF11</f>
        <v>3</v>
      </c>
      <c r="GZ10" s="1116">
        <f t="shared" ref="GZ10:HS10" si="41">AG11</f>
        <v>8.16</v>
      </c>
      <c r="HA10" s="1116">
        <f t="shared" si="41"/>
        <v>1.4</v>
      </c>
      <c r="HB10" s="1116">
        <f t="shared" si="41"/>
        <v>3.3680000000000003</v>
      </c>
      <c r="HC10" s="1116">
        <f t="shared" si="41"/>
        <v>3.1280000000000001</v>
      </c>
      <c r="HD10" s="1116">
        <f t="shared" si="41"/>
        <v>3.1280000000000001</v>
      </c>
      <c r="HE10" s="1116">
        <f t="shared" si="41"/>
        <v>8.16</v>
      </c>
      <c r="HF10" s="1116">
        <f t="shared" si="41"/>
        <v>7.5440000000000005</v>
      </c>
      <c r="HG10" s="1116">
        <f t="shared" si="41"/>
        <v>7.5440000000000005</v>
      </c>
      <c r="HH10" s="1116">
        <f t="shared" si="41"/>
        <v>7.5440000000000005</v>
      </c>
      <c r="HI10" s="1116">
        <f t="shared" si="41"/>
        <v>7.5440000000000005</v>
      </c>
      <c r="HJ10" s="1116">
        <f t="shared" si="41"/>
        <v>8.3840000000000003</v>
      </c>
      <c r="HK10" s="1116">
        <f t="shared" si="41"/>
        <v>3.8479999999999999</v>
      </c>
      <c r="HL10" s="1116">
        <f t="shared" si="41"/>
        <v>8.2000000000000011</v>
      </c>
      <c r="HM10" s="1116">
        <f t="shared" si="41"/>
        <v>8.2000000000000011</v>
      </c>
      <c r="HN10" s="1116">
        <f t="shared" si="41"/>
        <v>8.2000000000000011</v>
      </c>
      <c r="HO10" s="1116">
        <f t="shared" si="41"/>
        <v>6.6959999999999997</v>
      </c>
      <c r="HP10" s="1116">
        <f t="shared" si="41"/>
        <v>1.6480000000000001</v>
      </c>
      <c r="HQ10" s="1116">
        <f t="shared" si="41"/>
        <v>3.2320000000000002</v>
      </c>
      <c r="HR10" s="1116">
        <f t="shared" si="41"/>
        <v>6.88</v>
      </c>
      <c r="HS10" s="1116">
        <f t="shared" si="41"/>
        <v>4.2160000000000002</v>
      </c>
    </row>
    <row r="11" spans="1:227" ht="15.75" customHeight="1">
      <c r="A11" s="1393">
        <f>Eingabedaten!A17</f>
        <v>4.01</v>
      </c>
      <c r="B11" s="738" t="str">
        <f>Eingabedaten!C17</f>
        <v>Schulzimmer</v>
      </c>
      <c r="C11" s="724" t="s">
        <v>5</v>
      </c>
      <c r="D11" s="740"/>
      <c r="E11" s="740"/>
      <c r="F11" s="740"/>
      <c r="G11" s="740"/>
      <c r="H11" s="740"/>
      <c r="I11" s="739">
        <v>45</v>
      </c>
      <c r="J11" s="739">
        <v>45</v>
      </c>
      <c r="K11" s="739">
        <v>10</v>
      </c>
      <c r="L11" s="740"/>
      <c r="M11" s="740"/>
      <c r="N11" s="740"/>
      <c r="O11" s="740"/>
      <c r="P11" s="740"/>
      <c r="Q11" s="740"/>
      <c r="R11" s="740"/>
      <c r="S11" s="740"/>
      <c r="T11" s="740"/>
      <c r="U11" s="740"/>
      <c r="V11" s="740"/>
      <c r="W11" s="740"/>
      <c r="X11" s="740"/>
      <c r="Y11" s="740"/>
      <c r="AA11" s="770">
        <f>1/Eingabedaten!AP17</f>
        <v>0.25</v>
      </c>
      <c r="AC11" s="775" t="s">
        <v>1114</v>
      </c>
      <c r="AD11" s="776" t="s">
        <v>134</v>
      </c>
      <c r="AE11" s="1295">
        <f>3.75*$AD1</f>
        <v>3</v>
      </c>
      <c r="AF11" s="1293">
        <f>AE11</f>
        <v>3</v>
      </c>
      <c r="AG11" s="782">
        <f>10.2*$AD1</f>
        <v>8.16</v>
      </c>
      <c r="AH11" s="782">
        <v>1.4</v>
      </c>
      <c r="AI11" s="1293">
        <f>4.21*$AD1</f>
        <v>3.3680000000000003</v>
      </c>
      <c r="AJ11" s="1293">
        <f>3.91*$AD1</f>
        <v>3.1280000000000001</v>
      </c>
      <c r="AK11" s="1293">
        <f>AJ11</f>
        <v>3.1280000000000001</v>
      </c>
      <c r="AL11" s="1293">
        <f>10.2*$AD1</f>
        <v>8.16</v>
      </c>
      <c r="AM11" s="1293">
        <f>9.43*$AD1</f>
        <v>7.5440000000000005</v>
      </c>
      <c r="AN11" s="1293">
        <f>AM11</f>
        <v>7.5440000000000005</v>
      </c>
      <c r="AO11" s="1293">
        <f>AM11</f>
        <v>7.5440000000000005</v>
      </c>
      <c r="AP11" s="1293">
        <f>AM11</f>
        <v>7.5440000000000005</v>
      </c>
      <c r="AQ11" s="1293">
        <f>10.48*$AD1</f>
        <v>8.3840000000000003</v>
      </c>
      <c r="AR11" s="1293">
        <f>4.81*$AD1</f>
        <v>3.8479999999999999</v>
      </c>
      <c r="AS11" s="1293">
        <f>10.25*$AD1</f>
        <v>8.2000000000000011</v>
      </c>
      <c r="AT11" s="1293">
        <f>AS11</f>
        <v>8.2000000000000011</v>
      </c>
      <c r="AU11" s="1293">
        <f>AS11</f>
        <v>8.2000000000000011</v>
      </c>
      <c r="AV11" s="1293">
        <f>8.37*$AD1</f>
        <v>6.6959999999999997</v>
      </c>
      <c r="AW11" s="1293">
        <f>2.06*$AD1</f>
        <v>1.6480000000000001</v>
      </c>
      <c r="AX11" s="1293">
        <f>4.04*$AD1</f>
        <v>3.2320000000000002</v>
      </c>
      <c r="AY11" s="1294">
        <f>8.6*$AD1</f>
        <v>6.88</v>
      </c>
      <c r="AZ11" s="1294">
        <f>5.27*$AD1</f>
        <v>4.2160000000000002</v>
      </c>
      <c r="BC11" s="755" t="s">
        <v>398</v>
      </c>
      <c r="BD11" s="756" t="s">
        <v>1102</v>
      </c>
      <c r="BE11" s="751">
        <v>0.7</v>
      </c>
      <c r="BF11" s="751"/>
      <c r="BG11" s="751"/>
      <c r="BH11" s="751">
        <v>0.7</v>
      </c>
      <c r="BI11" s="751">
        <v>0.7</v>
      </c>
      <c r="BJ11" s="751">
        <v>0.7</v>
      </c>
      <c r="BK11" s="751"/>
      <c r="BL11" s="751"/>
      <c r="BM11" s="751">
        <v>0.7</v>
      </c>
      <c r="BN11" s="751"/>
      <c r="BO11" s="751"/>
      <c r="BP11" s="751"/>
      <c r="BQ11" s="751">
        <v>1.2</v>
      </c>
      <c r="BR11" s="751">
        <v>1</v>
      </c>
      <c r="BS11" s="751">
        <v>1</v>
      </c>
      <c r="BT11" s="751"/>
      <c r="BU11" s="751"/>
      <c r="BV11" s="751">
        <v>0.7</v>
      </c>
      <c r="BW11" s="751">
        <v>0.3</v>
      </c>
      <c r="BX11" s="751">
        <v>0.7</v>
      </c>
      <c r="BY11" s="751">
        <v>0.7</v>
      </c>
      <c r="BZ11" s="751"/>
      <c r="CB11" s="755" t="s">
        <v>717</v>
      </c>
      <c r="CC11" s="756" t="s">
        <v>1198</v>
      </c>
      <c r="CD11" s="750">
        <f>25/70*CD5</f>
        <v>25</v>
      </c>
      <c r="CE11" s="750" t="e">
        <v>#DIV/0!</v>
      </c>
      <c r="CF11" s="750">
        <v>0</v>
      </c>
      <c r="CG11" s="750">
        <f t="shared" ref="CG11:CX11" si="42">25/70*CG5</f>
        <v>25</v>
      </c>
      <c r="CH11" s="750">
        <f t="shared" si="42"/>
        <v>25</v>
      </c>
      <c r="CI11" s="750">
        <f t="shared" si="42"/>
        <v>25</v>
      </c>
      <c r="CJ11" s="750">
        <f t="shared" si="42"/>
        <v>0</v>
      </c>
      <c r="CK11" s="750">
        <f t="shared" si="42"/>
        <v>0</v>
      </c>
      <c r="CL11" s="750">
        <f t="shared" si="42"/>
        <v>25</v>
      </c>
      <c r="CM11" s="750">
        <f t="shared" si="42"/>
        <v>25</v>
      </c>
      <c r="CN11" s="750">
        <f t="shared" si="42"/>
        <v>25</v>
      </c>
      <c r="CO11" s="750">
        <f t="shared" si="42"/>
        <v>25</v>
      </c>
      <c r="CP11" s="750">
        <f t="shared" si="42"/>
        <v>25</v>
      </c>
      <c r="CQ11" s="750">
        <f t="shared" si="42"/>
        <v>25</v>
      </c>
      <c r="CR11" s="750">
        <f t="shared" si="42"/>
        <v>25</v>
      </c>
      <c r="CS11" s="750">
        <f t="shared" si="42"/>
        <v>25</v>
      </c>
      <c r="CT11" s="750">
        <f t="shared" si="42"/>
        <v>25</v>
      </c>
      <c r="CU11" s="750">
        <f t="shared" si="42"/>
        <v>25</v>
      </c>
      <c r="CV11" s="750">
        <f t="shared" si="42"/>
        <v>42.857142857142861</v>
      </c>
      <c r="CW11" s="750">
        <f t="shared" si="42"/>
        <v>64.285714285714292</v>
      </c>
      <c r="CX11" s="750">
        <f t="shared" si="42"/>
        <v>25</v>
      </c>
      <c r="CY11" s="759"/>
      <c r="DB11" s="764" t="s">
        <v>1097</v>
      </c>
      <c r="DC11" s="756" t="s">
        <v>134</v>
      </c>
      <c r="DD11" s="793">
        <f>DD10-AE10</f>
        <v>-3.3933327142857159</v>
      </c>
      <c r="DE11" s="793"/>
      <c r="DF11" s="793"/>
      <c r="DG11" s="793"/>
      <c r="DH11" s="793">
        <f>DH10-AI10</f>
        <v>-12.798334000000004</v>
      </c>
      <c r="DI11" s="793">
        <f>DI10-AJ10</f>
        <v>-7.1152366530612241</v>
      </c>
      <c r="DJ11" s="793"/>
      <c r="DK11" s="793"/>
      <c r="DL11" s="724"/>
      <c r="DM11" s="793">
        <f>DM10-AN10</f>
        <v>197.10895980952381</v>
      </c>
      <c r="DN11" s="793">
        <f>DN10-AO10</f>
        <v>-4.4088589714285717</v>
      </c>
      <c r="DO11" s="724"/>
      <c r="DP11" s="793">
        <f>DP10-AQ10</f>
        <v>27.167794095238094</v>
      </c>
      <c r="DQ11" s="738"/>
      <c r="DR11" s="738"/>
      <c r="DS11" s="738"/>
      <c r="DT11" s="738"/>
      <c r="DU11" s="738"/>
      <c r="DV11" s="738"/>
      <c r="DW11" s="738"/>
      <c r="DZ11" s="735"/>
      <c r="EA11" s="802" t="s">
        <v>5</v>
      </c>
      <c r="EB11" s="771">
        <f>EB10/EB8%</f>
        <v>23.611111111111111</v>
      </c>
      <c r="EC11" s="771" t="e">
        <f t="shared" ref="EC11:EU11" si="43">EC10/EC8%</f>
        <v>#DIV/0!</v>
      </c>
      <c r="ED11" s="771" t="e">
        <f t="shared" si="43"/>
        <v>#DIV/0!</v>
      </c>
      <c r="EE11" s="771">
        <f t="shared" si="43"/>
        <v>21.428571428571431</v>
      </c>
      <c r="EF11" s="771">
        <f t="shared" si="43"/>
        <v>19.70802919708029</v>
      </c>
      <c r="EG11" s="771">
        <f t="shared" si="43"/>
        <v>37.5</v>
      </c>
      <c r="EH11" s="771" t="e">
        <f t="shared" si="43"/>
        <v>#DIV/0!</v>
      </c>
      <c r="EI11" s="771" t="e">
        <f t="shared" si="43"/>
        <v>#DIV/0!</v>
      </c>
      <c r="EJ11" s="771">
        <f t="shared" si="43"/>
        <v>23.076923076923077</v>
      </c>
      <c r="EK11" s="771" t="e">
        <f t="shared" si="43"/>
        <v>#DIV/0!</v>
      </c>
      <c r="EL11" s="771" t="e">
        <f t="shared" si="43"/>
        <v>#DIV/0!</v>
      </c>
      <c r="EM11" s="771" t="e">
        <f t="shared" si="43"/>
        <v>#DIV/0!</v>
      </c>
      <c r="EN11" s="771">
        <f t="shared" si="43"/>
        <v>18.699186991869919</v>
      </c>
      <c r="EO11" s="771">
        <f t="shared" si="43"/>
        <v>25.675675675675677</v>
      </c>
      <c r="EP11" s="771">
        <f t="shared" si="43"/>
        <v>21.98581560283688</v>
      </c>
      <c r="EQ11" s="771"/>
      <c r="ER11" s="771"/>
      <c r="ES11" s="771">
        <f t="shared" si="43"/>
        <v>4.7619047619047619</v>
      </c>
      <c r="ET11" s="771">
        <f t="shared" si="43"/>
        <v>11.290322580645162</v>
      </c>
      <c r="EU11" s="771">
        <f t="shared" si="43"/>
        <v>3.5087719298245617</v>
      </c>
      <c r="EX11" s="735"/>
      <c r="EY11" s="802" t="s">
        <v>5</v>
      </c>
      <c r="EZ11" s="771">
        <f t="shared" ref="EZ11:FU11" si="44">EZ10/EZ8%</f>
        <v>23.611111111111111</v>
      </c>
      <c r="FA11" s="771" t="e">
        <f t="shared" si="44"/>
        <v>#DIV/0!</v>
      </c>
      <c r="FB11" s="771" t="e">
        <f t="shared" si="44"/>
        <v>#DIV/0!</v>
      </c>
      <c r="FC11" s="771">
        <f t="shared" si="44"/>
        <v>21.428571428571431</v>
      </c>
      <c r="FD11" s="771">
        <f t="shared" si="44"/>
        <v>19.70802919708029</v>
      </c>
      <c r="FE11" s="771">
        <f t="shared" si="44"/>
        <v>37.5</v>
      </c>
      <c r="FF11" s="771" t="e">
        <f t="shared" si="44"/>
        <v>#DIV/0!</v>
      </c>
      <c r="FG11" s="771" t="e">
        <f t="shared" si="44"/>
        <v>#DIV/0!</v>
      </c>
      <c r="FH11" s="771">
        <f t="shared" si="44"/>
        <v>23.076923076923077</v>
      </c>
      <c r="FI11" s="771" t="e">
        <f t="shared" si="44"/>
        <v>#DIV/0!</v>
      </c>
      <c r="FJ11" s="771" t="e">
        <f t="shared" si="44"/>
        <v>#DIV/0!</v>
      </c>
      <c r="FK11" s="771" t="e">
        <f t="shared" si="44"/>
        <v>#DIV/0!</v>
      </c>
      <c r="FL11" s="771">
        <f t="shared" si="44"/>
        <v>18.699186991869919</v>
      </c>
      <c r="FM11" s="771">
        <f t="shared" si="44"/>
        <v>25.675675675675677</v>
      </c>
      <c r="FN11" s="771">
        <f t="shared" si="44"/>
        <v>21.98581560283688</v>
      </c>
      <c r="FO11" s="771" t="e">
        <f t="shared" si="44"/>
        <v>#DIV/0!</v>
      </c>
      <c r="FP11" s="771" t="e">
        <f t="shared" si="44"/>
        <v>#DIV/0!</v>
      </c>
      <c r="FQ11" s="771">
        <f t="shared" si="44"/>
        <v>4.7619047619047619</v>
      </c>
      <c r="FR11" s="771">
        <f t="shared" si="44"/>
        <v>11.290322580645162</v>
      </c>
      <c r="FS11" s="771">
        <f t="shared" si="44"/>
        <v>3.5087719298245617</v>
      </c>
      <c r="FT11" s="733" t="e">
        <f t="shared" si="44"/>
        <v>#DIV/0!</v>
      </c>
      <c r="FU11" s="802" t="e">
        <f t="shared" si="44"/>
        <v>#DIV/0!</v>
      </c>
      <c r="FW11" s="857" t="s">
        <v>1058</v>
      </c>
      <c r="FX11" s="858" t="s">
        <v>134</v>
      </c>
      <c r="FY11" s="881">
        <f t="shared" ref="FY11" si="45">SUM(FY3:FY10)</f>
        <v>47.442892676590077</v>
      </c>
      <c r="FZ11" s="1050">
        <f>SUM(FZ7:FZ10)</f>
        <v>19.840681000000004</v>
      </c>
      <c r="GA11" s="1050">
        <f t="shared" ref="GA11:GT11" si="46">SUM(GA7:GA10)</f>
        <v>25.30000166666667</v>
      </c>
      <c r="GB11" s="1050">
        <f t="shared" si="46"/>
        <v>19.449227714285716</v>
      </c>
      <c r="GC11" s="1050">
        <f t="shared" si="46"/>
        <v>51.271793600000009</v>
      </c>
      <c r="GD11" s="1050">
        <f t="shared" si="46"/>
        <v>22.504232653061223</v>
      </c>
      <c r="GE11" s="1050">
        <f t="shared" si="46"/>
        <v>22.504232653061223</v>
      </c>
      <c r="GF11" s="1050">
        <f t="shared" si="46"/>
        <v>47.040742081632658</v>
      </c>
      <c r="GG11" s="1050">
        <f t="shared" si="46"/>
        <v>45.662632971428579</v>
      </c>
      <c r="GH11" s="1050">
        <f t="shared" si="46"/>
        <v>283.22641419047619</v>
      </c>
      <c r="GI11" s="1050">
        <f t="shared" si="46"/>
        <v>45.662632971428579</v>
      </c>
      <c r="GJ11" s="1050">
        <f t="shared" si="46"/>
        <v>39.597795257142863</v>
      </c>
      <c r="GK11" s="1050">
        <f t="shared" si="46"/>
        <v>80.496597904761913</v>
      </c>
      <c r="GL11" s="1050">
        <f t="shared" si="46"/>
        <v>33.114601142857147</v>
      </c>
      <c r="GM11" s="1050">
        <f t="shared" si="46"/>
        <v>36.396921142857153</v>
      </c>
      <c r="GN11" s="1050">
        <f t="shared" si="46"/>
        <v>40.34462114285715</v>
      </c>
      <c r="GO11" s="1050">
        <f t="shared" si="46"/>
        <v>32.581905714285718</v>
      </c>
      <c r="GP11" s="1050">
        <f t="shared" si="46"/>
        <v>62.267811371428579</v>
      </c>
      <c r="GQ11" s="1050">
        <f t="shared" si="46"/>
        <v>27.564811942857141</v>
      </c>
      <c r="GR11" s="1050">
        <f t="shared" si="46"/>
        <v>19.495761142857141</v>
      </c>
      <c r="GS11" s="1050">
        <f t="shared" si="46"/>
        <v>272.96817028571428</v>
      </c>
      <c r="GT11" s="1050">
        <f t="shared" si="46"/>
        <v>6.8984220170940169</v>
      </c>
      <c r="GU11" s="754"/>
      <c r="GV11" s="857" t="s">
        <v>1058</v>
      </c>
      <c r="GW11" s="858" t="s">
        <v>134</v>
      </c>
      <c r="GX11" s="881">
        <f t="shared" ref="GX11:HS11" si="47">SUM(GX3:GX10)</f>
        <v>0</v>
      </c>
      <c r="GY11" s="1050">
        <f>SUM(GY3:GY10)</f>
        <v>24</v>
      </c>
      <c r="GZ11" s="1050">
        <f t="shared" si="47"/>
        <v>69.260000000000005</v>
      </c>
      <c r="HA11" s="1050">
        <f t="shared" si="47"/>
        <v>19.399999999999999</v>
      </c>
      <c r="HB11" s="1050">
        <f t="shared" si="47"/>
        <v>29.968000000000004</v>
      </c>
      <c r="HC11" s="1050">
        <f t="shared" si="47"/>
        <v>3.1280000000000001</v>
      </c>
      <c r="HD11" s="1050">
        <f t="shared" si="47"/>
        <v>16.628</v>
      </c>
      <c r="HE11" s="1050">
        <f t="shared" si="47"/>
        <v>42.760000000000005</v>
      </c>
      <c r="HF11" s="1050">
        <f t="shared" si="47"/>
        <v>7.5440000000000005</v>
      </c>
      <c r="HG11" s="1050">
        <f t="shared" si="47"/>
        <v>243.04400000000001</v>
      </c>
      <c r="HH11" s="1050">
        <f t="shared" si="47"/>
        <v>43.043999999999997</v>
      </c>
      <c r="HI11" s="1050">
        <f t="shared" si="47"/>
        <v>7.5440000000000005</v>
      </c>
      <c r="HJ11" s="1050">
        <f t="shared" si="47"/>
        <v>23.384</v>
      </c>
      <c r="HK11" s="1050">
        <f t="shared" si="47"/>
        <v>24.347999999999999</v>
      </c>
      <c r="HL11" s="1050">
        <f t="shared" si="47"/>
        <v>16.5</v>
      </c>
      <c r="HM11" s="1050">
        <f t="shared" si="47"/>
        <v>65.2</v>
      </c>
      <c r="HN11" s="1050">
        <f t="shared" si="47"/>
        <v>62.7</v>
      </c>
      <c r="HO11" s="1050">
        <f t="shared" si="47"/>
        <v>127.096</v>
      </c>
      <c r="HP11" s="1050">
        <f t="shared" si="47"/>
        <v>24.148</v>
      </c>
      <c r="HQ11" s="1050">
        <f t="shared" si="47"/>
        <v>19.032</v>
      </c>
      <c r="HR11" s="1050">
        <f t="shared" si="47"/>
        <v>724.28</v>
      </c>
      <c r="HS11" s="1050">
        <f t="shared" si="47"/>
        <v>7.9160000000000004</v>
      </c>
    </row>
    <row r="12" spans="1:227" ht="15.75" customHeight="1">
      <c r="A12" s="1393">
        <f>Eingabedaten!A18</f>
        <v>4.0199999999999996</v>
      </c>
      <c r="B12" s="738" t="str">
        <f>Eingabedaten!C18</f>
        <v>Lehrerzimmer</v>
      </c>
      <c r="C12" s="724" t="s">
        <v>5</v>
      </c>
      <c r="D12" s="740"/>
      <c r="E12" s="740"/>
      <c r="F12" s="740"/>
      <c r="G12" s="740"/>
      <c r="H12" s="740"/>
      <c r="I12" s="740">
        <v>4</v>
      </c>
      <c r="J12" s="740">
        <v>4</v>
      </c>
      <c r="K12" s="739">
        <v>5</v>
      </c>
      <c r="L12" s="740"/>
      <c r="M12" s="740"/>
      <c r="N12" s="740"/>
      <c r="O12" s="740"/>
      <c r="P12" s="740"/>
      <c r="Q12" s="740"/>
      <c r="R12" s="740"/>
      <c r="S12" s="740"/>
      <c r="T12" s="740"/>
      <c r="U12" s="740"/>
      <c r="V12" s="740"/>
      <c r="W12" s="740"/>
      <c r="X12" s="740"/>
      <c r="Y12" s="740"/>
      <c r="AA12" s="810">
        <v>0</v>
      </c>
      <c r="AC12" s="775" t="s">
        <v>1113</v>
      </c>
      <c r="AD12" s="776" t="s">
        <v>134</v>
      </c>
      <c r="AE12" s="1283">
        <f t="shared" ref="AE12:AZ12" si="48">AE7+AE8</f>
        <v>84.796351690013452</v>
      </c>
      <c r="AF12" s="748">
        <f>AF7+AF8</f>
        <v>23.243183891170382</v>
      </c>
      <c r="AG12" s="748">
        <f t="shared" si="48"/>
        <v>31.362398435294924</v>
      </c>
      <c r="AH12" s="748">
        <f t="shared" si="48"/>
        <v>131.74488405553947</v>
      </c>
      <c r="AI12" s="748">
        <f t="shared" si="48"/>
        <v>44.940355079183213</v>
      </c>
      <c r="AJ12" s="748">
        <f t="shared" si="48"/>
        <v>72.712326166012488</v>
      </c>
      <c r="AK12" s="748">
        <f t="shared" si="48"/>
        <v>72.712326166012488</v>
      </c>
      <c r="AL12" s="748">
        <f t="shared" si="48"/>
        <v>56.190076652554403</v>
      </c>
      <c r="AM12" s="748">
        <f t="shared" si="48"/>
        <v>55.871139099393801</v>
      </c>
      <c r="AN12" s="748">
        <f t="shared" si="48"/>
        <v>54.762305294618052</v>
      </c>
      <c r="AO12" s="748">
        <f t="shared" si="48"/>
        <v>55.871139099393801</v>
      </c>
      <c r="AP12" s="748">
        <f t="shared" si="48"/>
        <v>57.445690095939085</v>
      </c>
      <c r="AQ12" s="748">
        <f t="shared" si="48"/>
        <v>140.16331117028565</v>
      </c>
      <c r="AR12" s="748">
        <f t="shared" si="48"/>
        <v>82.300864117937905</v>
      </c>
      <c r="AS12" s="748">
        <f t="shared" si="48"/>
        <v>77.069001215989758</v>
      </c>
      <c r="AT12" s="748">
        <f t="shared" si="48"/>
        <v>74.287419180038825</v>
      </c>
      <c r="AU12" s="748">
        <f t="shared" si="48"/>
        <v>85.321963336406569</v>
      </c>
      <c r="AV12" s="748">
        <f t="shared" si="48"/>
        <v>49.903713774462183</v>
      </c>
      <c r="AW12" s="748">
        <f t="shared" si="48"/>
        <v>50.389110601732185</v>
      </c>
      <c r="AX12" s="748">
        <f t="shared" si="48"/>
        <v>96.037213708420339</v>
      </c>
      <c r="AY12" s="784">
        <f t="shared" si="48"/>
        <v>189.56115938766851</v>
      </c>
      <c r="AZ12" s="784">
        <f t="shared" si="48"/>
        <v>1.2550391984165392</v>
      </c>
      <c r="BC12" s="755" t="s">
        <v>1100</v>
      </c>
      <c r="BD12" s="756" t="s">
        <v>1101</v>
      </c>
      <c r="BE12" s="751">
        <v>21</v>
      </c>
      <c r="BF12" s="751"/>
      <c r="BG12" s="751"/>
      <c r="BH12" s="751">
        <v>14</v>
      </c>
      <c r="BI12" s="760">
        <v>7</v>
      </c>
      <c r="BJ12" s="751">
        <v>7</v>
      </c>
      <c r="BK12" s="751"/>
      <c r="BL12" s="751"/>
      <c r="BM12" s="751">
        <v>7</v>
      </c>
      <c r="BN12" s="751"/>
      <c r="BO12" s="751"/>
      <c r="BP12" s="751"/>
      <c r="BQ12" s="751">
        <v>56</v>
      </c>
      <c r="BR12" s="751">
        <v>14</v>
      </c>
      <c r="BS12" s="751">
        <v>28</v>
      </c>
      <c r="BT12" s="751"/>
      <c r="BU12" s="751"/>
      <c r="BV12" s="751">
        <v>7</v>
      </c>
      <c r="BW12" s="751">
        <v>1</v>
      </c>
      <c r="BX12" s="751">
        <v>83</v>
      </c>
      <c r="BY12" s="751">
        <v>83</v>
      </c>
      <c r="BZ12" s="746"/>
      <c r="CB12" s="755" t="s">
        <v>1550</v>
      </c>
      <c r="CC12" s="756" t="s">
        <v>1197</v>
      </c>
      <c r="CD12" s="813">
        <f>CD11/CD4*CD6/24</f>
        <v>0.27083333333333331</v>
      </c>
      <c r="CE12" s="813" t="e">
        <f t="shared" ref="CE12:CX12" si="49">CE11/CE4*CE6/24</f>
        <v>#DIV/0!</v>
      </c>
      <c r="CF12" s="813" t="e">
        <f t="shared" si="49"/>
        <v>#DIV/0!</v>
      </c>
      <c r="CG12" s="813">
        <f t="shared" si="49"/>
        <v>0.19345238095238096</v>
      </c>
      <c r="CH12" s="813">
        <f t="shared" si="49"/>
        <v>0.29166666666666669</v>
      </c>
      <c r="CI12" s="813">
        <f t="shared" si="49"/>
        <v>0.52083333333333337</v>
      </c>
      <c r="CJ12" s="813">
        <f t="shared" si="49"/>
        <v>0</v>
      </c>
      <c r="CK12" s="813">
        <f t="shared" si="49"/>
        <v>0</v>
      </c>
      <c r="CL12" s="813">
        <f t="shared" si="49"/>
        <v>0.48611111111111116</v>
      </c>
      <c r="CM12" s="813">
        <f t="shared" si="49"/>
        <v>0.48611111111111116</v>
      </c>
      <c r="CN12" s="813">
        <f t="shared" si="49"/>
        <v>0.48611111111111116</v>
      </c>
      <c r="CO12" s="813">
        <f t="shared" si="49"/>
        <v>0.24305555555555558</v>
      </c>
      <c r="CP12" s="813">
        <f t="shared" si="49"/>
        <v>0.83333333333333337</v>
      </c>
      <c r="CQ12" s="813">
        <f t="shared" si="49"/>
        <v>1.6666666666666667</v>
      </c>
      <c r="CR12" s="813">
        <f t="shared" si="49"/>
        <v>0.72916666666666663</v>
      </c>
      <c r="CS12" s="813">
        <f t="shared" si="49"/>
        <v>0.83333333333333337</v>
      </c>
      <c r="CT12" s="813">
        <f t="shared" si="49"/>
        <v>0.83333333333333337</v>
      </c>
      <c r="CU12" s="813">
        <f t="shared" si="49"/>
        <v>0.17361111111111113</v>
      </c>
      <c r="CV12" s="813">
        <f t="shared" si="49"/>
        <v>0.14880952380952381</v>
      </c>
      <c r="CW12" s="813">
        <f t="shared" si="49"/>
        <v>0.13392857142857142</v>
      </c>
      <c r="CX12" s="813">
        <f t="shared" si="49"/>
        <v>0.41666666666666669</v>
      </c>
      <c r="DD12" s="746"/>
      <c r="DE12" s="746"/>
      <c r="DF12" s="746"/>
      <c r="DG12" s="746"/>
      <c r="DH12" s="746"/>
      <c r="DI12" s="746"/>
      <c r="DJ12" s="746"/>
      <c r="DK12" s="746"/>
      <c r="DL12" s="746"/>
      <c r="DM12" s="746"/>
      <c r="DN12" s="746"/>
      <c r="DO12" s="746"/>
      <c r="DP12" s="746"/>
      <c r="FW12" s="857" t="s">
        <v>1554</v>
      </c>
      <c r="FX12" s="858" t="s">
        <v>134</v>
      </c>
      <c r="FY12" s="1050">
        <f>SUM(FY5:FY10)</f>
        <v>23.393332714285716</v>
      </c>
      <c r="FZ12" s="1050">
        <f>FZ7+FZ9</f>
        <v>16.840681000000004</v>
      </c>
      <c r="GA12" s="1050">
        <f t="shared" ref="GA12:GT12" si="50">GA7+GA9</f>
        <v>17.14000166666667</v>
      </c>
      <c r="GB12" s="1050">
        <f t="shared" si="50"/>
        <v>18.049227714285717</v>
      </c>
      <c r="GC12" s="1050">
        <f t="shared" si="50"/>
        <v>36.687793600000006</v>
      </c>
      <c r="GD12" s="1050">
        <f t="shared" si="50"/>
        <v>19.376232653061223</v>
      </c>
      <c r="GE12" s="1050">
        <f t="shared" si="50"/>
        <v>19.376232653061223</v>
      </c>
      <c r="GF12" s="1050">
        <f t="shared" si="50"/>
        <v>27.66474208163266</v>
      </c>
      <c r="GG12" s="1050">
        <f t="shared" si="50"/>
        <v>38.118632971428575</v>
      </c>
      <c r="GH12" s="1050">
        <f t="shared" si="50"/>
        <v>38.600814190476186</v>
      </c>
      <c r="GI12" s="1050">
        <f t="shared" si="50"/>
        <v>38.118632971428575</v>
      </c>
      <c r="GJ12" s="1050">
        <f t="shared" si="50"/>
        <v>32.053795257142859</v>
      </c>
      <c r="GK12" s="1050">
        <f t="shared" si="50"/>
        <v>19.45499790476191</v>
      </c>
      <c r="GL12" s="1050">
        <f t="shared" si="50"/>
        <v>29.266601142857148</v>
      </c>
      <c r="GM12" s="1050">
        <f t="shared" si="50"/>
        <v>24.70892114285715</v>
      </c>
      <c r="GN12" s="1050">
        <f t="shared" si="50"/>
        <v>26.912621142857148</v>
      </c>
      <c r="GO12" s="1050">
        <f t="shared" si="50"/>
        <v>22.637905714285715</v>
      </c>
      <c r="GP12" s="1050">
        <f t="shared" si="50"/>
        <v>27.987811371428577</v>
      </c>
      <c r="GQ12" s="1050">
        <f t="shared" si="50"/>
        <v>25.916811942857141</v>
      </c>
      <c r="GR12" s="1050">
        <f t="shared" si="50"/>
        <v>16.263761142857142</v>
      </c>
      <c r="GS12" s="1050">
        <f t="shared" si="50"/>
        <v>20.568170285714288</v>
      </c>
      <c r="GT12" s="1050">
        <f t="shared" si="50"/>
        <v>2.6824220170940167</v>
      </c>
      <c r="GU12" s="754"/>
      <c r="GV12" s="857" t="str">
        <f>FW12</f>
        <v>Geräte + Beleuchtung</v>
      </c>
      <c r="GW12" s="858" t="s">
        <v>134</v>
      </c>
      <c r="GX12" s="881">
        <f>GX11-GX8</f>
        <v>0</v>
      </c>
      <c r="GY12" s="1050">
        <f>GY7+GY9</f>
        <v>21</v>
      </c>
      <c r="GZ12" s="1050">
        <f t="shared" ref="GZ12:HS12" si="51">GZ7+GZ9</f>
        <v>17.100000000000001</v>
      </c>
      <c r="HA12" s="1050">
        <f t="shared" si="51"/>
        <v>18</v>
      </c>
      <c r="HB12" s="1050">
        <f t="shared" si="51"/>
        <v>26.6</v>
      </c>
      <c r="HC12" s="1050">
        <f t="shared" si="51"/>
        <v>0</v>
      </c>
      <c r="HD12" s="1050">
        <f t="shared" si="51"/>
        <v>13.5</v>
      </c>
      <c r="HE12" s="1050">
        <f t="shared" si="51"/>
        <v>24.6</v>
      </c>
      <c r="HF12" s="1050">
        <f t="shared" si="51"/>
        <v>0</v>
      </c>
      <c r="HG12" s="1050">
        <f t="shared" si="51"/>
        <v>35.5</v>
      </c>
      <c r="HH12" s="1050">
        <f t="shared" si="51"/>
        <v>35.5</v>
      </c>
      <c r="HI12" s="1050">
        <f t="shared" si="51"/>
        <v>0</v>
      </c>
      <c r="HJ12" s="1050">
        <f t="shared" si="51"/>
        <v>15</v>
      </c>
      <c r="HK12" s="1050">
        <f t="shared" si="51"/>
        <v>20.5</v>
      </c>
      <c r="HL12" s="1050">
        <f t="shared" si="51"/>
        <v>8.3000000000000007</v>
      </c>
      <c r="HM12" s="1050">
        <f t="shared" si="51"/>
        <v>22</v>
      </c>
      <c r="HN12" s="1050">
        <f t="shared" si="51"/>
        <v>19.5</v>
      </c>
      <c r="HO12" s="1050">
        <f t="shared" si="51"/>
        <v>20.399999999999999</v>
      </c>
      <c r="HP12" s="1050">
        <f t="shared" si="51"/>
        <v>22.5</v>
      </c>
      <c r="HQ12" s="1050">
        <f t="shared" si="51"/>
        <v>15.8</v>
      </c>
      <c r="HR12" s="1050">
        <f t="shared" si="51"/>
        <v>17.399999999999999</v>
      </c>
      <c r="HS12" s="1050">
        <f t="shared" si="51"/>
        <v>3.7</v>
      </c>
    </row>
    <row r="13" spans="1:227" ht="15.75" customHeight="1">
      <c r="A13" s="1393">
        <f>Eingabedaten!A19</f>
        <v>4.03</v>
      </c>
      <c r="B13" s="738" t="str">
        <f>Eingabedaten!C19</f>
        <v>Bibliothek</v>
      </c>
      <c r="C13" s="724" t="s">
        <v>5</v>
      </c>
      <c r="D13" s="740"/>
      <c r="E13" s="740"/>
      <c r="F13" s="740"/>
      <c r="G13" s="740"/>
      <c r="H13" s="740"/>
      <c r="I13" s="740">
        <v>4</v>
      </c>
      <c r="J13" s="740">
        <v>4</v>
      </c>
      <c r="K13" s="739">
        <v>5</v>
      </c>
      <c r="L13" s="740"/>
      <c r="M13" s="740"/>
      <c r="N13" s="740"/>
      <c r="O13" s="740"/>
      <c r="P13" s="740"/>
      <c r="Q13" s="740"/>
      <c r="R13" s="740"/>
      <c r="S13" s="740"/>
      <c r="T13" s="740"/>
      <c r="U13" s="740"/>
      <c r="V13" s="740"/>
      <c r="W13" s="740"/>
      <c r="X13" s="740"/>
      <c r="Y13" s="740"/>
      <c r="AA13" s="810">
        <v>0</v>
      </c>
      <c r="AC13" s="775"/>
      <c r="AD13" s="776"/>
      <c r="AE13" s="1284"/>
      <c r="AF13" s="746"/>
      <c r="AG13" s="746"/>
      <c r="AH13" s="746"/>
      <c r="AI13" s="746"/>
      <c r="AJ13" s="746"/>
      <c r="AK13" s="746"/>
      <c r="AL13" s="746"/>
      <c r="AM13" s="746"/>
      <c r="AN13" s="746"/>
      <c r="AO13" s="746"/>
      <c r="AP13" s="746"/>
      <c r="AQ13" s="746"/>
      <c r="AR13" s="746"/>
      <c r="AS13" s="746"/>
      <c r="AT13" s="746"/>
      <c r="AU13" s="746"/>
      <c r="AV13" s="746"/>
      <c r="AW13" s="746"/>
      <c r="AX13" s="746"/>
      <c r="AY13" s="785"/>
      <c r="AZ13" s="785"/>
      <c r="CB13" s="755" t="s">
        <v>1551</v>
      </c>
      <c r="CC13" s="756" t="s">
        <v>1197</v>
      </c>
      <c r="CD13" s="767">
        <f>ROUND(AE21,1)</f>
        <v>0.6</v>
      </c>
      <c r="CE13" s="767"/>
      <c r="CF13" s="751"/>
      <c r="CG13" s="767">
        <f t="shared" ref="CG13:CX13" si="52">ROUND(AH21,1)</f>
        <v>0.4</v>
      </c>
      <c r="CH13" s="767">
        <f t="shared" si="52"/>
        <v>0.7</v>
      </c>
      <c r="CI13" s="813">
        <f t="shared" si="52"/>
        <v>0.9</v>
      </c>
      <c r="CJ13" s="766">
        <f t="shared" si="52"/>
        <v>0.9</v>
      </c>
      <c r="CK13" s="766">
        <f t="shared" si="52"/>
        <v>1</v>
      </c>
      <c r="CL13" s="766">
        <f t="shared" si="52"/>
        <v>1.1000000000000001</v>
      </c>
      <c r="CM13" s="813">
        <f t="shared" si="52"/>
        <v>1.1000000000000001</v>
      </c>
      <c r="CN13" s="813">
        <f t="shared" si="52"/>
        <v>1.1000000000000001</v>
      </c>
      <c r="CO13" s="813">
        <f t="shared" si="52"/>
        <v>0.8</v>
      </c>
      <c r="CP13" s="813">
        <f t="shared" si="52"/>
        <v>2</v>
      </c>
      <c r="CQ13" s="766">
        <f t="shared" si="52"/>
        <v>1.9</v>
      </c>
      <c r="CR13" s="767">
        <f t="shared" si="52"/>
        <v>1.2</v>
      </c>
      <c r="CS13" s="813">
        <f t="shared" si="52"/>
        <v>1.2</v>
      </c>
      <c r="CT13" s="813">
        <f t="shared" si="52"/>
        <v>1.2</v>
      </c>
      <c r="CU13" s="767">
        <f t="shared" si="52"/>
        <v>0.6</v>
      </c>
      <c r="CV13" s="766">
        <f t="shared" si="52"/>
        <v>0.6</v>
      </c>
      <c r="CW13" s="766">
        <f t="shared" si="52"/>
        <v>1.1000000000000001</v>
      </c>
      <c r="CX13" s="766">
        <f t="shared" si="52"/>
        <v>1.7</v>
      </c>
      <c r="CY13" s="793"/>
      <c r="DB13" s="755" t="s">
        <v>1128</v>
      </c>
      <c r="DC13" s="756" t="s">
        <v>209</v>
      </c>
      <c r="DD13" s="760">
        <v>60</v>
      </c>
      <c r="DE13" s="760"/>
      <c r="DF13" s="760"/>
      <c r="DG13" s="760"/>
      <c r="DH13" s="760">
        <v>45</v>
      </c>
      <c r="DI13" s="760">
        <v>21</v>
      </c>
      <c r="DJ13" s="760"/>
      <c r="DK13" s="760"/>
      <c r="DL13" s="751"/>
      <c r="DM13" s="760">
        <v>3.2</v>
      </c>
      <c r="DN13" s="760">
        <v>41</v>
      </c>
      <c r="DO13" s="751"/>
      <c r="DP13" s="760">
        <v>6.8</v>
      </c>
      <c r="DQ13" s="738"/>
      <c r="DR13" s="738"/>
      <c r="DS13" s="738"/>
      <c r="DT13" s="738"/>
      <c r="DU13" s="738"/>
      <c r="DV13" s="738"/>
      <c r="DW13" s="738"/>
      <c r="FW13" s="798"/>
      <c r="FX13" s="1118"/>
      <c r="FY13" s="798"/>
      <c r="FZ13" s="1119"/>
      <c r="GA13" s="798"/>
      <c r="GB13" s="798"/>
      <c r="GC13" s="798"/>
      <c r="GD13" s="798"/>
      <c r="GE13" s="798"/>
      <c r="GF13" s="798"/>
      <c r="GG13" s="798"/>
      <c r="GH13" s="798"/>
      <c r="GI13" s="798"/>
      <c r="GJ13" s="798"/>
      <c r="GK13" s="798"/>
      <c r="GL13" s="798"/>
      <c r="GM13" s="798"/>
      <c r="GN13" s="798"/>
      <c r="GO13" s="798"/>
      <c r="GP13" s="798"/>
      <c r="GQ13" s="798"/>
      <c r="GR13" s="798"/>
      <c r="GS13" s="798"/>
      <c r="GT13" s="798"/>
      <c r="GV13" s="775" t="s">
        <v>1299</v>
      </c>
      <c r="GW13" s="754" t="s">
        <v>134</v>
      </c>
      <c r="GX13" s="793">
        <f t="shared" ref="GX13:HS13" si="53">GX12-FY12</f>
        <v>-23.393332714285716</v>
      </c>
      <c r="GY13" s="793">
        <f>GY12-FZ12</f>
        <v>4.1593189999999964</v>
      </c>
      <c r="GZ13" s="793">
        <f t="shared" si="53"/>
        <v>-4.0001666666668712E-2</v>
      </c>
      <c r="HA13" s="793">
        <f t="shared" si="53"/>
        <v>-4.9227714285716928E-2</v>
      </c>
      <c r="HB13" s="793">
        <f t="shared" si="53"/>
        <v>-10.087793600000005</v>
      </c>
      <c r="HC13" s="793">
        <f t="shared" si="53"/>
        <v>-19.376232653061223</v>
      </c>
      <c r="HD13" s="793">
        <f t="shared" si="53"/>
        <v>-5.8762326530612228</v>
      </c>
      <c r="HE13" s="793">
        <f t="shared" si="53"/>
        <v>-3.0647420816326587</v>
      </c>
      <c r="HF13" s="793">
        <f t="shared" si="53"/>
        <v>-38.118632971428575</v>
      </c>
      <c r="HG13" s="793">
        <f t="shared" si="53"/>
        <v>-3.1008141904761857</v>
      </c>
      <c r="HH13" s="793">
        <f t="shared" si="53"/>
        <v>-2.6186329714285748</v>
      </c>
      <c r="HI13" s="793">
        <f t="shared" si="53"/>
        <v>-32.053795257142859</v>
      </c>
      <c r="HJ13" s="793">
        <f t="shared" si="53"/>
        <v>-4.4549979047619104</v>
      </c>
      <c r="HK13" s="793">
        <f t="shared" si="53"/>
        <v>-8.766601142857148</v>
      </c>
      <c r="HL13" s="793">
        <f t="shared" si="53"/>
        <v>-16.40892114285715</v>
      </c>
      <c r="HM13" s="793">
        <f t="shared" si="53"/>
        <v>-4.912621142857148</v>
      </c>
      <c r="HN13" s="793">
        <f t="shared" si="53"/>
        <v>-3.137905714285715</v>
      </c>
      <c r="HO13" s="793">
        <f t="shared" si="53"/>
        <v>-7.5878113714285789</v>
      </c>
      <c r="HP13" s="793">
        <f t="shared" si="53"/>
        <v>-3.4168119428571408</v>
      </c>
      <c r="HQ13" s="793">
        <f t="shared" si="53"/>
        <v>-0.4637611428571411</v>
      </c>
      <c r="HR13" s="793">
        <f t="shared" si="53"/>
        <v>-3.1681702857142895</v>
      </c>
      <c r="HS13" s="793">
        <f t="shared" si="53"/>
        <v>1.0175779829059834</v>
      </c>
    </row>
    <row r="14" spans="1:227" ht="15.75" customHeight="1">
      <c r="A14" s="1393">
        <f>Eingabedaten!A20</f>
        <v>4.04</v>
      </c>
      <c r="B14" s="738" t="str">
        <f>Eingabedaten!C20</f>
        <v>Hörsaal</v>
      </c>
      <c r="C14" s="724" t="s">
        <v>5</v>
      </c>
      <c r="D14" s="740"/>
      <c r="E14" s="740"/>
      <c r="F14" s="740"/>
      <c r="G14" s="740"/>
      <c r="H14" s="740"/>
      <c r="I14" s="740"/>
      <c r="J14" s="740"/>
      <c r="K14" s="739">
        <v>15</v>
      </c>
      <c r="L14" s="740"/>
      <c r="M14" s="740"/>
      <c r="N14" s="740"/>
      <c r="O14" s="740"/>
      <c r="P14" s="740"/>
      <c r="Q14" s="740"/>
      <c r="R14" s="740"/>
      <c r="S14" s="740"/>
      <c r="T14" s="740"/>
      <c r="U14" s="740"/>
      <c r="V14" s="740"/>
      <c r="W14" s="740"/>
      <c r="X14" s="740"/>
      <c r="Y14" s="740"/>
      <c r="AA14" s="770">
        <f>1/Eingabedaten!AP20</f>
        <v>0.33333333333333331</v>
      </c>
      <c r="AC14" s="775" t="s">
        <v>1060</v>
      </c>
      <c r="AD14" s="776" t="s">
        <v>3</v>
      </c>
      <c r="AE14" s="1285">
        <f>SUMPRODUCT(Eingabedaten!$AC$9:$AC$53,'Fläche-Best'!D$3:D$47)/100</f>
        <v>20.55</v>
      </c>
      <c r="AF14" s="786">
        <f>SUMPRODUCT(Eingabedaten!$AC$9:$AC$53,'Fläche-Best'!E$3:E$47)/100</f>
        <v>20.55</v>
      </c>
      <c r="AG14" s="786">
        <f>SUMPRODUCT(Eingabedaten!$AC$9:$AC$53,'Fläche-Best'!F$3:F$47)/100</f>
        <v>20.7</v>
      </c>
      <c r="AH14" s="786">
        <f>SUMPRODUCT(Eingabedaten!$AC$9:$AC$53,'Fläche-Best'!G$3:G$47)/100</f>
        <v>20.7</v>
      </c>
      <c r="AI14" s="786">
        <f>SUMPRODUCT(Eingabedaten!$AC$9:$AC$53,'Fläche-Best'!H$3:H$47)/100</f>
        <v>20.440000000000001</v>
      </c>
      <c r="AJ14" s="786">
        <f>SUMPRODUCT(Eingabedaten!$AC$9:$AC$53,'Fläche-Best'!I$3:I$47)/100</f>
        <v>20.55</v>
      </c>
      <c r="AK14" s="786">
        <f>SUMPRODUCT(Eingabedaten!$AC$9:$AC$53,'Fläche-Best'!J$3:J$47)/100</f>
        <v>20.55</v>
      </c>
      <c r="AL14" s="786">
        <f>SUMPRODUCT(Eingabedaten!$AC$9:$AC$53,'Fläche-Best'!K$3:K$47)/100</f>
        <v>20.38</v>
      </c>
      <c r="AM14" s="786">
        <f>SUMPRODUCT(Eingabedaten!$AC$9:$AC$53,'Fläche-Best'!L$3:L$47)/100</f>
        <v>20.04</v>
      </c>
      <c r="AN14" s="786">
        <f>SUMPRODUCT(Eingabedaten!$AC$9:$AC$53,'Fläche-Best'!M$3:M$47)/100</f>
        <v>19.68</v>
      </c>
      <c r="AO14" s="786">
        <f>SUMPRODUCT(Eingabedaten!$AC$9:$AC$53,'Fläche-Best'!N$3:N$47)/100</f>
        <v>20.04</v>
      </c>
      <c r="AP14" s="786">
        <f>SUMPRODUCT(Eingabedaten!$AC$9:$AC$53,'Fläche-Best'!O$3:O$47)/100</f>
        <v>20.04</v>
      </c>
      <c r="AQ14" s="786">
        <f>SUMPRODUCT(Eingabedaten!$AC$9:$AC$53,'Fläche-Best'!P$3:P$47)/100</f>
        <v>20.18</v>
      </c>
      <c r="AR14" s="786">
        <f>SUMPRODUCT(Eingabedaten!$AC$9:$AC$53,'Fläche-Best'!Q$3:Q$47)/100</f>
        <v>20.7</v>
      </c>
      <c r="AS14" s="786">
        <f>SUMPRODUCT(Eingabedaten!$AC$9:$AC$53,'Fläche-Best'!R$3:R$47)/100</f>
        <v>21.05</v>
      </c>
      <c r="AT14" s="786">
        <f>SUMPRODUCT(Eingabedaten!$AC$9:$AC$53,'Fläche-Best'!S$3:S$47)/100</f>
        <v>21.05</v>
      </c>
      <c r="AU14" s="786">
        <f>SUMPRODUCT(Eingabedaten!$AC$9:$AC$53,'Fläche-Best'!T$3:T$47)/100</f>
        <v>21.1</v>
      </c>
      <c r="AV14" s="786">
        <f>SUMPRODUCT(Eingabedaten!$AC$9:$AC$53,'Fläche-Best'!U$3:U$47)/100</f>
        <v>20.28</v>
      </c>
      <c r="AW14" s="786">
        <f>SUMPRODUCT(Eingabedaten!$AC$9:$AC$53,'Fläche-Best'!V$3:V$47)/100</f>
        <v>18.63</v>
      </c>
      <c r="AX14" s="786">
        <f>SUMPRODUCT(Eingabedaten!$AC$9:$AC$53,'Fläche-Best'!W$3:W$47)/100</f>
        <v>18.899999999999999</v>
      </c>
      <c r="AY14" s="787">
        <f>SUMPRODUCT(Eingabedaten!$AC$9:$AC$53,'Fläche-Best'!X$3:X$47)/100</f>
        <v>22.5</v>
      </c>
      <c r="AZ14" s="787">
        <f>SUMPRODUCT(Eingabedaten!$AC$9:$AC$53,'Fläche-Best'!Y$3:Y$47)/100</f>
        <v>1.95</v>
      </c>
      <c r="CB14" s="755" t="s">
        <v>1552</v>
      </c>
      <c r="CC14" s="756" t="s">
        <v>1101</v>
      </c>
      <c r="CD14" s="761">
        <f>ROUND(AE8/0.67,0)</f>
        <v>17</v>
      </c>
      <c r="CE14" s="761"/>
      <c r="CF14" s="751"/>
      <c r="CG14" s="759">
        <f t="shared" ref="CG14:CX14" si="54">ROUND(AH8/0.67,0)</f>
        <v>15</v>
      </c>
      <c r="CH14" s="758">
        <f t="shared" si="54"/>
        <v>2</v>
      </c>
      <c r="CI14" s="758">
        <f t="shared" si="54"/>
        <v>2</v>
      </c>
      <c r="CJ14" s="758">
        <f t="shared" si="54"/>
        <v>2</v>
      </c>
      <c r="CK14" s="758">
        <f t="shared" si="54"/>
        <v>2</v>
      </c>
      <c r="CL14" s="758">
        <f t="shared" si="54"/>
        <v>2</v>
      </c>
      <c r="CM14" s="751">
        <f t="shared" si="54"/>
        <v>2</v>
      </c>
      <c r="CN14" s="751">
        <f t="shared" si="54"/>
        <v>2</v>
      </c>
      <c r="CO14" s="751">
        <f t="shared" si="54"/>
        <v>1</v>
      </c>
      <c r="CP14" s="759">
        <f t="shared" si="54"/>
        <v>65</v>
      </c>
      <c r="CQ14" s="758">
        <f t="shared" si="54"/>
        <v>5</v>
      </c>
      <c r="CR14" s="759">
        <f t="shared" si="54"/>
        <v>33</v>
      </c>
      <c r="CS14" s="759">
        <f t="shared" si="54"/>
        <v>28</v>
      </c>
      <c r="CT14" s="759">
        <f t="shared" si="54"/>
        <v>41</v>
      </c>
      <c r="CU14" s="758">
        <f t="shared" si="54"/>
        <v>2</v>
      </c>
      <c r="CV14" s="751">
        <f t="shared" si="54"/>
        <v>1</v>
      </c>
      <c r="CW14" s="758">
        <f t="shared" si="54"/>
        <v>45</v>
      </c>
      <c r="CX14" s="759">
        <f t="shared" si="54"/>
        <v>104</v>
      </c>
      <c r="CY14" s="793"/>
      <c r="DB14" s="755" t="s">
        <v>1129</v>
      </c>
      <c r="DC14" s="756" t="s">
        <v>209</v>
      </c>
      <c r="DD14" s="793">
        <f>AE29</f>
        <v>51.470588235294116</v>
      </c>
      <c r="DE14" s="793"/>
      <c r="DF14" s="793"/>
      <c r="DG14" s="793"/>
      <c r="DH14" s="794">
        <f>CH4</f>
        <v>25</v>
      </c>
      <c r="DI14" s="794">
        <f>CI4</f>
        <v>10</v>
      </c>
      <c r="DJ14" s="794"/>
      <c r="DK14" s="794"/>
      <c r="DL14" s="724"/>
      <c r="DM14" s="793">
        <f>AN29</f>
        <v>15.909090909090908</v>
      </c>
      <c r="DN14" s="793">
        <f>AO29</f>
        <v>15.909090909090908</v>
      </c>
      <c r="DO14" s="724"/>
      <c r="DP14" s="793">
        <f>AQ29</f>
        <v>4.5691906005221927</v>
      </c>
      <c r="DQ14" s="738"/>
      <c r="DR14" s="738"/>
      <c r="DS14" s="738"/>
      <c r="DT14" s="738"/>
      <c r="DU14" s="738"/>
      <c r="DV14" s="738"/>
      <c r="DW14" s="738"/>
      <c r="FT14" s="723">
        <f>AY7/4+AY5</f>
        <v>40.593062989774268</v>
      </c>
      <c r="FU14" s="723">
        <f>AZ7/4+AZ5</f>
        <v>0.3871317996041348</v>
      </c>
      <c r="GV14" s="735"/>
      <c r="GW14" s="802" t="s">
        <v>5</v>
      </c>
      <c r="GX14" s="724">
        <f t="shared" ref="GX14" si="55">D12</f>
        <v>0</v>
      </c>
      <c r="GY14" s="724">
        <f>GY13/GY12%</f>
        <v>19.806280952380938</v>
      </c>
      <c r="GZ14" s="724">
        <f t="shared" ref="GZ14:HS14" si="56">GZ13/GZ12%</f>
        <v>-0.23392787524367667</v>
      </c>
      <c r="HA14" s="724">
        <f t="shared" si="56"/>
        <v>-0.27348730158731627</v>
      </c>
      <c r="HB14" s="724">
        <f t="shared" si="56"/>
        <v>-37.924036090225577</v>
      </c>
      <c r="HC14" s="724" t="e">
        <f t="shared" si="56"/>
        <v>#DIV/0!</v>
      </c>
      <c r="HD14" s="724">
        <f t="shared" si="56"/>
        <v>-43.527649281934984</v>
      </c>
      <c r="HE14" s="724">
        <f t="shared" si="56"/>
        <v>-12.458301144848205</v>
      </c>
      <c r="HF14" s="724" t="e">
        <f t="shared" si="56"/>
        <v>#DIV/0!</v>
      </c>
      <c r="HG14" s="724">
        <f t="shared" si="56"/>
        <v>-8.7346878604962974</v>
      </c>
      <c r="HH14" s="724">
        <f t="shared" si="56"/>
        <v>-7.3764309054326054</v>
      </c>
      <c r="HI14" s="724" t="e">
        <f t="shared" si="56"/>
        <v>#DIV/0!</v>
      </c>
      <c r="HJ14" s="724">
        <f t="shared" si="56"/>
        <v>-29.699986031746072</v>
      </c>
      <c r="HK14" s="724">
        <f t="shared" si="56"/>
        <v>-42.763908013937311</v>
      </c>
      <c r="HL14" s="724">
        <f t="shared" si="56"/>
        <v>-197.69784509466444</v>
      </c>
      <c r="HM14" s="724">
        <f t="shared" si="56"/>
        <v>-22.330096103896128</v>
      </c>
      <c r="HN14" s="724">
        <f t="shared" si="56"/>
        <v>-16.091824175824179</v>
      </c>
      <c r="HO14" s="724">
        <f t="shared" si="56"/>
        <v>-37.195153781512644</v>
      </c>
      <c r="HP14" s="724">
        <f t="shared" si="56"/>
        <v>-15.185830857142848</v>
      </c>
      <c r="HQ14" s="724">
        <f t="shared" si="56"/>
        <v>-2.9351971066907665</v>
      </c>
      <c r="HR14" s="724">
        <f t="shared" si="56"/>
        <v>-18.207875205254538</v>
      </c>
      <c r="HS14" s="724">
        <f t="shared" si="56"/>
        <v>27.502107646107657</v>
      </c>
    </row>
    <row r="15" spans="1:227" ht="15.75" customHeight="1">
      <c r="A15" s="1393">
        <f>Eingabedaten!A21</f>
        <v>4.05</v>
      </c>
      <c r="B15" s="738" t="str">
        <f>Eingabedaten!C21</f>
        <v>Schulfachraum (Spezialraum)</v>
      </c>
      <c r="C15" s="724" t="s">
        <v>5</v>
      </c>
      <c r="D15" s="740"/>
      <c r="E15" s="740"/>
      <c r="F15" s="740"/>
      <c r="G15" s="740"/>
      <c r="H15" s="740"/>
      <c r="I15" s="740">
        <v>5</v>
      </c>
      <c r="J15" s="740">
        <v>5</v>
      </c>
      <c r="K15" s="739">
        <v>5</v>
      </c>
      <c r="L15" s="740"/>
      <c r="M15" s="740"/>
      <c r="N15" s="740"/>
      <c r="O15" s="740"/>
      <c r="P15" s="740"/>
      <c r="Q15" s="740"/>
      <c r="R15" s="740"/>
      <c r="S15" s="740"/>
      <c r="T15" s="740"/>
      <c r="U15" s="740"/>
      <c r="V15" s="740"/>
      <c r="W15" s="740"/>
      <c r="X15" s="740"/>
      <c r="Y15" s="740"/>
      <c r="AA15" s="770">
        <f>1/Eingabedaten!AP21</f>
        <v>0.2</v>
      </c>
      <c r="AC15" s="775"/>
      <c r="AD15" s="776"/>
      <c r="AE15" s="1284"/>
      <c r="AF15" s="746"/>
      <c r="AG15" s="746"/>
      <c r="AH15" s="746"/>
      <c r="AI15" s="746"/>
      <c r="AJ15" s="746"/>
      <c r="AK15" s="746"/>
      <c r="AL15" s="746"/>
      <c r="AM15" s="746"/>
      <c r="AN15" s="746"/>
      <c r="AO15" s="746"/>
      <c r="AP15" s="746"/>
      <c r="AQ15" s="746"/>
      <c r="AR15" s="746"/>
      <c r="AS15" s="746"/>
      <c r="AT15" s="746"/>
      <c r="AU15" s="746"/>
      <c r="AV15" s="746"/>
      <c r="AW15" s="746"/>
      <c r="AX15" s="746"/>
      <c r="AY15" s="785"/>
      <c r="AZ15" s="785"/>
      <c r="BA15" s="744"/>
      <c r="BC15" s="723" t="s">
        <v>557</v>
      </c>
      <c r="CB15" s="755" t="s">
        <v>1560</v>
      </c>
      <c r="CC15" s="756" t="s">
        <v>1101</v>
      </c>
      <c r="CD15" s="761">
        <f>ROUND(AE8,0)</f>
        <v>12</v>
      </c>
      <c r="CE15" s="761"/>
      <c r="CF15" s="751"/>
      <c r="CG15" s="759">
        <f t="shared" ref="CG15:CX15" si="57">ROUND(AH8,0)</f>
        <v>10</v>
      </c>
      <c r="CH15" s="758">
        <f t="shared" si="57"/>
        <v>1</v>
      </c>
      <c r="CI15" s="758">
        <f t="shared" si="57"/>
        <v>2</v>
      </c>
      <c r="CJ15" s="758">
        <f t="shared" si="57"/>
        <v>2</v>
      </c>
      <c r="CK15" s="758">
        <f t="shared" si="57"/>
        <v>1</v>
      </c>
      <c r="CL15" s="758">
        <f t="shared" si="57"/>
        <v>1</v>
      </c>
      <c r="CM15" s="751">
        <f t="shared" si="57"/>
        <v>1</v>
      </c>
      <c r="CN15" s="751">
        <f t="shared" si="57"/>
        <v>1</v>
      </c>
      <c r="CO15" s="751">
        <f t="shared" si="57"/>
        <v>1</v>
      </c>
      <c r="CP15" s="759">
        <f t="shared" si="57"/>
        <v>44</v>
      </c>
      <c r="CQ15" s="758">
        <f t="shared" si="57"/>
        <v>4</v>
      </c>
      <c r="CR15" s="759">
        <f t="shared" si="57"/>
        <v>22</v>
      </c>
      <c r="CS15" s="759">
        <f t="shared" si="57"/>
        <v>19</v>
      </c>
      <c r="CT15" s="759">
        <f t="shared" si="57"/>
        <v>27</v>
      </c>
      <c r="CU15" s="758">
        <f t="shared" si="57"/>
        <v>1</v>
      </c>
      <c r="CV15" s="751">
        <f t="shared" si="57"/>
        <v>1</v>
      </c>
      <c r="CW15" s="758">
        <f t="shared" si="57"/>
        <v>30</v>
      </c>
      <c r="CX15" s="759">
        <f t="shared" si="57"/>
        <v>70</v>
      </c>
      <c r="FT15" s="723">
        <f>AY8/0.67/3</f>
        <v>34.733912153518133</v>
      </c>
      <c r="FU15" s="723">
        <f>AZ8/0.67/3</f>
        <v>0</v>
      </c>
    </row>
    <row r="16" spans="1:227" ht="15.75" customHeight="1">
      <c r="A16" s="1393">
        <f>Eingabedaten!A22</f>
        <v>5.01</v>
      </c>
      <c r="B16" s="738" t="str">
        <f>Eingabedaten!C22</f>
        <v>Lebensmittelverkauf</v>
      </c>
      <c r="C16" s="724" t="s">
        <v>5</v>
      </c>
      <c r="D16" s="740"/>
      <c r="E16" s="740"/>
      <c r="F16" s="740"/>
      <c r="G16" s="740"/>
      <c r="H16" s="740"/>
      <c r="I16" s="740"/>
      <c r="J16" s="740"/>
      <c r="K16" s="740"/>
      <c r="L16" s="740"/>
      <c r="M16" s="739">
        <v>60</v>
      </c>
      <c r="N16" s="740"/>
      <c r="O16" s="740"/>
      <c r="P16" s="740"/>
      <c r="Q16" s="740"/>
      <c r="R16" s="740"/>
      <c r="S16" s="740"/>
      <c r="T16" s="740"/>
      <c r="U16" s="740"/>
      <c r="V16" s="740"/>
      <c r="W16" s="740"/>
      <c r="X16" s="740"/>
      <c r="Y16" s="740"/>
      <c r="AA16" s="770">
        <f>1/Eingabedaten!AP22</f>
        <v>0.125</v>
      </c>
      <c r="AC16" s="775"/>
      <c r="AD16" s="779"/>
      <c r="AE16" s="1286"/>
      <c r="AF16" s="788"/>
      <c r="AG16" s="788"/>
      <c r="AH16" s="788"/>
      <c r="AI16" s="788"/>
      <c r="AJ16" s="788"/>
      <c r="AK16" s="788"/>
      <c r="AL16" s="788"/>
      <c r="AM16" s="788"/>
      <c r="AN16" s="788"/>
      <c r="AO16" s="788"/>
      <c r="AP16" s="788"/>
      <c r="AQ16" s="788"/>
      <c r="AR16" s="788"/>
      <c r="AS16" s="788"/>
      <c r="AT16" s="788"/>
      <c r="AU16" s="788"/>
      <c r="AV16" s="788"/>
      <c r="AW16" s="788"/>
      <c r="AX16" s="788"/>
      <c r="AY16" s="789"/>
      <c r="AZ16" s="789"/>
      <c r="BA16" s="744"/>
      <c r="BC16" s="723" t="s">
        <v>420</v>
      </c>
      <c r="BD16" s="723" t="s">
        <v>24</v>
      </c>
      <c r="BE16" s="723">
        <f>BE8*BE9/8.76+BE5/BE4*BE6/24</f>
        <v>3.112442922374429</v>
      </c>
      <c r="BF16" s="723" t="e">
        <f t="shared" ref="BF16:BY16" si="58">BF8*BF9/8.76+BF5/BF4*BF6/24</f>
        <v>#DIV/0!</v>
      </c>
      <c r="BG16" s="723" t="e">
        <f t="shared" si="58"/>
        <v>#DIV/0!</v>
      </c>
      <c r="BH16" s="723">
        <f t="shared" si="58"/>
        <v>2.3413242009132418</v>
      </c>
      <c r="BI16" s="723">
        <f t="shared" si="58"/>
        <v>3.2602739726027399</v>
      </c>
      <c r="BJ16" s="723">
        <f t="shared" si="58"/>
        <v>2.2968036529680367</v>
      </c>
      <c r="BK16" s="723" t="e">
        <f t="shared" si="58"/>
        <v>#DIV/0!</v>
      </c>
      <c r="BL16" s="723" t="e">
        <f t="shared" si="58"/>
        <v>#DIV/0!</v>
      </c>
      <c r="BM16" s="723">
        <f t="shared" si="58"/>
        <v>4.5136986301369868</v>
      </c>
      <c r="BN16" s="723" t="e">
        <f t="shared" si="58"/>
        <v>#DIV/0!</v>
      </c>
      <c r="BO16" s="723" t="e">
        <f t="shared" si="58"/>
        <v>#DIV/0!</v>
      </c>
      <c r="BP16" s="723" t="e">
        <f t="shared" si="58"/>
        <v>#DIV/0!</v>
      </c>
      <c r="BQ16" s="723">
        <f t="shared" si="58"/>
        <v>5.1369863013698627</v>
      </c>
      <c r="BR16" s="723">
        <f t="shared" si="58"/>
        <v>3.5525114155251143</v>
      </c>
      <c r="BS16" s="723">
        <f t="shared" si="58"/>
        <v>4.0152207001522067</v>
      </c>
      <c r="BT16" s="723" t="e">
        <f t="shared" si="58"/>
        <v>#DIV/0!</v>
      </c>
      <c r="BU16" s="723" t="e">
        <f t="shared" si="58"/>
        <v>#DIV/0!</v>
      </c>
      <c r="BV16" s="723">
        <f t="shared" si="58"/>
        <v>2.579908675799087</v>
      </c>
      <c r="BW16" s="723">
        <f t="shared" si="58"/>
        <v>0.86643835616438358</v>
      </c>
      <c r="BX16" s="723">
        <f t="shared" si="58"/>
        <v>1.8664383561643836</v>
      </c>
      <c r="BY16" s="743">
        <f t="shared" si="58"/>
        <v>4.974885844748858</v>
      </c>
      <c r="CB16" s="792" t="s">
        <v>1133</v>
      </c>
      <c r="CC16" s="756" t="s">
        <v>1101</v>
      </c>
      <c r="CD16" s="793">
        <f>CD5*CD6*365/1000/CD4</f>
        <v>6.6429999999999998</v>
      </c>
      <c r="CE16" s="793"/>
      <c r="CF16" s="793" t="e">
        <f>CF5*CF6*365/1000/CF4</f>
        <v>#DIV/0!</v>
      </c>
      <c r="CG16" s="793">
        <f>CG5*CG6*365/1000/CG4</f>
        <v>4.7450000000000001</v>
      </c>
      <c r="CH16" s="793">
        <f>CH5*CH6*365/1000/CH4</f>
        <v>7.1539999999999999</v>
      </c>
      <c r="CI16" s="793">
        <f>CI5*CI6*365/1000/CI4</f>
        <v>12.775</v>
      </c>
      <c r="CJ16" s="793"/>
      <c r="CK16" s="793"/>
      <c r="CL16" s="793">
        <f t="shared" ref="CL16:CX16" si="59">CL5*CL6*365/1000/CL4</f>
        <v>11.923333333333334</v>
      </c>
      <c r="CM16" s="793">
        <f t="shared" si="59"/>
        <v>11.923333333333334</v>
      </c>
      <c r="CN16" s="793">
        <f t="shared" si="59"/>
        <v>11.923333333333334</v>
      </c>
      <c r="CO16" s="793">
        <f t="shared" si="59"/>
        <v>5.9616666666666669</v>
      </c>
      <c r="CP16" s="793">
        <f t="shared" si="59"/>
        <v>20.440000000000001</v>
      </c>
      <c r="CQ16" s="793">
        <f t="shared" si="59"/>
        <v>40.880000000000003</v>
      </c>
      <c r="CR16" s="793">
        <f t="shared" si="59"/>
        <v>17.884999999999998</v>
      </c>
      <c r="CS16" s="793">
        <f t="shared" si="59"/>
        <v>20.440000000000001</v>
      </c>
      <c r="CT16" s="793">
        <f t="shared" si="59"/>
        <v>20.440000000000001</v>
      </c>
      <c r="CU16" s="793">
        <f t="shared" si="59"/>
        <v>4.2583333333333337</v>
      </c>
      <c r="CV16" s="793">
        <f t="shared" si="59"/>
        <v>3.65</v>
      </c>
      <c r="CW16" s="793">
        <f t="shared" si="59"/>
        <v>3.2850000000000001</v>
      </c>
      <c r="CX16" s="793">
        <f t="shared" si="59"/>
        <v>10.220000000000001</v>
      </c>
      <c r="FT16" s="741">
        <f>AY3</f>
        <v>8.6424000000000021</v>
      </c>
      <c r="FU16" s="741">
        <f>AZ3</f>
        <v>1.5335999999999999</v>
      </c>
      <c r="FV16" s="741"/>
    </row>
    <row r="17" spans="1:181" ht="15.75" customHeight="1">
      <c r="A17" s="1393">
        <f>Eingabedaten!A23</f>
        <v>5.0199999999999996</v>
      </c>
      <c r="B17" s="738" t="str">
        <f>Eingabedaten!C23</f>
        <v>Fachgeschäft</v>
      </c>
      <c r="C17" s="724" t="s">
        <v>5</v>
      </c>
      <c r="D17" s="740"/>
      <c r="E17" s="740"/>
      <c r="F17" s="740"/>
      <c r="G17" s="740"/>
      <c r="H17" s="740"/>
      <c r="I17" s="740"/>
      <c r="J17" s="740"/>
      <c r="K17" s="740"/>
      <c r="L17" s="739">
        <v>60</v>
      </c>
      <c r="M17" s="740"/>
      <c r="N17" s="739">
        <v>60</v>
      </c>
      <c r="O17" s="740"/>
      <c r="P17" s="740"/>
      <c r="Q17" s="740"/>
      <c r="R17" s="740"/>
      <c r="S17" s="740"/>
      <c r="T17" s="740"/>
      <c r="U17" s="740"/>
      <c r="V17" s="740"/>
      <c r="W17" s="740"/>
      <c r="X17" s="740"/>
      <c r="Y17" s="740"/>
      <c r="AA17" s="770">
        <f>1/Eingabedaten!AP23</f>
        <v>0.125</v>
      </c>
      <c r="AC17" s="775" t="s">
        <v>1135</v>
      </c>
      <c r="AD17" s="776" t="s">
        <v>1131</v>
      </c>
      <c r="AE17" s="1283">
        <f>AE8*AE29</f>
        <v>592.7600000000001</v>
      </c>
      <c r="AF17" s="748">
        <f>AF8*AF29</f>
        <v>592.7600000000001</v>
      </c>
      <c r="AG17" s="748">
        <f t="shared" ref="AG17:AZ17" si="60">AG8*AG29</f>
        <v>435.21330805687211</v>
      </c>
      <c r="AH17" s="748">
        <f t="shared" si="60"/>
        <v>677.43999999999983</v>
      </c>
      <c r="AI17" s="748">
        <f t="shared" si="60"/>
        <v>33.160147630922694</v>
      </c>
      <c r="AJ17" s="748">
        <f t="shared" si="60"/>
        <v>16.449652567814038</v>
      </c>
      <c r="AK17" s="748">
        <f>AK8*AK29</f>
        <v>16.449652567814038</v>
      </c>
      <c r="AL17" s="748">
        <f>AL8*AL29</f>
        <v>15.129969932964151</v>
      </c>
      <c r="AM17" s="748">
        <f t="shared" si="60"/>
        <v>22.446000000000005</v>
      </c>
      <c r="AN17" s="748">
        <f t="shared" si="60"/>
        <v>22.446000000000005</v>
      </c>
      <c r="AO17" s="748">
        <f t="shared" si="60"/>
        <v>22.446000000000005</v>
      </c>
      <c r="AP17" s="748">
        <f t="shared" si="60"/>
        <v>22.977127868852463</v>
      </c>
      <c r="AQ17" s="748">
        <f t="shared" si="60"/>
        <v>199.55210443864232</v>
      </c>
      <c r="AR17" s="748">
        <f t="shared" si="60"/>
        <v>22.040000000000003</v>
      </c>
      <c r="AS17" s="748">
        <f t="shared" si="60"/>
        <v>406.95689679715315</v>
      </c>
      <c r="AT17" s="748">
        <f t="shared" si="60"/>
        <v>324.04093203883491</v>
      </c>
      <c r="AU17" s="748">
        <f t="shared" si="60"/>
        <v>534.85905617977539</v>
      </c>
      <c r="AV17" s="748">
        <f t="shared" si="60"/>
        <v>36.331200000000003</v>
      </c>
      <c r="AW17" s="748">
        <f t="shared" si="60"/>
        <v>36.331200000000003</v>
      </c>
      <c r="AX17" s="748">
        <f t="shared" si="60"/>
        <v>1269.6012493150683</v>
      </c>
      <c r="AY17" s="784">
        <f t="shared" si="60"/>
        <v>1372.7700674157309</v>
      </c>
      <c r="AZ17" s="784">
        <f t="shared" si="60"/>
        <v>0</v>
      </c>
      <c r="BA17" s="744"/>
      <c r="BC17" s="723" t="s">
        <v>1539</v>
      </c>
      <c r="BD17" s="723" t="s">
        <v>24</v>
      </c>
      <c r="BE17" s="723">
        <f t="shared" ref="BE17:BS17" si="61">CD8*CD9/8.76+CD5/CD4*CD6/24</f>
        <v>3.1213470319634702</v>
      </c>
      <c r="BF17" s="723" t="e">
        <f t="shared" si="61"/>
        <v>#DIV/0!</v>
      </c>
      <c r="BG17" s="723" t="e">
        <f t="shared" si="61"/>
        <v>#DIV/0!</v>
      </c>
      <c r="BH17" s="723">
        <f t="shared" si="61"/>
        <v>2.4937214611872149</v>
      </c>
      <c r="BI17" s="723">
        <f t="shared" si="61"/>
        <v>4.9262557077625573</v>
      </c>
      <c r="BJ17" s="723">
        <f t="shared" si="61"/>
        <v>3.5587899543378994</v>
      </c>
      <c r="BK17" s="723">
        <f t="shared" si="61"/>
        <v>2.1004566210045663</v>
      </c>
      <c r="BL17" s="723">
        <f t="shared" si="61"/>
        <v>3.2762557077625569</v>
      </c>
      <c r="BM17" s="723">
        <f t="shared" si="61"/>
        <v>5.5163622526636233</v>
      </c>
      <c r="BN17" s="723">
        <f t="shared" si="61"/>
        <v>5.5163622526636233</v>
      </c>
      <c r="BO17" s="723">
        <f t="shared" si="61"/>
        <v>5.5163622526636233</v>
      </c>
      <c r="BP17" s="723">
        <f t="shared" si="61"/>
        <v>4.2764459665144594</v>
      </c>
      <c r="BQ17" s="723">
        <f t="shared" si="61"/>
        <v>4.525114155251142</v>
      </c>
      <c r="BR17" s="723">
        <f t="shared" si="61"/>
        <v>8.2283105022831045</v>
      </c>
      <c r="BS17" s="723">
        <f t="shared" si="61"/>
        <v>4.7585616438356162</v>
      </c>
      <c r="BT17" s="723">
        <f>CU8*CU9/8.76+CU5/CU4*CU6/24</f>
        <v>3.6025494672754945</v>
      </c>
      <c r="BU17" s="723">
        <f>CV8*CV9/8.76+CV5/CV4*CV6/24</f>
        <v>3.2933789954337898</v>
      </c>
      <c r="BV17" s="723">
        <f>CU8*CU9/8.76+CU5/CU4*CU6/24</f>
        <v>3.6025494672754945</v>
      </c>
      <c r="BW17" s="723">
        <f>CV8*CV9/8.76+CV5/CV4*CV6/24</f>
        <v>3.2933789954337898</v>
      </c>
      <c r="BX17" s="723">
        <f>CW8*CW9/8.76+CW5/CW4*CW6/24</f>
        <v>2.2928082191780823</v>
      </c>
      <c r="BY17" s="743">
        <f>CX8*CX9/8.76+CX5/CX4*CX6/24</f>
        <v>3.3356164383561646</v>
      </c>
      <c r="CB17" s="728" t="s">
        <v>1201</v>
      </c>
      <c r="CC17" s="756" t="s">
        <v>1101</v>
      </c>
      <c r="CD17" s="793">
        <f>CD16-CD7</f>
        <v>-0.35700000000000021</v>
      </c>
      <c r="CE17" s="793"/>
      <c r="CF17" s="738"/>
      <c r="CG17" s="793">
        <f>CG16-CG7</f>
        <v>-0.25499999999999989</v>
      </c>
      <c r="CH17" s="793">
        <f>CH16-CH7</f>
        <v>1.1539999999999999</v>
      </c>
      <c r="CI17" s="793">
        <f>CI16-CI7</f>
        <v>-0.22499999999999964</v>
      </c>
      <c r="CJ17" s="793"/>
      <c r="CK17" s="793"/>
      <c r="CL17" s="793">
        <f t="shared" ref="CL17:CX17" si="62">CL16-CL7</f>
        <v>0.92333333333333378</v>
      </c>
      <c r="CM17" s="793">
        <f t="shared" si="62"/>
        <v>0.92333333333333378</v>
      </c>
      <c r="CN17" s="793">
        <f t="shared" si="62"/>
        <v>0.92333333333333378</v>
      </c>
      <c r="CO17" s="793">
        <f t="shared" si="62"/>
        <v>-3.8333333333333108E-2</v>
      </c>
      <c r="CP17" s="793">
        <f t="shared" si="62"/>
        <v>-3.5599999999999987</v>
      </c>
      <c r="CQ17" s="793">
        <f t="shared" si="62"/>
        <v>8.8800000000000026</v>
      </c>
      <c r="CR17" s="793">
        <f t="shared" si="62"/>
        <v>-1.115000000000002</v>
      </c>
      <c r="CS17" s="793">
        <f t="shared" si="62"/>
        <v>1.4400000000000013</v>
      </c>
      <c r="CT17" s="793">
        <f t="shared" si="62"/>
        <v>-0.55999999999999872</v>
      </c>
      <c r="CU17" s="793">
        <f t="shared" si="62"/>
        <v>0.25833333333333375</v>
      </c>
      <c r="CV17" s="793">
        <f t="shared" si="62"/>
        <v>0.64999999999999991</v>
      </c>
      <c r="CW17" s="793">
        <f t="shared" si="62"/>
        <v>0.28500000000000014</v>
      </c>
      <c r="CX17" s="793">
        <f t="shared" si="62"/>
        <v>0.22000000000000064</v>
      </c>
      <c r="DB17" s="723" t="s">
        <v>1134</v>
      </c>
      <c r="FT17" s="741">
        <f>AY4</f>
        <v>11.925770285714288</v>
      </c>
      <c r="FU17" s="741">
        <f>AZ4</f>
        <v>1.1488220170940169</v>
      </c>
      <c r="FV17" s="741"/>
    </row>
    <row r="18" spans="1:181">
      <c r="A18" s="1393">
        <f>Eingabedaten!A24</f>
        <v>5.03</v>
      </c>
      <c r="B18" s="738" t="str">
        <f>Eingabedaten!C24</f>
        <v>Verkauf Möbel, Bau, Garten</v>
      </c>
      <c r="C18" s="724" t="s">
        <v>5</v>
      </c>
      <c r="D18" s="740"/>
      <c r="E18" s="740"/>
      <c r="F18" s="740"/>
      <c r="G18" s="740"/>
      <c r="H18" s="740"/>
      <c r="I18" s="740"/>
      <c r="J18" s="740"/>
      <c r="K18" s="740"/>
      <c r="L18" s="740"/>
      <c r="M18" s="740"/>
      <c r="N18" s="740"/>
      <c r="O18" s="739">
        <v>60</v>
      </c>
      <c r="P18" s="740"/>
      <c r="Q18" s="740"/>
      <c r="R18" s="740"/>
      <c r="S18" s="740"/>
      <c r="T18" s="740"/>
      <c r="U18" s="740"/>
      <c r="V18" s="740"/>
      <c r="W18" s="740"/>
      <c r="X18" s="740"/>
      <c r="Y18" s="740"/>
      <c r="AA18" s="770">
        <f>1/Eingabedaten!AP24</f>
        <v>6.6666666666666666E-2</v>
      </c>
      <c r="AC18" s="775"/>
      <c r="AD18" s="779"/>
      <c r="AE18" s="1286"/>
      <c r="AF18" s="788"/>
      <c r="AG18" s="788"/>
      <c r="AH18" s="788"/>
      <c r="AI18" s="788"/>
      <c r="AJ18" s="788"/>
      <c r="AK18" s="788"/>
      <c r="AL18" s="788"/>
      <c r="AM18" s="788"/>
      <c r="AN18" s="788"/>
      <c r="AO18" s="788"/>
      <c r="AP18" s="788"/>
      <c r="AQ18" s="788"/>
      <c r="AR18" s="788"/>
      <c r="AS18" s="788"/>
      <c r="AT18" s="788"/>
      <c r="AU18" s="788"/>
      <c r="AV18" s="788"/>
      <c r="AW18" s="788"/>
      <c r="AX18" s="788"/>
      <c r="AY18" s="789"/>
      <c r="AZ18" s="789"/>
      <c r="FT18" s="723">
        <f>AY11</f>
        <v>6.88</v>
      </c>
      <c r="FU18" s="723">
        <f>AZ11</f>
        <v>4.2160000000000002</v>
      </c>
      <c r="FW18" s="741"/>
      <c r="FX18" s="741"/>
      <c r="FY18" s="741"/>
    </row>
    <row r="19" spans="1:181">
      <c r="A19" s="1393">
        <f>Eingabedaten!A25</f>
        <v>6.01</v>
      </c>
      <c r="B19" s="738" t="str">
        <f>Eingabedaten!C25</f>
        <v>Restaurant</v>
      </c>
      <c r="C19" s="724" t="s">
        <v>5</v>
      </c>
      <c r="D19" s="740"/>
      <c r="E19" s="740"/>
      <c r="F19" s="740"/>
      <c r="G19" s="740"/>
      <c r="H19" s="740"/>
      <c r="I19" s="740"/>
      <c r="J19" s="740"/>
      <c r="K19" s="740"/>
      <c r="L19" s="740"/>
      <c r="M19" s="740"/>
      <c r="N19" s="740"/>
      <c r="O19" s="740"/>
      <c r="P19" s="739">
        <v>50</v>
      </c>
      <c r="Q19" s="740"/>
      <c r="R19" s="740"/>
      <c r="S19" s="740"/>
      <c r="T19" s="740"/>
      <c r="U19" s="740"/>
      <c r="V19" s="740"/>
      <c r="W19" s="740"/>
      <c r="X19" s="740"/>
      <c r="Y19" s="740"/>
      <c r="AA19" s="770">
        <f>1/Eingabedaten!AP25</f>
        <v>0.5</v>
      </c>
      <c r="AC19" s="775"/>
      <c r="AD19" s="776"/>
      <c r="AE19" s="1284"/>
      <c r="AF19" s="746"/>
      <c r="AG19" s="746"/>
      <c r="AH19" s="746"/>
      <c r="AI19" s="746"/>
      <c r="AJ19" s="746"/>
      <c r="AK19" s="746"/>
      <c r="AL19" s="746"/>
      <c r="AM19" s="746"/>
      <c r="AN19" s="746"/>
      <c r="AO19" s="746"/>
      <c r="AP19" s="746"/>
      <c r="AQ19" s="746"/>
      <c r="AR19" s="746"/>
      <c r="AS19" s="746"/>
      <c r="AT19" s="746"/>
      <c r="AU19" s="746"/>
      <c r="AV19" s="746"/>
      <c r="AW19" s="746"/>
      <c r="AX19" s="746"/>
      <c r="AY19" s="785"/>
      <c r="AZ19" s="785"/>
      <c r="FT19" s="742">
        <f>SUM(FT14:FT18)</f>
        <v>102.7751454290067</v>
      </c>
      <c r="FU19" s="742">
        <f>SUM(FU14:FU18)</f>
        <v>7.2855538166981519</v>
      </c>
      <c r="FV19" s="742"/>
      <c r="FW19" s="741"/>
      <c r="FX19" s="741"/>
      <c r="FY19" s="741"/>
    </row>
    <row r="20" spans="1:181">
      <c r="A20" s="1393">
        <f>Eingabedaten!A26</f>
        <v>6.02</v>
      </c>
      <c r="B20" s="738" t="str">
        <f>Eingabedaten!C26</f>
        <v>Selbstbedienungsrestaurant</v>
      </c>
      <c r="C20" s="724" t="s">
        <v>5</v>
      </c>
      <c r="D20" s="740"/>
      <c r="E20" s="740"/>
      <c r="F20" s="740"/>
      <c r="G20" s="740"/>
      <c r="H20" s="740"/>
      <c r="I20" s="740"/>
      <c r="J20" s="740"/>
      <c r="K20" s="740"/>
      <c r="L20" s="740"/>
      <c r="M20" s="740"/>
      <c r="N20" s="740"/>
      <c r="O20" s="740"/>
      <c r="P20" s="740"/>
      <c r="Q20" s="740"/>
      <c r="R20" s="740"/>
      <c r="S20" s="740"/>
      <c r="T20" s="740"/>
      <c r="U20" s="740"/>
      <c r="V20" s="740"/>
      <c r="W20" s="740"/>
      <c r="X20" s="740"/>
      <c r="Y20" s="740"/>
      <c r="AA20" s="770">
        <f>1/Eingabedaten!AP26</f>
        <v>0.5</v>
      </c>
      <c r="AC20" s="775" t="s">
        <v>1545</v>
      </c>
      <c r="AD20" s="776" t="s">
        <v>1061</v>
      </c>
      <c r="AE20" s="1287">
        <f>SUMPRODUCT('Resultate Standard'!$AD$6:$AD$50,'Fläche-Best'!D$3:D$47)/100*$AD$1</f>
        <v>0.62342857142857155</v>
      </c>
      <c r="AF20" s="790"/>
      <c r="AG20" s="790"/>
      <c r="AH20" s="790">
        <f>SUMPRODUCT('Resultate Standard'!$AD$6:$AD$50,'Fläche-Best'!G$3:G$47)/100*$AD$1</f>
        <v>0.45760000000000001</v>
      </c>
      <c r="AI20" s="790">
        <f>SUMPRODUCT('Resultate Standard'!$AD$6:$AD$50,'Fläche-Best'!H$3:H$47)/100*$AD$1</f>
        <v>1.9781904761904763</v>
      </c>
      <c r="AJ20" s="790">
        <f>SUMPRODUCT('Resultate Standard'!$AD$6:$AD$50,'Fläche-Best'!I$3:I$47)/100*$AD$1</f>
        <v>3.6104571428571428</v>
      </c>
      <c r="AK20" s="790">
        <f>SUMPRODUCT('Resultate Standard'!$AD$6:$AD$50,'Fläche-Best'!J$3:J$47)/100*$AD$1</f>
        <v>3.6104571428571428</v>
      </c>
      <c r="AL20" s="790">
        <f>SUMPRODUCT('Resultate Standard'!$AD$6:$AD$50,'Fläche-Best'!K$3:K$47)/100*$AD$1</f>
        <v>3.6350476190476186</v>
      </c>
      <c r="AM20" s="790">
        <f>SUMPRODUCT('Resultate Standard'!$AD$6:$AD$50,'Fläche-Best'!L$3:L$47)/100*$AD$1</f>
        <v>2.1428571428571432</v>
      </c>
      <c r="AN20" s="790">
        <f>SUMPRODUCT('Resultate Standard'!$AD$6:$AD$50,'Fläche-Best'!M$3:M$47)/100*$AD$1</f>
        <v>2.1348571428571432</v>
      </c>
      <c r="AO20" s="790">
        <f>SUMPRODUCT('Resultate Standard'!$AD$6:$AD$50,'Fläche-Best'!N$3:N$47)/100*$AD$1</f>
        <v>2.1428571428571432</v>
      </c>
      <c r="AP20" s="790">
        <f>SUMPRODUCT('Resultate Standard'!$AD$6:$AD$50,'Fläche-Best'!O$3:O$47)/100*$AD$1</f>
        <v>1.330857142857143</v>
      </c>
      <c r="AQ20" s="790">
        <f>SUMPRODUCT('Resultate Standard'!$AD$6:$AD$50,'Fläche-Best'!P$3:P$47)/100*$AD$1</f>
        <v>6.968190476190478</v>
      </c>
      <c r="AR20" s="790">
        <f>SUMPRODUCT('Resultate Standard'!$AD$6:$AD$50,'Fläche-Best'!Q$3:Q$47)/100*$AD$1</f>
        <v>5.1628571428571437</v>
      </c>
      <c r="AS20" s="790">
        <f>SUMPRODUCT('Resultate Standard'!$AD$6:$AD$50,'Fläche-Best'!R$3:R$47)/100*$AD$1</f>
        <v>2.0121904761904763</v>
      </c>
      <c r="AT20" s="790">
        <f>SUMPRODUCT('Resultate Standard'!$AD$6:$AD$50,'Fläche-Best'!S$3:S$47)/100*$AD$1</f>
        <v>2.1668571428571433</v>
      </c>
      <c r="AU20" s="790">
        <f>SUMPRODUCT('Resultate Standard'!$AD$6:$AD$50,'Fläche-Best'!T$3:T$47)/100*$AD$1</f>
        <v>1.914857142857143</v>
      </c>
      <c r="AV20" s="790">
        <f>SUMPRODUCT('Resultate Standard'!$AD$6:$AD$50,'Fläche-Best'!U$3:U$47)/100*$AD$1</f>
        <v>1.313968253968254</v>
      </c>
      <c r="AW20" s="790">
        <f>SUMPRODUCT('Resultate Standard'!$AD$6:$AD$50,'Fläche-Best'!V$3:V$47)/100*$AD$1</f>
        <v>0.91952380952380963</v>
      </c>
      <c r="AX20" s="790">
        <f>SUMPRODUCT('Resultate Standard'!$AD$6:$AD$50,'Fläche-Best'!W$3:W$47)/100*$AD$1</f>
        <v>3.1</v>
      </c>
      <c r="AY20" s="791">
        <f>SUMPRODUCT('Resultate Standard'!$AD$6:$AD$50,'Fläche-Best'!X$3:X$47)/100*$AD$1</f>
        <v>3.4428571428571431</v>
      </c>
      <c r="AZ20" s="785"/>
      <c r="FT20" s="723">
        <f>FT19-FT9</f>
        <v>102.7751454290067</v>
      </c>
      <c r="FU20" s="723">
        <f>FU19-FU9</f>
        <v>7.2855538166981519</v>
      </c>
    </row>
    <row r="21" spans="1:181">
      <c r="A21" s="1393">
        <f>Eingabedaten!A27</f>
        <v>6.03</v>
      </c>
      <c r="B21" s="738" t="str">
        <f>Eingabedaten!C27</f>
        <v>Küche zu Restaurant</v>
      </c>
      <c r="C21" s="724" t="s">
        <v>5</v>
      </c>
      <c r="D21" s="740"/>
      <c r="E21" s="740"/>
      <c r="F21" s="740"/>
      <c r="G21" s="740"/>
      <c r="H21" s="740"/>
      <c r="I21" s="740"/>
      <c r="J21" s="740"/>
      <c r="K21" s="740"/>
      <c r="L21" s="740"/>
      <c r="M21" s="740"/>
      <c r="N21" s="740"/>
      <c r="O21" s="740"/>
      <c r="P21" s="740">
        <v>10</v>
      </c>
      <c r="Q21" s="740"/>
      <c r="R21" s="740"/>
      <c r="S21" s="740"/>
      <c r="T21" s="740"/>
      <c r="U21" s="740"/>
      <c r="V21" s="740"/>
      <c r="W21" s="740"/>
      <c r="X21" s="740"/>
      <c r="Y21" s="740"/>
      <c r="AA21" s="770">
        <f>1/Eingabedaten!AP27</f>
        <v>0.2</v>
      </c>
      <c r="AC21" s="775" t="s">
        <v>1559</v>
      </c>
      <c r="AD21" s="776" t="s">
        <v>1061</v>
      </c>
      <c r="AE21" s="1287">
        <f>SUMPRODUCT('Resultate Standard'!$AD$6:$AD$50,'Fläche-Best'!D$3:D$47,'Resultate Standard'!$AE$6:$AE$50)/100/8760*$AD$1</f>
        <v>0.57351989562948469</v>
      </c>
      <c r="AF21" s="790">
        <f>SUMPRODUCT('Resultate Standard'!$AD$6:$AD$50,'Fläche-Best'!E$3:E$47,'Resultate Standard'!$AE$6:$AE$50)/100/8760*$AD$1</f>
        <v>0.57351989562948469</v>
      </c>
      <c r="AG21" s="790">
        <f>SUMPRODUCT('Resultate Standard'!$AD$6:$AD$50,'Fläche-Best'!F$3:F$47,'Resultate Standard'!$AE$6:$AE$50)/100/8760*$AD$1</f>
        <v>1.0918199608610566</v>
      </c>
      <c r="AH21" s="790">
        <f>SUMPRODUCT('Resultate Standard'!$AD$6:$AD$50,'Fläche-Best'!G$3:G$47,'Resultate Standard'!$AE$6:$AE$50)/100/8760*$AD$1</f>
        <v>0.43778264840182646</v>
      </c>
      <c r="AI21" s="790">
        <f>SUMPRODUCT('Resultate Standard'!$AD$6:$AD$50,'Fläche-Best'!H$3:H$47,'Resultate Standard'!$AE$6:$AE$50)/100/8760*$AD$1</f>
        <v>0.67670732767993047</v>
      </c>
      <c r="AJ21" s="790">
        <f>SUMPRODUCT('Resultate Standard'!$AD$6:$AD$50,'Fläche-Best'!I$3:I$47,'Resultate Standard'!$AE$6:$AE$50)/100/8760*$AD$1</f>
        <v>0.91802224396607957</v>
      </c>
      <c r="AK21" s="790">
        <f>SUMPRODUCT('Resultate Standard'!$AD$6:$AD$50,'Fläche-Best'!J$3:J$47,'Resultate Standard'!$AE$6:$AE$50)/100/8760*$AD$1</f>
        <v>0.91802224396607957</v>
      </c>
      <c r="AL21" s="790">
        <f>SUMPRODUCT('Resultate Standard'!$AD$6:$AD$50,'Fläche-Best'!K$3:K$47,'Resultate Standard'!$AE$6:$AE$50)/100/8760*$AD$1</f>
        <v>1.0468948684496631</v>
      </c>
      <c r="AM21" s="790">
        <f>SUMPRODUCT('Resultate Standard'!$AD$6:$AD$50,'Fläche-Best'!L$3:L$47,'Resultate Standard'!$AE$6:$AE$50)/100/8760*$AD$1</f>
        <v>1.1072035225048922</v>
      </c>
      <c r="AN21" s="790">
        <f>SUMPRODUCT('Resultate Standard'!$AD$6:$AD$50,'Fläche-Best'!M$3:M$47,'Resultate Standard'!$AE$6:$AE$50)/100/8760*$AD$1</f>
        <v>1.1031669928245271</v>
      </c>
      <c r="AO21" s="790">
        <f>SUMPRODUCT('Resultate Standard'!$AD$6:$AD$50,'Fläche-Best'!N$3:N$47,'Resultate Standard'!$AE$6:$AE$50)/100/8760*$AD$1</f>
        <v>1.1072035225048922</v>
      </c>
      <c r="AP21" s="790">
        <f>SUMPRODUCT('Resultate Standard'!$AD$6:$AD$50,'Fläche-Best'!O$3:O$47,'Resultate Standard'!$AE$6:$AE$50)/100/8760*$AD$1</f>
        <v>0.7950893672537509</v>
      </c>
      <c r="AQ21" s="790">
        <f>SUMPRODUCT('Resultate Standard'!$AD$6:$AD$50,'Fläche-Best'!P$3:P$47,'Resultate Standard'!$AE$6:$AE$50)/100/8760*$AD$1</f>
        <v>1.9812720156555774</v>
      </c>
      <c r="AR21" s="790">
        <f>SUMPRODUCT('Resultate Standard'!$AD$6:$AD$50,'Fläche-Best'!Q$3:Q$47,'Resultate Standard'!$AE$6:$AE$50)/100/8760*$AD$1</f>
        <v>1.9270863231137203</v>
      </c>
      <c r="AS21" s="790">
        <f>SUMPRODUCT('Resultate Standard'!$AD$6:$AD$50,'Fläche-Best'!R$3:R$47,'Resultate Standard'!$AE$6:$AE$50)/100/8760*$AD$1</f>
        <v>1.1850163078930203</v>
      </c>
      <c r="AT21" s="790">
        <f>SUMPRODUCT('Resultate Standard'!$AD$6:$AD$50,'Fläche-Best'!S$3:S$47,'Resultate Standard'!$AE$6:$AE$50)/100/8760*$AD$1</f>
        <v>1.2128245270711027</v>
      </c>
      <c r="AU21" s="790">
        <f>SUMPRODUCT('Resultate Standard'!$AD$6:$AD$50,'Fläche-Best'!T$3:T$47,'Resultate Standard'!$AE$6:$AE$50)/100/8760*$AD$1</f>
        <v>1.2202948467058057</v>
      </c>
      <c r="AV21" s="790">
        <f>SUMPRODUCT('Resultate Standard'!$AD$6:$AD$50,'Fläche-Best'!U$3:U$47,'Resultate Standard'!$AE$6:$AE$50)/100/8760*$AD$1</f>
        <v>0.61190722620859617</v>
      </c>
      <c r="AW21" s="790">
        <f>SUMPRODUCT('Resultate Standard'!$AD$6:$AD$50,'Fläche-Best'!V$3:V$47,'Resultate Standard'!$AE$6:$AE$50)/100/8760*$AD$1</f>
        <v>0.58085192433137656</v>
      </c>
      <c r="AX21" s="790">
        <f>SUMPRODUCT('Resultate Standard'!$AD$6:$AD$50,'Fläche-Best'!W$3:W$47,'Resultate Standard'!$AE$6:$AE$50)/100/8760*$AD$1</f>
        <v>1.1171232876712329</v>
      </c>
      <c r="AY21" s="791">
        <f>SUMPRODUCT('Resultate Standard'!$AD$6:$AD$50,'Fläche-Best'!X$3:X$47,'Resultate Standard'!$AE$6:$AE$50)/100/8760*$AD$1</f>
        <v>1.6889432485322897</v>
      </c>
      <c r="AZ21" s="787">
        <f>SUMPRODUCT('Resultate Standard'!$AD$6:$AD$50,'Fläche-Best'!Y$3:Y$47,'Resultate Standard'!$AG$6:$AG$50)/100/8760*$AD$1</f>
        <v>2.0182648401826486E-2</v>
      </c>
      <c r="EX21" s="742"/>
      <c r="FT21" s="723" t="e">
        <f>FT20/FT9%</f>
        <v>#DIV/0!</v>
      </c>
      <c r="FU21" s="723" t="e">
        <f>FU20/FU9%</f>
        <v>#DIV/0!</v>
      </c>
      <c r="FW21" s="742"/>
      <c r="FX21" s="742"/>
      <c r="FY21" s="742"/>
    </row>
    <row r="22" spans="1:181">
      <c r="A22" s="1393">
        <f>Eingabedaten!A28</f>
        <v>6.04</v>
      </c>
      <c r="B22" s="738" t="str">
        <f>Eingabedaten!C28</f>
        <v>Küche zu Selbstbedienungsrest.</v>
      </c>
      <c r="C22" s="724" t="s">
        <v>5</v>
      </c>
      <c r="D22" s="740"/>
      <c r="E22" s="740"/>
      <c r="F22" s="740"/>
      <c r="G22" s="740"/>
      <c r="H22" s="740"/>
      <c r="I22" s="740"/>
      <c r="J22" s="740"/>
      <c r="K22" s="740"/>
      <c r="L22" s="740"/>
      <c r="M22" s="740"/>
      <c r="N22" s="740"/>
      <c r="O22" s="740"/>
      <c r="P22" s="740"/>
      <c r="Q22" s="740"/>
      <c r="R22" s="740"/>
      <c r="S22" s="740"/>
      <c r="T22" s="740"/>
      <c r="U22" s="740"/>
      <c r="V22" s="740"/>
      <c r="W22" s="740"/>
      <c r="X22" s="740"/>
      <c r="Y22" s="740"/>
      <c r="AA22" s="770">
        <f>1/Eingabedaten!AP28</f>
        <v>0.2</v>
      </c>
      <c r="AC22" s="775" t="s">
        <v>1558</v>
      </c>
      <c r="AD22" s="776" t="s">
        <v>1061</v>
      </c>
      <c r="AE22" s="1287">
        <f>SUMPRODUCT('Resultate Standard'!$AZ$6:$AZ$50,'Fläche-Best'!D$3:D$47)/100</f>
        <v>0.33369952707110245</v>
      </c>
      <c r="AF22" s="790">
        <f>SUMPRODUCT('Resultate Standard'!$AZ$6:$AZ$50,'Fläche-Best'!E$3:E$47)/100</f>
        <v>0.33369952707110245</v>
      </c>
      <c r="AG22" s="790">
        <f>SUMPRODUCT('Resultate Standard'!$AZ$6:$AZ$50,'Fläche-Best'!F$3:F$47)/100</f>
        <v>0.59541964285714288</v>
      </c>
      <c r="AH22" s="790">
        <f>SUMPRODUCT('Resultate Standard'!$AZ$6:$AZ$50,'Fläche-Best'!G$3:G$47)/100</f>
        <v>0.28375981735159816</v>
      </c>
      <c r="AI22" s="790">
        <f>SUMPRODUCT('Resultate Standard'!$AZ$6:$AZ$50,'Fläche-Best'!H$3:H$47)/100</f>
        <v>0.39216955724070457</v>
      </c>
      <c r="AJ22" s="790">
        <f>SUMPRODUCT('Resultate Standard'!$AZ$6:$AZ$50,'Fläche-Best'!I$3:I$47)/100</f>
        <v>0.49311969993476856</v>
      </c>
      <c r="AK22" s="790">
        <f>SUMPRODUCT('Resultate Standard'!$AZ$6:$AZ$50,'Fläche-Best'!J$3:J$47)/100</f>
        <v>0.49311969993476856</v>
      </c>
      <c r="AL22" s="790">
        <f>SUMPRODUCT('Resultate Standard'!$AZ$6:$AZ$50,'Fläche-Best'!K$3:K$47)/100</f>
        <v>0.53602407452707124</v>
      </c>
      <c r="AM22" s="790">
        <f>SUMPRODUCT('Resultate Standard'!$AZ$6:$AZ$50,'Fläche-Best'!L$3:L$47)/100</f>
        <v>0.55222072733202887</v>
      </c>
      <c r="AN22" s="790">
        <f>SUMPRODUCT('Resultate Standard'!$AZ$6:$AZ$50,'Fläche-Best'!M$3:M$47)/100</f>
        <v>0.54568876386170917</v>
      </c>
      <c r="AO22" s="790">
        <f>SUMPRODUCT('Resultate Standard'!$AZ$6:$AZ$50,'Fläche-Best'!N$3:N$47)/100</f>
        <v>0.55222072733202887</v>
      </c>
      <c r="AP22" s="790">
        <f>SUMPRODUCT('Resultate Standard'!$AZ$6:$AZ$50,'Fläche-Best'!O$3:O$47)/100</f>
        <v>0.43101696020874114</v>
      </c>
      <c r="AQ22" s="790">
        <f>SUMPRODUCT('Resultate Standard'!$AZ$6:$AZ$50,'Fläche-Best'!P$3:P$47)/100</f>
        <v>0.88654521363339867</v>
      </c>
      <c r="AR22" s="790">
        <f>SUMPRODUCT('Resultate Standard'!$AZ$6:$AZ$50,'Fläche-Best'!Q$3:Q$47)/100</f>
        <v>0.86647729125896911</v>
      </c>
      <c r="AS22" s="790">
        <f>SUMPRODUCT('Resultate Standard'!$AZ$6:$AZ$50,'Fläche-Best'!R$3:R$47)/100</f>
        <v>0.57733374103065893</v>
      </c>
      <c r="AT22" s="790">
        <f>SUMPRODUCT('Resultate Standard'!$AZ$6:$AZ$50,'Fläche-Best'!S$3:S$47)/100</f>
        <v>0.58899213144161788</v>
      </c>
      <c r="AU22" s="790">
        <f>SUMPRODUCT('Resultate Standard'!$AZ$6:$AZ$50,'Fläche-Best'!T$3:T$47)/100</f>
        <v>0.58868562459230278</v>
      </c>
      <c r="AV22" s="790">
        <f>SUMPRODUCT('Resultate Standard'!$AZ$6:$AZ$50,'Fläche-Best'!U$3:U$47)/100</f>
        <v>0.37024945640356605</v>
      </c>
      <c r="AW22" s="790">
        <f>SUMPRODUCT('Resultate Standard'!$AZ$6:$AZ$50,'Fläche-Best'!V$3:V$47)/100</f>
        <v>0.3499607387475539</v>
      </c>
      <c r="AX22" s="790">
        <f>SUMPRODUCT('Resultate Standard'!$AZ$6:$AZ$50,'Fläche-Best'!W$3:W$47)/100</f>
        <v>1.2967862442922373</v>
      </c>
      <c r="AY22" s="791">
        <f>SUMPRODUCT('Resultate Standard'!$AZ$6:$AZ$50,'Fläche-Best'!X$3:X$47)/100</f>
        <v>0.77235000815394661</v>
      </c>
      <c r="AZ22" s="791">
        <f>SUMPRODUCT('Resultate Standard'!$AZ$6:$AZ$50,'Fläche-Best'!Y$3:Y$47)/100</f>
        <v>2.6478881278538813E-2</v>
      </c>
    </row>
    <row r="23" spans="1:181">
      <c r="A23" s="1393">
        <f>Eingabedaten!A29</f>
        <v>7.01</v>
      </c>
      <c r="B23" s="738" t="str">
        <f>Eingabedaten!C29</f>
        <v>Vorstellungsraum</v>
      </c>
      <c r="C23" s="724" t="s">
        <v>5</v>
      </c>
      <c r="D23" s="740"/>
      <c r="E23" s="740"/>
      <c r="F23" s="740"/>
      <c r="G23" s="740"/>
      <c r="H23" s="740"/>
      <c r="I23" s="740"/>
      <c r="J23" s="740"/>
      <c r="K23" s="740"/>
      <c r="L23" s="740"/>
      <c r="M23" s="740"/>
      <c r="N23" s="740"/>
      <c r="O23" s="740"/>
      <c r="P23" s="740"/>
      <c r="Q23" s="740">
        <v>20</v>
      </c>
      <c r="R23" s="740"/>
      <c r="S23" s="740"/>
      <c r="T23" s="740"/>
      <c r="U23" s="740"/>
      <c r="V23" s="740"/>
      <c r="W23" s="740"/>
      <c r="X23" s="740"/>
      <c r="Y23" s="740"/>
      <c r="AA23" s="770">
        <f>1/Eingabedaten!AP29</f>
        <v>0.33333333333333331</v>
      </c>
      <c r="AC23" s="777" t="s">
        <v>1152</v>
      </c>
      <c r="AD23" s="776"/>
      <c r="AE23" s="1284">
        <f>AE22/AE21</f>
        <v>0.58184472694681344</v>
      </c>
      <c r="AF23" s="746">
        <f>AF22/AF21</f>
        <v>0.58184472694681344</v>
      </c>
      <c r="AG23" s="746">
        <f t="shared" ref="AG23:AZ23" si="63">AG22/AG21</f>
        <v>0.54534599494551206</v>
      </c>
      <c r="AH23" s="746">
        <f t="shared" si="63"/>
        <v>0.64817511243877413</v>
      </c>
      <c r="AI23" s="746">
        <f t="shared" si="63"/>
        <v>0.5795260982103525</v>
      </c>
      <c r="AJ23" s="746">
        <f t="shared" si="63"/>
        <v>0.53715441338803671</v>
      </c>
      <c r="AK23" s="746">
        <f>AK22/AK21</f>
        <v>0.53715441338803671</v>
      </c>
      <c r="AL23" s="746">
        <f>AL22/AL21</f>
        <v>0.51201327915654449</v>
      </c>
      <c r="AM23" s="746">
        <f t="shared" si="63"/>
        <v>0.49875268286963825</v>
      </c>
      <c r="AN23" s="746">
        <f t="shared" si="63"/>
        <v>0.49465653650907226</v>
      </c>
      <c r="AO23" s="746">
        <f t="shared" si="63"/>
        <v>0.49875268286963825</v>
      </c>
      <c r="AP23" s="746">
        <f t="shared" si="63"/>
        <v>0.54209876016513636</v>
      </c>
      <c r="AQ23" s="790">
        <f t="shared" si="63"/>
        <v>0.44746264350786397</v>
      </c>
      <c r="AR23" s="790">
        <f t="shared" si="63"/>
        <v>0.44963076166663085</v>
      </c>
      <c r="AS23" s="746">
        <f t="shared" si="63"/>
        <v>0.48719476448148502</v>
      </c>
      <c r="AT23" s="746">
        <f t="shared" si="63"/>
        <v>0.48563672509493028</v>
      </c>
      <c r="AU23" s="746">
        <f t="shared" si="63"/>
        <v>0.48241261214981251</v>
      </c>
      <c r="AV23" s="746">
        <f t="shared" si="63"/>
        <v>0.60507449584743067</v>
      </c>
      <c r="AW23" s="746">
        <f t="shared" si="63"/>
        <v>0.60249561736478119</v>
      </c>
      <c r="AX23" s="746">
        <f t="shared" si="63"/>
        <v>1.1608264357245042</v>
      </c>
      <c r="AY23" s="785">
        <f t="shared" si="63"/>
        <v>0.45729778595291892</v>
      </c>
      <c r="AZ23" s="785">
        <f t="shared" si="63"/>
        <v>1.3119626696832578</v>
      </c>
    </row>
    <row r="24" spans="1:181">
      <c r="A24" s="1393">
        <f>Eingabedaten!A30</f>
        <v>7.02</v>
      </c>
      <c r="B24" s="738" t="str">
        <f>Eingabedaten!C30</f>
        <v>Mehrzweckhalle</v>
      </c>
      <c r="C24" s="724" t="s">
        <v>5</v>
      </c>
      <c r="D24" s="740"/>
      <c r="E24" s="740"/>
      <c r="F24" s="740"/>
      <c r="G24" s="740"/>
      <c r="H24" s="740"/>
      <c r="I24" s="740"/>
      <c r="J24" s="740"/>
      <c r="K24" s="740"/>
      <c r="L24" s="740"/>
      <c r="M24" s="740"/>
      <c r="N24" s="740"/>
      <c r="O24" s="740"/>
      <c r="P24" s="740"/>
      <c r="Q24" s="740">
        <v>20</v>
      </c>
      <c r="R24" s="740"/>
      <c r="S24" s="740"/>
      <c r="T24" s="740"/>
      <c r="U24" s="740"/>
      <c r="V24" s="740"/>
      <c r="W24" s="740"/>
      <c r="X24" s="740"/>
      <c r="Y24" s="740"/>
      <c r="AA24" s="770">
        <f>1/Eingabedaten!AP30</f>
        <v>0.33333333333333331</v>
      </c>
      <c r="AC24" s="775"/>
      <c r="AD24" s="776"/>
      <c r="AE24" s="1284"/>
      <c r="AF24" s="746"/>
      <c r="AG24" s="746"/>
      <c r="AH24" s="746"/>
      <c r="AI24" s="746"/>
      <c r="AJ24" s="746"/>
      <c r="AK24" s="746"/>
      <c r="AL24" s="746"/>
      <c r="AM24" s="746"/>
      <c r="AN24" s="746"/>
      <c r="AO24" s="746"/>
      <c r="AP24" s="746"/>
      <c r="AQ24" s="746"/>
      <c r="AR24" s="746"/>
      <c r="AS24" s="746"/>
      <c r="AT24" s="746"/>
      <c r="AU24" s="746"/>
      <c r="AV24" s="746"/>
      <c r="AW24" s="746"/>
      <c r="AX24" s="746"/>
      <c r="AY24" s="785"/>
      <c r="AZ24" s="785"/>
    </row>
    <row r="25" spans="1:181">
      <c r="A25" s="1393">
        <f>Eingabedaten!A31</f>
        <v>7.03</v>
      </c>
      <c r="B25" s="738" t="str">
        <f>Eingabedaten!C31</f>
        <v>Ausstellungshalle</v>
      </c>
      <c r="C25" s="724" t="s">
        <v>5</v>
      </c>
      <c r="D25" s="740"/>
      <c r="E25" s="740"/>
      <c r="F25" s="740"/>
      <c r="G25" s="740"/>
      <c r="H25" s="740"/>
      <c r="I25" s="740"/>
      <c r="J25" s="740"/>
      <c r="K25" s="740"/>
      <c r="L25" s="740"/>
      <c r="M25" s="740"/>
      <c r="N25" s="740"/>
      <c r="O25" s="740"/>
      <c r="P25" s="740"/>
      <c r="Q25" s="740">
        <v>20</v>
      </c>
      <c r="R25" s="740"/>
      <c r="S25" s="740"/>
      <c r="T25" s="740"/>
      <c r="U25" s="740"/>
      <c r="V25" s="740"/>
      <c r="W25" s="740"/>
      <c r="X25" s="740"/>
      <c r="Y25" s="740"/>
      <c r="AA25" s="770">
        <f>1/Eingabedaten!AP31</f>
        <v>0.33333333333333331</v>
      </c>
      <c r="AC25" s="775"/>
      <c r="AD25" s="776"/>
      <c r="AE25" s="1284"/>
      <c r="AF25" s="746"/>
      <c r="AG25" s="746"/>
      <c r="AH25" s="746"/>
      <c r="AI25" s="746"/>
      <c r="AJ25" s="746"/>
      <c r="AK25" s="746"/>
      <c r="AL25" s="746"/>
      <c r="AM25" s="746"/>
      <c r="AN25" s="746"/>
      <c r="AO25" s="746"/>
      <c r="AP25" s="746"/>
      <c r="AQ25" s="746"/>
      <c r="AR25" s="746"/>
      <c r="AS25" s="746"/>
      <c r="AT25" s="746"/>
      <c r="AU25" s="746"/>
      <c r="AV25" s="746"/>
      <c r="AW25" s="746"/>
      <c r="AX25" s="746"/>
      <c r="AY25" s="785"/>
      <c r="AZ25" s="785"/>
      <c r="EX25" s="726" t="s">
        <v>1150</v>
      </c>
      <c r="EY25" s="798"/>
      <c r="EZ25" s="724" t="str">
        <f>EZ1</f>
        <v>I</v>
      </c>
      <c r="FA25" s="724" t="str">
        <f t="shared" ref="FA25:FS25" si="64">FA1</f>
        <v>I.1</v>
      </c>
      <c r="FB25" s="724" t="str">
        <f t="shared" si="64"/>
        <v>I.2</v>
      </c>
      <c r="FC25" s="724" t="str">
        <f t="shared" si="64"/>
        <v>II</v>
      </c>
      <c r="FD25" s="724" t="str">
        <f t="shared" si="64"/>
        <v>III</v>
      </c>
      <c r="FE25" s="724" t="str">
        <f t="shared" si="64"/>
        <v>IV</v>
      </c>
      <c r="FF25" s="724" t="str">
        <f t="shared" si="64"/>
        <v>IV.1</v>
      </c>
      <c r="FG25" s="724" t="str">
        <f t="shared" si="64"/>
        <v>IV.2</v>
      </c>
      <c r="FH25" s="724" t="str">
        <f t="shared" si="64"/>
        <v>V</v>
      </c>
      <c r="FI25" s="724" t="str">
        <f t="shared" si="64"/>
        <v>V.1</v>
      </c>
      <c r="FJ25" s="724" t="str">
        <f t="shared" si="64"/>
        <v>V.2</v>
      </c>
      <c r="FK25" s="724" t="str">
        <f t="shared" si="64"/>
        <v>V.3</v>
      </c>
      <c r="FL25" s="724" t="str">
        <f t="shared" si="64"/>
        <v>VI</v>
      </c>
      <c r="FM25" s="724" t="str">
        <f t="shared" si="64"/>
        <v>VII</v>
      </c>
      <c r="FN25" s="724" t="str">
        <f t="shared" si="64"/>
        <v>VIII</v>
      </c>
      <c r="FO25" s="724" t="str">
        <f t="shared" si="64"/>
        <v>VIII.1</v>
      </c>
      <c r="FP25" s="724" t="str">
        <f t="shared" si="64"/>
        <v>VIII.2</v>
      </c>
      <c r="FQ25" s="724" t="str">
        <f t="shared" si="64"/>
        <v>IX</v>
      </c>
      <c r="FR25" s="724" t="str">
        <f t="shared" si="64"/>
        <v>X</v>
      </c>
      <c r="FS25" s="724" t="str">
        <f t="shared" si="64"/>
        <v>XI</v>
      </c>
    </row>
    <row r="26" spans="1:181">
      <c r="A26" s="1393">
        <f>Eingabedaten!A32</f>
        <v>8.01</v>
      </c>
      <c r="B26" s="738" t="str">
        <f>Eingabedaten!C32</f>
        <v xml:space="preserve">Bettenzimmer </v>
      </c>
      <c r="C26" s="724" t="s">
        <v>5</v>
      </c>
      <c r="D26" s="740"/>
      <c r="E26" s="740"/>
      <c r="F26" s="740"/>
      <c r="G26" s="740"/>
      <c r="H26" s="740"/>
      <c r="I26" s="740"/>
      <c r="J26" s="740"/>
      <c r="K26" s="740"/>
      <c r="L26" s="740"/>
      <c r="M26" s="740"/>
      <c r="N26" s="740"/>
      <c r="O26" s="740"/>
      <c r="P26" s="740"/>
      <c r="Q26" s="740"/>
      <c r="R26" s="739">
        <v>40</v>
      </c>
      <c r="S26" s="739">
        <v>35</v>
      </c>
      <c r="T26" s="739">
        <v>50</v>
      </c>
      <c r="U26" s="740"/>
      <c r="V26" s="740"/>
      <c r="W26" s="740"/>
      <c r="X26" s="740"/>
      <c r="Y26" s="740"/>
      <c r="AA26" s="770">
        <f>1/Eingabedaten!AP32</f>
        <v>6.6666666666666666E-2</v>
      </c>
      <c r="AC26" s="775"/>
      <c r="AD26" s="776"/>
      <c r="AE26" s="1284"/>
      <c r="AF26" s="746"/>
      <c r="AG26" s="746"/>
      <c r="AH26" s="746"/>
      <c r="AI26" s="746"/>
      <c r="AJ26" s="746"/>
      <c r="AK26" s="746"/>
      <c r="AL26" s="746"/>
      <c r="AM26" s="746"/>
      <c r="AN26" s="746"/>
      <c r="AO26" s="746"/>
      <c r="AP26" s="746"/>
      <c r="AQ26" s="746"/>
      <c r="AR26" s="746"/>
      <c r="AS26" s="746"/>
      <c r="AT26" s="746"/>
      <c r="AU26" s="746"/>
      <c r="AV26" s="746"/>
      <c r="AW26" s="746"/>
      <c r="AX26" s="746"/>
      <c r="AY26" s="785"/>
      <c r="AZ26" s="785"/>
      <c r="EX26" s="775" t="s">
        <v>1190</v>
      </c>
      <c r="EY26" s="723" t="s">
        <v>134</v>
      </c>
      <c r="EZ26" s="738">
        <f t="shared" ref="EZ26:FS27" si="65">EZ8</f>
        <v>36</v>
      </c>
      <c r="FA26" s="738">
        <f t="shared" si="65"/>
        <v>0</v>
      </c>
      <c r="FB26" s="738">
        <f t="shared" si="65"/>
        <v>0</v>
      </c>
      <c r="FC26" s="738">
        <f t="shared" si="65"/>
        <v>35</v>
      </c>
      <c r="FD26" s="738">
        <f t="shared" si="65"/>
        <v>68.5</v>
      </c>
      <c r="FE26" s="738">
        <f t="shared" si="65"/>
        <v>36</v>
      </c>
      <c r="FF26" s="738">
        <f t="shared" si="65"/>
        <v>0</v>
      </c>
      <c r="FG26" s="738">
        <f t="shared" si="65"/>
        <v>0</v>
      </c>
      <c r="FH26" s="738">
        <f t="shared" si="65"/>
        <v>78</v>
      </c>
      <c r="FI26" s="738">
        <f t="shared" si="65"/>
        <v>0</v>
      </c>
      <c r="FJ26" s="738">
        <f t="shared" si="65"/>
        <v>0</v>
      </c>
      <c r="FK26" s="738">
        <f t="shared" si="65"/>
        <v>0</v>
      </c>
      <c r="FL26" s="738">
        <f t="shared" si="65"/>
        <v>61.5</v>
      </c>
      <c r="FM26" s="738">
        <f t="shared" si="65"/>
        <v>37</v>
      </c>
      <c r="FN26" s="738">
        <f t="shared" si="65"/>
        <v>70.5</v>
      </c>
      <c r="FO26" s="738">
        <f t="shared" si="65"/>
        <v>0</v>
      </c>
      <c r="FP26" s="738">
        <f t="shared" si="65"/>
        <v>0</v>
      </c>
      <c r="FQ26" s="738">
        <f t="shared" si="65"/>
        <v>42</v>
      </c>
      <c r="FR26" s="738">
        <f t="shared" si="65"/>
        <v>31</v>
      </c>
      <c r="FS26" s="738">
        <f t="shared" si="65"/>
        <v>28.5</v>
      </c>
    </row>
    <row r="27" spans="1:181">
      <c r="A27" s="1393">
        <f>Eingabedaten!A33</f>
        <v>8.02</v>
      </c>
      <c r="B27" s="738" t="str">
        <f>Eingabedaten!C33</f>
        <v xml:space="preserve">Stationszimmer </v>
      </c>
      <c r="C27" s="724" t="s">
        <v>5</v>
      </c>
      <c r="D27" s="740"/>
      <c r="E27" s="740"/>
      <c r="F27" s="740"/>
      <c r="G27" s="740"/>
      <c r="H27" s="740"/>
      <c r="I27" s="740"/>
      <c r="J27" s="740"/>
      <c r="K27" s="740"/>
      <c r="L27" s="740"/>
      <c r="M27" s="740"/>
      <c r="N27" s="740"/>
      <c r="O27" s="740"/>
      <c r="P27" s="740"/>
      <c r="Q27" s="740"/>
      <c r="R27" s="740">
        <v>5</v>
      </c>
      <c r="S27" s="740">
        <v>5</v>
      </c>
      <c r="T27" s="740">
        <v>5</v>
      </c>
      <c r="U27" s="740"/>
      <c r="V27" s="740"/>
      <c r="W27" s="740"/>
      <c r="X27" s="740"/>
      <c r="Y27" s="740"/>
      <c r="AA27" s="770">
        <f>1/Eingabedaten!AP33</f>
        <v>0.33333333333333331</v>
      </c>
      <c r="AC27" s="775" t="s">
        <v>1200</v>
      </c>
      <c r="AD27" s="776" t="s">
        <v>134</v>
      </c>
      <c r="AE27" s="1283">
        <f>SUMPRODUCT('Resultate Standard'!$M$6:$M$50,'Fläche-Best'!D$3:D$47)/100*$AD$1</f>
        <v>6.6748800000000008</v>
      </c>
      <c r="AF27" s="748">
        <f>SUMPRODUCT('Resultate Standard'!$M$6:$M$50,'Fläche-Best'!E$3:E$47)/100*$AD$1</f>
        <v>6.6748800000000008</v>
      </c>
      <c r="AG27" s="748">
        <f>SUMPRODUCT('Resultate Standard'!$M$6:$M$50,'Fläche-Best'!F$3:F$47)/100*$AD$1</f>
        <v>10.93056</v>
      </c>
      <c r="AH27" s="748">
        <f>SUMPRODUCT('Resultate Standard'!$M$6:$M$50,'Fläche-Best'!G$3:G$47)/100*$AD$1</f>
        <v>4.9472640000000006</v>
      </c>
      <c r="AI27" s="748">
        <f>SUMPRODUCT('Resultate Standard'!$M$6:$M$50,'Fläche-Best'!H$3:H$47)/100*$AD$1</f>
        <v>6.3979200000000001</v>
      </c>
      <c r="AJ27" s="748">
        <f>SUMPRODUCT('Resultate Standard'!$M$6:$M$50,'Fläche-Best'!I$3:I$47)/100*$AD$1</f>
        <v>13.120944000000001</v>
      </c>
      <c r="AK27" s="748">
        <f>SUMPRODUCT('Resultate Standard'!$M$6:$M$50,'Fläche-Best'!J$3:J$47)/100*$AD$1</f>
        <v>13.120944000000001</v>
      </c>
      <c r="AL27" s="748">
        <f>SUMPRODUCT('Resultate Standard'!$M$6:$M$50,'Fläche-Best'!K$3:K$47)/100*$AD$1</f>
        <v>13.610640000000002</v>
      </c>
      <c r="AM27" s="748">
        <f>SUMPRODUCT('Resultate Standard'!$M$6:$M$50,'Fläche-Best'!L$3:L$47)/100*$AD$1</f>
        <v>11.448</v>
      </c>
      <c r="AN27" s="748">
        <f>SUMPRODUCT('Resultate Standard'!$M$6:$M$50,'Fläche-Best'!M$3:M$47)/100*$AD$1</f>
        <v>11.448</v>
      </c>
      <c r="AO27" s="748">
        <f>SUMPRODUCT('Resultate Standard'!$M$6:$M$50,'Fläche-Best'!N$3:N$47)/100*$AD$1</f>
        <v>11.448</v>
      </c>
      <c r="AP27" s="748">
        <f>SUMPRODUCT('Resultate Standard'!$M$6:$M$50,'Fläche-Best'!O$3:O$47)/100*$AD$1</f>
        <v>6.273600000000001</v>
      </c>
      <c r="AQ27" s="748">
        <f>SUMPRODUCT('Resultate Standard'!$M$6:$M$50,'Fläche-Best'!P$3:P$47)/100*$AD$1</f>
        <v>23.954400000000003</v>
      </c>
      <c r="AR27" s="748">
        <f>SUMPRODUCT('Resultate Standard'!$M$6:$M$50,'Fläche-Best'!Q$3:Q$47)/100*$AD$1</f>
        <v>32.167999999999999</v>
      </c>
      <c r="AS27" s="748">
        <f>SUMPRODUCT('Resultate Standard'!$M$6:$M$50,'Fläche-Best'!R$3:R$47)/100*$AD$1</f>
        <v>18.869119999999999</v>
      </c>
      <c r="AT27" s="748">
        <f>SUMPRODUCT('Resultate Standard'!$M$6:$M$50,'Fläche-Best'!S$3:S$47)/100*$AD$1</f>
        <v>18.508480000000002</v>
      </c>
      <c r="AU27" s="748">
        <f>SUMPRODUCT('Resultate Standard'!$M$6:$M$50,'Fläche-Best'!T$3:T$47)/100*$AD$1</f>
        <v>20.8</v>
      </c>
      <c r="AV27" s="748">
        <f>SUMPRODUCT('Resultate Standard'!$M$6:$M$50,'Fläche-Best'!U$3:U$47)/100*$AD$1</f>
        <v>4.1778133333333338</v>
      </c>
      <c r="AW27" s="748">
        <f>SUMPRODUCT('Resultate Standard'!$M$6:$M$50,'Fläche-Best'!V$3:V$47)/100*$AD$1</f>
        <v>3.3022399999999998</v>
      </c>
      <c r="AX27" s="748">
        <f>SUMPRODUCT('Resultate Standard'!$M$6:$M$50,'Fläche-Best'!W$3:W$47)/100*$AD$1</f>
        <v>3.2563199999999997</v>
      </c>
      <c r="AY27" s="784">
        <f>SUMPRODUCT('Resultate Standard'!$M$6:$M$50,'Fläche-Best'!X$3:X$47)/100*$AD$1</f>
        <v>10.243200000000002</v>
      </c>
      <c r="AZ27" s="784">
        <f>SUMPRODUCT('Resultate Standard'!$M$6:$M$50,'Fläche-Best'!Y$3:Y$47)/100*$AD$1</f>
        <v>0</v>
      </c>
      <c r="EX27" s="775" t="s">
        <v>1151</v>
      </c>
      <c r="EY27" s="723" t="s">
        <v>134</v>
      </c>
      <c r="EZ27" s="738">
        <f>EZ9</f>
        <v>27.5</v>
      </c>
      <c r="FA27" s="738">
        <f t="shared" si="65"/>
        <v>0</v>
      </c>
      <c r="FB27" s="738">
        <f t="shared" si="65"/>
        <v>0</v>
      </c>
      <c r="FC27" s="738">
        <f t="shared" si="65"/>
        <v>27.5</v>
      </c>
      <c r="FD27" s="738">
        <f t="shared" si="65"/>
        <v>55</v>
      </c>
      <c r="FE27" s="738">
        <f t="shared" si="65"/>
        <v>22.5</v>
      </c>
      <c r="FF27" s="738">
        <f t="shared" si="65"/>
        <v>0</v>
      </c>
      <c r="FG27" s="738">
        <f t="shared" si="65"/>
        <v>0</v>
      </c>
      <c r="FH27" s="738">
        <f t="shared" si="65"/>
        <v>60</v>
      </c>
      <c r="FI27" s="738">
        <f t="shared" si="65"/>
        <v>0</v>
      </c>
      <c r="FJ27" s="738">
        <f t="shared" si="65"/>
        <v>0</v>
      </c>
      <c r="FK27" s="738">
        <f t="shared" si="65"/>
        <v>0</v>
      </c>
      <c r="FL27" s="738">
        <f t="shared" si="65"/>
        <v>50</v>
      </c>
      <c r="FM27" s="738">
        <f t="shared" si="65"/>
        <v>27.5</v>
      </c>
      <c r="FN27" s="738">
        <f t="shared" si="65"/>
        <v>55</v>
      </c>
      <c r="FO27" s="738"/>
      <c r="FP27" s="738"/>
      <c r="FQ27" s="738">
        <f t="shared" si="65"/>
        <v>40</v>
      </c>
      <c r="FR27" s="738">
        <f t="shared" si="65"/>
        <v>27.5</v>
      </c>
      <c r="FS27" s="738">
        <f t="shared" si="65"/>
        <v>27.5</v>
      </c>
    </row>
    <row r="28" spans="1:181">
      <c r="A28" s="1393">
        <f>Eingabedaten!A34</f>
        <v>8.0299999999999994</v>
      </c>
      <c r="B28" s="738" t="str">
        <f>Eingabedaten!C34</f>
        <v>Behandlungsraum</v>
      </c>
      <c r="C28" s="724" t="s">
        <v>5</v>
      </c>
      <c r="D28" s="740"/>
      <c r="E28" s="740"/>
      <c r="F28" s="740"/>
      <c r="G28" s="740"/>
      <c r="H28" s="740"/>
      <c r="I28" s="740"/>
      <c r="J28" s="740"/>
      <c r="K28" s="740"/>
      <c r="L28" s="740"/>
      <c r="M28" s="740"/>
      <c r="N28" s="740"/>
      <c r="O28" s="740"/>
      <c r="P28" s="740"/>
      <c r="Q28" s="740"/>
      <c r="R28" s="740">
        <v>10</v>
      </c>
      <c r="S28" s="740">
        <v>15</v>
      </c>
      <c r="T28" s="740">
        <v>5</v>
      </c>
      <c r="U28" s="740"/>
      <c r="V28" s="740"/>
      <c r="W28" s="740"/>
      <c r="X28" s="740"/>
      <c r="Y28" s="740"/>
      <c r="AA28" s="770">
        <f>1/Eingabedaten!AP34</f>
        <v>0.2</v>
      </c>
      <c r="AC28" s="775"/>
      <c r="AD28" s="776"/>
      <c r="AE28" s="1284"/>
      <c r="AF28" s="746"/>
      <c r="AG28" s="746"/>
      <c r="AH28" s="746"/>
      <c r="AI28" s="746"/>
      <c r="AJ28" s="746"/>
      <c r="AK28" s="746"/>
      <c r="AL28" s="746"/>
      <c r="AM28" s="746"/>
      <c r="AN28" s="746"/>
      <c r="AO28" s="746"/>
      <c r="AP28" s="746"/>
      <c r="AQ28" s="746"/>
      <c r="AR28" s="746"/>
      <c r="AS28" s="746"/>
      <c r="AT28" s="746"/>
      <c r="AU28" s="746"/>
      <c r="AV28" s="746"/>
      <c r="AW28" s="746"/>
      <c r="AX28" s="746"/>
      <c r="AY28" s="785"/>
      <c r="AZ28" s="785"/>
      <c r="EX28" s="735" t="s">
        <v>1300</v>
      </c>
      <c r="EY28" s="802" t="s">
        <v>134</v>
      </c>
      <c r="EZ28" s="738">
        <f>FY11</f>
        <v>47.442892676590077</v>
      </c>
      <c r="FA28" s="738">
        <f t="shared" ref="FA28:FM28" si="66">FZ11</f>
        <v>19.840681000000004</v>
      </c>
      <c r="FB28" s="738">
        <f t="shared" si="66"/>
        <v>25.30000166666667</v>
      </c>
      <c r="FC28" s="738">
        <f t="shared" si="66"/>
        <v>19.449227714285716</v>
      </c>
      <c r="FD28" s="738">
        <f t="shared" si="66"/>
        <v>51.271793600000009</v>
      </c>
      <c r="FE28" s="738">
        <f t="shared" si="66"/>
        <v>22.504232653061223</v>
      </c>
      <c r="FF28" s="738">
        <f t="shared" si="66"/>
        <v>22.504232653061223</v>
      </c>
      <c r="FG28" s="738">
        <f t="shared" si="66"/>
        <v>47.040742081632658</v>
      </c>
      <c r="FH28" s="738">
        <f t="shared" si="66"/>
        <v>45.662632971428579</v>
      </c>
      <c r="FI28" s="738">
        <f t="shared" si="66"/>
        <v>283.22641419047619</v>
      </c>
      <c r="FJ28" s="738">
        <f t="shared" si="66"/>
        <v>45.662632971428579</v>
      </c>
      <c r="FK28" s="738">
        <f t="shared" si="66"/>
        <v>39.597795257142863</v>
      </c>
      <c r="FL28" s="738">
        <f t="shared" si="66"/>
        <v>80.496597904761913</v>
      </c>
      <c r="FM28" s="738">
        <f t="shared" si="66"/>
        <v>33.114601142857147</v>
      </c>
      <c r="FN28" s="738">
        <f>GM11</f>
        <v>36.396921142857153</v>
      </c>
      <c r="FO28" s="738"/>
      <c r="FP28" s="738"/>
      <c r="FQ28" s="738">
        <f>GP11</f>
        <v>62.267811371428579</v>
      </c>
      <c r="FR28" s="738">
        <f>GQ11</f>
        <v>27.564811942857141</v>
      </c>
      <c r="FS28" s="738">
        <f>GR11</f>
        <v>19.495761142857141</v>
      </c>
    </row>
    <row r="29" spans="1:181">
      <c r="A29" s="1393">
        <f>Eingabedaten!A35</f>
        <v>9.01</v>
      </c>
      <c r="B29" s="738" t="str">
        <f>Eingabedaten!C35</f>
        <v>Produktion (grobe Arbeit)</v>
      </c>
      <c r="C29" s="724" t="s">
        <v>5</v>
      </c>
      <c r="D29" s="740"/>
      <c r="E29" s="740"/>
      <c r="F29" s="740"/>
      <c r="G29" s="740"/>
      <c r="H29" s="740"/>
      <c r="I29" s="740"/>
      <c r="J29" s="740"/>
      <c r="K29" s="740"/>
      <c r="L29" s="740"/>
      <c r="M29" s="740"/>
      <c r="N29" s="740"/>
      <c r="O29" s="740"/>
      <c r="P29" s="740"/>
      <c r="Q29" s="740"/>
      <c r="R29" s="740"/>
      <c r="S29" s="740"/>
      <c r="T29" s="740"/>
      <c r="U29" s="740">
        <v>10</v>
      </c>
      <c r="V29" s="740"/>
      <c r="W29" s="740"/>
      <c r="X29" s="740"/>
      <c r="Y29" s="740"/>
      <c r="AA29" s="770">
        <f>1/Eingabedaten!AP35</f>
        <v>6.6666666666666666E-2</v>
      </c>
      <c r="AC29" s="775" t="s">
        <v>102</v>
      </c>
      <c r="AD29" s="776" t="s">
        <v>209</v>
      </c>
      <c r="AE29" s="1283">
        <f>1/(SUMPRODUCT('Fläche-Best'!D$3:D$47,$AA$3:$AA$47)/100*$AD$1)</f>
        <v>51.470588235294116</v>
      </c>
      <c r="AF29" s="748">
        <f>1/(SUMPRODUCT('Fläche-Best'!E$3:E$47,$AA$3:$AA$47)/100*$AD$1)</f>
        <v>51.470588235294116</v>
      </c>
      <c r="AG29" s="748">
        <f>1/(SUMPRODUCT('Fläche-Best'!F$3:F$47,$AA$3:$AA$47)/100*$AD$1)</f>
        <v>24.881516587677726</v>
      </c>
      <c r="AH29" s="748">
        <f>1/(SUMPRODUCT('Fläche-Best'!G$3:G$47,$AA$3:$AA$47)/100*$AD$1)</f>
        <v>69.444444444444429</v>
      </c>
      <c r="AI29" s="748">
        <f>1/(SUMPRODUCT('Fläche-Best'!H$3:H$47,$AA$3:$AA$47)/100*$AD$1)</f>
        <v>26.184538653366584</v>
      </c>
      <c r="AJ29" s="748">
        <f>1/(SUMPRODUCT('Fläche-Best'!I$3:I$47,$AA$3:$AA$47)/100*$AD$1)</f>
        <v>9.9150141643059477</v>
      </c>
      <c r="AK29" s="748">
        <f>1/(SUMPRODUCT('Fläche-Best'!J$3:J$47,$AA$3:$AA$47)/100*$AD$1)</f>
        <v>9.9150141643059477</v>
      </c>
      <c r="AL29" s="748">
        <f>1/(SUMPRODUCT('Fläche-Best'!K$3:K$47,$AA$3:$AA$47)/100*$AD$1)</f>
        <v>11.758118701007838</v>
      </c>
      <c r="AM29" s="748">
        <f>1/(SUMPRODUCT('Fläche-Best'!L$3:L$47,$AA$3:$AA$47)/100*$AD$1)</f>
        <v>15.909090909090908</v>
      </c>
      <c r="AN29" s="748">
        <f>1/(SUMPRODUCT('Fläche-Best'!M$3:M$47,$AA$3:$AA$47)/100*$AD$1)</f>
        <v>15.909090909090908</v>
      </c>
      <c r="AO29" s="748">
        <f>1/(SUMPRODUCT('Fläche-Best'!N$3:N$47,$AA$3:$AA$47)/100*$AD$1)</f>
        <v>15.909090909090908</v>
      </c>
      <c r="AP29" s="748">
        <f>1/(SUMPRODUCT('Fläche-Best'!O$3:O$47,$AA$3:$AA$47)/100*$AD$1)</f>
        <v>28.688524590163933</v>
      </c>
      <c r="AQ29" s="748">
        <f>1/(SUMPRODUCT('Fläche-Best'!P$3:P$47,$AA$3:$AA$47)/100*$AD$1)</f>
        <v>4.5691906005221927</v>
      </c>
      <c r="AR29" s="748">
        <f>1/(SUMPRODUCT('Fläche-Best'!Q$3:Q$47,$AA$3:$AA$47)/100*$AD$1)</f>
        <v>6.1403508771929829</v>
      </c>
      <c r="AS29" s="748">
        <f>1/(SUMPRODUCT('Fläche-Best'!R$3:R$47,$AA$3:$AA$47)/100*$AD$1)</f>
        <v>18.683274021352315</v>
      </c>
      <c r="AT29" s="748">
        <f>1/(SUMPRODUCT('Fläche-Best'!S$3:S$47,$AA$3:$AA$47)/100*$AD$1)</f>
        <v>16.990291262135919</v>
      </c>
      <c r="AU29" s="748">
        <f>1/(SUMPRODUCT('Fläche-Best'!T$3:T$47,$AA$3:$AA$47)/100*$AD$1)</f>
        <v>19.662921348314608</v>
      </c>
      <c r="AV29" s="748">
        <f>1/(SUMPRODUCT('Fläche-Best'!U$3:U$47,$AA$3:$AA$47)/100*$AD$1)</f>
        <v>28.688524590163933</v>
      </c>
      <c r="AW29" s="748">
        <f>1/(SUMPRODUCT('Fläche-Best'!V$3:V$47,$AA$3:$AA$47)/100*$AD$1)</f>
        <v>59.322033898305079</v>
      </c>
      <c r="AX29" s="748">
        <f>1/(SUMPRODUCT('Fläche-Best'!W$3:W$47,$AA$3:$AA$47)/100*$AD$1)</f>
        <v>41.666666666666664</v>
      </c>
      <c r="AY29" s="784">
        <f>1/(SUMPRODUCT('Fläche-Best'!X$3:X$47,$AA$3:$AA$47)/100*$AD$1)</f>
        <v>19.662921348314608</v>
      </c>
      <c r="AZ29" s="784">
        <v>0</v>
      </c>
    </row>
    <row r="30" spans="1:181">
      <c r="A30" s="1393">
        <f>Eingabedaten!A36</f>
        <v>9.02</v>
      </c>
      <c r="B30" s="738" t="str">
        <f>Eingabedaten!C36</f>
        <v>Produktion (feine Arbeit)</v>
      </c>
      <c r="C30" s="724" t="s">
        <v>5</v>
      </c>
      <c r="D30" s="740"/>
      <c r="E30" s="740"/>
      <c r="F30" s="740"/>
      <c r="G30" s="740"/>
      <c r="H30" s="740"/>
      <c r="I30" s="740"/>
      <c r="J30" s="740"/>
      <c r="K30" s="740"/>
      <c r="L30" s="740"/>
      <c r="M30" s="740"/>
      <c r="N30" s="740"/>
      <c r="O30" s="740"/>
      <c r="P30" s="740"/>
      <c r="Q30" s="740"/>
      <c r="R30" s="740"/>
      <c r="S30" s="740"/>
      <c r="T30" s="740"/>
      <c r="U30" s="739">
        <v>50</v>
      </c>
      <c r="V30" s="740"/>
      <c r="W30" s="740"/>
      <c r="X30" s="740"/>
      <c r="Y30" s="740"/>
      <c r="AA30" s="770">
        <f>1/Eingabedaten!AP36</f>
        <v>6.6666666666666666E-2</v>
      </c>
      <c r="AC30" s="775" t="s">
        <v>1549</v>
      </c>
      <c r="AD30" s="776" t="s">
        <v>15</v>
      </c>
      <c r="AE30" s="1283">
        <f>AE27*AE29*1000/AE31/365</f>
        <v>13.446575342465753</v>
      </c>
      <c r="AF30" s="748">
        <f>AF27*AF29*1000/AF31/365</f>
        <v>13.446575342465753</v>
      </c>
      <c r="AG30" s="748">
        <f t="shared" ref="AG30:AZ30" si="67">AG27*AG29*1000/AG31/365</f>
        <v>10.644575732000259</v>
      </c>
      <c r="AH30" s="748">
        <f t="shared" si="67"/>
        <v>13.446575342465751</v>
      </c>
      <c r="AI30" s="748">
        <f t="shared" si="67"/>
        <v>6.5568134458374612</v>
      </c>
      <c r="AJ30" s="748">
        <f t="shared" si="67"/>
        <v>5.0917552097481469</v>
      </c>
      <c r="AK30" s="748">
        <f t="shared" si="67"/>
        <v>5.0917552097481469</v>
      </c>
      <c r="AL30" s="748">
        <f t="shared" si="67"/>
        <v>6.2636211630796614</v>
      </c>
      <c r="AM30" s="748">
        <f t="shared" si="67"/>
        <v>7.12826899128269</v>
      </c>
      <c r="AN30" s="748">
        <f t="shared" si="67"/>
        <v>7.12826899128269</v>
      </c>
      <c r="AO30" s="748">
        <f t="shared" si="67"/>
        <v>7.12826899128269</v>
      </c>
      <c r="AP30" s="748">
        <f t="shared" si="67"/>
        <v>7.0442398383112508</v>
      </c>
      <c r="AQ30" s="748">
        <f>AQ27*AQ29*1000/AQ31/365</f>
        <v>4.2838442004363531</v>
      </c>
      <c r="AR30" s="748">
        <f t="shared" si="67"/>
        <v>7.7308339341504455</v>
      </c>
      <c r="AS30" s="748">
        <f t="shared" si="67"/>
        <v>13.797923268171406</v>
      </c>
      <c r="AT30" s="748">
        <f t="shared" si="67"/>
        <v>12.307806889213991</v>
      </c>
      <c r="AU30" s="748">
        <f t="shared" si="67"/>
        <v>16.007388025242424</v>
      </c>
      <c r="AV30" s="748">
        <f t="shared" si="67"/>
        <v>4.6910098061232128</v>
      </c>
      <c r="AW30" s="748">
        <f t="shared" si="67"/>
        <v>4.6002879034130482</v>
      </c>
      <c r="AX30" s="748">
        <f t="shared" si="67"/>
        <v>2.1241487279843438</v>
      </c>
      <c r="AY30" s="784">
        <f t="shared" si="67"/>
        <v>7.8830229336616915</v>
      </c>
      <c r="AZ30" s="784">
        <f t="shared" si="67"/>
        <v>0</v>
      </c>
    </row>
    <row r="31" spans="1:181">
      <c r="A31" s="1393">
        <f>Eingabedaten!A37</f>
        <v>9.0299999999999994</v>
      </c>
      <c r="B31" s="738" t="str">
        <f>Eingabedaten!C37</f>
        <v>Laborraum</v>
      </c>
      <c r="C31" s="724" t="s">
        <v>5</v>
      </c>
      <c r="D31" s="740"/>
      <c r="E31" s="740"/>
      <c r="F31" s="740"/>
      <c r="G31" s="740"/>
      <c r="H31" s="740"/>
      <c r="I31" s="740"/>
      <c r="J31" s="740"/>
      <c r="K31" s="740"/>
      <c r="L31" s="740"/>
      <c r="M31" s="740"/>
      <c r="N31" s="740"/>
      <c r="O31" s="740"/>
      <c r="P31" s="740"/>
      <c r="Q31" s="740"/>
      <c r="R31" s="740"/>
      <c r="S31" s="740"/>
      <c r="T31" s="740"/>
      <c r="U31" s="740"/>
      <c r="V31" s="740"/>
      <c r="W31" s="740"/>
      <c r="X31" s="740"/>
      <c r="Y31" s="740"/>
      <c r="AA31" s="770">
        <f>1/Eingabedaten!AP37</f>
        <v>6.6666666666666666E-2</v>
      </c>
      <c r="AC31" s="735" t="s">
        <v>1059</v>
      </c>
      <c r="AD31" s="733" t="s">
        <v>319</v>
      </c>
      <c r="AE31" s="1288">
        <v>70</v>
      </c>
      <c r="AF31" s="811">
        <v>70</v>
      </c>
      <c r="AG31" s="811">
        <v>70</v>
      </c>
      <c r="AH31" s="811">
        <v>70</v>
      </c>
      <c r="AI31" s="811">
        <v>70</v>
      </c>
      <c r="AJ31" s="811">
        <v>70</v>
      </c>
      <c r="AK31" s="811">
        <v>70</v>
      </c>
      <c r="AL31" s="811">
        <v>70</v>
      </c>
      <c r="AM31" s="811">
        <v>70</v>
      </c>
      <c r="AN31" s="811">
        <v>70</v>
      </c>
      <c r="AO31" s="811">
        <v>70</v>
      </c>
      <c r="AP31" s="811">
        <v>70</v>
      </c>
      <c r="AQ31" s="811">
        <v>70</v>
      </c>
      <c r="AR31" s="811">
        <v>70</v>
      </c>
      <c r="AS31" s="811">
        <v>70</v>
      </c>
      <c r="AT31" s="811">
        <v>70</v>
      </c>
      <c r="AU31" s="811">
        <v>70</v>
      </c>
      <c r="AV31" s="811">
        <v>70</v>
      </c>
      <c r="AW31" s="811">
        <f>70/1.2*2</f>
        <v>116.66666666666667</v>
      </c>
      <c r="AX31" s="811">
        <f>70/1.2*3</f>
        <v>175</v>
      </c>
      <c r="AY31" s="812">
        <v>70</v>
      </c>
      <c r="AZ31" s="812">
        <v>70</v>
      </c>
    </row>
    <row r="32" spans="1:181">
      <c r="A32" s="1393">
        <f>Eingabedaten!A38</f>
        <v>10.01</v>
      </c>
      <c r="B32" s="738" t="str">
        <f>Eingabedaten!C38</f>
        <v>Lagerhalle</v>
      </c>
      <c r="C32" s="724" t="s">
        <v>5</v>
      </c>
      <c r="D32" s="740"/>
      <c r="E32" s="740"/>
      <c r="F32" s="740"/>
      <c r="G32" s="740"/>
      <c r="H32" s="740"/>
      <c r="I32" s="740"/>
      <c r="J32" s="740"/>
      <c r="K32" s="740"/>
      <c r="L32" s="740"/>
      <c r="M32" s="740"/>
      <c r="N32" s="740"/>
      <c r="O32" s="740"/>
      <c r="P32" s="740"/>
      <c r="Q32" s="740"/>
      <c r="R32" s="740"/>
      <c r="S32" s="740"/>
      <c r="T32" s="740"/>
      <c r="U32" s="740"/>
      <c r="V32" s="739">
        <v>70</v>
      </c>
      <c r="W32" s="740"/>
      <c r="X32" s="740"/>
      <c r="Y32" s="740"/>
      <c r="AA32" s="770">
        <f>1/Eingabedaten!AP38</f>
        <v>2.5000000000000001E-2</v>
      </c>
    </row>
    <row r="33" spans="1:78">
      <c r="A33" s="1393">
        <f>Eingabedaten!A39</f>
        <v>11.01</v>
      </c>
      <c r="B33" s="738" t="str">
        <f>Eingabedaten!C39</f>
        <v>Turnhalle</v>
      </c>
      <c r="C33" s="724" t="s">
        <v>5</v>
      </c>
      <c r="D33" s="740"/>
      <c r="E33" s="740"/>
      <c r="F33" s="740"/>
      <c r="G33" s="740"/>
      <c r="H33" s="740"/>
      <c r="I33" s="740"/>
      <c r="J33" s="740"/>
      <c r="K33" s="740"/>
      <c r="L33" s="740"/>
      <c r="M33" s="740"/>
      <c r="N33" s="740"/>
      <c r="O33" s="740"/>
      <c r="P33" s="740"/>
      <c r="Q33" s="740"/>
      <c r="R33" s="740"/>
      <c r="S33" s="740"/>
      <c r="T33" s="740"/>
      <c r="U33" s="740"/>
      <c r="V33" s="740"/>
      <c r="W33" s="739">
        <v>60</v>
      </c>
      <c r="X33" s="740"/>
      <c r="Y33" s="740"/>
      <c r="AA33" s="770">
        <f>1/Eingabedaten!AP39</f>
        <v>0.05</v>
      </c>
      <c r="AE33" s="741"/>
      <c r="AF33" s="741"/>
      <c r="AG33" s="741"/>
      <c r="AH33" s="741"/>
      <c r="AI33" s="741"/>
      <c r="AJ33" s="741"/>
      <c r="AK33" s="741"/>
      <c r="AL33" s="741"/>
      <c r="AM33" s="741"/>
      <c r="AN33" s="741"/>
      <c r="AO33" s="741"/>
      <c r="AP33" s="741"/>
      <c r="AQ33" s="741"/>
      <c r="AR33" s="741"/>
      <c r="AS33" s="741"/>
      <c r="AT33" s="741"/>
      <c r="AU33" s="741"/>
      <c r="AV33" s="741"/>
      <c r="AW33" s="741"/>
      <c r="AX33" s="741"/>
      <c r="AY33" s="741"/>
      <c r="AZ33" s="741"/>
    </row>
    <row r="34" spans="1:78">
      <c r="A34" s="1393">
        <f>Eingabedaten!A40</f>
        <v>11.02</v>
      </c>
      <c r="B34" s="738" t="str">
        <f>Eingabedaten!C40</f>
        <v>Fitnessraum</v>
      </c>
      <c r="C34" s="724" t="s">
        <v>5</v>
      </c>
      <c r="D34" s="740"/>
      <c r="E34" s="740"/>
      <c r="F34" s="740"/>
      <c r="G34" s="740"/>
      <c r="H34" s="740"/>
      <c r="I34" s="740"/>
      <c r="J34" s="740"/>
      <c r="K34" s="740"/>
      <c r="L34" s="740"/>
      <c r="M34" s="740"/>
      <c r="N34" s="740"/>
      <c r="O34" s="740"/>
      <c r="P34" s="740"/>
      <c r="Q34" s="740"/>
      <c r="R34" s="740"/>
      <c r="S34" s="740"/>
      <c r="T34" s="740"/>
      <c r="U34" s="740"/>
      <c r="V34" s="740"/>
      <c r="W34" s="740"/>
      <c r="X34" s="740"/>
      <c r="Y34" s="740"/>
      <c r="AA34" s="770">
        <f>1/Eingabedaten!AP40</f>
        <v>0.1</v>
      </c>
    </row>
    <row r="35" spans="1:78">
      <c r="A35" s="1393">
        <f>Eingabedaten!A41</f>
        <v>11.03</v>
      </c>
      <c r="B35" s="738" t="str">
        <f>Eingabedaten!C41</f>
        <v>Schwimmhalle</v>
      </c>
      <c r="C35" s="724" t="s">
        <v>5</v>
      </c>
      <c r="D35" s="740"/>
      <c r="E35" s="740"/>
      <c r="F35" s="740"/>
      <c r="G35" s="740"/>
      <c r="H35" s="740"/>
      <c r="I35" s="740"/>
      <c r="J35" s="740"/>
      <c r="K35" s="740"/>
      <c r="L35" s="740"/>
      <c r="M35" s="740"/>
      <c r="N35" s="740"/>
      <c r="O35" s="740"/>
      <c r="P35" s="740"/>
      <c r="Q35" s="740"/>
      <c r="R35" s="740"/>
      <c r="S35" s="740"/>
      <c r="T35" s="740"/>
      <c r="U35" s="740"/>
      <c r="V35" s="740"/>
      <c r="W35" s="740"/>
      <c r="X35" s="740">
        <v>60</v>
      </c>
      <c r="Y35" s="740"/>
      <c r="AA35" s="770">
        <f>1/Eingabedaten!AP41</f>
        <v>0.1</v>
      </c>
      <c r="AC35" s="728" t="s">
        <v>1531</v>
      </c>
      <c r="AD35" s="730" t="s">
        <v>134</v>
      </c>
      <c r="AE35" s="1289">
        <f>AE11/0.8</f>
        <v>3.75</v>
      </c>
      <c r="AF35" s="1278">
        <f>AE11/0.8</f>
        <v>3.75</v>
      </c>
      <c r="AG35" s="1278">
        <f t="shared" ref="AG35" si="68">AF11/0.8</f>
        <v>3.75</v>
      </c>
      <c r="AH35" s="1278">
        <f>AH11/0.8</f>
        <v>1.7499999999999998</v>
      </c>
      <c r="AI35" s="1278">
        <f>AI11/0.8</f>
        <v>4.21</v>
      </c>
      <c r="AJ35" s="1278">
        <f>AJ11/0.8</f>
        <v>3.91</v>
      </c>
      <c r="AK35" s="1278">
        <f>AK11/0.8</f>
        <v>3.91</v>
      </c>
      <c r="AL35" s="1278">
        <f>AN11/0.8</f>
        <v>9.43</v>
      </c>
      <c r="AM35" s="1278">
        <f>AM11/0.8</f>
        <v>9.43</v>
      </c>
      <c r="AN35" s="1278">
        <f>AQ11/0.8</f>
        <v>10.48</v>
      </c>
      <c r="AO35" s="1278">
        <f>AR11/0.8</f>
        <v>4.8099999999999996</v>
      </c>
      <c r="AP35" s="1278">
        <f>AT11/0.8</f>
        <v>10.25</v>
      </c>
      <c r="AQ35" s="1278">
        <f>AQ11/0.8</f>
        <v>10.48</v>
      </c>
      <c r="AR35" s="1278">
        <f>AR11/0.8</f>
        <v>4.8099999999999996</v>
      </c>
      <c r="AS35" s="1278">
        <f>AS11/0.8</f>
        <v>10.25</v>
      </c>
      <c r="AT35" s="1278">
        <f t="shared" ref="AT35:AU35" si="69">AX11/0.8</f>
        <v>4.04</v>
      </c>
      <c r="AU35" s="1278">
        <f t="shared" si="69"/>
        <v>8.6</v>
      </c>
      <c r="AV35" s="1278">
        <f>AV11/0.8</f>
        <v>8.3699999999999992</v>
      </c>
      <c r="AW35" s="1278">
        <f>AW11/0.8</f>
        <v>2.06</v>
      </c>
      <c r="AX35" s="1278">
        <f>AX11/0.8</f>
        <v>4.04</v>
      </c>
      <c r="AY35" s="1290">
        <f>AY11/0.8</f>
        <v>8.6</v>
      </c>
      <c r="AZ35" s="730"/>
      <c r="BC35" s="742" t="s">
        <v>517</v>
      </c>
    </row>
    <row r="36" spans="1:78">
      <c r="A36" s="1393">
        <f>Eingabedaten!A42</f>
        <v>12.01</v>
      </c>
      <c r="B36" s="738" t="str">
        <f>Eingabedaten!C42</f>
        <v>Verkehrsfläche</v>
      </c>
      <c r="C36" s="724" t="s">
        <v>5</v>
      </c>
      <c r="D36" s="740"/>
      <c r="E36" s="740"/>
      <c r="F36" s="739">
        <v>10</v>
      </c>
      <c r="G36" s="740"/>
      <c r="H36" s="739">
        <v>20</v>
      </c>
      <c r="I36" s="739">
        <v>20</v>
      </c>
      <c r="J36" s="739">
        <v>20</v>
      </c>
      <c r="K36" s="739">
        <v>20</v>
      </c>
      <c r="L36" s="739">
        <v>20</v>
      </c>
      <c r="M36" s="739">
        <v>20</v>
      </c>
      <c r="N36" s="739">
        <v>20</v>
      </c>
      <c r="O36" s="739">
        <v>20</v>
      </c>
      <c r="P36" s="739">
        <v>20</v>
      </c>
      <c r="Q36" s="739">
        <v>20</v>
      </c>
      <c r="R36" s="739">
        <v>10</v>
      </c>
      <c r="S36" s="739">
        <v>10</v>
      </c>
      <c r="T36" s="739">
        <v>10</v>
      </c>
      <c r="U36" s="739">
        <v>10</v>
      </c>
      <c r="V36" s="739">
        <v>15</v>
      </c>
      <c r="W36" s="740">
        <v>10</v>
      </c>
      <c r="X36" s="740">
        <v>10</v>
      </c>
      <c r="Y36" s="740">
        <v>5</v>
      </c>
      <c r="AA36" s="770"/>
      <c r="AE36" s="743"/>
      <c r="AF36" s="743"/>
      <c r="BC36" s="723" t="s">
        <v>420</v>
      </c>
      <c r="BD36" s="723" t="s">
        <v>134</v>
      </c>
      <c r="BE36" s="741">
        <f t="shared" ref="BE36:BY36" si="70">BE8</f>
        <v>28</v>
      </c>
      <c r="BF36" s="741"/>
      <c r="BG36" s="741">
        <f t="shared" si="70"/>
        <v>0</v>
      </c>
      <c r="BH36" s="741">
        <f t="shared" si="70"/>
        <v>22</v>
      </c>
      <c r="BI36" s="741">
        <f t="shared" si="70"/>
        <v>22</v>
      </c>
      <c r="BJ36" s="741">
        <f t="shared" si="70"/>
        <v>11</v>
      </c>
      <c r="BK36" s="741"/>
      <c r="BL36" s="741"/>
      <c r="BM36" s="741">
        <f t="shared" si="70"/>
        <v>33</v>
      </c>
      <c r="BN36" s="741">
        <f t="shared" si="70"/>
        <v>0</v>
      </c>
      <c r="BO36" s="741">
        <f t="shared" si="70"/>
        <v>0</v>
      </c>
      <c r="BP36" s="741">
        <f t="shared" si="70"/>
        <v>0</v>
      </c>
      <c r="BQ36" s="741">
        <f t="shared" si="70"/>
        <v>33</v>
      </c>
      <c r="BR36" s="741">
        <f t="shared" si="70"/>
        <v>17</v>
      </c>
      <c r="BS36" s="741">
        <f t="shared" si="70"/>
        <v>28</v>
      </c>
      <c r="BT36" s="741">
        <f t="shared" si="70"/>
        <v>0</v>
      </c>
      <c r="BU36" s="741">
        <f t="shared" si="70"/>
        <v>0</v>
      </c>
      <c r="BV36" s="741">
        <f t="shared" si="70"/>
        <v>17</v>
      </c>
      <c r="BW36" s="741">
        <f t="shared" si="70"/>
        <v>6</v>
      </c>
      <c r="BX36" s="741">
        <f t="shared" si="70"/>
        <v>6</v>
      </c>
      <c r="BY36" s="741">
        <f t="shared" si="70"/>
        <v>56</v>
      </c>
      <c r="BZ36" s="741"/>
    </row>
    <row r="37" spans="1:78">
      <c r="A37" s="1393">
        <f>Eingabedaten!A43</f>
        <v>12.02</v>
      </c>
      <c r="B37" s="738" t="str">
        <f>Eingabedaten!C43</f>
        <v>Verkehrsfläche 24 h</v>
      </c>
      <c r="C37" s="724" t="s">
        <v>5</v>
      </c>
      <c r="D37" s="740"/>
      <c r="E37" s="740"/>
      <c r="F37" s="739">
        <v>5</v>
      </c>
      <c r="G37" s="740"/>
      <c r="H37" s="740"/>
      <c r="I37" s="740"/>
      <c r="J37" s="740"/>
      <c r="K37" s="740"/>
      <c r="L37" s="740"/>
      <c r="M37" s="740"/>
      <c r="N37" s="740"/>
      <c r="O37" s="740"/>
      <c r="P37" s="740"/>
      <c r="Q37" s="740"/>
      <c r="R37" s="739">
        <v>10</v>
      </c>
      <c r="S37" s="739">
        <v>10</v>
      </c>
      <c r="T37" s="739">
        <v>5</v>
      </c>
      <c r="U37" s="739">
        <v>10</v>
      </c>
      <c r="V37" s="740"/>
      <c r="W37" s="740"/>
      <c r="X37" s="740"/>
      <c r="Y37" s="740"/>
      <c r="AA37" s="770"/>
      <c r="BC37" s="723" t="s">
        <v>1538</v>
      </c>
      <c r="BD37" s="723" t="s">
        <v>134</v>
      </c>
      <c r="BE37" s="741">
        <f>AE10+AE11</f>
        <v>23.393332714285716</v>
      </c>
      <c r="BF37" s="741"/>
      <c r="BG37" s="741">
        <f>AG10+AG11</f>
        <v>29.993027571428577</v>
      </c>
      <c r="BH37" s="741">
        <f>AH10+AH11</f>
        <v>19.449227714285716</v>
      </c>
      <c r="BI37" s="741">
        <f>AI10+AI11</f>
        <v>45.166334000000006</v>
      </c>
      <c r="BJ37" s="741">
        <f>AJ10+AJ11</f>
        <v>23.243236653061224</v>
      </c>
      <c r="BK37" s="741"/>
      <c r="BL37" s="741"/>
      <c r="BM37" s="741">
        <f t="shared" ref="BM37:BY37" si="71">AM10+AM11</f>
        <v>51.952858971428569</v>
      </c>
      <c r="BN37" s="741">
        <f t="shared" si="71"/>
        <v>52.435040190476187</v>
      </c>
      <c r="BO37" s="741">
        <f t="shared" si="71"/>
        <v>51.952858971428569</v>
      </c>
      <c r="BP37" s="741">
        <f t="shared" si="71"/>
        <v>45.363388057142856</v>
      </c>
      <c r="BQ37" s="741">
        <f t="shared" si="71"/>
        <v>48.216205904761907</v>
      </c>
      <c r="BR37" s="741">
        <f t="shared" si="71"/>
        <v>52.225327809523812</v>
      </c>
      <c r="BS37" s="741">
        <f t="shared" si="71"/>
        <v>33.511461142857151</v>
      </c>
      <c r="BT37" s="741">
        <f t="shared" si="71"/>
        <v>35.715161142857148</v>
      </c>
      <c r="BU37" s="741">
        <f t="shared" si="71"/>
        <v>31.440445714285715</v>
      </c>
      <c r="BV37" s="741">
        <f t="shared" si="71"/>
        <v>38.743550482539689</v>
      </c>
      <c r="BW37" s="741">
        <f t="shared" si="71"/>
        <v>27.92056794285714</v>
      </c>
      <c r="BX37" s="741">
        <f t="shared" si="71"/>
        <v>20.729681142857142</v>
      </c>
      <c r="BY37" s="741">
        <f t="shared" si="71"/>
        <v>38.104734285714294</v>
      </c>
      <c r="BZ37" s="741"/>
    </row>
    <row r="38" spans="1:78">
      <c r="A38" s="1393">
        <f>Eingabedaten!A44</f>
        <v>12.03</v>
      </c>
      <c r="B38" s="738" t="str">
        <f>Eingabedaten!C44</f>
        <v>Treppenhaus</v>
      </c>
      <c r="C38" s="724" t="s">
        <v>5</v>
      </c>
      <c r="D38" s="740">
        <v>10</v>
      </c>
      <c r="E38" s="740">
        <v>10</v>
      </c>
      <c r="F38" s="740">
        <v>5</v>
      </c>
      <c r="G38" s="740"/>
      <c r="H38" s="740">
        <v>5</v>
      </c>
      <c r="I38" s="740">
        <v>5</v>
      </c>
      <c r="J38" s="740">
        <v>5</v>
      </c>
      <c r="K38" s="739">
        <v>5</v>
      </c>
      <c r="L38" s="740">
        <v>5</v>
      </c>
      <c r="M38" s="740">
        <v>5</v>
      </c>
      <c r="N38" s="740">
        <v>5</v>
      </c>
      <c r="O38" s="740">
        <v>5</v>
      </c>
      <c r="P38" s="740"/>
      <c r="Q38" s="740"/>
      <c r="R38" s="740">
        <v>5</v>
      </c>
      <c r="S38" s="740">
        <v>5</v>
      </c>
      <c r="T38" s="740">
        <v>5</v>
      </c>
      <c r="U38" s="740">
        <v>5</v>
      </c>
      <c r="V38" s="740"/>
      <c r="W38" s="740"/>
      <c r="X38" s="740"/>
      <c r="Y38" s="740"/>
      <c r="AA38" s="770"/>
      <c r="BC38" s="213" t="s">
        <v>1149</v>
      </c>
      <c r="BD38" s="723" t="s">
        <v>134</v>
      </c>
      <c r="BE38" s="741">
        <f t="shared" ref="BE38:BY38" si="72">BE37-BE36</f>
        <v>-4.6066672857142841</v>
      </c>
      <c r="BF38" s="741"/>
      <c r="BG38" s="741">
        <f t="shared" si="72"/>
        <v>29.993027571428577</v>
      </c>
      <c r="BH38" s="741">
        <f t="shared" si="72"/>
        <v>-2.5507722857142845</v>
      </c>
      <c r="BI38" s="741">
        <f t="shared" si="72"/>
        <v>23.166334000000006</v>
      </c>
      <c r="BJ38" s="741">
        <f t="shared" si="72"/>
        <v>12.243236653061224</v>
      </c>
      <c r="BK38" s="741"/>
      <c r="BL38" s="741"/>
      <c r="BM38" s="741">
        <f t="shared" si="72"/>
        <v>18.952858971428569</v>
      </c>
      <c r="BN38" s="741">
        <f t="shared" si="72"/>
        <v>52.435040190476187</v>
      </c>
      <c r="BO38" s="741">
        <f t="shared" si="72"/>
        <v>51.952858971428569</v>
      </c>
      <c r="BP38" s="741">
        <f t="shared" si="72"/>
        <v>45.363388057142856</v>
      </c>
      <c r="BQ38" s="741">
        <f t="shared" si="72"/>
        <v>15.216205904761907</v>
      </c>
      <c r="BR38" s="741">
        <f t="shared" si="72"/>
        <v>35.225327809523812</v>
      </c>
      <c r="BS38" s="741">
        <f t="shared" si="72"/>
        <v>5.5114611428571507</v>
      </c>
      <c r="BT38" s="741">
        <f t="shared" si="72"/>
        <v>35.715161142857148</v>
      </c>
      <c r="BU38" s="741">
        <f t="shared" si="72"/>
        <v>31.440445714285715</v>
      </c>
      <c r="BV38" s="741">
        <f t="shared" si="72"/>
        <v>21.743550482539689</v>
      </c>
      <c r="BW38" s="741">
        <f t="shared" si="72"/>
        <v>21.92056794285714</v>
      </c>
      <c r="BX38" s="741">
        <f t="shared" si="72"/>
        <v>14.729681142857142</v>
      </c>
      <c r="BY38" s="741">
        <f t="shared" si="72"/>
        <v>-17.895265714285706</v>
      </c>
      <c r="BZ38" s="741"/>
    </row>
    <row r="39" spans="1:78">
      <c r="A39" s="1393">
        <f>Eingabedaten!A45</f>
        <v>12.04</v>
      </c>
      <c r="B39" s="738" t="str">
        <f>Eingabedaten!C45</f>
        <v>Nebenraum</v>
      </c>
      <c r="C39" s="724" t="s">
        <v>5</v>
      </c>
      <c r="D39" s="739">
        <v>5</v>
      </c>
      <c r="E39" s="739">
        <v>5</v>
      </c>
      <c r="F39" s="740">
        <v>5</v>
      </c>
      <c r="G39" s="739">
        <v>10</v>
      </c>
      <c r="H39" s="740">
        <v>5</v>
      </c>
      <c r="I39" s="739">
        <v>10</v>
      </c>
      <c r="J39" s="739">
        <v>10</v>
      </c>
      <c r="K39" s="739">
        <v>7</v>
      </c>
      <c r="L39" s="740">
        <v>7</v>
      </c>
      <c r="M39" s="740">
        <v>5</v>
      </c>
      <c r="N39" s="740">
        <v>7</v>
      </c>
      <c r="O39" s="740">
        <v>7</v>
      </c>
      <c r="P39" s="740">
        <v>10</v>
      </c>
      <c r="Q39" s="740">
        <v>10</v>
      </c>
      <c r="R39" s="740">
        <v>10</v>
      </c>
      <c r="S39" s="740">
        <v>10</v>
      </c>
      <c r="T39" s="740">
        <v>10</v>
      </c>
      <c r="U39" s="740">
        <v>9</v>
      </c>
      <c r="V39" s="740">
        <v>9</v>
      </c>
      <c r="W39" s="740">
        <v>10</v>
      </c>
      <c r="X39" s="740">
        <v>10</v>
      </c>
      <c r="Y39" s="740">
        <v>5</v>
      </c>
      <c r="AA39" s="770"/>
    </row>
    <row r="40" spans="1:78">
      <c r="A40" s="1393">
        <f>Eingabedaten!A46</f>
        <v>12.05</v>
      </c>
      <c r="B40" s="738" t="str">
        <f>Eingabedaten!C46</f>
        <v>Küche, Teeküche</v>
      </c>
      <c r="C40" s="724" t="s">
        <v>5</v>
      </c>
      <c r="D40" s="740"/>
      <c r="E40" s="740"/>
      <c r="F40" s="740"/>
      <c r="G40" s="740"/>
      <c r="H40" s="740">
        <v>2</v>
      </c>
      <c r="I40" s="740"/>
      <c r="J40" s="740"/>
      <c r="K40" s="740"/>
      <c r="L40" s="740"/>
      <c r="M40" s="740"/>
      <c r="N40" s="740"/>
      <c r="O40" s="740"/>
      <c r="P40" s="740"/>
      <c r="Q40" s="740"/>
      <c r="R40" s="740"/>
      <c r="S40" s="740"/>
      <c r="T40" s="740"/>
      <c r="U40" s="740"/>
      <c r="V40" s="740"/>
      <c r="W40" s="740"/>
      <c r="X40" s="740"/>
      <c r="Y40" s="740"/>
      <c r="AA40" s="810">
        <v>0</v>
      </c>
      <c r="AC40" s="795" t="s">
        <v>1533</v>
      </c>
      <c r="AD40" s="1279"/>
      <c r="AE40" s="725" t="str">
        <f>AE1</f>
        <v>I</v>
      </c>
      <c r="AF40" s="725">
        <f t="shared" ref="AF40:AG40" si="73">E40</f>
        <v>0</v>
      </c>
      <c r="AG40" s="724">
        <f t="shared" si="73"/>
        <v>0</v>
      </c>
      <c r="AH40" s="725" t="str">
        <f>AH1</f>
        <v>II</v>
      </c>
      <c r="AI40" s="725" t="str">
        <f>AI1</f>
        <v>III</v>
      </c>
      <c r="AJ40" s="725" t="str">
        <f>AJ1</f>
        <v>IV</v>
      </c>
      <c r="AK40" s="724">
        <f t="shared" ref="AK40:AL40" si="74">J40</f>
        <v>0</v>
      </c>
      <c r="AL40" s="724">
        <f t="shared" si="74"/>
        <v>0</v>
      </c>
      <c r="AM40" s="725" t="str">
        <f>AM1</f>
        <v>V</v>
      </c>
      <c r="AN40" s="724">
        <f t="shared" ref="AN40:AP40" si="75">M40</f>
        <v>0</v>
      </c>
      <c r="AO40" s="724">
        <f t="shared" si="75"/>
        <v>0</v>
      </c>
      <c r="AP40" s="724">
        <f t="shared" si="75"/>
        <v>0</v>
      </c>
      <c r="AQ40" s="725" t="str">
        <f>AQ1</f>
        <v>VI</v>
      </c>
      <c r="AR40" s="725" t="str">
        <f>AR1</f>
        <v>VII</v>
      </c>
      <c r="AS40" s="725" t="str">
        <f>AS1</f>
        <v>VIII</v>
      </c>
      <c r="AT40" s="724">
        <f t="shared" ref="AT40:AU40" si="76">S40</f>
        <v>0</v>
      </c>
      <c r="AU40" s="724">
        <f t="shared" si="76"/>
        <v>0</v>
      </c>
      <c r="AV40" s="725" t="str">
        <f>AV1</f>
        <v>IX</v>
      </c>
      <c r="AW40" s="725" t="str">
        <f>AW1</f>
        <v>X</v>
      </c>
      <c r="AX40" s="725" t="str">
        <f>AX1</f>
        <v>XI</v>
      </c>
      <c r="AY40" s="725" t="str">
        <f>AY1</f>
        <v>XII</v>
      </c>
    </row>
    <row r="41" spans="1:78">
      <c r="A41" s="1393">
        <f>Eingabedaten!A47</f>
        <v>12.06</v>
      </c>
      <c r="B41" s="738" t="str">
        <f>Eingabedaten!C47</f>
        <v xml:space="preserve">WC, Bad, Dusche </v>
      </c>
      <c r="C41" s="724" t="s">
        <v>5</v>
      </c>
      <c r="D41" s="740"/>
      <c r="E41" s="740"/>
      <c r="F41" s="740">
        <v>5</v>
      </c>
      <c r="G41" s="740"/>
      <c r="H41" s="740"/>
      <c r="I41" s="740"/>
      <c r="J41" s="740"/>
      <c r="K41" s="740"/>
      <c r="L41" s="740"/>
      <c r="M41" s="740"/>
      <c r="N41" s="740"/>
      <c r="O41" s="740"/>
      <c r="P41" s="740"/>
      <c r="Q41" s="740"/>
      <c r="R41" s="740"/>
      <c r="S41" s="740"/>
      <c r="T41" s="740"/>
      <c r="U41" s="740"/>
      <c r="V41" s="740"/>
      <c r="W41" s="739">
        <v>5</v>
      </c>
      <c r="X41" s="740"/>
      <c r="Y41" s="740"/>
      <c r="AA41" s="770"/>
      <c r="AC41" s="732"/>
      <c r="AD41" s="733"/>
      <c r="AE41" s="734"/>
      <c r="AF41" s="734"/>
      <c r="AG41" s="731"/>
      <c r="AH41" s="731"/>
      <c r="AI41" s="731"/>
      <c r="AJ41" s="731"/>
      <c r="AK41" s="731"/>
      <c r="AL41" s="731"/>
      <c r="AM41" s="731"/>
      <c r="AN41" s="731"/>
      <c r="AO41" s="731"/>
      <c r="AP41" s="731"/>
      <c r="AQ41" s="731"/>
      <c r="AR41" s="731"/>
      <c r="AS41" s="731"/>
      <c r="AT41" s="731"/>
      <c r="AU41" s="731"/>
      <c r="AV41" s="731"/>
      <c r="AW41" s="731"/>
      <c r="AX41" s="731"/>
      <c r="AY41" s="731"/>
    </row>
    <row r="42" spans="1:78">
      <c r="A42" s="1393">
        <f>Eingabedaten!A48</f>
        <v>12.07</v>
      </c>
      <c r="B42" s="738" t="str">
        <f>Eingabedaten!C48</f>
        <v>WC</v>
      </c>
      <c r="C42" s="724" t="s">
        <v>5</v>
      </c>
      <c r="D42" s="740"/>
      <c r="E42" s="740"/>
      <c r="F42" s="740"/>
      <c r="G42" s="740"/>
      <c r="H42" s="740">
        <v>2</v>
      </c>
      <c r="I42" s="740">
        <v>2</v>
      </c>
      <c r="J42" s="740">
        <v>2</v>
      </c>
      <c r="K42" s="739">
        <v>2</v>
      </c>
      <c r="L42" s="740">
        <v>1</v>
      </c>
      <c r="M42" s="740">
        <v>1</v>
      </c>
      <c r="N42" s="740">
        <v>1</v>
      </c>
      <c r="O42" s="740">
        <v>1</v>
      </c>
      <c r="P42" s="740">
        <v>1</v>
      </c>
      <c r="Q42" s="740">
        <v>5</v>
      </c>
      <c r="R42" s="740">
        <v>5</v>
      </c>
      <c r="S42" s="740">
        <v>5</v>
      </c>
      <c r="T42" s="740">
        <v>5</v>
      </c>
      <c r="U42" s="740">
        <v>1</v>
      </c>
      <c r="V42" s="740">
        <v>1</v>
      </c>
      <c r="W42" s="740">
        <v>5</v>
      </c>
      <c r="X42" s="740">
        <v>5</v>
      </c>
      <c r="Y42" s="740"/>
      <c r="AA42" s="770"/>
      <c r="AC42" s="772" t="s">
        <v>51</v>
      </c>
      <c r="AD42" s="778" t="s">
        <v>134</v>
      </c>
      <c r="AE42" s="1051">
        <f>SUMPRODUCT(KZ_Raum_2024!$K$7:$K$51,'Fläche-Best'!D$3:D$47)/100*$AD$1</f>
        <v>7.3440000000000012</v>
      </c>
      <c r="AF42" s="1051">
        <f>SUMPRODUCT(KZ_Raum_2024!$C$7:$C$51,'Fläche-Best'!E$3:E$47)/100*$AD$1</f>
        <v>14.688000000000002</v>
      </c>
      <c r="AG42" s="1051">
        <f>SUMPRODUCT(KZ_Raum_2024!$C$7:$C$51,'Fläche-Best'!F$3:F$47)/100*$AD$1</f>
        <v>12.284000000000001</v>
      </c>
      <c r="AH42" s="1051">
        <f>SUMPRODUCT(KZ_Raum_2024!$K$7:$K$51,'Fläche-Best'!G$3:G$47)/100*$AD$1</f>
        <v>6.4080000000000004</v>
      </c>
      <c r="AI42" s="1051">
        <f>SUMPRODUCT(KZ_Raum_2024!$K$7:$K$51,'Fläche-Best'!H$3:H$47)/100*$AD$1</f>
        <v>10.224</v>
      </c>
      <c r="AJ42" s="1051">
        <f>SUMPRODUCT(KZ_Raum_2024!$K$7:$K$51,'Fläche-Best'!I$3:I$47)/100*$AD$1</f>
        <v>3.5337600000000005</v>
      </c>
      <c r="AK42" s="1051">
        <f>SUMPRODUCT(KZ_Raum_2024!$C$7:$C$51,'Fläche-Best'!J$3:J$47)/100*$AD$1</f>
        <v>6.9511200000000004</v>
      </c>
      <c r="AL42" s="1051">
        <f>SUMPRODUCT(KZ_Raum_2024!$C$7:$C$51,'Fläche-Best'!K$3:K$47)/100*$AD$1</f>
        <v>11.325200000000002</v>
      </c>
      <c r="AM42" s="1051">
        <f>SUMPRODUCT(KZ_Raum_2024!$K$7:$K$51,'Fläche-Best'!L$3:L$47)/100*$AD$1</f>
        <v>2.4408000000000003</v>
      </c>
      <c r="AN42" s="1051">
        <f>SUMPRODUCT(KZ_Raum_2024!$C$7:$C$51,'Fläche-Best'!M$3:M$47)/100*$AD$1</f>
        <v>5.13</v>
      </c>
      <c r="AO42" s="1051">
        <f>SUMPRODUCT(KZ_Raum_2024!$C$7:$C$51,'Fläche-Best'!N$3:N$47)/100*$AD$1</f>
        <v>4.7652000000000001</v>
      </c>
      <c r="AP42" s="1051">
        <f>SUMPRODUCT(KZ_Raum_2024!$C$7:$C$51,'Fläche-Best'!O$3:O$47)/100*$AD$1</f>
        <v>4.5540000000000003</v>
      </c>
      <c r="AQ42" s="1051">
        <f>SUMPRODUCT(KZ_Raum_2024!$K$7:$K$51,'Fläche-Best'!P$3:P$47)/100*$AD$1</f>
        <v>3.6224000000000007</v>
      </c>
      <c r="AR42" s="1051">
        <f>SUMPRODUCT(KZ_Raum_2024!$K$7:$K$51,'Fläche-Best'!Q$3:Q$47)/100*$AD$1</f>
        <v>3.3864000000000005</v>
      </c>
      <c r="AS42" s="1051">
        <f>SUMPRODUCT(KZ_Raum_2024!$K$7:$K$51,'Fläche-Best'!R$3:R$47)/100*$AD$1</f>
        <v>5.3124000000000002</v>
      </c>
      <c r="AT42" s="1051">
        <f>SUMPRODUCT(KZ_Raum_2024!$C$7:$C$51,'Fläche-Best'!S$3:S$47)/100*$AD$1</f>
        <v>9.4044000000000008</v>
      </c>
      <c r="AU42" s="1051">
        <f>SUMPRODUCT(KZ_Raum_2024!$C$7:$C$51,'Fläche-Best'!T$3:T$47)/100*$AD$1</f>
        <v>8.0483999999999991</v>
      </c>
      <c r="AV42" s="1051">
        <f>SUMPRODUCT(KZ_Raum_2024!$K$7:$K$51,'Fläche-Best'!U$3:U$47)/100*$AD$1</f>
        <v>6.9223999999999997</v>
      </c>
      <c r="AW42" s="1051">
        <f>SUMPRODUCT(KZ_Raum_2024!$K$7:$K$51,'Fläche-Best'!V$3:V$47)/100*$AD$1</f>
        <v>2.468</v>
      </c>
      <c r="AX42" s="1051">
        <f>SUMPRODUCT(KZ_Raum_2024!$K$7:$K$51,'Fläche-Best'!W$3:W$47)/100*$AD$1</f>
        <v>0</v>
      </c>
      <c r="AY42" s="1052">
        <f>SUMPRODUCT(KZ_Raum_2024!$K$7:$K$51,'Fläche-Best'!X$3:X$47)/100*$AD$1</f>
        <v>3.9720000000000009</v>
      </c>
    </row>
    <row r="43" spans="1:78">
      <c r="A43" s="1393">
        <f>Eingabedaten!A49</f>
        <v>12.08</v>
      </c>
      <c r="B43" s="738" t="str">
        <f>Eingabedaten!C49</f>
        <v>Garderobe, Dusche</v>
      </c>
      <c r="C43" s="724" t="s">
        <v>5</v>
      </c>
      <c r="D43" s="740"/>
      <c r="E43" s="740"/>
      <c r="F43" s="740"/>
      <c r="G43" s="740"/>
      <c r="H43" s="740"/>
      <c r="I43" s="740"/>
      <c r="J43" s="740"/>
      <c r="K43" s="740"/>
      <c r="L43" s="740">
        <v>2</v>
      </c>
      <c r="M43" s="740">
        <v>2</v>
      </c>
      <c r="N43" s="740">
        <v>2</v>
      </c>
      <c r="O43" s="740">
        <v>2</v>
      </c>
      <c r="P43" s="740">
        <v>2</v>
      </c>
      <c r="Q43" s="740"/>
      <c r="R43" s="740"/>
      <c r="S43" s="740"/>
      <c r="T43" s="740"/>
      <c r="U43" s="740"/>
      <c r="V43" s="740"/>
      <c r="W43" s="739">
        <v>10</v>
      </c>
      <c r="X43" s="740">
        <v>10</v>
      </c>
      <c r="Y43" s="740"/>
      <c r="AA43" s="770"/>
      <c r="AC43" s="773" t="s">
        <v>17</v>
      </c>
      <c r="AD43" s="774" t="s">
        <v>134</v>
      </c>
      <c r="AE43" s="1053">
        <f>SUMPRODUCT(KZ_Raum_2024!$M$7:$M$51,'Fläche-Best'!D$3:D$47)/100*$AD$1</f>
        <v>0.80216196581196597</v>
      </c>
      <c r="AF43" s="1053">
        <f>SUMPRODUCT(KZ_Raum_2024!$E$7:$E$51,'Fläche-Best'!E$3:E$47)/100*$AD$1</f>
        <v>2.1526810000000007</v>
      </c>
      <c r="AG43" s="1053">
        <f>SUMPRODUCT(KZ_Raum_2024!$E$7:$E$51,'Fläche-Best'!F$3:F$47)/100*$AD$1</f>
        <v>4.8560016666666677</v>
      </c>
      <c r="AH43" s="1053">
        <f>SUMPRODUCT(KZ_Raum_2024!$M$7:$M$51,'Fläche-Best'!G$3:G$47)/100*$AD$1</f>
        <v>0.82553874643874647</v>
      </c>
      <c r="AI43" s="1053">
        <f>SUMPRODUCT(KZ_Raum_2024!$M$7:$M$51,'Fläche-Best'!H$3:H$47)/100*$AD$1</f>
        <v>1.2562361965811963</v>
      </c>
      <c r="AJ43" s="1053">
        <f>SUMPRODUCT(KZ_Raum_2024!$M$7:$M$51,'Fläche-Best'!I$3:I$47)/100*$AD$1</f>
        <v>0.99508483923483948</v>
      </c>
      <c r="AK43" s="1053">
        <f>SUMPRODUCT(KZ_Raum_2024!$E$7:$E$51,'Fläche-Best'!J$3:J$47)/100*$AD$1</f>
        <v>6.6046965079365085</v>
      </c>
      <c r="AL43" s="1053">
        <f>SUMPRODUCT(KZ_Raum_2024!$E$7:$E$51,'Fläche-Best'!K$3:K$47)/100*$AD$1</f>
        <v>7.0316882857142859</v>
      </c>
      <c r="AM43" s="1053">
        <f>SUMPRODUCT(KZ_Raum_2024!$M$7:$M$51,'Fläche-Best'!L$3:L$47)/100*$AD$1</f>
        <v>14.517997136752136</v>
      </c>
      <c r="AN43" s="1053">
        <f>SUMPRODUCT(KZ_Raum_2024!$E$7:$E$51,'Fläche-Best'!M$3:M$47)/100*$AD$1</f>
        <v>23.902055481481479</v>
      </c>
      <c r="AO43" s="1053">
        <f>SUMPRODUCT(KZ_Raum_2024!$E$7:$E$51,'Fläche-Best'!N$3:N$47)/100*$AD$1</f>
        <v>23.952625644444446</v>
      </c>
      <c r="AP43" s="1053">
        <f>SUMPRODUCT(KZ_Raum_2024!$E$7:$E$51,'Fläche-Best'!O$3:O$47)/100*$AD$1</f>
        <v>19.481929644444445</v>
      </c>
      <c r="AQ43" s="1053">
        <f>SUMPRODUCT(KZ_Raum_2024!$M$7:$M$51,'Fläche-Best'!P$3:P$47)/100*$AD$1</f>
        <v>2.374415242165242</v>
      </c>
      <c r="AR43" s="1053">
        <f>SUMPRODUCT(KZ_Raum_2024!$M$7:$M$51,'Fläche-Best'!Q$3:Q$47)/100*$AD$1</f>
        <v>6.0826807692307696</v>
      </c>
      <c r="AS43" s="1053">
        <f>SUMPRODUCT(KZ_Raum_2024!$M$7:$M$51,'Fläche-Best'!R$3:R$47)/100*$AD$1</f>
        <v>3.2836374643874642</v>
      </c>
      <c r="AT43" s="1053">
        <f>SUMPRODUCT(KZ_Raum_2024!$E$7:$E$51,'Fläche-Best'!S$3:S$47)/100*$AD$1</f>
        <v>10.714216444444446</v>
      </c>
      <c r="AU43" s="1053">
        <f>SUMPRODUCT(KZ_Raum_2024!$E$7:$E$51,'Fläche-Best'!T$3:T$47)/100*$AD$1</f>
        <v>8.7956600000000034</v>
      </c>
      <c r="AV43" s="1053">
        <f>SUMPRODUCT(KZ_Raum_2024!$M$7:$M$51,'Fläche-Best'!U$3:U$47)/100*$AD$1</f>
        <v>1.8168513247863249</v>
      </c>
      <c r="AW43" s="1053">
        <f>SUMPRODUCT(KZ_Raum_2024!$M$7:$M$51,'Fläche-Best'!V$3:V$47)/100*$AD$1</f>
        <v>2.9044777136752145</v>
      </c>
      <c r="AX43" s="1053">
        <f>SUMPRODUCT(KZ_Raum_2024!$M$7:$M$51,'Fläche-Best'!W$3:W$47)/100*$AD$1</f>
        <v>2.5448910256410247</v>
      </c>
      <c r="AY43" s="1054">
        <f>SUMPRODUCT(KZ_Raum_2024!$M$7:$M$51,'Fläche-Best'!X$3:X$47)/100*$AD$1</f>
        <v>1.8661383190883194</v>
      </c>
      <c r="BC43" s="742" t="s">
        <v>1099</v>
      </c>
    </row>
    <row r="44" spans="1:78">
      <c r="A44" s="1393">
        <f>Eingabedaten!A50</f>
        <v>12.09</v>
      </c>
      <c r="B44" s="738" t="str">
        <f>Eingabedaten!C50</f>
        <v>Parkhaus</v>
      </c>
      <c r="C44" s="724" t="s">
        <v>5</v>
      </c>
      <c r="D44" s="740"/>
      <c r="E44" s="740"/>
      <c r="F44" s="740"/>
      <c r="G44" s="740"/>
      <c r="H44" s="740"/>
      <c r="I44" s="740"/>
      <c r="J44" s="740"/>
      <c r="K44" s="740"/>
      <c r="L44" s="740"/>
      <c r="M44" s="740"/>
      <c r="N44" s="740"/>
      <c r="O44" s="740"/>
      <c r="P44" s="740"/>
      <c r="Q44" s="740"/>
      <c r="R44" s="740"/>
      <c r="S44" s="740"/>
      <c r="T44" s="740"/>
      <c r="U44" s="740"/>
      <c r="V44" s="740"/>
      <c r="W44" s="740"/>
      <c r="X44" s="740"/>
      <c r="Y44" s="740">
        <v>90</v>
      </c>
      <c r="AA44" s="770"/>
      <c r="AC44" s="773" t="s">
        <v>19</v>
      </c>
      <c r="AD44" s="774" t="s">
        <v>134</v>
      </c>
      <c r="AE44" s="1053">
        <f>SUMPRODUCT(KZ_Raum_2024!$N$7:$N$51,'Fläche-Best'!D$3:D$47)/100*$AD$1</f>
        <v>1.2390284000000003</v>
      </c>
      <c r="AF44" s="1053">
        <f>SUMPRODUCT(KZ_Raum_2024!$F$7:$F$51,'Fläche-Best'!E$3:E$47)/100*$AD$1</f>
        <v>2.7887072000000006</v>
      </c>
      <c r="AG44" s="1053">
        <f>SUMPRODUCT(KZ_Raum_2024!$F$7:$F$51,'Fläche-Best'!F$3:F$47)/100*$AD$1</f>
        <v>4.6930259047619058</v>
      </c>
      <c r="AH44" s="1053">
        <f>SUMPRODUCT(KZ_Raum_2024!$N$7:$N$51,'Fläche-Best'!G$3:G$47)/100*$AD$1</f>
        <v>0.61041411199999995</v>
      </c>
      <c r="AI44" s="1053">
        <f>SUMPRODUCT(KZ_Raum_2024!$N$7:$N$51,'Fläche-Best'!H$3:H$47)/100*$AD$1</f>
        <v>1.3441032876190475</v>
      </c>
      <c r="AJ44" s="1053">
        <f>SUMPRODUCT(KZ_Raum_2024!$N$7:$N$51,'Fläche-Best'!I$3:I$47)/100*$AD$1</f>
        <v>1.3628216342857147</v>
      </c>
      <c r="AK44" s="1053">
        <f>SUMPRODUCT(KZ_Raum_2024!$F$7:$F$51,'Fläche-Best'!J$3:J$47)/100*$AD$1</f>
        <v>2.3824341714285713</v>
      </c>
      <c r="AL44" s="1053">
        <f>SUMPRODUCT(KZ_Raum_2024!$F$7:$F$51,'Fläche-Best'!K$3:K$47)/100*$AD$1</f>
        <v>3.5070634095238091</v>
      </c>
      <c r="AM44" s="1053">
        <f>SUMPRODUCT(KZ_Raum_2024!$N$7:$N$51,'Fläche-Best'!L$3:L$47)/100*$AD$1</f>
        <v>1.6159523542857142</v>
      </c>
      <c r="AN44" s="1053">
        <f>SUMPRODUCT(KZ_Raum_2024!$F$7:$F$51,'Fläche-Best'!M$3:M$47)/100*$AD$1</f>
        <v>3.9833393714285714</v>
      </c>
      <c r="AO44" s="1053">
        <f>SUMPRODUCT(KZ_Raum_2024!$F$7:$F$51,'Fläche-Best'!N$3:N$47)/100*$AD$1</f>
        <v>3.993240171428571</v>
      </c>
      <c r="AP44" s="1053">
        <f>SUMPRODUCT(KZ_Raum_2024!$F$7:$F$51,'Fläche-Best'!O$3:O$47)/100*$AD$1</f>
        <v>3.6761541714285713</v>
      </c>
      <c r="AQ44" s="1053">
        <f>SUMPRODUCT(KZ_Raum_2024!$N$7:$N$51,'Fläche-Best'!P$3:P$47)/100*$AD$1</f>
        <v>4.1078234742857154</v>
      </c>
      <c r="AR44" s="1053">
        <f>SUMPRODUCT(KZ_Raum_2024!$N$7:$N$51,'Fläche-Best'!Q$3:Q$47)/100*$AD$1</f>
        <v>4.574929714285715</v>
      </c>
      <c r="AS44" s="1053">
        <f>SUMPRODUCT(KZ_Raum_2024!$N$7:$N$51,'Fläche-Best'!R$3:R$47)/100*$AD$1</f>
        <v>2.8070022476190482</v>
      </c>
      <c r="AT44" s="1053">
        <f>SUMPRODUCT(KZ_Raum_2024!$F$7:$F$51,'Fläche-Best'!S$3:S$47)/100*$AD$1</f>
        <v>5.1245579047619048</v>
      </c>
      <c r="AU44" s="1053">
        <f>SUMPRODUCT(KZ_Raum_2024!$F$7:$F$51,'Fläche-Best'!T$3:T$47)/100*$AD$1</f>
        <v>5.3315339047619057</v>
      </c>
      <c r="AV44" s="1053">
        <f>SUMPRODUCT(KZ_Raum_2024!$N$7:$N$51,'Fläche-Best'!U$3:U$47)/100*$AD$1</f>
        <v>1.1551397498412701</v>
      </c>
      <c r="AW44" s="1053">
        <f>SUMPRODUCT(KZ_Raum_2024!$N$7:$N$51,'Fläche-Best'!V$3:V$47)/100*$AD$1</f>
        <v>0.75148356095238134</v>
      </c>
      <c r="AX44" s="1053">
        <f>SUMPRODUCT(KZ_Raum_2024!$N$7:$N$51,'Fläche-Best'!W$3:W$47)/100*$AD$1</f>
        <v>1.3501816</v>
      </c>
      <c r="AY44" s="1054">
        <f>SUMPRODUCT(KZ_Raum_2024!$N$7:$N$51,'Fläche-Best'!X$3:X$47)/100*$AD$1</f>
        <v>3.0589409142857154</v>
      </c>
      <c r="BC44" s="723" t="s">
        <v>420</v>
      </c>
      <c r="BD44" s="723" t="s">
        <v>16</v>
      </c>
      <c r="BE44" s="723">
        <f t="shared" ref="BE44:BY44" si="77">BE9</f>
        <v>0.7</v>
      </c>
      <c r="BG44" s="723">
        <f t="shared" si="77"/>
        <v>0</v>
      </c>
      <c r="BH44" s="723">
        <f t="shared" si="77"/>
        <v>0.7</v>
      </c>
      <c r="BI44" s="723">
        <f t="shared" si="77"/>
        <v>0.9</v>
      </c>
      <c r="BJ44" s="723">
        <f t="shared" si="77"/>
        <v>0.9</v>
      </c>
      <c r="BM44" s="723">
        <f t="shared" si="77"/>
        <v>0.8</v>
      </c>
      <c r="BN44" s="723">
        <f t="shared" si="77"/>
        <v>0</v>
      </c>
      <c r="BO44" s="723">
        <f t="shared" si="77"/>
        <v>0</v>
      </c>
      <c r="BP44" s="723">
        <f t="shared" si="77"/>
        <v>0</v>
      </c>
      <c r="BQ44" s="723">
        <f t="shared" si="77"/>
        <v>0.7</v>
      </c>
      <c r="BR44" s="723">
        <f t="shared" si="77"/>
        <v>0.8</v>
      </c>
      <c r="BS44" s="723">
        <f t="shared" si="77"/>
        <v>0.7</v>
      </c>
      <c r="BT44" s="723">
        <f t="shared" si="77"/>
        <v>0</v>
      </c>
      <c r="BU44" s="723">
        <f t="shared" si="77"/>
        <v>0</v>
      </c>
      <c r="BV44" s="723">
        <f t="shared" si="77"/>
        <v>0.9</v>
      </c>
      <c r="BW44" s="723">
        <f t="shared" si="77"/>
        <v>0.9</v>
      </c>
      <c r="BX44" s="723">
        <f t="shared" si="77"/>
        <v>0.9</v>
      </c>
      <c r="BY44" s="723">
        <f t="shared" si="77"/>
        <v>0.7</v>
      </c>
    </row>
    <row r="45" spans="1:78" ht="12.45">
      <c r="A45" s="633">
        <f>Eingabedaten!A51</f>
        <v>12.1</v>
      </c>
      <c r="B45" s="738" t="str">
        <f>Eingabedaten!C51</f>
        <v>Wasch- und Trockenraum</v>
      </c>
      <c r="C45" s="724" t="s">
        <v>5</v>
      </c>
      <c r="D45" s="740"/>
      <c r="E45" s="740"/>
      <c r="F45" s="740"/>
      <c r="G45" s="740"/>
      <c r="H45" s="740"/>
      <c r="I45" s="740"/>
      <c r="J45" s="740"/>
      <c r="K45" s="740"/>
      <c r="L45" s="740"/>
      <c r="M45" s="740"/>
      <c r="N45" s="740"/>
      <c r="O45" s="740"/>
      <c r="P45" s="740"/>
      <c r="Q45" s="740"/>
      <c r="R45" s="740"/>
      <c r="S45" s="740"/>
      <c r="T45" s="740"/>
      <c r="U45" s="740"/>
      <c r="V45" s="740"/>
      <c r="W45" s="740"/>
      <c r="X45" s="740"/>
      <c r="Y45" s="740"/>
      <c r="AA45" s="770"/>
      <c r="AC45" s="773" t="s">
        <v>463</v>
      </c>
      <c r="AD45" s="774" t="s">
        <v>134</v>
      </c>
      <c r="AE45" s="1053">
        <f>SUMPRODUCT(KZ_Raum_2024!$O$7:$O$51,'Fläche-Best'!D$3:D$47)/100*$AD$1</f>
        <v>1.8750312159711584</v>
      </c>
      <c r="AF45" s="1053">
        <f>SUMPRODUCT(KZ_Raum_2024!$G$7:$G$51,'Fläche-Best'!E$3:E$47)/100*$AD$1</f>
        <v>3.3889639654036778</v>
      </c>
      <c r="AG45" s="1053">
        <f>SUMPRODUCT(KZ_Raum_2024!$G$7:$G$51,'Fläche-Best'!F$3:F$47)/100*$AD$1</f>
        <v>4.7381022785109517</v>
      </c>
      <c r="AH45" s="1053">
        <f>SUMPRODUCT(KZ_Raum_2024!$O$7:$O$51,'Fläche-Best'!G$3:G$47)/100*$AD$1</f>
        <v>0.72702775113040485</v>
      </c>
      <c r="AI45" s="1053">
        <f>SUMPRODUCT(KZ_Raum_2024!$O$7:$O$51,'Fläche-Best'!H$3:H$47)/100*$AD$1</f>
        <v>3.4427295961817279</v>
      </c>
      <c r="AJ45" s="1053">
        <f>SUMPRODUCT(KZ_Raum_2024!$O$7:$O$51,'Fläche-Best'!I$3:I$47)/100*$AD$1</f>
        <v>2.6699995175456892</v>
      </c>
      <c r="AK45" s="1053">
        <f>SUMPRODUCT(KZ_Raum_2024!$G$7:$G$51,'Fläche-Best'!J$3:J$47)/100*$AD$1</f>
        <v>4.7746948126511946</v>
      </c>
      <c r="AL45" s="1053">
        <f>SUMPRODUCT(KZ_Raum_2024!$G$7:$G$51,'Fläche-Best'!K$3:K$47)/100*$AD$1</f>
        <v>7.6636916706564904</v>
      </c>
      <c r="AM45" s="1053">
        <f>SUMPRODUCT(KZ_Raum_2024!$O$7:$O$51,'Fläche-Best'!L$3:L$47)/100*$AD$1</f>
        <v>11.05409373138259</v>
      </c>
      <c r="AN45" s="1053">
        <f>SUMPRODUCT(KZ_Raum_2024!$G$7:$G$51,'Fläche-Best'!M$3:M$47)/100*$AD$1</f>
        <v>11.926227215554942</v>
      </c>
      <c r="AO45" s="1053">
        <f>SUMPRODUCT(KZ_Raum_2024!$G$7:$G$51,'Fläche-Best'!N$3:N$47)/100*$AD$1</f>
        <v>11.651377900486445</v>
      </c>
      <c r="AP45" s="1053">
        <f>SUMPRODUCT(KZ_Raum_2024!$G$7:$G$51,'Fläche-Best'!O$3:O$47)/100*$AD$1</f>
        <v>7.2009850607139558</v>
      </c>
      <c r="AQ45" s="1053">
        <f>SUMPRODUCT(KZ_Raum_2024!$O$7:$O$51,'Fläche-Best'!P$3:P$47)/100*$AD$1</f>
        <v>4.7731405574227415</v>
      </c>
      <c r="AR45" s="1053">
        <f>SUMPRODUCT(KZ_Raum_2024!$O$7:$O$51,'Fläche-Best'!Q$3:Q$47)/100*$AD$1</f>
        <v>10.53191730434</v>
      </c>
      <c r="AS45" s="1053">
        <f>SUMPRODUCT(KZ_Raum_2024!$O$7:$O$51,'Fläche-Best'!R$3:R$47)/100*$AD$1</f>
        <v>7.3347532646103959</v>
      </c>
      <c r="AT45" s="1053">
        <f>SUMPRODUCT(KZ_Raum_2024!$G$7:$G$51,'Fläche-Best'!S$3:S$47)/100*$AD$1</f>
        <v>10.896918506140496</v>
      </c>
      <c r="AU45" s="1053">
        <f>SUMPRODUCT(KZ_Raum_2024!$G$7:$G$51,'Fläche-Best'!T$3:T$47)/100*$AD$1</f>
        <v>10.269304483987643</v>
      </c>
      <c r="AV45" s="1053">
        <f>SUMPRODUCT(KZ_Raum_2024!$O$7:$O$51,'Fläche-Best'!U$3:U$47)/100*$AD$1</f>
        <v>2.0197354151783848</v>
      </c>
      <c r="AW45" s="1053">
        <f>SUMPRODUCT(KZ_Raum_2024!$O$7:$O$51,'Fläche-Best'!V$3:V$47)/100*$AD$1</f>
        <v>0.20928253513353298</v>
      </c>
      <c r="AX45" s="1053">
        <f>SUMPRODUCT(KZ_Raum_2024!$O$7:$O$51,'Fläche-Best'!W$3:W$47)/100*$AD$1</f>
        <v>0</v>
      </c>
      <c r="AY45" s="1054">
        <f>SUMPRODUCT(KZ_Raum_2024!$O$7:$O$51,'Fläche-Best'!X$3:X$47)/100*$AD$1</f>
        <v>0.20928253513353298</v>
      </c>
      <c r="BC45" s="723" t="s">
        <v>1539</v>
      </c>
      <c r="BD45" s="723" t="s">
        <v>16</v>
      </c>
      <c r="BE45" s="723">
        <f>BE62/BE37</f>
        <v>0.88486750702942951</v>
      </c>
      <c r="BG45" s="723">
        <f t="shared" ref="BG45:BY45" si="78">BG62/BG37</f>
        <v>0</v>
      </c>
      <c r="BH45" s="723">
        <f t="shared" si="78"/>
        <v>0.8792122880766019</v>
      </c>
      <c r="BI45" s="723">
        <f t="shared" si="78"/>
        <v>0.79705384103124233</v>
      </c>
      <c r="BJ45" s="723">
        <f t="shared" si="78"/>
        <v>0.79162813142792876</v>
      </c>
      <c r="BM45" s="723">
        <f t="shared" si="78"/>
        <v>0.70063516658473302</v>
      </c>
      <c r="BN45" s="723">
        <f t="shared" si="78"/>
        <v>0.6941922780601083</v>
      </c>
      <c r="BO45" s="723">
        <f t="shared" si="78"/>
        <v>0.70063516658473302</v>
      </c>
      <c r="BP45" s="723">
        <f t="shared" si="78"/>
        <v>0.69439257844498792</v>
      </c>
      <c r="BQ45" s="723">
        <f>BQ62/BQ37</f>
        <v>0.39820636318677621</v>
      </c>
      <c r="BR45" s="723">
        <f t="shared" si="78"/>
        <v>0.59741128124255383</v>
      </c>
      <c r="BS45" s="723">
        <f t="shared" si="78"/>
        <v>0.71020478332896808</v>
      </c>
      <c r="BT45" s="723">
        <f t="shared" si="78"/>
        <v>0.7055827047567409</v>
      </c>
      <c r="BU45" s="723">
        <f t="shared" si="78"/>
        <v>0.69019377769635393</v>
      </c>
      <c r="BV45" s="723">
        <f t="shared" si="78"/>
        <v>0.70463340762491855</v>
      </c>
      <c r="BW45" s="723">
        <f t="shared" si="78"/>
        <v>0.90256043686413845</v>
      </c>
      <c r="BX45" s="723">
        <f t="shared" si="78"/>
        <v>0.81043214723005053</v>
      </c>
      <c r="BY45" s="723">
        <f t="shared" si="78"/>
        <v>0.49862570507736675</v>
      </c>
    </row>
    <row r="46" spans="1:78" ht="12.45">
      <c r="A46" s="634">
        <f>Eingabedaten!A52</f>
        <v>12.11</v>
      </c>
      <c r="B46" s="738" t="str">
        <f>Eingabedaten!C52</f>
        <v>Kühlraum</v>
      </c>
      <c r="C46" s="724" t="s">
        <v>5</v>
      </c>
      <c r="D46" s="740"/>
      <c r="E46" s="740"/>
      <c r="F46" s="740"/>
      <c r="G46" s="740"/>
      <c r="H46" s="740"/>
      <c r="I46" s="740"/>
      <c r="J46" s="740"/>
      <c r="K46" s="740"/>
      <c r="L46" s="739"/>
      <c r="M46" s="740">
        <v>2</v>
      </c>
      <c r="N46" s="740"/>
      <c r="O46" s="740"/>
      <c r="P46" s="739">
        <v>2</v>
      </c>
      <c r="Q46" s="740"/>
      <c r="R46" s="740"/>
      <c r="S46" s="740"/>
      <c r="T46" s="740"/>
      <c r="U46" s="740"/>
      <c r="V46" s="740"/>
      <c r="W46" s="740"/>
      <c r="X46" s="740"/>
      <c r="Y46" s="740"/>
      <c r="AA46" s="770"/>
      <c r="AC46" s="773" t="s">
        <v>464</v>
      </c>
      <c r="AD46" s="774" t="s">
        <v>134</v>
      </c>
      <c r="AE46" s="1053">
        <f>SUMPRODUCT(KZ_Raum_2024!$P$7:$P$51,'Fläche-Best'!D$3:D$47)/100*$AD$1</f>
        <v>8.1269041729154257</v>
      </c>
      <c r="AF46" s="1053">
        <f>SUMPRODUCT(KZ_Raum_2024!$H$7:$H$51,'Fläche-Best'!E$3:E$47)/100*$AD$1</f>
        <v>11.726703891170381</v>
      </c>
      <c r="AG46" s="1053">
        <f>SUMPRODUCT(KZ_Raum_2024!$H$7:$H$51,'Fläche-Best'!F$3:F$47)/100*$AD$1</f>
        <v>13.870968340056827</v>
      </c>
      <c r="AH46" s="1053">
        <f>SUMPRODUCT(KZ_Raum_2024!$P$7:$P$51,'Fläche-Best'!G$3:G$47)/100*$AD$1</f>
        <v>12.201059470880423</v>
      </c>
      <c r="AI46" s="1053">
        <f>SUMPRODUCT(KZ_Raum_2024!$P$7:$P$51,'Fläche-Best'!H$3:H$47)/100*$AD$1</f>
        <v>7.4092795677964025</v>
      </c>
      <c r="AJ46" s="1053">
        <f>SUMPRODUCT(KZ_Raum_2024!$P$7:$P$51,'Fläche-Best'!I$3:I$47)/100*$AD$1</f>
        <v>9.3935565949424351</v>
      </c>
      <c r="AK46" s="1053">
        <f>SUMPRODUCT(KZ_Raum_2024!$H$7:$H$51,'Fläche-Best'!J$3:J$47)/100*$AD$1</f>
        <v>13.537004115365571</v>
      </c>
      <c r="AL46" s="1053">
        <f>SUMPRODUCT(KZ_Raum_2024!$H$7:$H$51,'Fläche-Best'!K$3:K$47)/100*$AD$1</f>
        <v>11.336089072607724</v>
      </c>
      <c r="AM46" s="1053">
        <f>SUMPRODUCT(KZ_Raum_2024!$P$7:$P$51,'Fläche-Best'!L$3:L$47)/100*$AD$1</f>
        <v>3.7986294680771766</v>
      </c>
      <c r="AN46" s="1053">
        <f>SUMPRODUCT(KZ_Raum_2024!$H$7:$H$51,'Fläche-Best'!M$3:M$47)/100*$AD$1</f>
        <v>5.336005221474303</v>
      </c>
      <c r="AO46" s="1053">
        <f>SUMPRODUCT(KZ_Raum_2024!$H$7:$H$51,'Fläche-Best'!N$3:N$47)/100*$AD$1</f>
        <v>5.5844225421050364</v>
      </c>
      <c r="AP46" s="1053">
        <f>SUMPRODUCT(KZ_Raum_2024!$H$7:$H$51,'Fläche-Best'!O$3:O$47)/100*$AD$1</f>
        <v>6.1032108798011526</v>
      </c>
      <c r="AQ46" s="1053">
        <f>SUMPRODUCT(KZ_Raum_2024!$P$7:$P$51,'Fläche-Best'!P$3:P$47)/100*$AD$1</f>
        <v>9.3300680806158542</v>
      </c>
      <c r="AR46" s="1053">
        <f>SUMPRODUCT(KZ_Raum_2024!$P$7:$P$51,'Fläche-Best'!Q$3:Q$47)/100*$AD$1</f>
        <v>6.2672253715469886</v>
      </c>
      <c r="AS46" s="1053">
        <f>SUMPRODUCT(KZ_Raum_2024!$P$7:$P$51,'Fläche-Best'!R$3:R$47)/100*$AD$1</f>
        <v>6.8937021134539878</v>
      </c>
      <c r="AT46" s="1053">
        <f>SUMPRODUCT(KZ_Raum_2024!$H$7:$H$51,'Fläche-Best'!S$3:S$47)/100*$AD$1</f>
        <v>10.373697935999942</v>
      </c>
      <c r="AU46" s="1053">
        <f>SUMPRODUCT(KZ_Raum_2024!$H$7:$H$51,'Fläche-Best'!T$3:T$47)/100*$AD$1</f>
        <v>10.392353857645658</v>
      </c>
      <c r="AV46" s="1053">
        <f>SUMPRODUCT(KZ_Raum_2024!$P$7:$P$51,'Fläche-Best'!U$3:U$47)/100*$AD$1</f>
        <v>7.2995755230106347</v>
      </c>
      <c r="AW46" s="1053">
        <f>SUMPRODUCT(KZ_Raum_2024!$P$7:$P$51,'Fläche-Best'!V$3:V$47)/100*$AD$1</f>
        <v>7.2390920108900687</v>
      </c>
      <c r="AX46" s="1053">
        <f>SUMPRODUCT(KZ_Raum_2024!$P$7:$P$51,'Fläche-Best'!W$3:W$47)/100*$AD$1</f>
        <v>17.839819122367043</v>
      </c>
      <c r="AY46" s="1054">
        <f>SUMPRODUCT(KZ_Raum_2024!$P$7:$P$51,'Fläche-Best'!X$3:X$47)/100*$AD$1</f>
        <v>17.752601578973749</v>
      </c>
    </row>
    <row r="47" spans="1:78" ht="12.45">
      <c r="A47" s="638">
        <f>Eingabedaten!A53</f>
        <v>12.12</v>
      </c>
      <c r="B47" s="738" t="str">
        <f>Eingabedaten!C53</f>
        <v>Serverraum</v>
      </c>
      <c r="C47" s="724" t="s">
        <v>5</v>
      </c>
      <c r="D47" s="740"/>
      <c r="E47" s="740"/>
      <c r="F47" s="740"/>
      <c r="G47" s="740"/>
      <c r="H47" s="740">
        <v>1</v>
      </c>
      <c r="I47" s="740"/>
      <c r="J47" s="740"/>
      <c r="K47" s="739">
        <v>1</v>
      </c>
      <c r="L47" s="740"/>
      <c r="M47" s="740"/>
      <c r="N47" s="740"/>
      <c r="O47" s="740"/>
      <c r="P47" s="740"/>
      <c r="Q47" s="740"/>
      <c r="R47" s="739"/>
      <c r="S47" s="739"/>
      <c r="T47" s="739"/>
      <c r="U47" s="740"/>
      <c r="V47" s="740"/>
      <c r="W47" s="740"/>
      <c r="X47" s="740"/>
      <c r="Y47" s="740"/>
      <c r="AA47" s="770"/>
      <c r="AC47" s="773" t="s">
        <v>268</v>
      </c>
      <c r="AD47" s="774" t="s">
        <v>134</v>
      </c>
      <c r="AE47" s="1099">
        <f>SUMPRODUCT(KZ_Raum_2024!$Q$7:$Q$51,'Fläche-Best'!D$3:D$47)/100*$AD$1</f>
        <v>11.516480000000003</v>
      </c>
      <c r="AF47" s="1053">
        <f>SUMPRODUCT(KZ_Raum_2024!$I$7:$I$51,'Fläche-Best'!E$3:E$47)/100*$AD$1</f>
        <v>11.516480000000003</v>
      </c>
      <c r="AG47" s="1053">
        <f>SUMPRODUCT(KZ_Raum_2024!$I$7:$I$51,'Fläche-Best'!F$3:F$47)/100*$AD$1</f>
        <v>17.491430095238098</v>
      </c>
      <c r="AH47" s="1053">
        <f>SUMPRODUCT(KZ_Raum_2024!$Q$7:$Q$51,'Fläche-Best'!G$3:G$47)/100*$AD$1</f>
        <v>9.7551360000000003</v>
      </c>
      <c r="AI47" s="1053">
        <f>SUMPRODUCT(KZ_Raum_2024!$Q$7:$Q$51,'Fläche-Best'!H$3:H$47)/100*$AD$1</f>
        <v>1.2664018285714287</v>
      </c>
      <c r="AJ47" s="1053">
        <f>SUMPRODUCT(KZ_Raum_2024!$Q$7:$Q$51,'Fläche-Best'!I$3:I$47)/100*$AD$1</f>
        <v>1.6590649589823876</v>
      </c>
      <c r="AK47" s="1053">
        <f>SUMPRODUCT(KZ_Raum_2024!$I$7:$I$51,'Fläche-Best'!J$3:J$47)/100*$AD$1</f>
        <v>1.6590649589823876</v>
      </c>
      <c r="AL47" s="1053">
        <f>SUMPRODUCT(KZ_Raum_2024!$I$7:$I$51,'Fläche-Best'!K$3:K$47)/100*$AD$1</f>
        <v>1.2867679190606656</v>
      </c>
      <c r="AM47" s="1053">
        <f>SUMPRODUCT(KZ_Raum_2024!$Q$7:$Q$51,'Fläche-Best'!L$3:L$47)/100*$AD$1</f>
        <v>1.4108914285714289</v>
      </c>
      <c r="AN47" s="1053">
        <f>SUMPRODUCT(KZ_Raum_2024!$I$7:$I$51,'Fläche-Best'!M$3:M$47)/100*$AD$1</f>
        <v>1.4108914285714289</v>
      </c>
      <c r="AO47" s="1053">
        <f>SUMPRODUCT(KZ_Raum_2024!$I$7:$I$51,'Fläche-Best'!N$3:N$47)/100*$AD$1</f>
        <v>1.4108914285714289</v>
      </c>
      <c r="AP47" s="1053">
        <f>SUMPRODUCT(KZ_Raum_2024!$I$7:$I$51,'Fläche-Best'!O$3:O$47)/100*$AD$1</f>
        <v>0.80091702857142877</v>
      </c>
      <c r="AQ47" s="1053">
        <f>SUMPRODUCT(KZ_Raum_2024!$Q$7:$Q$51,'Fläche-Best'!P$3:P$47)/100*$AD$1</f>
        <v>43.67340342857144</v>
      </c>
      <c r="AR47" s="1053">
        <f>SUMPRODUCT(KZ_Raum_2024!$Q$7:$Q$51,'Fläche-Best'!Q$3:Q$47)/100*$AD$1</f>
        <v>3.5893714285714289</v>
      </c>
      <c r="AS47" s="1053">
        <f>SUMPRODUCT(KZ_Raum_2024!$Q$7:$Q$51,'Fläche-Best'!R$3:R$47)/100*$AD$1</f>
        <v>21.781883428571433</v>
      </c>
      <c r="AT47" s="1053">
        <f>SUMPRODUCT(KZ_Raum_2024!$I$7:$I$51,'Fläche-Best'!S$3:S$47)/100*$AD$1</f>
        <v>19.07212342857143</v>
      </c>
      <c r="AU47" s="1053">
        <f>SUMPRODUCT(KZ_Raum_2024!$I$7:$I$51,'Fläche-Best'!T$3:T$47)/100*$AD$1</f>
        <v>27.201403428571435</v>
      </c>
      <c r="AV47" s="1053">
        <f>SUMPRODUCT(KZ_Raum_2024!$Q$7:$Q$51,'Fläche-Best'!U$3:U$47)/100*$AD$1</f>
        <v>1.2664018285714287</v>
      </c>
      <c r="AW47" s="1053">
        <f>SUMPRODUCT(KZ_Raum_2024!$Q$7:$Q$51,'Fläche-Best'!V$3:V$47)/100*$AD$1</f>
        <v>0.61244022857142866</v>
      </c>
      <c r="AX47" s="1053">
        <f>SUMPRODUCT(KZ_Raum_2024!$Q$7:$Q$51,'Fläche-Best'!W$3:W$47)/100*$AD$1</f>
        <v>30.47042998356164</v>
      </c>
      <c r="AY47" s="781">
        <f>SUMPRODUCT(KZ_Raum_2024!$Q$7:$Q$51,'Fläche-Best'!X$3:X$47)/100*$AD$1</f>
        <v>69.815163428571452</v>
      </c>
    </row>
    <row r="48" spans="1:78">
      <c r="A48" s="738"/>
      <c r="B48" s="728" t="s">
        <v>1058</v>
      </c>
      <c r="C48" s="724" t="s">
        <v>5</v>
      </c>
      <c r="D48" s="724">
        <f t="shared" ref="D48:P48" si="79">SUM(D3:D47)</f>
        <v>100</v>
      </c>
      <c r="E48" s="724">
        <f>SUM(E3:E47)</f>
        <v>100</v>
      </c>
      <c r="F48" s="724">
        <f>SUM(F3:F47)</f>
        <v>100</v>
      </c>
      <c r="G48" s="724">
        <f t="shared" si="79"/>
        <v>100</v>
      </c>
      <c r="H48" s="724">
        <f t="shared" si="79"/>
        <v>100</v>
      </c>
      <c r="I48" s="724">
        <f t="shared" si="79"/>
        <v>100</v>
      </c>
      <c r="J48" s="724">
        <f>SUM(J3:J47)</f>
        <v>100</v>
      </c>
      <c r="K48" s="724">
        <f>SUM(K3:K47)</f>
        <v>100</v>
      </c>
      <c r="L48" s="724">
        <f>SUM(L3:L47)</f>
        <v>100</v>
      </c>
      <c r="M48" s="724">
        <f t="shared" si="79"/>
        <v>100</v>
      </c>
      <c r="N48" s="724">
        <f t="shared" si="79"/>
        <v>100</v>
      </c>
      <c r="O48" s="724">
        <f t="shared" si="79"/>
        <v>100</v>
      </c>
      <c r="P48" s="724">
        <f t="shared" si="79"/>
        <v>100</v>
      </c>
      <c r="Q48" s="724">
        <f t="shared" ref="Q48:Y48" si="80">SUM(Q3:Q47)</f>
        <v>100</v>
      </c>
      <c r="R48" s="724">
        <f t="shared" si="80"/>
        <v>100</v>
      </c>
      <c r="S48" s="724">
        <f t="shared" si="80"/>
        <v>100</v>
      </c>
      <c r="T48" s="724">
        <f t="shared" si="80"/>
        <v>100</v>
      </c>
      <c r="U48" s="724">
        <f t="shared" si="80"/>
        <v>100</v>
      </c>
      <c r="V48" s="724">
        <f t="shared" si="80"/>
        <v>100</v>
      </c>
      <c r="W48" s="724">
        <f t="shared" si="80"/>
        <v>100</v>
      </c>
      <c r="X48" s="724">
        <f t="shared" si="80"/>
        <v>100</v>
      </c>
      <c r="Y48" s="724">
        <f t="shared" si="80"/>
        <v>100</v>
      </c>
      <c r="AA48" s="771"/>
      <c r="AC48" s="773" t="s">
        <v>1181</v>
      </c>
      <c r="AD48" s="774"/>
      <c r="AE48" s="1099">
        <f>SUMPRODUCT(KZ_Raum_2024!$L$7:$L$51,'Fläche-Best'!D$3:D$47)/100*$AD$1</f>
        <v>0</v>
      </c>
      <c r="AF48" s="1053">
        <f>SUMPRODUCT(KZ_Raum_2024!$D$7:$D$51,'Fläche-Best'!E$3:E$47)/100*$AD$1</f>
        <v>0</v>
      </c>
      <c r="AG48" s="1053">
        <f>SUMPRODUCT(KZ_Raum_2024!$D$7:$D$51,'Fläche-Best'!F$3:F$47)/100*$AD$1</f>
        <v>0</v>
      </c>
      <c r="AH48" s="1053">
        <f>SUMPRODUCT(KZ_Raum_2024!$L$7:$L$51,'Fläche-Best'!G$3:G$47)/100*$AD$1</f>
        <v>0</v>
      </c>
      <c r="AI48" s="1053">
        <f>SUMPRODUCT(KZ_Raum_2024!$L$7:$L$51,'Fläche-Best'!H$3:H$47)/100*$AD$1</f>
        <v>5.6080000000000005</v>
      </c>
      <c r="AJ48" s="1053">
        <f>SUMPRODUCT(KZ_Raum_2024!$L$7:$L$51,'Fläche-Best'!I$3:I$47)/100*$AD$1</f>
        <v>0</v>
      </c>
      <c r="AK48" s="1053">
        <f>SUMPRODUCT(KZ_Raum_2024!$D$7:$D$51,'Fläche-Best'!J$3:J$47)/100*$AD$1</f>
        <v>0</v>
      </c>
      <c r="AL48" s="1053">
        <f>SUMPRODUCT(KZ_Raum_2024!$D$7:$D$51,'Fläche-Best'!K$3:K$47)/100*$AD$1</f>
        <v>8.4120000000000008</v>
      </c>
      <c r="AM48" s="1053">
        <f>SUMPRODUCT(KZ_Raum_2024!$L$7:$L$51,'Fläche-Best'!L$3:L$47)/100*$AD$1</f>
        <v>0</v>
      </c>
      <c r="AN48" s="780">
        <f>SUMPRODUCT(KZ_Raum_2024!$D$7:$D$51,'Fläche-Best'!M$3:M$47)/100*$AD$1</f>
        <v>197.56800000000001</v>
      </c>
      <c r="AO48" s="1053">
        <f>SUMPRODUCT(KZ_Raum_2024!$D$7:$D$51,'Fläche-Best'!N$3:N$47)/100*$AD$1</f>
        <v>0</v>
      </c>
      <c r="AP48" s="1053">
        <f>SUMPRODUCT(KZ_Raum_2024!$D$7:$D$51,'Fläche-Best'!O$3:O$47)/100*$AD$1</f>
        <v>0</v>
      </c>
      <c r="AQ48" s="1053">
        <f>SUMPRODUCT(KZ_Raum_2024!$L$7:$L$51,'Fläche-Best'!P$3:P$47)/100*$AD$1</f>
        <v>32.406400000000005</v>
      </c>
      <c r="AR48" s="1053">
        <f>SUMPRODUCT(KZ_Raum_2024!$L$7:$L$51,'Fläche-Best'!Q$3:Q$47)/100*$AD$1</f>
        <v>0</v>
      </c>
      <c r="AS48" s="1053">
        <f>SUMPRODUCT(KZ_Raum_2024!$L$7:$L$51,'Fläche-Best'!R$3:R$47)/100*$AD$1</f>
        <v>0.87200000000000011</v>
      </c>
      <c r="AT48" s="1053">
        <f>SUMPRODUCT(KZ_Raum_2024!$D$7:$D$51,'Fläche-Best'!S$3:S$47)/100*$AD$1</f>
        <v>3.9240000000000004</v>
      </c>
      <c r="AU48" s="1053">
        <f>SUMPRODUCT(KZ_Raum_2024!$D$7:$D$51,'Fläche-Best'!T$3:T$47)/100*$AD$1</f>
        <v>1.3080000000000001</v>
      </c>
      <c r="AV48" s="1053">
        <f>SUMPRODUCT(KZ_Raum_2024!$L$7:$L$51,'Fläche-Best'!U$3:U$47)/100*$AD$1</f>
        <v>7.5680000000000014</v>
      </c>
      <c r="AW48" s="1053">
        <f>SUMPRODUCT(KZ_Raum_2024!$L$7:$L$51,'Fläche-Best'!V$3:V$47)/100*$AD$1</f>
        <v>0</v>
      </c>
      <c r="AX48" s="1053">
        <f>SUMPRODUCT(KZ_Raum_2024!$L$7:$L$51,'Fläche-Best'!W$3:W$47)/100*$AD$1</f>
        <v>0</v>
      </c>
      <c r="AY48" s="781">
        <f>SUMPRODUCT(KZ_Raum_2024!$L$7:$L$51,'Fläche-Best'!X$3:X$47)/100*$AD$1</f>
        <v>81.84</v>
      </c>
    </row>
    <row r="49" spans="1:78">
      <c r="AC49" s="735" t="s">
        <v>1114</v>
      </c>
      <c r="AD49" s="733" t="s">
        <v>134</v>
      </c>
      <c r="AE49" s="1280">
        <f>AE11</f>
        <v>3</v>
      </c>
      <c r="AF49" s="1280">
        <v>3</v>
      </c>
      <c r="AG49" s="1280">
        <v>8.1999999999999993</v>
      </c>
      <c r="AH49" s="1280">
        <v>1.4</v>
      </c>
      <c r="AI49" s="1280">
        <v>3.6</v>
      </c>
      <c r="AJ49" s="1280">
        <v>3.3</v>
      </c>
      <c r="AK49" s="1280">
        <v>3.3</v>
      </c>
      <c r="AL49" s="1280">
        <v>8</v>
      </c>
      <c r="AM49" s="1280">
        <v>8.4</v>
      </c>
      <c r="AN49" s="1280">
        <v>8.4</v>
      </c>
      <c r="AO49" s="1280">
        <v>8.4</v>
      </c>
      <c r="AP49" s="1280">
        <v>8.4</v>
      </c>
      <c r="AQ49" s="1280">
        <v>9.5</v>
      </c>
      <c r="AR49" s="1280">
        <v>4.0999999999999996</v>
      </c>
      <c r="AS49" s="1280">
        <v>9.3000000000000007</v>
      </c>
      <c r="AT49" s="1280">
        <v>9.3000000000000007</v>
      </c>
      <c r="AU49" s="1280">
        <v>9.3000000000000007</v>
      </c>
      <c r="AV49" s="1280">
        <v>7.7</v>
      </c>
      <c r="AW49" s="1280">
        <v>1.7</v>
      </c>
      <c r="AX49" s="1280">
        <v>3.4</v>
      </c>
      <c r="AY49" s="1281">
        <v>7.1</v>
      </c>
    </row>
    <row r="50" spans="1:78">
      <c r="A50" s="746"/>
      <c r="B50" s="747"/>
      <c r="C50" s="746"/>
      <c r="D50" s="748"/>
      <c r="E50" s="748"/>
      <c r="F50" s="748"/>
      <c r="G50" s="748"/>
      <c r="H50" s="748"/>
      <c r="I50" s="748"/>
      <c r="J50" s="748"/>
      <c r="K50" s="748"/>
      <c r="L50" s="748"/>
      <c r="M50" s="748"/>
      <c r="N50" s="748"/>
      <c r="O50" s="748"/>
      <c r="P50" s="748"/>
      <c r="Q50" s="748"/>
      <c r="R50" s="748"/>
      <c r="S50" s="748"/>
      <c r="T50" s="748"/>
      <c r="U50" s="748"/>
      <c r="V50" s="748"/>
      <c r="W50" s="748"/>
      <c r="X50" s="748"/>
      <c r="Y50" s="748"/>
    </row>
    <row r="51" spans="1:78">
      <c r="A51" s="746"/>
      <c r="B51" s="747"/>
    </row>
    <row r="52" spans="1:78">
      <c r="A52" s="746"/>
      <c r="B52" s="747"/>
    </row>
    <row r="53" spans="1:78">
      <c r="A53" s="746"/>
      <c r="B53" s="747"/>
      <c r="AB53" s="746"/>
    </row>
    <row r="54" spans="1:78">
      <c r="A54" s="746"/>
      <c r="B54" s="747"/>
      <c r="AB54" s="746"/>
      <c r="AC54" s="795" t="s">
        <v>1534</v>
      </c>
      <c r="AD54" s="1279"/>
      <c r="AE54" s="725" t="str">
        <f>AE1</f>
        <v>I</v>
      </c>
      <c r="AF54" s="725" t="str">
        <f t="shared" ref="AF54:AY54" si="81">AF1</f>
        <v>I.1</v>
      </c>
      <c r="AG54" s="725" t="str">
        <f t="shared" si="81"/>
        <v>I.2</v>
      </c>
      <c r="AH54" s="725" t="str">
        <f t="shared" si="81"/>
        <v>II</v>
      </c>
      <c r="AI54" s="725" t="str">
        <f t="shared" si="81"/>
        <v>III</v>
      </c>
      <c r="AJ54" s="725" t="str">
        <f t="shared" si="81"/>
        <v>IV</v>
      </c>
      <c r="AK54" s="725" t="str">
        <f t="shared" si="81"/>
        <v>IV.1</v>
      </c>
      <c r="AL54" s="725" t="str">
        <f t="shared" si="81"/>
        <v>IV.2</v>
      </c>
      <c r="AM54" s="725" t="str">
        <f t="shared" si="81"/>
        <v>V</v>
      </c>
      <c r="AN54" s="725" t="str">
        <f t="shared" si="81"/>
        <v>V.1</v>
      </c>
      <c r="AO54" s="725" t="str">
        <f t="shared" si="81"/>
        <v>V.2</v>
      </c>
      <c r="AP54" s="725" t="str">
        <f t="shared" si="81"/>
        <v>V.3</v>
      </c>
      <c r="AQ54" s="725" t="str">
        <f t="shared" si="81"/>
        <v>VI</v>
      </c>
      <c r="AR54" s="725" t="str">
        <f t="shared" si="81"/>
        <v>VII</v>
      </c>
      <c r="AS54" s="725" t="str">
        <f t="shared" si="81"/>
        <v>VIII</v>
      </c>
      <c r="AT54" s="725" t="str">
        <f t="shared" si="81"/>
        <v>VIII.1</v>
      </c>
      <c r="AU54" s="725" t="str">
        <f t="shared" si="81"/>
        <v>VIII.2</v>
      </c>
      <c r="AV54" s="725" t="str">
        <f t="shared" si="81"/>
        <v>IX</v>
      </c>
      <c r="AW54" s="725" t="str">
        <f t="shared" si="81"/>
        <v>X</v>
      </c>
      <c r="AX54" s="725" t="str">
        <f t="shared" si="81"/>
        <v>XI</v>
      </c>
      <c r="AY54" s="725" t="str">
        <f t="shared" si="81"/>
        <v>XII</v>
      </c>
    </row>
    <row r="55" spans="1:78">
      <c r="A55" s="746"/>
      <c r="B55" s="747"/>
      <c r="AB55" s="746"/>
      <c r="AC55" s="732"/>
      <c r="AD55" s="733"/>
      <c r="AE55" s="734"/>
      <c r="AF55" s="734"/>
      <c r="AG55" s="731"/>
      <c r="AH55" s="731"/>
      <c r="AI55" s="731"/>
      <c r="AJ55" s="731"/>
      <c r="AK55" s="731"/>
      <c r="AL55" s="731"/>
      <c r="AM55" s="731"/>
      <c r="AN55" s="731"/>
      <c r="AO55" s="731"/>
      <c r="AP55" s="731"/>
      <c r="AQ55" s="731"/>
      <c r="AR55" s="731"/>
      <c r="AS55" s="731"/>
      <c r="AT55" s="731"/>
      <c r="AU55" s="731"/>
      <c r="AV55" s="731"/>
      <c r="AW55" s="731"/>
      <c r="AX55" s="731"/>
      <c r="AY55" s="731"/>
    </row>
    <row r="56" spans="1:78">
      <c r="A56" s="746"/>
      <c r="B56" s="747"/>
      <c r="AB56" s="746"/>
      <c r="AC56" s="772" t="s">
        <v>51</v>
      </c>
      <c r="AD56" s="778" t="s">
        <v>134</v>
      </c>
      <c r="AE56" s="1051">
        <f>SUMPRODUCT(KZ_Raum_2024!$S$7:$S$51,'Fläche-Best'!D$3:D$47)/100*$AD$1</f>
        <v>17.625600000000002</v>
      </c>
      <c r="AF56" s="1051">
        <f>SUMPRODUCT(KZ_Raum_2024!$C$7:$C$51,'Fläche-Best'!E$3:E$47)/100*$AD$1</f>
        <v>14.688000000000002</v>
      </c>
      <c r="AG56" s="1051">
        <f>SUMPRODUCT(KZ_Raum_2024!$C$7:$C$51,'Fläche-Best'!F$3:F$47)/100*$AD$1</f>
        <v>12.284000000000001</v>
      </c>
      <c r="AH56" s="1051">
        <f>SUMPRODUCT(KZ_Raum_2024!$S$7:$S$51,'Fläche-Best'!G$3:G$47)/100*$AD$1</f>
        <v>15.379200000000001</v>
      </c>
      <c r="AI56" s="1051">
        <f>SUMPRODUCT(KZ_Raum_2024!$S$7:$S$51,'Fläche-Best'!H$3:H$47)/100*$AD$1</f>
        <v>26.730400000000003</v>
      </c>
      <c r="AJ56" s="1051">
        <f>SUMPRODUCT(KZ_Raum_2024!$S$7:$S$51,'Fläche-Best'!I$3:I$47)/100*$AD$1</f>
        <v>10.88448</v>
      </c>
      <c r="AK56" s="1051">
        <f>SUMPRODUCT(KZ_Raum_2024!$C$7:$C$51,'Fläche-Best'!J$3:J$47)/100*$AD$1</f>
        <v>6.9511200000000004</v>
      </c>
      <c r="AL56" s="1051">
        <f>SUMPRODUCT(KZ_Raum_2024!$C$7:$C$51,'Fläche-Best'!K$3:K$47)/100*$AD$1</f>
        <v>11.325200000000002</v>
      </c>
      <c r="AM56" s="1051">
        <f>SUMPRODUCT(KZ_Raum_2024!$S$7:$S$51,'Fläche-Best'!L$3:L$47)/100*$AD$1</f>
        <v>7.3224000000000018</v>
      </c>
      <c r="AN56" s="1051">
        <f>SUMPRODUCT(KZ_Raum_2024!$C$7:$C$51,'Fläche-Best'!M$3:M$47)/100*$AD$1</f>
        <v>5.13</v>
      </c>
      <c r="AO56" s="1051">
        <f>SUMPRODUCT(KZ_Raum_2024!$C$7:$C$51,'Fläche-Best'!N$3:N$47)/100*$AD$1</f>
        <v>4.7652000000000001</v>
      </c>
      <c r="AP56" s="1051">
        <f>SUMPRODUCT(KZ_Raum_2024!$C$7:$C$51,'Fläche-Best'!O$3:O$47)/100*$AD$1</f>
        <v>4.5540000000000003</v>
      </c>
      <c r="AQ56" s="1051">
        <f>SUMPRODUCT(KZ_Raum_2024!$S$7:$S$51,'Fläche-Best'!P$3:P$47)/100*$AD$1</f>
        <v>8.8432000000000013</v>
      </c>
      <c r="AR56" s="1051">
        <f>SUMPRODUCT(KZ_Raum_2024!$S$7:$S$51,'Fläche-Best'!Q$3:Q$47)/100*$AD$1</f>
        <v>12.943200000000003</v>
      </c>
      <c r="AS56" s="1051">
        <f>SUMPRODUCT(KZ_Raum_2024!$S$7:$S$51,'Fläche-Best'!R$3:R$47)/100*$AD$1</f>
        <v>11.953200000000002</v>
      </c>
      <c r="AT56" s="1051">
        <f>SUMPRODUCT(KZ_Raum_2024!$C$7:$C$51,'Fläche-Best'!S$3:S$47)/100*$AD$1</f>
        <v>9.4044000000000008</v>
      </c>
      <c r="AU56" s="1051">
        <f>SUMPRODUCT(KZ_Raum_2024!$C$7:$C$51,'Fläche-Best'!T$3:T$47)/100*$AD$1</f>
        <v>8.0483999999999991</v>
      </c>
      <c r="AV56" s="1051">
        <f>SUMPRODUCT(KZ_Raum_2024!$S$7:$S$51,'Fläche-Best'!U$3:U$47)/100*$AD$1</f>
        <v>14.543200000000002</v>
      </c>
      <c r="AW56" s="1051">
        <f>SUMPRODUCT(KZ_Raum_2024!$S$7:$S$51,'Fläche-Best'!V$3:V$47)/100*$AD$1</f>
        <v>7.4040000000000008</v>
      </c>
      <c r="AX56" s="1051">
        <f>SUMPRODUCT(KZ_Raum_2024!$S$7:$S$51,'Fläche-Best'!W$3:W$47)/100*$AD$1</f>
        <v>2.4863999999999997</v>
      </c>
      <c r="AY56" s="1052">
        <f>SUMPRODUCT(KZ_Raum_2024!$S$7:$S$51,'Fläche-Best'!X$3:X$47)/100*$AD$1</f>
        <v>8.6424000000000021</v>
      </c>
    </row>
    <row r="57" spans="1:78">
      <c r="A57" s="746"/>
      <c r="B57" s="747"/>
      <c r="AB57" s="746"/>
      <c r="AC57" s="773" t="s">
        <v>17</v>
      </c>
      <c r="AD57" s="774" t="s">
        <v>134</v>
      </c>
      <c r="AE57" s="1053">
        <f>SUMPRODUCT(KZ_Raum_2024!$U$7:$U$51,'Fläche-Best'!D$3:D$47)/100*$AD$1</f>
        <v>2.7677327142857151</v>
      </c>
      <c r="AF57" s="1053">
        <f>SUMPRODUCT(KZ_Raum_2024!$E$7:$E$51,'Fläche-Best'!E$3:E$47)/100*$AD$1</f>
        <v>2.1526810000000007</v>
      </c>
      <c r="AG57" s="1053">
        <f>SUMPRODUCT(KZ_Raum_2024!$E$7:$E$51,'Fläche-Best'!F$3:F$47)/100*$AD$1</f>
        <v>4.8560016666666677</v>
      </c>
      <c r="AH57" s="1053">
        <f>SUMPRODUCT(KZ_Raum_2024!$U$7:$U$51,'Fläche-Best'!G$3:G$47)/100*$AD$1</f>
        <v>2.6700277142857152</v>
      </c>
      <c r="AI57" s="1053">
        <f>SUMPRODUCT(KZ_Raum_2024!$U$7:$U$51,'Fläche-Best'!H$3:H$47)/100*$AD$1</f>
        <v>9.9573936000000032</v>
      </c>
      <c r="AJ57" s="1053">
        <f>SUMPRODUCT(KZ_Raum_2024!$U$7:$U$51,'Fläche-Best'!I$3:I$47)/100*$AD$1</f>
        <v>8.4917526530612246</v>
      </c>
      <c r="AK57" s="1053">
        <f>SUMPRODUCT(KZ_Raum_2024!$E$7:$E$51,'Fläche-Best'!J$3:J$47)/100*$AD$1</f>
        <v>6.6046965079365085</v>
      </c>
      <c r="AL57" s="1053">
        <f>SUMPRODUCT(KZ_Raum_2024!$E$7:$E$51,'Fläche-Best'!K$3:K$47)/100*$AD$1</f>
        <v>7.0316882857142859</v>
      </c>
      <c r="AM57" s="1053">
        <f>SUMPRODUCT(KZ_Raum_2024!$U$7:$U$51,'Fläche-Best'!L$3:L$47)/100*$AD$1</f>
        <v>30.796232971428573</v>
      </c>
      <c r="AN57" s="1053">
        <f>SUMPRODUCT(KZ_Raum_2024!$E$7:$E$51,'Fläche-Best'!M$3:M$47)/100*$AD$1</f>
        <v>23.902055481481479</v>
      </c>
      <c r="AO57" s="1053">
        <f>SUMPRODUCT(KZ_Raum_2024!$E$7:$E$51,'Fläche-Best'!N$3:N$47)/100*$AD$1</f>
        <v>23.952625644444446</v>
      </c>
      <c r="AP57" s="1053">
        <f>SUMPRODUCT(KZ_Raum_2024!$E$7:$E$51,'Fläche-Best'!O$3:O$47)/100*$AD$1</f>
        <v>19.481929644444445</v>
      </c>
      <c r="AQ57" s="1053">
        <f>SUMPRODUCT(KZ_Raum_2024!$U$7:$U$51,'Fläche-Best'!P$3:P$47)/100*$AD$1</f>
        <v>10.611797904761907</v>
      </c>
      <c r="AR57" s="1053">
        <f>SUMPRODUCT(KZ_Raum_2024!$U$7:$U$51,'Fläche-Best'!Q$3:Q$47)/100*$AD$1</f>
        <v>16.323401142857143</v>
      </c>
      <c r="AS57" s="1053">
        <f>SUMPRODUCT(KZ_Raum_2024!$U$7:$U$51,'Fläche-Best'!R$3:R$47)/100*$AD$1</f>
        <v>12.755721142857148</v>
      </c>
      <c r="AT57" s="1053">
        <f>SUMPRODUCT(KZ_Raum_2024!$E$7:$E$51,'Fläche-Best'!S$3:S$47)/100*$AD$1</f>
        <v>10.714216444444446</v>
      </c>
      <c r="AU57" s="1053">
        <f>SUMPRODUCT(KZ_Raum_2024!$E$7:$E$51,'Fläche-Best'!T$3:T$47)/100*$AD$1</f>
        <v>8.7956600000000034</v>
      </c>
      <c r="AV57" s="1053">
        <f>SUMPRODUCT(KZ_Raum_2024!$U$7:$U$51,'Fläche-Best'!U$3:U$47)/100*$AD$1</f>
        <v>13.444611371428577</v>
      </c>
      <c r="AW57" s="1053">
        <f>SUMPRODUCT(KZ_Raum_2024!$U$7:$U$51,'Fläche-Best'!V$3:V$47)/100*$AD$1</f>
        <v>18.512811942857141</v>
      </c>
      <c r="AX57" s="1053">
        <f>SUMPRODUCT(KZ_Raum_2024!$U$7:$U$51,'Fläche-Best'!W$3:W$47)/100*$AD$1</f>
        <v>13.777361142857144</v>
      </c>
      <c r="AY57" s="1054">
        <f>SUMPRODUCT(KZ_Raum_2024!$U$7:$U$51,'Fläche-Best'!X$3:X$47)/100*$AD$1</f>
        <v>11.925770285714288</v>
      </c>
    </row>
    <row r="58" spans="1:78">
      <c r="A58" s="746"/>
      <c r="B58" s="747"/>
      <c r="AB58" s="746"/>
      <c r="AC58" s="773" t="s">
        <v>19</v>
      </c>
      <c r="AD58" s="774" t="s">
        <v>134</v>
      </c>
      <c r="AE58" s="1053">
        <f>SUMPRODUCT(KZ_Raum_2024!$V$7:$V$51,'Fläche-Best'!D$3:D$47)/100*$AD$1</f>
        <v>0</v>
      </c>
      <c r="AF58" s="1053">
        <f>SUMPRODUCT(KZ_Raum_2024!$F$7:$F$51,'Fläche-Best'!E$3:E$47)/100*$AD$1</f>
        <v>2.7887072000000006</v>
      </c>
      <c r="AG58" s="1053">
        <f>SUMPRODUCT(KZ_Raum_2024!$F$7:$F$51,'Fläche-Best'!F$3:F$47)/100*$AD$1</f>
        <v>4.6930259047619058</v>
      </c>
      <c r="AH58" s="1053">
        <f>SUMPRODUCT(KZ_Raum_2024!$V$7:$V$51,'Fläche-Best'!G$3:G$47)/100*$AD$1</f>
        <v>0</v>
      </c>
      <c r="AI58" s="1053">
        <f>SUMPRODUCT(KZ_Raum_2024!$V$7:$V$51,'Fläche-Best'!H$3:H$47)/100*$AD$1</f>
        <v>5.1105403999999997</v>
      </c>
      <c r="AJ58" s="1053">
        <f>SUMPRODUCT(KZ_Raum_2024!$V$7:$V$51,'Fläche-Best'!I$3:I$47)/100*$AD$1</f>
        <v>0.73900400000000022</v>
      </c>
      <c r="AK58" s="1053">
        <f>SUMPRODUCT(KZ_Raum_2024!$F$7:$F$51,'Fläche-Best'!J$3:J$47)/100*$AD$1</f>
        <v>2.3824341714285713</v>
      </c>
      <c r="AL58" s="1053">
        <f>SUMPRODUCT(KZ_Raum_2024!$F$7:$F$51,'Fläche-Best'!K$3:K$47)/100*$AD$1</f>
        <v>3.5070634095238091</v>
      </c>
      <c r="AM58" s="1053">
        <f>SUMPRODUCT(KZ_Raum_2024!$V$7:$V$51,'Fläche-Best'!L$3:L$47)/100*$AD$1</f>
        <v>6.2902260000000005</v>
      </c>
      <c r="AN58" s="1053">
        <f>SUMPRODUCT(KZ_Raum_2024!$F$7:$F$51,'Fläche-Best'!M$3:M$47)/100*$AD$1</f>
        <v>3.9833393714285714</v>
      </c>
      <c r="AO58" s="1053">
        <f>SUMPRODUCT(KZ_Raum_2024!$F$7:$F$51,'Fläche-Best'!N$3:N$47)/100*$AD$1</f>
        <v>3.993240171428571</v>
      </c>
      <c r="AP58" s="1053">
        <f>SUMPRODUCT(KZ_Raum_2024!$F$7:$F$51,'Fläche-Best'!O$3:O$47)/100*$AD$1</f>
        <v>3.6761541714285713</v>
      </c>
      <c r="AQ58" s="1053">
        <f>SUMPRODUCT(KZ_Raum_2024!$V$7:$V$51,'Fläche-Best'!P$3:P$47)/100*$AD$1</f>
        <v>20.377208</v>
      </c>
      <c r="AR58" s="1053">
        <f>SUMPRODUCT(KZ_Raum_2024!$V$7:$V$51,'Fläche-Best'!Q$3:Q$47)/100*$AD$1</f>
        <v>19.110726666666665</v>
      </c>
      <c r="AS58" s="1053">
        <f>SUMPRODUCT(KZ_Raum_2024!$V$7:$V$51,'Fläche-Best'!R$3:R$47)/100*$AD$1</f>
        <v>0.60253999999999996</v>
      </c>
      <c r="AT58" s="1053">
        <f>SUMPRODUCT(KZ_Raum_2024!$F$7:$F$51,'Fläche-Best'!S$3:S$47)/100*$AD$1</f>
        <v>5.1245579047619048</v>
      </c>
      <c r="AU58" s="1053">
        <f>SUMPRODUCT(KZ_Raum_2024!$F$7:$F$51,'Fläche-Best'!T$3:T$47)/100*$AD$1</f>
        <v>5.3315339047619057</v>
      </c>
      <c r="AV58" s="1053">
        <f>SUMPRODUCT(KZ_Raum_2024!$V$7:$V$51,'Fläche-Best'!U$3:U$47)/100*$AD$1</f>
        <v>4.0597391111111119</v>
      </c>
      <c r="AW58" s="1053">
        <f>SUMPRODUCT(KZ_Raum_2024!$V$7:$V$51,'Fläche-Best'!V$3:V$47)/100*$AD$1</f>
        <v>0.35575599999999996</v>
      </c>
      <c r="AX58" s="1053">
        <f>SUMPRODUCT(KZ_Raum_2024!$V$7:$V$51,'Fläche-Best'!W$3:W$47)/100*$AD$1</f>
        <v>1.2339200000000001</v>
      </c>
      <c r="AY58" s="1054">
        <f>SUMPRODUCT(KZ_Raum_2024!$V$7:$V$51,'Fläche-Best'!X$3:X$47)/100*$AD$1</f>
        <v>10.656564000000003</v>
      </c>
    </row>
    <row r="59" spans="1:78">
      <c r="A59" s="746"/>
      <c r="B59" s="747"/>
      <c r="AB59" s="746"/>
      <c r="AC59" s="773" t="s">
        <v>463</v>
      </c>
      <c r="AD59" s="774" t="s">
        <v>134</v>
      </c>
      <c r="AE59" s="1053">
        <f>SUMPRODUCT(KZ_Raum_2024!$W$7:$W$51,'Fläche-Best'!D$3:D$47)/100*$AD$1</f>
        <v>0</v>
      </c>
      <c r="AF59" s="1053">
        <f>SUMPRODUCT(KZ_Raum_2024!$G$7:$G$51,'Fläche-Best'!E$3:E$47)/100*$AD$1</f>
        <v>3.3889639654036778</v>
      </c>
      <c r="AG59" s="1053">
        <f>SUMPRODUCT(KZ_Raum_2024!$G$7:$G$51,'Fläche-Best'!F$3:F$47)/100*$AD$1</f>
        <v>4.7381022785109517</v>
      </c>
      <c r="AH59" s="1053">
        <f>SUMPRODUCT(KZ_Raum_2024!$W$7:$W$51,'Fläche-Best'!G$3:G$47)/100*$AD$1</f>
        <v>0</v>
      </c>
      <c r="AI59" s="1053">
        <f>SUMPRODUCT(KZ_Raum_2024!$W$7:$W$51,'Fläche-Best'!H$3:H$47)/100*$AD$1</f>
        <v>2.2813707098516853</v>
      </c>
      <c r="AJ59" s="1053">
        <f>SUMPRODUCT(KZ_Raum_2024!$W$7:$W$51,'Fläche-Best'!I$3:I$47)/100*$AD$1</f>
        <v>0.18252109550201001</v>
      </c>
      <c r="AK59" s="1053">
        <f>SUMPRODUCT(KZ_Raum_2024!$G$7:$G$51,'Fläche-Best'!J$3:J$47)/100*$AD$1</f>
        <v>4.7746948126511946</v>
      </c>
      <c r="AL59" s="1053">
        <f>SUMPRODUCT(KZ_Raum_2024!$G$7:$G$51,'Fläche-Best'!K$3:K$47)/100*$AD$1</f>
        <v>7.6636916706564904</v>
      </c>
      <c r="AM59" s="1053">
        <f>SUMPRODUCT(KZ_Raum_2024!$W$7:$W$51,'Fläche-Best'!L$3:L$47)/100*$AD$1</f>
        <v>0.18252109550201001</v>
      </c>
      <c r="AN59" s="1053">
        <f>SUMPRODUCT(KZ_Raum_2024!$G$7:$G$51,'Fläche-Best'!M$3:M$47)/100*$AD$1</f>
        <v>11.926227215554942</v>
      </c>
      <c r="AO59" s="1053">
        <f>SUMPRODUCT(KZ_Raum_2024!$G$7:$G$51,'Fläche-Best'!N$3:N$47)/100*$AD$1</f>
        <v>11.651377900486445</v>
      </c>
      <c r="AP59" s="1053">
        <f>SUMPRODUCT(KZ_Raum_2024!$G$7:$G$51,'Fläche-Best'!O$3:O$47)/100*$AD$1</f>
        <v>7.2009850607139558</v>
      </c>
      <c r="AQ59" s="1053">
        <f>SUMPRODUCT(KZ_Raum_2024!$W$7:$W$51,'Fläche-Best'!P$3:P$47)/100*$AD$1</f>
        <v>0.18252109550201001</v>
      </c>
      <c r="AR59" s="1053">
        <f>SUMPRODUCT(KZ_Raum_2024!$W$7:$W$51,'Fläche-Best'!Q$3:Q$47)/100*$AD$1</f>
        <v>1.304245034532854</v>
      </c>
      <c r="AS59" s="1053">
        <f>SUMPRODUCT(KZ_Raum_2024!$W$7:$W$51,'Fläche-Best'!R$3:R$47)/100*$AD$1</f>
        <v>1.9555033618930562</v>
      </c>
      <c r="AT59" s="1053">
        <f>SUMPRODUCT(KZ_Raum_2024!$G$7:$G$51,'Fläche-Best'!S$3:S$47)/100*$AD$1</f>
        <v>10.896918506140496</v>
      </c>
      <c r="AU59" s="1053">
        <f>SUMPRODUCT(KZ_Raum_2024!$G$7:$G$51,'Fläche-Best'!T$3:T$47)/100*$AD$1</f>
        <v>10.269304483987643</v>
      </c>
      <c r="AV59" s="1053">
        <f>SUMPRODUCT(KZ_Raum_2024!$W$7:$W$51,'Fläche-Best'!U$3:U$47)/100*$AD$1</f>
        <v>0.82047603551894732</v>
      </c>
      <c r="AW59" s="1053">
        <f>SUMPRODUCT(KZ_Raum_2024!$W$7:$W$51,'Fläche-Best'!V$3:V$47)/100*$AD$1</f>
        <v>0.18252109550201001</v>
      </c>
      <c r="AX59" s="1053">
        <f>SUMPRODUCT(KZ_Raum_2024!$W$7:$W$51,'Fläche-Best'!W$3:W$47)/100*$AD$1</f>
        <v>0</v>
      </c>
      <c r="AY59" s="1054">
        <f>SUMPRODUCT(KZ_Raum_2024!$W$7:$W$51,'Fläche-Best'!X$3:X$47)/100*$AD$1</f>
        <v>0.18252109550201001</v>
      </c>
    </row>
    <row r="60" spans="1:78">
      <c r="AB60" s="746"/>
      <c r="AC60" s="773" t="s">
        <v>464</v>
      </c>
      <c r="AD60" s="774" t="s">
        <v>134</v>
      </c>
      <c r="AE60" s="1053">
        <f>SUMPRODUCT(KZ_Raum_2024!$X$7:$X$51,'Fläche-Best'!D$3:D$47)/100*$AD$1</f>
        <v>73.279871690013451</v>
      </c>
      <c r="AF60" s="1053">
        <f>SUMPRODUCT(KZ_Raum_2024!$H$7:$H$51,'Fläche-Best'!E$3:E$47)/100*$AD$1</f>
        <v>11.726703891170381</v>
      </c>
      <c r="AG60" s="1053">
        <f>SUMPRODUCT(KZ_Raum_2024!$H$7:$H$51,'Fläche-Best'!F$3:F$47)/100*$AD$1</f>
        <v>13.870968340056827</v>
      </c>
      <c r="AH60" s="1053">
        <f>SUMPRODUCT(KZ_Raum_2024!$X$7:$X$51,'Fläche-Best'!G$3:G$47)/100*$AD$1</f>
        <v>121.98974805553947</v>
      </c>
      <c r="AI60" s="1053">
        <f>SUMPRODUCT(KZ_Raum_2024!$X$7:$X$51,'Fläche-Best'!H$3:H$47)/100*$AD$1</f>
        <v>43.673953250611781</v>
      </c>
      <c r="AJ60" s="1053">
        <f>SUMPRODUCT(KZ_Raum_2024!$X7:$X$51,'Fläche-Best'!I$3:I$47)/100*$AD$1</f>
        <v>71.053261207030104</v>
      </c>
      <c r="AK60" s="1053">
        <f>SUMPRODUCT(KZ_Raum_2024!$H$7:$H$51,'Fläche-Best'!J$3:J$47)/100*$AD$1</f>
        <v>13.537004115365571</v>
      </c>
      <c r="AL60" s="1053">
        <f>SUMPRODUCT(KZ_Raum_2024!$H$7:$H$51,'Fläche-Best'!K$3:K$47)/100*$AD$1</f>
        <v>11.336089072607724</v>
      </c>
      <c r="AM60" s="1053">
        <f>SUMPRODUCT(KZ_Raum_2024!$X$7:$X$51,'Fläche-Best'!L$3:L$47)/100*$AD$1</f>
        <v>54.460247670822369</v>
      </c>
      <c r="AN60" s="1053">
        <f>SUMPRODUCT(KZ_Raum_2024!$H$7:$H$51,'Fläche-Best'!M$3:M$47)/100*$AD$1</f>
        <v>5.336005221474303</v>
      </c>
      <c r="AO60" s="1053">
        <f>SUMPRODUCT(KZ_Raum_2024!$H$7:$H$51,'Fläche-Best'!N$3:N$47)/100*$AD$1</f>
        <v>5.5844225421050364</v>
      </c>
      <c r="AP60" s="1053">
        <f>SUMPRODUCT(KZ_Raum_2024!$H$7:$H$51,'Fläche-Best'!O$3:O$47)/100*$AD$1</f>
        <v>6.1032108798011526</v>
      </c>
      <c r="AQ60" s="1053">
        <f>SUMPRODUCT(KZ_Raum_2024!$X$7:$X$51,'Fläche-Best'!P$3:P$47)/100*$AD$1</f>
        <v>96.489907741714205</v>
      </c>
      <c r="AR60" s="1053">
        <f>SUMPRODUCT(KZ_Raum_2024!$X$7:$X$51,'Fläche-Best'!Q$3:Q$47)/100*$AD$1</f>
        <v>78.71149268936648</v>
      </c>
      <c r="AS60" s="1053">
        <f>SUMPRODUCT(KZ_Raum_2024!$X$7:$X$51,'Fläche-Best'!R$3:R$47)/100*$AD$1</f>
        <v>55.287117787418325</v>
      </c>
      <c r="AT60" s="1053">
        <f>SUMPRODUCT(KZ_Raum_2024!$H$7:$H$51,'Fläche-Best'!S$3:S$47)/100*$AD$1</f>
        <v>10.373697935999942</v>
      </c>
      <c r="AU60" s="1053">
        <f>SUMPRODUCT(KZ_Raum_2024!$H$7:$H$51,'Fläche-Best'!T$3:T$47)/100*$AD$1</f>
        <v>10.392353857645658</v>
      </c>
      <c r="AV60" s="1053">
        <f>SUMPRODUCT(KZ_Raum_2024!$X$7:$X$51,'Fläche-Best'!U$3:U$47)/100*$AD$1</f>
        <v>48.637311945890751</v>
      </c>
      <c r="AW60" s="1053">
        <f>SUMPRODUCT(KZ_Raum_2024!$X$7:$X$51,'Fläche-Best'!V$3:V$47)/100*$AD$1</f>
        <v>49.776670373160755</v>
      </c>
      <c r="AX60" s="1053">
        <f>SUMPRODUCT(KZ_Raum_2024!$X$7:$X$51,'Fläche-Best'!W$3:W$47)/100*$AD$1</f>
        <v>65.566783724858695</v>
      </c>
      <c r="AY60" s="1054">
        <f>SUMPRODUCT(KZ_Raum_2024!$X$7:$X$51,'Fläche-Best'!X$3:X$47)/100*$AD$1</f>
        <v>119.74599595909704</v>
      </c>
      <c r="BC60" s="742" t="s">
        <v>1122</v>
      </c>
    </row>
    <row r="61" spans="1:78">
      <c r="AB61" s="746"/>
      <c r="AC61" s="773" t="s">
        <v>268</v>
      </c>
      <c r="AD61" s="774" t="s">
        <v>134</v>
      </c>
      <c r="AE61" s="1099">
        <f>SUMPRODUCT(KZ_Raum_2024!$Y$7:$Y$51,'Fläche-Best'!D$3:D$47)/100*$AD$1</f>
        <v>11.516480000000003</v>
      </c>
      <c r="AF61" s="1053">
        <f>SUMPRODUCT(KZ_Raum_2024!$I$7:$I$51,'Fläche-Best'!E$3:E$47)/100*$AD$1</f>
        <v>11.516480000000003</v>
      </c>
      <c r="AG61" s="1053">
        <f>SUMPRODUCT(KZ_Raum_2024!$I$7:$I$51,'Fläche-Best'!F$3:F$47)/100*$AD$1</f>
        <v>17.491430095238098</v>
      </c>
      <c r="AH61" s="1053">
        <f>SUMPRODUCT(KZ_Raum_2024!$Y$7:$Y$51,'Fläche-Best'!G$3:G$47)/100*$AD$1</f>
        <v>9.7551360000000003</v>
      </c>
      <c r="AI61" s="1053">
        <f>SUMPRODUCT(KZ_Raum_2024!$Y$7:$Y$51,'Fläche-Best'!H$3:H$47)/100*$AD$1</f>
        <v>1.2664018285714287</v>
      </c>
      <c r="AJ61" s="1053">
        <f>SUMPRODUCT(KZ_Raum_2024!$Y$7:$Y$51,'Fläche-Best'!I$3:I$47)/100*$AD$1</f>
        <v>1.6590649589823876</v>
      </c>
      <c r="AK61" s="1053">
        <f>SUMPRODUCT(KZ_Raum_2024!$I$7:$I$51,'Fläche-Best'!J$3:J$47)/100*$AD$1</f>
        <v>1.6590649589823876</v>
      </c>
      <c r="AL61" s="1053">
        <f>SUMPRODUCT(KZ_Raum_2024!$I$7:$I$51,'Fläche-Best'!K$3:K$47)/100*$AD$1</f>
        <v>1.2867679190606656</v>
      </c>
      <c r="AM61" s="1053">
        <f>SUMPRODUCT(KZ_Raum_2024!$Y$7:$Y$51,'Fläche-Best'!L$3:L$47)/100*$AD$1</f>
        <v>1.4108914285714289</v>
      </c>
      <c r="AN61" s="1053">
        <f>SUMPRODUCT(KZ_Raum_2024!$I$7:$I$51,'Fläche-Best'!M$3:M$47)/100*$AD$1</f>
        <v>1.4108914285714289</v>
      </c>
      <c r="AO61" s="1053">
        <f>SUMPRODUCT(KZ_Raum_2024!$I$7:$I$51,'Fläche-Best'!N$3:N$47)/100*$AD$1</f>
        <v>1.4108914285714289</v>
      </c>
      <c r="AP61" s="1053">
        <f>SUMPRODUCT(KZ_Raum_2024!$I$7:$I$51,'Fläche-Best'!O$3:O$47)/100*$AD$1</f>
        <v>0.80091702857142877</v>
      </c>
      <c r="AQ61" s="1053">
        <f>SUMPRODUCT(KZ_Raum_2024!$Y$7:$Y$51,'Fläche-Best'!P$3:P$47)/100*$AD$1</f>
        <v>43.67340342857144</v>
      </c>
      <c r="AR61" s="1053">
        <f>SUMPRODUCT(KZ_Raum_2024!$Y$7:$Y$51,'Fläche-Best'!Q$3:Q$47)/100*$AD$1</f>
        <v>3.5893714285714289</v>
      </c>
      <c r="AS61" s="1053">
        <f>SUMPRODUCT(KZ_Raum_2024!$Y$7:$Y$51,'Fläche-Best'!R$3:R$47)/100*$AD$1</f>
        <v>21.781883428571433</v>
      </c>
      <c r="AT61" s="1053">
        <f>SUMPRODUCT(KZ_Raum_2024!$I$7:$I$51,'Fläche-Best'!S$3:S$47)/100*$AD$1</f>
        <v>19.07212342857143</v>
      </c>
      <c r="AU61" s="1053">
        <f>SUMPRODUCT(KZ_Raum_2024!$I$7:$I$51,'Fläche-Best'!T$3:T$47)/100*$AD$1</f>
        <v>27.201403428571435</v>
      </c>
      <c r="AV61" s="1053">
        <f>SUMPRODUCT(KZ_Raum_2024!$Y$7:$Y$51,'Fläche-Best'!U$3:U$47)/100*$AD$1</f>
        <v>1.2664018285714287</v>
      </c>
      <c r="AW61" s="1053">
        <f>SUMPRODUCT(KZ_Raum_2024!$Y$7:$Y$51,'Fläche-Best'!V$3:V$47)/100*$AD$1</f>
        <v>0.61244022857142866</v>
      </c>
      <c r="AX61" s="1053">
        <f>SUMPRODUCT(KZ_Raum_2024!$Y$7:$Y$51,'Fläche-Best'!W$3:W$47)/100*$AD$1</f>
        <v>30.47042998356164</v>
      </c>
      <c r="AY61" s="781">
        <f>SUMPRODUCT(KZ_Raum_2024!$Y$7:$Y$51,'Fläche-Best'!X$3:X$47)/100*$AD$1</f>
        <v>69.815163428571452</v>
      </c>
      <c r="BC61" s="723" t="s">
        <v>420</v>
      </c>
      <c r="BD61" s="723" t="s">
        <v>134</v>
      </c>
      <c r="BE61" s="741">
        <f>BE8*BE9</f>
        <v>19.599999999999998</v>
      </c>
      <c r="BF61" s="741"/>
      <c r="BG61" s="741"/>
      <c r="BH61" s="741">
        <f>BH8*BH9</f>
        <v>15.399999999999999</v>
      </c>
      <c r="BI61" s="741">
        <f>BI8*BI9</f>
        <v>19.8</v>
      </c>
      <c r="BJ61" s="741">
        <f>BJ8*BJ9</f>
        <v>9.9</v>
      </c>
      <c r="BK61" s="741"/>
      <c r="BL61" s="741"/>
      <c r="BM61" s="741">
        <f>BM8*BM9</f>
        <v>26.400000000000002</v>
      </c>
      <c r="BN61" s="741">
        <f>BN8*BN9</f>
        <v>0</v>
      </c>
      <c r="BO61" s="741">
        <f>BO8*BO9</f>
        <v>0</v>
      </c>
      <c r="BP61" s="741">
        <f>BP8*BP9</f>
        <v>0</v>
      </c>
      <c r="BQ61" s="741">
        <f t="shared" ref="BQ61:BY61" si="82">BQ8*BQ9</f>
        <v>23.099999999999998</v>
      </c>
      <c r="BR61" s="741">
        <f t="shared" si="82"/>
        <v>13.600000000000001</v>
      </c>
      <c r="BS61" s="741">
        <f t="shared" si="82"/>
        <v>19.599999999999998</v>
      </c>
      <c r="BT61" s="741">
        <f t="shared" si="82"/>
        <v>0</v>
      </c>
      <c r="BU61" s="741">
        <f t="shared" si="82"/>
        <v>0</v>
      </c>
      <c r="BV61" s="741">
        <f t="shared" si="82"/>
        <v>15.3</v>
      </c>
      <c r="BW61" s="741">
        <f t="shared" si="82"/>
        <v>5.4</v>
      </c>
      <c r="BX61" s="741">
        <f t="shared" si="82"/>
        <v>5.4</v>
      </c>
      <c r="BY61" s="741">
        <f t="shared" si="82"/>
        <v>39.199999999999996</v>
      </c>
      <c r="BZ61" s="741"/>
    </row>
    <row r="62" spans="1:78">
      <c r="AB62" s="746"/>
      <c r="AC62" s="773" t="s">
        <v>1181</v>
      </c>
      <c r="AD62" s="774"/>
      <c r="AE62" s="1099">
        <f>SUMPRODUCT(KZ_Raum_2024!$T$7:$T$51,'Fläche-Best'!D$3:D$47)/100*$AD$1</f>
        <v>0</v>
      </c>
      <c r="AF62" s="1053">
        <f>SUMPRODUCT(KZ_Raum_2024!$D$7:$D$51,'Fläche-Best'!E$3:E$47)/100*$AD$1</f>
        <v>0</v>
      </c>
      <c r="AG62" s="1053">
        <f>SUMPRODUCT(KZ_Raum_2024!$D$7:$D$51,'Fläche-Best'!F$3:F$47)/100*$AD$1</f>
        <v>0</v>
      </c>
      <c r="AH62" s="1053">
        <f>SUMPRODUCT(KZ_Raum_2024!$T$7:$T$51,'Fläche-Best'!G$3:G$47)/100*$AD$1</f>
        <v>0</v>
      </c>
      <c r="AI62" s="1053">
        <f>SUMPRODUCT(KZ_Raum_2024!$T$7:$T$51,'Fläche-Best'!H$3:H$47)/100*$AD$1</f>
        <v>11.216000000000001</v>
      </c>
      <c r="AJ62" s="1053">
        <f>SUMPRODUCT(KZ_Raum_2024!$T$7:$T$51,'Fläche-Best'!I$3:I$47)/100*$AD$1</f>
        <v>0</v>
      </c>
      <c r="AK62" s="1053">
        <f>SUMPRODUCT(KZ_Raum_2024!$D$7:$D$51,'Fläche-Best'!J$3:J$47)/100*$AD$1</f>
        <v>0</v>
      </c>
      <c r="AL62" s="1053">
        <f>SUMPRODUCT(KZ_Raum_2024!$D$7:$D$51,'Fläche-Best'!K$3:K$47)/100*$AD$1</f>
        <v>8.4120000000000008</v>
      </c>
      <c r="AM62" s="1053">
        <f>SUMPRODUCT(KZ_Raum_2024!$T$7:$T$51,'Fläche-Best'!L$3:L$47)/100*$AD$1</f>
        <v>0</v>
      </c>
      <c r="AN62" s="780">
        <f>SUMPRODUCT(KZ_Raum_2024!$D$7:$D$51,'Fläche-Best'!M$3:M$47)/100*$AD$1</f>
        <v>197.56800000000001</v>
      </c>
      <c r="AO62" s="1053">
        <f>SUMPRODUCT(KZ_Raum_2024!$D$7:$D$51,'Fläche-Best'!N$3:N$47)/100*$AD$1</f>
        <v>0</v>
      </c>
      <c r="AP62" s="1053">
        <f>SUMPRODUCT(KZ_Raum_2024!$D$7:$D$51,'Fläche-Best'!O$3:O$47)/100*$AD$1</f>
        <v>0</v>
      </c>
      <c r="AQ62" s="1053">
        <f>SUMPRODUCT(KZ_Raum_2024!$T$7:$T$51,'Fläche-Best'!P$3:P$47)/100*$AD$1</f>
        <v>52.657600000000002</v>
      </c>
      <c r="AR62" s="1053">
        <f>SUMPRODUCT(KZ_Raum_2024!$T$7:$T$51,'Fläche-Best'!Q$3:Q$47)/100*$AD$1</f>
        <v>0</v>
      </c>
      <c r="AS62" s="1053">
        <f>SUMPRODUCT(KZ_Raum_2024!$T$7:$T$51,'Fläche-Best'!R$3:R$47)/100*$AD$1</f>
        <v>3.4880000000000004</v>
      </c>
      <c r="AT62" s="1053">
        <f>SUMPRODUCT(KZ_Raum_2024!$D$7:$D$51,'Fläche-Best'!S$3:S$47)/100*$AD$1</f>
        <v>3.9240000000000004</v>
      </c>
      <c r="AU62" s="1053">
        <f>SUMPRODUCT(KZ_Raum_2024!$D$7:$D$51,'Fläche-Best'!T$3:T$47)/100*$AD$1</f>
        <v>1.3080000000000001</v>
      </c>
      <c r="AV62" s="1053">
        <f>SUMPRODUCT(KZ_Raum_2024!$T$7:$T$51,'Fläche-Best'!U$3:U$47)/100*$AD$1</f>
        <v>27.584</v>
      </c>
      <c r="AW62" s="1053">
        <f>SUMPRODUCT(KZ_Raum_2024!$T$7:$T$51,'Fläche-Best'!V$3:V$47)/100*$AD$1</f>
        <v>0</v>
      </c>
      <c r="AX62" s="1053">
        <f>SUMPRODUCT(KZ_Raum_2024!$T$7:$T$51,'Fläche-Best'!W$3:W$47)/100*$AD$1</f>
        <v>0</v>
      </c>
      <c r="AY62" s="781">
        <f>SUMPRODUCT(KZ_Raum_2024!$T$7:$T$51,'Fläche-Best'!X$3:X$47)/100*$AD$1</f>
        <v>245.51999999999998</v>
      </c>
      <c r="BC62" s="723" t="s">
        <v>1540</v>
      </c>
      <c r="BD62" s="723" t="s">
        <v>134</v>
      </c>
      <c r="BE62" s="741">
        <f>CD10</f>
        <v>20.7</v>
      </c>
      <c r="BF62" s="741">
        <f t="shared" ref="BF62:BY62" si="83">CE10</f>
        <v>0</v>
      </c>
      <c r="BG62" s="741">
        <f t="shared" si="83"/>
        <v>0</v>
      </c>
      <c r="BH62" s="741">
        <f t="shared" si="83"/>
        <v>17.100000000000001</v>
      </c>
      <c r="BI62" s="741">
        <f t="shared" si="83"/>
        <v>36</v>
      </c>
      <c r="BJ62" s="741">
        <f t="shared" si="83"/>
        <v>18.400000000000002</v>
      </c>
      <c r="BK62" s="741">
        <f t="shared" si="83"/>
        <v>18.400000000000002</v>
      </c>
      <c r="BL62" s="741">
        <f t="shared" si="83"/>
        <v>28.7</v>
      </c>
      <c r="BM62" s="741">
        <f t="shared" si="83"/>
        <v>36.4</v>
      </c>
      <c r="BN62" s="741">
        <f t="shared" si="83"/>
        <v>36.4</v>
      </c>
      <c r="BO62" s="741">
        <f t="shared" si="83"/>
        <v>36.4</v>
      </c>
      <c r="BP62" s="741">
        <f t="shared" si="83"/>
        <v>31.499999999999996</v>
      </c>
      <c r="BQ62" s="741">
        <f t="shared" si="83"/>
        <v>19.200000000000003</v>
      </c>
      <c r="BR62" s="741">
        <f t="shared" si="83"/>
        <v>31.2</v>
      </c>
      <c r="BS62" s="741">
        <f t="shared" si="83"/>
        <v>23.799999999999997</v>
      </c>
      <c r="BT62" s="741">
        <f t="shared" si="83"/>
        <v>25.2</v>
      </c>
      <c r="BU62" s="741">
        <f t="shared" si="83"/>
        <v>21.7</v>
      </c>
      <c r="BV62" s="741">
        <f t="shared" si="83"/>
        <v>27.299999999999997</v>
      </c>
      <c r="BW62" s="741">
        <f t="shared" si="83"/>
        <v>25.2</v>
      </c>
      <c r="BX62" s="741">
        <f t="shared" si="83"/>
        <v>16.8</v>
      </c>
      <c r="BY62" s="741">
        <f t="shared" si="83"/>
        <v>19</v>
      </c>
      <c r="BZ62" s="741"/>
    </row>
    <row r="63" spans="1:78">
      <c r="AB63" s="746"/>
      <c r="AC63" s="735" t="s">
        <v>1114</v>
      </c>
      <c r="AD63" s="733" t="s">
        <v>134</v>
      </c>
      <c r="AE63" s="1280">
        <f>AE11</f>
        <v>3</v>
      </c>
      <c r="AF63" s="1280">
        <f t="shared" ref="AF63:AY63" si="84">AF11</f>
        <v>3</v>
      </c>
      <c r="AG63" s="1280">
        <f t="shared" si="84"/>
        <v>8.16</v>
      </c>
      <c r="AH63" s="1280">
        <f t="shared" si="84"/>
        <v>1.4</v>
      </c>
      <c r="AI63" s="1280">
        <f t="shared" si="84"/>
        <v>3.3680000000000003</v>
      </c>
      <c r="AJ63" s="1280">
        <f t="shared" si="84"/>
        <v>3.1280000000000001</v>
      </c>
      <c r="AK63" s="1280">
        <f t="shared" si="84"/>
        <v>3.1280000000000001</v>
      </c>
      <c r="AL63" s="1280">
        <f t="shared" si="84"/>
        <v>8.16</v>
      </c>
      <c r="AM63" s="1280">
        <f t="shared" si="84"/>
        <v>7.5440000000000005</v>
      </c>
      <c r="AN63" s="1280">
        <f t="shared" si="84"/>
        <v>7.5440000000000005</v>
      </c>
      <c r="AO63" s="1280">
        <f t="shared" si="84"/>
        <v>7.5440000000000005</v>
      </c>
      <c r="AP63" s="1280">
        <f t="shared" si="84"/>
        <v>7.5440000000000005</v>
      </c>
      <c r="AQ63" s="1280">
        <f t="shared" si="84"/>
        <v>8.3840000000000003</v>
      </c>
      <c r="AR63" s="1280">
        <f t="shared" si="84"/>
        <v>3.8479999999999999</v>
      </c>
      <c r="AS63" s="1280">
        <f t="shared" si="84"/>
        <v>8.2000000000000011</v>
      </c>
      <c r="AT63" s="1280">
        <f t="shared" si="84"/>
        <v>8.2000000000000011</v>
      </c>
      <c r="AU63" s="1280">
        <f t="shared" si="84"/>
        <v>8.2000000000000011</v>
      </c>
      <c r="AV63" s="1280">
        <f t="shared" si="84"/>
        <v>6.6959999999999997</v>
      </c>
      <c r="AW63" s="1280">
        <f t="shared" si="84"/>
        <v>1.6480000000000001</v>
      </c>
      <c r="AX63" s="1280">
        <f t="shared" si="84"/>
        <v>3.2320000000000002</v>
      </c>
      <c r="AY63" s="1281">
        <f t="shared" si="84"/>
        <v>6.88</v>
      </c>
      <c r="BC63" s="213" t="s">
        <v>1149</v>
      </c>
      <c r="BD63" s="723" t="s">
        <v>134</v>
      </c>
      <c r="BE63" s="741">
        <f t="shared" ref="BE63:BY63" si="85">BE62-BE61</f>
        <v>1.1000000000000014</v>
      </c>
      <c r="BF63" s="741"/>
      <c r="BG63" s="741">
        <f t="shared" si="85"/>
        <v>0</v>
      </c>
      <c r="BH63" s="741">
        <f t="shared" si="85"/>
        <v>1.7000000000000028</v>
      </c>
      <c r="BI63" s="741">
        <f t="shared" si="85"/>
        <v>16.2</v>
      </c>
      <c r="BJ63" s="741">
        <f t="shared" si="85"/>
        <v>8.5000000000000018</v>
      </c>
      <c r="BK63" s="741"/>
      <c r="BL63" s="741"/>
      <c r="BM63" s="741">
        <f t="shared" si="85"/>
        <v>9.9999999999999964</v>
      </c>
      <c r="BN63" s="741">
        <f t="shared" si="85"/>
        <v>36.4</v>
      </c>
      <c r="BO63" s="741">
        <f t="shared" si="85"/>
        <v>36.4</v>
      </c>
      <c r="BP63" s="741">
        <f t="shared" si="85"/>
        <v>31.499999999999996</v>
      </c>
      <c r="BQ63" s="741">
        <f t="shared" si="85"/>
        <v>-3.899999999999995</v>
      </c>
      <c r="BR63" s="741">
        <f t="shared" si="85"/>
        <v>17.599999999999998</v>
      </c>
      <c r="BS63" s="741">
        <f t="shared" si="85"/>
        <v>4.1999999999999993</v>
      </c>
      <c r="BT63" s="741">
        <f t="shared" si="85"/>
        <v>25.2</v>
      </c>
      <c r="BU63" s="741">
        <f t="shared" si="85"/>
        <v>21.7</v>
      </c>
      <c r="BV63" s="741">
        <f t="shared" si="85"/>
        <v>11.999999999999996</v>
      </c>
      <c r="BW63" s="741">
        <f t="shared" si="85"/>
        <v>19.799999999999997</v>
      </c>
      <c r="BX63" s="741">
        <f t="shared" si="85"/>
        <v>11.4</v>
      </c>
      <c r="BY63" s="741">
        <f t="shared" si="85"/>
        <v>-20.199999999999996</v>
      </c>
      <c r="BZ63" s="741"/>
    </row>
    <row r="64" spans="1:78">
      <c r="AB64" s="746"/>
    </row>
    <row r="65" spans="28:227">
      <c r="AB65" s="746"/>
    </row>
    <row r="66" spans="28:227">
      <c r="AB66" s="746"/>
    </row>
    <row r="67" spans="28:227">
      <c r="AB67" s="746"/>
    </row>
    <row r="70" spans="28:227">
      <c r="GV70" s="723" t="s">
        <v>1657</v>
      </c>
      <c r="GW70" s="723" t="s">
        <v>134</v>
      </c>
      <c r="GY70" s="743">
        <f>GY7-FZ7</f>
        <v>0.81199999999999761</v>
      </c>
      <c r="GZ70" s="1561">
        <f t="shared" ref="GZ70:HS70" si="86">GZ7-GA7</f>
        <v>-1.3840000000000003</v>
      </c>
      <c r="HA70" s="743">
        <f t="shared" si="86"/>
        <v>-2.8792000000000009</v>
      </c>
      <c r="HB70" s="743">
        <f t="shared" si="86"/>
        <v>-10.230400000000003</v>
      </c>
      <c r="HC70" s="743">
        <f t="shared" si="86"/>
        <v>-10.88448</v>
      </c>
      <c r="HD70" s="1561">
        <f t="shared" si="86"/>
        <v>-5.8844799999999999</v>
      </c>
      <c r="HE70" s="1561">
        <f t="shared" si="86"/>
        <v>-3.0240000000000062</v>
      </c>
      <c r="HF70" s="743">
        <f t="shared" si="86"/>
        <v>-7.3224000000000018</v>
      </c>
      <c r="HG70" s="743">
        <f t="shared" si="86"/>
        <v>-2.8696000000000002</v>
      </c>
      <c r="HH70" s="743">
        <f t="shared" si="86"/>
        <v>-2.3224000000000018</v>
      </c>
      <c r="HI70" s="743">
        <f t="shared" si="86"/>
        <v>-7.0056000000000003</v>
      </c>
      <c r="HJ70" s="743">
        <f t="shared" si="86"/>
        <v>-4.3432000000000013</v>
      </c>
      <c r="HK70" s="1561">
        <f t="shared" si="86"/>
        <v>-8.9432000000000027</v>
      </c>
      <c r="HL70" s="743">
        <f t="shared" si="86"/>
        <v>-3.6532000000000018</v>
      </c>
      <c r="HM70" s="743">
        <f t="shared" si="86"/>
        <v>-4.6372000000000018</v>
      </c>
      <c r="HN70" s="743">
        <f t="shared" si="86"/>
        <v>-2.8292000000000002</v>
      </c>
      <c r="HO70" s="743">
        <f t="shared" si="86"/>
        <v>-7.5432000000000023</v>
      </c>
      <c r="HP70" s="743">
        <f t="shared" si="86"/>
        <v>-3.4040000000000008</v>
      </c>
      <c r="HQ70" s="743">
        <f t="shared" si="86"/>
        <v>-0.48639999999999972</v>
      </c>
      <c r="HR70" s="743">
        <f t="shared" si="86"/>
        <v>-3.1424000000000021</v>
      </c>
      <c r="HS70" s="743">
        <f t="shared" si="86"/>
        <v>0.1664000000000001</v>
      </c>
    </row>
    <row r="71" spans="28:227">
      <c r="GW71" s="723" t="s">
        <v>5</v>
      </c>
      <c r="GY71" s="723">
        <f>GY70/GY7%</f>
        <v>5.2387096774193394</v>
      </c>
      <c r="GZ71" s="723">
        <f t="shared" ref="GZ71:HS71" si="87">GZ70/GZ7%</f>
        <v>-12.697247706422022</v>
      </c>
      <c r="HA71" s="723">
        <f t="shared" si="87"/>
        <v>-23.033600000000007</v>
      </c>
      <c r="HB71" s="723">
        <f t="shared" si="87"/>
        <v>-62.002424242424254</v>
      </c>
      <c r="HC71" s="723" t="e">
        <f t="shared" si="87"/>
        <v>#DIV/0!</v>
      </c>
      <c r="HD71" s="744">
        <f t="shared" si="87"/>
        <v>-117.6896</v>
      </c>
      <c r="HE71" s="744">
        <f t="shared" si="87"/>
        <v>-19.384615384615426</v>
      </c>
      <c r="HF71" s="723" t="e">
        <f t="shared" si="87"/>
        <v>#DIV/0!</v>
      </c>
      <c r="HG71" s="723">
        <f t="shared" si="87"/>
        <v>-57.392000000000003</v>
      </c>
      <c r="HH71" s="723">
        <f t="shared" si="87"/>
        <v>-46.448000000000036</v>
      </c>
      <c r="HI71" s="723" t="e">
        <f t="shared" si="87"/>
        <v>#DIV/0!</v>
      </c>
      <c r="HJ71" s="723">
        <f t="shared" si="87"/>
        <v>-96.515555555555594</v>
      </c>
      <c r="HK71" s="744">
        <f t="shared" si="87"/>
        <v>-223.58000000000007</v>
      </c>
      <c r="HL71" s="723">
        <f t="shared" si="87"/>
        <v>-44.014457831325323</v>
      </c>
      <c r="HM71" s="723">
        <f t="shared" si="87"/>
        <v>-54.555294117647072</v>
      </c>
      <c r="HN71" s="723">
        <f t="shared" si="87"/>
        <v>-33.284705882352938</v>
      </c>
      <c r="HO71" s="723">
        <f t="shared" si="87"/>
        <v>-107.76000000000002</v>
      </c>
      <c r="HP71" s="744">
        <f t="shared" si="87"/>
        <v>-85.100000000000023</v>
      </c>
      <c r="HQ71" s="744">
        <f t="shared" si="87"/>
        <v>-24.319999999999986</v>
      </c>
      <c r="HR71" s="723">
        <f t="shared" si="87"/>
        <v>-57.134545454545496</v>
      </c>
      <c r="HS71" s="723">
        <f t="shared" si="87"/>
        <v>9.7882352941176531</v>
      </c>
    </row>
    <row r="85" spans="55:78">
      <c r="BC85" s="742" t="s">
        <v>1100</v>
      </c>
    </row>
    <row r="86" spans="55:78">
      <c r="BC86" s="723" t="s">
        <v>420</v>
      </c>
      <c r="BD86" s="723" t="s">
        <v>134</v>
      </c>
      <c r="BE86" s="741">
        <f>BE12</f>
        <v>21</v>
      </c>
      <c r="BF86" s="741"/>
      <c r="BG86" s="741"/>
      <c r="BH86" s="741">
        <f>BH12</f>
        <v>14</v>
      </c>
      <c r="BI86" s="741">
        <f>BI12</f>
        <v>7</v>
      </c>
      <c r="BJ86" s="741">
        <f>BJ12</f>
        <v>7</v>
      </c>
      <c r="BK86" s="741"/>
      <c r="BL86" s="741"/>
      <c r="BM86" s="741">
        <f t="shared" ref="BM86:BY86" si="88">BM12</f>
        <v>7</v>
      </c>
      <c r="BN86" s="741">
        <f t="shared" si="88"/>
        <v>0</v>
      </c>
      <c r="BO86" s="741">
        <f t="shared" si="88"/>
        <v>0</v>
      </c>
      <c r="BP86" s="741">
        <f t="shared" si="88"/>
        <v>0</v>
      </c>
      <c r="BQ86" s="741">
        <f t="shared" si="88"/>
        <v>56</v>
      </c>
      <c r="BR86" s="741">
        <f t="shared" si="88"/>
        <v>14</v>
      </c>
      <c r="BS86" s="741">
        <f t="shared" si="88"/>
        <v>28</v>
      </c>
      <c r="BT86" s="741">
        <f t="shared" si="88"/>
        <v>0</v>
      </c>
      <c r="BU86" s="741">
        <f t="shared" si="88"/>
        <v>0</v>
      </c>
      <c r="BV86" s="741">
        <f t="shared" si="88"/>
        <v>7</v>
      </c>
      <c r="BW86" s="741">
        <f t="shared" si="88"/>
        <v>1</v>
      </c>
      <c r="BX86" s="741">
        <f t="shared" si="88"/>
        <v>83</v>
      </c>
      <c r="BY86" s="741">
        <f t="shared" si="88"/>
        <v>83</v>
      </c>
      <c r="BZ86" s="741"/>
    </row>
    <row r="87" spans="55:78">
      <c r="BC87" s="723" t="s">
        <v>1541</v>
      </c>
      <c r="BD87" s="723" t="s">
        <v>134</v>
      </c>
      <c r="BE87" s="741">
        <f>AE8/0.67</f>
        <v>17.188776119402988</v>
      </c>
      <c r="BF87" s="741"/>
      <c r="BG87" s="741">
        <f>AG8/0.67</f>
        <v>26.106612082444919</v>
      </c>
      <c r="BH87" s="741">
        <f>AH8/0.67</f>
        <v>14.559904477611941</v>
      </c>
      <c r="BI87" s="741">
        <f>AI8/0.67</f>
        <v>1.8901519829424307</v>
      </c>
      <c r="BJ87" s="741">
        <f>AJ8/0.67</f>
        <v>2.4762163566901307</v>
      </c>
      <c r="BK87" s="741"/>
      <c r="BL87" s="741"/>
      <c r="BM87" s="741">
        <f t="shared" ref="BM87:BY87" si="89">AM8/0.67</f>
        <v>2.1058081023454163</v>
      </c>
      <c r="BN87" s="741">
        <f t="shared" si="89"/>
        <v>2.1058081023454163</v>
      </c>
      <c r="BO87" s="741">
        <f t="shared" si="89"/>
        <v>2.1058081023454163</v>
      </c>
      <c r="BP87" s="741">
        <f t="shared" si="89"/>
        <v>1.19539855010661</v>
      </c>
      <c r="BQ87" s="741">
        <f t="shared" si="89"/>
        <v>65.18418422174841</v>
      </c>
      <c r="BR87" s="741">
        <f t="shared" si="89"/>
        <v>5.3572707889125804</v>
      </c>
      <c r="BS87" s="741">
        <f t="shared" si="89"/>
        <v>32.510273773987208</v>
      </c>
      <c r="BT87" s="741">
        <f t="shared" si="89"/>
        <v>28.465855863539446</v>
      </c>
      <c r="BU87" s="741">
        <f t="shared" si="89"/>
        <v>40.599109594882734</v>
      </c>
      <c r="BV87" s="741">
        <f t="shared" si="89"/>
        <v>1.8901519829424307</v>
      </c>
      <c r="BW87" s="741">
        <f t="shared" si="89"/>
        <v>0.91408989339019198</v>
      </c>
      <c r="BX87" s="741">
        <f t="shared" si="89"/>
        <v>45.478253706808417</v>
      </c>
      <c r="BY87" s="741">
        <f t="shared" si="89"/>
        <v>104.2017364605544</v>
      </c>
      <c r="BZ87" s="741"/>
    </row>
    <row r="88" spans="55:78">
      <c r="BC88" s="213" t="s">
        <v>1149</v>
      </c>
      <c r="BD88" s="723" t="s">
        <v>134</v>
      </c>
      <c r="BE88" s="741">
        <f>BE87-BE86</f>
        <v>-3.8112238805970122</v>
      </c>
      <c r="BF88" s="741"/>
      <c r="BG88" s="741">
        <f t="shared" ref="BG88:BY88" si="90">BG87-BG86</f>
        <v>26.106612082444919</v>
      </c>
      <c r="BH88" s="741">
        <f t="shared" si="90"/>
        <v>0.55990447761194062</v>
      </c>
      <c r="BI88" s="741">
        <f t="shared" si="90"/>
        <v>-5.1098480170575691</v>
      </c>
      <c r="BJ88" s="741">
        <f t="shared" si="90"/>
        <v>-4.5237836433098693</v>
      </c>
      <c r="BK88" s="741"/>
      <c r="BL88" s="741"/>
      <c r="BM88" s="741">
        <f t="shared" si="90"/>
        <v>-4.8941918976545837</v>
      </c>
      <c r="BN88" s="741">
        <f t="shared" si="90"/>
        <v>2.1058081023454163</v>
      </c>
      <c r="BO88" s="741">
        <f t="shared" si="90"/>
        <v>2.1058081023454163</v>
      </c>
      <c r="BP88" s="741">
        <f t="shared" si="90"/>
        <v>1.19539855010661</v>
      </c>
      <c r="BQ88" s="741">
        <f t="shared" si="90"/>
        <v>9.18418422174841</v>
      </c>
      <c r="BR88" s="741">
        <f t="shared" si="90"/>
        <v>-8.6427292110874205</v>
      </c>
      <c r="BS88" s="741">
        <f t="shared" si="90"/>
        <v>4.5102737739872083</v>
      </c>
      <c r="BT88" s="741">
        <f t="shared" si="90"/>
        <v>28.465855863539446</v>
      </c>
      <c r="BU88" s="741">
        <f t="shared" si="90"/>
        <v>40.599109594882734</v>
      </c>
      <c r="BV88" s="741">
        <f t="shared" si="90"/>
        <v>-5.1098480170575691</v>
      </c>
      <c r="BW88" s="741">
        <f t="shared" si="90"/>
        <v>-8.5910106609808023E-2</v>
      </c>
      <c r="BX88" s="741">
        <f t="shared" si="90"/>
        <v>-37.521746293191583</v>
      </c>
      <c r="BY88" s="741">
        <f t="shared" si="90"/>
        <v>21.2017364605544</v>
      </c>
      <c r="BZ88" s="741"/>
    </row>
    <row r="90" spans="55:78">
      <c r="BC90" s="723" t="s">
        <v>1542</v>
      </c>
      <c r="BD90" s="723" t="s">
        <v>134</v>
      </c>
      <c r="BE90" s="741">
        <f>AE8</f>
        <v>11.516480000000003</v>
      </c>
      <c r="BF90" s="741"/>
      <c r="BG90" s="741">
        <f>AG11/0.67</f>
        <v>12.17910447761194</v>
      </c>
      <c r="BH90" s="741">
        <f>AH8</f>
        <v>9.7551360000000003</v>
      </c>
      <c r="BI90" s="741">
        <f>AI8</f>
        <v>1.2664018285714287</v>
      </c>
      <c r="BJ90" s="741">
        <f>AJ8</f>
        <v>1.6590649589823876</v>
      </c>
      <c r="BK90" s="741"/>
      <c r="BL90" s="741"/>
      <c r="BM90" s="741">
        <f>AM8</f>
        <v>1.4108914285714289</v>
      </c>
      <c r="BN90" s="741">
        <f>AN11/0.67</f>
        <v>11.259701492537314</v>
      </c>
      <c r="BO90" s="741">
        <f>AO11/0.67</f>
        <v>11.259701492537314</v>
      </c>
      <c r="BP90" s="741">
        <f>AP11/0.67</f>
        <v>11.259701492537314</v>
      </c>
      <c r="BQ90" s="741">
        <f t="shared" ref="BQ90:BY90" si="91">AQ8</f>
        <v>43.67340342857144</v>
      </c>
      <c r="BR90" s="741">
        <f t="shared" si="91"/>
        <v>3.5893714285714289</v>
      </c>
      <c r="BS90" s="741">
        <f t="shared" si="91"/>
        <v>21.781883428571433</v>
      </c>
      <c r="BT90" s="741">
        <f t="shared" si="91"/>
        <v>19.07212342857143</v>
      </c>
      <c r="BU90" s="741">
        <f t="shared" si="91"/>
        <v>27.201403428571435</v>
      </c>
      <c r="BV90" s="741">
        <f t="shared" si="91"/>
        <v>1.2664018285714287</v>
      </c>
      <c r="BW90" s="741">
        <f t="shared" si="91"/>
        <v>0.61244022857142866</v>
      </c>
      <c r="BX90" s="741">
        <f t="shared" si="91"/>
        <v>30.47042998356164</v>
      </c>
      <c r="BY90" s="741">
        <f t="shared" si="91"/>
        <v>69.815163428571452</v>
      </c>
      <c r="BZ90" s="741"/>
    </row>
    <row r="111" spans="55:78">
      <c r="BC111" s="742" t="s">
        <v>398</v>
      </c>
    </row>
    <row r="112" spans="55:78">
      <c r="BC112" s="723" t="s">
        <v>420</v>
      </c>
      <c r="BD112" s="723" t="s">
        <v>1061</v>
      </c>
      <c r="BE112" s="745">
        <f>BE11</f>
        <v>0.7</v>
      </c>
      <c r="BF112" s="745"/>
      <c r="BG112" s="745">
        <f>BG11</f>
        <v>0</v>
      </c>
      <c r="BH112" s="745">
        <f>BH11</f>
        <v>0.7</v>
      </c>
      <c r="BI112" s="745">
        <f>BI11</f>
        <v>0.7</v>
      </c>
      <c r="BJ112" s="745">
        <f>BJ11</f>
        <v>0.7</v>
      </c>
      <c r="BK112" s="745"/>
      <c r="BL112" s="745"/>
      <c r="BM112" s="745">
        <f t="shared" ref="BM112:BY112" si="92">BM11</f>
        <v>0.7</v>
      </c>
      <c r="BN112" s="745">
        <f t="shared" si="92"/>
        <v>0</v>
      </c>
      <c r="BO112" s="745">
        <f t="shared" si="92"/>
        <v>0</v>
      </c>
      <c r="BP112" s="745">
        <f t="shared" si="92"/>
        <v>0</v>
      </c>
      <c r="BQ112" s="745">
        <f t="shared" si="92"/>
        <v>1.2</v>
      </c>
      <c r="BR112" s="745">
        <f t="shared" si="92"/>
        <v>1</v>
      </c>
      <c r="BS112" s="745">
        <f t="shared" si="92"/>
        <v>1</v>
      </c>
      <c r="BT112" s="745">
        <f t="shared" si="92"/>
        <v>0</v>
      </c>
      <c r="BU112" s="745">
        <f t="shared" si="92"/>
        <v>0</v>
      </c>
      <c r="BV112" s="745">
        <f t="shared" si="92"/>
        <v>0.7</v>
      </c>
      <c r="BW112" s="745">
        <f t="shared" si="92"/>
        <v>0.3</v>
      </c>
      <c r="BX112" s="745">
        <f t="shared" si="92"/>
        <v>0.7</v>
      </c>
      <c r="BY112" s="745">
        <f t="shared" si="92"/>
        <v>0.7</v>
      </c>
      <c r="BZ112" s="745"/>
    </row>
    <row r="113" spans="55:78">
      <c r="BC113" s="723" t="s">
        <v>1547</v>
      </c>
      <c r="BD113" s="723" t="s">
        <v>1061</v>
      </c>
      <c r="BE113" s="745">
        <f>1/AE29*BE145*AE30/24</f>
        <v>0.27213307240704504</v>
      </c>
      <c r="BF113" s="745">
        <f>1/AF29*36*AF30/24</f>
        <v>0.39187162426614486</v>
      </c>
      <c r="BG113" s="745">
        <f>1/AG29*36*AG30/24</f>
        <v>0.64171585127201547</v>
      </c>
      <c r="BH113" s="745">
        <f>1/AH29*BH145*AH30/24</f>
        <v>0.20169863013698633</v>
      </c>
      <c r="BI113" s="745">
        <f>1/AI29*BI145*AI30/24</f>
        <v>0.26084148727984346</v>
      </c>
      <c r="BJ113" s="745">
        <f>1/AJ29*BJ145*AJ30/24</f>
        <v>0.53493737769080241</v>
      </c>
      <c r="BK113" s="745">
        <f>1/AK29*36*AK30/24</f>
        <v>0.77030982387475555</v>
      </c>
      <c r="BL113" s="745">
        <f>1/AL29*36*AL30/24</f>
        <v>0.79905909980430545</v>
      </c>
      <c r="BM113" s="745">
        <f>1/AM29*BM145*AM30/24</f>
        <v>0.46673189823874761</v>
      </c>
      <c r="BN113" s="745">
        <f>1/AN29*36*AN30/24</f>
        <v>0.67209393346379642</v>
      </c>
      <c r="BO113" s="745">
        <f>1/AO29*36*AO30/24</f>
        <v>0.67209393346379642</v>
      </c>
      <c r="BP113" s="745">
        <f>1/AP29*36*AP30/24</f>
        <v>0.36831311154598828</v>
      </c>
      <c r="BQ113" s="745">
        <f>1/AQ29*BQ145*AQ30/24</f>
        <v>0.97661448140900209</v>
      </c>
      <c r="BR113" s="745">
        <f>1/AR29*BR145*AR30/24</f>
        <v>1.3114807566862361</v>
      </c>
      <c r="BS113" s="745">
        <f>1/AS29*BS145*AS30/24</f>
        <v>0.76928897586431833</v>
      </c>
      <c r="BT113" s="745">
        <f>1/AT29*36*AT30/24</f>
        <v>1.0866035225048924</v>
      </c>
      <c r="BU113" s="745">
        <f>1/AU29*36*AU30/24</f>
        <v>1.2211350293542076</v>
      </c>
      <c r="BV113" s="745">
        <f>1/AV29*BV145*AV30/24</f>
        <v>0.1703283322461405</v>
      </c>
      <c r="BW113" s="745">
        <f>1/AW29*BW145*AW30/24</f>
        <v>0.13463144161774301</v>
      </c>
      <c r="BX113" s="745">
        <f>1/AX29*BX145*AX30/24</f>
        <v>0.13275929549902152</v>
      </c>
      <c r="BY113" s="745">
        <f>1/AY29*BY145*AY30/24</f>
        <v>0.41761252446183961</v>
      </c>
      <c r="BZ113" s="745"/>
    </row>
    <row r="114" spans="55:78">
      <c r="BC114" s="723" t="s">
        <v>1548</v>
      </c>
      <c r="BD114" s="723" t="s">
        <v>1061</v>
      </c>
      <c r="BE114" s="745">
        <f>BE113+0.15</f>
        <v>0.42213307240704501</v>
      </c>
      <c r="BF114" s="745">
        <f t="shared" ref="BF114:BY114" si="93">BF113+0.15</f>
        <v>0.54187162426614488</v>
      </c>
      <c r="BG114" s="745">
        <f t="shared" si="93"/>
        <v>0.79171585127201549</v>
      </c>
      <c r="BH114" s="745">
        <f t="shared" si="93"/>
        <v>0.35169863013698632</v>
      </c>
      <c r="BI114" s="745">
        <f t="shared" si="93"/>
        <v>0.41084148727984349</v>
      </c>
      <c r="BJ114" s="745">
        <f t="shared" si="93"/>
        <v>0.68493737769080243</v>
      </c>
      <c r="BK114" s="745">
        <f t="shared" si="93"/>
        <v>0.92030982387475557</v>
      </c>
      <c r="BL114" s="745">
        <f t="shared" si="93"/>
        <v>0.94905909980430547</v>
      </c>
      <c r="BM114" s="745">
        <f t="shared" si="93"/>
        <v>0.61673189823874763</v>
      </c>
      <c r="BN114" s="745">
        <f t="shared" si="93"/>
        <v>0.82209393346379644</v>
      </c>
      <c r="BO114" s="745">
        <f t="shared" si="93"/>
        <v>0.82209393346379644</v>
      </c>
      <c r="BP114" s="745">
        <f t="shared" si="93"/>
        <v>0.51831311154598825</v>
      </c>
      <c r="BQ114" s="745">
        <f t="shared" si="93"/>
        <v>1.126614481409002</v>
      </c>
      <c r="BR114" s="745">
        <f t="shared" si="93"/>
        <v>1.461480756686236</v>
      </c>
      <c r="BS114" s="745">
        <f t="shared" si="93"/>
        <v>0.91928897586431835</v>
      </c>
      <c r="BT114" s="745">
        <f t="shared" si="93"/>
        <v>1.2366035225048924</v>
      </c>
      <c r="BU114" s="745">
        <f t="shared" si="93"/>
        <v>1.3711350293542075</v>
      </c>
      <c r="BV114" s="745">
        <f t="shared" si="93"/>
        <v>0.32032833224614049</v>
      </c>
      <c r="BW114" s="745">
        <f t="shared" si="93"/>
        <v>0.28463144161774301</v>
      </c>
      <c r="BX114" s="745">
        <f t="shared" si="93"/>
        <v>0.28275929549902151</v>
      </c>
      <c r="BY114" s="745">
        <f t="shared" si="93"/>
        <v>0.56761252446183963</v>
      </c>
      <c r="BZ114" s="745"/>
    </row>
    <row r="115" spans="55:78">
      <c r="BC115" s="723" t="s">
        <v>1546</v>
      </c>
      <c r="BD115" s="723" t="s">
        <v>1061</v>
      </c>
      <c r="BE115" s="745">
        <f>AE21</f>
        <v>0.57351989562948469</v>
      </c>
      <c r="BF115" s="745"/>
      <c r="BG115" s="745">
        <f>AG21</f>
        <v>1.0918199608610566</v>
      </c>
      <c r="BH115" s="745">
        <f>AH21</f>
        <v>0.43778264840182646</v>
      </c>
      <c r="BI115" s="745">
        <f>AI21</f>
        <v>0.67670732767993047</v>
      </c>
      <c r="BJ115" s="745">
        <f>AJ21</f>
        <v>0.91802224396607957</v>
      </c>
      <c r="BK115" s="745"/>
      <c r="BL115" s="745"/>
      <c r="BM115" s="745">
        <f t="shared" ref="BM115:BY115" si="94">AM21</f>
        <v>1.1072035225048922</v>
      </c>
      <c r="BN115" s="745">
        <f t="shared" si="94"/>
        <v>1.1031669928245271</v>
      </c>
      <c r="BO115" s="745">
        <f t="shared" si="94"/>
        <v>1.1072035225048922</v>
      </c>
      <c r="BP115" s="745">
        <f t="shared" si="94"/>
        <v>0.7950893672537509</v>
      </c>
      <c r="BQ115" s="745">
        <f t="shared" si="94"/>
        <v>1.9812720156555774</v>
      </c>
      <c r="BR115" s="745">
        <f t="shared" si="94"/>
        <v>1.9270863231137203</v>
      </c>
      <c r="BS115" s="745">
        <f t="shared" si="94"/>
        <v>1.1850163078930203</v>
      </c>
      <c r="BT115" s="745">
        <f t="shared" si="94"/>
        <v>1.2128245270711027</v>
      </c>
      <c r="BU115" s="745">
        <f t="shared" si="94"/>
        <v>1.2202948467058057</v>
      </c>
      <c r="BV115" s="745">
        <f t="shared" si="94"/>
        <v>0.61190722620859617</v>
      </c>
      <c r="BW115" s="745">
        <f t="shared" si="94"/>
        <v>0.58085192433137656</v>
      </c>
      <c r="BX115" s="745">
        <f t="shared" si="94"/>
        <v>1.1171232876712329</v>
      </c>
      <c r="BY115" s="745">
        <f t="shared" si="94"/>
        <v>1.6889432485322897</v>
      </c>
      <c r="BZ115" s="743"/>
    </row>
    <row r="116" spans="55:78">
      <c r="BC116" s="723" t="s">
        <v>1543</v>
      </c>
      <c r="BD116" s="723" t="s">
        <v>1061</v>
      </c>
      <c r="BE116" s="745">
        <f t="shared" ref="BE116:BY116" si="95">AE20</f>
        <v>0.62342857142857155</v>
      </c>
      <c r="BF116" s="745">
        <f t="shared" si="95"/>
        <v>0</v>
      </c>
      <c r="BG116" s="745">
        <f t="shared" si="95"/>
        <v>0</v>
      </c>
      <c r="BH116" s="745">
        <f t="shared" si="95"/>
        <v>0.45760000000000001</v>
      </c>
      <c r="BI116" s="745">
        <f t="shared" si="95"/>
        <v>1.9781904761904763</v>
      </c>
      <c r="BJ116" s="745">
        <f t="shared" si="95"/>
        <v>3.6104571428571428</v>
      </c>
      <c r="BK116" s="745">
        <f t="shared" si="95"/>
        <v>3.6104571428571428</v>
      </c>
      <c r="BL116" s="745">
        <f t="shared" si="95"/>
        <v>3.6350476190476186</v>
      </c>
      <c r="BM116" s="745">
        <f t="shared" si="95"/>
        <v>2.1428571428571432</v>
      </c>
      <c r="BN116" s="745">
        <f t="shared" si="95"/>
        <v>2.1348571428571432</v>
      </c>
      <c r="BO116" s="745">
        <f t="shared" si="95"/>
        <v>2.1428571428571432</v>
      </c>
      <c r="BP116" s="745">
        <f t="shared" si="95"/>
        <v>1.330857142857143</v>
      </c>
      <c r="BQ116" s="745">
        <f t="shared" si="95"/>
        <v>6.968190476190478</v>
      </c>
      <c r="BR116" s="745">
        <f t="shared" si="95"/>
        <v>5.1628571428571437</v>
      </c>
      <c r="BS116" s="745">
        <f t="shared" si="95"/>
        <v>2.0121904761904763</v>
      </c>
      <c r="BT116" s="745">
        <f t="shared" si="95"/>
        <v>2.1668571428571433</v>
      </c>
      <c r="BU116" s="745">
        <f t="shared" si="95"/>
        <v>1.914857142857143</v>
      </c>
      <c r="BV116" s="745">
        <f t="shared" si="95"/>
        <v>1.313968253968254</v>
      </c>
      <c r="BW116" s="745">
        <f t="shared" si="95"/>
        <v>0.91952380952380963</v>
      </c>
      <c r="BX116" s="745">
        <f t="shared" si="95"/>
        <v>3.1</v>
      </c>
      <c r="BY116" s="745">
        <f t="shared" si="95"/>
        <v>3.4428571428571431</v>
      </c>
    </row>
    <row r="143" spans="55:77">
      <c r="BC143" s="723" t="s">
        <v>420</v>
      </c>
      <c r="BD143" s="723" t="s">
        <v>1142</v>
      </c>
      <c r="BE143" s="723">
        <f t="shared" ref="BE143:BY143" si="96">BE11*BE4*24/BE6</f>
        <v>56</v>
      </c>
      <c r="BF143" s="723" t="e">
        <f t="shared" si="96"/>
        <v>#DIV/0!</v>
      </c>
      <c r="BG143" s="723" t="e">
        <f t="shared" si="96"/>
        <v>#DIV/0!</v>
      </c>
      <c r="BH143" s="723">
        <f t="shared" si="96"/>
        <v>84</v>
      </c>
      <c r="BI143" s="723">
        <f t="shared" si="96"/>
        <v>56</v>
      </c>
      <c r="BJ143" s="723">
        <f t="shared" si="96"/>
        <v>42</v>
      </c>
      <c r="BK143" s="723" t="e">
        <f t="shared" si="96"/>
        <v>#DIV/0!</v>
      </c>
      <c r="BL143" s="723" t="e">
        <f t="shared" si="96"/>
        <v>#DIV/0!</v>
      </c>
      <c r="BM143" s="723">
        <f t="shared" si="96"/>
        <v>42</v>
      </c>
      <c r="BN143" s="723" t="e">
        <f t="shared" si="96"/>
        <v>#DIV/0!</v>
      </c>
      <c r="BO143" s="723" t="e">
        <f t="shared" si="96"/>
        <v>#DIV/0!</v>
      </c>
      <c r="BP143" s="723" t="e">
        <f t="shared" si="96"/>
        <v>#DIV/0!</v>
      </c>
      <c r="BQ143" s="723">
        <f t="shared" si="96"/>
        <v>48</v>
      </c>
      <c r="BR143" s="723">
        <f t="shared" si="96"/>
        <v>40</v>
      </c>
      <c r="BS143" s="723">
        <f t="shared" si="96"/>
        <v>45</v>
      </c>
      <c r="BT143" s="723" t="e">
        <f t="shared" si="96"/>
        <v>#DIV/0!</v>
      </c>
      <c r="BU143" s="723" t="e">
        <f t="shared" si="96"/>
        <v>#DIV/0!</v>
      </c>
      <c r="BV143" s="723">
        <f t="shared" si="96"/>
        <v>84</v>
      </c>
      <c r="BW143" s="723">
        <f t="shared" si="96"/>
        <v>120</v>
      </c>
      <c r="BX143" s="723">
        <f t="shared" si="96"/>
        <v>56</v>
      </c>
      <c r="BY143" s="723">
        <f t="shared" si="96"/>
        <v>84</v>
      </c>
    </row>
    <row r="144" spans="55:77">
      <c r="BC144" s="723" t="s">
        <v>1543</v>
      </c>
      <c r="BD144" s="723" t="s">
        <v>1142</v>
      </c>
      <c r="BE144" s="723">
        <f t="shared" ref="BE144:BS144" si="97">CD13*CD4*24/CD6</f>
        <v>55.384615384615387</v>
      </c>
      <c r="BF144" s="723" t="e">
        <f t="shared" si="97"/>
        <v>#DIV/0!</v>
      </c>
      <c r="BG144" s="723">
        <f t="shared" si="97"/>
        <v>0</v>
      </c>
      <c r="BH144" s="723">
        <f t="shared" si="97"/>
        <v>51.692307692307693</v>
      </c>
      <c r="BI144" s="723">
        <f t="shared" si="97"/>
        <v>60</v>
      </c>
      <c r="BJ144" s="723">
        <f t="shared" si="97"/>
        <v>43.2</v>
      </c>
      <c r="BK144" s="723" t="e">
        <f t="shared" si="97"/>
        <v>#DIV/0!</v>
      </c>
      <c r="BL144" s="723" t="e">
        <f t="shared" si="97"/>
        <v>#DIV/0!</v>
      </c>
      <c r="BM144" s="723">
        <f t="shared" si="97"/>
        <v>56.571428571428569</v>
      </c>
      <c r="BN144" s="723">
        <f t="shared" si="97"/>
        <v>56.571428571428569</v>
      </c>
      <c r="BO144" s="723">
        <f t="shared" si="97"/>
        <v>56.571428571428569</v>
      </c>
      <c r="BP144" s="723">
        <f t="shared" si="97"/>
        <v>82.285714285714292</v>
      </c>
      <c r="BQ144" s="723">
        <f t="shared" si="97"/>
        <v>60</v>
      </c>
      <c r="BR144" s="723">
        <f t="shared" si="97"/>
        <v>28.5</v>
      </c>
      <c r="BS144" s="723">
        <f t="shared" si="97"/>
        <v>41.142857142857146</v>
      </c>
      <c r="BT144" s="723">
        <f>CU13*CU4*24/CU6</f>
        <v>86.4</v>
      </c>
      <c r="BU144" s="723">
        <f>CV13*CV4*24/CV6</f>
        <v>172.8</v>
      </c>
      <c r="BV144" s="723">
        <f>CU13*CU4*24/CU6</f>
        <v>86.4</v>
      </c>
      <c r="BW144" s="723">
        <f>CV13*CV4*24/CV6</f>
        <v>172.8</v>
      </c>
      <c r="BX144" s="723">
        <f>CW13*CW4*24/CW6</f>
        <v>528</v>
      </c>
      <c r="BY144" s="723">
        <f>CX13*CX4*24/CX6</f>
        <v>102</v>
      </c>
    </row>
    <row r="145" spans="55:77">
      <c r="BC145" s="723" t="s">
        <v>1544</v>
      </c>
      <c r="BD145" s="723" t="s">
        <v>1142</v>
      </c>
      <c r="BE145" s="1298">
        <v>25</v>
      </c>
      <c r="BF145" s="1298" t="e">
        <f>BF113*CE4/CE6*24</f>
        <v>#DIV/0!</v>
      </c>
      <c r="BG145" s="1298">
        <f>BG113*CF4/CF6*24</f>
        <v>0</v>
      </c>
      <c r="BH145" s="1298">
        <v>25</v>
      </c>
      <c r="BI145" s="1298">
        <v>25</v>
      </c>
      <c r="BJ145" s="1298">
        <v>25</v>
      </c>
      <c r="BK145" s="1298" t="e">
        <f>BK113*CJ4/CJ6*24</f>
        <v>#DIV/0!</v>
      </c>
      <c r="BL145" s="1298" t="e">
        <f>BL113*CK4/CK6*24</f>
        <v>#DIV/0!</v>
      </c>
      <c r="BM145" s="1298">
        <v>25</v>
      </c>
      <c r="BN145" s="1298">
        <f>BN113*CM4/CM6*24</f>
        <v>34.564830863852386</v>
      </c>
      <c r="BO145" s="1298">
        <f>BO113*CN4/CN6*24</f>
        <v>34.564830863852386</v>
      </c>
      <c r="BP145" s="1298">
        <f>BP113*CO4/CO6*24</f>
        <v>37.883634330444508</v>
      </c>
      <c r="BQ145" s="1298">
        <v>25</v>
      </c>
      <c r="BR145" s="1298">
        <v>25</v>
      </c>
      <c r="BS145" s="1298">
        <v>25</v>
      </c>
      <c r="BT145" s="1298">
        <f>BT113*CU4/CU6*24</f>
        <v>156.47090724070455</v>
      </c>
      <c r="BU145" s="1298">
        <f>BU113*CV4/CV6*24</f>
        <v>351.68688845401175</v>
      </c>
      <c r="BV145" s="1298">
        <v>25</v>
      </c>
      <c r="BW145" s="1298">
        <f>25/1.2*2</f>
        <v>41.666666666666671</v>
      </c>
      <c r="BX145" s="1298">
        <f>25/1.2*3</f>
        <v>62.500000000000007</v>
      </c>
      <c r="BY145" s="1298">
        <v>25</v>
      </c>
    </row>
    <row r="146" spans="55:77">
      <c r="BC146" s="213" t="s">
        <v>1153</v>
      </c>
      <c r="BD146" s="723" t="s">
        <v>1142</v>
      </c>
      <c r="BE146" s="723">
        <f t="shared" ref="BE146:BS146" si="98">BE114*CD4/CD6*24</f>
        <v>38.966129760650311</v>
      </c>
      <c r="BF146" s="723" t="e">
        <f t="shared" si="98"/>
        <v>#DIV/0!</v>
      </c>
      <c r="BG146" s="723">
        <f t="shared" si="98"/>
        <v>0</v>
      </c>
      <c r="BH146" s="723">
        <f t="shared" si="98"/>
        <v>45.45028451001054</v>
      </c>
      <c r="BI146" s="723">
        <f t="shared" si="98"/>
        <v>35.214984623986581</v>
      </c>
      <c r="BJ146" s="723">
        <f t="shared" si="98"/>
        <v>32.876994129158518</v>
      </c>
      <c r="BK146" s="723" t="e">
        <f t="shared" si="98"/>
        <v>#DIV/0!</v>
      </c>
      <c r="BL146" s="723" t="e">
        <f t="shared" si="98"/>
        <v>#DIV/0!</v>
      </c>
      <c r="BM146" s="723">
        <f t="shared" si="98"/>
        <v>31.71764048084988</v>
      </c>
      <c r="BN146" s="723">
        <f t="shared" si="98"/>
        <v>42.279116578138101</v>
      </c>
      <c r="BO146" s="723">
        <f t="shared" si="98"/>
        <v>42.279116578138101</v>
      </c>
      <c r="BP146" s="723">
        <f t="shared" si="98"/>
        <v>53.312205759015924</v>
      </c>
      <c r="BQ146" s="723">
        <f t="shared" si="98"/>
        <v>33.798434442270057</v>
      </c>
      <c r="BR146" s="723">
        <f t="shared" si="98"/>
        <v>21.922211350293541</v>
      </c>
      <c r="BS146" s="723">
        <f t="shared" si="98"/>
        <v>31.518479172490913</v>
      </c>
      <c r="BT146" s="723">
        <f>BT114*CU4/CU6*24</f>
        <v>178.07090724070451</v>
      </c>
      <c r="BU146" s="723">
        <f>BU114*CV4/CV6*24</f>
        <v>394.88688845401174</v>
      </c>
      <c r="BV146" s="723">
        <f>BV114*CU4/CU6*24</f>
        <v>46.127279843444228</v>
      </c>
      <c r="BW146" s="723">
        <f>BW114*CV4/CV6*24</f>
        <v>81.973855185909969</v>
      </c>
      <c r="BX146" s="723">
        <f>BX114*CW4/CW6*24</f>
        <v>135.72446183953031</v>
      </c>
      <c r="BY146" s="723">
        <f>BY114*CX4/CX6*24</f>
        <v>34.056751467710377</v>
      </c>
    </row>
    <row r="163" spans="55:78">
      <c r="BC163" s="742" t="s">
        <v>1121</v>
      </c>
    </row>
    <row r="164" spans="55:78">
      <c r="BC164" s="723" t="s">
        <v>420</v>
      </c>
      <c r="BD164" s="723" t="s">
        <v>134</v>
      </c>
      <c r="BE164" s="743">
        <f t="shared" ref="BE164:BY164" si="99">BE5/BE4*BE6*365/1000</f>
        <v>7.665</v>
      </c>
      <c r="BF164" s="743"/>
      <c r="BG164" s="743" t="e">
        <f t="shared" si="99"/>
        <v>#DIV/0!</v>
      </c>
      <c r="BH164" s="743">
        <f t="shared" si="99"/>
        <v>5.1100000000000003</v>
      </c>
      <c r="BI164" s="743">
        <f t="shared" si="99"/>
        <v>8.76</v>
      </c>
      <c r="BJ164" s="743">
        <f t="shared" si="99"/>
        <v>10.220000000000001</v>
      </c>
      <c r="BK164" s="743"/>
      <c r="BL164" s="743"/>
      <c r="BM164" s="743">
        <f t="shared" si="99"/>
        <v>13.14</v>
      </c>
      <c r="BN164" s="743" t="e">
        <f t="shared" si="99"/>
        <v>#DIV/0!</v>
      </c>
      <c r="BO164" s="743" t="e">
        <f t="shared" si="99"/>
        <v>#DIV/0!</v>
      </c>
      <c r="BP164" s="743" t="e">
        <f t="shared" si="99"/>
        <v>#DIV/0!</v>
      </c>
      <c r="BQ164" s="743">
        <f t="shared" si="99"/>
        <v>21.9</v>
      </c>
      <c r="BR164" s="743">
        <f t="shared" si="99"/>
        <v>17.52</v>
      </c>
      <c r="BS164" s="743">
        <f t="shared" si="99"/>
        <v>15.573333333333332</v>
      </c>
      <c r="BT164" s="743" t="e">
        <f t="shared" si="99"/>
        <v>#DIV/0!</v>
      </c>
      <c r="BU164" s="743" t="e">
        <f t="shared" si="99"/>
        <v>#DIV/0!</v>
      </c>
      <c r="BV164" s="743">
        <f t="shared" si="99"/>
        <v>7.3</v>
      </c>
      <c r="BW164" s="743">
        <f t="shared" si="99"/>
        <v>2.19</v>
      </c>
      <c r="BX164" s="743">
        <f t="shared" si="99"/>
        <v>10.95</v>
      </c>
      <c r="BY164" s="743">
        <f t="shared" si="99"/>
        <v>4.38</v>
      </c>
      <c r="BZ164" s="743"/>
    </row>
    <row r="165" spans="55:78">
      <c r="BC165" s="723" t="s">
        <v>1539</v>
      </c>
      <c r="BD165" s="723" t="s">
        <v>134</v>
      </c>
      <c r="BE165" s="743">
        <f>AE27</f>
        <v>6.6748800000000008</v>
      </c>
      <c r="BF165" s="743"/>
      <c r="BG165" s="743">
        <f>AG27</f>
        <v>10.93056</v>
      </c>
      <c r="BH165" s="743">
        <f>AH27</f>
        <v>4.9472640000000006</v>
      </c>
      <c r="BI165" s="743">
        <f>AI27</f>
        <v>6.3979200000000001</v>
      </c>
      <c r="BJ165" s="743">
        <f>AJ27</f>
        <v>13.120944000000001</v>
      </c>
      <c r="BK165" s="743"/>
      <c r="BL165" s="743"/>
      <c r="BM165" s="743">
        <f t="shared" ref="BM165:BY165" si="100">AM27</f>
        <v>11.448</v>
      </c>
      <c r="BN165" s="743">
        <f t="shared" si="100"/>
        <v>11.448</v>
      </c>
      <c r="BO165" s="743">
        <f t="shared" si="100"/>
        <v>11.448</v>
      </c>
      <c r="BP165" s="743">
        <f t="shared" si="100"/>
        <v>6.273600000000001</v>
      </c>
      <c r="BQ165" s="743">
        <f t="shared" si="100"/>
        <v>23.954400000000003</v>
      </c>
      <c r="BR165" s="743">
        <f t="shared" si="100"/>
        <v>32.167999999999999</v>
      </c>
      <c r="BS165" s="743">
        <f t="shared" si="100"/>
        <v>18.869119999999999</v>
      </c>
      <c r="BT165" s="743">
        <f t="shared" si="100"/>
        <v>18.508480000000002</v>
      </c>
      <c r="BU165" s="743">
        <f t="shared" si="100"/>
        <v>20.8</v>
      </c>
      <c r="BV165" s="743">
        <f t="shared" si="100"/>
        <v>4.1778133333333338</v>
      </c>
      <c r="BW165" s="743">
        <f t="shared" si="100"/>
        <v>3.3022399999999998</v>
      </c>
      <c r="BX165" s="743">
        <f t="shared" si="100"/>
        <v>3.2563199999999997</v>
      </c>
      <c r="BY165" s="743">
        <f t="shared" si="100"/>
        <v>10.243200000000002</v>
      </c>
      <c r="BZ165" s="743"/>
    </row>
    <row r="166" spans="55:78">
      <c r="BC166" s="213" t="s">
        <v>1149</v>
      </c>
      <c r="BD166" s="723" t="s">
        <v>134</v>
      </c>
      <c r="BE166" s="743">
        <f>BE165-BE164</f>
        <v>-0.99011999999999922</v>
      </c>
      <c r="BF166" s="743"/>
      <c r="BG166" s="743" t="e">
        <f t="shared" ref="BG166:BY166" si="101">BG165-BG164</f>
        <v>#DIV/0!</v>
      </c>
      <c r="BH166" s="743">
        <f t="shared" si="101"/>
        <v>-0.16273599999999977</v>
      </c>
      <c r="BI166" s="743">
        <f t="shared" si="101"/>
        <v>-2.3620799999999997</v>
      </c>
      <c r="BJ166" s="743">
        <f t="shared" si="101"/>
        <v>2.9009440000000009</v>
      </c>
      <c r="BK166" s="743"/>
      <c r="BL166" s="743"/>
      <c r="BM166" s="743">
        <f t="shared" si="101"/>
        <v>-1.6920000000000002</v>
      </c>
      <c r="BN166" s="743" t="e">
        <f t="shared" si="101"/>
        <v>#DIV/0!</v>
      </c>
      <c r="BO166" s="743" t="e">
        <f t="shared" si="101"/>
        <v>#DIV/0!</v>
      </c>
      <c r="BP166" s="743" t="e">
        <f t="shared" si="101"/>
        <v>#DIV/0!</v>
      </c>
      <c r="BQ166" s="743">
        <f t="shared" si="101"/>
        <v>2.0544000000000047</v>
      </c>
      <c r="BR166" s="743">
        <f t="shared" si="101"/>
        <v>14.648</v>
      </c>
      <c r="BS166" s="743">
        <f t="shared" si="101"/>
        <v>3.2957866666666664</v>
      </c>
      <c r="BT166" s="743" t="e">
        <f t="shared" si="101"/>
        <v>#DIV/0!</v>
      </c>
      <c r="BU166" s="743" t="e">
        <f t="shared" si="101"/>
        <v>#DIV/0!</v>
      </c>
      <c r="BV166" s="743">
        <f t="shared" si="101"/>
        <v>-3.122186666666666</v>
      </c>
      <c r="BW166" s="743">
        <f t="shared" si="101"/>
        <v>1.1122399999999999</v>
      </c>
      <c r="BX166" s="743">
        <f t="shared" si="101"/>
        <v>-7.6936799999999996</v>
      </c>
      <c r="BY166" s="743">
        <f t="shared" si="101"/>
        <v>5.8632000000000017</v>
      </c>
      <c r="BZ166" s="743"/>
    </row>
    <row r="188" spans="55:78">
      <c r="BC188" s="742" t="s">
        <v>102</v>
      </c>
    </row>
    <row r="189" spans="55:78">
      <c r="BC189" s="723" t="s">
        <v>420</v>
      </c>
      <c r="BD189" s="723" t="s">
        <v>209</v>
      </c>
      <c r="BE189" s="741">
        <f t="shared" ref="BE189:BY189" si="102">BE4</f>
        <v>40</v>
      </c>
      <c r="BF189" s="741"/>
      <c r="BG189" s="741">
        <f t="shared" si="102"/>
        <v>0</v>
      </c>
      <c r="BH189" s="741">
        <f t="shared" si="102"/>
        <v>60</v>
      </c>
      <c r="BI189" s="741">
        <f t="shared" si="102"/>
        <v>20</v>
      </c>
      <c r="BJ189" s="741">
        <f t="shared" si="102"/>
        <v>10</v>
      </c>
      <c r="BK189" s="741"/>
      <c r="BL189" s="741"/>
      <c r="BM189" s="741">
        <f t="shared" si="102"/>
        <v>10</v>
      </c>
      <c r="BN189" s="741">
        <f t="shared" si="102"/>
        <v>0</v>
      </c>
      <c r="BO189" s="741">
        <f t="shared" si="102"/>
        <v>0</v>
      </c>
      <c r="BP189" s="741">
        <f t="shared" si="102"/>
        <v>0</v>
      </c>
      <c r="BQ189" s="741">
        <f t="shared" si="102"/>
        <v>5</v>
      </c>
      <c r="BR189" s="741">
        <f t="shared" si="102"/>
        <v>5</v>
      </c>
      <c r="BS189" s="741">
        <f t="shared" si="102"/>
        <v>30</v>
      </c>
      <c r="BT189" s="741">
        <f t="shared" si="102"/>
        <v>0</v>
      </c>
      <c r="BU189" s="741">
        <f t="shared" si="102"/>
        <v>0</v>
      </c>
      <c r="BV189" s="741">
        <f t="shared" si="102"/>
        <v>30</v>
      </c>
      <c r="BW189" s="741">
        <f t="shared" si="102"/>
        <v>100</v>
      </c>
      <c r="BX189" s="741">
        <f t="shared" si="102"/>
        <v>20</v>
      </c>
      <c r="BY189" s="741">
        <f t="shared" si="102"/>
        <v>20</v>
      </c>
      <c r="BZ189" s="741"/>
    </row>
    <row r="190" spans="55:78">
      <c r="BC190" s="723" t="s">
        <v>1539</v>
      </c>
      <c r="BD190" s="723" t="s">
        <v>209</v>
      </c>
      <c r="BE190" s="741">
        <f>AE29</f>
        <v>51.470588235294116</v>
      </c>
      <c r="BF190" s="741"/>
      <c r="BG190" s="741">
        <f>AG29</f>
        <v>24.881516587677726</v>
      </c>
      <c r="BH190" s="741">
        <f>AH29</f>
        <v>69.444444444444429</v>
      </c>
      <c r="BI190" s="741">
        <f>AI29</f>
        <v>26.184538653366584</v>
      </c>
      <c r="BJ190" s="741">
        <f>AJ29</f>
        <v>9.9150141643059477</v>
      </c>
      <c r="BK190" s="741"/>
      <c r="BL190" s="741"/>
      <c r="BM190" s="741">
        <f t="shared" ref="BM190:BY190" si="103">AM29</f>
        <v>15.909090909090908</v>
      </c>
      <c r="BN190" s="741">
        <f t="shared" si="103"/>
        <v>15.909090909090908</v>
      </c>
      <c r="BO190" s="741">
        <f t="shared" si="103"/>
        <v>15.909090909090908</v>
      </c>
      <c r="BP190" s="741">
        <f t="shared" si="103"/>
        <v>28.688524590163933</v>
      </c>
      <c r="BQ190" s="741">
        <f t="shared" si="103"/>
        <v>4.5691906005221927</v>
      </c>
      <c r="BR190" s="741">
        <f t="shared" si="103"/>
        <v>6.1403508771929829</v>
      </c>
      <c r="BS190" s="741">
        <f t="shared" si="103"/>
        <v>18.683274021352315</v>
      </c>
      <c r="BT190" s="741">
        <f t="shared" si="103"/>
        <v>16.990291262135919</v>
      </c>
      <c r="BU190" s="741">
        <f t="shared" si="103"/>
        <v>19.662921348314608</v>
      </c>
      <c r="BV190" s="741">
        <f t="shared" si="103"/>
        <v>28.688524590163933</v>
      </c>
      <c r="BW190" s="741">
        <f t="shared" si="103"/>
        <v>59.322033898305079</v>
      </c>
      <c r="BX190" s="741">
        <f t="shared" si="103"/>
        <v>41.666666666666664</v>
      </c>
      <c r="BY190" s="741">
        <f t="shared" si="103"/>
        <v>19.662921348314608</v>
      </c>
      <c r="BZ190" s="741"/>
    </row>
    <row r="191" spans="55:78">
      <c r="BC191" s="213" t="s">
        <v>1149</v>
      </c>
      <c r="BD191" s="723" t="s">
        <v>209</v>
      </c>
      <c r="BE191" s="743">
        <f>BE190-BE189</f>
        <v>11.470588235294116</v>
      </c>
      <c r="BF191" s="743"/>
      <c r="BG191" s="743">
        <f t="shared" ref="BG191:BY191" si="104">BG190-BG189</f>
        <v>24.881516587677726</v>
      </c>
      <c r="BH191" s="743">
        <f t="shared" si="104"/>
        <v>9.4444444444444287</v>
      </c>
      <c r="BI191" s="743">
        <f t="shared" si="104"/>
        <v>6.1845386533665838</v>
      </c>
      <c r="BJ191" s="743">
        <f t="shared" si="104"/>
        <v>-8.498583569405227E-2</v>
      </c>
      <c r="BK191" s="743"/>
      <c r="BL191" s="743"/>
      <c r="BM191" s="743">
        <f t="shared" si="104"/>
        <v>5.9090909090909083</v>
      </c>
      <c r="BN191" s="743">
        <f t="shared" si="104"/>
        <v>15.909090909090908</v>
      </c>
      <c r="BO191" s="743">
        <f t="shared" si="104"/>
        <v>15.909090909090908</v>
      </c>
      <c r="BP191" s="743">
        <f t="shared" si="104"/>
        <v>28.688524590163933</v>
      </c>
      <c r="BQ191" s="743">
        <f t="shared" si="104"/>
        <v>-0.43080939947780728</v>
      </c>
      <c r="BR191" s="743">
        <f t="shared" si="104"/>
        <v>1.1403508771929829</v>
      </c>
      <c r="BS191" s="741">
        <f t="shared" si="104"/>
        <v>-11.316725978647685</v>
      </c>
      <c r="BT191" s="741">
        <f t="shared" si="104"/>
        <v>16.990291262135919</v>
      </c>
      <c r="BU191" s="741">
        <f t="shared" si="104"/>
        <v>19.662921348314608</v>
      </c>
      <c r="BV191" s="743">
        <f t="shared" si="104"/>
        <v>-1.311475409836067</v>
      </c>
      <c r="BW191" s="741">
        <f t="shared" si="104"/>
        <v>-40.677966101694921</v>
      </c>
      <c r="BX191" s="743">
        <f t="shared" si="104"/>
        <v>21.666666666666664</v>
      </c>
      <c r="BY191" s="743">
        <f t="shared" si="104"/>
        <v>-0.33707865168539186</v>
      </c>
      <c r="BZ191" s="743"/>
    </row>
    <row r="214" spans="55:78">
      <c r="BC214" s="742" t="s">
        <v>1098</v>
      </c>
    </row>
    <row r="215" spans="55:78">
      <c r="BC215" s="723" t="s">
        <v>420</v>
      </c>
      <c r="BD215" s="723" t="s">
        <v>209</v>
      </c>
      <c r="BE215" s="741">
        <f>BE3</f>
        <v>20</v>
      </c>
      <c r="BF215" s="741"/>
      <c r="BG215" s="741">
        <f>BG30</f>
        <v>0</v>
      </c>
      <c r="BH215" s="741">
        <f t="shared" ref="BH215:BY215" si="105">BH3</f>
        <v>20</v>
      </c>
      <c r="BI215" s="741">
        <f t="shared" si="105"/>
        <v>20</v>
      </c>
      <c r="BJ215" s="741">
        <f t="shared" si="105"/>
        <v>20</v>
      </c>
      <c r="BK215" s="741">
        <f t="shared" si="105"/>
        <v>0</v>
      </c>
      <c r="BL215" s="741">
        <f t="shared" si="105"/>
        <v>0</v>
      </c>
      <c r="BM215" s="741">
        <f t="shared" si="105"/>
        <v>20</v>
      </c>
      <c r="BN215" s="741">
        <f t="shared" si="105"/>
        <v>0</v>
      </c>
      <c r="BO215" s="741">
        <f t="shared" si="105"/>
        <v>0</v>
      </c>
      <c r="BP215" s="741">
        <f t="shared" si="105"/>
        <v>0</v>
      </c>
      <c r="BQ215" s="741">
        <f t="shared" si="105"/>
        <v>20</v>
      </c>
      <c r="BR215" s="741">
        <f t="shared" si="105"/>
        <v>20</v>
      </c>
      <c r="BS215" s="741">
        <f t="shared" si="105"/>
        <v>22</v>
      </c>
      <c r="BT215" s="741">
        <f t="shared" si="105"/>
        <v>0</v>
      </c>
      <c r="BU215" s="741">
        <f t="shared" si="105"/>
        <v>0</v>
      </c>
      <c r="BV215" s="741">
        <f t="shared" si="105"/>
        <v>18</v>
      </c>
      <c r="BW215" s="741">
        <f t="shared" si="105"/>
        <v>18</v>
      </c>
      <c r="BX215" s="741">
        <f t="shared" si="105"/>
        <v>18</v>
      </c>
      <c r="BY215" s="741">
        <f t="shared" si="105"/>
        <v>28</v>
      </c>
      <c r="BZ215" s="741"/>
    </row>
    <row r="216" spans="55:78">
      <c r="BC216" s="723" t="s">
        <v>1539</v>
      </c>
      <c r="BD216" s="723" t="s">
        <v>209</v>
      </c>
      <c r="BE216" s="741">
        <f>CD3</f>
        <v>22</v>
      </c>
      <c r="BF216" s="741"/>
      <c r="BG216" s="741">
        <f>AG55</f>
        <v>0</v>
      </c>
      <c r="BH216" s="741">
        <f t="shared" ref="BH216:BS216" si="106">CG3</f>
        <v>22</v>
      </c>
      <c r="BI216" s="741">
        <f t="shared" si="106"/>
        <v>22</v>
      </c>
      <c r="BJ216" s="741">
        <f t="shared" si="106"/>
        <v>22</v>
      </c>
      <c r="BK216" s="741">
        <f t="shared" si="106"/>
        <v>0</v>
      </c>
      <c r="BL216" s="741">
        <f t="shared" si="106"/>
        <v>0</v>
      </c>
      <c r="BM216" s="741">
        <f t="shared" si="106"/>
        <v>22</v>
      </c>
      <c r="BN216" s="741">
        <f t="shared" si="106"/>
        <v>0</v>
      </c>
      <c r="BO216" s="741">
        <f t="shared" si="106"/>
        <v>0</v>
      </c>
      <c r="BP216" s="741">
        <f t="shared" si="106"/>
        <v>0</v>
      </c>
      <c r="BQ216" s="741">
        <f t="shared" si="106"/>
        <v>22</v>
      </c>
      <c r="BR216" s="741">
        <f t="shared" si="106"/>
        <v>22</v>
      </c>
      <c r="BS216" s="741">
        <f t="shared" si="106"/>
        <v>22</v>
      </c>
      <c r="BT216" s="741">
        <f>CU3</f>
        <v>20</v>
      </c>
      <c r="BU216" s="741">
        <f>CV3</f>
        <v>18</v>
      </c>
      <c r="BV216" s="741">
        <f t="shared" ref="BV216:BY216" si="107">CU3</f>
        <v>20</v>
      </c>
      <c r="BW216" s="741">
        <f t="shared" si="107"/>
        <v>18</v>
      </c>
      <c r="BX216" s="741">
        <f t="shared" si="107"/>
        <v>18</v>
      </c>
      <c r="BY216" s="741">
        <f t="shared" si="107"/>
        <v>28</v>
      </c>
      <c r="BZ216" s="741"/>
    </row>
    <row r="217" spans="55:78">
      <c r="BC217" s="213" t="s">
        <v>1149</v>
      </c>
      <c r="BD217" s="723" t="s">
        <v>209</v>
      </c>
      <c r="BE217" s="743">
        <f>BE216-BE215</f>
        <v>2</v>
      </c>
      <c r="BF217" s="743"/>
      <c r="BG217" s="743">
        <f>BG216-BG215</f>
        <v>0</v>
      </c>
      <c r="BH217" s="743">
        <f>BH216-BH215</f>
        <v>2</v>
      </c>
      <c r="BI217" s="743">
        <f>BI216-BI215</f>
        <v>2</v>
      </c>
      <c r="BJ217" s="743">
        <f>BJ216-BJ215</f>
        <v>2</v>
      </c>
      <c r="BK217" s="743"/>
      <c r="BL217" s="743"/>
      <c r="BM217" s="743">
        <f t="shared" ref="BM217:BY217" si="108">BM216-BM215</f>
        <v>2</v>
      </c>
      <c r="BN217" s="743">
        <f t="shared" si="108"/>
        <v>0</v>
      </c>
      <c r="BO217" s="743">
        <f t="shared" si="108"/>
        <v>0</v>
      </c>
      <c r="BP217" s="743">
        <f t="shared" si="108"/>
        <v>0</v>
      </c>
      <c r="BQ217" s="743">
        <f t="shared" si="108"/>
        <v>2</v>
      </c>
      <c r="BR217" s="743">
        <f t="shared" si="108"/>
        <v>2</v>
      </c>
      <c r="BS217" s="741">
        <f t="shared" si="108"/>
        <v>0</v>
      </c>
      <c r="BT217" s="741">
        <f t="shared" si="108"/>
        <v>20</v>
      </c>
      <c r="BU217" s="741">
        <f t="shared" si="108"/>
        <v>18</v>
      </c>
      <c r="BV217" s="743">
        <f t="shared" si="108"/>
        <v>2</v>
      </c>
      <c r="BW217" s="741">
        <f t="shared" si="108"/>
        <v>0</v>
      </c>
      <c r="BX217" s="743">
        <f t="shared" si="108"/>
        <v>0</v>
      </c>
      <c r="BY217" s="743">
        <f t="shared" si="108"/>
        <v>0</v>
      </c>
      <c r="BZ217" s="743"/>
    </row>
  </sheetData>
  <dataConsolidate/>
  <mergeCells count="2">
    <mergeCell ref="FW2:FX2"/>
    <mergeCell ref="GV2:GW2"/>
  </mergeCells>
  <pageMargins left="0.25" right="0.25" top="0.75" bottom="0.75" header="0.3" footer="0.3"/>
  <pageSetup paperSize="9" scale="10" orientation="portrait" r:id="rId1"/>
  <headerFooter alignWithMargins="0">
    <oddHeader>&amp;CSIA 2024 Raum-Datenblätter</oddHeader>
    <oddFooter>&amp;CSIA 2024, Copyright © 2021 by SIA Zurich</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blGEPAMOD">
    <tabColor theme="9" tint="0.59999389629810485"/>
  </sheetPr>
  <dimension ref="A1:AO62"/>
  <sheetViews>
    <sheetView zoomScaleNormal="100" workbookViewId="0">
      <selection activeCell="V9" sqref="V9"/>
    </sheetView>
  </sheetViews>
  <sheetFormatPr baseColWidth="10" defaultRowHeight="12.45"/>
  <cols>
    <col min="1" max="1" width="19.23046875" customWidth="1"/>
    <col min="2" max="2" width="24.4609375" customWidth="1"/>
    <col min="3" max="3" width="8.23046875" customWidth="1"/>
    <col min="19" max="19" width="32.23046875" customWidth="1"/>
    <col min="20" max="20" width="8.23046875" customWidth="1"/>
    <col min="21" max="21" width="5.765625" hidden="1" customWidth="1"/>
    <col min="22" max="25" width="5.765625" customWidth="1"/>
    <col min="26" max="26" width="5.765625" hidden="1" customWidth="1"/>
    <col min="27" max="28" width="5.765625" customWidth="1"/>
    <col min="29" max="29" width="5.765625" hidden="1" customWidth="1"/>
    <col min="30" max="31" width="5.765625" customWidth="1"/>
    <col min="32" max="32" width="5.765625" hidden="1" customWidth="1"/>
    <col min="33" max="34" width="5.765625" customWidth="1"/>
    <col min="35" max="35" width="5.765625" hidden="1" customWidth="1"/>
    <col min="36" max="39" width="5.765625" customWidth="1"/>
    <col min="40" max="41" width="5.765625" hidden="1" customWidth="1"/>
  </cols>
  <sheetData>
    <row r="1" spans="1:41">
      <c r="A1" s="862" t="s">
        <v>273</v>
      </c>
      <c r="B1" s="863"/>
      <c r="C1" s="864"/>
      <c r="D1" s="860" t="s">
        <v>1107</v>
      </c>
      <c r="E1" s="861" t="s">
        <v>1140</v>
      </c>
      <c r="F1" s="815" t="s">
        <v>380</v>
      </c>
      <c r="G1" s="815" t="s">
        <v>381</v>
      </c>
      <c r="H1" s="860" t="s">
        <v>1138</v>
      </c>
      <c r="I1" s="861" t="s">
        <v>1139</v>
      </c>
      <c r="J1" s="860" t="s">
        <v>1108</v>
      </c>
      <c r="K1" s="861" t="s">
        <v>1109</v>
      </c>
      <c r="L1" s="815" t="s">
        <v>384</v>
      </c>
      <c r="M1" s="815" t="s">
        <v>385</v>
      </c>
      <c r="N1" s="860" t="s">
        <v>1155</v>
      </c>
      <c r="O1" s="861" t="s">
        <v>1156</v>
      </c>
      <c r="P1" s="815" t="s">
        <v>387</v>
      </c>
      <c r="Q1" s="851" t="s">
        <v>139</v>
      </c>
      <c r="S1" s="854" t="s">
        <v>476</v>
      </c>
      <c r="T1" s="854"/>
      <c r="U1" s="854" t="str">
        <f>'Fläche-E'!AE1</f>
        <v>I</v>
      </c>
      <c r="V1" s="854" t="str">
        <f>'Fläche-E'!AF1</f>
        <v>I.1</v>
      </c>
      <c r="W1" s="854" t="str">
        <f>'Fläche-E'!AG1</f>
        <v>I.2</v>
      </c>
      <c r="X1" s="854" t="str">
        <f>'Fläche-E'!AH1</f>
        <v>II</v>
      </c>
      <c r="Y1" s="854" t="str">
        <f>'Fläche-E'!AI1</f>
        <v>III</v>
      </c>
      <c r="Z1" s="854" t="str">
        <f>'Fläche-E'!AJ1</f>
        <v>IV</v>
      </c>
      <c r="AA1" s="854" t="str">
        <f>'Fläche-E'!AK1</f>
        <v>IV.1</v>
      </c>
      <c r="AB1" s="854" t="str">
        <f>'Fläche-E'!AL1</f>
        <v>IV.2</v>
      </c>
      <c r="AC1" s="854" t="str">
        <f>'Fläche-E'!AM1</f>
        <v>V</v>
      </c>
      <c r="AD1" s="854" t="str">
        <f>'Fläche-E'!AN1</f>
        <v>V.1</v>
      </c>
      <c r="AE1" s="854" t="str">
        <f>'Fläche-E'!AO1</f>
        <v>V.2</v>
      </c>
      <c r="AF1" s="854" t="str">
        <f>'Fläche-E'!AP1</f>
        <v>V.3</v>
      </c>
      <c r="AG1" s="854" t="str">
        <f>'Fläche-E'!AQ1</f>
        <v>VI</v>
      </c>
      <c r="AH1" s="854" t="str">
        <f>'Fläche-E'!AR1</f>
        <v>VII</v>
      </c>
      <c r="AI1" s="854" t="str">
        <f>'Fläche-E'!AS1</f>
        <v>VIII</v>
      </c>
      <c r="AJ1" s="854" t="str">
        <f>'Fläche-E'!AT1</f>
        <v>VIII.1</v>
      </c>
      <c r="AK1" s="854" t="str">
        <f>'Fläche-E'!AU1</f>
        <v>VIII.2</v>
      </c>
      <c r="AL1" s="854" t="str">
        <f>'Fläche-E'!AV1</f>
        <v>IX</v>
      </c>
      <c r="AM1" s="855" t="str">
        <f>'Fläche-E'!AW1</f>
        <v>X</v>
      </c>
      <c r="AN1" s="825" t="str">
        <f>'Fläche-E'!AX1</f>
        <v>XI</v>
      </c>
      <c r="AO1" s="825" t="str">
        <f>'Fläche-E'!AY1</f>
        <v>XII</v>
      </c>
    </row>
    <row r="2" spans="1:41" ht="23.15">
      <c r="A2" s="865"/>
      <c r="B2" s="843"/>
      <c r="C2" s="844"/>
      <c r="D2" s="829" t="s">
        <v>572</v>
      </c>
      <c r="E2" s="830"/>
      <c r="F2" s="827" t="s">
        <v>573</v>
      </c>
      <c r="G2" s="826" t="s">
        <v>215</v>
      </c>
      <c r="H2" s="1997" t="s">
        <v>128</v>
      </c>
      <c r="I2" s="1998"/>
      <c r="J2" s="1991" t="s">
        <v>61</v>
      </c>
      <c r="K2" s="1991"/>
      <c r="L2" s="826" t="s">
        <v>83</v>
      </c>
      <c r="M2" s="827" t="s">
        <v>1103</v>
      </c>
      <c r="N2" s="1991" t="s">
        <v>130</v>
      </c>
      <c r="O2" s="1992"/>
      <c r="P2" s="826" t="s">
        <v>131</v>
      </c>
      <c r="Q2" s="826" t="s">
        <v>216</v>
      </c>
      <c r="S2" s="825"/>
      <c r="T2" s="825"/>
      <c r="U2" s="825" t="str">
        <f>'Fläche-E'!AE2</f>
        <v>Wohnen MFH</v>
      </c>
      <c r="V2" s="825" t="str">
        <f>'Fläche-E'!AF2</f>
        <v>MFH</v>
      </c>
      <c r="W2" s="825" t="str">
        <f>'Fläche-E'!AG2</f>
        <v>Hotel</v>
      </c>
      <c r="X2" s="825" t="str">
        <f>'Fläche-E'!AH2</f>
        <v>Wohnen EFH</v>
      </c>
      <c r="Y2" s="825" t="str">
        <f>'Fläche-E'!AI2</f>
        <v>Büro</v>
      </c>
      <c r="Z2" s="825" t="str">
        <f>'Fläche-E'!AJ2</f>
        <v>Schule</v>
      </c>
      <c r="AA2" s="825" t="str">
        <f>'Fläche-E'!AK2</f>
        <v>Volksschule</v>
      </c>
      <c r="AB2" s="825" t="str">
        <f>'Fläche-E'!AL2</f>
        <v>Hochschule</v>
      </c>
      <c r="AC2" s="825" t="str">
        <f>'Fläche-E'!AM2</f>
        <v>Verkauf</v>
      </c>
      <c r="AD2" s="825" t="str">
        <f>'Fläche-E'!AN2</f>
        <v>Lebensmittelgeschäft</v>
      </c>
      <c r="AE2" s="825" t="str">
        <f>'Fläche-E'!AO2</f>
        <v>Fachgeschäft</v>
      </c>
      <c r="AF2" s="825" t="str">
        <f>'Fläche-E'!AP2</f>
        <v>Verkauf Möbel, Bau, Garten</v>
      </c>
      <c r="AG2" s="825" t="str">
        <f>'Fläche-E'!AQ2</f>
        <v>Restaurant</v>
      </c>
      <c r="AH2" s="825" t="str">
        <f>'Fläche-E'!AR2</f>
        <v>Versammlungslokal</v>
      </c>
      <c r="AI2" s="825" t="str">
        <f>'Fläche-E'!AS2</f>
        <v>Spital</v>
      </c>
      <c r="AJ2" s="825" t="str">
        <f>'Fläche-E'!AT2</f>
        <v>Spital</v>
      </c>
      <c r="AK2" s="825" t="str">
        <f>'Fläche-E'!AU2</f>
        <v>Pflege</v>
      </c>
      <c r="AL2" s="825" t="str">
        <f>'Fläche-E'!AV2</f>
        <v>Industrie</v>
      </c>
      <c r="AM2" s="856" t="str">
        <f>'Fläche-E'!AW2</f>
        <v>Lager</v>
      </c>
      <c r="AN2" s="825" t="str">
        <f>'Fläche-E'!AX2</f>
        <v>Sportbaute</v>
      </c>
      <c r="AO2" s="825" t="str">
        <f>'Fläche-E'!AY2</f>
        <v>Hallenbad</v>
      </c>
    </row>
    <row r="3" spans="1:41" ht="46.3">
      <c r="A3" s="1995" t="s">
        <v>1184</v>
      </c>
      <c r="B3" s="1995"/>
      <c r="C3" s="1995"/>
      <c r="D3" s="817" t="s">
        <v>1158</v>
      </c>
      <c r="E3" s="817" t="s">
        <v>1159</v>
      </c>
      <c r="F3" s="817"/>
      <c r="G3" s="817"/>
      <c r="H3" s="832" t="s">
        <v>1160</v>
      </c>
      <c r="I3" s="832" t="s">
        <v>1161</v>
      </c>
      <c r="J3" s="817" t="s">
        <v>1162</v>
      </c>
      <c r="K3" s="817" t="s">
        <v>1163</v>
      </c>
      <c r="L3" s="816"/>
      <c r="M3" s="817"/>
      <c r="N3" s="817" t="s">
        <v>1164</v>
      </c>
      <c r="O3" s="817" t="s">
        <v>1165</v>
      </c>
      <c r="P3" s="818"/>
      <c r="Q3" s="817"/>
      <c r="S3" s="852"/>
      <c r="T3" s="852"/>
      <c r="U3" s="852"/>
      <c r="V3" s="852"/>
      <c r="W3" s="852"/>
      <c r="X3" s="852"/>
      <c r="Y3" s="852"/>
      <c r="Z3" s="852"/>
      <c r="AA3" s="852"/>
      <c r="AB3" s="852"/>
      <c r="AC3" s="852"/>
      <c r="AD3" s="852"/>
      <c r="AE3" s="852"/>
      <c r="AF3" s="852"/>
      <c r="AG3" s="852"/>
      <c r="AH3" s="852"/>
      <c r="AI3" s="852"/>
      <c r="AJ3" s="852"/>
      <c r="AK3" s="852"/>
      <c r="AL3" s="852"/>
      <c r="AM3" s="852"/>
    </row>
    <row r="4" spans="1:41" ht="34.75">
      <c r="A4" s="835" t="s">
        <v>1166</v>
      </c>
      <c r="B4" s="836"/>
      <c r="C4" s="837"/>
      <c r="D4" s="819" t="s">
        <v>1167</v>
      </c>
      <c r="E4" s="819">
        <v>14</v>
      </c>
      <c r="F4" s="819">
        <v>1</v>
      </c>
      <c r="G4" s="820" t="s">
        <v>1168</v>
      </c>
      <c r="H4" s="821" t="s">
        <v>1169</v>
      </c>
      <c r="I4" s="821" t="s">
        <v>1170</v>
      </c>
      <c r="J4" s="821" t="s">
        <v>1171</v>
      </c>
      <c r="K4" s="821" t="s">
        <v>1172</v>
      </c>
      <c r="L4" s="821" t="s">
        <v>1173</v>
      </c>
      <c r="M4" s="819">
        <v>31</v>
      </c>
      <c r="N4" s="819">
        <v>24</v>
      </c>
      <c r="O4" s="831" t="s">
        <v>1174</v>
      </c>
      <c r="P4" s="822" t="s">
        <v>1175</v>
      </c>
      <c r="Q4" s="822" t="s">
        <v>1176</v>
      </c>
      <c r="S4" s="852"/>
      <c r="T4" s="852"/>
      <c r="U4" s="852"/>
      <c r="V4" s="852"/>
      <c r="W4" s="852"/>
      <c r="X4" s="852"/>
      <c r="Y4" s="852"/>
      <c r="Z4" s="852"/>
      <c r="AA4" s="852"/>
      <c r="AB4" s="852"/>
      <c r="AC4" s="852"/>
      <c r="AD4" s="852"/>
      <c r="AE4" s="852"/>
      <c r="AF4" s="852"/>
      <c r="AG4" s="852"/>
      <c r="AH4" s="852"/>
      <c r="AI4" s="852"/>
      <c r="AJ4" s="852"/>
      <c r="AK4" s="852"/>
      <c r="AL4" s="852"/>
      <c r="AM4" s="852"/>
    </row>
    <row r="5" spans="1:41">
      <c r="A5" s="833" t="s">
        <v>1177</v>
      </c>
      <c r="B5" s="823" t="s">
        <v>1178</v>
      </c>
      <c r="C5" s="838" t="s">
        <v>1179</v>
      </c>
      <c r="D5" s="839">
        <v>314363</v>
      </c>
      <c r="E5" s="839">
        <v>6030</v>
      </c>
      <c r="F5" s="839">
        <v>172132</v>
      </c>
      <c r="G5" s="834">
        <v>62008</v>
      </c>
      <c r="H5" s="840">
        <v>20742</v>
      </c>
      <c r="I5" s="840">
        <v>6892</v>
      </c>
      <c r="J5" s="840">
        <v>6515</v>
      </c>
      <c r="K5" s="840">
        <v>12917</v>
      </c>
      <c r="L5" s="840">
        <v>9968</v>
      </c>
      <c r="M5" s="839">
        <v>315</v>
      </c>
      <c r="N5" s="839">
        <v>4385</v>
      </c>
      <c r="O5" s="840">
        <v>17229</v>
      </c>
      <c r="P5" s="824">
        <v>74749</v>
      </c>
      <c r="Q5" s="824">
        <v>22573</v>
      </c>
      <c r="S5" s="853"/>
      <c r="T5" s="853"/>
      <c r="U5" s="853"/>
      <c r="V5" s="853"/>
      <c r="W5" s="853"/>
      <c r="X5" s="853"/>
      <c r="Y5" s="853"/>
      <c r="Z5" s="853"/>
      <c r="AA5" s="853"/>
      <c r="AB5" s="853"/>
      <c r="AC5" s="853"/>
      <c r="AD5" s="853"/>
      <c r="AE5" s="853"/>
      <c r="AF5" s="853"/>
      <c r="AG5" s="853"/>
      <c r="AH5" s="853"/>
      <c r="AI5" s="853"/>
      <c r="AJ5" s="853"/>
      <c r="AK5" s="853"/>
      <c r="AL5" s="853"/>
      <c r="AM5" s="853"/>
    </row>
    <row r="6" spans="1:41">
      <c r="A6" s="1993" t="s">
        <v>1180</v>
      </c>
      <c r="B6" s="841" t="s">
        <v>17</v>
      </c>
      <c r="C6" s="842" t="s">
        <v>134</v>
      </c>
      <c r="D6" s="828">
        <v>2.1864179422568846</v>
      </c>
      <c r="E6" s="828">
        <v>15.275075134415697</v>
      </c>
      <c r="F6" s="828">
        <v>1.9279159097110299</v>
      </c>
      <c r="G6" s="828">
        <v>16.301662259950408</v>
      </c>
      <c r="H6" s="828">
        <v>9.9927096871105139</v>
      </c>
      <c r="I6" s="828">
        <v>14.208188542336412</v>
      </c>
      <c r="J6" s="828">
        <v>49.413385017560259</v>
      </c>
      <c r="K6" s="828">
        <v>59.516908974220982</v>
      </c>
      <c r="L6" s="828">
        <v>10.47863356417672</v>
      </c>
      <c r="M6" s="828">
        <v>14.705330272710905</v>
      </c>
      <c r="N6" s="828">
        <v>11.802031688156632</v>
      </c>
      <c r="O6" s="828">
        <v>13.903558843328522</v>
      </c>
      <c r="P6" s="828">
        <v>16.913039427780191</v>
      </c>
      <c r="Q6" s="828">
        <v>8.5410198580072461</v>
      </c>
      <c r="S6" s="846" t="str">
        <f>'Fläche-E'!AC4</f>
        <v>Beleuchtung</v>
      </c>
      <c r="T6" s="846" t="str">
        <f>'Fläche-E'!AD4</f>
        <v>kWh/m2</v>
      </c>
      <c r="U6" s="846">
        <f>'Fläche-E'!AE4</f>
        <v>2.1526810000000007</v>
      </c>
      <c r="V6" s="846">
        <f>'Fläche-E'!AF4</f>
        <v>2.1526810000000007</v>
      </c>
      <c r="W6" s="846">
        <f>'Fläche-E'!AG4</f>
        <v>4.8560016666666677</v>
      </c>
      <c r="X6" s="846">
        <f>'Fläche-E'!AH4</f>
        <v>2.0766882222222227</v>
      </c>
      <c r="Y6" s="846">
        <f>'Fläche-E'!AI4</f>
        <v>7.7446394666666665</v>
      </c>
      <c r="Z6" s="846">
        <f>'Fläche-E'!AJ4</f>
        <v>6.6046965079365085</v>
      </c>
      <c r="AA6" s="846">
        <f>'Fläche-E'!AK4</f>
        <v>6.6046965079365085</v>
      </c>
      <c r="AB6" s="846">
        <f>'Fläche-E'!AL4</f>
        <v>7.0316882857142859</v>
      </c>
      <c r="AC6" s="846">
        <f>'Fläche-E'!AM4</f>
        <v>23.952625644444446</v>
      </c>
      <c r="AD6" s="846">
        <f>'Fläche-E'!AN4</f>
        <v>23.902055481481479</v>
      </c>
      <c r="AE6" s="846">
        <f>'Fläche-E'!AO4</f>
        <v>23.952625644444446</v>
      </c>
      <c r="AF6" s="846">
        <f>'Fläche-E'!AP4</f>
        <v>19.481929644444445</v>
      </c>
      <c r="AG6" s="846">
        <f>'Fläche-E'!AQ4</f>
        <v>8.2536205925925898</v>
      </c>
      <c r="AH6" s="846">
        <f>'Fläche-E'!AR4</f>
        <v>12.695978666666667</v>
      </c>
      <c r="AI6" s="846">
        <f>'Fläche-E'!AS4</f>
        <v>9.9211164444444488</v>
      </c>
      <c r="AJ6" s="846">
        <f>'Fläche-E'!AT4</f>
        <v>10.714216444444446</v>
      </c>
      <c r="AK6" s="846">
        <f>'Fläche-E'!AU4</f>
        <v>8.7956600000000034</v>
      </c>
      <c r="AL6" s="846">
        <f>'Fläche-E'!AV4</f>
        <v>8.0409199555555553</v>
      </c>
      <c r="AM6" s="846">
        <f>'Fläche-E'!AW4</f>
        <v>10.363536810256413</v>
      </c>
      <c r="AN6" s="845">
        <f>'Fläche-E'!AX4</f>
        <v>10.715725333333332</v>
      </c>
      <c r="AO6" s="825">
        <f>'Fläche-E'!AY4</f>
        <v>9.2755991111111129</v>
      </c>
    </row>
    <row r="7" spans="1:41">
      <c r="A7" s="1996"/>
      <c r="B7" s="841" t="s">
        <v>51</v>
      </c>
      <c r="C7" s="842" t="s">
        <v>134</v>
      </c>
      <c r="D7" s="828">
        <v>3.6461716839980363</v>
      </c>
      <c r="E7" s="828">
        <v>2.7583760967505655</v>
      </c>
      <c r="F7" s="828">
        <v>2.2781286384982953</v>
      </c>
      <c r="G7" s="828">
        <v>15.216271711999587</v>
      </c>
      <c r="H7" s="828">
        <v>2.1807713552883476</v>
      </c>
      <c r="I7" s="828">
        <v>4.7253894776234082</v>
      </c>
      <c r="J7" s="828">
        <v>1.95865461964542</v>
      </c>
      <c r="K7" s="828">
        <v>1.3908229378420758</v>
      </c>
      <c r="L7" s="828">
        <v>2.4950280661864142</v>
      </c>
      <c r="M7" s="828">
        <v>6.4278470307413018</v>
      </c>
      <c r="N7" s="828">
        <v>6.0950121038309533</v>
      </c>
      <c r="O7" s="828">
        <v>2.7753727380382425</v>
      </c>
      <c r="P7" s="828">
        <v>13.148512773554158</v>
      </c>
      <c r="Q7" s="828">
        <v>3.1544873700930554</v>
      </c>
      <c r="S7" s="846" t="str">
        <f>'Fläche-E'!AC3</f>
        <v>Geräte</v>
      </c>
      <c r="T7" s="846" t="str">
        <f>'Fläche-E'!AD3</f>
        <v>kWh/m2</v>
      </c>
      <c r="U7" s="846">
        <f>'Fläche-E'!AE3</f>
        <v>14.688000000000002</v>
      </c>
      <c r="V7" s="846">
        <f>'Fläche-E'!AF3</f>
        <v>14.688000000000002</v>
      </c>
      <c r="W7" s="846">
        <f>'Fläche-E'!AG3</f>
        <v>12.284000000000001</v>
      </c>
      <c r="X7" s="846">
        <f>'Fläche-E'!AH3</f>
        <v>12.816000000000001</v>
      </c>
      <c r="Y7" s="846">
        <f>'Fläche-E'!AI3</f>
        <v>17.313200000000002</v>
      </c>
      <c r="Z7" s="846">
        <f>'Fläche-E'!AJ3</f>
        <v>6.9511200000000004</v>
      </c>
      <c r="AA7" s="846">
        <f>'Fläche-E'!AK3</f>
        <v>6.9511200000000004</v>
      </c>
      <c r="AB7" s="846">
        <f>'Fläche-E'!AL3</f>
        <v>11.325200000000002</v>
      </c>
      <c r="AC7" s="846">
        <f>'Fläche-E'!AM3</f>
        <v>4.7652000000000001</v>
      </c>
      <c r="AD7" s="846">
        <f>'Fläche-E'!AN3</f>
        <v>5.13</v>
      </c>
      <c r="AE7" s="846">
        <f>'Fläche-E'!AO3</f>
        <v>4.7652000000000001</v>
      </c>
      <c r="AF7" s="846">
        <f>'Fläche-E'!AP3</f>
        <v>4.5540000000000003</v>
      </c>
      <c r="AG7" s="846">
        <f>'Fläche-E'!AQ3</f>
        <v>5.1044</v>
      </c>
      <c r="AH7" s="846">
        <f>'Fläche-E'!AR3</f>
        <v>7.1204000000000001</v>
      </c>
      <c r="AI7" s="846">
        <f>'Fläche-E'!AS3</f>
        <v>8.5164000000000009</v>
      </c>
      <c r="AJ7" s="846">
        <f>'Fläche-E'!AT3</f>
        <v>9.4044000000000008</v>
      </c>
      <c r="AK7" s="846">
        <f>'Fläche-E'!AU3</f>
        <v>8.0483999999999991</v>
      </c>
      <c r="AL7" s="846">
        <f>'Fläche-E'!AV3</f>
        <v>7.5044000000000004</v>
      </c>
      <c r="AM7" s="846">
        <f>'Fläche-E'!AW3</f>
        <v>4.8196000000000012</v>
      </c>
      <c r="AN7" s="845">
        <f>'Fläche-E'!AX3</f>
        <v>1.2431999999999999</v>
      </c>
      <c r="AO7" s="825">
        <f>'Fläche-E'!AY3</f>
        <v>6.1908000000000003</v>
      </c>
    </row>
    <row r="8" spans="1:41">
      <c r="A8" s="1996"/>
      <c r="B8" s="841" t="s">
        <v>1181</v>
      </c>
      <c r="C8" s="842" t="s">
        <v>134</v>
      </c>
      <c r="D8" s="828">
        <v>13.703610924766979</v>
      </c>
      <c r="E8" s="828">
        <v>38.306504737708082</v>
      </c>
      <c r="F8" s="828">
        <v>8.5418781117177698</v>
      </c>
      <c r="G8" s="828">
        <v>3.2235038607023863</v>
      </c>
      <c r="H8" s="828">
        <v>4.7377188910505481</v>
      </c>
      <c r="I8" s="828">
        <v>9.1098251563712473</v>
      </c>
      <c r="J8" s="828">
        <v>90.127634297315581</v>
      </c>
      <c r="K8" s="828">
        <v>3.7078138209970968</v>
      </c>
      <c r="L8" s="828">
        <v>67.378563462618928</v>
      </c>
      <c r="M8" s="828">
        <v>0.74461296829385726</v>
      </c>
      <c r="N8" s="828">
        <v>24.538647381184976</v>
      </c>
      <c r="O8" s="828">
        <v>9.4032110346799822</v>
      </c>
      <c r="P8" s="828">
        <v>5.3975147204361793</v>
      </c>
      <c r="Q8" s="828">
        <v>14.405580172681358</v>
      </c>
      <c r="S8" s="846"/>
      <c r="T8" s="846"/>
      <c r="U8" s="846"/>
      <c r="V8" s="846"/>
      <c r="W8" s="846"/>
      <c r="X8" s="846"/>
      <c r="Y8" s="846"/>
      <c r="Z8" s="846"/>
      <c r="AA8" s="846"/>
      <c r="AB8" s="846"/>
      <c r="AC8" s="846"/>
      <c r="AD8" s="846"/>
      <c r="AE8" s="846"/>
      <c r="AF8" s="846"/>
      <c r="AG8" s="846"/>
      <c r="AH8" s="846"/>
      <c r="AI8" s="846"/>
      <c r="AJ8" s="846"/>
      <c r="AK8" s="846"/>
      <c r="AL8" s="846"/>
      <c r="AM8" s="846"/>
      <c r="AN8" s="845"/>
      <c r="AO8" s="825"/>
    </row>
    <row r="9" spans="1:41">
      <c r="A9" s="1996"/>
      <c r="B9" s="841" t="s">
        <v>1182</v>
      </c>
      <c r="C9" s="842" t="s">
        <v>134</v>
      </c>
      <c r="D9" s="828">
        <v>0.42510811509852198</v>
      </c>
      <c r="E9" s="828">
        <v>13.384945361169176</v>
      </c>
      <c r="F9" s="828">
        <v>0.67368823748118123</v>
      </c>
      <c r="G9" s="828">
        <v>23.421373855317981</v>
      </c>
      <c r="H9" s="828">
        <v>12.991154333598194</v>
      </c>
      <c r="I9" s="828">
        <v>16.832556410392822</v>
      </c>
      <c r="J9" s="828">
        <v>30.776359032440538</v>
      </c>
      <c r="K9" s="828">
        <v>33.907178525211961</v>
      </c>
      <c r="L9" s="828">
        <v>29.190833780367583</v>
      </c>
      <c r="M9" s="828">
        <v>5.5822301328860595</v>
      </c>
      <c r="N9" s="828">
        <v>7.1897593913755085</v>
      </c>
      <c r="O9" s="828">
        <v>14.762446923468456</v>
      </c>
      <c r="P9" s="828">
        <v>10.343008906338376</v>
      </c>
      <c r="Q9" s="828">
        <v>4.2131009160134631</v>
      </c>
      <c r="S9" s="846" t="str">
        <f>'Fläche-E'!AC5</f>
        <v>Lüftung</v>
      </c>
      <c r="T9" s="846" t="str">
        <f>'Fläche-E'!AD5</f>
        <v>kWh/m2</v>
      </c>
      <c r="U9" s="846">
        <f>'Fläche-E'!AE5</f>
        <v>2.7887072000000006</v>
      </c>
      <c r="V9" s="846">
        <f>'Fläche-E'!AF5</f>
        <v>2.7887072000000006</v>
      </c>
      <c r="W9" s="846">
        <f>'Fläche-E'!AG5</f>
        <v>4.6930259047619058</v>
      </c>
      <c r="X9" s="846">
        <f>'Fläche-E'!AH5</f>
        <v>1.5493561599999999</v>
      </c>
      <c r="Y9" s="846">
        <f>'Fläche-E'!AI5</f>
        <v>3.0272764380952384</v>
      </c>
      <c r="Z9" s="846">
        <f>'Fläche-E'!AJ5</f>
        <v>2.3824341714285713</v>
      </c>
      <c r="AA9" s="846">
        <f>'Fläche-E'!AK5</f>
        <v>2.3824341714285713</v>
      </c>
      <c r="AB9" s="846">
        <f>'Fläche-E'!AL5</f>
        <v>3.5070634095238091</v>
      </c>
      <c r="AC9" s="846">
        <f>'Fläche-E'!AM5</f>
        <v>3.993240171428571</v>
      </c>
      <c r="AD9" s="846">
        <f>'Fläche-E'!AN5</f>
        <v>3.9833393714285714</v>
      </c>
      <c r="AE9" s="846">
        <f>'Fläche-E'!AO5</f>
        <v>3.993240171428571</v>
      </c>
      <c r="AF9" s="846">
        <f>'Fläche-E'!AP5</f>
        <v>3.6761541714285713</v>
      </c>
      <c r="AG9" s="846">
        <f>'Fläche-E'!AQ5</f>
        <v>6.856761371428572</v>
      </c>
      <c r="AH9" s="846">
        <f>'Fläche-E'!AR5</f>
        <v>7.6144005714285727</v>
      </c>
      <c r="AI9" s="846">
        <f>'Fläche-E'!AS5</f>
        <v>5.0760699047619049</v>
      </c>
      <c r="AJ9" s="846">
        <f>'Fläche-E'!AT5</f>
        <v>5.1245579047619048</v>
      </c>
      <c r="AK9" s="846">
        <f>'Fläche-E'!AU5</f>
        <v>5.3315339047619057</v>
      </c>
      <c r="AL9" s="846">
        <f>'Fläche-E'!AV5</f>
        <v>2.720202882539684</v>
      </c>
      <c r="AM9" s="846">
        <f>'Fläche-E'!AW5</f>
        <v>1.8284877714285717</v>
      </c>
      <c r="AN9" s="845">
        <f>'Fläche-E'!AX5</f>
        <v>2.6586920000000007</v>
      </c>
      <c r="AO9" s="825">
        <f>'Fläche-E'!AY5</f>
        <v>6.3991365714285733</v>
      </c>
    </row>
    <row r="10" spans="1:41">
      <c r="A10" s="1996"/>
      <c r="B10" s="841" t="s">
        <v>1114</v>
      </c>
      <c r="C10" s="842" t="s">
        <v>134</v>
      </c>
      <c r="D10" s="828">
        <v>3.1326171469347766</v>
      </c>
      <c r="E10" s="828">
        <v>9.6046226794709213</v>
      </c>
      <c r="F10" s="828">
        <v>2.4125634936258522</v>
      </c>
      <c r="G10" s="828">
        <v>19.826400497248272</v>
      </c>
      <c r="H10" s="828">
        <v>4.1705017923681122</v>
      </c>
      <c r="I10" s="828">
        <v>5.9269685655980755</v>
      </c>
      <c r="J10" s="828">
        <v>30.843924246154536</v>
      </c>
      <c r="K10" s="828">
        <v>8.5144696508075022</v>
      </c>
      <c r="L10" s="828">
        <v>13.622114817997748</v>
      </c>
      <c r="M10" s="828">
        <v>14.412420257379516</v>
      </c>
      <c r="N10" s="828">
        <v>16.193110442705649</v>
      </c>
      <c r="O10" s="828">
        <v>20.732768302974762</v>
      </c>
      <c r="P10" s="828">
        <v>25.323521804821723</v>
      </c>
      <c r="Q10" s="828">
        <v>7.6085229049196972</v>
      </c>
      <c r="S10" s="846" t="str">
        <f>'Fläche-E'!AC6</f>
        <v>Klimakälte</v>
      </c>
      <c r="T10" s="846" t="str">
        <f>'Fläche-E'!AD6</f>
        <v>kWh/m2</v>
      </c>
      <c r="U10" s="846">
        <f>'Fläche-E'!AE6</f>
        <v>3.3889639654036778</v>
      </c>
      <c r="V10" s="846">
        <f>'Fläche-E'!AF6</f>
        <v>3.3889639654036778</v>
      </c>
      <c r="W10" s="846">
        <f>'Fläche-E'!AG6</f>
        <v>4.7381022785109517</v>
      </c>
      <c r="X10" s="846">
        <f>'Fläche-E'!AH6</f>
        <v>1.4184361751771477</v>
      </c>
      <c r="Y10" s="846">
        <f>'Fläche-E'!AI6</f>
        <v>7.8422491660755886</v>
      </c>
      <c r="Z10" s="846">
        <f>'Fläche-E'!AJ6</f>
        <v>4.7746948126511946</v>
      </c>
      <c r="AA10" s="846">
        <f>'Fläche-E'!AK6</f>
        <v>4.7746948126511946</v>
      </c>
      <c r="AB10" s="846">
        <f>'Fläche-E'!AL6</f>
        <v>7.6636916706564904</v>
      </c>
      <c r="AC10" s="846">
        <f>'Fläche-E'!AM6</f>
        <v>11.651377900486445</v>
      </c>
      <c r="AD10" s="846">
        <f>'Fläche-E'!AN6</f>
        <v>11.926227215554942</v>
      </c>
      <c r="AE10" s="846">
        <f>'Fläche-E'!AO6</f>
        <v>11.651377900486445</v>
      </c>
      <c r="AF10" s="846">
        <f>'Fläche-E'!AP6</f>
        <v>7.2009850607139558</v>
      </c>
      <c r="AG10" s="846">
        <f>'Fläche-E'!AQ6</f>
        <v>5.6280674736166825</v>
      </c>
      <c r="AH10" s="846">
        <f>'Fläche-E'!AR6</f>
        <v>12.454189634374982</v>
      </c>
      <c r="AI10" s="846">
        <f>'Fläche-E'!AS6</f>
        <v>10.467097004911345</v>
      </c>
      <c r="AJ10" s="846">
        <f>'Fläche-E'!AT6</f>
        <v>10.896918506140496</v>
      </c>
      <c r="AK10" s="846">
        <f>'Fläche-E'!AU6</f>
        <v>10.269304483987643</v>
      </c>
      <c r="AL10" s="846">
        <f>'Fläche-E'!AV6</f>
        <v>3.4983406859333268</v>
      </c>
      <c r="AM10" s="846">
        <f>'Fläche-E'!AW6</f>
        <v>0.5772053815740118</v>
      </c>
      <c r="AN10" s="845">
        <f>'Fläche-E'!AX6</f>
        <v>0</v>
      </c>
      <c r="AO10" s="825">
        <f>'Fläche-E'!AY6</f>
        <v>0.5772053815740118</v>
      </c>
    </row>
    <row r="11" spans="1:41">
      <c r="A11" s="1996"/>
      <c r="B11" s="841" t="s">
        <v>21</v>
      </c>
      <c r="C11" s="842" t="s">
        <v>134</v>
      </c>
      <c r="D11" s="828">
        <v>37.334282799214137</v>
      </c>
      <c r="E11" s="828">
        <v>62.939797392693897</v>
      </c>
      <c r="F11" s="828">
        <v>53.573717430298622</v>
      </c>
      <c r="G11" s="828">
        <v>49.725906844404726</v>
      </c>
      <c r="H11" s="828">
        <v>55.674162681110403</v>
      </c>
      <c r="I11" s="828">
        <v>59.703232222695561</v>
      </c>
      <c r="J11" s="828">
        <v>43.214180502452102</v>
      </c>
      <c r="K11" s="828">
        <v>48.799698187603198</v>
      </c>
      <c r="L11" s="828">
        <v>52.446507442900057</v>
      </c>
      <c r="M11" s="828">
        <v>49.663610147132864</v>
      </c>
      <c r="N11" s="828">
        <v>70.637424728033224</v>
      </c>
      <c r="O11" s="828">
        <v>66.443628254196881</v>
      </c>
      <c r="P11" s="828">
        <v>59.024789232725411</v>
      </c>
      <c r="Q11" s="828">
        <v>41.894526372949528</v>
      </c>
      <c r="S11" s="847"/>
      <c r="T11" s="847"/>
      <c r="U11" s="847"/>
      <c r="V11" s="847"/>
      <c r="W11" s="847"/>
      <c r="X11" s="847"/>
      <c r="Y11" s="847"/>
      <c r="Z11" s="847"/>
      <c r="AA11" s="847"/>
      <c r="AB11" s="847"/>
      <c r="AC11" s="847"/>
      <c r="AD11" s="847"/>
      <c r="AE11" s="847"/>
      <c r="AF11" s="847"/>
      <c r="AG11" s="847"/>
      <c r="AH11" s="847"/>
      <c r="AI11" s="847"/>
      <c r="AJ11" s="847"/>
      <c r="AK11" s="847"/>
      <c r="AL11" s="847"/>
      <c r="AM11" s="847"/>
    </row>
    <row r="12" spans="1:41">
      <c r="A12" s="1994"/>
      <c r="B12" s="841" t="s">
        <v>268</v>
      </c>
      <c r="C12" s="842" t="s">
        <v>134</v>
      </c>
      <c r="D12" s="828">
        <v>20.747393089672322</v>
      </c>
      <c r="E12" s="828">
        <v>37.16494152941813</v>
      </c>
      <c r="F12" s="828">
        <v>12.83004754443386</v>
      </c>
      <c r="G12" s="828">
        <v>10.859845770327137</v>
      </c>
      <c r="H12" s="828">
        <v>11.162461497821859</v>
      </c>
      <c r="I12" s="828">
        <v>11.223711527922756</v>
      </c>
      <c r="J12" s="828">
        <v>9.168251512122529</v>
      </c>
      <c r="K12" s="828">
        <v>7.2263826463947272</v>
      </c>
      <c r="L12" s="828">
        <v>36.379805786462065</v>
      </c>
      <c r="M12" s="828">
        <v>17.082295342734284</v>
      </c>
      <c r="N12" s="828">
        <v>53.850756354609665</v>
      </c>
      <c r="O12" s="828">
        <v>22.507938026417158</v>
      </c>
      <c r="P12" s="828">
        <v>6.4525628846484127</v>
      </c>
      <c r="Q12" s="828">
        <v>4.8180353110418155</v>
      </c>
      <c r="S12" s="847"/>
      <c r="T12" s="847"/>
      <c r="U12" s="847"/>
      <c r="V12" s="847"/>
      <c r="W12" s="847"/>
      <c r="X12" s="847"/>
      <c r="Y12" s="847"/>
      <c r="Z12" s="847"/>
      <c r="AA12" s="847"/>
      <c r="AB12" s="847"/>
      <c r="AC12" s="847"/>
      <c r="AD12" s="847"/>
      <c r="AE12" s="847"/>
      <c r="AF12" s="847"/>
      <c r="AG12" s="847"/>
      <c r="AH12" s="847"/>
      <c r="AI12" s="847"/>
      <c r="AJ12" s="847"/>
      <c r="AK12" s="847"/>
      <c r="AL12" s="847"/>
      <c r="AM12" s="847"/>
    </row>
    <row r="13" spans="1:41">
      <c r="A13" s="1993" t="s">
        <v>1183</v>
      </c>
      <c r="B13" s="841" t="s">
        <v>21</v>
      </c>
      <c r="C13" s="842" t="s">
        <v>134</v>
      </c>
      <c r="D13" s="828">
        <v>32.548770556875326</v>
      </c>
      <c r="E13" s="828">
        <v>37.039812558800591</v>
      </c>
      <c r="F13" s="828">
        <v>52.731928123230972</v>
      </c>
      <c r="G13" s="828">
        <v>36.311573698809163</v>
      </c>
      <c r="H13" s="828">
        <v>43.488159350904972</v>
      </c>
      <c r="I13" s="828">
        <v>44.168126790003448</v>
      </c>
      <c r="J13" s="828">
        <v>31.393843973454118</v>
      </c>
      <c r="K13" s="828">
        <v>36.055641648339531</v>
      </c>
      <c r="L13" s="828">
        <v>34.589786022276414</v>
      </c>
      <c r="M13" s="828">
        <v>36.947695933259183</v>
      </c>
      <c r="N13" s="828">
        <v>51.276148227160768</v>
      </c>
      <c r="O13" s="828">
        <v>50.875036352506775</v>
      </c>
      <c r="P13" s="828">
        <v>46.603546007868282</v>
      </c>
      <c r="Q13" s="828">
        <v>34.429980136633802</v>
      </c>
      <c r="S13" s="846" t="str">
        <f>'Fläche-E'!AC7</f>
        <v>Heizwärme</v>
      </c>
      <c r="T13" s="846" t="str">
        <f>'Fläche-E'!AD7</f>
        <v>kWh/m2</v>
      </c>
      <c r="U13" s="846">
        <f>'Fläche-E'!AE7</f>
        <v>11.726703891170381</v>
      </c>
      <c r="V13" s="846">
        <f>'Fläche-E'!AF7</f>
        <v>11.726703891170381</v>
      </c>
      <c r="W13" s="846">
        <f>'Fläche-E'!AG7</f>
        <v>13.870968340056827</v>
      </c>
      <c r="X13" s="846">
        <f>'Fläche-E'!AH7</f>
        <v>18.532290023829955</v>
      </c>
      <c r="Y13" s="846">
        <f>'Fläche-E'!AI7</f>
        <v>9.4607684842424522</v>
      </c>
      <c r="Z13" s="846">
        <f>'Fläche-E'!AJ7</f>
        <v>13.537004115365571</v>
      </c>
      <c r="AA13" s="846">
        <f>'Fläche-E'!AK7</f>
        <v>13.537004115365571</v>
      </c>
      <c r="AB13" s="846">
        <f>'Fläche-E'!AL7</f>
        <v>11.336089072607724</v>
      </c>
      <c r="AC13" s="846">
        <f>'Fläche-E'!AM7</f>
        <v>5.5844225421050364</v>
      </c>
      <c r="AD13" s="846">
        <f>'Fläche-E'!AN7</f>
        <v>5.336005221474303</v>
      </c>
      <c r="AE13" s="846">
        <f>'Fläche-E'!AO7</f>
        <v>5.5844225421050364</v>
      </c>
      <c r="AF13" s="846">
        <f>'Fläche-E'!AP7</f>
        <v>6.1032108798011526</v>
      </c>
      <c r="AG13" s="846">
        <f>'Fläche-E'!AQ7</f>
        <v>14.227329799738198</v>
      </c>
      <c r="AH13" s="846">
        <f>'Fläche-E'!AR7</f>
        <v>9.8470402728764252</v>
      </c>
      <c r="AI13" s="846">
        <f>'Fläche-E'!AS7</f>
        <v>10.446296640777922</v>
      </c>
      <c r="AJ13" s="846">
        <f>'Fläche-E'!AT7</f>
        <v>10.373697935999942</v>
      </c>
      <c r="AK13" s="846">
        <f>'Fläche-E'!AU7</f>
        <v>10.392353857645658</v>
      </c>
      <c r="AL13" s="846">
        <f>'Fläche-E'!AV7</f>
        <v>11.040409943789539</v>
      </c>
      <c r="AM13" s="846">
        <f>'Fläche-E'!AW7</f>
        <v>9.2539562331877274</v>
      </c>
      <c r="AN13" s="845">
        <f>'Fläche-E'!AX7</f>
        <v>22.373626136983148</v>
      </c>
      <c r="AO13" s="825">
        <f>'Fläche-E'!AY7</f>
        <v>27.485652279842313</v>
      </c>
    </row>
    <row r="14" spans="1:41">
      <c r="A14" s="1994"/>
      <c r="B14" s="841" t="s">
        <v>268</v>
      </c>
      <c r="C14" s="842" t="s">
        <v>134</v>
      </c>
      <c r="D14" s="828">
        <v>16.640341992124679</v>
      </c>
      <c r="E14" s="828">
        <v>23.04195221278562</v>
      </c>
      <c r="F14" s="828">
        <v>12.180401873622662</v>
      </c>
      <c r="G14" s="828">
        <v>8.1574589935643012</v>
      </c>
      <c r="H14" s="828">
        <v>8.9643794601953442</v>
      </c>
      <c r="I14" s="828">
        <v>8.1897563756360636</v>
      </c>
      <c r="J14" s="828">
        <v>7.5025507392678481</v>
      </c>
      <c r="K14" s="828">
        <v>5.6596711957528303</v>
      </c>
      <c r="L14" s="828">
        <v>22.958782339646579</v>
      </c>
      <c r="M14" s="828">
        <v>11.241863872751532</v>
      </c>
      <c r="N14" s="828">
        <v>39.82761374700074</v>
      </c>
      <c r="O14" s="828">
        <v>21.628088333926957</v>
      </c>
      <c r="P14" s="828">
        <v>5.9644371748029146</v>
      </c>
      <c r="Q14" s="828">
        <v>4.1900667799557496</v>
      </c>
      <c r="S14" s="846" t="str">
        <f>'Fläche-E'!AC8</f>
        <v>Warmwasser</v>
      </c>
      <c r="T14" s="846" t="str">
        <f>'Fläche-E'!AD8</f>
        <v>kWh/m2</v>
      </c>
      <c r="U14" s="846">
        <f>'Fläche-E'!AE8</f>
        <v>11.516480000000003</v>
      </c>
      <c r="V14" s="846">
        <f>'Fläche-E'!AF8</f>
        <v>11.516480000000003</v>
      </c>
      <c r="W14" s="846">
        <f>'Fläche-E'!AG8</f>
        <v>17.491430095238098</v>
      </c>
      <c r="X14" s="846">
        <f>'Fläche-E'!AH8</f>
        <v>9.7551360000000003</v>
      </c>
      <c r="Y14" s="846">
        <f>'Fläche-E'!AI8</f>
        <v>1.2664018285714287</v>
      </c>
      <c r="Z14" s="846">
        <f>'Fläche-E'!AJ8</f>
        <v>1.6590649589823876</v>
      </c>
      <c r="AA14" s="846">
        <f>'Fläche-E'!AK8</f>
        <v>1.6590649589823876</v>
      </c>
      <c r="AB14" s="846">
        <f>'Fläche-E'!AL8</f>
        <v>1.2867679190606656</v>
      </c>
      <c r="AC14" s="846">
        <f>'Fläche-E'!AM8</f>
        <v>1.4108914285714289</v>
      </c>
      <c r="AD14" s="846">
        <f>'Fläche-E'!AN8</f>
        <v>1.4108914285714289</v>
      </c>
      <c r="AE14" s="846">
        <f>'Fläche-E'!AO8</f>
        <v>1.4108914285714289</v>
      </c>
      <c r="AF14" s="846">
        <f>'Fläche-E'!AP8</f>
        <v>0.80091702857142877</v>
      </c>
      <c r="AG14" s="846">
        <f>'Fläche-E'!AQ8</f>
        <v>43.67340342857144</v>
      </c>
      <c r="AH14" s="846">
        <f>'Fläche-E'!AR8</f>
        <v>3.5893714285714289</v>
      </c>
      <c r="AI14" s="846">
        <f>'Fläche-E'!AS8</f>
        <v>21.781883428571433</v>
      </c>
      <c r="AJ14" s="846">
        <f>'Fläche-E'!AT8</f>
        <v>19.07212342857143</v>
      </c>
      <c r="AK14" s="846">
        <f>'Fläche-E'!AU8</f>
        <v>27.201403428571435</v>
      </c>
      <c r="AL14" s="846">
        <f>'Fläche-E'!AV8</f>
        <v>1.2664018285714287</v>
      </c>
      <c r="AM14" s="846">
        <f>'Fläche-E'!AW8</f>
        <v>0.61244022857142866</v>
      </c>
      <c r="AN14" s="845">
        <f>'Fläche-E'!AX8</f>
        <v>30.47042998356164</v>
      </c>
      <c r="AO14" s="825">
        <f>'Fläche-E'!AY8</f>
        <v>69.815163428571452</v>
      </c>
    </row>
    <row r="16" spans="1:41">
      <c r="S16" s="379" t="s">
        <v>1186</v>
      </c>
      <c r="T16" t="s">
        <v>134</v>
      </c>
      <c r="V16" s="848">
        <f>V6+V7+V9+V10/3</f>
        <v>20.759042855134563</v>
      </c>
      <c r="W16" s="848">
        <f t="shared" ref="W16:AM16" si="0">W6+W7+W9+W10/3</f>
        <v>23.412394997598895</v>
      </c>
      <c r="X16" s="848">
        <f t="shared" si="0"/>
        <v>16.914856440614603</v>
      </c>
      <c r="Y16" s="848">
        <f t="shared" si="0"/>
        <v>30.699198960120437</v>
      </c>
      <c r="Z16" s="848">
        <f t="shared" si="0"/>
        <v>17.529815616915478</v>
      </c>
      <c r="AA16" s="848">
        <f t="shared" si="0"/>
        <v>17.529815616915478</v>
      </c>
      <c r="AB16" s="848">
        <f t="shared" si="0"/>
        <v>24.418515585456927</v>
      </c>
      <c r="AC16" s="848">
        <f t="shared" si="0"/>
        <v>36.594858449368495</v>
      </c>
      <c r="AD16" s="848">
        <f t="shared" si="0"/>
        <v>36.990803924761693</v>
      </c>
      <c r="AE16" s="848">
        <f t="shared" si="0"/>
        <v>36.594858449368495</v>
      </c>
      <c r="AF16" s="848">
        <f t="shared" si="0"/>
        <v>30.112412169444333</v>
      </c>
      <c r="AG16" s="848">
        <f t="shared" si="0"/>
        <v>22.090804455226724</v>
      </c>
      <c r="AH16" s="848">
        <f t="shared" si="0"/>
        <v>31.5821757828869</v>
      </c>
      <c r="AI16" s="848">
        <f t="shared" si="0"/>
        <v>27.002618684176802</v>
      </c>
      <c r="AJ16" s="848">
        <f t="shared" si="0"/>
        <v>28.875480517919851</v>
      </c>
      <c r="AK16" s="848">
        <f t="shared" si="0"/>
        <v>25.598695399424454</v>
      </c>
      <c r="AL16" s="848">
        <f t="shared" si="0"/>
        <v>19.431636400073018</v>
      </c>
      <c r="AM16" s="848">
        <f t="shared" si="0"/>
        <v>17.204026375542988</v>
      </c>
    </row>
    <row r="18" spans="2:17">
      <c r="B18" t="s">
        <v>1185</v>
      </c>
    </row>
    <row r="19" spans="2:17">
      <c r="B19" s="849" t="s">
        <v>1556</v>
      </c>
      <c r="C19" s="850" t="s">
        <v>134</v>
      </c>
      <c r="D19" s="848">
        <f>SUM(D6:D9)</f>
        <v>19.96130866612042</v>
      </c>
      <c r="E19" s="1120">
        <f>SUM(E6:E9)-E8</f>
        <v>31.418396592335441</v>
      </c>
      <c r="F19" s="848">
        <f t="shared" ref="F19" si="1">SUM(F6:F9)</f>
        <v>13.421610897408277</v>
      </c>
      <c r="G19" s="1120">
        <f>SUM(G6:G9)-G8</f>
        <v>54.939307827267974</v>
      </c>
      <c r="H19" s="1120">
        <f t="shared" ref="H19:Q19" si="2">SUM(H6:H9)-H8</f>
        <v>25.164635375997058</v>
      </c>
      <c r="I19" s="1120">
        <f t="shared" si="2"/>
        <v>35.76613443035265</v>
      </c>
      <c r="J19" s="1120">
        <f>SUM(J6:J9)-J8</f>
        <v>82.148398669646213</v>
      </c>
      <c r="K19" s="1120">
        <f t="shared" si="2"/>
        <v>94.814910437275017</v>
      </c>
      <c r="L19" s="1120">
        <f t="shared" si="2"/>
        <v>42.164495410730723</v>
      </c>
      <c r="M19" s="1120">
        <f t="shared" si="2"/>
        <v>26.715407436338268</v>
      </c>
      <c r="N19" s="1120">
        <f t="shared" si="2"/>
        <v>25.086803183363092</v>
      </c>
      <c r="O19" s="1120">
        <f t="shared" si="2"/>
        <v>31.441378504835214</v>
      </c>
      <c r="P19" s="1120">
        <f t="shared" si="2"/>
        <v>40.404561107672727</v>
      </c>
      <c r="Q19" s="1120">
        <f t="shared" si="2"/>
        <v>15.908608144113764</v>
      </c>
    </row>
    <row r="20" spans="2:17">
      <c r="B20" s="379" t="s">
        <v>1557</v>
      </c>
      <c r="C20" s="850" t="s">
        <v>134</v>
      </c>
      <c r="D20" s="848">
        <f>V16</f>
        <v>20.759042855134563</v>
      </c>
      <c r="E20" s="848">
        <f t="shared" ref="E20:G20" si="3">W16</f>
        <v>23.412394997598895</v>
      </c>
      <c r="F20" s="848">
        <f t="shared" si="3"/>
        <v>16.914856440614603</v>
      </c>
      <c r="G20" s="848">
        <f t="shared" si="3"/>
        <v>30.699198960120437</v>
      </c>
      <c r="H20" s="848">
        <f>AA16</f>
        <v>17.529815616915478</v>
      </c>
      <c r="I20" s="848">
        <f>AB16</f>
        <v>24.418515585456927</v>
      </c>
      <c r="J20" s="848">
        <f>AD16</f>
        <v>36.990803924761693</v>
      </c>
      <c r="K20" s="848">
        <f>AE16</f>
        <v>36.594858449368495</v>
      </c>
      <c r="L20" s="848">
        <f>AG16</f>
        <v>22.090804455226724</v>
      </c>
      <c r="M20" s="848">
        <f>AH16</f>
        <v>31.5821757828869</v>
      </c>
      <c r="N20" s="848">
        <f>AJ16</f>
        <v>28.875480517919851</v>
      </c>
      <c r="O20" s="848">
        <f>AK16</f>
        <v>25.598695399424454</v>
      </c>
      <c r="P20" s="848">
        <f>AL16</f>
        <v>19.431636400073018</v>
      </c>
      <c r="Q20" s="848">
        <f>AM16</f>
        <v>17.204026375542988</v>
      </c>
    </row>
    <row r="39" spans="2:17">
      <c r="B39" s="379" t="s">
        <v>464</v>
      </c>
    </row>
    <row r="40" spans="2:17">
      <c r="B40" s="849" t="s">
        <v>1187</v>
      </c>
      <c r="C40" s="850" t="s">
        <v>134</v>
      </c>
      <c r="D40" s="848">
        <f>D13</f>
        <v>32.548770556875326</v>
      </c>
      <c r="E40" s="848">
        <f t="shared" ref="E40:Q40" si="4">E13</f>
        <v>37.039812558800591</v>
      </c>
      <c r="F40" s="848">
        <f t="shared" si="4"/>
        <v>52.731928123230972</v>
      </c>
      <c r="G40" s="848">
        <f t="shared" si="4"/>
        <v>36.311573698809163</v>
      </c>
      <c r="H40" s="848">
        <f t="shared" si="4"/>
        <v>43.488159350904972</v>
      </c>
      <c r="I40" s="848">
        <f t="shared" si="4"/>
        <v>44.168126790003448</v>
      </c>
      <c r="J40" s="848">
        <f t="shared" si="4"/>
        <v>31.393843973454118</v>
      </c>
      <c r="K40" s="848">
        <f t="shared" si="4"/>
        <v>36.055641648339531</v>
      </c>
      <c r="L40" s="848">
        <f t="shared" si="4"/>
        <v>34.589786022276414</v>
      </c>
      <c r="M40" s="848">
        <f t="shared" si="4"/>
        <v>36.947695933259183</v>
      </c>
      <c r="N40" s="848">
        <f t="shared" si="4"/>
        <v>51.276148227160768</v>
      </c>
      <c r="O40" s="848">
        <f t="shared" si="4"/>
        <v>50.875036352506775</v>
      </c>
      <c r="P40" s="848">
        <f t="shared" si="4"/>
        <v>46.603546007868282</v>
      </c>
      <c r="Q40" s="848">
        <f t="shared" si="4"/>
        <v>34.429980136633802</v>
      </c>
    </row>
    <row r="41" spans="2:17">
      <c r="B41" s="379" t="s">
        <v>1539</v>
      </c>
      <c r="C41" s="850" t="s">
        <v>134</v>
      </c>
      <c r="D41" s="848">
        <f>V13</f>
        <v>11.726703891170381</v>
      </c>
      <c r="E41" s="848">
        <f>W13</f>
        <v>13.870968340056827</v>
      </c>
      <c r="F41" s="848">
        <f>X13</f>
        <v>18.532290023829955</v>
      </c>
      <c r="G41" s="848">
        <f>Y13</f>
        <v>9.4607684842424522</v>
      </c>
      <c r="H41" s="848">
        <f>AA13</f>
        <v>13.537004115365571</v>
      </c>
      <c r="I41" s="848">
        <f>AB13</f>
        <v>11.336089072607724</v>
      </c>
      <c r="J41" s="848">
        <f>AD13</f>
        <v>5.336005221474303</v>
      </c>
      <c r="K41" s="848">
        <f>AE13</f>
        <v>5.5844225421050364</v>
      </c>
      <c r="L41" s="848">
        <f>AG13</f>
        <v>14.227329799738198</v>
      </c>
      <c r="M41" s="848">
        <f>AH13</f>
        <v>9.8470402728764252</v>
      </c>
      <c r="N41" s="848">
        <f>AJ13</f>
        <v>10.373697935999942</v>
      </c>
      <c r="O41" s="848">
        <f>AK13</f>
        <v>10.392353857645658</v>
      </c>
      <c r="P41" s="848">
        <f>AL13</f>
        <v>11.040409943789539</v>
      </c>
      <c r="Q41" s="848">
        <f>AM13</f>
        <v>9.2539562331877274</v>
      </c>
    </row>
    <row r="60" spans="2:17">
      <c r="B60" s="379" t="s">
        <v>1188</v>
      </c>
    </row>
    <row r="61" spans="2:17">
      <c r="B61" s="849" t="s">
        <v>1187</v>
      </c>
      <c r="C61" s="850" t="s">
        <v>134</v>
      </c>
      <c r="D61" s="848">
        <f>D14</f>
        <v>16.640341992124679</v>
      </c>
      <c r="E61" s="848">
        <f t="shared" ref="E61:Q61" si="5">E14</f>
        <v>23.04195221278562</v>
      </c>
      <c r="F61" s="848">
        <f t="shared" si="5"/>
        <v>12.180401873622662</v>
      </c>
      <c r="G61" s="848">
        <f t="shared" si="5"/>
        <v>8.1574589935643012</v>
      </c>
      <c r="H61" s="848">
        <f t="shared" si="5"/>
        <v>8.9643794601953442</v>
      </c>
      <c r="I61" s="848">
        <f t="shared" si="5"/>
        <v>8.1897563756360636</v>
      </c>
      <c r="J61" s="848">
        <f t="shared" si="5"/>
        <v>7.5025507392678481</v>
      </c>
      <c r="K61" s="848">
        <f t="shared" si="5"/>
        <v>5.6596711957528303</v>
      </c>
      <c r="L61" s="848">
        <f t="shared" si="5"/>
        <v>22.958782339646579</v>
      </c>
      <c r="M61" s="848">
        <f t="shared" si="5"/>
        <v>11.241863872751532</v>
      </c>
      <c r="N61" s="848">
        <f t="shared" si="5"/>
        <v>39.82761374700074</v>
      </c>
      <c r="O61" s="848">
        <f t="shared" si="5"/>
        <v>21.628088333926957</v>
      </c>
      <c r="P61" s="848">
        <f t="shared" si="5"/>
        <v>5.9644371748029146</v>
      </c>
      <c r="Q61" s="848">
        <f t="shared" si="5"/>
        <v>4.1900667799557496</v>
      </c>
    </row>
    <row r="62" spans="2:17">
      <c r="B62" s="379" t="s">
        <v>1539</v>
      </c>
      <c r="C62" s="850" t="s">
        <v>134</v>
      </c>
      <c r="D62" s="848">
        <f>V14*1.5</f>
        <v>17.274720000000006</v>
      </c>
      <c r="E62" s="848">
        <f>W14*1.5</f>
        <v>26.237145142857145</v>
      </c>
      <c r="F62" s="848">
        <f>X14*1.5</f>
        <v>14.632704</v>
      </c>
      <c r="G62" s="848">
        <f>Y14*1.5</f>
        <v>1.8996027428571431</v>
      </c>
      <c r="H62" s="848">
        <f>AA14*1.5</f>
        <v>2.4885974384735814</v>
      </c>
      <c r="I62" s="848">
        <f>AB14*1.5</f>
        <v>1.9301518785909983</v>
      </c>
      <c r="J62" s="848">
        <f>AD14*1.5</f>
        <v>2.1163371428571436</v>
      </c>
      <c r="K62" s="848">
        <f>AE14*1.5</f>
        <v>2.1163371428571436</v>
      </c>
      <c r="L62" s="848">
        <f>AG14*1.5</f>
        <v>65.510105142857157</v>
      </c>
      <c r="M62" s="848">
        <f>AH14*1.5</f>
        <v>5.3840571428571433</v>
      </c>
      <c r="N62" s="848">
        <f>AJ14*1.5</f>
        <v>28.608185142857145</v>
      </c>
      <c r="O62" s="848">
        <f>AK14*1.5</f>
        <v>40.802105142857151</v>
      </c>
      <c r="P62" s="848">
        <f>AL14*1.5</f>
        <v>1.8996027428571431</v>
      </c>
      <c r="Q62" s="848">
        <f>AM14*1.5</f>
        <v>0.91866034285714293</v>
      </c>
    </row>
  </sheetData>
  <mergeCells count="6">
    <mergeCell ref="N2:O2"/>
    <mergeCell ref="A13:A14"/>
    <mergeCell ref="A3:C3"/>
    <mergeCell ref="A6:A12"/>
    <mergeCell ref="H2:I2"/>
    <mergeCell ref="J2:K2"/>
  </mergeCells>
  <pageMargins left="0.7" right="0.7" top="0.78740157499999996" bottom="0.78740157499999996" header="0.3" footer="0.3"/>
  <pageSetup paperSize="9" orientation="portrait" verticalDpi="180" r:id="rId1"/>
  <headerFooter>
    <oddHeader>&amp;CSIA 2024 Raum-Datenblätter</oddHeader>
    <oddFooter>&amp;CSIA 2024, Copyright © 2021 by SIA Zurich</oddFooter>
  </headerFooter>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blVolll_Lüft">
    <tabColor theme="6" tint="0.59999389629810485"/>
    <pageSetUpPr fitToPage="1"/>
  </sheetPr>
  <dimension ref="A2:AS88"/>
  <sheetViews>
    <sheetView showGridLines="0" zoomScaleNormal="100" workbookViewId="0">
      <selection activeCell="U57" sqref="U57"/>
    </sheetView>
  </sheetViews>
  <sheetFormatPr baseColWidth="10" defaultRowHeight="12.45"/>
  <cols>
    <col min="1" max="1" width="5.4609375" customWidth="1"/>
    <col min="2" max="2" width="19.53515625" customWidth="1"/>
    <col min="3" max="3" width="18.69140625" customWidth="1"/>
    <col min="4" max="17" width="9.23046875" style="29" customWidth="1"/>
    <col min="18" max="19" width="9.69140625" customWidth="1"/>
    <col min="21" max="21" width="6.53515625" customWidth="1"/>
    <col min="22" max="22" width="27" style="379" bestFit="1" customWidth="1"/>
    <col min="23" max="23" width="8.4609375" bestFit="1" customWidth="1"/>
    <col min="24" max="24" width="7.69140625" bestFit="1" customWidth="1"/>
    <col min="25" max="25" width="8.69140625" bestFit="1" customWidth="1"/>
    <col min="26" max="26" width="5.4609375" bestFit="1" customWidth="1"/>
    <col min="27" max="27" width="7.53515625" bestFit="1" customWidth="1"/>
    <col min="28" max="28" width="8.4609375" style="379" hidden="1" customWidth="1"/>
    <col min="29" max="29" width="7.69140625" style="379" hidden="1" customWidth="1"/>
    <col min="30" max="30" width="8.69140625" style="379" hidden="1" customWidth="1"/>
    <col min="31" max="31" width="5.4609375" style="379" hidden="1" customWidth="1"/>
    <col min="32" max="32" width="7.53515625" style="379" hidden="1" customWidth="1"/>
    <col min="33" max="33" width="8.4609375" style="29" bestFit="1" customWidth="1"/>
    <col min="34" max="34" width="7.69140625" style="29" bestFit="1" customWidth="1"/>
    <col min="35" max="35" width="8.69140625" style="29" bestFit="1" customWidth="1"/>
    <col min="36" max="36" width="5.4609375" style="29" bestFit="1" customWidth="1"/>
    <col min="37" max="37" width="7.53515625" bestFit="1" customWidth="1"/>
    <col min="38" max="38" width="17.765625" hidden="1" customWidth="1"/>
    <col min="39" max="39" width="17.53515625" hidden="1" customWidth="1"/>
    <col min="40" max="41" width="19.23046875" customWidth="1"/>
    <col min="43" max="43" width="10.765625" customWidth="1"/>
    <col min="44" max="44" width="9.69140625" customWidth="1"/>
    <col min="45" max="45" width="13.23046875" customWidth="1"/>
  </cols>
  <sheetData>
    <row r="2" spans="1:45" ht="15.45">
      <c r="A2" s="77" t="s">
        <v>1478</v>
      </c>
      <c r="B2" s="379"/>
      <c r="C2" s="379"/>
      <c r="K2" s="540"/>
    </row>
    <row r="3" spans="1:45">
      <c r="A3" s="379"/>
      <c r="B3" s="379"/>
      <c r="C3" s="379"/>
    </row>
    <row r="4" spans="1:45" ht="26.25" customHeight="1">
      <c r="A4" s="1589" t="s">
        <v>539</v>
      </c>
      <c r="B4" s="1590"/>
      <c r="C4" s="1591"/>
      <c r="D4" s="1209" t="s">
        <v>233</v>
      </c>
      <c r="E4" s="1210"/>
      <c r="F4" s="1209" t="s">
        <v>249</v>
      </c>
      <c r="G4" s="1211"/>
      <c r="H4" s="1211"/>
      <c r="I4" s="1210"/>
      <c r="J4" s="1209" t="s">
        <v>191</v>
      </c>
      <c r="K4" s="1211"/>
      <c r="L4" s="1211"/>
      <c r="M4" s="1211"/>
      <c r="N4" s="1211"/>
      <c r="O4" s="1211"/>
      <c r="P4" s="1211"/>
      <c r="Q4" s="1210"/>
      <c r="R4" s="1219" t="s">
        <v>1479</v>
      </c>
      <c r="S4" s="1219" t="s">
        <v>1510</v>
      </c>
      <c r="U4" s="1589" t="s">
        <v>539</v>
      </c>
      <c r="V4" s="1474"/>
      <c r="W4" s="2001" t="s">
        <v>1729</v>
      </c>
      <c r="X4" s="2002"/>
      <c r="Y4" s="2002"/>
      <c r="Z4" s="2002"/>
      <c r="AA4" s="2002"/>
      <c r="AB4" s="2001" t="s">
        <v>1728</v>
      </c>
      <c r="AC4" s="2002"/>
      <c r="AD4" s="2002"/>
      <c r="AE4" s="2002"/>
      <c r="AF4" s="2002"/>
      <c r="AG4" s="2001" t="s">
        <v>2255</v>
      </c>
      <c r="AH4" s="2002"/>
      <c r="AI4" s="2002"/>
      <c r="AJ4" s="2002"/>
      <c r="AK4" s="2002"/>
      <c r="AL4" s="1219" t="s">
        <v>1734</v>
      </c>
      <c r="AM4" s="1219" t="s">
        <v>1734</v>
      </c>
      <c r="AN4" s="1219" t="s">
        <v>2256</v>
      </c>
      <c r="AO4" s="1219" t="s">
        <v>2256</v>
      </c>
      <c r="AQ4" s="2003" t="s">
        <v>1731</v>
      </c>
      <c r="AR4" s="2003"/>
    </row>
    <row r="5" spans="1:45" ht="89.25" customHeight="1">
      <c r="A5" s="1588" t="s">
        <v>153</v>
      </c>
      <c r="B5" s="1603" t="s">
        <v>155</v>
      </c>
      <c r="C5" s="1217"/>
      <c r="D5" s="479" t="s">
        <v>1984</v>
      </c>
      <c r="E5" s="479" t="s">
        <v>1727</v>
      </c>
      <c r="F5" s="479" t="s">
        <v>1984</v>
      </c>
      <c r="G5" s="479" t="s">
        <v>1986</v>
      </c>
      <c r="H5" s="479" t="s">
        <v>1987</v>
      </c>
      <c r="I5" s="479" t="s">
        <v>1727</v>
      </c>
      <c r="J5" s="479" t="s">
        <v>1984</v>
      </c>
      <c r="K5" s="479" t="s">
        <v>1988</v>
      </c>
      <c r="L5" s="479" t="s">
        <v>1989</v>
      </c>
      <c r="M5" s="479" t="s">
        <v>1990</v>
      </c>
      <c r="N5" s="479" t="s">
        <v>1991</v>
      </c>
      <c r="O5" s="479" t="s">
        <v>1992</v>
      </c>
      <c r="P5" s="479" t="s">
        <v>1987</v>
      </c>
      <c r="Q5" s="479" t="s">
        <v>1727</v>
      </c>
      <c r="R5" s="479" t="s">
        <v>1985</v>
      </c>
      <c r="S5" s="479" t="s">
        <v>1985</v>
      </c>
      <c r="U5" s="1599" t="s">
        <v>153</v>
      </c>
      <c r="V5" s="1600" t="s">
        <v>155</v>
      </c>
      <c r="W5" s="1593" t="s">
        <v>398</v>
      </c>
      <c r="X5" s="1593" t="s">
        <v>1723</v>
      </c>
      <c r="Y5" s="1593" t="s">
        <v>1725</v>
      </c>
      <c r="Z5" s="1593" t="s">
        <v>1727</v>
      </c>
      <c r="AA5" s="1593" t="s">
        <v>1726</v>
      </c>
      <c r="AB5" s="1593" t="s">
        <v>398</v>
      </c>
      <c r="AC5" s="1593" t="s">
        <v>1723</v>
      </c>
      <c r="AD5" s="1593" t="s">
        <v>1725</v>
      </c>
      <c r="AE5" s="1593" t="s">
        <v>1727</v>
      </c>
      <c r="AF5" s="1593" t="s">
        <v>1726</v>
      </c>
      <c r="AG5" s="1593" t="s">
        <v>398</v>
      </c>
      <c r="AH5" s="1593" t="s">
        <v>1723</v>
      </c>
      <c r="AI5" s="1593" t="s">
        <v>1725</v>
      </c>
      <c r="AJ5" s="1593" t="s">
        <v>1727</v>
      </c>
      <c r="AK5" s="1593" t="s">
        <v>1726</v>
      </c>
      <c r="AL5" s="1599" t="s">
        <v>1736</v>
      </c>
      <c r="AM5" s="1599" t="s">
        <v>1735</v>
      </c>
      <c r="AN5" s="1599" t="s">
        <v>1735</v>
      </c>
      <c r="AO5" s="1599" t="s">
        <v>1737</v>
      </c>
      <c r="AQ5" s="1599" t="s">
        <v>1733</v>
      </c>
      <c r="AR5" s="1599" t="s">
        <v>1732</v>
      </c>
      <c r="AS5" s="1599" t="s">
        <v>1749</v>
      </c>
    </row>
    <row r="6" spans="1:45">
      <c r="A6" s="391"/>
      <c r="B6" s="257"/>
      <c r="C6" s="257"/>
      <c r="D6" s="1171" t="s">
        <v>15</v>
      </c>
      <c r="E6" s="1171" t="s">
        <v>15</v>
      </c>
      <c r="F6" s="1171" t="s">
        <v>15</v>
      </c>
      <c r="G6" s="1171" t="s">
        <v>15</v>
      </c>
      <c r="H6" s="1171" t="s">
        <v>15</v>
      </c>
      <c r="I6" s="1171" t="s">
        <v>15</v>
      </c>
      <c r="J6" s="1171" t="s">
        <v>15</v>
      </c>
      <c r="K6" s="1171" t="s">
        <v>15</v>
      </c>
      <c r="L6" s="1171" t="s">
        <v>15</v>
      </c>
      <c r="M6" s="1171" t="s">
        <v>15</v>
      </c>
      <c r="N6" s="1171" t="s">
        <v>15</v>
      </c>
      <c r="O6" s="1171" t="s">
        <v>15</v>
      </c>
      <c r="P6" s="1171" t="s">
        <v>15</v>
      </c>
      <c r="Q6" s="1171" t="s">
        <v>15</v>
      </c>
      <c r="R6" s="1171" t="s">
        <v>16</v>
      </c>
      <c r="S6" s="1171" t="s">
        <v>16</v>
      </c>
      <c r="U6" s="391"/>
      <c r="V6" s="257"/>
      <c r="W6" s="1594" t="s">
        <v>854</v>
      </c>
      <c r="X6" s="1595" t="s">
        <v>1724</v>
      </c>
      <c r="Y6" s="1594"/>
      <c r="Z6" s="1595" t="s">
        <v>15</v>
      </c>
      <c r="AA6" s="1595" t="s">
        <v>134</v>
      </c>
      <c r="AB6" s="1594" t="s">
        <v>854</v>
      </c>
      <c r="AC6" s="1595" t="s">
        <v>1724</v>
      </c>
      <c r="AD6" s="1594"/>
      <c r="AE6" s="1595" t="s">
        <v>15</v>
      </c>
      <c r="AF6" s="1595" t="s">
        <v>134</v>
      </c>
      <c r="AG6" s="1594" t="s">
        <v>854</v>
      </c>
      <c r="AH6" s="1595" t="s">
        <v>1724</v>
      </c>
      <c r="AI6" s="1594"/>
      <c r="AJ6" s="1595" t="s">
        <v>15</v>
      </c>
      <c r="AK6" s="1595" t="s">
        <v>134</v>
      </c>
      <c r="AL6" s="1595" t="s">
        <v>5</v>
      </c>
      <c r="AM6" s="1595" t="s">
        <v>5</v>
      </c>
      <c r="AN6" s="1595" t="s">
        <v>5</v>
      </c>
      <c r="AO6" s="1595" t="s">
        <v>134</v>
      </c>
      <c r="AQ6" s="1594"/>
      <c r="AR6" s="1594"/>
      <c r="AS6" s="1594"/>
    </row>
    <row r="7" spans="1:45">
      <c r="A7" s="656">
        <f>Eingabedaten!A9</f>
        <v>1.01</v>
      </c>
      <c r="B7" s="390" t="str">
        <f>Eingabedaten!C9</f>
        <v>Wohnen MFH</v>
      </c>
      <c r="C7" s="1090"/>
      <c r="D7" s="1172">
        <v>8760</v>
      </c>
      <c r="E7" s="1172">
        <v>8760</v>
      </c>
      <c r="F7" s="1172">
        <v>7540</v>
      </c>
      <c r="G7" s="1172">
        <v>3650</v>
      </c>
      <c r="H7" s="1172">
        <v>5110</v>
      </c>
      <c r="I7" s="1172">
        <v>6440</v>
      </c>
      <c r="J7" s="1172">
        <v>5750</v>
      </c>
      <c r="K7" s="1172">
        <v>2560</v>
      </c>
      <c r="L7" s="1172">
        <v>1100</v>
      </c>
      <c r="M7" s="1172">
        <v>0</v>
      </c>
      <c r="N7" s="1172">
        <v>370</v>
      </c>
      <c r="O7" s="1172">
        <v>1460</v>
      </c>
      <c r="P7" s="1172">
        <v>3290</v>
      </c>
      <c r="Q7" s="1172">
        <v>5100</v>
      </c>
      <c r="R7" s="1178">
        <f>F7/D7</f>
        <v>0.86073059360730597</v>
      </c>
      <c r="S7" s="1178">
        <f>J7/D7</f>
        <v>0.65639269406392697</v>
      </c>
      <c r="U7" s="656">
        <f>A7</f>
        <v>1.01</v>
      </c>
      <c r="V7" s="390" t="str">
        <f>B7</f>
        <v>Wohnen MFH</v>
      </c>
      <c r="W7" s="1596">
        <v>1</v>
      </c>
      <c r="X7" s="1596">
        <v>0.28000000000000003</v>
      </c>
      <c r="Y7" s="1595" t="s">
        <v>1521</v>
      </c>
      <c r="Z7" s="1594">
        <v>6130</v>
      </c>
      <c r="AA7" s="1597">
        <f>W7*X7*Z7/1000</f>
        <v>1.7164000000000001</v>
      </c>
      <c r="AB7" s="1596">
        <v>0.7142857142857143</v>
      </c>
      <c r="AC7" s="1596">
        <f>X7</f>
        <v>0.28000000000000003</v>
      </c>
      <c r="AD7" s="1594" t="str">
        <f>Eingabedaten!$CI9</f>
        <v>einstufig</v>
      </c>
      <c r="AE7" s="1594">
        <f>IF(AD7="einstufig",$E7,IF(AD7="zweistufig",$I7,$Q7))</f>
        <v>8760</v>
      </c>
      <c r="AF7" s="1597">
        <f>AB7*AC7*AE7/1000</f>
        <v>1.752</v>
      </c>
      <c r="AG7" s="1596">
        <f>'Resultate Standard'!AD6</f>
        <v>0.82857142857142863</v>
      </c>
      <c r="AH7" s="1596">
        <f t="shared" ref="AH7:AH51" si="0">X7</f>
        <v>0.28000000000000003</v>
      </c>
      <c r="AI7" s="1594" t="str">
        <f>Eingabedaten!$CI9</f>
        <v>einstufig</v>
      </c>
      <c r="AJ7" s="1594">
        <f>IF(AI7="einstufig",$E7,IF(AI7="zweistufig",$I7,$Q7))</f>
        <v>8760</v>
      </c>
      <c r="AK7" s="1597">
        <f>AG7*AH7*AJ7/1000</f>
        <v>2.0323200000000003</v>
      </c>
      <c r="AL7" s="1650">
        <f>Z7/AE7%</f>
        <v>69.977168949771695</v>
      </c>
      <c r="AM7" s="1598">
        <f>AA7/AF7%</f>
        <v>97.968036529680376</v>
      </c>
      <c r="AN7" s="1598">
        <f>AA7/AK7%</f>
        <v>84.455203904896862</v>
      </c>
      <c r="AO7" s="1602">
        <f>(AK7-AA7)*0.8</f>
        <v>0.25273600000000018</v>
      </c>
      <c r="AQ7" s="1650">
        <v>6130</v>
      </c>
      <c r="AR7" s="1596">
        <f t="shared" ref="AR7:AR41" si="1">IF(Y7="einstufig",AQ7/Z7,IF(Y7="zweistufig",AQ7/Z7*0.7,AQ7/Z7*0.55))</f>
        <v>1</v>
      </c>
      <c r="AS7" s="1596">
        <f>IF(AI7="einstufig",AQ7/D7,IF(AI7="zweistufig",AQ7/F7,AQ7/J7))</f>
        <v>0.69977168949771684</v>
      </c>
    </row>
    <row r="8" spans="1:45">
      <c r="A8" s="656">
        <f>Eingabedaten!A10</f>
        <v>1.02</v>
      </c>
      <c r="B8" s="390" t="str">
        <f>Eingabedaten!C10</f>
        <v>Wohnen EFH</v>
      </c>
      <c r="C8" s="1090"/>
      <c r="D8" s="1172">
        <v>8760</v>
      </c>
      <c r="E8" s="1172">
        <v>8760</v>
      </c>
      <c r="F8" s="1172">
        <v>7540</v>
      </c>
      <c r="G8" s="1172">
        <v>3650</v>
      </c>
      <c r="H8" s="1172">
        <v>5110</v>
      </c>
      <c r="I8" s="1172">
        <v>6440</v>
      </c>
      <c r="J8" s="1172">
        <v>5750</v>
      </c>
      <c r="K8" s="1172">
        <v>2560</v>
      </c>
      <c r="L8" s="1172">
        <v>1100</v>
      </c>
      <c r="M8" s="1172">
        <v>0</v>
      </c>
      <c r="N8" s="1172">
        <v>370</v>
      </c>
      <c r="O8" s="1172">
        <v>1460</v>
      </c>
      <c r="P8" s="1172">
        <v>3290</v>
      </c>
      <c r="Q8" s="1172">
        <v>5100</v>
      </c>
      <c r="R8" s="1178">
        <f t="shared" ref="R8:R51" si="2">F8/D8</f>
        <v>0.86073059360730597</v>
      </c>
      <c r="S8" s="1178">
        <f t="shared" ref="S8:S51" si="3">J8/D8</f>
        <v>0.65639269406392697</v>
      </c>
      <c r="U8" s="656">
        <f t="shared" ref="U8:U51" si="4">A8</f>
        <v>1.02</v>
      </c>
      <c r="V8" s="390" t="str">
        <f t="shared" ref="V8:V51" si="5">B8</f>
        <v>Wohnen EFH</v>
      </c>
      <c r="W8" s="1596">
        <v>0.6</v>
      </c>
      <c r="X8" s="1596">
        <v>0.28000000000000003</v>
      </c>
      <c r="Y8" s="1595" t="s">
        <v>1521</v>
      </c>
      <c r="Z8" s="1594">
        <v>6130</v>
      </c>
      <c r="AA8" s="1597">
        <f t="shared" ref="AA8:AA51" si="6">W8*X8*Z8/1000</f>
        <v>1.0298400000000001</v>
      </c>
      <c r="AB8" s="1596">
        <v>0.50000000000000011</v>
      </c>
      <c r="AC8" s="1596">
        <f t="shared" ref="AC8:AC51" si="7">X8</f>
        <v>0.28000000000000003</v>
      </c>
      <c r="AD8" s="1594" t="str">
        <f>Eingabedaten!$CI10</f>
        <v>einstufig</v>
      </c>
      <c r="AE8" s="1594">
        <f t="shared" ref="AE8:AE51" si="8">IF(AD8="einstufig",$E8,IF(AD8="zweistufig",$I8,$Q8))</f>
        <v>8760</v>
      </c>
      <c r="AF8" s="1597">
        <f t="shared" ref="AF8:AF51" si="9">AB8*AC8*AE8/1000</f>
        <v>1.2264000000000004</v>
      </c>
      <c r="AG8" s="1596">
        <f>'Resultate Standard'!AD7</f>
        <v>0.57999999999999996</v>
      </c>
      <c r="AH8" s="1596">
        <f t="shared" si="0"/>
        <v>0.28000000000000003</v>
      </c>
      <c r="AI8" s="1594" t="str">
        <f>Eingabedaten!$CI10</f>
        <v>einstufig</v>
      </c>
      <c r="AJ8" s="1594">
        <f t="shared" ref="AJ8:AJ51" si="10">IF(AI8="einstufig",$E8,IF(AI8="zweistufig",$I8,$Q8))</f>
        <v>8760</v>
      </c>
      <c r="AK8" s="1597">
        <f t="shared" ref="AK8:AK51" si="11">AG8*AH8*AJ8/1000</f>
        <v>1.4226240000000003</v>
      </c>
      <c r="AL8" s="1650">
        <f t="shared" ref="AL8:AL41" si="12">Z8/AE8%</f>
        <v>69.977168949771695</v>
      </c>
      <c r="AM8" s="1598">
        <f t="shared" ref="AM8:AM41" si="13">AA8/AF8%</f>
        <v>83.972602739726</v>
      </c>
      <c r="AN8" s="1598">
        <f t="shared" ref="AN8:AN41" si="14">AA8/AK8%</f>
        <v>72.39017477562588</v>
      </c>
      <c r="AO8" s="1602">
        <f t="shared" ref="AO8:AO51" si="15">(AK8-AA8)*0.8</f>
        <v>0.31422720000000021</v>
      </c>
      <c r="AQ8" s="1650">
        <v>6130</v>
      </c>
      <c r="AR8" s="1596">
        <f t="shared" si="1"/>
        <v>1</v>
      </c>
      <c r="AS8" s="1596">
        <f t="shared" ref="AS8:AS51" si="16">IF(AI8="einstufig",AQ8/D8,IF(AI8="zweistufig",AQ8/F8,AQ8/J8))</f>
        <v>0.69977168949771684</v>
      </c>
    </row>
    <row r="9" spans="1:45">
      <c r="A9" s="1299">
        <f>Eingabedaten!A11</f>
        <v>2.0099999999999998</v>
      </c>
      <c r="B9" s="384" t="str">
        <f>Eingabedaten!C11</f>
        <v xml:space="preserve">Hotelzimmer </v>
      </c>
      <c r="C9" s="765"/>
      <c r="D9" s="1173">
        <v>7300</v>
      </c>
      <c r="E9" s="1173">
        <v>7300</v>
      </c>
      <c r="F9" s="1173">
        <v>6330</v>
      </c>
      <c r="G9" s="1173">
        <v>2920</v>
      </c>
      <c r="H9" s="1173">
        <v>4380</v>
      </c>
      <c r="I9" s="1173">
        <v>5440</v>
      </c>
      <c r="J9" s="1173">
        <v>4850</v>
      </c>
      <c r="K9" s="1173">
        <v>2190</v>
      </c>
      <c r="L9" s="1173">
        <v>730</v>
      </c>
      <c r="M9" s="1173">
        <v>0</v>
      </c>
      <c r="N9" s="1173">
        <v>370</v>
      </c>
      <c r="O9" s="1173">
        <v>1100</v>
      </c>
      <c r="P9" s="1173">
        <v>2920</v>
      </c>
      <c r="Q9" s="1173">
        <v>4330</v>
      </c>
      <c r="R9" s="1179">
        <f t="shared" si="2"/>
        <v>0.86712328767123292</v>
      </c>
      <c r="S9" s="1179">
        <f t="shared" si="3"/>
        <v>0.66438356164383561</v>
      </c>
      <c r="U9" s="1299">
        <f t="shared" si="4"/>
        <v>2.0099999999999998</v>
      </c>
      <c r="V9" s="384" t="str">
        <f t="shared" si="5"/>
        <v xml:space="preserve">Hotelzimmer </v>
      </c>
      <c r="W9" s="1596">
        <v>2.4</v>
      </c>
      <c r="X9" s="1596">
        <v>0.55000000000000004</v>
      </c>
      <c r="Y9" s="1595" t="s">
        <v>1521</v>
      </c>
      <c r="Z9" s="1594">
        <v>4600</v>
      </c>
      <c r="AA9" s="1597">
        <f t="shared" si="6"/>
        <v>6.0720000000000001</v>
      </c>
      <c r="AB9" s="1596">
        <v>1.666666666666667</v>
      </c>
      <c r="AC9" s="1596">
        <f t="shared" si="7"/>
        <v>0.55000000000000004</v>
      </c>
      <c r="AD9" s="1594" t="str">
        <f>Eingabedaten!$CI11</f>
        <v>einstufig</v>
      </c>
      <c r="AE9" s="1594">
        <f t="shared" si="8"/>
        <v>7300</v>
      </c>
      <c r="AF9" s="1597">
        <f t="shared" si="9"/>
        <v>6.6916666666666682</v>
      </c>
      <c r="AG9" s="1596">
        <f>'Resultate Standard'!AD8</f>
        <v>1.9333333333333333</v>
      </c>
      <c r="AH9" s="1596">
        <f t="shared" si="0"/>
        <v>0.55000000000000004</v>
      </c>
      <c r="AI9" s="1594" t="str">
        <f>Eingabedaten!$CI11</f>
        <v>einstufig</v>
      </c>
      <c r="AJ9" s="1594">
        <f t="shared" si="10"/>
        <v>7300</v>
      </c>
      <c r="AK9" s="1597">
        <f t="shared" si="11"/>
        <v>7.7623333333333342</v>
      </c>
      <c r="AL9" s="1650">
        <f t="shared" si="12"/>
        <v>63.013698630136986</v>
      </c>
      <c r="AM9" s="1598">
        <f t="shared" si="13"/>
        <v>90.739726027397239</v>
      </c>
      <c r="AN9" s="1598">
        <f t="shared" si="14"/>
        <v>78.223901747756258</v>
      </c>
      <c r="AO9" s="1602">
        <f t="shared" si="15"/>
        <v>1.3522666666666674</v>
      </c>
      <c r="AQ9" s="1650">
        <v>4600</v>
      </c>
      <c r="AR9" s="1596">
        <f t="shared" si="1"/>
        <v>1</v>
      </c>
      <c r="AS9" s="1596">
        <f t="shared" si="16"/>
        <v>0.63013698630136983</v>
      </c>
    </row>
    <row r="10" spans="1:45">
      <c r="A10" s="1300">
        <f>Eingabedaten!A12</f>
        <v>2.02</v>
      </c>
      <c r="B10" s="385" t="str">
        <f>Eingabedaten!C12</f>
        <v>Empfang, Lobby</v>
      </c>
      <c r="C10" s="385"/>
      <c r="D10" s="1174">
        <v>8760</v>
      </c>
      <c r="E10" s="1174">
        <v>8760</v>
      </c>
      <c r="F10" s="1174">
        <v>6450</v>
      </c>
      <c r="G10" s="1174">
        <v>6940</v>
      </c>
      <c r="H10" s="1174">
        <v>1830</v>
      </c>
      <c r="I10" s="1174">
        <v>4340</v>
      </c>
      <c r="J10" s="1174">
        <v>4650</v>
      </c>
      <c r="K10" s="1174">
        <v>2560</v>
      </c>
      <c r="L10" s="1174">
        <v>0</v>
      </c>
      <c r="M10" s="1174">
        <v>4380</v>
      </c>
      <c r="N10" s="1174">
        <v>0</v>
      </c>
      <c r="O10" s="1174">
        <v>0</v>
      </c>
      <c r="P10" s="1174">
        <v>1830</v>
      </c>
      <c r="Q10" s="1174">
        <v>3690</v>
      </c>
      <c r="R10" s="1180">
        <f t="shared" si="2"/>
        <v>0.73630136986301364</v>
      </c>
      <c r="S10" s="1180">
        <f t="shared" si="3"/>
        <v>0.53082191780821919</v>
      </c>
      <c r="U10" s="1300">
        <f t="shared" si="4"/>
        <v>2.02</v>
      </c>
      <c r="V10" s="385" t="str">
        <f t="shared" si="5"/>
        <v>Empfang, Lobby</v>
      </c>
      <c r="W10" s="1596">
        <v>7.2</v>
      </c>
      <c r="X10" s="1596">
        <v>0.55000000000000004</v>
      </c>
      <c r="Y10" s="1595" t="s">
        <v>1522</v>
      </c>
      <c r="Z10" s="1594">
        <v>2810</v>
      </c>
      <c r="AA10" s="1597">
        <f t="shared" si="6"/>
        <v>11.127600000000001</v>
      </c>
      <c r="AB10" s="1596">
        <v>5.0000000000000009</v>
      </c>
      <c r="AC10" s="1596">
        <f t="shared" si="7"/>
        <v>0.55000000000000004</v>
      </c>
      <c r="AD10" s="1594" t="str">
        <f>Eingabedaten!$CI12</f>
        <v>zweistufig</v>
      </c>
      <c r="AE10" s="1594">
        <f t="shared" si="8"/>
        <v>4340</v>
      </c>
      <c r="AF10" s="1597">
        <f t="shared" si="9"/>
        <v>11.935000000000004</v>
      </c>
      <c r="AG10" s="1596">
        <f>'Resultate Standard'!AD9</f>
        <v>5.8</v>
      </c>
      <c r="AH10" s="1596">
        <f t="shared" si="0"/>
        <v>0.55000000000000004</v>
      </c>
      <c r="AI10" s="1594" t="str">
        <f>Eingabedaten!$CI12</f>
        <v>zweistufig</v>
      </c>
      <c r="AJ10" s="1594">
        <f t="shared" si="10"/>
        <v>4340</v>
      </c>
      <c r="AK10" s="1597">
        <f t="shared" si="11"/>
        <v>13.8446</v>
      </c>
      <c r="AL10" s="1650">
        <f t="shared" si="12"/>
        <v>64.746543778801851</v>
      </c>
      <c r="AM10" s="1598">
        <f t="shared" si="13"/>
        <v>93.235023041474633</v>
      </c>
      <c r="AN10" s="1598">
        <f t="shared" si="14"/>
        <v>80.375019863340242</v>
      </c>
      <c r="AO10" s="1602">
        <f t="shared" si="15"/>
        <v>2.1735999999999991</v>
      </c>
      <c r="AQ10" s="1650">
        <v>4014.2857142857147</v>
      </c>
      <c r="AR10" s="1596">
        <f t="shared" si="1"/>
        <v>1</v>
      </c>
      <c r="AS10" s="1596">
        <f t="shared" si="16"/>
        <v>0.62236987818383172</v>
      </c>
    </row>
    <row r="11" spans="1:45">
      <c r="A11" s="1299">
        <f>Eingabedaten!A13</f>
        <v>3.01</v>
      </c>
      <c r="B11" s="384" t="str">
        <f>Eingabedaten!C13</f>
        <v>Einzel-, Gruppenbüro</v>
      </c>
      <c r="C11" s="765"/>
      <c r="D11" s="1173">
        <v>3900</v>
      </c>
      <c r="E11" s="1173">
        <v>3900</v>
      </c>
      <c r="F11" s="1173">
        <v>3290</v>
      </c>
      <c r="G11" s="1173">
        <v>1820</v>
      </c>
      <c r="H11" s="1173">
        <v>2080</v>
      </c>
      <c r="I11" s="1173">
        <v>2740</v>
      </c>
      <c r="J11" s="1173">
        <v>2160</v>
      </c>
      <c r="K11" s="1173">
        <v>1560</v>
      </c>
      <c r="L11" s="1173">
        <v>260</v>
      </c>
      <c r="M11" s="1173">
        <v>0</v>
      </c>
      <c r="N11" s="1173">
        <v>780</v>
      </c>
      <c r="O11" s="1173">
        <v>520</v>
      </c>
      <c r="P11" s="1173">
        <v>780</v>
      </c>
      <c r="Q11" s="1173">
        <v>1780</v>
      </c>
      <c r="R11" s="1179">
        <f t="shared" si="2"/>
        <v>0.84358974358974359</v>
      </c>
      <c r="S11" s="1179">
        <f t="shared" si="3"/>
        <v>0.55384615384615388</v>
      </c>
      <c r="U11" s="1299">
        <f t="shared" si="4"/>
        <v>3.01</v>
      </c>
      <c r="V11" s="384" t="str">
        <f t="shared" si="5"/>
        <v>Einzel-, Gruppenbüro</v>
      </c>
      <c r="W11" s="1596">
        <v>2.5714285714285716</v>
      </c>
      <c r="X11" s="1596">
        <v>0.55000000000000004</v>
      </c>
      <c r="Y11" s="1595" t="s">
        <v>1521</v>
      </c>
      <c r="Z11" s="1594">
        <v>2700</v>
      </c>
      <c r="AA11" s="1597">
        <f t="shared" si="6"/>
        <v>3.8185714285714294</v>
      </c>
      <c r="AB11" s="1596">
        <v>1.785714285714286</v>
      </c>
      <c r="AC11" s="1596">
        <f t="shared" si="7"/>
        <v>0.55000000000000004</v>
      </c>
      <c r="AD11" s="1594" t="str">
        <f>Eingabedaten!$CI13</f>
        <v>einstufig</v>
      </c>
      <c r="AE11" s="1594">
        <f t="shared" si="8"/>
        <v>3900</v>
      </c>
      <c r="AF11" s="1597">
        <f t="shared" si="9"/>
        <v>3.8303571428571441</v>
      </c>
      <c r="AG11" s="1596">
        <f>'Resultate Standard'!AD10</f>
        <v>2.0714285714285716</v>
      </c>
      <c r="AH11" s="1596">
        <f t="shared" si="0"/>
        <v>0.55000000000000004</v>
      </c>
      <c r="AI11" s="1594" t="str">
        <f>Eingabedaten!$CI13</f>
        <v>einstufig</v>
      </c>
      <c r="AJ11" s="1594">
        <f t="shared" si="10"/>
        <v>3900</v>
      </c>
      <c r="AK11" s="1597">
        <f t="shared" si="11"/>
        <v>4.4432142857142862</v>
      </c>
      <c r="AL11" s="1650">
        <f t="shared" si="12"/>
        <v>69.230769230769226</v>
      </c>
      <c r="AM11" s="1598">
        <f t="shared" si="13"/>
        <v>99.692307692307679</v>
      </c>
      <c r="AN11" s="1598">
        <f t="shared" si="14"/>
        <v>85.941644562334218</v>
      </c>
      <c r="AO11" s="1602">
        <f t="shared" si="15"/>
        <v>0.4997142857142855</v>
      </c>
      <c r="AQ11" s="1650">
        <v>2700</v>
      </c>
      <c r="AR11" s="1596">
        <f t="shared" si="1"/>
        <v>1</v>
      </c>
      <c r="AS11" s="1596">
        <f t="shared" si="16"/>
        <v>0.69230769230769229</v>
      </c>
    </row>
    <row r="12" spans="1:45">
      <c r="A12" s="633">
        <f>Eingabedaten!A14</f>
        <v>3.02</v>
      </c>
      <c r="B12" s="379" t="str">
        <f>Eingabedaten!C14</f>
        <v>Grossraumbüro</v>
      </c>
      <c r="C12" s="379"/>
      <c r="D12" s="1175">
        <v>3900</v>
      </c>
      <c r="E12" s="1175">
        <v>3900</v>
      </c>
      <c r="F12" s="1175">
        <v>3290</v>
      </c>
      <c r="G12" s="1175">
        <v>1820</v>
      </c>
      <c r="H12" s="1175">
        <v>2080</v>
      </c>
      <c r="I12" s="1175">
        <v>2740</v>
      </c>
      <c r="J12" s="1175">
        <v>2160</v>
      </c>
      <c r="K12" s="1175">
        <v>1560</v>
      </c>
      <c r="L12" s="1175">
        <v>260</v>
      </c>
      <c r="M12" s="1175">
        <v>0</v>
      </c>
      <c r="N12" s="1175">
        <v>780</v>
      </c>
      <c r="O12" s="1175">
        <v>520</v>
      </c>
      <c r="P12" s="1175">
        <v>780</v>
      </c>
      <c r="Q12" s="1175">
        <v>1780</v>
      </c>
      <c r="R12" s="1181">
        <f t="shared" si="2"/>
        <v>0.84358974358974359</v>
      </c>
      <c r="S12" s="1181">
        <f t="shared" si="3"/>
        <v>0.55384615384615388</v>
      </c>
      <c r="U12" s="633">
        <f t="shared" si="4"/>
        <v>3.02</v>
      </c>
      <c r="V12" s="379" t="str">
        <f t="shared" si="5"/>
        <v>Grossraumbüro</v>
      </c>
      <c r="W12" s="1596">
        <v>3.6</v>
      </c>
      <c r="X12" s="1596">
        <v>0.55000000000000004</v>
      </c>
      <c r="Y12" s="1595" t="s">
        <v>1521</v>
      </c>
      <c r="Z12" s="1594">
        <v>2700</v>
      </c>
      <c r="AA12" s="1597">
        <f t="shared" si="6"/>
        <v>5.346000000000001</v>
      </c>
      <c r="AB12" s="1596">
        <v>2.5000000000000004</v>
      </c>
      <c r="AC12" s="1596">
        <f t="shared" si="7"/>
        <v>0.55000000000000004</v>
      </c>
      <c r="AD12" s="1594" t="str">
        <f>Eingabedaten!$CI14</f>
        <v>einstufig</v>
      </c>
      <c r="AE12" s="1594">
        <f t="shared" si="8"/>
        <v>3900</v>
      </c>
      <c r="AF12" s="1597">
        <f t="shared" si="9"/>
        <v>5.3625000000000016</v>
      </c>
      <c r="AG12" s="1596">
        <f>'Resultate Standard'!AD11</f>
        <v>2.9</v>
      </c>
      <c r="AH12" s="1596">
        <f t="shared" si="0"/>
        <v>0.55000000000000004</v>
      </c>
      <c r="AI12" s="1594" t="str">
        <f>Eingabedaten!$CI14</f>
        <v>einstufig</v>
      </c>
      <c r="AJ12" s="1594">
        <f t="shared" si="10"/>
        <v>3900</v>
      </c>
      <c r="AK12" s="1597">
        <f t="shared" si="11"/>
        <v>6.2205000000000004</v>
      </c>
      <c r="AL12" s="1650">
        <f t="shared" si="12"/>
        <v>69.230769230769226</v>
      </c>
      <c r="AM12" s="1598">
        <f t="shared" si="13"/>
        <v>99.692307692307693</v>
      </c>
      <c r="AN12" s="1598">
        <f t="shared" si="14"/>
        <v>85.941644562334233</v>
      </c>
      <c r="AO12" s="1602">
        <f t="shared" si="15"/>
        <v>0.69959999999999956</v>
      </c>
      <c r="AQ12" s="1650">
        <v>2700</v>
      </c>
      <c r="AR12" s="1596">
        <f t="shared" si="1"/>
        <v>1</v>
      </c>
      <c r="AS12" s="1596">
        <f t="shared" si="16"/>
        <v>0.69230769230769229</v>
      </c>
    </row>
    <row r="13" spans="1:45">
      <c r="A13" s="633">
        <f>Eingabedaten!A15</f>
        <v>3.03</v>
      </c>
      <c r="B13" s="379" t="str">
        <f>Eingabedaten!C15</f>
        <v>Sitzungszimmer</v>
      </c>
      <c r="C13" s="379"/>
      <c r="D13" s="1175">
        <v>3120</v>
      </c>
      <c r="E13" s="1175">
        <v>3120</v>
      </c>
      <c r="F13" s="1175">
        <v>2430</v>
      </c>
      <c r="G13" s="1175">
        <v>2080</v>
      </c>
      <c r="H13" s="1175">
        <v>1040</v>
      </c>
      <c r="I13" s="1175">
        <v>1800</v>
      </c>
      <c r="J13" s="1175">
        <v>1430</v>
      </c>
      <c r="K13" s="1175">
        <v>1560</v>
      </c>
      <c r="L13" s="1175">
        <v>520</v>
      </c>
      <c r="M13" s="1175">
        <v>0</v>
      </c>
      <c r="N13" s="1175">
        <v>520</v>
      </c>
      <c r="O13" s="1175">
        <v>0</v>
      </c>
      <c r="P13" s="1175">
        <v>520</v>
      </c>
      <c r="Q13" s="1175">
        <v>1090</v>
      </c>
      <c r="R13" s="1181">
        <f t="shared" si="2"/>
        <v>0.77884615384615385</v>
      </c>
      <c r="S13" s="1181">
        <f t="shared" si="3"/>
        <v>0.45833333333333331</v>
      </c>
      <c r="U13" s="633">
        <f t="shared" si="4"/>
        <v>3.03</v>
      </c>
      <c r="V13" s="379" t="str">
        <f t="shared" si="5"/>
        <v>Sitzungszimmer</v>
      </c>
      <c r="W13" s="1596">
        <v>12</v>
      </c>
      <c r="X13" s="1596">
        <v>0.55000000000000004</v>
      </c>
      <c r="Y13" s="1594" t="s">
        <v>191</v>
      </c>
      <c r="Z13" s="1594">
        <v>930</v>
      </c>
      <c r="AA13" s="1597">
        <f t="shared" si="6"/>
        <v>6.1380000000000008</v>
      </c>
      <c r="AB13" s="1596">
        <v>8.3333333333333339</v>
      </c>
      <c r="AC13" s="1596">
        <f t="shared" si="7"/>
        <v>0.55000000000000004</v>
      </c>
      <c r="AD13" s="1594" t="str">
        <f>Eingabedaten!$CI15</f>
        <v>stufenlos</v>
      </c>
      <c r="AE13" s="1594">
        <f t="shared" si="8"/>
        <v>1090</v>
      </c>
      <c r="AF13" s="1597">
        <f t="shared" si="9"/>
        <v>4.9958333333333336</v>
      </c>
      <c r="AG13" s="1596">
        <f>'Resultate Standard'!AD12</f>
        <v>9.6666666666666661</v>
      </c>
      <c r="AH13" s="1596">
        <f t="shared" si="0"/>
        <v>0.55000000000000004</v>
      </c>
      <c r="AI13" s="1594" t="str">
        <f>Eingabedaten!$CI15</f>
        <v>stufenlos</v>
      </c>
      <c r="AJ13" s="1594">
        <f t="shared" si="10"/>
        <v>1090</v>
      </c>
      <c r="AK13" s="1597">
        <f t="shared" si="11"/>
        <v>5.7951666666666659</v>
      </c>
      <c r="AL13" s="1650">
        <f t="shared" si="12"/>
        <v>85.321100917431195</v>
      </c>
      <c r="AM13" s="1598">
        <f t="shared" si="13"/>
        <v>122.86238532110093</v>
      </c>
      <c r="AN13" s="1598">
        <f t="shared" si="14"/>
        <v>105.9158494147422</v>
      </c>
      <c r="AO13" s="1602">
        <f t="shared" si="15"/>
        <v>-0.27426666666666794</v>
      </c>
      <c r="AQ13" s="1650">
        <v>1690.9090909090908</v>
      </c>
      <c r="AR13" s="1596">
        <f t="shared" si="1"/>
        <v>1</v>
      </c>
      <c r="AS13" s="1596">
        <f t="shared" si="16"/>
        <v>1.1824539097266369</v>
      </c>
    </row>
    <row r="14" spans="1:45">
      <c r="A14" s="633">
        <f>Eingabedaten!A16</f>
        <v>3.04</v>
      </c>
      <c r="B14" s="379" t="str">
        <f>Eingabedaten!C16</f>
        <v>Schalterhalle, Empfang</v>
      </c>
      <c r="C14" s="379"/>
      <c r="D14" s="1175">
        <v>3900</v>
      </c>
      <c r="E14" s="1175">
        <v>3900</v>
      </c>
      <c r="F14" s="1175">
        <v>3290</v>
      </c>
      <c r="G14" s="1175">
        <v>1820</v>
      </c>
      <c r="H14" s="1175">
        <v>2080</v>
      </c>
      <c r="I14" s="1175">
        <v>2740</v>
      </c>
      <c r="J14" s="1175">
        <v>2160</v>
      </c>
      <c r="K14" s="1175">
        <v>1560</v>
      </c>
      <c r="L14" s="1175">
        <v>260</v>
      </c>
      <c r="M14" s="1175">
        <v>0</v>
      </c>
      <c r="N14" s="1175">
        <v>780</v>
      </c>
      <c r="O14" s="1175">
        <v>520</v>
      </c>
      <c r="P14" s="1175">
        <v>780</v>
      </c>
      <c r="Q14" s="1175">
        <v>1780</v>
      </c>
      <c r="R14" s="1181">
        <f t="shared" si="2"/>
        <v>0.84358974358974359</v>
      </c>
      <c r="S14" s="1181">
        <f t="shared" si="3"/>
        <v>0.55384615384615388</v>
      </c>
      <c r="U14" s="633">
        <f t="shared" si="4"/>
        <v>3.04</v>
      </c>
      <c r="V14" s="379" t="str">
        <f t="shared" si="5"/>
        <v>Schalterhalle, Empfang</v>
      </c>
      <c r="W14" s="1596">
        <v>2.5</v>
      </c>
      <c r="X14" s="1596">
        <v>0.55000000000000004</v>
      </c>
      <c r="Y14" s="1595" t="s">
        <v>1521</v>
      </c>
      <c r="Z14" s="1594">
        <v>2700</v>
      </c>
      <c r="AA14" s="1597">
        <f t="shared" si="6"/>
        <v>3.7124999999999999</v>
      </c>
      <c r="AB14" s="1596">
        <v>2.0833333333333335</v>
      </c>
      <c r="AC14" s="1596">
        <f t="shared" si="7"/>
        <v>0.55000000000000004</v>
      </c>
      <c r="AD14" s="1594" t="str">
        <f>Eingabedaten!$CI16</f>
        <v>einstufig</v>
      </c>
      <c r="AE14" s="1594">
        <f t="shared" si="8"/>
        <v>3900</v>
      </c>
      <c r="AF14" s="1597">
        <f t="shared" si="9"/>
        <v>4.4687500000000009</v>
      </c>
      <c r="AG14" s="1596">
        <f>'Resultate Standard'!AD13</f>
        <v>2.4166666666666665</v>
      </c>
      <c r="AH14" s="1596">
        <f t="shared" si="0"/>
        <v>0.55000000000000004</v>
      </c>
      <c r="AI14" s="1594" t="str">
        <f>Eingabedaten!$CI16</f>
        <v>einstufig</v>
      </c>
      <c r="AJ14" s="1594">
        <f t="shared" si="10"/>
        <v>3900</v>
      </c>
      <c r="AK14" s="1597">
        <f t="shared" si="11"/>
        <v>5.1837499999999999</v>
      </c>
      <c r="AL14" s="1650">
        <f t="shared" si="12"/>
        <v>69.230769230769226</v>
      </c>
      <c r="AM14" s="1598">
        <f t="shared" si="13"/>
        <v>83.076923076923052</v>
      </c>
      <c r="AN14" s="1598">
        <f t="shared" si="14"/>
        <v>71.618037135278513</v>
      </c>
      <c r="AO14" s="1602">
        <f t="shared" si="15"/>
        <v>1.177</v>
      </c>
      <c r="AQ14" s="1650">
        <v>2700</v>
      </c>
      <c r="AR14" s="1596">
        <f t="shared" si="1"/>
        <v>1</v>
      </c>
      <c r="AS14" s="1596">
        <f t="shared" si="16"/>
        <v>0.69230769230769229</v>
      </c>
    </row>
    <row r="15" spans="1:45">
      <c r="A15" s="1301">
        <f>Eingabedaten!A17</f>
        <v>4.01</v>
      </c>
      <c r="B15" s="386" t="str">
        <f>Eingabedaten!C17</f>
        <v>Schulzimmer</v>
      </c>
      <c r="C15" s="1121"/>
      <c r="D15" s="1176">
        <v>3585</v>
      </c>
      <c r="E15" s="1176">
        <v>3585</v>
      </c>
      <c r="F15" s="1176">
        <v>3030</v>
      </c>
      <c r="G15" s="1176">
        <v>1670</v>
      </c>
      <c r="H15" s="1176">
        <v>1910</v>
      </c>
      <c r="I15" s="1176">
        <v>2520</v>
      </c>
      <c r="J15" s="1176">
        <v>2070</v>
      </c>
      <c r="K15" s="1176">
        <v>1200</v>
      </c>
      <c r="L15" s="1176">
        <v>480</v>
      </c>
      <c r="M15" s="1176">
        <v>0</v>
      </c>
      <c r="N15" s="1176">
        <v>480</v>
      </c>
      <c r="O15" s="1176">
        <v>720</v>
      </c>
      <c r="P15" s="1176">
        <v>720</v>
      </c>
      <c r="Q15" s="1176">
        <v>1720</v>
      </c>
      <c r="R15" s="1182">
        <f t="shared" si="2"/>
        <v>0.84518828451882844</v>
      </c>
      <c r="S15" s="1182">
        <f t="shared" si="3"/>
        <v>0.57740585774058573</v>
      </c>
      <c r="U15" s="1301">
        <f t="shared" si="4"/>
        <v>4.01</v>
      </c>
      <c r="V15" s="386" t="str">
        <f t="shared" si="5"/>
        <v>Schulzimmer</v>
      </c>
      <c r="W15" s="1596">
        <v>8.3333333333333339</v>
      </c>
      <c r="X15" s="1596">
        <v>0.34</v>
      </c>
      <c r="Y15" s="1595" t="s">
        <v>1522</v>
      </c>
      <c r="Z15" s="1594">
        <v>1550</v>
      </c>
      <c r="AA15" s="1597">
        <f t="shared" si="6"/>
        <v>4.3916666666666675</v>
      </c>
      <c r="AB15" s="1596">
        <v>6.2500000000000009</v>
      </c>
      <c r="AC15" s="1596">
        <f t="shared" si="7"/>
        <v>0.34</v>
      </c>
      <c r="AD15" s="1594" t="str">
        <f>Eingabedaten!$CI17</f>
        <v>stufenlos</v>
      </c>
      <c r="AE15" s="1594">
        <f t="shared" si="8"/>
        <v>1720</v>
      </c>
      <c r="AF15" s="1597">
        <f t="shared" si="9"/>
        <v>3.6550000000000007</v>
      </c>
      <c r="AG15" s="1596">
        <f>'Resultate Standard'!AD14</f>
        <v>7.25</v>
      </c>
      <c r="AH15" s="1596">
        <f t="shared" si="0"/>
        <v>0.34</v>
      </c>
      <c r="AI15" s="1594" t="str">
        <f>Eingabedaten!$CI17</f>
        <v>stufenlos</v>
      </c>
      <c r="AJ15" s="1594">
        <f t="shared" si="10"/>
        <v>1720</v>
      </c>
      <c r="AK15" s="1597">
        <f t="shared" si="11"/>
        <v>4.2397999999999998</v>
      </c>
      <c r="AL15" s="1650">
        <f t="shared" si="12"/>
        <v>90.116279069767444</v>
      </c>
      <c r="AM15" s="1598">
        <f t="shared" si="13"/>
        <v>120.15503875968993</v>
      </c>
      <c r="AN15" s="1598">
        <f t="shared" si="14"/>
        <v>103.58192996524996</v>
      </c>
      <c r="AO15" s="1602">
        <f t="shared" si="15"/>
        <v>-0.12149333333333417</v>
      </c>
      <c r="AQ15" s="1650">
        <v>2214.2857142857142</v>
      </c>
      <c r="AR15" s="1596">
        <f t="shared" si="1"/>
        <v>1</v>
      </c>
      <c r="AS15" s="1596">
        <f t="shared" si="16"/>
        <v>1.069703243616287</v>
      </c>
    </row>
    <row r="16" spans="1:45">
      <c r="A16" s="633">
        <f>Eingabedaten!A18</f>
        <v>4.0199999999999996</v>
      </c>
      <c r="B16" s="379" t="str">
        <f>Eingabedaten!C18</f>
        <v>Lehrerzimmer</v>
      </c>
      <c r="C16" s="379"/>
      <c r="D16" s="1175">
        <v>3585</v>
      </c>
      <c r="E16" s="1175">
        <v>3585</v>
      </c>
      <c r="F16" s="1175">
        <v>2470</v>
      </c>
      <c r="G16" s="1175">
        <v>3350</v>
      </c>
      <c r="H16" s="1175">
        <v>240</v>
      </c>
      <c r="I16" s="1175">
        <v>1450</v>
      </c>
      <c r="J16" s="1175">
        <v>1670</v>
      </c>
      <c r="K16" s="1175">
        <v>960</v>
      </c>
      <c r="L16" s="1175">
        <v>0</v>
      </c>
      <c r="M16" s="1175">
        <v>2390</v>
      </c>
      <c r="N16" s="1175">
        <v>0</v>
      </c>
      <c r="O16" s="1175">
        <v>0</v>
      </c>
      <c r="P16" s="1175">
        <v>240</v>
      </c>
      <c r="Q16" s="1175">
        <v>1200</v>
      </c>
      <c r="R16" s="1181">
        <f t="shared" si="2"/>
        <v>0.68898186889818691</v>
      </c>
      <c r="S16" s="1181">
        <f t="shared" si="3"/>
        <v>0.46582984658298465</v>
      </c>
      <c r="U16" s="633">
        <f t="shared" si="4"/>
        <v>4.0199999999999996</v>
      </c>
      <c r="V16" s="379" t="str">
        <f t="shared" si="5"/>
        <v>Lehrerzimmer</v>
      </c>
      <c r="W16" s="1596">
        <v>12</v>
      </c>
      <c r="X16" s="1596">
        <v>0.34</v>
      </c>
      <c r="Y16" s="1594" t="s">
        <v>191</v>
      </c>
      <c r="Z16" s="1594">
        <v>920</v>
      </c>
      <c r="AA16" s="1597">
        <f t="shared" si="6"/>
        <v>3.7536</v>
      </c>
      <c r="AB16" s="1596">
        <v>6.2500000000000009</v>
      </c>
      <c r="AC16" s="1596">
        <f t="shared" si="7"/>
        <v>0.34</v>
      </c>
      <c r="AD16" s="1594" t="str">
        <f>Eingabedaten!$CI18</f>
        <v>stufenlos</v>
      </c>
      <c r="AE16" s="1594">
        <f t="shared" si="8"/>
        <v>1200</v>
      </c>
      <c r="AF16" s="1597">
        <f t="shared" si="9"/>
        <v>2.5500000000000003</v>
      </c>
      <c r="AG16" s="1596">
        <f>'Resultate Standard'!AD15</f>
        <v>7.25</v>
      </c>
      <c r="AH16" s="1596">
        <f t="shared" si="0"/>
        <v>0.34</v>
      </c>
      <c r="AI16" s="1594" t="str">
        <f>Eingabedaten!$CI18</f>
        <v>stufenlos</v>
      </c>
      <c r="AJ16" s="1594">
        <f t="shared" si="10"/>
        <v>1200</v>
      </c>
      <c r="AK16" s="1597">
        <f t="shared" si="11"/>
        <v>2.9580000000000006</v>
      </c>
      <c r="AL16" s="1650">
        <f t="shared" si="12"/>
        <v>76.666666666666671</v>
      </c>
      <c r="AM16" s="1598">
        <f t="shared" si="13"/>
        <v>147.19999999999999</v>
      </c>
      <c r="AN16" s="1598">
        <f t="shared" si="14"/>
        <v>126.89655172413791</v>
      </c>
      <c r="AO16" s="1602">
        <f t="shared" si="15"/>
        <v>-0.6364799999999996</v>
      </c>
      <c r="AQ16" s="1650">
        <v>1672.7272727272725</v>
      </c>
      <c r="AR16" s="1596">
        <f t="shared" si="1"/>
        <v>0.99999999999999989</v>
      </c>
      <c r="AS16" s="1596">
        <f t="shared" si="16"/>
        <v>1.0016330974414807</v>
      </c>
    </row>
    <row r="17" spans="1:45">
      <c r="A17" s="633">
        <f>Eingabedaten!A19</f>
        <v>4.03</v>
      </c>
      <c r="B17" s="379" t="str">
        <f>Eingabedaten!C19</f>
        <v>Bibliothek</v>
      </c>
      <c r="C17" s="379"/>
      <c r="D17" s="1175">
        <v>3585</v>
      </c>
      <c r="E17" s="1175">
        <v>3585</v>
      </c>
      <c r="F17" s="1175">
        <v>2470</v>
      </c>
      <c r="G17" s="1175">
        <v>3350</v>
      </c>
      <c r="H17" s="1175">
        <v>240</v>
      </c>
      <c r="I17" s="1175">
        <v>1450</v>
      </c>
      <c r="J17" s="1175">
        <v>1670</v>
      </c>
      <c r="K17" s="1175">
        <v>960</v>
      </c>
      <c r="L17" s="1175">
        <v>0</v>
      </c>
      <c r="M17" s="1175">
        <v>2390</v>
      </c>
      <c r="N17" s="1175">
        <v>0</v>
      </c>
      <c r="O17" s="1175">
        <v>0</v>
      </c>
      <c r="P17" s="1175">
        <v>240</v>
      </c>
      <c r="Q17" s="1175">
        <v>1200</v>
      </c>
      <c r="R17" s="1181">
        <f t="shared" si="2"/>
        <v>0.68898186889818691</v>
      </c>
      <c r="S17" s="1181">
        <f t="shared" si="3"/>
        <v>0.46582984658298465</v>
      </c>
      <c r="U17" s="633">
        <f t="shared" si="4"/>
        <v>4.03</v>
      </c>
      <c r="V17" s="379" t="str">
        <f t="shared" si="5"/>
        <v>Bibliothek</v>
      </c>
      <c r="W17" s="1596">
        <v>7.2</v>
      </c>
      <c r="X17" s="1596">
        <v>0.34</v>
      </c>
      <c r="Y17" s="1595" t="s">
        <v>1522</v>
      </c>
      <c r="Z17" s="1594">
        <v>960</v>
      </c>
      <c r="AA17" s="1597">
        <f t="shared" si="6"/>
        <v>2.3500800000000002</v>
      </c>
      <c r="AB17" s="1596">
        <v>5.0000000000000009</v>
      </c>
      <c r="AC17" s="1596">
        <f t="shared" si="7"/>
        <v>0.34</v>
      </c>
      <c r="AD17" s="1594" t="str">
        <f>Eingabedaten!$CI19</f>
        <v>zweistufig</v>
      </c>
      <c r="AE17" s="1594">
        <f t="shared" si="8"/>
        <v>1450</v>
      </c>
      <c r="AF17" s="1597">
        <f t="shared" si="9"/>
        <v>2.4650000000000003</v>
      </c>
      <c r="AG17" s="1596">
        <f>'Resultate Standard'!AD16</f>
        <v>5.8</v>
      </c>
      <c r="AH17" s="1596">
        <f t="shared" si="0"/>
        <v>0.34</v>
      </c>
      <c r="AI17" s="1594" t="str">
        <f>Eingabedaten!$CI19</f>
        <v>zweistufig</v>
      </c>
      <c r="AJ17" s="1594">
        <f t="shared" si="10"/>
        <v>1450</v>
      </c>
      <c r="AK17" s="1597">
        <f t="shared" si="11"/>
        <v>2.8593999999999999</v>
      </c>
      <c r="AL17" s="1650">
        <f t="shared" si="12"/>
        <v>66.206896551724142</v>
      </c>
      <c r="AM17" s="1598">
        <f t="shared" si="13"/>
        <v>95.337931034482764</v>
      </c>
      <c r="AN17" s="1598">
        <f t="shared" si="14"/>
        <v>82.187871581450665</v>
      </c>
      <c r="AO17" s="1602">
        <f t="shared" si="15"/>
        <v>0.40745599999999982</v>
      </c>
      <c r="AQ17" s="1650">
        <v>1371.4285714285716</v>
      </c>
      <c r="AR17" s="1596">
        <f t="shared" si="1"/>
        <v>1</v>
      </c>
      <c r="AS17" s="1596">
        <f t="shared" si="16"/>
        <v>0.5552342394447658</v>
      </c>
    </row>
    <row r="18" spans="1:45">
      <c r="A18" s="633">
        <f>Eingabedaten!A20</f>
        <v>4.04</v>
      </c>
      <c r="B18" s="379" t="str">
        <f>Eingabedaten!C20</f>
        <v>Hörsaal</v>
      </c>
      <c r="C18" s="379"/>
      <c r="D18" s="1175">
        <v>3585</v>
      </c>
      <c r="E18" s="1175">
        <v>3585</v>
      </c>
      <c r="F18" s="1175">
        <v>3030</v>
      </c>
      <c r="G18" s="1175">
        <v>1670</v>
      </c>
      <c r="H18" s="1175">
        <v>1910</v>
      </c>
      <c r="I18" s="1175">
        <v>2520</v>
      </c>
      <c r="J18" s="1175">
        <v>2070</v>
      </c>
      <c r="K18" s="1175">
        <v>1200</v>
      </c>
      <c r="L18" s="1175">
        <v>480</v>
      </c>
      <c r="M18" s="1175">
        <v>0</v>
      </c>
      <c r="N18" s="1175">
        <v>480</v>
      </c>
      <c r="O18" s="1175">
        <v>720</v>
      </c>
      <c r="P18" s="1175">
        <v>720</v>
      </c>
      <c r="Q18" s="1175">
        <v>1720</v>
      </c>
      <c r="R18" s="1181">
        <f t="shared" si="2"/>
        <v>0.84518828451882844</v>
      </c>
      <c r="S18" s="1181">
        <f t="shared" si="3"/>
        <v>0.57740585774058573</v>
      </c>
      <c r="U18" s="633">
        <f t="shared" si="4"/>
        <v>4.04</v>
      </c>
      <c r="V18" s="379" t="str">
        <f t="shared" si="5"/>
        <v>Hörsaal</v>
      </c>
      <c r="W18" s="1596">
        <v>15</v>
      </c>
      <c r="X18" s="1596">
        <v>0.55000000000000004</v>
      </c>
      <c r="Y18" s="1594" t="s">
        <v>191</v>
      </c>
      <c r="Z18" s="1594">
        <v>1340</v>
      </c>
      <c r="AA18" s="1597">
        <f t="shared" si="6"/>
        <v>11.055</v>
      </c>
      <c r="AB18" s="1596">
        <v>8.3333333333333339</v>
      </c>
      <c r="AC18" s="1596">
        <f t="shared" si="7"/>
        <v>0.55000000000000004</v>
      </c>
      <c r="AD18" s="1594" t="str">
        <f>Eingabedaten!$CI20</f>
        <v>stufenlos</v>
      </c>
      <c r="AE18" s="1594">
        <f t="shared" si="8"/>
        <v>1720</v>
      </c>
      <c r="AF18" s="1597">
        <f t="shared" si="9"/>
        <v>7.8833333333333337</v>
      </c>
      <c r="AG18" s="1596">
        <f>'Resultate Standard'!AD17</f>
        <v>9.6666666666666661</v>
      </c>
      <c r="AH18" s="1596">
        <f t="shared" si="0"/>
        <v>0.55000000000000004</v>
      </c>
      <c r="AI18" s="1594" t="str">
        <f>Eingabedaten!$CI20</f>
        <v>stufenlos</v>
      </c>
      <c r="AJ18" s="1594">
        <f t="shared" si="10"/>
        <v>1720</v>
      </c>
      <c r="AK18" s="1597">
        <f t="shared" si="11"/>
        <v>9.1446666666666658</v>
      </c>
      <c r="AL18" s="1650">
        <f t="shared" si="12"/>
        <v>77.906976744186053</v>
      </c>
      <c r="AM18" s="1598">
        <f t="shared" si="13"/>
        <v>140.23255813953486</v>
      </c>
      <c r="AN18" s="1598">
        <f t="shared" si="14"/>
        <v>120.89013632718525</v>
      </c>
      <c r="AO18" s="1602">
        <f t="shared" si="15"/>
        <v>-1.5282666666666671</v>
      </c>
      <c r="AQ18" s="1650">
        <v>2436.363636363636</v>
      </c>
      <c r="AR18" s="1596">
        <f t="shared" si="1"/>
        <v>0.99999999999999989</v>
      </c>
      <c r="AS18" s="1596">
        <f t="shared" si="16"/>
        <v>1.1769872639437855</v>
      </c>
    </row>
    <row r="19" spans="1:45">
      <c r="A19" s="657">
        <f>Eingabedaten!A21</f>
        <v>4.05</v>
      </c>
      <c r="B19" s="387" t="str">
        <f>Eingabedaten!C21</f>
        <v>Schulfachraum (Spezialraum)</v>
      </c>
      <c r="C19" s="387"/>
      <c r="D19" s="1177">
        <v>3585</v>
      </c>
      <c r="E19" s="1177">
        <v>3585</v>
      </c>
      <c r="F19" s="1177">
        <v>3030</v>
      </c>
      <c r="G19" s="1177">
        <v>1670</v>
      </c>
      <c r="H19" s="1177">
        <v>1910</v>
      </c>
      <c r="I19" s="1177">
        <v>2520</v>
      </c>
      <c r="J19" s="1177">
        <v>2070</v>
      </c>
      <c r="K19" s="1177">
        <v>1200</v>
      </c>
      <c r="L19" s="1177">
        <v>480</v>
      </c>
      <c r="M19" s="1177">
        <v>0</v>
      </c>
      <c r="N19" s="1177">
        <v>480</v>
      </c>
      <c r="O19" s="1177">
        <v>720</v>
      </c>
      <c r="P19" s="1177">
        <v>720</v>
      </c>
      <c r="Q19" s="1177">
        <v>1720</v>
      </c>
      <c r="R19" s="1183">
        <f t="shared" si="2"/>
        <v>0.84518828451882844</v>
      </c>
      <c r="S19" s="1183">
        <f t="shared" si="3"/>
        <v>0.57740585774058573</v>
      </c>
      <c r="U19" s="657">
        <f t="shared" si="4"/>
        <v>4.05</v>
      </c>
      <c r="V19" s="387" t="str">
        <f t="shared" si="5"/>
        <v>Schulfachraum (Spezialraum)</v>
      </c>
      <c r="W19" s="1596">
        <v>6</v>
      </c>
      <c r="X19" s="1596">
        <v>0.34</v>
      </c>
      <c r="Y19" s="1595" t="s">
        <v>1522</v>
      </c>
      <c r="Z19" s="1594">
        <v>1550</v>
      </c>
      <c r="AA19" s="1597">
        <f t="shared" si="6"/>
        <v>3.1619999999999999</v>
      </c>
      <c r="AB19" s="1596">
        <v>5.0000000000000009</v>
      </c>
      <c r="AC19" s="1596">
        <f t="shared" si="7"/>
        <v>0.34</v>
      </c>
      <c r="AD19" s="1594" t="str">
        <f>Eingabedaten!$CI21</f>
        <v>zweistufig</v>
      </c>
      <c r="AE19" s="1594">
        <f t="shared" si="8"/>
        <v>2520</v>
      </c>
      <c r="AF19" s="1597">
        <f t="shared" si="9"/>
        <v>4.2840000000000007</v>
      </c>
      <c r="AG19" s="1596">
        <f>'Resultate Standard'!AD18</f>
        <v>5.8</v>
      </c>
      <c r="AH19" s="1596">
        <f t="shared" si="0"/>
        <v>0.34</v>
      </c>
      <c r="AI19" s="1594" t="str">
        <f>Eingabedaten!$CI21</f>
        <v>zweistufig</v>
      </c>
      <c r="AJ19" s="1594">
        <f t="shared" si="10"/>
        <v>2520</v>
      </c>
      <c r="AK19" s="1597">
        <f t="shared" si="11"/>
        <v>4.9694399999999996</v>
      </c>
      <c r="AL19" s="1650">
        <f t="shared" si="12"/>
        <v>61.507936507936506</v>
      </c>
      <c r="AM19" s="1598">
        <f t="shared" si="13"/>
        <v>73.809523809523796</v>
      </c>
      <c r="AN19" s="1598">
        <f t="shared" si="14"/>
        <v>63.628899835796389</v>
      </c>
      <c r="AO19" s="1602">
        <f t="shared" si="15"/>
        <v>1.4459519999999999</v>
      </c>
      <c r="AQ19" s="1650">
        <v>2214.2857142857142</v>
      </c>
      <c r="AR19" s="1596">
        <f t="shared" si="1"/>
        <v>1</v>
      </c>
      <c r="AS19" s="1596">
        <f t="shared" si="16"/>
        <v>0.73078736445073078</v>
      </c>
    </row>
    <row r="20" spans="1:45">
      <c r="A20" s="1592">
        <f>Eingabedaten!A22</f>
        <v>5.01</v>
      </c>
      <c r="B20" s="386" t="str">
        <f>Eingabedaten!C22</f>
        <v>Lebensmittelverkauf</v>
      </c>
      <c r="C20" s="386"/>
      <c r="D20" s="1176">
        <v>6260</v>
      </c>
      <c r="E20" s="1176">
        <v>6260</v>
      </c>
      <c r="F20" s="1176">
        <v>4910</v>
      </c>
      <c r="G20" s="1176">
        <v>4070</v>
      </c>
      <c r="H20" s="1176">
        <v>2190</v>
      </c>
      <c r="I20" s="1176">
        <v>3670</v>
      </c>
      <c r="J20" s="1176">
        <v>3110</v>
      </c>
      <c r="K20" s="1176">
        <v>2190</v>
      </c>
      <c r="L20" s="1176">
        <v>1880</v>
      </c>
      <c r="M20" s="1176">
        <v>0</v>
      </c>
      <c r="N20" s="1176">
        <v>940</v>
      </c>
      <c r="O20" s="1176">
        <v>0</v>
      </c>
      <c r="P20" s="1176">
        <v>1250</v>
      </c>
      <c r="Q20" s="1176">
        <v>2440</v>
      </c>
      <c r="R20" s="1182">
        <f t="shared" si="2"/>
        <v>0.78434504792332271</v>
      </c>
      <c r="S20" s="1182">
        <f t="shared" si="3"/>
        <v>0.49680511182108628</v>
      </c>
      <c r="U20" s="1592">
        <f t="shared" si="4"/>
        <v>5.01</v>
      </c>
      <c r="V20" s="386" t="str">
        <f t="shared" si="5"/>
        <v>Lebensmittelverkauf</v>
      </c>
      <c r="W20" s="1596">
        <v>3.75</v>
      </c>
      <c r="X20" s="1596">
        <v>0.55000000000000004</v>
      </c>
      <c r="Y20" s="1595" t="s">
        <v>1521</v>
      </c>
      <c r="Z20" s="1594">
        <v>3760</v>
      </c>
      <c r="AA20" s="1597">
        <f t="shared" si="6"/>
        <v>7.7549999999999999</v>
      </c>
      <c r="AB20" s="1596">
        <v>3.1250000000000004</v>
      </c>
      <c r="AC20" s="1596">
        <f t="shared" si="7"/>
        <v>0.55000000000000004</v>
      </c>
      <c r="AD20" s="1594" t="str">
        <f>Eingabedaten!$CI22</f>
        <v>zweistufig</v>
      </c>
      <c r="AE20" s="1594">
        <f t="shared" si="8"/>
        <v>3670</v>
      </c>
      <c r="AF20" s="1597">
        <f t="shared" si="9"/>
        <v>6.3078125000000016</v>
      </c>
      <c r="AG20" s="1596">
        <f>'Resultate Standard'!AD19</f>
        <v>3.625</v>
      </c>
      <c r="AH20" s="1596">
        <f t="shared" si="0"/>
        <v>0.55000000000000004</v>
      </c>
      <c r="AI20" s="1594" t="str">
        <f>Eingabedaten!$CI22</f>
        <v>zweistufig</v>
      </c>
      <c r="AJ20" s="1594">
        <f t="shared" si="10"/>
        <v>3670</v>
      </c>
      <c r="AK20" s="1597">
        <f t="shared" si="11"/>
        <v>7.3170625000000005</v>
      </c>
      <c r="AL20" s="1650">
        <f t="shared" si="12"/>
        <v>102.45231607629427</v>
      </c>
      <c r="AM20" s="1598">
        <f t="shared" si="13"/>
        <v>122.94277929155311</v>
      </c>
      <c r="AN20" s="1598">
        <f t="shared" si="14"/>
        <v>105.98515456168373</v>
      </c>
      <c r="AO20" s="1602">
        <f t="shared" si="15"/>
        <v>-0.35034999999999955</v>
      </c>
      <c r="AQ20" s="1650">
        <v>3760</v>
      </c>
      <c r="AR20" s="1596">
        <f t="shared" si="1"/>
        <v>1</v>
      </c>
      <c r="AS20" s="1596">
        <f t="shared" si="16"/>
        <v>0.7657841140529531</v>
      </c>
    </row>
    <row r="21" spans="1:45">
      <c r="A21" s="633">
        <f>Eingabedaten!A23</f>
        <v>5.0199999999999996</v>
      </c>
      <c r="B21" s="379" t="str">
        <f>Eingabedaten!C23</f>
        <v>Fachgeschäft</v>
      </c>
      <c r="C21" s="1122"/>
      <c r="D21" s="1175">
        <v>6260</v>
      </c>
      <c r="E21" s="1175">
        <v>6260</v>
      </c>
      <c r="F21" s="1175">
        <v>4910</v>
      </c>
      <c r="G21" s="1175">
        <v>4070</v>
      </c>
      <c r="H21" s="1175">
        <v>2190</v>
      </c>
      <c r="I21" s="1175">
        <v>3670</v>
      </c>
      <c r="J21" s="1175">
        <v>3110</v>
      </c>
      <c r="K21" s="1175">
        <v>2190</v>
      </c>
      <c r="L21" s="1175">
        <v>1880</v>
      </c>
      <c r="M21" s="1175">
        <v>0</v>
      </c>
      <c r="N21" s="1175">
        <v>940</v>
      </c>
      <c r="O21" s="1175">
        <v>0</v>
      </c>
      <c r="P21" s="1175">
        <v>1250</v>
      </c>
      <c r="Q21" s="1175">
        <v>2440</v>
      </c>
      <c r="R21" s="1181">
        <f t="shared" si="2"/>
        <v>0.78434504792332271</v>
      </c>
      <c r="S21" s="1181">
        <f t="shared" si="3"/>
        <v>0.49680511182108628</v>
      </c>
      <c r="U21" s="633">
        <f t="shared" si="4"/>
        <v>5.0199999999999996</v>
      </c>
      <c r="V21" s="379" t="str">
        <f t="shared" si="5"/>
        <v>Fachgeschäft</v>
      </c>
      <c r="W21" s="1596">
        <v>3.75</v>
      </c>
      <c r="X21" s="1596">
        <v>0.55000000000000004</v>
      </c>
      <c r="Y21" s="1595" t="s">
        <v>1521</v>
      </c>
      <c r="Z21" s="1594">
        <v>3760</v>
      </c>
      <c r="AA21" s="1597">
        <f t="shared" si="6"/>
        <v>7.7549999999999999</v>
      </c>
      <c r="AB21" s="1596">
        <v>3.1250000000000004</v>
      </c>
      <c r="AC21" s="1596">
        <f t="shared" si="7"/>
        <v>0.55000000000000004</v>
      </c>
      <c r="AD21" s="1594" t="str">
        <f>Eingabedaten!$CI23</f>
        <v>zweistufig</v>
      </c>
      <c r="AE21" s="1594">
        <f t="shared" si="8"/>
        <v>3670</v>
      </c>
      <c r="AF21" s="1597">
        <f t="shared" si="9"/>
        <v>6.3078125000000016</v>
      </c>
      <c r="AG21" s="1596">
        <f>'Resultate Standard'!AD20</f>
        <v>3.625</v>
      </c>
      <c r="AH21" s="1596">
        <f t="shared" si="0"/>
        <v>0.55000000000000004</v>
      </c>
      <c r="AI21" s="1594" t="str">
        <f>Eingabedaten!$CI23</f>
        <v>zweistufig</v>
      </c>
      <c r="AJ21" s="1594">
        <f t="shared" si="10"/>
        <v>3670</v>
      </c>
      <c r="AK21" s="1597">
        <f t="shared" si="11"/>
        <v>7.3170625000000005</v>
      </c>
      <c r="AL21" s="1650">
        <f t="shared" si="12"/>
        <v>102.45231607629427</v>
      </c>
      <c r="AM21" s="1598">
        <f t="shared" si="13"/>
        <v>122.94277929155311</v>
      </c>
      <c r="AN21" s="1598">
        <f t="shared" si="14"/>
        <v>105.98515456168373</v>
      </c>
      <c r="AO21" s="1602">
        <f t="shared" si="15"/>
        <v>-0.35034999999999955</v>
      </c>
      <c r="AQ21" s="1650">
        <v>3760</v>
      </c>
      <c r="AR21" s="1596">
        <f t="shared" si="1"/>
        <v>1</v>
      </c>
      <c r="AS21" s="1596">
        <f t="shared" si="16"/>
        <v>0.7657841140529531</v>
      </c>
    </row>
    <row r="22" spans="1:45">
      <c r="A22" s="634">
        <f>Eingabedaten!A24</f>
        <v>5.03</v>
      </c>
      <c r="B22" s="379" t="str">
        <f>Eingabedaten!C24</f>
        <v>Verkauf Möbel, Bau, Garten</v>
      </c>
      <c r="C22" s="379"/>
      <c r="D22" s="1175">
        <v>6260</v>
      </c>
      <c r="E22" s="1175">
        <v>6260</v>
      </c>
      <c r="F22" s="1175">
        <v>4910</v>
      </c>
      <c r="G22" s="1175">
        <v>4070</v>
      </c>
      <c r="H22" s="1175">
        <v>2190</v>
      </c>
      <c r="I22" s="1175">
        <v>3670</v>
      </c>
      <c r="J22" s="1175">
        <v>3110</v>
      </c>
      <c r="K22" s="1175">
        <v>2190</v>
      </c>
      <c r="L22" s="1175">
        <v>1880</v>
      </c>
      <c r="M22" s="1175">
        <v>0</v>
      </c>
      <c r="N22" s="1175">
        <v>940</v>
      </c>
      <c r="O22" s="1175">
        <v>0</v>
      </c>
      <c r="P22" s="1175">
        <v>1250</v>
      </c>
      <c r="Q22" s="1175">
        <v>2440</v>
      </c>
      <c r="R22" s="1181">
        <f t="shared" si="2"/>
        <v>0.78434504792332271</v>
      </c>
      <c r="S22" s="1181">
        <f t="shared" si="3"/>
        <v>0.49680511182108628</v>
      </c>
      <c r="U22" s="634">
        <f t="shared" si="4"/>
        <v>5.03</v>
      </c>
      <c r="V22" s="379" t="str">
        <f t="shared" si="5"/>
        <v>Verkauf Möbel, Bau, Garten</v>
      </c>
      <c r="W22" s="1596">
        <v>2</v>
      </c>
      <c r="X22" s="1596">
        <v>0.55000000000000004</v>
      </c>
      <c r="Y22" s="1595" t="s">
        <v>1521</v>
      </c>
      <c r="Z22" s="1594">
        <v>3510</v>
      </c>
      <c r="AA22" s="1597">
        <f t="shared" si="6"/>
        <v>3.8610000000000007</v>
      </c>
      <c r="AB22" s="1596">
        <v>1.666666666666667</v>
      </c>
      <c r="AC22" s="1596">
        <f t="shared" si="7"/>
        <v>0.55000000000000004</v>
      </c>
      <c r="AD22" s="1594" t="str">
        <f>Eingabedaten!$CI24</f>
        <v>einstufig</v>
      </c>
      <c r="AE22" s="1594">
        <f t="shared" si="8"/>
        <v>6260</v>
      </c>
      <c r="AF22" s="1597">
        <f t="shared" si="9"/>
        <v>5.7383333333333351</v>
      </c>
      <c r="AG22" s="1596">
        <f>'Resultate Standard'!AD21</f>
        <v>1.9333333333333333</v>
      </c>
      <c r="AH22" s="1596">
        <f t="shared" si="0"/>
        <v>0.55000000000000004</v>
      </c>
      <c r="AI22" s="1594" t="str">
        <f>Eingabedaten!$CI24</f>
        <v>einstufig</v>
      </c>
      <c r="AJ22" s="1594">
        <f t="shared" si="10"/>
        <v>6260</v>
      </c>
      <c r="AK22" s="1597">
        <f t="shared" si="11"/>
        <v>6.6564666666666668</v>
      </c>
      <c r="AL22" s="1650">
        <f t="shared" si="12"/>
        <v>56.070287539936103</v>
      </c>
      <c r="AM22" s="1598">
        <f t="shared" si="13"/>
        <v>67.28434504792331</v>
      </c>
      <c r="AN22" s="1598">
        <f t="shared" si="14"/>
        <v>58.003745730968397</v>
      </c>
      <c r="AO22" s="1602">
        <f t="shared" si="15"/>
        <v>2.2363733333333329</v>
      </c>
      <c r="AQ22" s="1650">
        <v>3510</v>
      </c>
      <c r="AR22" s="1596">
        <f t="shared" si="1"/>
        <v>1</v>
      </c>
      <c r="AS22" s="1596">
        <f t="shared" si="16"/>
        <v>0.56070287539936103</v>
      </c>
    </row>
    <row r="23" spans="1:45">
      <c r="A23" s="1472">
        <f>Eingabedaten!A25</f>
        <v>6.01</v>
      </c>
      <c r="B23" s="386" t="str">
        <f>Eingabedaten!C25</f>
        <v>Restaurant</v>
      </c>
      <c r="C23" s="1121"/>
      <c r="D23" s="1176">
        <v>6260</v>
      </c>
      <c r="E23" s="1176">
        <v>6260</v>
      </c>
      <c r="F23" s="1176">
        <v>4700</v>
      </c>
      <c r="G23" s="1176">
        <v>4700</v>
      </c>
      <c r="H23" s="1176">
        <v>1570</v>
      </c>
      <c r="I23" s="1176">
        <v>3270</v>
      </c>
      <c r="J23" s="1176">
        <v>2360</v>
      </c>
      <c r="K23" s="1176">
        <v>4700</v>
      </c>
      <c r="L23" s="1176">
        <v>0</v>
      </c>
      <c r="M23" s="1176">
        <v>0</v>
      </c>
      <c r="N23" s="1176">
        <v>940</v>
      </c>
      <c r="O23" s="1176">
        <v>0</v>
      </c>
      <c r="P23" s="1176">
        <v>630</v>
      </c>
      <c r="Q23" s="1176">
        <v>1650</v>
      </c>
      <c r="R23" s="1182">
        <f t="shared" si="2"/>
        <v>0.75079872204472842</v>
      </c>
      <c r="S23" s="1182">
        <f t="shared" si="3"/>
        <v>0.3769968051118211</v>
      </c>
      <c r="U23" s="1472">
        <f t="shared" si="4"/>
        <v>6.01</v>
      </c>
      <c r="V23" s="386" t="str">
        <f t="shared" si="5"/>
        <v>Restaurant</v>
      </c>
      <c r="W23" s="1596">
        <v>18</v>
      </c>
      <c r="X23" s="1596">
        <v>0.55000000000000004</v>
      </c>
      <c r="Y23" s="1594" t="s">
        <v>191</v>
      </c>
      <c r="Z23" s="1594">
        <v>1550</v>
      </c>
      <c r="AA23" s="1597">
        <f t="shared" si="6"/>
        <v>15.345000000000001</v>
      </c>
      <c r="AB23" s="1596">
        <v>12.5</v>
      </c>
      <c r="AC23" s="1596">
        <f t="shared" si="7"/>
        <v>0.55000000000000004</v>
      </c>
      <c r="AD23" s="1594" t="str">
        <f>Eingabedaten!$CI25</f>
        <v>stufenlos</v>
      </c>
      <c r="AE23" s="1594">
        <f t="shared" si="8"/>
        <v>1650</v>
      </c>
      <c r="AF23" s="1597">
        <f t="shared" si="9"/>
        <v>11.343750000000002</v>
      </c>
      <c r="AG23" s="1596">
        <f>'Resultate Standard'!AD22</f>
        <v>14.5</v>
      </c>
      <c r="AH23" s="1596">
        <f t="shared" si="0"/>
        <v>0.55000000000000004</v>
      </c>
      <c r="AI23" s="1594" t="str">
        <f>Eingabedaten!$CI25</f>
        <v>stufenlos</v>
      </c>
      <c r="AJ23" s="1594">
        <f t="shared" si="10"/>
        <v>1650</v>
      </c>
      <c r="AK23" s="1597">
        <f t="shared" si="11"/>
        <v>13.15875</v>
      </c>
      <c r="AL23" s="1650">
        <f t="shared" si="12"/>
        <v>93.939393939393938</v>
      </c>
      <c r="AM23" s="1598">
        <f t="shared" si="13"/>
        <v>135.27272727272725</v>
      </c>
      <c r="AN23" s="1598">
        <f t="shared" si="14"/>
        <v>116.61442006269593</v>
      </c>
      <c r="AO23" s="1602">
        <f t="shared" si="15"/>
        <v>-1.749000000000001</v>
      </c>
      <c r="AQ23" s="1650">
        <v>2818.181818181818</v>
      </c>
      <c r="AR23" s="1596">
        <f t="shared" si="1"/>
        <v>1</v>
      </c>
      <c r="AS23" s="1596">
        <f t="shared" si="16"/>
        <v>1.1941448382126347</v>
      </c>
    </row>
    <row r="24" spans="1:45">
      <c r="A24" s="634">
        <f>Eingabedaten!A26</f>
        <v>6.02</v>
      </c>
      <c r="B24" s="379" t="str">
        <f>Eingabedaten!C26</f>
        <v>Selbstbedienungsrestaurant</v>
      </c>
      <c r="C24" s="379"/>
      <c r="D24" s="1175">
        <v>3443</v>
      </c>
      <c r="E24" s="1175">
        <v>3443</v>
      </c>
      <c r="F24" s="1175">
        <v>2400</v>
      </c>
      <c r="G24" s="1175">
        <v>3130</v>
      </c>
      <c r="H24" s="1175">
        <v>310</v>
      </c>
      <c r="I24" s="1175">
        <v>1450</v>
      </c>
      <c r="J24" s="1175">
        <v>1280</v>
      </c>
      <c r="K24" s="1175">
        <v>1880</v>
      </c>
      <c r="L24" s="1175">
        <v>1250</v>
      </c>
      <c r="M24" s="1175">
        <v>0</v>
      </c>
      <c r="N24" s="1175">
        <v>0</v>
      </c>
      <c r="O24" s="1175">
        <v>0</v>
      </c>
      <c r="P24" s="1175">
        <v>310</v>
      </c>
      <c r="Q24" s="1175">
        <v>860</v>
      </c>
      <c r="R24" s="1181">
        <f t="shared" si="2"/>
        <v>0.69706651176299739</v>
      </c>
      <c r="S24" s="1181">
        <f t="shared" si="3"/>
        <v>0.3717688062735986</v>
      </c>
      <c r="U24" s="634">
        <f t="shared" si="4"/>
        <v>6.02</v>
      </c>
      <c r="V24" s="379" t="str">
        <f t="shared" si="5"/>
        <v>Selbstbedienungsrestaurant</v>
      </c>
      <c r="W24" s="1596">
        <v>18</v>
      </c>
      <c r="X24" s="1596">
        <v>0.55000000000000004</v>
      </c>
      <c r="Y24" s="1594" t="s">
        <v>191</v>
      </c>
      <c r="Z24" s="1594">
        <v>760</v>
      </c>
      <c r="AA24" s="1597">
        <f t="shared" si="6"/>
        <v>7.524</v>
      </c>
      <c r="AB24" s="1596">
        <v>12.500000000000002</v>
      </c>
      <c r="AC24" s="1596">
        <f t="shared" si="7"/>
        <v>0.55000000000000004</v>
      </c>
      <c r="AD24" s="1594" t="str">
        <f>Eingabedaten!$CI26</f>
        <v>stufenlos</v>
      </c>
      <c r="AE24" s="1594">
        <f t="shared" si="8"/>
        <v>860</v>
      </c>
      <c r="AF24" s="1597">
        <f t="shared" si="9"/>
        <v>5.9125000000000014</v>
      </c>
      <c r="AG24" s="1596">
        <f>'Resultate Standard'!AD23</f>
        <v>14.5</v>
      </c>
      <c r="AH24" s="1596">
        <f t="shared" si="0"/>
        <v>0.55000000000000004</v>
      </c>
      <c r="AI24" s="1594" t="str">
        <f>Eingabedaten!$CI26</f>
        <v>stufenlos</v>
      </c>
      <c r="AJ24" s="1594">
        <f t="shared" si="10"/>
        <v>860</v>
      </c>
      <c r="AK24" s="1597">
        <f t="shared" si="11"/>
        <v>6.8585000000000012</v>
      </c>
      <c r="AL24" s="1650">
        <f t="shared" si="12"/>
        <v>88.372093023255815</v>
      </c>
      <c r="AM24" s="1598">
        <f t="shared" si="13"/>
        <v>127.25581395348834</v>
      </c>
      <c r="AN24" s="1598">
        <f t="shared" si="14"/>
        <v>109.70328789093824</v>
      </c>
      <c r="AO24" s="1602">
        <f t="shared" si="15"/>
        <v>-0.5323999999999991</v>
      </c>
      <c r="AQ24" s="1650">
        <v>1381.8181818181818</v>
      </c>
      <c r="AR24" s="1596">
        <f t="shared" si="1"/>
        <v>1</v>
      </c>
      <c r="AS24" s="1596">
        <f t="shared" si="16"/>
        <v>1.0795454545454546</v>
      </c>
    </row>
    <row r="25" spans="1:45">
      <c r="A25" s="634">
        <f>Eingabedaten!A27</f>
        <v>6.03</v>
      </c>
      <c r="B25" s="379" t="str">
        <f>Eingabedaten!C27</f>
        <v>Küche zu Restaurant</v>
      </c>
      <c r="C25" s="379"/>
      <c r="D25" s="1175">
        <v>5947</v>
      </c>
      <c r="E25" s="1175">
        <v>5947</v>
      </c>
      <c r="F25" s="1175">
        <v>4800</v>
      </c>
      <c r="G25" s="1175">
        <v>3440</v>
      </c>
      <c r="H25" s="1175">
        <v>2500</v>
      </c>
      <c r="I25" s="1175">
        <v>3750</v>
      </c>
      <c r="J25" s="1175">
        <v>3180</v>
      </c>
      <c r="K25" s="1175">
        <v>2190</v>
      </c>
      <c r="L25" s="1175">
        <v>1250</v>
      </c>
      <c r="M25" s="1175">
        <v>0</v>
      </c>
      <c r="N25" s="1175">
        <v>630</v>
      </c>
      <c r="O25" s="1175">
        <v>630</v>
      </c>
      <c r="P25" s="1175">
        <v>1250</v>
      </c>
      <c r="Q25" s="1175">
        <v>2580</v>
      </c>
      <c r="R25" s="1181">
        <f t="shared" si="2"/>
        <v>0.80712964519926012</v>
      </c>
      <c r="S25" s="1181">
        <f t="shared" si="3"/>
        <v>0.53472338994450985</v>
      </c>
      <c r="U25" s="634">
        <f t="shared" si="4"/>
        <v>6.03</v>
      </c>
      <c r="V25" s="379" t="str">
        <f t="shared" si="5"/>
        <v>Küche zu Restaurant</v>
      </c>
      <c r="W25" s="1596">
        <v>20</v>
      </c>
      <c r="X25" s="1596">
        <v>0.55000000000000004</v>
      </c>
      <c r="Y25" s="1594" t="s">
        <v>191</v>
      </c>
      <c r="Z25" s="1594">
        <v>2160</v>
      </c>
      <c r="AA25" s="1597">
        <f t="shared" si="6"/>
        <v>23.76</v>
      </c>
      <c r="AB25" s="1596">
        <v>8.3333333333333339</v>
      </c>
      <c r="AC25" s="1596">
        <f t="shared" si="7"/>
        <v>0.55000000000000004</v>
      </c>
      <c r="AD25" s="1594" t="str">
        <f>Eingabedaten!$CI27</f>
        <v>stufenlos</v>
      </c>
      <c r="AE25" s="1594">
        <f t="shared" si="8"/>
        <v>2580</v>
      </c>
      <c r="AF25" s="1597">
        <f t="shared" si="9"/>
        <v>11.825000000000001</v>
      </c>
      <c r="AG25" s="1596">
        <f>'Resultate Standard'!AD24</f>
        <v>9.6666666666666679</v>
      </c>
      <c r="AH25" s="1596">
        <f t="shared" si="0"/>
        <v>0.55000000000000004</v>
      </c>
      <c r="AI25" s="1594" t="str">
        <f>Eingabedaten!$CI27</f>
        <v>stufenlos</v>
      </c>
      <c r="AJ25" s="1594">
        <f t="shared" si="10"/>
        <v>2580</v>
      </c>
      <c r="AK25" s="1597">
        <f t="shared" si="11"/>
        <v>13.717000000000002</v>
      </c>
      <c r="AL25" s="1650">
        <f t="shared" si="12"/>
        <v>83.720930232558132</v>
      </c>
      <c r="AM25" s="1598">
        <f t="shared" si="13"/>
        <v>200.93023255813952</v>
      </c>
      <c r="AN25" s="1598">
        <f t="shared" si="14"/>
        <v>173.21571772253407</v>
      </c>
      <c r="AO25" s="1602">
        <f t="shared" si="15"/>
        <v>-8.0343999999999998</v>
      </c>
      <c r="AQ25" s="1650">
        <v>3927.272727272727</v>
      </c>
      <c r="AR25" s="1596">
        <f t="shared" si="1"/>
        <v>1</v>
      </c>
      <c r="AS25" s="1596">
        <f t="shared" si="16"/>
        <v>1.2349914236706689</v>
      </c>
    </row>
    <row r="26" spans="1:45">
      <c r="A26" s="638">
        <f>Eingabedaten!A28</f>
        <v>6.04</v>
      </c>
      <c r="B26" s="387" t="str">
        <f>Eingabedaten!C28</f>
        <v>Küche zu Selbstbedienungsrest.</v>
      </c>
      <c r="C26" s="387"/>
      <c r="D26" s="1177">
        <v>4069</v>
      </c>
      <c r="E26" s="1177">
        <v>4069</v>
      </c>
      <c r="F26" s="1177">
        <v>3130</v>
      </c>
      <c r="G26" s="1177">
        <v>2820</v>
      </c>
      <c r="H26" s="1177">
        <v>1250</v>
      </c>
      <c r="I26" s="1177">
        <v>2280</v>
      </c>
      <c r="J26" s="1177">
        <v>1910</v>
      </c>
      <c r="K26" s="1177">
        <v>1880</v>
      </c>
      <c r="L26" s="1177">
        <v>940</v>
      </c>
      <c r="M26" s="1177">
        <v>0</v>
      </c>
      <c r="N26" s="1177">
        <v>310</v>
      </c>
      <c r="O26" s="1177">
        <v>310</v>
      </c>
      <c r="P26" s="1177">
        <v>630</v>
      </c>
      <c r="Q26" s="1177">
        <v>1470</v>
      </c>
      <c r="R26" s="1183">
        <f t="shared" si="2"/>
        <v>0.76923076923076927</v>
      </c>
      <c r="S26" s="1183">
        <f t="shared" si="3"/>
        <v>0.46940280167117227</v>
      </c>
      <c r="U26" s="638">
        <f t="shared" si="4"/>
        <v>6.04</v>
      </c>
      <c r="V26" s="387" t="str">
        <f t="shared" si="5"/>
        <v>Küche zu Selbstbedienungsrest.</v>
      </c>
      <c r="W26" s="1596">
        <v>20</v>
      </c>
      <c r="X26" s="1596">
        <v>0.55000000000000004</v>
      </c>
      <c r="Y26" s="1594" t="s">
        <v>191</v>
      </c>
      <c r="Z26" s="1594">
        <v>1240</v>
      </c>
      <c r="AA26" s="1597">
        <f t="shared" si="6"/>
        <v>13.64</v>
      </c>
      <c r="AB26" s="1596">
        <v>8.3333333333333339</v>
      </c>
      <c r="AC26" s="1596">
        <f t="shared" si="7"/>
        <v>0.55000000000000004</v>
      </c>
      <c r="AD26" s="1594" t="str">
        <f>Eingabedaten!$CI28</f>
        <v>stufenlos</v>
      </c>
      <c r="AE26" s="1594">
        <f t="shared" si="8"/>
        <v>1470</v>
      </c>
      <c r="AF26" s="1597">
        <f t="shared" si="9"/>
        <v>6.7375000000000007</v>
      </c>
      <c r="AG26" s="1596">
        <f>'Resultate Standard'!AD25</f>
        <v>9.6666666666666679</v>
      </c>
      <c r="AH26" s="1596">
        <f t="shared" si="0"/>
        <v>0.55000000000000004</v>
      </c>
      <c r="AI26" s="1594" t="str">
        <f>Eingabedaten!$CI28</f>
        <v>stufenlos</v>
      </c>
      <c r="AJ26" s="1594">
        <f t="shared" si="10"/>
        <v>1470</v>
      </c>
      <c r="AK26" s="1597">
        <f t="shared" si="11"/>
        <v>7.815500000000001</v>
      </c>
      <c r="AL26" s="1650">
        <f t="shared" si="12"/>
        <v>84.353741496598644</v>
      </c>
      <c r="AM26" s="1598">
        <f t="shared" si="13"/>
        <v>202.44897959183672</v>
      </c>
      <c r="AN26" s="1598">
        <f t="shared" si="14"/>
        <v>174.52498240675578</v>
      </c>
      <c r="AO26" s="1602">
        <f t="shared" si="15"/>
        <v>-4.6596000000000002</v>
      </c>
      <c r="AQ26" s="1650">
        <v>2254.5454545454545</v>
      </c>
      <c r="AR26" s="1596">
        <f t="shared" si="1"/>
        <v>1</v>
      </c>
      <c r="AS26" s="1596">
        <f t="shared" si="16"/>
        <v>1.1803902903379342</v>
      </c>
    </row>
    <row r="27" spans="1:45">
      <c r="A27" s="634">
        <f>Eingabedaten!A29</f>
        <v>7.01</v>
      </c>
      <c r="B27" s="379" t="str">
        <f>Eingabedaten!C29</f>
        <v>Vorstellungsraum</v>
      </c>
      <c r="C27" s="379"/>
      <c r="D27" s="1175">
        <v>5008</v>
      </c>
      <c r="E27" s="1175">
        <v>5008</v>
      </c>
      <c r="F27" s="1175">
        <v>4380</v>
      </c>
      <c r="G27" s="1175">
        <v>1880</v>
      </c>
      <c r="H27" s="1175">
        <v>3130</v>
      </c>
      <c r="I27" s="1175">
        <v>3810</v>
      </c>
      <c r="J27" s="1175">
        <v>2720</v>
      </c>
      <c r="K27" s="1175">
        <v>1880</v>
      </c>
      <c r="L27" s="1175">
        <v>0</v>
      </c>
      <c r="M27" s="1175">
        <v>0</v>
      </c>
      <c r="N27" s="1175">
        <v>2190</v>
      </c>
      <c r="O27" s="1175">
        <v>0</v>
      </c>
      <c r="P27" s="1175">
        <v>940</v>
      </c>
      <c r="Q27" s="1175">
        <v>2190</v>
      </c>
      <c r="R27" s="1181">
        <f t="shared" si="2"/>
        <v>0.87460063897763574</v>
      </c>
      <c r="S27" s="1181">
        <f t="shared" si="3"/>
        <v>0.54313099041533541</v>
      </c>
      <c r="U27" s="634">
        <f t="shared" si="4"/>
        <v>7.01</v>
      </c>
      <c r="V27" s="379" t="str">
        <f t="shared" si="5"/>
        <v>Vorstellungsraum</v>
      </c>
      <c r="W27" s="1596">
        <v>12</v>
      </c>
      <c r="X27" s="1596">
        <v>0.55000000000000004</v>
      </c>
      <c r="Y27" s="1594" t="s">
        <v>191</v>
      </c>
      <c r="Z27" s="1594">
        <v>1820</v>
      </c>
      <c r="AA27" s="1597">
        <f t="shared" si="6"/>
        <v>12.012000000000002</v>
      </c>
      <c r="AB27" s="1596">
        <v>8.3333333333333339</v>
      </c>
      <c r="AC27" s="1596">
        <f t="shared" si="7"/>
        <v>0.55000000000000004</v>
      </c>
      <c r="AD27" s="1594" t="str">
        <f>Eingabedaten!$CI29</f>
        <v>stufenlos</v>
      </c>
      <c r="AE27" s="1594">
        <f t="shared" si="8"/>
        <v>2190</v>
      </c>
      <c r="AF27" s="1597">
        <f t="shared" si="9"/>
        <v>10.037500000000001</v>
      </c>
      <c r="AG27" s="1596">
        <f>'Resultate Standard'!AD26</f>
        <v>9.6666666666666661</v>
      </c>
      <c r="AH27" s="1596">
        <f t="shared" si="0"/>
        <v>0.55000000000000004</v>
      </c>
      <c r="AI27" s="1594" t="str">
        <f>Eingabedaten!$CI29</f>
        <v>stufenlos</v>
      </c>
      <c r="AJ27" s="1594">
        <f t="shared" si="10"/>
        <v>2190</v>
      </c>
      <c r="AK27" s="1597">
        <f t="shared" si="11"/>
        <v>11.6435</v>
      </c>
      <c r="AL27" s="1650">
        <f t="shared" si="12"/>
        <v>83.105022831050235</v>
      </c>
      <c r="AM27" s="1598">
        <f t="shared" si="13"/>
        <v>119.67123287671232</v>
      </c>
      <c r="AN27" s="1598">
        <f t="shared" si="14"/>
        <v>103.16485592820031</v>
      </c>
      <c r="AO27" s="1602">
        <f t="shared" si="15"/>
        <v>-0.29480000000000217</v>
      </c>
      <c r="AQ27" s="1650">
        <v>3309.090909090909</v>
      </c>
      <c r="AR27" s="1596">
        <f t="shared" si="1"/>
        <v>1</v>
      </c>
      <c r="AS27" s="1596">
        <f t="shared" si="16"/>
        <v>1.2165775401069518</v>
      </c>
    </row>
    <row r="28" spans="1:45">
      <c r="A28" s="634">
        <f>Eingabedaten!A30</f>
        <v>7.02</v>
      </c>
      <c r="B28" s="379" t="str">
        <f>Eingabedaten!C30</f>
        <v>Mehrzweckhalle</v>
      </c>
      <c r="C28" s="1122"/>
      <c r="D28" s="1175">
        <v>6260</v>
      </c>
      <c r="E28" s="1175">
        <v>6260</v>
      </c>
      <c r="F28" s="1175">
        <v>5430</v>
      </c>
      <c r="G28" s="1175">
        <v>2500</v>
      </c>
      <c r="H28" s="1175">
        <v>3760</v>
      </c>
      <c r="I28" s="1175">
        <v>4670</v>
      </c>
      <c r="J28" s="1175">
        <v>3630</v>
      </c>
      <c r="K28" s="1175">
        <v>2500</v>
      </c>
      <c r="L28" s="1175">
        <v>0</v>
      </c>
      <c r="M28" s="1175">
        <v>0</v>
      </c>
      <c r="N28" s="1175">
        <v>1880</v>
      </c>
      <c r="O28" s="1175">
        <v>0</v>
      </c>
      <c r="P28" s="1175">
        <v>1880</v>
      </c>
      <c r="Q28" s="1175">
        <v>3060</v>
      </c>
      <c r="R28" s="1181">
        <f t="shared" si="2"/>
        <v>0.86741214057507987</v>
      </c>
      <c r="S28" s="1181">
        <f t="shared" si="3"/>
        <v>0.57987220447284349</v>
      </c>
      <c r="U28" s="634">
        <f t="shared" si="4"/>
        <v>7.02</v>
      </c>
      <c r="V28" s="379" t="str">
        <f t="shared" si="5"/>
        <v>Mehrzweckhalle</v>
      </c>
      <c r="W28" s="1596">
        <v>12</v>
      </c>
      <c r="X28" s="1596">
        <v>0.55000000000000004</v>
      </c>
      <c r="Y28" s="1594" t="s">
        <v>191</v>
      </c>
      <c r="Z28" s="1594">
        <v>2580</v>
      </c>
      <c r="AA28" s="1597">
        <f t="shared" si="6"/>
        <v>17.027999999999999</v>
      </c>
      <c r="AB28" s="1596">
        <v>8.3333333333333339</v>
      </c>
      <c r="AC28" s="1596">
        <f t="shared" si="7"/>
        <v>0.55000000000000004</v>
      </c>
      <c r="AD28" s="1594" t="str">
        <f>Eingabedaten!$CI30</f>
        <v>stufenlos</v>
      </c>
      <c r="AE28" s="1594">
        <f t="shared" si="8"/>
        <v>3060</v>
      </c>
      <c r="AF28" s="1597">
        <f t="shared" si="9"/>
        <v>14.025000000000002</v>
      </c>
      <c r="AG28" s="1596">
        <f>'Resultate Standard'!AD27</f>
        <v>9.6666666666666661</v>
      </c>
      <c r="AH28" s="1596">
        <f t="shared" si="0"/>
        <v>0.55000000000000004</v>
      </c>
      <c r="AI28" s="1594" t="str">
        <f>Eingabedaten!$CI30</f>
        <v>stufenlos</v>
      </c>
      <c r="AJ28" s="1594">
        <f t="shared" si="10"/>
        <v>3060</v>
      </c>
      <c r="AK28" s="1597">
        <f t="shared" si="11"/>
        <v>16.268999999999998</v>
      </c>
      <c r="AL28" s="1650">
        <f t="shared" si="12"/>
        <v>84.313725490196077</v>
      </c>
      <c r="AM28" s="1598">
        <f t="shared" si="13"/>
        <v>121.41176470588233</v>
      </c>
      <c r="AN28" s="1598">
        <f t="shared" si="14"/>
        <v>104.66531440162272</v>
      </c>
      <c r="AO28" s="1602">
        <f t="shared" si="15"/>
        <v>-0.6072000000000003</v>
      </c>
      <c r="AQ28" s="1650">
        <v>4690.9090909090901</v>
      </c>
      <c r="AR28" s="1596">
        <f t="shared" si="1"/>
        <v>0.99999999999999989</v>
      </c>
      <c r="AS28" s="1596">
        <f t="shared" si="16"/>
        <v>1.2922614575507134</v>
      </c>
    </row>
    <row r="29" spans="1:45">
      <c r="A29" s="634">
        <f>Eingabedaten!A31</f>
        <v>7.03</v>
      </c>
      <c r="B29" s="379" t="str">
        <f>Eingabedaten!C31</f>
        <v>Ausstellungshalle</v>
      </c>
      <c r="C29" s="379"/>
      <c r="D29" s="1175">
        <v>6260</v>
      </c>
      <c r="E29" s="1175">
        <v>6260</v>
      </c>
      <c r="F29" s="1175">
        <v>5430</v>
      </c>
      <c r="G29" s="1175">
        <v>2500</v>
      </c>
      <c r="H29" s="1175">
        <v>3760</v>
      </c>
      <c r="I29" s="1175">
        <v>4670</v>
      </c>
      <c r="J29" s="1175">
        <v>3630</v>
      </c>
      <c r="K29" s="1175">
        <v>2500</v>
      </c>
      <c r="L29" s="1175">
        <v>0</v>
      </c>
      <c r="M29" s="1175">
        <v>0</v>
      </c>
      <c r="N29" s="1175">
        <v>1880</v>
      </c>
      <c r="O29" s="1175">
        <v>0</v>
      </c>
      <c r="P29" s="1175">
        <v>1880</v>
      </c>
      <c r="Q29" s="1175">
        <v>3060</v>
      </c>
      <c r="R29" s="1181">
        <f t="shared" si="2"/>
        <v>0.86741214057507987</v>
      </c>
      <c r="S29" s="1181">
        <f t="shared" si="3"/>
        <v>0.57987220447284349</v>
      </c>
      <c r="U29" s="634">
        <f t="shared" si="4"/>
        <v>7.03</v>
      </c>
      <c r="V29" s="379" t="str">
        <f t="shared" si="5"/>
        <v>Ausstellungshalle</v>
      </c>
      <c r="W29" s="1596">
        <v>12</v>
      </c>
      <c r="X29" s="1596">
        <v>0.55000000000000004</v>
      </c>
      <c r="Y29" s="1594" t="s">
        <v>191</v>
      </c>
      <c r="Z29" s="1594">
        <v>2580</v>
      </c>
      <c r="AA29" s="1597">
        <f t="shared" si="6"/>
        <v>17.027999999999999</v>
      </c>
      <c r="AB29" s="1596">
        <v>8.3333333333333339</v>
      </c>
      <c r="AC29" s="1596">
        <f t="shared" si="7"/>
        <v>0.55000000000000004</v>
      </c>
      <c r="AD29" s="1594" t="str">
        <f>Eingabedaten!$CI31</f>
        <v>stufenlos</v>
      </c>
      <c r="AE29" s="1594">
        <f t="shared" si="8"/>
        <v>3060</v>
      </c>
      <c r="AF29" s="1597">
        <f t="shared" si="9"/>
        <v>14.025000000000002</v>
      </c>
      <c r="AG29" s="1596">
        <f>'Resultate Standard'!AD28</f>
        <v>9.6666666666666661</v>
      </c>
      <c r="AH29" s="1596">
        <f t="shared" si="0"/>
        <v>0.55000000000000004</v>
      </c>
      <c r="AI29" s="1594" t="str">
        <f>Eingabedaten!$CI31</f>
        <v>stufenlos</v>
      </c>
      <c r="AJ29" s="1594">
        <f t="shared" si="10"/>
        <v>3060</v>
      </c>
      <c r="AK29" s="1597">
        <f t="shared" si="11"/>
        <v>16.268999999999998</v>
      </c>
      <c r="AL29" s="1650">
        <f t="shared" si="12"/>
        <v>84.313725490196077</v>
      </c>
      <c r="AM29" s="1598">
        <f t="shared" si="13"/>
        <v>121.41176470588233</v>
      </c>
      <c r="AN29" s="1598">
        <f t="shared" si="14"/>
        <v>104.66531440162272</v>
      </c>
      <c r="AO29" s="1602">
        <f t="shared" si="15"/>
        <v>-0.6072000000000003</v>
      </c>
      <c r="AQ29" s="1650">
        <v>4690.9090909090901</v>
      </c>
      <c r="AR29" s="1596">
        <f t="shared" si="1"/>
        <v>0.99999999999999989</v>
      </c>
      <c r="AS29" s="1596">
        <f t="shared" si="16"/>
        <v>1.2922614575507134</v>
      </c>
    </row>
    <row r="30" spans="1:45">
      <c r="A30" s="1301">
        <f>Eingabedaten!A32</f>
        <v>8.01</v>
      </c>
      <c r="B30" s="386" t="str">
        <f>Eingabedaten!C32</f>
        <v xml:space="preserve">Bettenzimmer </v>
      </c>
      <c r="C30" s="1121"/>
      <c r="D30" s="1176">
        <v>8760</v>
      </c>
      <c r="E30" s="1176">
        <v>8760</v>
      </c>
      <c r="F30" s="1176">
        <v>8760</v>
      </c>
      <c r="G30" s="1176">
        <v>0</v>
      </c>
      <c r="H30" s="1176">
        <v>8760</v>
      </c>
      <c r="I30" s="1176">
        <v>8760</v>
      </c>
      <c r="J30" s="1176">
        <v>8760</v>
      </c>
      <c r="K30" s="1176">
        <v>0</v>
      </c>
      <c r="L30" s="1176">
        <v>0</v>
      </c>
      <c r="M30" s="1176">
        <v>0</v>
      </c>
      <c r="N30" s="1176">
        <v>0</v>
      </c>
      <c r="O30" s="1176">
        <v>0</v>
      </c>
      <c r="P30" s="1176">
        <v>8760</v>
      </c>
      <c r="Q30" s="1176">
        <v>8760</v>
      </c>
      <c r="R30" s="1182">
        <f t="shared" si="2"/>
        <v>1</v>
      </c>
      <c r="S30" s="1182">
        <f t="shared" si="3"/>
        <v>1</v>
      </c>
      <c r="U30" s="1301">
        <f t="shared" si="4"/>
        <v>8.01</v>
      </c>
      <c r="V30" s="386" t="str">
        <f t="shared" si="5"/>
        <v xml:space="preserve">Bettenzimmer </v>
      </c>
      <c r="W30" s="1596">
        <v>2.4</v>
      </c>
      <c r="X30" s="1596">
        <v>0.55000000000000004</v>
      </c>
      <c r="Y30" s="1595" t="s">
        <v>1521</v>
      </c>
      <c r="Z30" s="1594">
        <v>7010</v>
      </c>
      <c r="AA30" s="1597">
        <f t="shared" si="6"/>
        <v>9.2532000000000014</v>
      </c>
      <c r="AB30" s="1596">
        <v>1.666666666666667</v>
      </c>
      <c r="AC30" s="1596">
        <f t="shared" si="7"/>
        <v>0.55000000000000004</v>
      </c>
      <c r="AD30" s="1594" t="str">
        <f>Eingabedaten!$CI32</f>
        <v>einstufig</v>
      </c>
      <c r="AE30" s="1594">
        <f t="shared" si="8"/>
        <v>8760</v>
      </c>
      <c r="AF30" s="1597">
        <f t="shared" si="9"/>
        <v>8.0300000000000011</v>
      </c>
      <c r="AG30" s="1596">
        <f>'Resultate Standard'!AD29</f>
        <v>1.9333333333333333</v>
      </c>
      <c r="AH30" s="1596">
        <f t="shared" si="0"/>
        <v>0.55000000000000004</v>
      </c>
      <c r="AI30" s="1594" t="str">
        <f>Eingabedaten!$CI32</f>
        <v>einstufig</v>
      </c>
      <c r="AJ30" s="1594">
        <f t="shared" si="10"/>
        <v>8760</v>
      </c>
      <c r="AK30" s="1597">
        <f t="shared" si="11"/>
        <v>9.3148000000000017</v>
      </c>
      <c r="AL30" s="1650">
        <f t="shared" si="12"/>
        <v>80.022831050228319</v>
      </c>
      <c r="AM30" s="1598">
        <f t="shared" si="13"/>
        <v>115.23287671232877</v>
      </c>
      <c r="AN30" s="1598">
        <f t="shared" si="14"/>
        <v>99.338686820973066</v>
      </c>
      <c r="AO30" s="1602">
        <f t="shared" si="15"/>
        <v>4.9280000000000261E-2</v>
      </c>
      <c r="AQ30" s="1650">
        <v>7010</v>
      </c>
      <c r="AR30" s="1596">
        <f t="shared" si="1"/>
        <v>1</v>
      </c>
      <c r="AS30" s="1596">
        <f t="shared" si="16"/>
        <v>0.80022831050228316</v>
      </c>
    </row>
    <row r="31" spans="1:45">
      <c r="A31" s="634">
        <f>Eingabedaten!A33</f>
        <v>8.02</v>
      </c>
      <c r="B31" s="379" t="str">
        <f>Eingabedaten!C33</f>
        <v xml:space="preserve">Stationszimmer </v>
      </c>
      <c r="C31" s="379"/>
      <c r="D31" s="1175">
        <v>8760</v>
      </c>
      <c r="E31" s="1175">
        <v>8760</v>
      </c>
      <c r="F31" s="1175">
        <v>7180</v>
      </c>
      <c r="G31" s="1175">
        <v>4750</v>
      </c>
      <c r="H31" s="1175">
        <v>4020</v>
      </c>
      <c r="I31" s="1175">
        <v>5740</v>
      </c>
      <c r="J31" s="1175">
        <v>4140</v>
      </c>
      <c r="K31" s="1175">
        <v>4020</v>
      </c>
      <c r="L31" s="1175">
        <v>730</v>
      </c>
      <c r="M31" s="1175">
        <v>0</v>
      </c>
      <c r="N31" s="1175">
        <v>2920</v>
      </c>
      <c r="O31" s="1175">
        <v>0</v>
      </c>
      <c r="P31" s="1175">
        <v>1100</v>
      </c>
      <c r="Q31" s="1175">
        <v>3140</v>
      </c>
      <c r="R31" s="1181">
        <f t="shared" si="2"/>
        <v>0.81963470319634701</v>
      </c>
      <c r="S31" s="1181">
        <f t="shared" si="3"/>
        <v>0.4726027397260274</v>
      </c>
      <c r="U31" s="634">
        <f t="shared" si="4"/>
        <v>8.02</v>
      </c>
      <c r="V31" s="379" t="str">
        <f t="shared" si="5"/>
        <v xml:space="preserve">Stationszimmer </v>
      </c>
      <c r="W31" s="1596">
        <v>12</v>
      </c>
      <c r="X31" s="1596">
        <v>0.55000000000000004</v>
      </c>
      <c r="Y31" s="1594" t="s">
        <v>191</v>
      </c>
      <c r="Z31" s="1594">
        <v>2920</v>
      </c>
      <c r="AA31" s="1597">
        <f t="shared" si="6"/>
        <v>19.271999999999998</v>
      </c>
      <c r="AB31" s="1596">
        <v>8.3333333333333339</v>
      </c>
      <c r="AC31" s="1596">
        <f t="shared" si="7"/>
        <v>0.55000000000000004</v>
      </c>
      <c r="AD31" s="1594" t="str">
        <f>Eingabedaten!$CI33</f>
        <v>stufenlos</v>
      </c>
      <c r="AE31" s="1594">
        <f t="shared" si="8"/>
        <v>3140</v>
      </c>
      <c r="AF31" s="1597">
        <f t="shared" si="9"/>
        <v>14.391666666666667</v>
      </c>
      <c r="AG31" s="1596">
        <f>'Resultate Standard'!AD30</f>
        <v>9.6666666666666661</v>
      </c>
      <c r="AH31" s="1596">
        <f t="shared" si="0"/>
        <v>0.55000000000000004</v>
      </c>
      <c r="AI31" s="1594" t="str">
        <f>Eingabedaten!$CI33</f>
        <v>stufenlos</v>
      </c>
      <c r="AJ31" s="1594">
        <f t="shared" si="10"/>
        <v>3140</v>
      </c>
      <c r="AK31" s="1597">
        <f t="shared" si="11"/>
        <v>16.694333333333333</v>
      </c>
      <c r="AL31" s="1650">
        <f t="shared" si="12"/>
        <v>92.99363057324841</v>
      </c>
      <c r="AM31" s="1598">
        <f t="shared" si="13"/>
        <v>133.91082802547768</v>
      </c>
      <c r="AN31" s="1598">
        <f t="shared" si="14"/>
        <v>115.44036898748077</v>
      </c>
      <c r="AO31" s="1602">
        <f t="shared" si="15"/>
        <v>-2.0621333333333327</v>
      </c>
      <c r="AQ31" s="1650">
        <v>5309.090909090909</v>
      </c>
      <c r="AR31" s="1596">
        <f t="shared" si="1"/>
        <v>1</v>
      </c>
      <c r="AS31" s="1596">
        <f t="shared" si="16"/>
        <v>1.282389108476065</v>
      </c>
    </row>
    <row r="32" spans="1:45">
      <c r="A32" s="638">
        <f>Eingabedaten!A34</f>
        <v>8.0299999999999994</v>
      </c>
      <c r="B32" s="387" t="str">
        <f>Eingabedaten!C34</f>
        <v>Behandlungsraum</v>
      </c>
      <c r="C32" s="387"/>
      <c r="D32" s="1177">
        <v>4695</v>
      </c>
      <c r="E32" s="1177">
        <v>4695</v>
      </c>
      <c r="F32" s="1177">
        <v>3970</v>
      </c>
      <c r="G32" s="1177">
        <v>2190</v>
      </c>
      <c r="H32" s="1177">
        <v>2500</v>
      </c>
      <c r="I32" s="1177">
        <v>3300</v>
      </c>
      <c r="J32" s="1177">
        <v>2600</v>
      </c>
      <c r="K32" s="1177">
        <v>1880</v>
      </c>
      <c r="L32" s="1177">
        <v>310</v>
      </c>
      <c r="M32" s="1177">
        <v>0</v>
      </c>
      <c r="N32" s="1177">
        <v>940</v>
      </c>
      <c r="O32" s="1177">
        <v>630</v>
      </c>
      <c r="P32" s="1177">
        <v>940</v>
      </c>
      <c r="Q32" s="1177">
        <v>2140</v>
      </c>
      <c r="R32" s="1183">
        <f t="shared" si="2"/>
        <v>0.84558040468583595</v>
      </c>
      <c r="S32" s="1183">
        <f t="shared" si="3"/>
        <v>0.55378061767838127</v>
      </c>
      <c r="U32" s="638">
        <f t="shared" si="4"/>
        <v>8.0299999999999994</v>
      </c>
      <c r="V32" s="387" t="str">
        <f t="shared" si="5"/>
        <v>Behandlungsraum</v>
      </c>
      <c r="W32" s="1596">
        <v>7.2</v>
      </c>
      <c r="X32" s="1596">
        <v>0.55000000000000004</v>
      </c>
      <c r="Y32" s="1595" t="s">
        <v>1522</v>
      </c>
      <c r="Z32" s="1594">
        <v>1960</v>
      </c>
      <c r="AA32" s="1597">
        <f t="shared" si="6"/>
        <v>7.7616000000000005</v>
      </c>
      <c r="AB32" s="1596">
        <v>5.0000000000000009</v>
      </c>
      <c r="AC32" s="1596">
        <f t="shared" si="7"/>
        <v>0.55000000000000004</v>
      </c>
      <c r="AD32" s="1594" t="str">
        <f>Eingabedaten!$CI34</f>
        <v>zweistufig</v>
      </c>
      <c r="AE32" s="1594">
        <f t="shared" si="8"/>
        <v>3300</v>
      </c>
      <c r="AF32" s="1597">
        <f t="shared" si="9"/>
        <v>9.0750000000000028</v>
      </c>
      <c r="AG32" s="1596">
        <f>'Resultate Standard'!AD31</f>
        <v>5.8</v>
      </c>
      <c r="AH32" s="1596">
        <f t="shared" si="0"/>
        <v>0.55000000000000004</v>
      </c>
      <c r="AI32" s="1594" t="str">
        <f>Eingabedaten!$CI34</f>
        <v>zweistufig</v>
      </c>
      <c r="AJ32" s="1594">
        <f t="shared" si="10"/>
        <v>3300</v>
      </c>
      <c r="AK32" s="1597">
        <f t="shared" si="11"/>
        <v>10.526999999999999</v>
      </c>
      <c r="AL32" s="1650">
        <f t="shared" si="12"/>
        <v>59.393939393939391</v>
      </c>
      <c r="AM32" s="1598">
        <f t="shared" si="13"/>
        <v>85.527272727272702</v>
      </c>
      <c r="AN32" s="1598">
        <f t="shared" si="14"/>
        <v>73.730407523510991</v>
      </c>
      <c r="AO32" s="1602">
        <f t="shared" si="15"/>
        <v>2.2123199999999992</v>
      </c>
      <c r="AQ32" s="1650">
        <v>2800</v>
      </c>
      <c r="AR32" s="1596">
        <f t="shared" si="1"/>
        <v>1</v>
      </c>
      <c r="AS32" s="1596">
        <f t="shared" si="16"/>
        <v>0.70528967254408059</v>
      </c>
    </row>
    <row r="33" spans="1:45">
      <c r="A33" s="1472">
        <f>Eingabedaten!A35</f>
        <v>9.01</v>
      </c>
      <c r="B33" s="386" t="str">
        <f>Eingabedaten!C35</f>
        <v>Produktion (grobe Arbeit)</v>
      </c>
      <c r="C33" s="386"/>
      <c r="D33" s="1176">
        <v>6240</v>
      </c>
      <c r="E33" s="1176">
        <v>6240</v>
      </c>
      <c r="F33" s="1176">
        <v>5110</v>
      </c>
      <c r="G33" s="1176">
        <v>3380</v>
      </c>
      <c r="H33" s="1176">
        <v>2860</v>
      </c>
      <c r="I33" s="1176">
        <v>4090</v>
      </c>
      <c r="J33" s="1176">
        <v>3780</v>
      </c>
      <c r="K33" s="1176">
        <v>1820</v>
      </c>
      <c r="L33" s="1176">
        <v>0</v>
      </c>
      <c r="M33" s="1176">
        <v>1560</v>
      </c>
      <c r="N33" s="1176">
        <v>0</v>
      </c>
      <c r="O33" s="1176">
        <v>1560</v>
      </c>
      <c r="P33" s="1176">
        <v>1300</v>
      </c>
      <c r="Q33" s="1176">
        <v>3200</v>
      </c>
      <c r="R33" s="1182">
        <f t="shared" si="2"/>
        <v>0.81891025641025639</v>
      </c>
      <c r="S33" s="1182">
        <f t="shared" si="3"/>
        <v>0.60576923076923073</v>
      </c>
      <c r="U33" s="1472">
        <f t="shared" si="4"/>
        <v>9.01</v>
      </c>
      <c r="V33" s="386" t="str">
        <f t="shared" si="5"/>
        <v>Produktion (grobe Arbeit)</v>
      </c>
      <c r="W33" s="1596">
        <v>10</v>
      </c>
      <c r="X33" s="1596">
        <v>0.55000000000000004</v>
      </c>
      <c r="Y33" s="1595" t="s">
        <v>1522</v>
      </c>
      <c r="Z33" s="1594">
        <v>3240</v>
      </c>
      <c r="AA33" s="1597">
        <f t="shared" si="6"/>
        <v>17.82</v>
      </c>
      <c r="AB33" s="1596">
        <v>2.7777777777777781</v>
      </c>
      <c r="AC33" s="1596">
        <f t="shared" si="7"/>
        <v>0.55000000000000004</v>
      </c>
      <c r="AD33" s="1594" t="str">
        <f>Eingabedaten!$CI35</f>
        <v>zweistufig</v>
      </c>
      <c r="AE33" s="1594">
        <f t="shared" si="8"/>
        <v>4090</v>
      </c>
      <c r="AF33" s="1597">
        <f t="shared" si="9"/>
        <v>6.2486111111111118</v>
      </c>
      <c r="AG33" s="1596">
        <f>'Resultate Standard'!AD32</f>
        <v>3.2222222222222223</v>
      </c>
      <c r="AH33" s="1596">
        <f t="shared" si="0"/>
        <v>0.55000000000000004</v>
      </c>
      <c r="AI33" s="1594" t="str">
        <f>Eingabedaten!$CI35</f>
        <v>zweistufig</v>
      </c>
      <c r="AJ33" s="1594">
        <f t="shared" si="10"/>
        <v>4090</v>
      </c>
      <c r="AK33" s="1597">
        <f t="shared" si="11"/>
        <v>7.2483888888888899</v>
      </c>
      <c r="AL33" s="1650">
        <f t="shared" si="12"/>
        <v>79.217603911980447</v>
      </c>
      <c r="AM33" s="1598">
        <f t="shared" si="13"/>
        <v>285.18337408312954</v>
      </c>
      <c r="AN33" s="1598">
        <f t="shared" si="14"/>
        <v>245.84773627855995</v>
      </c>
      <c r="AO33" s="1602">
        <f t="shared" si="15"/>
        <v>-8.457288888888888</v>
      </c>
      <c r="AQ33" s="1650">
        <v>4628.5714285714284</v>
      </c>
      <c r="AR33" s="1596">
        <f t="shared" si="1"/>
        <v>1</v>
      </c>
      <c r="AS33" s="1596">
        <f t="shared" si="16"/>
        <v>0.90578697232317584</v>
      </c>
    </row>
    <row r="34" spans="1:45">
      <c r="A34" s="634">
        <f>Eingabedaten!A36</f>
        <v>9.02</v>
      </c>
      <c r="B34" s="379" t="str">
        <f>Eingabedaten!C36</f>
        <v>Produktion (feine Arbeit)</v>
      </c>
      <c r="C34" s="1122"/>
      <c r="D34" s="1175">
        <v>3900</v>
      </c>
      <c r="E34" s="1175">
        <v>3900</v>
      </c>
      <c r="F34" s="1175">
        <v>3290</v>
      </c>
      <c r="G34" s="1175">
        <v>1820</v>
      </c>
      <c r="H34" s="1175">
        <v>2080</v>
      </c>
      <c r="I34" s="1175">
        <v>2740</v>
      </c>
      <c r="J34" s="1175">
        <v>2160</v>
      </c>
      <c r="K34" s="1175">
        <v>1560</v>
      </c>
      <c r="L34" s="1175">
        <v>260</v>
      </c>
      <c r="M34" s="1175">
        <v>0</v>
      </c>
      <c r="N34" s="1175">
        <v>780</v>
      </c>
      <c r="O34" s="1175">
        <v>520</v>
      </c>
      <c r="P34" s="1175">
        <v>780</v>
      </c>
      <c r="Q34" s="1175">
        <v>1780</v>
      </c>
      <c r="R34" s="1181">
        <f t="shared" si="2"/>
        <v>0.84358974358974359</v>
      </c>
      <c r="S34" s="1181">
        <f t="shared" si="3"/>
        <v>0.55384615384615388</v>
      </c>
      <c r="U34" s="634">
        <f t="shared" si="4"/>
        <v>9.02</v>
      </c>
      <c r="V34" s="379" t="str">
        <f t="shared" si="5"/>
        <v>Produktion (feine Arbeit)</v>
      </c>
      <c r="W34" s="1596">
        <v>10</v>
      </c>
      <c r="X34" s="1596">
        <v>0.55000000000000004</v>
      </c>
      <c r="Y34" s="1595" t="s">
        <v>1522</v>
      </c>
      <c r="Z34" s="1594">
        <v>1630</v>
      </c>
      <c r="AA34" s="1597">
        <f t="shared" si="6"/>
        <v>8.9649999999999999</v>
      </c>
      <c r="AB34" s="1596">
        <v>1.666666666666667</v>
      </c>
      <c r="AC34" s="1596">
        <f t="shared" si="7"/>
        <v>0.55000000000000004</v>
      </c>
      <c r="AD34" s="1594" t="str">
        <f>Eingabedaten!$CI36</f>
        <v>einstufig</v>
      </c>
      <c r="AE34" s="1594">
        <f t="shared" si="8"/>
        <v>3900</v>
      </c>
      <c r="AF34" s="1597">
        <f t="shared" si="9"/>
        <v>3.5750000000000011</v>
      </c>
      <c r="AG34" s="1596">
        <f>'Resultate Standard'!AD33</f>
        <v>1.9333333333333333</v>
      </c>
      <c r="AH34" s="1596">
        <f t="shared" si="0"/>
        <v>0.55000000000000004</v>
      </c>
      <c r="AI34" s="1594" t="str">
        <f>Eingabedaten!$CI36</f>
        <v>einstufig</v>
      </c>
      <c r="AJ34" s="1594">
        <f t="shared" si="10"/>
        <v>3900</v>
      </c>
      <c r="AK34" s="1597">
        <f t="shared" si="11"/>
        <v>4.1470000000000011</v>
      </c>
      <c r="AL34" s="1650">
        <f t="shared" si="12"/>
        <v>41.794871794871796</v>
      </c>
      <c r="AM34" s="1598">
        <f t="shared" si="13"/>
        <v>250.76923076923069</v>
      </c>
      <c r="AN34" s="1598">
        <f t="shared" si="14"/>
        <v>216.18037135278507</v>
      </c>
      <c r="AO34" s="1602">
        <f t="shared" si="15"/>
        <v>-3.8543999999999992</v>
      </c>
      <c r="AQ34" s="1650">
        <v>2328.5714285714289</v>
      </c>
      <c r="AR34" s="1596">
        <f t="shared" si="1"/>
        <v>1.0000000000000002</v>
      </c>
      <c r="AS34" s="1596">
        <f t="shared" si="16"/>
        <v>0.59706959706959717</v>
      </c>
    </row>
    <row r="35" spans="1:45">
      <c r="A35" s="638">
        <f>Eingabedaten!A37</f>
        <v>9.0299999999999994</v>
      </c>
      <c r="B35" s="387" t="str">
        <f>Eingabedaten!C37</f>
        <v>Laborraum</v>
      </c>
      <c r="C35" s="387"/>
      <c r="D35" s="1177">
        <v>3900</v>
      </c>
      <c r="E35" s="1177">
        <v>3900</v>
      </c>
      <c r="F35" s="1177">
        <v>3290</v>
      </c>
      <c r="G35" s="1177">
        <v>1820</v>
      </c>
      <c r="H35" s="1177">
        <v>2080</v>
      </c>
      <c r="I35" s="1177">
        <v>2740</v>
      </c>
      <c r="J35" s="1177">
        <v>2160</v>
      </c>
      <c r="K35" s="1177">
        <v>1560</v>
      </c>
      <c r="L35" s="1177">
        <v>260</v>
      </c>
      <c r="M35" s="1177">
        <v>0</v>
      </c>
      <c r="N35" s="1177">
        <v>780</v>
      </c>
      <c r="O35" s="1177">
        <v>520</v>
      </c>
      <c r="P35" s="1177">
        <v>780</v>
      </c>
      <c r="Q35" s="1177">
        <v>1780</v>
      </c>
      <c r="R35" s="1183">
        <f t="shared" si="2"/>
        <v>0.84358974358974359</v>
      </c>
      <c r="S35" s="1183">
        <f t="shared" si="3"/>
        <v>0.55384615384615388</v>
      </c>
      <c r="U35" s="638">
        <f t="shared" si="4"/>
        <v>9.0299999999999994</v>
      </c>
      <c r="V35" s="387" t="str">
        <f t="shared" si="5"/>
        <v>Laborraum</v>
      </c>
      <c r="W35" s="1596">
        <v>20</v>
      </c>
      <c r="X35" s="1596">
        <v>0.55000000000000004</v>
      </c>
      <c r="Y35" s="1594" t="s">
        <v>191</v>
      </c>
      <c r="Z35" s="1594">
        <v>1470</v>
      </c>
      <c r="AA35" s="1597">
        <f t="shared" si="6"/>
        <v>16.170000000000002</v>
      </c>
      <c r="AB35" s="1596">
        <v>1.666666666666667</v>
      </c>
      <c r="AC35" s="1596">
        <f t="shared" si="7"/>
        <v>0.55000000000000004</v>
      </c>
      <c r="AD35" s="1594" t="str">
        <f>Eingabedaten!$CI37</f>
        <v>einstufig</v>
      </c>
      <c r="AE35" s="1594">
        <f t="shared" si="8"/>
        <v>3900</v>
      </c>
      <c r="AF35" s="1597">
        <f t="shared" si="9"/>
        <v>3.5750000000000011</v>
      </c>
      <c r="AG35" s="1596">
        <f>'Resultate Standard'!AD34</f>
        <v>1.9333333333333333</v>
      </c>
      <c r="AH35" s="1596">
        <f t="shared" si="0"/>
        <v>0.55000000000000004</v>
      </c>
      <c r="AI35" s="1594" t="str">
        <f>Eingabedaten!$CI37</f>
        <v>einstufig</v>
      </c>
      <c r="AJ35" s="1594">
        <f t="shared" si="10"/>
        <v>3900</v>
      </c>
      <c r="AK35" s="1597">
        <f t="shared" si="11"/>
        <v>4.1470000000000011</v>
      </c>
      <c r="AL35" s="1650">
        <f t="shared" si="12"/>
        <v>37.692307692307693</v>
      </c>
      <c r="AM35" s="1598">
        <f t="shared" si="13"/>
        <v>452.30769230769221</v>
      </c>
      <c r="AN35" s="1598">
        <f t="shared" si="14"/>
        <v>389.92042440318295</v>
      </c>
      <c r="AO35" s="1602">
        <f t="shared" si="15"/>
        <v>-9.6184000000000012</v>
      </c>
      <c r="AQ35" s="1650">
        <v>2672.7272727272725</v>
      </c>
      <c r="AR35" s="1596">
        <f t="shared" si="1"/>
        <v>1</v>
      </c>
      <c r="AS35" s="1596">
        <f t="shared" si="16"/>
        <v>0.68531468531468531</v>
      </c>
    </row>
    <row r="36" spans="1:45">
      <c r="A36" s="634">
        <f>Eingabedaten!A38</f>
        <v>10.01</v>
      </c>
      <c r="B36" s="379" t="str">
        <f>Eingabedaten!C38</f>
        <v>Lagerhalle</v>
      </c>
      <c r="C36" s="1122"/>
      <c r="D36" s="1175">
        <v>6240</v>
      </c>
      <c r="E36" s="1175">
        <v>6240</v>
      </c>
      <c r="F36" s="1175">
        <v>5110</v>
      </c>
      <c r="G36" s="1175">
        <v>3380</v>
      </c>
      <c r="H36" s="1175">
        <v>2860</v>
      </c>
      <c r="I36" s="1175">
        <v>4090</v>
      </c>
      <c r="J36" s="1175">
        <v>3780</v>
      </c>
      <c r="K36" s="1175">
        <v>1820</v>
      </c>
      <c r="L36" s="1175">
        <v>0</v>
      </c>
      <c r="M36" s="1175">
        <v>1560</v>
      </c>
      <c r="N36" s="1175">
        <v>0</v>
      </c>
      <c r="O36" s="1175">
        <v>1560</v>
      </c>
      <c r="P36" s="1175">
        <v>1300</v>
      </c>
      <c r="Q36" s="1175">
        <v>3200</v>
      </c>
      <c r="R36" s="1181">
        <f t="shared" si="2"/>
        <v>0.81891025641025639</v>
      </c>
      <c r="S36" s="1181">
        <f t="shared" si="3"/>
        <v>0.60576923076923073</v>
      </c>
      <c r="U36" s="634">
        <f t="shared" si="4"/>
        <v>10.01</v>
      </c>
      <c r="V36" s="379" t="str">
        <f t="shared" si="5"/>
        <v>Lagerhalle</v>
      </c>
      <c r="W36" s="1596">
        <v>1.5</v>
      </c>
      <c r="X36" s="1596">
        <v>0.34</v>
      </c>
      <c r="Y36" s="1595" t="s">
        <v>1521</v>
      </c>
      <c r="Z36" s="1594">
        <v>4990</v>
      </c>
      <c r="AA36" s="1597">
        <f t="shared" si="6"/>
        <v>2.5449000000000002</v>
      </c>
      <c r="AB36" s="1596">
        <v>1.0416666666666667</v>
      </c>
      <c r="AC36" s="1596">
        <f t="shared" si="7"/>
        <v>0.34</v>
      </c>
      <c r="AD36" s="1594" t="str">
        <f>Eingabedaten!$CI38</f>
        <v>einstufig</v>
      </c>
      <c r="AE36" s="1594">
        <f t="shared" si="8"/>
        <v>6240</v>
      </c>
      <c r="AF36" s="1597">
        <f t="shared" si="9"/>
        <v>2.2100000000000004</v>
      </c>
      <c r="AG36" s="1596">
        <f>'Resultate Standard'!AD35</f>
        <v>1.2083333333333335</v>
      </c>
      <c r="AH36" s="1596">
        <f t="shared" si="0"/>
        <v>0.34</v>
      </c>
      <c r="AI36" s="1594" t="str">
        <f>Eingabedaten!$CI38</f>
        <v>einstufig</v>
      </c>
      <c r="AJ36" s="1594">
        <f t="shared" si="10"/>
        <v>6240</v>
      </c>
      <c r="AK36" s="1597">
        <f t="shared" si="11"/>
        <v>2.563600000000001</v>
      </c>
      <c r="AL36" s="1650">
        <f t="shared" si="12"/>
        <v>79.967948717948715</v>
      </c>
      <c r="AM36" s="1598">
        <f t="shared" si="13"/>
        <v>115.15384615384613</v>
      </c>
      <c r="AN36" s="1598">
        <f t="shared" si="14"/>
        <v>99.270557029177695</v>
      </c>
      <c r="AO36" s="1602">
        <f t="shared" si="15"/>
        <v>1.4960000000000662E-2</v>
      </c>
      <c r="AQ36" s="1650">
        <v>4990</v>
      </c>
      <c r="AR36" s="1596">
        <f t="shared" si="1"/>
        <v>1</v>
      </c>
      <c r="AS36" s="1596">
        <f t="shared" si="16"/>
        <v>0.79967948717948723</v>
      </c>
    </row>
    <row r="37" spans="1:45">
      <c r="A37" s="1472">
        <f>Eingabedaten!A39</f>
        <v>11.01</v>
      </c>
      <c r="B37" s="386" t="str">
        <f>Eingabedaten!C39</f>
        <v>Turnhalle</v>
      </c>
      <c r="C37" s="1121"/>
      <c r="D37" s="1176">
        <v>4780</v>
      </c>
      <c r="E37" s="1176">
        <v>4780</v>
      </c>
      <c r="F37" s="1176">
        <v>4060</v>
      </c>
      <c r="G37" s="1176">
        <v>2150</v>
      </c>
      <c r="H37" s="1176">
        <v>2630</v>
      </c>
      <c r="I37" s="1176">
        <v>3410</v>
      </c>
      <c r="J37" s="1176">
        <v>3070</v>
      </c>
      <c r="K37" s="1176">
        <v>1200</v>
      </c>
      <c r="L37" s="1176">
        <v>0</v>
      </c>
      <c r="M37" s="1176">
        <v>960</v>
      </c>
      <c r="N37" s="1176">
        <v>0</v>
      </c>
      <c r="O37" s="1176">
        <v>1670</v>
      </c>
      <c r="P37" s="1176">
        <v>960</v>
      </c>
      <c r="Q37" s="1176">
        <v>2640</v>
      </c>
      <c r="R37" s="1182">
        <f t="shared" si="2"/>
        <v>0.84937238493723854</v>
      </c>
      <c r="S37" s="1182">
        <f t="shared" si="3"/>
        <v>0.64225941422594146</v>
      </c>
      <c r="U37" s="1472">
        <f t="shared" si="4"/>
        <v>11.01</v>
      </c>
      <c r="V37" s="386" t="str">
        <f t="shared" si="5"/>
        <v>Turnhalle</v>
      </c>
      <c r="W37" s="1596">
        <v>4.5</v>
      </c>
      <c r="X37" s="1596">
        <v>0.34</v>
      </c>
      <c r="Y37" s="1595" t="s">
        <v>1521</v>
      </c>
      <c r="Z37" s="1594">
        <v>3300</v>
      </c>
      <c r="AA37" s="1597">
        <f t="shared" si="6"/>
        <v>5.0490000000000004</v>
      </c>
      <c r="AB37" s="1596">
        <v>3.1250000000000004</v>
      </c>
      <c r="AC37" s="1596">
        <f t="shared" si="7"/>
        <v>0.34</v>
      </c>
      <c r="AD37" s="1594" t="str">
        <f>Eingabedaten!$CI39</f>
        <v>zweistufig</v>
      </c>
      <c r="AE37" s="1594">
        <f t="shared" si="8"/>
        <v>3410</v>
      </c>
      <c r="AF37" s="1597">
        <f t="shared" si="9"/>
        <v>3.6231250000000008</v>
      </c>
      <c r="AG37" s="1596">
        <f>'Resultate Standard'!AD36</f>
        <v>3.625</v>
      </c>
      <c r="AH37" s="1596">
        <f t="shared" si="0"/>
        <v>0.34</v>
      </c>
      <c r="AI37" s="1594" t="str">
        <f>Eingabedaten!$CI39</f>
        <v>zweistufig</v>
      </c>
      <c r="AJ37" s="1594">
        <f t="shared" si="10"/>
        <v>3410</v>
      </c>
      <c r="AK37" s="1597">
        <f t="shared" si="11"/>
        <v>4.2028250000000007</v>
      </c>
      <c r="AL37" s="1650">
        <f t="shared" si="12"/>
        <v>96.774193548387089</v>
      </c>
      <c r="AM37" s="1598">
        <f t="shared" si="13"/>
        <v>139.35483870967741</v>
      </c>
      <c r="AN37" s="1598">
        <f t="shared" si="14"/>
        <v>120.13348164627362</v>
      </c>
      <c r="AO37" s="1602">
        <f t="shared" si="15"/>
        <v>-0.67693999999999976</v>
      </c>
      <c r="AQ37" s="1650">
        <v>3300</v>
      </c>
      <c r="AR37" s="1596">
        <f t="shared" si="1"/>
        <v>1</v>
      </c>
      <c r="AS37" s="1596">
        <f t="shared" si="16"/>
        <v>0.81280788177339902</v>
      </c>
    </row>
    <row r="38" spans="1:45">
      <c r="A38" s="634">
        <f>Eingabedaten!A40</f>
        <v>11.02</v>
      </c>
      <c r="B38" s="379" t="str">
        <f>Eingabedaten!C40</f>
        <v>Fitnessraum</v>
      </c>
      <c r="C38" s="379"/>
      <c r="D38" s="1175">
        <v>6260</v>
      </c>
      <c r="E38" s="1175">
        <v>6260</v>
      </c>
      <c r="F38" s="1175">
        <v>5320</v>
      </c>
      <c r="G38" s="1175">
        <v>2820</v>
      </c>
      <c r="H38" s="1175">
        <v>3440</v>
      </c>
      <c r="I38" s="1175">
        <v>4470</v>
      </c>
      <c r="J38" s="1175">
        <v>4020</v>
      </c>
      <c r="K38" s="1175">
        <v>1570</v>
      </c>
      <c r="L38" s="1175">
        <v>0</v>
      </c>
      <c r="M38" s="1175">
        <v>1250</v>
      </c>
      <c r="N38" s="1175">
        <v>0</v>
      </c>
      <c r="O38" s="1175">
        <v>2190</v>
      </c>
      <c r="P38" s="1175">
        <v>1250</v>
      </c>
      <c r="Q38" s="1175">
        <v>3460</v>
      </c>
      <c r="R38" s="1181">
        <f t="shared" si="2"/>
        <v>0.84984025559105436</v>
      </c>
      <c r="S38" s="1181">
        <f t="shared" si="3"/>
        <v>0.64217252396166136</v>
      </c>
      <c r="U38" s="634">
        <f t="shared" si="4"/>
        <v>11.02</v>
      </c>
      <c r="V38" s="379" t="str">
        <f t="shared" si="5"/>
        <v>Fitnessraum</v>
      </c>
      <c r="W38" s="1596">
        <v>9</v>
      </c>
      <c r="X38" s="1596">
        <v>0.55000000000000004</v>
      </c>
      <c r="Y38" s="1595" t="s">
        <v>1522</v>
      </c>
      <c r="Z38" s="1594">
        <v>3370</v>
      </c>
      <c r="AA38" s="1597">
        <f t="shared" si="6"/>
        <v>16.6815</v>
      </c>
      <c r="AB38" s="1596">
        <v>6.2500000000000009</v>
      </c>
      <c r="AC38" s="1596">
        <f t="shared" si="7"/>
        <v>0.55000000000000004</v>
      </c>
      <c r="AD38" s="1594" t="str">
        <f>Eingabedaten!$CI40</f>
        <v>stufenlos</v>
      </c>
      <c r="AE38" s="1594">
        <f t="shared" si="8"/>
        <v>3460</v>
      </c>
      <c r="AF38" s="1597">
        <f t="shared" si="9"/>
        <v>11.893750000000004</v>
      </c>
      <c r="AG38" s="1596">
        <f>'Resultate Standard'!AD37</f>
        <v>7.25</v>
      </c>
      <c r="AH38" s="1596">
        <f t="shared" si="0"/>
        <v>0.55000000000000004</v>
      </c>
      <c r="AI38" s="1594" t="str">
        <f>Eingabedaten!$CI40</f>
        <v>stufenlos</v>
      </c>
      <c r="AJ38" s="1594">
        <f t="shared" si="10"/>
        <v>3460</v>
      </c>
      <c r="AK38" s="1597">
        <f t="shared" si="11"/>
        <v>13.796750000000001</v>
      </c>
      <c r="AL38" s="1650">
        <f t="shared" si="12"/>
        <v>97.398843930635834</v>
      </c>
      <c r="AM38" s="1598">
        <f t="shared" si="13"/>
        <v>140.25433526011557</v>
      </c>
      <c r="AN38" s="1598">
        <f t="shared" si="14"/>
        <v>120.9089097069962</v>
      </c>
      <c r="AO38" s="1602">
        <f t="shared" si="15"/>
        <v>-2.307799999999999</v>
      </c>
      <c r="AQ38" s="1650">
        <v>4814.2857142857147</v>
      </c>
      <c r="AR38" s="1596">
        <f t="shared" si="1"/>
        <v>1</v>
      </c>
      <c r="AS38" s="1596">
        <f t="shared" si="16"/>
        <v>1.1975835110163469</v>
      </c>
    </row>
    <row r="39" spans="1:45">
      <c r="A39" s="638">
        <f>Eingabedaten!A41</f>
        <v>11.03</v>
      </c>
      <c r="B39" s="387" t="str">
        <f>Eingabedaten!C41</f>
        <v>Schwimmhalle</v>
      </c>
      <c r="C39" s="1093"/>
      <c r="D39" s="1177">
        <v>6260</v>
      </c>
      <c r="E39" s="1177">
        <v>6260</v>
      </c>
      <c r="F39" s="1177">
        <v>5320</v>
      </c>
      <c r="G39" s="1177">
        <v>2820</v>
      </c>
      <c r="H39" s="1177">
        <v>3440</v>
      </c>
      <c r="I39" s="1177">
        <v>4470</v>
      </c>
      <c r="J39" s="1177">
        <v>4020</v>
      </c>
      <c r="K39" s="1177">
        <v>1570</v>
      </c>
      <c r="L39" s="1177">
        <v>0</v>
      </c>
      <c r="M39" s="1177">
        <v>1250</v>
      </c>
      <c r="N39" s="1177">
        <v>0</v>
      </c>
      <c r="O39" s="1177">
        <v>2190</v>
      </c>
      <c r="P39" s="1177">
        <v>1250</v>
      </c>
      <c r="Q39" s="1177">
        <v>3460</v>
      </c>
      <c r="R39" s="1183">
        <f t="shared" si="2"/>
        <v>0.84984025559105436</v>
      </c>
      <c r="S39" s="1183">
        <f t="shared" si="3"/>
        <v>0.64217252396166136</v>
      </c>
      <c r="U39" s="638">
        <f t="shared" si="4"/>
        <v>11.03</v>
      </c>
      <c r="V39" s="387" t="str">
        <f t="shared" si="5"/>
        <v>Schwimmhalle</v>
      </c>
      <c r="W39" s="1596">
        <v>3.6</v>
      </c>
      <c r="X39" s="1596">
        <v>0.55000000000000004</v>
      </c>
      <c r="Y39" s="1595" t="s">
        <v>1521</v>
      </c>
      <c r="Z39" s="1594">
        <v>4510</v>
      </c>
      <c r="AA39" s="1597">
        <f t="shared" si="6"/>
        <v>8.929800000000002</v>
      </c>
      <c r="AB39" s="1596">
        <v>4.166666666666667</v>
      </c>
      <c r="AC39" s="1596">
        <f t="shared" si="7"/>
        <v>0.55000000000000004</v>
      </c>
      <c r="AD39" s="1594" t="str">
        <f>Eingabedaten!$CI41</f>
        <v>zweistufig</v>
      </c>
      <c r="AE39" s="1594">
        <f t="shared" si="8"/>
        <v>4470</v>
      </c>
      <c r="AF39" s="1597">
        <f t="shared" si="9"/>
        <v>10.243750000000002</v>
      </c>
      <c r="AG39" s="1596">
        <f>'Resultate Standard'!AD38</f>
        <v>4.8333333333333339</v>
      </c>
      <c r="AH39" s="1596">
        <f t="shared" si="0"/>
        <v>0.55000000000000004</v>
      </c>
      <c r="AI39" s="1594" t="str">
        <f>Eingabedaten!$CI41</f>
        <v>zweistufig</v>
      </c>
      <c r="AJ39" s="1594">
        <f t="shared" si="10"/>
        <v>4470</v>
      </c>
      <c r="AK39" s="1597">
        <f t="shared" si="11"/>
        <v>11.882750000000001</v>
      </c>
      <c r="AL39" s="1650">
        <f t="shared" si="12"/>
        <v>100.89485458612975</v>
      </c>
      <c r="AM39" s="1598">
        <f t="shared" si="13"/>
        <v>87.173154362416113</v>
      </c>
      <c r="AN39" s="1598">
        <f t="shared" si="14"/>
        <v>75.149271002082855</v>
      </c>
      <c r="AO39" s="1602">
        <f t="shared" si="15"/>
        <v>2.3623599999999998</v>
      </c>
      <c r="AQ39" s="1650">
        <v>4510</v>
      </c>
      <c r="AR39" s="1596">
        <f t="shared" si="1"/>
        <v>1</v>
      </c>
      <c r="AS39" s="1596">
        <f t="shared" si="16"/>
        <v>0.84774436090225569</v>
      </c>
    </row>
    <row r="40" spans="1:45">
      <c r="A40" s="1472">
        <f>Eingabedaten!A42</f>
        <v>12.01</v>
      </c>
      <c r="B40" s="386" t="str">
        <f>Eingabedaten!C42</f>
        <v>Verkehrsfläche</v>
      </c>
      <c r="C40" s="386"/>
      <c r="D40" s="1176">
        <v>4420</v>
      </c>
      <c r="E40" s="1176">
        <v>4420</v>
      </c>
      <c r="F40" s="1176">
        <v>2950</v>
      </c>
      <c r="G40" s="1176">
        <v>4420</v>
      </c>
      <c r="H40" s="1176">
        <v>0</v>
      </c>
      <c r="I40" s="1176">
        <v>1610</v>
      </c>
      <c r="J40" s="1176">
        <v>1530</v>
      </c>
      <c r="K40" s="1176">
        <v>1560</v>
      </c>
      <c r="L40" s="1176">
        <v>2860</v>
      </c>
      <c r="M40" s="1176">
        <v>0</v>
      </c>
      <c r="N40" s="1176">
        <v>0</v>
      </c>
      <c r="O40" s="1176">
        <v>0</v>
      </c>
      <c r="P40" s="1176">
        <v>0</v>
      </c>
      <c r="Q40" s="1176">
        <v>920</v>
      </c>
      <c r="R40" s="1182">
        <f t="shared" si="2"/>
        <v>0.66742081447963797</v>
      </c>
      <c r="S40" s="1182">
        <f t="shared" si="3"/>
        <v>0.34615384615384615</v>
      </c>
      <c r="U40" s="1472">
        <f t="shared" si="4"/>
        <v>12.01</v>
      </c>
      <c r="V40" s="386" t="str">
        <f t="shared" si="5"/>
        <v>Verkehrsfläche</v>
      </c>
      <c r="W40" s="1596">
        <v>2</v>
      </c>
      <c r="X40" s="1596">
        <v>0.55000000000000004</v>
      </c>
      <c r="Y40" s="1595" t="s">
        <v>1521</v>
      </c>
      <c r="Z40" s="1594">
        <v>3120</v>
      </c>
      <c r="AA40" s="1597">
        <f t="shared" si="6"/>
        <v>3.4320000000000004</v>
      </c>
      <c r="AB40" s="1596">
        <v>0.5</v>
      </c>
      <c r="AC40" s="1596">
        <f t="shared" si="7"/>
        <v>0.55000000000000004</v>
      </c>
      <c r="AD40" s="1594" t="str">
        <f>Eingabedaten!$CI42</f>
        <v>einstufig</v>
      </c>
      <c r="AE40" s="1594">
        <f t="shared" si="8"/>
        <v>4420</v>
      </c>
      <c r="AF40" s="1597">
        <f t="shared" si="9"/>
        <v>1.2155</v>
      </c>
      <c r="AG40" s="1596">
        <f>'Resultate Standard'!AD39</f>
        <v>0.5</v>
      </c>
      <c r="AH40" s="1596">
        <f t="shared" si="0"/>
        <v>0.55000000000000004</v>
      </c>
      <c r="AI40" s="1594" t="str">
        <f>Eingabedaten!$CI42</f>
        <v>einstufig</v>
      </c>
      <c r="AJ40" s="1594">
        <f t="shared" si="10"/>
        <v>4420</v>
      </c>
      <c r="AK40" s="1597">
        <f t="shared" si="11"/>
        <v>1.2155</v>
      </c>
      <c r="AL40" s="1650">
        <f t="shared" si="12"/>
        <v>70.588235294117638</v>
      </c>
      <c r="AM40" s="1598">
        <f t="shared" si="13"/>
        <v>282.35294117647061</v>
      </c>
      <c r="AN40" s="1598">
        <f t="shared" si="14"/>
        <v>282.35294117647061</v>
      </c>
      <c r="AO40" s="1602">
        <f t="shared" si="15"/>
        <v>-1.7732000000000003</v>
      </c>
      <c r="AQ40" s="1650">
        <v>3120</v>
      </c>
      <c r="AR40" s="1596">
        <f t="shared" si="1"/>
        <v>1</v>
      </c>
      <c r="AS40" s="1596">
        <f t="shared" si="16"/>
        <v>0.70588235294117652</v>
      </c>
    </row>
    <row r="41" spans="1:45">
      <c r="A41" s="634">
        <f>Eingabedaten!A43</f>
        <v>12.02</v>
      </c>
      <c r="B41" s="379" t="str">
        <f>Eingabedaten!C43</f>
        <v>Verkehrsfläche 24 h</v>
      </c>
      <c r="C41" s="379"/>
      <c r="D41" s="1175">
        <v>6240</v>
      </c>
      <c r="E41" s="1175">
        <v>6240</v>
      </c>
      <c r="F41" s="1175">
        <v>4160</v>
      </c>
      <c r="G41" s="1175">
        <v>6240</v>
      </c>
      <c r="H41" s="1175">
        <v>0</v>
      </c>
      <c r="I41" s="1175">
        <v>2270</v>
      </c>
      <c r="J41" s="1175">
        <v>1990</v>
      </c>
      <c r="K41" s="1175">
        <v>3380</v>
      </c>
      <c r="L41" s="1175">
        <v>2860</v>
      </c>
      <c r="M41" s="1175">
        <v>0</v>
      </c>
      <c r="N41" s="1175">
        <v>0</v>
      </c>
      <c r="O41" s="1175">
        <v>0</v>
      </c>
      <c r="P41" s="1175">
        <v>0</v>
      </c>
      <c r="Q41" s="1175">
        <v>1150</v>
      </c>
      <c r="R41" s="1181">
        <f t="shared" si="2"/>
        <v>0.66666666666666663</v>
      </c>
      <c r="S41" s="1181">
        <f t="shared" si="3"/>
        <v>0.31891025641025639</v>
      </c>
      <c r="U41" s="634">
        <f t="shared" si="4"/>
        <v>12.02</v>
      </c>
      <c r="V41" s="379" t="str">
        <f t="shared" si="5"/>
        <v>Verkehrsfläche 24 h</v>
      </c>
      <c r="W41" s="1596">
        <v>2</v>
      </c>
      <c r="X41" s="1596">
        <v>0.55000000000000004</v>
      </c>
      <c r="Y41" s="1595" t="s">
        <v>1521</v>
      </c>
      <c r="Z41" s="1594">
        <v>4990</v>
      </c>
      <c r="AA41" s="1597">
        <f t="shared" si="6"/>
        <v>5.4889999999999999</v>
      </c>
      <c r="AB41" s="1596">
        <v>0.5</v>
      </c>
      <c r="AC41" s="1596">
        <f t="shared" si="7"/>
        <v>0.55000000000000004</v>
      </c>
      <c r="AD41" s="1594" t="str">
        <f>Eingabedaten!$CI43</f>
        <v>einstufig</v>
      </c>
      <c r="AE41" s="1594">
        <f t="shared" si="8"/>
        <v>6240</v>
      </c>
      <c r="AF41" s="1597">
        <f t="shared" si="9"/>
        <v>1.7160000000000002</v>
      </c>
      <c r="AG41" s="1596">
        <f>'Resultate Standard'!AD40</f>
        <v>0.5</v>
      </c>
      <c r="AH41" s="1596">
        <f t="shared" si="0"/>
        <v>0.55000000000000004</v>
      </c>
      <c r="AI41" s="1594" t="str">
        <f>Eingabedaten!$CI43</f>
        <v>einstufig</v>
      </c>
      <c r="AJ41" s="1594">
        <f t="shared" si="10"/>
        <v>6240</v>
      </c>
      <c r="AK41" s="1597">
        <f t="shared" si="11"/>
        <v>1.7160000000000002</v>
      </c>
      <c r="AL41" s="1650">
        <f t="shared" si="12"/>
        <v>79.967948717948715</v>
      </c>
      <c r="AM41" s="1598">
        <f t="shared" si="13"/>
        <v>319.87179487179486</v>
      </c>
      <c r="AN41" s="1598">
        <f t="shared" si="14"/>
        <v>319.87179487179486</v>
      </c>
      <c r="AO41" s="1602">
        <f t="shared" si="15"/>
        <v>-3.0183999999999997</v>
      </c>
      <c r="AQ41" s="1650">
        <v>4990</v>
      </c>
      <c r="AR41" s="1596">
        <f t="shared" si="1"/>
        <v>1</v>
      </c>
      <c r="AS41" s="1596">
        <f t="shared" si="16"/>
        <v>0.79967948717948723</v>
      </c>
    </row>
    <row r="42" spans="1:45">
      <c r="A42" s="634">
        <f>Eingabedaten!A44</f>
        <v>12.03</v>
      </c>
      <c r="B42" s="379" t="str">
        <f>Eingabedaten!C44</f>
        <v>Treppenhaus</v>
      </c>
      <c r="C42" s="379"/>
      <c r="D42" s="1175">
        <v>4420</v>
      </c>
      <c r="E42" s="1175">
        <v>4420</v>
      </c>
      <c r="F42" s="1175">
        <v>2950</v>
      </c>
      <c r="G42" s="1175">
        <v>4420</v>
      </c>
      <c r="H42" s="1175">
        <v>0</v>
      </c>
      <c r="I42" s="1175">
        <v>1610</v>
      </c>
      <c r="J42" s="1175">
        <v>1530</v>
      </c>
      <c r="K42" s="1175">
        <v>1560</v>
      </c>
      <c r="L42" s="1175">
        <v>2860</v>
      </c>
      <c r="M42" s="1175">
        <v>0</v>
      </c>
      <c r="N42" s="1175">
        <v>0</v>
      </c>
      <c r="O42" s="1175">
        <v>0</v>
      </c>
      <c r="P42" s="1175">
        <v>0</v>
      </c>
      <c r="Q42" s="1175">
        <v>920</v>
      </c>
      <c r="R42" s="1181">
        <f t="shared" si="2"/>
        <v>0.66742081447963797</v>
      </c>
      <c r="S42" s="1181">
        <f t="shared" si="3"/>
        <v>0.34615384615384615</v>
      </c>
      <c r="U42" s="634">
        <f t="shared" si="4"/>
        <v>12.03</v>
      </c>
      <c r="V42" s="379" t="str">
        <f t="shared" si="5"/>
        <v>Treppenhaus</v>
      </c>
      <c r="W42" s="1596">
        <v>2</v>
      </c>
      <c r="X42" s="1596">
        <v>0.55000000000000004</v>
      </c>
      <c r="Y42" s="1594"/>
      <c r="Z42" s="1594">
        <v>0</v>
      </c>
      <c r="AA42" s="1597">
        <f t="shared" si="6"/>
        <v>0</v>
      </c>
      <c r="AB42" s="1596">
        <v>0.5</v>
      </c>
      <c r="AC42" s="1596">
        <f t="shared" si="7"/>
        <v>0.55000000000000004</v>
      </c>
      <c r="AD42" s="1594" t="str">
        <f>Eingabedaten!$CI44</f>
        <v/>
      </c>
      <c r="AE42" s="1594"/>
      <c r="AF42" s="1597">
        <f t="shared" si="9"/>
        <v>0</v>
      </c>
      <c r="AG42" s="1596">
        <f>'Resultate Standard'!AD41</f>
        <v>0.5</v>
      </c>
      <c r="AH42" s="1596">
        <f t="shared" si="0"/>
        <v>0.55000000000000004</v>
      </c>
      <c r="AI42" s="1594" t="str">
        <f>Eingabedaten!$CI44</f>
        <v/>
      </c>
      <c r="AJ42" s="1594"/>
      <c r="AK42" s="1597">
        <f t="shared" si="11"/>
        <v>0</v>
      </c>
      <c r="AL42" s="1650"/>
      <c r="AM42" s="1598"/>
      <c r="AN42" s="1598"/>
      <c r="AO42" s="1602">
        <f t="shared" si="15"/>
        <v>0</v>
      </c>
      <c r="AQ42" s="1594"/>
      <c r="AR42" s="1596"/>
      <c r="AS42" s="1596"/>
    </row>
    <row r="43" spans="1:45">
      <c r="A43" s="634">
        <f>Eingabedaten!A45</f>
        <v>12.04</v>
      </c>
      <c r="B43" s="379" t="str">
        <f>Eingabedaten!C45</f>
        <v>Nebenraum</v>
      </c>
      <c r="C43" s="379"/>
      <c r="D43" s="1175">
        <v>4420</v>
      </c>
      <c r="E43" s="1175">
        <v>4420</v>
      </c>
      <c r="F43" s="1175">
        <v>2950</v>
      </c>
      <c r="G43" s="1175">
        <v>4420</v>
      </c>
      <c r="H43" s="1175">
        <v>0</v>
      </c>
      <c r="I43" s="1175">
        <v>1610</v>
      </c>
      <c r="J43" s="1175">
        <v>1530</v>
      </c>
      <c r="K43" s="1175">
        <v>1560</v>
      </c>
      <c r="L43" s="1175">
        <v>2860</v>
      </c>
      <c r="M43" s="1175">
        <v>0</v>
      </c>
      <c r="N43" s="1175">
        <v>0</v>
      </c>
      <c r="O43" s="1175">
        <v>0</v>
      </c>
      <c r="P43" s="1175">
        <v>0</v>
      </c>
      <c r="Q43" s="1175">
        <v>920</v>
      </c>
      <c r="R43" s="1181">
        <f t="shared" si="2"/>
        <v>0.66742081447963797</v>
      </c>
      <c r="S43" s="1181">
        <f t="shared" si="3"/>
        <v>0.34615384615384615</v>
      </c>
      <c r="U43" s="634">
        <f t="shared" si="4"/>
        <v>12.04</v>
      </c>
      <c r="V43" s="379" t="str">
        <f t="shared" si="5"/>
        <v>Nebenraum</v>
      </c>
      <c r="W43" s="1596">
        <v>0.5</v>
      </c>
      <c r="X43" s="1596">
        <v>0.28000000000000003</v>
      </c>
      <c r="Y43" s="1595" t="s">
        <v>1521</v>
      </c>
      <c r="Z43" s="1594">
        <v>3120</v>
      </c>
      <c r="AA43" s="1597">
        <f t="shared" si="6"/>
        <v>0.43680000000000008</v>
      </c>
      <c r="AB43" s="1596">
        <v>0.5</v>
      </c>
      <c r="AC43" s="1596">
        <f t="shared" si="7"/>
        <v>0.28000000000000003</v>
      </c>
      <c r="AD43" s="1594" t="str">
        <f>Eingabedaten!$CI45</f>
        <v>einstufig</v>
      </c>
      <c r="AE43" s="1594">
        <f t="shared" si="8"/>
        <v>4420</v>
      </c>
      <c r="AF43" s="1597">
        <f t="shared" si="9"/>
        <v>0.61880000000000002</v>
      </c>
      <c r="AG43" s="1596">
        <f>'Resultate Standard'!AD42</f>
        <v>0.5</v>
      </c>
      <c r="AH43" s="1596">
        <f t="shared" si="0"/>
        <v>0.28000000000000003</v>
      </c>
      <c r="AI43" s="1594" t="str">
        <f>Eingabedaten!$CI45</f>
        <v>einstufig</v>
      </c>
      <c r="AJ43" s="1594">
        <f t="shared" si="10"/>
        <v>4420</v>
      </c>
      <c r="AK43" s="1597">
        <f t="shared" si="11"/>
        <v>0.61880000000000002</v>
      </c>
      <c r="AL43" s="1650">
        <f t="shared" ref="AL43:AM47" si="17">Z43/AE43%</f>
        <v>70.588235294117638</v>
      </c>
      <c r="AM43" s="1598">
        <f t="shared" si="17"/>
        <v>70.588235294117666</v>
      </c>
      <c r="AN43" s="1598">
        <f>AA43/AK43%</f>
        <v>70.588235294117666</v>
      </c>
      <c r="AO43" s="1602">
        <f t="shared" si="15"/>
        <v>0.14559999999999995</v>
      </c>
      <c r="AQ43" s="1650">
        <v>3120</v>
      </c>
      <c r="AR43" s="1596">
        <f t="shared" ref="AR43:AR49" si="18">IF(Y43="einstufig",AQ43/Z43,IF(Y43="zweistufig",AQ43/Z43*0.7,AQ43/Z43*0.55))</f>
        <v>1</v>
      </c>
      <c r="AS43" s="1596">
        <f t="shared" si="16"/>
        <v>0.70588235294117652</v>
      </c>
    </row>
    <row r="44" spans="1:45">
      <c r="A44" s="634">
        <f>Eingabedaten!A46</f>
        <v>12.05</v>
      </c>
      <c r="B44" s="379" t="str">
        <f>Eingabedaten!C46</f>
        <v>Küche, Teeküche</v>
      </c>
      <c r="C44" s="379"/>
      <c r="D44" s="1175">
        <v>3900</v>
      </c>
      <c r="E44" s="1175">
        <v>3900</v>
      </c>
      <c r="F44" s="1175">
        <v>2860</v>
      </c>
      <c r="G44" s="1175">
        <v>3120</v>
      </c>
      <c r="H44" s="1175">
        <v>780</v>
      </c>
      <c r="I44" s="1175">
        <v>1910</v>
      </c>
      <c r="J44" s="1175">
        <v>1530</v>
      </c>
      <c r="K44" s="1175">
        <v>2600</v>
      </c>
      <c r="L44" s="1175">
        <v>520</v>
      </c>
      <c r="M44" s="1175">
        <v>0</v>
      </c>
      <c r="N44" s="1175">
        <v>0</v>
      </c>
      <c r="O44" s="1175">
        <v>520</v>
      </c>
      <c r="P44" s="1175">
        <v>260</v>
      </c>
      <c r="Q44" s="1175">
        <v>1090</v>
      </c>
      <c r="R44" s="1181">
        <f t="shared" si="2"/>
        <v>0.73333333333333328</v>
      </c>
      <c r="S44" s="1181">
        <f t="shared" si="3"/>
        <v>0.3923076923076923</v>
      </c>
      <c r="U44" s="634">
        <f t="shared" si="4"/>
        <v>12.05</v>
      </c>
      <c r="V44" s="379" t="str">
        <f t="shared" si="5"/>
        <v>Küche, Teeküche</v>
      </c>
      <c r="W44" s="1596">
        <v>20</v>
      </c>
      <c r="X44" s="1596">
        <v>0.55000000000000004</v>
      </c>
      <c r="Y44" s="1594" t="s">
        <v>191</v>
      </c>
      <c r="Z44" s="1594">
        <v>1030</v>
      </c>
      <c r="AA44" s="1597">
        <f t="shared" si="6"/>
        <v>11.33</v>
      </c>
      <c r="AB44" s="1596">
        <v>12.500000000000002</v>
      </c>
      <c r="AC44" s="1596">
        <f t="shared" si="7"/>
        <v>0.55000000000000004</v>
      </c>
      <c r="AD44" s="1594" t="str">
        <f>Eingabedaten!$CI46</f>
        <v>stufenlos</v>
      </c>
      <c r="AE44" s="1594">
        <f t="shared" si="8"/>
        <v>1090</v>
      </c>
      <c r="AF44" s="1597">
        <f t="shared" si="9"/>
        <v>7.4937500000000021</v>
      </c>
      <c r="AG44" s="1596">
        <f>'Resultate Standard'!AD43</f>
        <v>14.5</v>
      </c>
      <c r="AH44" s="1596">
        <f t="shared" si="0"/>
        <v>0.55000000000000004</v>
      </c>
      <c r="AI44" s="1594" t="str">
        <f>Eingabedaten!$CI46</f>
        <v>stufenlos</v>
      </c>
      <c r="AJ44" s="1594">
        <f t="shared" si="10"/>
        <v>1090</v>
      </c>
      <c r="AK44" s="1597">
        <f t="shared" si="11"/>
        <v>8.6927500000000002</v>
      </c>
      <c r="AL44" s="1650">
        <f t="shared" si="17"/>
        <v>94.495412844036693</v>
      </c>
      <c r="AM44" s="1598">
        <f t="shared" si="17"/>
        <v>151.19266055045867</v>
      </c>
      <c r="AN44" s="1598">
        <f>AA44/AK44%</f>
        <v>130.33850047453336</v>
      </c>
      <c r="AO44" s="1602">
        <f t="shared" si="15"/>
        <v>-2.1097999999999999</v>
      </c>
      <c r="AQ44" s="1650">
        <v>1872.7272727272725</v>
      </c>
      <c r="AR44" s="1596">
        <f t="shared" si="18"/>
        <v>0.99999999999999989</v>
      </c>
      <c r="AS44" s="1596">
        <f t="shared" si="16"/>
        <v>1.2240047534165179</v>
      </c>
    </row>
    <row r="45" spans="1:45">
      <c r="A45" s="634">
        <f>Eingabedaten!A47</f>
        <v>12.06</v>
      </c>
      <c r="B45" s="379" t="str">
        <f>Eingabedaten!C47</f>
        <v xml:space="preserve">WC, Bad, Dusche </v>
      </c>
      <c r="C45" s="379"/>
      <c r="D45" s="1175">
        <v>3900</v>
      </c>
      <c r="E45" s="1175">
        <v>3900</v>
      </c>
      <c r="F45" s="1175">
        <v>3120</v>
      </c>
      <c r="G45" s="1175">
        <v>2340</v>
      </c>
      <c r="H45" s="1175">
        <v>1560</v>
      </c>
      <c r="I45" s="1175">
        <v>2410</v>
      </c>
      <c r="J45" s="1175">
        <v>1850</v>
      </c>
      <c r="K45" s="1175">
        <v>1560</v>
      </c>
      <c r="L45" s="1175">
        <v>780</v>
      </c>
      <c r="M45" s="1175">
        <v>0</v>
      </c>
      <c r="N45" s="1175">
        <v>520</v>
      </c>
      <c r="O45" s="1175">
        <v>1040</v>
      </c>
      <c r="P45" s="1175">
        <v>0</v>
      </c>
      <c r="Q45" s="1175">
        <v>1380</v>
      </c>
      <c r="R45" s="1181">
        <f t="shared" si="2"/>
        <v>0.8</v>
      </c>
      <c r="S45" s="1181">
        <f t="shared" si="3"/>
        <v>0.47435897435897434</v>
      </c>
      <c r="U45" s="634">
        <f t="shared" si="4"/>
        <v>12.06</v>
      </c>
      <c r="V45" s="379" t="str">
        <f t="shared" si="5"/>
        <v xml:space="preserve">WC, Bad, Dusche </v>
      </c>
      <c r="W45" s="1596">
        <v>16</v>
      </c>
      <c r="X45" s="1596">
        <v>0.28000000000000003</v>
      </c>
      <c r="Y45" s="1594" t="s">
        <v>191</v>
      </c>
      <c r="Z45" s="1594">
        <v>1160</v>
      </c>
      <c r="AA45" s="1597">
        <f t="shared" si="6"/>
        <v>5.1968000000000005</v>
      </c>
      <c r="AB45" s="1596">
        <v>16</v>
      </c>
      <c r="AC45" s="1596">
        <f t="shared" si="7"/>
        <v>0.28000000000000003</v>
      </c>
      <c r="AD45" s="1594" t="str">
        <f>Eingabedaten!$CI47</f>
        <v>stufenlos</v>
      </c>
      <c r="AE45" s="1594">
        <f t="shared" si="8"/>
        <v>1380</v>
      </c>
      <c r="AF45" s="1597">
        <f t="shared" si="9"/>
        <v>6.1824000000000003</v>
      </c>
      <c r="AG45" s="1596">
        <f>'Resultate Standard'!AD44</f>
        <v>8</v>
      </c>
      <c r="AH45" s="1596">
        <f t="shared" si="0"/>
        <v>0.28000000000000003</v>
      </c>
      <c r="AI45" s="1594" t="str">
        <f>Eingabedaten!$CI47</f>
        <v>stufenlos</v>
      </c>
      <c r="AJ45" s="1594">
        <f t="shared" si="10"/>
        <v>1380</v>
      </c>
      <c r="AK45" s="1597">
        <f t="shared" si="11"/>
        <v>3.0912000000000002</v>
      </c>
      <c r="AL45" s="1650">
        <f t="shared" si="17"/>
        <v>84.05797101449275</v>
      </c>
      <c r="AM45" s="1598">
        <f t="shared" si="17"/>
        <v>84.05797101449275</v>
      </c>
      <c r="AN45" s="1598">
        <f>AA45/AK45%</f>
        <v>168.1159420289855</v>
      </c>
      <c r="AO45" s="1602">
        <f t="shared" si="15"/>
        <v>-1.6844800000000004</v>
      </c>
      <c r="AQ45" s="1650">
        <v>2109.090909090909</v>
      </c>
      <c r="AR45" s="1596">
        <f t="shared" si="18"/>
        <v>1</v>
      </c>
      <c r="AS45" s="1596">
        <f t="shared" si="16"/>
        <v>1.1400491400491399</v>
      </c>
    </row>
    <row r="46" spans="1:45">
      <c r="A46" s="633">
        <f>Eingabedaten!A48</f>
        <v>12.07</v>
      </c>
      <c r="B46" s="379" t="str">
        <f>Eingabedaten!C48</f>
        <v>WC</v>
      </c>
      <c r="C46" s="379"/>
      <c r="D46" s="1175">
        <v>3900</v>
      </c>
      <c r="E46" s="1175">
        <v>3900</v>
      </c>
      <c r="F46" s="1175">
        <v>3120</v>
      </c>
      <c r="G46" s="1175">
        <v>2340</v>
      </c>
      <c r="H46" s="1175">
        <v>1560</v>
      </c>
      <c r="I46" s="1175">
        <v>2410</v>
      </c>
      <c r="J46" s="1175">
        <v>1850</v>
      </c>
      <c r="K46" s="1175">
        <v>1560</v>
      </c>
      <c r="L46" s="1175">
        <v>780</v>
      </c>
      <c r="M46" s="1175">
        <v>0</v>
      </c>
      <c r="N46" s="1175">
        <v>520</v>
      </c>
      <c r="O46" s="1175">
        <v>1040</v>
      </c>
      <c r="P46" s="1175">
        <v>0</v>
      </c>
      <c r="Q46" s="1175">
        <v>1380</v>
      </c>
      <c r="R46" s="1181">
        <f t="shared" si="2"/>
        <v>0.8</v>
      </c>
      <c r="S46" s="1181">
        <f t="shared" si="3"/>
        <v>0.47435897435897434</v>
      </c>
      <c r="U46" s="633">
        <f t="shared" si="4"/>
        <v>12.07</v>
      </c>
      <c r="V46" s="379" t="str">
        <f t="shared" si="5"/>
        <v>WC</v>
      </c>
      <c r="W46" s="1596">
        <v>8</v>
      </c>
      <c r="X46" s="1596">
        <v>0.28000000000000003</v>
      </c>
      <c r="Y46" s="1595" t="s">
        <v>1522</v>
      </c>
      <c r="Z46" s="1594">
        <v>1490</v>
      </c>
      <c r="AA46" s="1597">
        <f t="shared" si="6"/>
        <v>3.3376000000000006</v>
      </c>
      <c r="AB46" s="1596">
        <v>8</v>
      </c>
      <c r="AC46" s="1596">
        <f t="shared" si="7"/>
        <v>0.28000000000000003</v>
      </c>
      <c r="AD46" s="1594" t="str">
        <f>Eingabedaten!$CI48</f>
        <v>stufenlos</v>
      </c>
      <c r="AE46" s="1594">
        <f t="shared" si="8"/>
        <v>1380</v>
      </c>
      <c r="AF46" s="1597">
        <f t="shared" si="9"/>
        <v>3.0912000000000002</v>
      </c>
      <c r="AG46" s="1596">
        <f>'Resultate Standard'!AD45</f>
        <v>8</v>
      </c>
      <c r="AH46" s="1596">
        <f t="shared" si="0"/>
        <v>0.28000000000000003</v>
      </c>
      <c r="AI46" s="1594" t="str">
        <f>Eingabedaten!$CI48</f>
        <v>stufenlos</v>
      </c>
      <c r="AJ46" s="1594">
        <f t="shared" si="10"/>
        <v>1380</v>
      </c>
      <c r="AK46" s="1597">
        <f t="shared" si="11"/>
        <v>3.0912000000000002</v>
      </c>
      <c r="AL46" s="1650">
        <f t="shared" si="17"/>
        <v>107.97101449275361</v>
      </c>
      <c r="AM46" s="1598">
        <f t="shared" si="17"/>
        <v>107.97101449275364</v>
      </c>
      <c r="AN46" s="1598">
        <f>AA46/AK46%</f>
        <v>107.97101449275364</v>
      </c>
      <c r="AO46" s="1602">
        <f t="shared" si="15"/>
        <v>-0.19712000000000032</v>
      </c>
      <c r="AQ46" s="1650">
        <v>2128.5714285714289</v>
      </c>
      <c r="AR46" s="1596">
        <f t="shared" si="18"/>
        <v>1.0000000000000002</v>
      </c>
      <c r="AS46" s="1596">
        <f t="shared" si="16"/>
        <v>1.1505791505791507</v>
      </c>
    </row>
    <row r="47" spans="1:45">
      <c r="A47" s="634">
        <f>Eingabedaten!A49</f>
        <v>12.08</v>
      </c>
      <c r="B47" s="379" t="str">
        <f>Eingabedaten!C49</f>
        <v>Garderobe, Dusche</v>
      </c>
      <c r="C47" s="379"/>
      <c r="D47" s="1175">
        <v>3900</v>
      </c>
      <c r="E47" s="1175">
        <v>3900</v>
      </c>
      <c r="F47" s="1175">
        <v>3120</v>
      </c>
      <c r="G47" s="1175">
        <v>2340</v>
      </c>
      <c r="H47" s="1175">
        <v>1560</v>
      </c>
      <c r="I47" s="1175">
        <v>2410</v>
      </c>
      <c r="J47" s="1175">
        <v>1850</v>
      </c>
      <c r="K47" s="1175">
        <v>1560</v>
      </c>
      <c r="L47" s="1175">
        <v>780</v>
      </c>
      <c r="M47" s="1175">
        <v>0</v>
      </c>
      <c r="N47" s="1175">
        <v>520</v>
      </c>
      <c r="O47" s="1175">
        <v>1040</v>
      </c>
      <c r="P47" s="1175">
        <v>0</v>
      </c>
      <c r="Q47" s="1175">
        <v>1380</v>
      </c>
      <c r="R47" s="1181">
        <f t="shared" si="2"/>
        <v>0.8</v>
      </c>
      <c r="S47" s="1181">
        <f t="shared" si="3"/>
        <v>0.47435897435897434</v>
      </c>
      <c r="U47" s="634">
        <f t="shared" si="4"/>
        <v>12.08</v>
      </c>
      <c r="V47" s="379" t="str">
        <f t="shared" si="5"/>
        <v>Garderobe, Dusche</v>
      </c>
      <c r="W47" s="1596">
        <v>20</v>
      </c>
      <c r="X47" s="1596">
        <v>0.28000000000000003</v>
      </c>
      <c r="Y47" s="1594" t="s">
        <v>191</v>
      </c>
      <c r="Z47" s="1594">
        <v>1160</v>
      </c>
      <c r="AA47" s="1597">
        <f t="shared" si="6"/>
        <v>6.4960000000000013</v>
      </c>
      <c r="AB47" s="1596">
        <v>20</v>
      </c>
      <c r="AC47" s="1596">
        <f t="shared" si="7"/>
        <v>0.28000000000000003</v>
      </c>
      <c r="AD47" s="1594" t="str">
        <f>Eingabedaten!$CI49</f>
        <v>stufenlos</v>
      </c>
      <c r="AE47" s="1594">
        <f t="shared" si="8"/>
        <v>1380</v>
      </c>
      <c r="AF47" s="1597">
        <f t="shared" si="9"/>
        <v>7.7280000000000006</v>
      </c>
      <c r="AG47" s="1839">
        <f>'Resultate Standard'!AD46</f>
        <v>8</v>
      </c>
      <c r="AH47" s="1596">
        <f t="shared" si="0"/>
        <v>0.28000000000000003</v>
      </c>
      <c r="AI47" s="1594" t="str">
        <f>Eingabedaten!$CI49</f>
        <v>stufenlos</v>
      </c>
      <c r="AJ47" s="1594">
        <f t="shared" si="10"/>
        <v>1380</v>
      </c>
      <c r="AK47" s="1597">
        <f t="shared" si="11"/>
        <v>3.0912000000000002</v>
      </c>
      <c r="AL47" s="1650">
        <f t="shared" si="17"/>
        <v>84.05797101449275</v>
      </c>
      <c r="AM47" s="1598">
        <f t="shared" si="17"/>
        <v>84.057971014492765</v>
      </c>
      <c r="AN47" s="1598">
        <f>AA47/AK47%</f>
        <v>210.1449275362319</v>
      </c>
      <c r="AO47" s="1602">
        <f t="shared" si="15"/>
        <v>-2.7238400000000009</v>
      </c>
      <c r="AQ47" s="1650">
        <v>2109.090909090909</v>
      </c>
      <c r="AR47" s="1596">
        <f t="shared" si="18"/>
        <v>1</v>
      </c>
      <c r="AS47" s="1596">
        <f t="shared" si="16"/>
        <v>1.1400491400491399</v>
      </c>
    </row>
    <row r="48" spans="1:45">
      <c r="A48" s="634">
        <f>Eingabedaten!A50</f>
        <v>12.09</v>
      </c>
      <c r="B48" s="379" t="str">
        <f>Eingabedaten!C50</f>
        <v>Parkhaus</v>
      </c>
      <c r="C48" s="379"/>
      <c r="D48" s="1175">
        <v>5475</v>
      </c>
      <c r="E48" s="1175">
        <v>5475</v>
      </c>
      <c r="F48" s="1175">
        <v>4380</v>
      </c>
      <c r="G48" s="1175">
        <v>3290</v>
      </c>
      <c r="H48" s="1175">
        <v>2190</v>
      </c>
      <c r="I48" s="1175">
        <v>3380</v>
      </c>
      <c r="J48" s="1175">
        <v>2590</v>
      </c>
      <c r="K48" s="1175">
        <v>2190</v>
      </c>
      <c r="L48" s="1175">
        <v>1100</v>
      </c>
      <c r="M48" s="1175">
        <v>0</v>
      </c>
      <c r="N48" s="1175">
        <v>730</v>
      </c>
      <c r="O48" s="1175">
        <v>1460</v>
      </c>
      <c r="P48" s="1175">
        <v>0</v>
      </c>
      <c r="Q48" s="1175">
        <v>1930</v>
      </c>
      <c r="R48" s="1181">
        <f t="shared" si="2"/>
        <v>0.8</v>
      </c>
      <c r="S48" s="1181">
        <f t="shared" si="3"/>
        <v>0.47305936073059363</v>
      </c>
      <c r="U48" s="634">
        <f t="shared" si="4"/>
        <v>12.09</v>
      </c>
      <c r="V48" s="379" t="str">
        <f t="shared" si="5"/>
        <v>Parkhaus</v>
      </c>
      <c r="W48" s="1596">
        <v>2</v>
      </c>
      <c r="X48" s="1596">
        <v>0.14000000000000001</v>
      </c>
      <c r="Y48" s="1595" t="s">
        <v>1521</v>
      </c>
      <c r="Z48" s="1594">
        <v>3800</v>
      </c>
      <c r="AA48" s="1597">
        <f t="shared" si="6"/>
        <v>1.0640000000000001</v>
      </c>
      <c r="AB48" s="1596"/>
      <c r="AC48" s="1596">
        <f t="shared" si="7"/>
        <v>0.14000000000000001</v>
      </c>
      <c r="AD48" s="1594" t="str">
        <f>Eingabedaten!$CI50</f>
        <v>einstufig</v>
      </c>
      <c r="AE48" s="1594">
        <f t="shared" si="8"/>
        <v>5475</v>
      </c>
      <c r="AF48" s="1597">
        <f t="shared" si="9"/>
        <v>0</v>
      </c>
      <c r="AG48" s="1596">
        <f>'Resultate Standard'!AD47</f>
        <v>0</v>
      </c>
      <c r="AH48" s="1596">
        <f t="shared" si="0"/>
        <v>0.14000000000000001</v>
      </c>
      <c r="AI48" s="1594" t="str">
        <f>Eingabedaten!$CI50</f>
        <v>einstufig</v>
      </c>
      <c r="AJ48" s="1594">
        <f t="shared" si="10"/>
        <v>5475</v>
      </c>
      <c r="AK48" s="1597">
        <f t="shared" si="11"/>
        <v>0</v>
      </c>
      <c r="AL48" s="1650">
        <f>Z48/AE48%</f>
        <v>69.406392694063925</v>
      </c>
      <c r="AM48" s="1598"/>
      <c r="AN48" s="1598"/>
      <c r="AO48" s="1602">
        <f t="shared" si="15"/>
        <v>-0.85120000000000007</v>
      </c>
      <c r="AQ48" s="1650">
        <v>3800</v>
      </c>
      <c r="AR48" s="1596">
        <f t="shared" si="18"/>
        <v>1</v>
      </c>
      <c r="AS48" s="1596">
        <f t="shared" si="16"/>
        <v>0.69406392694063923</v>
      </c>
    </row>
    <row r="49" spans="1:45">
      <c r="A49" s="634">
        <f>Eingabedaten!A51</f>
        <v>12.1</v>
      </c>
      <c r="B49" s="379" t="str">
        <f>Eingabedaten!C51</f>
        <v>Wasch- und Trockenraum</v>
      </c>
      <c r="C49" s="379"/>
      <c r="D49" s="1175">
        <v>3900</v>
      </c>
      <c r="E49" s="1175">
        <v>3900</v>
      </c>
      <c r="F49" s="1175">
        <v>3120</v>
      </c>
      <c r="G49" s="1175">
        <v>2340</v>
      </c>
      <c r="H49" s="1175">
        <v>1560</v>
      </c>
      <c r="I49" s="1175">
        <v>2410</v>
      </c>
      <c r="J49" s="1175">
        <v>1850</v>
      </c>
      <c r="K49" s="1175">
        <v>1560</v>
      </c>
      <c r="L49" s="1175">
        <v>780</v>
      </c>
      <c r="M49" s="1175">
        <v>0</v>
      </c>
      <c r="N49" s="1175">
        <v>520</v>
      </c>
      <c r="O49" s="1175">
        <v>1040</v>
      </c>
      <c r="P49" s="1175">
        <v>0</v>
      </c>
      <c r="Q49" s="1175">
        <v>1380</v>
      </c>
      <c r="R49" s="1181">
        <f t="shared" si="2"/>
        <v>0.8</v>
      </c>
      <c r="S49" s="1181">
        <f t="shared" si="3"/>
        <v>0.47435897435897434</v>
      </c>
      <c r="U49" s="634">
        <f t="shared" si="4"/>
        <v>12.1</v>
      </c>
      <c r="V49" s="379" t="str">
        <f t="shared" si="5"/>
        <v>Wasch- und Trockenraum</v>
      </c>
      <c r="W49" s="1596">
        <v>4</v>
      </c>
      <c r="X49" s="1596">
        <v>0.28000000000000003</v>
      </c>
      <c r="Y49" s="1595" t="s">
        <v>1521</v>
      </c>
      <c r="Z49" s="1594">
        <v>2700</v>
      </c>
      <c r="AA49" s="1597">
        <f t="shared" si="6"/>
        <v>3.0240000000000005</v>
      </c>
      <c r="AB49" s="1596">
        <v>4</v>
      </c>
      <c r="AC49" s="1596">
        <f t="shared" si="7"/>
        <v>0.28000000000000003</v>
      </c>
      <c r="AD49" s="1594" t="str">
        <f>Eingabedaten!$CI51</f>
        <v>zweistufig</v>
      </c>
      <c r="AE49" s="1594">
        <f t="shared" si="8"/>
        <v>2410</v>
      </c>
      <c r="AF49" s="1597">
        <f t="shared" si="9"/>
        <v>2.6992000000000003</v>
      </c>
      <c r="AG49" s="1596">
        <f>'Resultate Standard'!AD48</f>
        <v>4</v>
      </c>
      <c r="AH49" s="1596">
        <f t="shared" si="0"/>
        <v>0.28000000000000003</v>
      </c>
      <c r="AI49" s="1594" t="str">
        <f>Eingabedaten!$CI51</f>
        <v>zweistufig</v>
      </c>
      <c r="AJ49" s="1594">
        <f t="shared" si="10"/>
        <v>2410</v>
      </c>
      <c r="AK49" s="1597">
        <f t="shared" si="11"/>
        <v>2.6992000000000003</v>
      </c>
      <c r="AL49" s="1650">
        <f>Z49/AE49%</f>
        <v>112.03319502074689</v>
      </c>
      <c r="AM49" s="1598">
        <f>AA49/AF49%</f>
        <v>112.0331950207469</v>
      </c>
      <c r="AN49" s="1598">
        <f>AA49/AK49%</f>
        <v>112.0331950207469</v>
      </c>
      <c r="AO49" s="1602">
        <f t="shared" si="15"/>
        <v>-0.25984000000000018</v>
      </c>
      <c r="AQ49" s="1650">
        <v>2700</v>
      </c>
      <c r="AR49" s="1596">
        <f t="shared" si="18"/>
        <v>1</v>
      </c>
      <c r="AS49" s="1596">
        <f t="shared" si="16"/>
        <v>0.86538461538461542</v>
      </c>
    </row>
    <row r="50" spans="1:45">
      <c r="A50" s="656">
        <f>Eingabedaten!A52</f>
        <v>12.11</v>
      </c>
      <c r="B50" s="379" t="str">
        <f>Eingabedaten!C52</f>
        <v>Kühlraum</v>
      </c>
      <c r="C50" s="379"/>
      <c r="D50" s="1175">
        <v>0</v>
      </c>
      <c r="E50" s="1175">
        <v>0</v>
      </c>
      <c r="F50" s="1175">
        <v>0</v>
      </c>
      <c r="G50" s="1175">
        <v>0</v>
      </c>
      <c r="H50" s="1175">
        <v>0</v>
      </c>
      <c r="I50" s="1175">
        <v>0</v>
      </c>
      <c r="J50" s="1175">
        <v>0</v>
      </c>
      <c r="K50" s="1175">
        <v>0</v>
      </c>
      <c r="L50" s="1175">
        <v>0</v>
      </c>
      <c r="M50" s="1175">
        <v>0</v>
      </c>
      <c r="N50" s="1175">
        <v>0</v>
      </c>
      <c r="O50" s="1175">
        <v>0</v>
      </c>
      <c r="P50" s="1175">
        <v>0</v>
      </c>
      <c r="Q50" s="1175">
        <v>0</v>
      </c>
      <c r="R50" s="1181"/>
      <c r="S50" s="1181"/>
      <c r="U50" s="656">
        <f t="shared" si="4"/>
        <v>12.11</v>
      </c>
      <c r="V50" s="379" t="str">
        <f t="shared" si="5"/>
        <v>Kühlraum</v>
      </c>
      <c r="W50" s="1596">
        <v>0</v>
      </c>
      <c r="X50" s="1596">
        <v>0</v>
      </c>
      <c r="Y50" s="1594"/>
      <c r="Z50" s="1594">
        <v>0</v>
      </c>
      <c r="AA50" s="1597">
        <f t="shared" si="6"/>
        <v>0</v>
      </c>
      <c r="AB50" s="1596">
        <v>0</v>
      </c>
      <c r="AC50" s="1596">
        <f t="shared" si="7"/>
        <v>0</v>
      </c>
      <c r="AD50" s="1594" t="str">
        <f>Eingabedaten!$CI52</f>
        <v/>
      </c>
      <c r="AE50" s="1594"/>
      <c r="AF50" s="1597">
        <f t="shared" si="9"/>
        <v>0</v>
      </c>
      <c r="AG50" s="1596">
        <f>'Resultate Standard'!AD49</f>
        <v>0</v>
      </c>
      <c r="AH50" s="1596">
        <f t="shared" si="0"/>
        <v>0</v>
      </c>
      <c r="AI50" s="1594" t="str">
        <f>Eingabedaten!$CI52</f>
        <v/>
      </c>
      <c r="AJ50" s="1594"/>
      <c r="AK50" s="1597">
        <f t="shared" si="11"/>
        <v>0</v>
      </c>
      <c r="AL50" s="1650"/>
      <c r="AM50" s="1598"/>
      <c r="AN50" s="1598"/>
      <c r="AO50" s="1602">
        <f t="shared" si="15"/>
        <v>0</v>
      </c>
      <c r="AQ50" s="1594"/>
      <c r="AR50" s="1596"/>
      <c r="AS50" s="1596"/>
    </row>
    <row r="51" spans="1:45">
      <c r="A51" s="657">
        <f>Eingabedaten!A53</f>
        <v>12.12</v>
      </c>
      <c r="B51" s="389" t="str">
        <f>Eingabedaten!C53</f>
        <v>Serverraum</v>
      </c>
      <c r="C51" s="389"/>
      <c r="D51" s="480">
        <v>5475</v>
      </c>
      <c r="E51" s="480">
        <v>5475</v>
      </c>
      <c r="F51" s="480">
        <v>4380</v>
      </c>
      <c r="G51" s="480">
        <v>3290</v>
      </c>
      <c r="H51" s="480">
        <v>2190</v>
      </c>
      <c r="I51" s="480">
        <v>3380</v>
      </c>
      <c r="J51" s="480">
        <v>2590</v>
      </c>
      <c r="K51" s="480">
        <v>2190</v>
      </c>
      <c r="L51" s="480">
        <v>1100</v>
      </c>
      <c r="M51" s="480">
        <v>0</v>
      </c>
      <c r="N51" s="480">
        <v>730</v>
      </c>
      <c r="O51" s="480">
        <v>1460</v>
      </c>
      <c r="P51" s="480">
        <v>0</v>
      </c>
      <c r="Q51" s="480">
        <v>1930</v>
      </c>
      <c r="R51" s="1184">
        <f t="shared" si="2"/>
        <v>0.8</v>
      </c>
      <c r="S51" s="1184">
        <f t="shared" si="3"/>
        <v>0.47305936073059363</v>
      </c>
      <c r="U51" s="657">
        <f t="shared" si="4"/>
        <v>12.12</v>
      </c>
      <c r="V51" s="1260" t="str">
        <f t="shared" si="5"/>
        <v>Serverraum</v>
      </c>
      <c r="W51" s="1596">
        <v>2</v>
      </c>
      <c r="X51" s="1596">
        <v>0.55000000000000004</v>
      </c>
      <c r="Y51" s="1595" t="s">
        <v>1521</v>
      </c>
      <c r="Z51" s="1594">
        <v>3800</v>
      </c>
      <c r="AA51" s="1597">
        <f t="shared" si="6"/>
        <v>4.18</v>
      </c>
      <c r="AB51" s="1596">
        <v>0.5</v>
      </c>
      <c r="AC51" s="1596">
        <f t="shared" si="7"/>
        <v>0.55000000000000004</v>
      </c>
      <c r="AD51" s="1594" t="str">
        <f>Eingabedaten!$CI53</f>
        <v>einstufig</v>
      </c>
      <c r="AE51" s="1594">
        <f t="shared" si="8"/>
        <v>5475</v>
      </c>
      <c r="AF51" s="1597">
        <f t="shared" si="9"/>
        <v>1.5056250000000002</v>
      </c>
      <c r="AG51" s="1596">
        <f>'Resultate Standard'!AD50</f>
        <v>0.5</v>
      </c>
      <c r="AH51" s="1596">
        <f t="shared" si="0"/>
        <v>0.55000000000000004</v>
      </c>
      <c r="AI51" s="1594" t="str">
        <f>Eingabedaten!$CI53</f>
        <v>einstufig</v>
      </c>
      <c r="AJ51" s="1594">
        <f t="shared" si="10"/>
        <v>5475</v>
      </c>
      <c r="AK51" s="1597">
        <f t="shared" si="11"/>
        <v>1.5056250000000002</v>
      </c>
      <c r="AL51" s="1650">
        <f>Z51/AE51%</f>
        <v>69.406392694063925</v>
      </c>
      <c r="AM51" s="1598">
        <f>AA51/AF51%</f>
        <v>277.62557077625564</v>
      </c>
      <c r="AN51" s="1598">
        <f>AA51/AK51%</f>
        <v>277.62557077625564</v>
      </c>
      <c r="AO51" s="1602">
        <f t="shared" si="15"/>
        <v>-2.1394999999999995</v>
      </c>
      <c r="AQ51" s="1650">
        <v>3800</v>
      </c>
      <c r="AR51" s="1596">
        <f>IF(Y51="einstufig",AQ51/Z51,IF(Y51="zweistufig",AQ51/Z51*0.7,AQ51/Z51*0.55))</f>
        <v>1</v>
      </c>
      <c r="AS51" s="1596">
        <f t="shared" si="16"/>
        <v>0.69406392694063923</v>
      </c>
    </row>
    <row r="52" spans="1:45">
      <c r="A52" s="1212"/>
      <c r="B52" s="714" t="s">
        <v>1480</v>
      </c>
      <c r="C52" s="714"/>
      <c r="D52" s="1213"/>
      <c r="E52" s="1213"/>
      <c r="F52" s="1213"/>
      <c r="G52" s="1213"/>
      <c r="H52" s="1213"/>
      <c r="I52" s="1213"/>
      <c r="J52" s="1213"/>
      <c r="K52" s="1213"/>
      <c r="L52" s="1213"/>
      <c r="M52" s="1213"/>
      <c r="N52" s="1213"/>
      <c r="O52" s="1213"/>
      <c r="P52" s="1213"/>
      <c r="Q52" s="1214"/>
      <c r="R52" s="1215">
        <f>AVERAGE(R7:R51)</f>
        <v>0.80173286318847836</v>
      </c>
      <c r="S52" s="1216">
        <f>AVERAGE(S7:S51)</f>
        <v>0.5250767082164961</v>
      </c>
      <c r="AL52" s="1651">
        <v>100</v>
      </c>
      <c r="AM52" s="1651">
        <v>100</v>
      </c>
      <c r="AN52" s="1651">
        <v>100</v>
      </c>
      <c r="AO52" s="29">
        <v>0</v>
      </c>
    </row>
    <row r="53" spans="1:45">
      <c r="AL53" s="1651">
        <v>150</v>
      </c>
      <c r="AM53" s="1651">
        <v>1</v>
      </c>
      <c r="AN53" s="1651">
        <v>1</v>
      </c>
      <c r="AO53" s="1651">
        <v>10</v>
      </c>
    </row>
    <row r="55" spans="1:45">
      <c r="A55" s="1999" t="s">
        <v>1481</v>
      </c>
      <c r="B55" s="2000"/>
      <c r="C55" s="33" t="s">
        <v>1730</v>
      </c>
      <c r="D55" s="1209" t="s">
        <v>233</v>
      </c>
      <c r="E55" s="1210"/>
      <c r="F55" s="1209" t="s">
        <v>249</v>
      </c>
      <c r="G55" s="1211"/>
      <c r="H55" s="1211"/>
      <c r="I55" s="1210"/>
      <c r="J55" s="1209" t="s">
        <v>191</v>
      </c>
      <c r="K55" s="1211"/>
      <c r="L55" s="1211"/>
      <c r="M55" s="1211"/>
      <c r="N55" s="1211"/>
      <c r="O55" s="1211"/>
      <c r="P55" s="1211"/>
      <c r="Q55" s="1210"/>
    </row>
    <row r="56" spans="1:45" ht="54.75" customHeight="1">
      <c r="A56" s="1185"/>
      <c r="B56" s="31"/>
      <c r="C56" s="1185"/>
      <c r="D56" s="479" t="s">
        <v>1501</v>
      </c>
      <c r="E56" s="479" t="s">
        <v>1502</v>
      </c>
      <c r="F56" s="479" t="s">
        <v>1501</v>
      </c>
      <c r="G56" s="479" t="s">
        <v>1503</v>
      </c>
      <c r="H56" s="479" t="s">
        <v>1504</v>
      </c>
      <c r="I56" s="479" t="s">
        <v>1502</v>
      </c>
      <c r="J56" s="479" t="s">
        <v>1501</v>
      </c>
      <c r="K56" s="479" t="s">
        <v>1505</v>
      </c>
      <c r="L56" s="479" t="s">
        <v>1506</v>
      </c>
      <c r="M56" s="479" t="s">
        <v>1507</v>
      </c>
      <c r="N56" s="479" t="s">
        <v>1508</v>
      </c>
      <c r="O56" s="479" t="s">
        <v>1509</v>
      </c>
      <c r="P56" s="479" t="s">
        <v>1504</v>
      </c>
      <c r="Q56" s="479" t="s">
        <v>1502</v>
      </c>
    </row>
    <row r="57" spans="1:45">
      <c r="A57" s="1187"/>
      <c r="B57" s="94"/>
      <c r="C57" s="1187"/>
      <c r="D57" s="1171" t="s">
        <v>15</v>
      </c>
      <c r="E57" s="1171" t="s">
        <v>15</v>
      </c>
      <c r="F57" s="1171" t="s">
        <v>15</v>
      </c>
      <c r="G57" s="1171" t="s">
        <v>15</v>
      </c>
      <c r="H57" s="1171" t="s">
        <v>15</v>
      </c>
      <c r="I57" s="1171" t="s">
        <v>15</v>
      </c>
      <c r="J57" s="1171" t="s">
        <v>15</v>
      </c>
      <c r="K57" s="1171" t="s">
        <v>15</v>
      </c>
      <c r="L57" s="1171" t="s">
        <v>15</v>
      </c>
      <c r="M57" s="1171" t="s">
        <v>15</v>
      </c>
      <c r="N57" s="1171" t="s">
        <v>15</v>
      </c>
      <c r="O57" s="1171" t="s">
        <v>15</v>
      </c>
      <c r="P57" s="1171" t="s">
        <v>15</v>
      </c>
      <c r="Q57" s="1171" t="s">
        <v>15</v>
      </c>
    </row>
    <row r="58" spans="1:45">
      <c r="A58" s="1185">
        <f>A7</f>
        <v>1.01</v>
      </c>
      <c r="B58" s="1188" t="str">
        <f>B7</f>
        <v>Wohnen MFH</v>
      </c>
      <c r="C58" s="1185" t="s">
        <v>104</v>
      </c>
      <c r="D58" s="1218">
        <f>D7</f>
        <v>8760</v>
      </c>
      <c r="E58" s="1218">
        <f t="shared" ref="E58:Q58" si="19">E7</f>
        <v>8760</v>
      </c>
      <c r="F58" s="1218">
        <f t="shared" si="19"/>
        <v>7540</v>
      </c>
      <c r="G58" s="1218">
        <f t="shared" si="19"/>
        <v>3650</v>
      </c>
      <c r="H58" s="1218">
        <f t="shared" si="19"/>
        <v>5110</v>
      </c>
      <c r="I58" s="1218">
        <f t="shared" si="19"/>
        <v>6440</v>
      </c>
      <c r="J58" s="1218">
        <f t="shared" si="19"/>
        <v>5750</v>
      </c>
      <c r="K58" s="1218">
        <f t="shared" si="19"/>
        <v>2560</v>
      </c>
      <c r="L58" s="1218">
        <f t="shared" si="19"/>
        <v>1100</v>
      </c>
      <c r="M58" s="1218">
        <f t="shared" si="19"/>
        <v>0</v>
      </c>
      <c r="N58" s="1218">
        <f t="shared" si="19"/>
        <v>370</v>
      </c>
      <c r="O58" s="1218">
        <f t="shared" si="19"/>
        <v>1460</v>
      </c>
      <c r="P58" s="1218">
        <f t="shared" si="19"/>
        <v>3290</v>
      </c>
      <c r="Q58" s="1218">
        <f t="shared" si="19"/>
        <v>5100</v>
      </c>
      <c r="R58" s="1186"/>
    </row>
    <row r="59" spans="1:45">
      <c r="A59" s="1185">
        <f>A11</f>
        <v>3.01</v>
      </c>
      <c r="B59" s="1188" t="str">
        <f>B11</f>
        <v>Einzel-, Gruppenbüro</v>
      </c>
      <c r="C59" s="1185" t="s">
        <v>126</v>
      </c>
      <c r="D59" s="1192">
        <f t="shared" ref="D59:Q59" si="20">D11</f>
        <v>3900</v>
      </c>
      <c r="E59" s="1192">
        <f t="shared" si="20"/>
        <v>3900</v>
      </c>
      <c r="F59" s="1192">
        <f t="shared" si="20"/>
        <v>3290</v>
      </c>
      <c r="G59" s="1192">
        <f t="shared" si="20"/>
        <v>1820</v>
      </c>
      <c r="H59" s="1192">
        <f t="shared" si="20"/>
        <v>2080</v>
      </c>
      <c r="I59" s="1192">
        <f t="shared" si="20"/>
        <v>2740</v>
      </c>
      <c r="J59" s="1192">
        <f t="shared" si="20"/>
        <v>2160</v>
      </c>
      <c r="K59" s="1192">
        <f t="shared" si="20"/>
        <v>1560</v>
      </c>
      <c r="L59" s="1192">
        <f t="shared" si="20"/>
        <v>260</v>
      </c>
      <c r="M59" s="1192">
        <f t="shared" si="20"/>
        <v>0</v>
      </c>
      <c r="N59" s="1192">
        <f t="shared" si="20"/>
        <v>780</v>
      </c>
      <c r="O59" s="1192">
        <f t="shared" si="20"/>
        <v>520</v>
      </c>
      <c r="P59" s="1192">
        <f t="shared" si="20"/>
        <v>780</v>
      </c>
      <c r="Q59" s="1192">
        <f t="shared" si="20"/>
        <v>1780</v>
      </c>
      <c r="R59" s="1186"/>
    </row>
    <row r="60" spans="1:45">
      <c r="A60" s="1185">
        <f>A15</f>
        <v>4.01</v>
      </c>
      <c r="B60" s="1188" t="str">
        <f>B15</f>
        <v>Schulzimmer</v>
      </c>
      <c r="C60" s="1185" t="s">
        <v>128</v>
      </c>
      <c r="D60" s="1192">
        <f>D15</f>
        <v>3585</v>
      </c>
      <c r="E60" s="1192">
        <f t="shared" ref="E60:Q60" si="21">E15</f>
        <v>3585</v>
      </c>
      <c r="F60" s="1192">
        <f t="shared" si="21"/>
        <v>3030</v>
      </c>
      <c r="G60" s="1192">
        <f t="shared" si="21"/>
        <v>1670</v>
      </c>
      <c r="H60" s="1192">
        <f t="shared" si="21"/>
        <v>1910</v>
      </c>
      <c r="I60" s="1192">
        <f t="shared" si="21"/>
        <v>2520</v>
      </c>
      <c r="J60" s="1192">
        <f t="shared" si="21"/>
        <v>2070</v>
      </c>
      <c r="K60" s="1192">
        <f t="shared" si="21"/>
        <v>1200</v>
      </c>
      <c r="L60" s="1192">
        <f t="shared" si="21"/>
        <v>480</v>
      </c>
      <c r="M60" s="1192">
        <f t="shared" si="21"/>
        <v>0</v>
      </c>
      <c r="N60" s="1192">
        <f t="shared" si="21"/>
        <v>480</v>
      </c>
      <c r="O60" s="1192">
        <f t="shared" si="21"/>
        <v>720</v>
      </c>
      <c r="P60" s="1192">
        <f t="shared" si="21"/>
        <v>720</v>
      </c>
      <c r="Q60" s="1192">
        <f t="shared" si="21"/>
        <v>1720</v>
      </c>
      <c r="R60" s="1186"/>
    </row>
    <row r="61" spans="1:45">
      <c r="A61" s="1185">
        <f>A20</f>
        <v>5.01</v>
      </c>
      <c r="B61" s="1188" t="str">
        <f>B20</f>
        <v>Lebensmittelverkauf</v>
      </c>
      <c r="C61" s="1185" t="s">
        <v>61</v>
      </c>
      <c r="D61" s="1192">
        <f t="shared" ref="D61:Q61" si="22">D20</f>
        <v>6260</v>
      </c>
      <c r="E61" s="1192">
        <f t="shared" si="22"/>
        <v>6260</v>
      </c>
      <c r="F61" s="1192">
        <f t="shared" si="22"/>
        <v>4910</v>
      </c>
      <c r="G61" s="1192">
        <f t="shared" si="22"/>
        <v>4070</v>
      </c>
      <c r="H61" s="1192">
        <f t="shared" si="22"/>
        <v>2190</v>
      </c>
      <c r="I61" s="1192">
        <f t="shared" si="22"/>
        <v>3670</v>
      </c>
      <c r="J61" s="1192">
        <f t="shared" si="22"/>
        <v>3110</v>
      </c>
      <c r="K61" s="1192">
        <f t="shared" si="22"/>
        <v>2190</v>
      </c>
      <c r="L61" s="1192">
        <f t="shared" si="22"/>
        <v>1880</v>
      </c>
      <c r="M61" s="1192">
        <f t="shared" si="22"/>
        <v>0</v>
      </c>
      <c r="N61" s="1192">
        <f t="shared" si="22"/>
        <v>940</v>
      </c>
      <c r="O61" s="1192">
        <f t="shared" si="22"/>
        <v>0</v>
      </c>
      <c r="P61" s="1192">
        <f t="shared" si="22"/>
        <v>1250</v>
      </c>
      <c r="Q61" s="1192">
        <f t="shared" si="22"/>
        <v>2440</v>
      </c>
      <c r="R61" s="1186"/>
    </row>
    <row r="62" spans="1:45">
      <c r="A62" s="1185">
        <f>A23</f>
        <v>6.01</v>
      </c>
      <c r="B62" s="1188" t="str">
        <f>B23</f>
        <v>Restaurant</v>
      </c>
      <c r="C62" s="1185" t="s">
        <v>83</v>
      </c>
      <c r="D62" s="1192">
        <f t="shared" ref="D62:Q62" si="23">D23</f>
        <v>6260</v>
      </c>
      <c r="E62" s="1192">
        <f t="shared" si="23"/>
        <v>6260</v>
      </c>
      <c r="F62" s="1192">
        <f t="shared" si="23"/>
        <v>4700</v>
      </c>
      <c r="G62" s="1192">
        <f t="shared" si="23"/>
        <v>4700</v>
      </c>
      <c r="H62" s="1192">
        <f t="shared" si="23"/>
        <v>1570</v>
      </c>
      <c r="I62" s="1192">
        <f t="shared" si="23"/>
        <v>3270</v>
      </c>
      <c r="J62" s="1192">
        <f t="shared" si="23"/>
        <v>2360</v>
      </c>
      <c r="K62" s="1192">
        <f t="shared" si="23"/>
        <v>4700</v>
      </c>
      <c r="L62" s="1192">
        <f t="shared" si="23"/>
        <v>0</v>
      </c>
      <c r="M62" s="1192">
        <f t="shared" si="23"/>
        <v>0</v>
      </c>
      <c r="N62" s="1192">
        <f t="shared" si="23"/>
        <v>940</v>
      </c>
      <c r="O62" s="1192">
        <f t="shared" si="23"/>
        <v>0</v>
      </c>
      <c r="P62" s="1192">
        <f t="shared" si="23"/>
        <v>630</v>
      </c>
      <c r="Q62" s="1192">
        <f t="shared" si="23"/>
        <v>1650</v>
      </c>
      <c r="R62" s="1186"/>
    </row>
    <row r="63" spans="1:45">
      <c r="A63" s="1185">
        <f>A28</f>
        <v>7.02</v>
      </c>
      <c r="B63" s="1188" t="str">
        <f>B28</f>
        <v>Mehrzweckhalle</v>
      </c>
      <c r="C63" s="1185" t="s">
        <v>1513</v>
      </c>
      <c r="D63" s="1192">
        <f t="shared" ref="D63:Q63" si="24">D28</f>
        <v>6260</v>
      </c>
      <c r="E63" s="1192">
        <f t="shared" si="24"/>
        <v>6260</v>
      </c>
      <c r="F63" s="1192">
        <f t="shared" si="24"/>
        <v>5430</v>
      </c>
      <c r="G63" s="1192">
        <f t="shared" si="24"/>
        <v>2500</v>
      </c>
      <c r="H63" s="1192">
        <f t="shared" si="24"/>
        <v>3760</v>
      </c>
      <c r="I63" s="1192">
        <f t="shared" si="24"/>
        <v>4670</v>
      </c>
      <c r="J63" s="1192">
        <f t="shared" si="24"/>
        <v>3630</v>
      </c>
      <c r="K63" s="1192">
        <f t="shared" si="24"/>
        <v>2500</v>
      </c>
      <c r="L63" s="1192">
        <f t="shared" si="24"/>
        <v>0</v>
      </c>
      <c r="M63" s="1192">
        <f t="shared" si="24"/>
        <v>0</v>
      </c>
      <c r="N63" s="1192">
        <f t="shared" si="24"/>
        <v>1880</v>
      </c>
      <c r="O63" s="1192">
        <f t="shared" si="24"/>
        <v>0</v>
      </c>
      <c r="P63" s="1192">
        <f t="shared" si="24"/>
        <v>1880</v>
      </c>
      <c r="Q63" s="1192">
        <f t="shared" si="24"/>
        <v>3060</v>
      </c>
      <c r="R63" s="1186"/>
    </row>
    <row r="64" spans="1:45">
      <c r="A64" s="1185">
        <f>A30</f>
        <v>8.01</v>
      </c>
      <c r="B64" s="1188" t="str">
        <f>B30</f>
        <v xml:space="preserve">Bettenzimmer </v>
      </c>
      <c r="C64" s="1185" t="s">
        <v>130</v>
      </c>
      <c r="D64" s="1192">
        <f t="shared" ref="D64:Q64" si="25">D30</f>
        <v>8760</v>
      </c>
      <c r="E64" s="1192">
        <f t="shared" si="25"/>
        <v>8760</v>
      </c>
      <c r="F64" s="1192">
        <f t="shared" si="25"/>
        <v>8760</v>
      </c>
      <c r="G64" s="1192">
        <f t="shared" si="25"/>
        <v>0</v>
      </c>
      <c r="H64" s="1192">
        <f t="shared" si="25"/>
        <v>8760</v>
      </c>
      <c r="I64" s="1192">
        <f t="shared" si="25"/>
        <v>8760</v>
      </c>
      <c r="J64" s="1192">
        <f t="shared" si="25"/>
        <v>8760</v>
      </c>
      <c r="K64" s="1192">
        <f t="shared" si="25"/>
        <v>0</v>
      </c>
      <c r="L64" s="1192">
        <f t="shared" si="25"/>
        <v>0</v>
      </c>
      <c r="M64" s="1192">
        <f t="shared" si="25"/>
        <v>0</v>
      </c>
      <c r="N64" s="1192">
        <f t="shared" si="25"/>
        <v>0</v>
      </c>
      <c r="O64" s="1192">
        <f t="shared" si="25"/>
        <v>0</v>
      </c>
      <c r="P64" s="1192">
        <f t="shared" si="25"/>
        <v>8760</v>
      </c>
      <c r="Q64" s="1192">
        <f t="shared" si="25"/>
        <v>8760</v>
      </c>
      <c r="R64" s="1186"/>
    </row>
    <row r="65" spans="1:18">
      <c r="A65" s="1185">
        <f>A34</f>
        <v>9.02</v>
      </c>
      <c r="B65" s="1188" t="str">
        <f>B34</f>
        <v>Produktion (feine Arbeit)</v>
      </c>
      <c r="C65" s="1185" t="s">
        <v>131</v>
      </c>
      <c r="D65" s="1192">
        <f t="shared" ref="D65:Q65" si="26">D34</f>
        <v>3900</v>
      </c>
      <c r="E65" s="1192">
        <f t="shared" si="26"/>
        <v>3900</v>
      </c>
      <c r="F65" s="1192">
        <f t="shared" si="26"/>
        <v>3290</v>
      </c>
      <c r="G65" s="1192">
        <f t="shared" si="26"/>
        <v>1820</v>
      </c>
      <c r="H65" s="1192">
        <f t="shared" si="26"/>
        <v>2080</v>
      </c>
      <c r="I65" s="1192">
        <f t="shared" si="26"/>
        <v>2740</v>
      </c>
      <c r="J65" s="1192">
        <f t="shared" si="26"/>
        <v>2160</v>
      </c>
      <c r="K65" s="1192">
        <f t="shared" si="26"/>
        <v>1560</v>
      </c>
      <c r="L65" s="1192">
        <f t="shared" si="26"/>
        <v>260</v>
      </c>
      <c r="M65" s="1192">
        <f t="shared" si="26"/>
        <v>0</v>
      </c>
      <c r="N65" s="1192">
        <f t="shared" si="26"/>
        <v>780</v>
      </c>
      <c r="O65" s="1192">
        <f t="shared" si="26"/>
        <v>520</v>
      </c>
      <c r="P65" s="1192">
        <f t="shared" si="26"/>
        <v>780</v>
      </c>
      <c r="Q65" s="1192">
        <f t="shared" si="26"/>
        <v>1780</v>
      </c>
      <c r="R65" s="1186"/>
    </row>
    <row r="66" spans="1:18">
      <c r="A66" s="1189">
        <f>A36</f>
        <v>10.01</v>
      </c>
      <c r="B66" s="1188" t="str">
        <f>B36</f>
        <v>Lagerhalle</v>
      </c>
      <c r="C66" s="1185" t="s">
        <v>216</v>
      </c>
      <c r="D66" s="1192">
        <f t="shared" ref="D66:Q66" si="27">D36</f>
        <v>6240</v>
      </c>
      <c r="E66" s="1192">
        <f t="shared" si="27"/>
        <v>6240</v>
      </c>
      <c r="F66" s="1192">
        <f t="shared" si="27"/>
        <v>5110</v>
      </c>
      <c r="G66" s="1192">
        <f t="shared" si="27"/>
        <v>3380</v>
      </c>
      <c r="H66" s="1192">
        <f t="shared" si="27"/>
        <v>2860</v>
      </c>
      <c r="I66" s="1192">
        <f t="shared" si="27"/>
        <v>4090</v>
      </c>
      <c r="J66" s="1192">
        <f t="shared" si="27"/>
        <v>3780</v>
      </c>
      <c r="K66" s="1192">
        <f t="shared" si="27"/>
        <v>1820</v>
      </c>
      <c r="L66" s="1192">
        <f t="shared" si="27"/>
        <v>0</v>
      </c>
      <c r="M66" s="1192">
        <f t="shared" si="27"/>
        <v>1560</v>
      </c>
      <c r="N66" s="1192">
        <f t="shared" si="27"/>
        <v>0</v>
      </c>
      <c r="O66" s="1192">
        <f t="shared" si="27"/>
        <v>1560</v>
      </c>
      <c r="P66" s="1192">
        <f t="shared" si="27"/>
        <v>1300</v>
      </c>
      <c r="Q66" s="1192">
        <f t="shared" si="27"/>
        <v>3200</v>
      </c>
      <c r="R66" s="1186"/>
    </row>
    <row r="67" spans="1:18">
      <c r="A67" s="1189">
        <f>A37</f>
        <v>11.01</v>
      </c>
      <c r="B67" s="1188" t="str">
        <f>B37</f>
        <v>Turnhalle</v>
      </c>
      <c r="C67" s="1185" t="s">
        <v>1514</v>
      </c>
      <c r="D67" s="1192">
        <f t="shared" ref="D67:Q67" si="28">D37</f>
        <v>4780</v>
      </c>
      <c r="E67" s="1192">
        <f t="shared" si="28"/>
        <v>4780</v>
      </c>
      <c r="F67" s="1192">
        <f t="shared" si="28"/>
        <v>4060</v>
      </c>
      <c r="G67" s="1192">
        <f t="shared" si="28"/>
        <v>2150</v>
      </c>
      <c r="H67" s="1192">
        <f t="shared" si="28"/>
        <v>2630</v>
      </c>
      <c r="I67" s="1192">
        <f t="shared" si="28"/>
        <v>3410</v>
      </c>
      <c r="J67" s="1192">
        <f t="shared" si="28"/>
        <v>3070</v>
      </c>
      <c r="K67" s="1192">
        <f t="shared" si="28"/>
        <v>1200</v>
      </c>
      <c r="L67" s="1192">
        <f t="shared" si="28"/>
        <v>0</v>
      </c>
      <c r="M67" s="1192">
        <f t="shared" si="28"/>
        <v>960</v>
      </c>
      <c r="N67" s="1192">
        <f t="shared" si="28"/>
        <v>0</v>
      </c>
      <c r="O67" s="1192">
        <f t="shared" si="28"/>
        <v>1670</v>
      </c>
      <c r="P67" s="1192">
        <f t="shared" si="28"/>
        <v>960</v>
      </c>
      <c r="Q67" s="1192">
        <f t="shared" si="28"/>
        <v>2640</v>
      </c>
    </row>
    <row r="68" spans="1:18">
      <c r="A68" s="1190">
        <f>A39</f>
        <v>11.03</v>
      </c>
      <c r="B68" s="1191" t="str">
        <f>B39</f>
        <v>Schwimmhalle</v>
      </c>
      <c r="C68" s="1187" t="s">
        <v>1105</v>
      </c>
      <c r="D68" s="1193">
        <f t="shared" ref="D68:Q68" si="29">D39</f>
        <v>6260</v>
      </c>
      <c r="E68" s="1193">
        <f t="shared" si="29"/>
        <v>6260</v>
      </c>
      <c r="F68" s="1193">
        <f t="shared" si="29"/>
        <v>5320</v>
      </c>
      <c r="G68" s="1193">
        <f t="shared" si="29"/>
        <v>2820</v>
      </c>
      <c r="H68" s="1193">
        <f t="shared" si="29"/>
        <v>3440</v>
      </c>
      <c r="I68" s="1193">
        <f t="shared" si="29"/>
        <v>4470</v>
      </c>
      <c r="J68" s="1193">
        <f t="shared" si="29"/>
        <v>4020</v>
      </c>
      <c r="K68" s="1193">
        <f t="shared" si="29"/>
        <v>1570</v>
      </c>
      <c r="L68" s="1193">
        <f t="shared" si="29"/>
        <v>0</v>
      </c>
      <c r="M68" s="1193">
        <f t="shared" si="29"/>
        <v>1250</v>
      </c>
      <c r="N68" s="1193">
        <f t="shared" si="29"/>
        <v>0</v>
      </c>
      <c r="O68" s="1193">
        <f t="shared" si="29"/>
        <v>2190</v>
      </c>
      <c r="P68" s="1193">
        <f t="shared" si="29"/>
        <v>1250</v>
      </c>
      <c r="Q68" s="1193">
        <f t="shared" si="29"/>
        <v>3460</v>
      </c>
    </row>
    <row r="69" spans="1:18">
      <c r="G69"/>
      <c r="J69"/>
      <c r="K69"/>
      <c r="L69"/>
    </row>
    <row r="70" spans="1:18">
      <c r="A70" s="379" t="s">
        <v>1482</v>
      </c>
      <c r="J70"/>
      <c r="K70"/>
      <c r="L70"/>
      <c r="R70" s="1186"/>
    </row>
    <row r="71" spans="1:18">
      <c r="A71">
        <f>A13</f>
        <v>3.03</v>
      </c>
      <c r="B71" t="str">
        <f>B13</f>
        <v>Sitzungszimmer</v>
      </c>
      <c r="G71"/>
      <c r="J71"/>
      <c r="K71"/>
      <c r="L71"/>
    </row>
    <row r="72" spans="1:18">
      <c r="A72">
        <f>A25</f>
        <v>6.03</v>
      </c>
      <c r="B72" t="str">
        <f>B25</f>
        <v>Küche zu Restaurant</v>
      </c>
      <c r="G72"/>
      <c r="J72"/>
      <c r="K72"/>
      <c r="L72"/>
    </row>
    <row r="73" spans="1:18">
      <c r="A73">
        <f>A31</f>
        <v>8.02</v>
      </c>
      <c r="B73" t="str">
        <f>B31</f>
        <v xml:space="preserve">Stationszimmer </v>
      </c>
      <c r="G73"/>
      <c r="J73"/>
      <c r="K73"/>
      <c r="L73"/>
    </row>
    <row r="74" spans="1:18">
      <c r="A74">
        <f>A32</f>
        <v>8.0299999999999994</v>
      </c>
      <c r="B74" t="str">
        <f>B32</f>
        <v>Behandlungsraum</v>
      </c>
      <c r="G74"/>
      <c r="J74"/>
      <c r="K74"/>
      <c r="L74"/>
    </row>
    <row r="76" spans="1:18">
      <c r="B76" s="28" t="s">
        <v>1511</v>
      </c>
      <c r="C76" s="379" t="s">
        <v>1512</v>
      </c>
    </row>
    <row r="77" spans="1:18">
      <c r="B77" t="s">
        <v>355</v>
      </c>
      <c r="C77" s="379" t="s">
        <v>104</v>
      </c>
    </row>
    <row r="78" spans="1:18">
      <c r="B78" t="s">
        <v>357</v>
      </c>
      <c r="C78" s="1220" t="s">
        <v>104</v>
      </c>
    </row>
    <row r="79" spans="1:18">
      <c r="B79" t="s">
        <v>360</v>
      </c>
      <c r="C79" s="379" t="s">
        <v>126</v>
      </c>
    </row>
    <row r="80" spans="1:18">
      <c r="B80" t="s">
        <v>362</v>
      </c>
      <c r="C80" s="379" t="s">
        <v>128</v>
      </c>
    </row>
    <row r="81" spans="2:3">
      <c r="B81" t="s">
        <v>364</v>
      </c>
      <c r="C81" s="379" t="s">
        <v>61</v>
      </c>
    </row>
    <row r="82" spans="2:3">
      <c r="B82" t="s">
        <v>366</v>
      </c>
      <c r="C82" s="379" t="s">
        <v>83</v>
      </c>
    </row>
    <row r="83" spans="2:3">
      <c r="B83" t="s">
        <v>368</v>
      </c>
      <c r="C83" s="379" t="s">
        <v>1513</v>
      </c>
    </row>
    <row r="84" spans="2:3">
      <c r="B84" t="s">
        <v>369</v>
      </c>
      <c r="C84" s="379" t="s">
        <v>130</v>
      </c>
    </row>
    <row r="85" spans="2:3">
      <c r="B85" t="s">
        <v>370</v>
      </c>
      <c r="C85" s="379" t="s">
        <v>131</v>
      </c>
    </row>
    <row r="86" spans="2:3">
      <c r="B86" t="s">
        <v>372</v>
      </c>
      <c r="C86" s="379" t="s">
        <v>216</v>
      </c>
    </row>
    <row r="87" spans="2:3">
      <c r="B87" t="s">
        <v>374</v>
      </c>
      <c r="C87" s="379" t="s">
        <v>1514</v>
      </c>
    </row>
    <row r="88" spans="2:3">
      <c r="B88" t="s">
        <v>376</v>
      </c>
      <c r="C88" s="379" t="s">
        <v>1105</v>
      </c>
    </row>
  </sheetData>
  <mergeCells count="5">
    <mergeCell ref="A55:B55"/>
    <mergeCell ref="AG4:AK4"/>
    <mergeCell ref="W4:AA4"/>
    <mergeCell ref="AB4:AF4"/>
    <mergeCell ref="AQ4:AR4"/>
  </mergeCells>
  <conditionalFormatting sqref="R7:R51">
    <cfRule type="colorScale" priority="35">
      <colorScale>
        <cfvo type="min"/>
        <cfvo type="percentile" val="50"/>
        <cfvo type="max"/>
        <color rgb="FFF8696B"/>
        <color rgb="FFFCFCFF"/>
        <color rgb="FF63BE7B"/>
      </colorScale>
    </cfRule>
  </conditionalFormatting>
  <conditionalFormatting sqref="S7:S51">
    <cfRule type="colorScale" priority="34">
      <colorScale>
        <cfvo type="min"/>
        <cfvo type="percentile" val="50"/>
        <cfvo type="max"/>
        <color rgb="FFF8696B"/>
        <color rgb="FFFCFCFF"/>
        <color rgb="FF63BE7B"/>
      </colorScale>
    </cfRule>
  </conditionalFormatting>
  <conditionalFormatting sqref="R7:S51">
    <cfRule type="colorScale" priority="33">
      <colorScale>
        <cfvo type="min"/>
        <cfvo type="percentile" val="50"/>
        <cfvo type="max"/>
        <color rgb="FF63BE7B"/>
        <color rgb="FFFCFCFF"/>
        <color rgb="FFF8696B"/>
      </colorScale>
    </cfRule>
  </conditionalFormatting>
  <conditionalFormatting sqref="AO7:AO53">
    <cfRule type="colorScale" priority="4">
      <colorScale>
        <cfvo type="min"/>
        <cfvo type="percentile" val="50"/>
        <cfvo type="max"/>
        <color rgb="FF5A8AC6"/>
        <color rgb="FFFCFCFF"/>
        <color rgb="FFF8696B"/>
      </colorScale>
    </cfRule>
  </conditionalFormatting>
  <conditionalFormatting sqref="AL7:AL53">
    <cfRule type="colorScale" priority="3">
      <colorScale>
        <cfvo type="min"/>
        <cfvo type="percentile" val="50"/>
        <cfvo type="max"/>
        <color rgb="FFF8696B"/>
        <color rgb="FFFCFCFF"/>
        <color rgb="FF5A8AC6"/>
      </colorScale>
    </cfRule>
  </conditionalFormatting>
  <conditionalFormatting sqref="AM7:AM53">
    <cfRule type="colorScale" priority="2">
      <colorScale>
        <cfvo type="min"/>
        <cfvo type="percentile" val="50"/>
        <cfvo type="max"/>
        <color rgb="FFF8696B"/>
        <color rgb="FFFCFCFF"/>
        <color rgb="FF5A8AC6"/>
      </colorScale>
    </cfRule>
  </conditionalFormatting>
  <conditionalFormatting sqref="AN7:AN53">
    <cfRule type="colorScale" priority="1">
      <colorScale>
        <cfvo type="min"/>
        <cfvo type="percentile" val="50"/>
        <cfvo type="max"/>
        <color rgb="FFF8696B"/>
        <color rgb="FFFCFCFF"/>
        <color rgb="FF5A8AC6"/>
      </colorScale>
    </cfRule>
  </conditionalFormatting>
  <pageMargins left="0.7" right="0.7" top="0.78740157499999996" bottom="0.78740157499999996" header="0.3" footer="0.3"/>
  <pageSetup paperSize="9" scale="34" orientation="landscape" r:id="rId1"/>
  <headerFooter>
    <oddHeader>&amp;CSIA 2024 Raum-Datenblätter</oddHeader>
    <oddFooter>&amp;CSIA 2024, Copyright © 2021 by SIA Zurich</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blSIA3801">
    <tabColor theme="4"/>
    <pageSetUpPr fitToPage="1"/>
  </sheetPr>
  <dimension ref="A1:T196"/>
  <sheetViews>
    <sheetView showGridLines="0" showRowColHeaders="0" topLeftCell="A116" zoomScaleNormal="100" zoomScaleSheetLayoutView="55" zoomScalePageLayoutView="70" workbookViewId="0">
      <selection activeCell="W86" sqref="W86"/>
    </sheetView>
  </sheetViews>
  <sheetFormatPr baseColWidth="10" defaultColWidth="11.53515625" defaultRowHeight="12.45"/>
  <cols>
    <col min="1" max="1" width="3" style="270" customWidth="1"/>
    <col min="2" max="2" width="43.69140625" style="270" customWidth="1"/>
    <col min="3" max="3" width="14.23046875" style="270" customWidth="1"/>
    <col min="4" max="4" width="9.765625" style="270" bestFit="1" customWidth="1"/>
    <col min="5" max="5" width="9.69140625" style="270" bestFit="1" customWidth="1"/>
    <col min="6" max="6" width="7.53515625" style="270" customWidth="1"/>
    <col min="7" max="7" width="11.23046875" style="270" customWidth="1"/>
    <col min="8" max="8" width="10.69140625" style="270" customWidth="1"/>
    <col min="9" max="9" width="8.765625" style="270" customWidth="1"/>
    <col min="10" max="15" width="5.53515625" style="270" bestFit="1" customWidth="1"/>
    <col min="16" max="17" width="9.69140625" style="270" customWidth="1"/>
    <col min="18" max="18" width="4.53515625" style="270" customWidth="1"/>
    <col min="19" max="19" width="4.23046875" style="270" customWidth="1"/>
    <col min="20" max="237" width="11.53515625" style="270"/>
    <col min="238" max="238" width="3" style="270" customWidth="1"/>
    <col min="239" max="239" width="50.69140625" style="270" customWidth="1"/>
    <col min="240" max="240" width="13.23046875" style="270" customWidth="1"/>
    <col min="241" max="241" width="18.53515625" style="270" customWidth="1"/>
    <col min="242" max="242" width="10.765625" style="270" customWidth="1"/>
    <col min="243" max="243" width="9.69140625" style="270" customWidth="1"/>
    <col min="244" max="244" width="11.69140625" style="270" customWidth="1"/>
    <col min="245" max="245" width="15.23046875" style="270" customWidth="1"/>
    <col min="246" max="246" width="18" style="270" customWidth="1"/>
    <col min="247" max="247" width="11.765625" style="270" customWidth="1"/>
    <col min="248" max="254" width="9.69140625" style="270" customWidth="1"/>
    <col min="255" max="256" width="4.23046875" style="270" customWidth="1"/>
    <col min="257" max="257" width="17.23046875" style="270" customWidth="1"/>
    <col min="258" max="274" width="9.23046875" style="270" customWidth="1"/>
    <col min="275" max="493" width="11.53515625" style="270"/>
    <col min="494" max="494" width="3" style="270" customWidth="1"/>
    <col min="495" max="495" width="50.69140625" style="270" customWidth="1"/>
    <col min="496" max="496" width="13.23046875" style="270" customWidth="1"/>
    <col min="497" max="497" width="18.53515625" style="270" customWidth="1"/>
    <col min="498" max="498" width="10.765625" style="270" customWidth="1"/>
    <col min="499" max="499" width="9.69140625" style="270" customWidth="1"/>
    <col min="500" max="500" width="11.69140625" style="270" customWidth="1"/>
    <col min="501" max="501" width="15.23046875" style="270" customWidth="1"/>
    <col min="502" max="502" width="18" style="270" customWidth="1"/>
    <col min="503" max="503" width="11.765625" style="270" customWidth="1"/>
    <col min="504" max="510" width="9.69140625" style="270" customWidth="1"/>
    <col min="511" max="512" width="4.23046875" style="270" customWidth="1"/>
    <col min="513" max="513" width="17.23046875" style="270" customWidth="1"/>
    <col min="514" max="530" width="9.23046875" style="270" customWidth="1"/>
    <col min="531" max="749" width="11.53515625" style="270"/>
    <col min="750" max="750" width="3" style="270" customWidth="1"/>
    <col min="751" max="751" width="50.69140625" style="270" customWidth="1"/>
    <col min="752" max="752" width="13.23046875" style="270" customWidth="1"/>
    <col min="753" max="753" width="18.53515625" style="270" customWidth="1"/>
    <col min="754" max="754" width="10.765625" style="270" customWidth="1"/>
    <col min="755" max="755" width="9.69140625" style="270" customWidth="1"/>
    <col min="756" max="756" width="11.69140625" style="270" customWidth="1"/>
    <col min="757" max="757" width="15.23046875" style="270" customWidth="1"/>
    <col min="758" max="758" width="18" style="270" customWidth="1"/>
    <col min="759" max="759" width="11.765625" style="270" customWidth="1"/>
    <col min="760" max="766" width="9.69140625" style="270" customWidth="1"/>
    <col min="767" max="768" width="4.23046875" style="270" customWidth="1"/>
    <col min="769" max="769" width="17.23046875" style="270" customWidth="1"/>
    <col min="770" max="786" width="9.23046875" style="270" customWidth="1"/>
    <col min="787" max="1005" width="11.53515625" style="270"/>
    <col min="1006" max="1006" width="3" style="270" customWidth="1"/>
    <col min="1007" max="1007" width="50.69140625" style="270" customWidth="1"/>
    <col min="1008" max="1008" width="13.23046875" style="270" customWidth="1"/>
    <col min="1009" max="1009" width="18.53515625" style="270" customWidth="1"/>
    <col min="1010" max="1010" width="10.765625" style="270" customWidth="1"/>
    <col min="1011" max="1011" width="9.69140625" style="270" customWidth="1"/>
    <col min="1012" max="1012" width="11.69140625" style="270" customWidth="1"/>
    <col min="1013" max="1013" width="15.23046875" style="270" customWidth="1"/>
    <col min="1014" max="1014" width="18" style="270" customWidth="1"/>
    <col min="1015" max="1015" width="11.765625" style="270" customWidth="1"/>
    <col min="1016" max="1022" width="9.69140625" style="270" customWidth="1"/>
    <col min="1023" max="1024" width="4.23046875" style="270" customWidth="1"/>
    <col min="1025" max="1025" width="17.23046875" style="270" customWidth="1"/>
    <col min="1026" max="1042" width="9.23046875" style="270" customWidth="1"/>
    <col min="1043" max="1261" width="11.53515625" style="270"/>
    <col min="1262" max="1262" width="3" style="270" customWidth="1"/>
    <col min="1263" max="1263" width="50.69140625" style="270" customWidth="1"/>
    <col min="1264" max="1264" width="13.23046875" style="270" customWidth="1"/>
    <col min="1265" max="1265" width="18.53515625" style="270" customWidth="1"/>
    <col min="1266" max="1266" width="10.765625" style="270" customWidth="1"/>
    <col min="1267" max="1267" width="9.69140625" style="270" customWidth="1"/>
    <col min="1268" max="1268" width="11.69140625" style="270" customWidth="1"/>
    <col min="1269" max="1269" width="15.23046875" style="270" customWidth="1"/>
    <col min="1270" max="1270" width="18" style="270" customWidth="1"/>
    <col min="1271" max="1271" width="11.765625" style="270" customWidth="1"/>
    <col min="1272" max="1278" width="9.69140625" style="270" customWidth="1"/>
    <col min="1279" max="1280" width="4.23046875" style="270" customWidth="1"/>
    <col min="1281" max="1281" width="17.23046875" style="270" customWidth="1"/>
    <col min="1282" max="1298" width="9.23046875" style="270" customWidth="1"/>
    <col min="1299" max="1517" width="11.53515625" style="270"/>
    <col min="1518" max="1518" width="3" style="270" customWidth="1"/>
    <col min="1519" max="1519" width="50.69140625" style="270" customWidth="1"/>
    <col min="1520" max="1520" width="13.23046875" style="270" customWidth="1"/>
    <col min="1521" max="1521" width="18.53515625" style="270" customWidth="1"/>
    <col min="1522" max="1522" width="10.765625" style="270" customWidth="1"/>
    <col min="1523" max="1523" width="9.69140625" style="270" customWidth="1"/>
    <col min="1524" max="1524" width="11.69140625" style="270" customWidth="1"/>
    <col min="1525" max="1525" width="15.23046875" style="270" customWidth="1"/>
    <col min="1526" max="1526" width="18" style="270" customWidth="1"/>
    <col min="1527" max="1527" width="11.765625" style="270" customWidth="1"/>
    <col min="1528" max="1534" width="9.69140625" style="270" customWidth="1"/>
    <col min="1535" max="1536" width="4.23046875" style="270" customWidth="1"/>
    <col min="1537" max="1537" width="17.23046875" style="270" customWidth="1"/>
    <col min="1538" max="1554" width="9.23046875" style="270" customWidth="1"/>
    <col min="1555" max="1773" width="11.53515625" style="270"/>
    <col min="1774" max="1774" width="3" style="270" customWidth="1"/>
    <col min="1775" max="1775" width="50.69140625" style="270" customWidth="1"/>
    <col min="1776" max="1776" width="13.23046875" style="270" customWidth="1"/>
    <col min="1777" max="1777" width="18.53515625" style="270" customWidth="1"/>
    <col min="1778" max="1778" width="10.765625" style="270" customWidth="1"/>
    <col min="1779" max="1779" width="9.69140625" style="270" customWidth="1"/>
    <col min="1780" max="1780" width="11.69140625" style="270" customWidth="1"/>
    <col min="1781" max="1781" width="15.23046875" style="270" customWidth="1"/>
    <col min="1782" max="1782" width="18" style="270" customWidth="1"/>
    <col min="1783" max="1783" width="11.765625" style="270" customWidth="1"/>
    <col min="1784" max="1790" width="9.69140625" style="270" customWidth="1"/>
    <col min="1791" max="1792" width="4.23046875" style="270" customWidth="1"/>
    <col min="1793" max="1793" width="17.23046875" style="270" customWidth="1"/>
    <col min="1794" max="1810" width="9.23046875" style="270" customWidth="1"/>
    <col min="1811" max="2029" width="11.53515625" style="270"/>
    <col min="2030" max="2030" width="3" style="270" customWidth="1"/>
    <col min="2031" max="2031" width="50.69140625" style="270" customWidth="1"/>
    <col min="2032" max="2032" width="13.23046875" style="270" customWidth="1"/>
    <col min="2033" max="2033" width="18.53515625" style="270" customWidth="1"/>
    <col min="2034" max="2034" width="10.765625" style="270" customWidth="1"/>
    <col min="2035" max="2035" width="9.69140625" style="270" customWidth="1"/>
    <col min="2036" max="2036" width="11.69140625" style="270" customWidth="1"/>
    <col min="2037" max="2037" width="15.23046875" style="270" customWidth="1"/>
    <col min="2038" max="2038" width="18" style="270" customWidth="1"/>
    <col min="2039" max="2039" width="11.765625" style="270" customWidth="1"/>
    <col min="2040" max="2046" width="9.69140625" style="270" customWidth="1"/>
    <col min="2047" max="2048" width="4.23046875" style="270" customWidth="1"/>
    <col min="2049" max="2049" width="17.23046875" style="270" customWidth="1"/>
    <col min="2050" max="2066" width="9.23046875" style="270" customWidth="1"/>
    <col min="2067" max="2285" width="11.53515625" style="270"/>
    <col min="2286" max="2286" width="3" style="270" customWidth="1"/>
    <col min="2287" max="2287" width="50.69140625" style="270" customWidth="1"/>
    <col min="2288" max="2288" width="13.23046875" style="270" customWidth="1"/>
    <col min="2289" max="2289" width="18.53515625" style="270" customWidth="1"/>
    <col min="2290" max="2290" width="10.765625" style="270" customWidth="1"/>
    <col min="2291" max="2291" width="9.69140625" style="270" customWidth="1"/>
    <col min="2292" max="2292" width="11.69140625" style="270" customWidth="1"/>
    <col min="2293" max="2293" width="15.23046875" style="270" customWidth="1"/>
    <col min="2294" max="2294" width="18" style="270" customWidth="1"/>
    <col min="2295" max="2295" width="11.765625" style="270" customWidth="1"/>
    <col min="2296" max="2302" width="9.69140625" style="270" customWidth="1"/>
    <col min="2303" max="2304" width="4.23046875" style="270" customWidth="1"/>
    <col min="2305" max="2305" width="17.23046875" style="270" customWidth="1"/>
    <col min="2306" max="2322" width="9.23046875" style="270" customWidth="1"/>
    <col min="2323" max="2541" width="11.53515625" style="270"/>
    <col min="2542" max="2542" width="3" style="270" customWidth="1"/>
    <col min="2543" max="2543" width="50.69140625" style="270" customWidth="1"/>
    <col min="2544" max="2544" width="13.23046875" style="270" customWidth="1"/>
    <col min="2545" max="2545" width="18.53515625" style="270" customWidth="1"/>
    <col min="2546" max="2546" width="10.765625" style="270" customWidth="1"/>
    <col min="2547" max="2547" width="9.69140625" style="270" customWidth="1"/>
    <col min="2548" max="2548" width="11.69140625" style="270" customWidth="1"/>
    <col min="2549" max="2549" width="15.23046875" style="270" customWidth="1"/>
    <col min="2550" max="2550" width="18" style="270" customWidth="1"/>
    <col min="2551" max="2551" width="11.765625" style="270" customWidth="1"/>
    <col min="2552" max="2558" width="9.69140625" style="270" customWidth="1"/>
    <col min="2559" max="2560" width="4.23046875" style="270" customWidth="1"/>
    <col min="2561" max="2561" width="17.23046875" style="270" customWidth="1"/>
    <col min="2562" max="2578" width="9.23046875" style="270" customWidth="1"/>
    <col min="2579" max="2797" width="11.53515625" style="270"/>
    <col min="2798" max="2798" width="3" style="270" customWidth="1"/>
    <col min="2799" max="2799" width="50.69140625" style="270" customWidth="1"/>
    <col min="2800" max="2800" width="13.23046875" style="270" customWidth="1"/>
    <col min="2801" max="2801" width="18.53515625" style="270" customWidth="1"/>
    <col min="2802" max="2802" width="10.765625" style="270" customWidth="1"/>
    <col min="2803" max="2803" width="9.69140625" style="270" customWidth="1"/>
    <col min="2804" max="2804" width="11.69140625" style="270" customWidth="1"/>
    <col min="2805" max="2805" width="15.23046875" style="270" customWidth="1"/>
    <col min="2806" max="2806" width="18" style="270" customWidth="1"/>
    <col min="2807" max="2807" width="11.765625" style="270" customWidth="1"/>
    <col min="2808" max="2814" width="9.69140625" style="270" customWidth="1"/>
    <col min="2815" max="2816" width="4.23046875" style="270" customWidth="1"/>
    <col min="2817" max="2817" width="17.23046875" style="270" customWidth="1"/>
    <col min="2818" max="2834" width="9.23046875" style="270" customWidth="1"/>
    <col min="2835" max="3053" width="11.53515625" style="270"/>
    <col min="3054" max="3054" width="3" style="270" customWidth="1"/>
    <col min="3055" max="3055" width="50.69140625" style="270" customWidth="1"/>
    <col min="3056" max="3056" width="13.23046875" style="270" customWidth="1"/>
    <col min="3057" max="3057" width="18.53515625" style="270" customWidth="1"/>
    <col min="3058" max="3058" width="10.765625" style="270" customWidth="1"/>
    <col min="3059" max="3059" width="9.69140625" style="270" customWidth="1"/>
    <col min="3060" max="3060" width="11.69140625" style="270" customWidth="1"/>
    <col min="3061" max="3061" width="15.23046875" style="270" customWidth="1"/>
    <col min="3062" max="3062" width="18" style="270" customWidth="1"/>
    <col min="3063" max="3063" width="11.765625" style="270" customWidth="1"/>
    <col min="3064" max="3070" width="9.69140625" style="270" customWidth="1"/>
    <col min="3071" max="3072" width="4.23046875" style="270" customWidth="1"/>
    <col min="3073" max="3073" width="17.23046875" style="270" customWidth="1"/>
    <col min="3074" max="3090" width="9.23046875" style="270" customWidth="1"/>
    <col min="3091" max="3309" width="11.53515625" style="270"/>
    <col min="3310" max="3310" width="3" style="270" customWidth="1"/>
    <col min="3311" max="3311" width="50.69140625" style="270" customWidth="1"/>
    <col min="3312" max="3312" width="13.23046875" style="270" customWidth="1"/>
    <col min="3313" max="3313" width="18.53515625" style="270" customWidth="1"/>
    <col min="3314" max="3314" width="10.765625" style="270" customWidth="1"/>
    <col min="3315" max="3315" width="9.69140625" style="270" customWidth="1"/>
    <col min="3316" max="3316" width="11.69140625" style="270" customWidth="1"/>
    <col min="3317" max="3317" width="15.23046875" style="270" customWidth="1"/>
    <col min="3318" max="3318" width="18" style="270" customWidth="1"/>
    <col min="3319" max="3319" width="11.765625" style="270" customWidth="1"/>
    <col min="3320" max="3326" width="9.69140625" style="270" customWidth="1"/>
    <col min="3327" max="3328" width="4.23046875" style="270" customWidth="1"/>
    <col min="3329" max="3329" width="17.23046875" style="270" customWidth="1"/>
    <col min="3330" max="3346" width="9.23046875" style="270" customWidth="1"/>
    <col min="3347" max="3565" width="11.53515625" style="270"/>
    <col min="3566" max="3566" width="3" style="270" customWidth="1"/>
    <col min="3567" max="3567" width="50.69140625" style="270" customWidth="1"/>
    <col min="3568" max="3568" width="13.23046875" style="270" customWidth="1"/>
    <col min="3569" max="3569" width="18.53515625" style="270" customWidth="1"/>
    <col min="3570" max="3570" width="10.765625" style="270" customWidth="1"/>
    <col min="3571" max="3571" width="9.69140625" style="270" customWidth="1"/>
    <col min="3572" max="3572" width="11.69140625" style="270" customWidth="1"/>
    <col min="3573" max="3573" width="15.23046875" style="270" customWidth="1"/>
    <col min="3574" max="3574" width="18" style="270" customWidth="1"/>
    <col min="3575" max="3575" width="11.765625" style="270" customWidth="1"/>
    <col min="3576" max="3582" width="9.69140625" style="270" customWidth="1"/>
    <col min="3583" max="3584" width="4.23046875" style="270" customWidth="1"/>
    <col min="3585" max="3585" width="17.23046875" style="270" customWidth="1"/>
    <col min="3586" max="3602" width="9.23046875" style="270" customWidth="1"/>
    <col min="3603" max="3821" width="11.53515625" style="270"/>
    <col min="3822" max="3822" width="3" style="270" customWidth="1"/>
    <col min="3823" max="3823" width="50.69140625" style="270" customWidth="1"/>
    <col min="3824" max="3824" width="13.23046875" style="270" customWidth="1"/>
    <col min="3825" max="3825" width="18.53515625" style="270" customWidth="1"/>
    <col min="3826" max="3826" width="10.765625" style="270" customWidth="1"/>
    <col min="3827" max="3827" width="9.69140625" style="270" customWidth="1"/>
    <col min="3828" max="3828" width="11.69140625" style="270" customWidth="1"/>
    <col min="3829" max="3829" width="15.23046875" style="270" customWidth="1"/>
    <col min="3830" max="3830" width="18" style="270" customWidth="1"/>
    <col min="3831" max="3831" width="11.765625" style="270" customWidth="1"/>
    <col min="3832" max="3838" width="9.69140625" style="270" customWidth="1"/>
    <col min="3839" max="3840" width="4.23046875" style="270" customWidth="1"/>
    <col min="3841" max="3841" width="17.23046875" style="270" customWidth="1"/>
    <col min="3842" max="3858" width="9.23046875" style="270" customWidth="1"/>
    <col min="3859" max="4077" width="11.53515625" style="270"/>
    <col min="4078" max="4078" width="3" style="270" customWidth="1"/>
    <col min="4079" max="4079" width="50.69140625" style="270" customWidth="1"/>
    <col min="4080" max="4080" width="13.23046875" style="270" customWidth="1"/>
    <col min="4081" max="4081" width="18.53515625" style="270" customWidth="1"/>
    <col min="4082" max="4082" width="10.765625" style="270" customWidth="1"/>
    <col min="4083" max="4083" width="9.69140625" style="270" customWidth="1"/>
    <col min="4084" max="4084" width="11.69140625" style="270" customWidth="1"/>
    <col min="4085" max="4085" width="15.23046875" style="270" customWidth="1"/>
    <col min="4086" max="4086" width="18" style="270" customWidth="1"/>
    <col min="4087" max="4087" width="11.765625" style="270" customWidth="1"/>
    <col min="4088" max="4094" width="9.69140625" style="270" customWidth="1"/>
    <col min="4095" max="4096" width="4.23046875" style="270" customWidth="1"/>
    <col min="4097" max="4097" width="17.23046875" style="270" customWidth="1"/>
    <col min="4098" max="4114" width="9.23046875" style="270" customWidth="1"/>
    <col min="4115" max="4333" width="11.53515625" style="270"/>
    <col min="4334" max="4334" width="3" style="270" customWidth="1"/>
    <col min="4335" max="4335" width="50.69140625" style="270" customWidth="1"/>
    <col min="4336" max="4336" width="13.23046875" style="270" customWidth="1"/>
    <col min="4337" max="4337" width="18.53515625" style="270" customWidth="1"/>
    <col min="4338" max="4338" width="10.765625" style="270" customWidth="1"/>
    <col min="4339" max="4339" width="9.69140625" style="270" customWidth="1"/>
    <col min="4340" max="4340" width="11.69140625" style="270" customWidth="1"/>
    <col min="4341" max="4341" width="15.23046875" style="270" customWidth="1"/>
    <col min="4342" max="4342" width="18" style="270" customWidth="1"/>
    <col min="4343" max="4343" width="11.765625" style="270" customWidth="1"/>
    <col min="4344" max="4350" width="9.69140625" style="270" customWidth="1"/>
    <col min="4351" max="4352" width="4.23046875" style="270" customWidth="1"/>
    <col min="4353" max="4353" width="17.23046875" style="270" customWidth="1"/>
    <col min="4354" max="4370" width="9.23046875" style="270" customWidth="1"/>
    <col min="4371" max="4589" width="11.53515625" style="270"/>
    <col min="4590" max="4590" width="3" style="270" customWidth="1"/>
    <col min="4591" max="4591" width="50.69140625" style="270" customWidth="1"/>
    <col min="4592" max="4592" width="13.23046875" style="270" customWidth="1"/>
    <col min="4593" max="4593" width="18.53515625" style="270" customWidth="1"/>
    <col min="4594" max="4594" width="10.765625" style="270" customWidth="1"/>
    <col min="4595" max="4595" width="9.69140625" style="270" customWidth="1"/>
    <col min="4596" max="4596" width="11.69140625" style="270" customWidth="1"/>
    <col min="4597" max="4597" width="15.23046875" style="270" customWidth="1"/>
    <col min="4598" max="4598" width="18" style="270" customWidth="1"/>
    <col min="4599" max="4599" width="11.765625" style="270" customWidth="1"/>
    <col min="4600" max="4606" width="9.69140625" style="270" customWidth="1"/>
    <col min="4607" max="4608" width="4.23046875" style="270" customWidth="1"/>
    <col min="4609" max="4609" width="17.23046875" style="270" customWidth="1"/>
    <col min="4610" max="4626" width="9.23046875" style="270" customWidth="1"/>
    <col min="4627" max="4845" width="11.53515625" style="270"/>
    <col min="4846" max="4846" width="3" style="270" customWidth="1"/>
    <col min="4847" max="4847" width="50.69140625" style="270" customWidth="1"/>
    <col min="4848" max="4848" width="13.23046875" style="270" customWidth="1"/>
    <col min="4849" max="4849" width="18.53515625" style="270" customWidth="1"/>
    <col min="4850" max="4850" width="10.765625" style="270" customWidth="1"/>
    <col min="4851" max="4851" width="9.69140625" style="270" customWidth="1"/>
    <col min="4852" max="4852" width="11.69140625" style="270" customWidth="1"/>
    <col min="4853" max="4853" width="15.23046875" style="270" customWidth="1"/>
    <col min="4854" max="4854" width="18" style="270" customWidth="1"/>
    <col min="4855" max="4855" width="11.765625" style="270" customWidth="1"/>
    <col min="4856" max="4862" width="9.69140625" style="270" customWidth="1"/>
    <col min="4863" max="4864" width="4.23046875" style="270" customWidth="1"/>
    <col min="4865" max="4865" width="17.23046875" style="270" customWidth="1"/>
    <col min="4866" max="4882" width="9.23046875" style="270" customWidth="1"/>
    <col min="4883" max="5101" width="11.53515625" style="270"/>
    <col min="5102" max="5102" width="3" style="270" customWidth="1"/>
    <col min="5103" max="5103" width="50.69140625" style="270" customWidth="1"/>
    <col min="5104" max="5104" width="13.23046875" style="270" customWidth="1"/>
    <col min="5105" max="5105" width="18.53515625" style="270" customWidth="1"/>
    <col min="5106" max="5106" width="10.765625" style="270" customWidth="1"/>
    <col min="5107" max="5107" width="9.69140625" style="270" customWidth="1"/>
    <col min="5108" max="5108" width="11.69140625" style="270" customWidth="1"/>
    <col min="5109" max="5109" width="15.23046875" style="270" customWidth="1"/>
    <col min="5110" max="5110" width="18" style="270" customWidth="1"/>
    <col min="5111" max="5111" width="11.765625" style="270" customWidth="1"/>
    <col min="5112" max="5118" width="9.69140625" style="270" customWidth="1"/>
    <col min="5119" max="5120" width="4.23046875" style="270" customWidth="1"/>
    <col min="5121" max="5121" width="17.23046875" style="270" customWidth="1"/>
    <col min="5122" max="5138" width="9.23046875" style="270" customWidth="1"/>
    <col min="5139" max="5357" width="11.53515625" style="270"/>
    <col min="5358" max="5358" width="3" style="270" customWidth="1"/>
    <col min="5359" max="5359" width="50.69140625" style="270" customWidth="1"/>
    <col min="5360" max="5360" width="13.23046875" style="270" customWidth="1"/>
    <col min="5361" max="5361" width="18.53515625" style="270" customWidth="1"/>
    <col min="5362" max="5362" width="10.765625" style="270" customWidth="1"/>
    <col min="5363" max="5363" width="9.69140625" style="270" customWidth="1"/>
    <col min="5364" max="5364" width="11.69140625" style="270" customWidth="1"/>
    <col min="5365" max="5365" width="15.23046875" style="270" customWidth="1"/>
    <col min="5366" max="5366" width="18" style="270" customWidth="1"/>
    <col min="5367" max="5367" width="11.765625" style="270" customWidth="1"/>
    <col min="5368" max="5374" width="9.69140625" style="270" customWidth="1"/>
    <col min="5375" max="5376" width="4.23046875" style="270" customWidth="1"/>
    <col min="5377" max="5377" width="17.23046875" style="270" customWidth="1"/>
    <col min="5378" max="5394" width="9.23046875" style="270" customWidth="1"/>
    <col min="5395" max="5613" width="11.53515625" style="270"/>
    <col min="5614" max="5614" width="3" style="270" customWidth="1"/>
    <col min="5615" max="5615" width="50.69140625" style="270" customWidth="1"/>
    <col min="5616" max="5616" width="13.23046875" style="270" customWidth="1"/>
    <col min="5617" max="5617" width="18.53515625" style="270" customWidth="1"/>
    <col min="5618" max="5618" width="10.765625" style="270" customWidth="1"/>
    <col min="5619" max="5619" width="9.69140625" style="270" customWidth="1"/>
    <col min="5620" max="5620" width="11.69140625" style="270" customWidth="1"/>
    <col min="5621" max="5621" width="15.23046875" style="270" customWidth="1"/>
    <col min="5622" max="5622" width="18" style="270" customWidth="1"/>
    <col min="5623" max="5623" width="11.765625" style="270" customWidth="1"/>
    <col min="5624" max="5630" width="9.69140625" style="270" customWidth="1"/>
    <col min="5631" max="5632" width="4.23046875" style="270" customWidth="1"/>
    <col min="5633" max="5633" width="17.23046875" style="270" customWidth="1"/>
    <col min="5634" max="5650" width="9.23046875" style="270" customWidth="1"/>
    <col min="5651" max="5869" width="11.53515625" style="270"/>
    <col min="5870" max="5870" width="3" style="270" customWidth="1"/>
    <col min="5871" max="5871" width="50.69140625" style="270" customWidth="1"/>
    <col min="5872" max="5872" width="13.23046875" style="270" customWidth="1"/>
    <col min="5873" max="5873" width="18.53515625" style="270" customWidth="1"/>
    <col min="5874" max="5874" width="10.765625" style="270" customWidth="1"/>
    <col min="5875" max="5875" width="9.69140625" style="270" customWidth="1"/>
    <col min="5876" max="5876" width="11.69140625" style="270" customWidth="1"/>
    <col min="5877" max="5877" width="15.23046875" style="270" customWidth="1"/>
    <col min="5878" max="5878" width="18" style="270" customWidth="1"/>
    <col min="5879" max="5879" width="11.765625" style="270" customWidth="1"/>
    <col min="5880" max="5886" width="9.69140625" style="270" customWidth="1"/>
    <col min="5887" max="5888" width="4.23046875" style="270" customWidth="1"/>
    <col min="5889" max="5889" width="17.23046875" style="270" customWidth="1"/>
    <col min="5890" max="5906" width="9.23046875" style="270" customWidth="1"/>
    <col min="5907" max="6125" width="11.53515625" style="270"/>
    <col min="6126" max="6126" width="3" style="270" customWidth="1"/>
    <col min="6127" max="6127" width="50.69140625" style="270" customWidth="1"/>
    <col min="6128" max="6128" width="13.23046875" style="270" customWidth="1"/>
    <col min="6129" max="6129" width="18.53515625" style="270" customWidth="1"/>
    <col min="6130" max="6130" width="10.765625" style="270" customWidth="1"/>
    <col min="6131" max="6131" width="9.69140625" style="270" customWidth="1"/>
    <col min="6132" max="6132" width="11.69140625" style="270" customWidth="1"/>
    <col min="6133" max="6133" width="15.23046875" style="270" customWidth="1"/>
    <col min="6134" max="6134" width="18" style="270" customWidth="1"/>
    <col min="6135" max="6135" width="11.765625" style="270" customWidth="1"/>
    <col min="6136" max="6142" width="9.69140625" style="270" customWidth="1"/>
    <col min="6143" max="6144" width="4.23046875" style="270" customWidth="1"/>
    <col min="6145" max="6145" width="17.23046875" style="270" customWidth="1"/>
    <col min="6146" max="6162" width="9.23046875" style="270" customWidth="1"/>
    <col min="6163" max="6381" width="11.53515625" style="270"/>
    <col min="6382" max="6382" width="3" style="270" customWidth="1"/>
    <col min="6383" max="6383" width="50.69140625" style="270" customWidth="1"/>
    <col min="6384" max="6384" width="13.23046875" style="270" customWidth="1"/>
    <col min="6385" max="6385" width="18.53515625" style="270" customWidth="1"/>
    <col min="6386" max="6386" width="10.765625" style="270" customWidth="1"/>
    <col min="6387" max="6387" width="9.69140625" style="270" customWidth="1"/>
    <col min="6388" max="6388" width="11.69140625" style="270" customWidth="1"/>
    <col min="6389" max="6389" width="15.23046875" style="270" customWidth="1"/>
    <col min="6390" max="6390" width="18" style="270" customWidth="1"/>
    <col min="6391" max="6391" width="11.765625" style="270" customWidth="1"/>
    <col min="6392" max="6398" width="9.69140625" style="270" customWidth="1"/>
    <col min="6399" max="6400" width="4.23046875" style="270" customWidth="1"/>
    <col min="6401" max="6401" width="17.23046875" style="270" customWidth="1"/>
    <col min="6402" max="6418" width="9.23046875" style="270" customWidth="1"/>
    <col min="6419" max="6637" width="11.53515625" style="270"/>
    <col min="6638" max="6638" width="3" style="270" customWidth="1"/>
    <col min="6639" max="6639" width="50.69140625" style="270" customWidth="1"/>
    <col min="6640" max="6640" width="13.23046875" style="270" customWidth="1"/>
    <col min="6641" max="6641" width="18.53515625" style="270" customWidth="1"/>
    <col min="6642" max="6642" width="10.765625" style="270" customWidth="1"/>
    <col min="6643" max="6643" width="9.69140625" style="270" customWidth="1"/>
    <col min="6644" max="6644" width="11.69140625" style="270" customWidth="1"/>
    <col min="6645" max="6645" width="15.23046875" style="270" customWidth="1"/>
    <col min="6646" max="6646" width="18" style="270" customWidth="1"/>
    <col min="6647" max="6647" width="11.765625" style="270" customWidth="1"/>
    <col min="6648" max="6654" width="9.69140625" style="270" customWidth="1"/>
    <col min="6655" max="6656" width="4.23046875" style="270" customWidth="1"/>
    <col min="6657" max="6657" width="17.23046875" style="270" customWidth="1"/>
    <col min="6658" max="6674" width="9.23046875" style="270" customWidth="1"/>
    <col min="6675" max="6893" width="11.53515625" style="270"/>
    <col min="6894" max="6894" width="3" style="270" customWidth="1"/>
    <col min="6895" max="6895" width="50.69140625" style="270" customWidth="1"/>
    <col min="6896" max="6896" width="13.23046875" style="270" customWidth="1"/>
    <col min="6897" max="6897" width="18.53515625" style="270" customWidth="1"/>
    <col min="6898" max="6898" width="10.765625" style="270" customWidth="1"/>
    <col min="6899" max="6899" width="9.69140625" style="270" customWidth="1"/>
    <col min="6900" max="6900" width="11.69140625" style="270" customWidth="1"/>
    <col min="6901" max="6901" width="15.23046875" style="270" customWidth="1"/>
    <col min="6902" max="6902" width="18" style="270" customWidth="1"/>
    <col min="6903" max="6903" width="11.765625" style="270" customWidth="1"/>
    <col min="6904" max="6910" width="9.69140625" style="270" customWidth="1"/>
    <col min="6911" max="6912" width="4.23046875" style="270" customWidth="1"/>
    <col min="6913" max="6913" width="17.23046875" style="270" customWidth="1"/>
    <col min="6914" max="6930" width="9.23046875" style="270" customWidth="1"/>
    <col min="6931" max="7149" width="11.53515625" style="270"/>
    <col min="7150" max="7150" width="3" style="270" customWidth="1"/>
    <col min="7151" max="7151" width="50.69140625" style="270" customWidth="1"/>
    <col min="7152" max="7152" width="13.23046875" style="270" customWidth="1"/>
    <col min="7153" max="7153" width="18.53515625" style="270" customWidth="1"/>
    <col min="7154" max="7154" width="10.765625" style="270" customWidth="1"/>
    <col min="7155" max="7155" width="9.69140625" style="270" customWidth="1"/>
    <col min="7156" max="7156" width="11.69140625" style="270" customWidth="1"/>
    <col min="7157" max="7157" width="15.23046875" style="270" customWidth="1"/>
    <col min="7158" max="7158" width="18" style="270" customWidth="1"/>
    <col min="7159" max="7159" width="11.765625" style="270" customWidth="1"/>
    <col min="7160" max="7166" width="9.69140625" style="270" customWidth="1"/>
    <col min="7167" max="7168" width="4.23046875" style="270" customWidth="1"/>
    <col min="7169" max="7169" width="17.23046875" style="270" customWidth="1"/>
    <col min="7170" max="7186" width="9.23046875" style="270" customWidth="1"/>
    <col min="7187" max="7405" width="11.53515625" style="270"/>
    <col min="7406" max="7406" width="3" style="270" customWidth="1"/>
    <col min="7407" max="7407" width="50.69140625" style="270" customWidth="1"/>
    <col min="7408" max="7408" width="13.23046875" style="270" customWidth="1"/>
    <col min="7409" max="7409" width="18.53515625" style="270" customWidth="1"/>
    <col min="7410" max="7410" width="10.765625" style="270" customWidth="1"/>
    <col min="7411" max="7411" width="9.69140625" style="270" customWidth="1"/>
    <col min="7412" max="7412" width="11.69140625" style="270" customWidth="1"/>
    <col min="7413" max="7413" width="15.23046875" style="270" customWidth="1"/>
    <col min="7414" max="7414" width="18" style="270" customWidth="1"/>
    <col min="7415" max="7415" width="11.765625" style="270" customWidth="1"/>
    <col min="7416" max="7422" width="9.69140625" style="270" customWidth="1"/>
    <col min="7423" max="7424" width="4.23046875" style="270" customWidth="1"/>
    <col min="7425" max="7425" width="17.23046875" style="270" customWidth="1"/>
    <col min="7426" max="7442" width="9.23046875" style="270" customWidth="1"/>
    <col min="7443" max="7661" width="11.53515625" style="270"/>
    <col min="7662" max="7662" width="3" style="270" customWidth="1"/>
    <col min="7663" max="7663" width="50.69140625" style="270" customWidth="1"/>
    <col min="7664" max="7664" width="13.23046875" style="270" customWidth="1"/>
    <col min="7665" max="7665" width="18.53515625" style="270" customWidth="1"/>
    <col min="7666" max="7666" width="10.765625" style="270" customWidth="1"/>
    <col min="7667" max="7667" width="9.69140625" style="270" customWidth="1"/>
    <col min="7668" max="7668" width="11.69140625" style="270" customWidth="1"/>
    <col min="7669" max="7669" width="15.23046875" style="270" customWidth="1"/>
    <col min="7670" max="7670" width="18" style="270" customWidth="1"/>
    <col min="7671" max="7671" width="11.765625" style="270" customWidth="1"/>
    <col min="7672" max="7678" width="9.69140625" style="270" customWidth="1"/>
    <col min="7679" max="7680" width="4.23046875" style="270" customWidth="1"/>
    <col min="7681" max="7681" width="17.23046875" style="270" customWidth="1"/>
    <col min="7682" max="7698" width="9.23046875" style="270" customWidth="1"/>
    <col min="7699" max="7917" width="11.53515625" style="270"/>
    <col min="7918" max="7918" width="3" style="270" customWidth="1"/>
    <col min="7919" max="7919" width="50.69140625" style="270" customWidth="1"/>
    <col min="7920" max="7920" width="13.23046875" style="270" customWidth="1"/>
    <col min="7921" max="7921" width="18.53515625" style="270" customWidth="1"/>
    <col min="7922" max="7922" width="10.765625" style="270" customWidth="1"/>
    <col min="7923" max="7923" width="9.69140625" style="270" customWidth="1"/>
    <col min="7924" max="7924" width="11.69140625" style="270" customWidth="1"/>
    <col min="7925" max="7925" width="15.23046875" style="270" customWidth="1"/>
    <col min="7926" max="7926" width="18" style="270" customWidth="1"/>
    <col min="7927" max="7927" width="11.765625" style="270" customWidth="1"/>
    <col min="7928" max="7934" width="9.69140625" style="270" customWidth="1"/>
    <col min="7935" max="7936" width="4.23046875" style="270" customWidth="1"/>
    <col min="7937" max="7937" width="17.23046875" style="270" customWidth="1"/>
    <col min="7938" max="7954" width="9.23046875" style="270" customWidth="1"/>
    <col min="7955" max="8173" width="11.53515625" style="270"/>
    <col min="8174" max="8174" width="3" style="270" customWidth="1"/>
    <col min="8175" max="8175" width="50.69140625" style="270" customWidth="1"/>
    <col min="8176" max="8176" width="13.23046875" style="270" customWidth="1"/>
    <col min="8177" max="8177" width="18.53515625" style="270" customWidth="1"/>
    <col min="8178" max="8178" width="10.765625" style="270" customWidth="1"/>
    <col min="8179" max="8179" width="9.69140625" style="270" customWidth="1"/>
    <col min="8180" max="8180" width="11.69140625" style="270" customWidth="1"/>
    <col min="8181" max="8181" width="15.23046875" style="270" customWidth="1"/>
    <col min="8182" max="8182" width="18" style="270" customWidth="1"/>
    <col min="8183" max="8183" width="11.765625" style="270" customWidth="1"/>
    <col min="8184" max="8190" width="9.69140625" style="270" customWidth="1"/>
    <col min="8191" max="8192" width="4.23046875" style="270" customWidth="1"/>
    <col min="8193" max="8193" width="17.23046875" style="270" customWidth="1"/>
    <col min="8194" max="8210" width="9.23046875" style="270" customWidth="1"/>
    <col min="8211" max="8429" width="11.53515625" style="270"/>
    <col min="8430" max="8430" width="3" style="270" customWidth="1"/>
    <col min="8431" max="8431" width="50.69140625" style="270" customWidth="1"/>
    <col min="8432" max="8432" width="13.23046875" style="270" customWidth="1"/>
    <col min="8433" max="8433" width="18.53515625" style="270" customWidth="1"/>
    <col min="8434" max="8434" width="10.765625" style="270" customWidth="1"/>
    <col min="8435" max="8435" width="9.69140625" style="270" customWidth="1"/>
    <col min="8436" max="8436" width="11.69140625" style="270" customWidth="1"/>
    <col min="8437" max="8437" width="15.23046875" style="270" customWidth="1"/>
    <col min="8438" max="8438" width="18" style="270" customWidth="1"/>
    <col min="8439" max="8439" width="11.765625" style="270" customWidth="1"/>
    <col min="8440" max="8446" width="9.69140625" style="270" customWidth="1"/>
    <col min="8447" max="8448" width="4.23046875" style="270" customWidth="1"/>
    <col min="8449" max="8449" width="17.23046875" style="270" customWidth="1"/>
    <col min="8450" max="8466" width="9.23046875" style="270" customWidth="1"/>
    <col min="8467" max="8685" width="11.53515625" style="270"/>
    <col min="8686" max="8686" width="3" style="270" customWidth="1"/>
    <col min="8687" max="8687" width="50.69140625" style="270" customWidth="1"/>
    <col min="8688" max="8688" width="13.23046875" style="270" customWidth="1"/>
    <col min="8689" max="8689" width="18.53515625" style="270" customWidth="1"/>
    <col min="8690" max="8690" width="10.765625" style="270" customWidth="1"/>
    <col min="8691" max="8691" width="9.69140625" style="270" customWidth="1"/>
    <col min="8692" max="8692" width="11.69140625" style="270" customWidth="1"/>
    <col min="8693" max="8693" width="15.23046875" style="270" customWidth="1"/>
    <col min="8694" max="8694" width="18" style="270" customWidth="1"/>
    <col min="8695" max="8695" width="11.765625" style="270" customWidth="1"/>
    <col min="8696" max="8702" width="9.69140625" style="270" customWidth="1"/>
    <col min="8703" max="8704" width="4.23046875" style="270" customWidth="1"/>
    <col min="8705" max="8705" width="17.23046875" style="270" customWidth="1"/>
    <col min="8706" max="8722" width="9.23046875" style="270" customWidth="1"/>
    <col min="8723" max="8941" width="11.53515625" style="270"/>
    <col min="8942" max="8942" width="3" style="270" customWidth="1"/>
    <col min="8943" max="8943" width="50.69140625" style="270" customWidth="1"/>
    <col min="8944" max="8944" width="13.23046875" style="270" customWidth="1"/>
    <col min="8945" max="8945" width="18.53515625" style="270" customWidth="1"/>
    <col min="8946" max="8946" width="10.765625" style="270" customWidth="1"/>
    <col min="8947" max="8947" width="9.69140625" style="270" customWidth="1"/>
    <col min="8948" max="8948" width="11.69140625" style="270" customWidth="1"/>
    <col min="8949" max="8949" width="15.23046875" style="270" customWidth="1"/>
    <col min="8950" max="8950" width="18" style="270" customWidth="1"/>
    <col min="8951" max="8951" width="11.765625" style="270" customWidth="1"/>
    <col min="8952" max="8958" width="9.69140625" style="270" customWidth="1"/>
    <col min="8959" max="8960" width="4.23046875" style="270" customWidth="1"/>
    <col min="8961" max="8961" width="17.23046875" style="270" customWidth="1"/>
    <col min="8962" max="8978" width="9.23046875" style="270" customWidth="1"/>
    <col min="8979" max="9197" width="11.53515625" style="270"/>
    <col min="9198" max="9198" width="3" style="270" customWidth="1"/>
    <col min="9199" max="9199" width="50.69140625" style="270" customWidth="1"/>
    <col min="9200" max="9200" width="13.23046875" style="270" customWidth="1"/>
    <col min="9201" max="9201" width="18.53515625" style="270" customWidth="1"/>
    <col min="9202" max="9202" width="10.765625" style="270" customWidth="1"/>
    <col min="9203" max="9203" width="9.69140625" style="270" customWidth="1"/>
    <col min="9204" max="9204" width="11.69140625" style="270" customWidth="1"/>
    <col min="9205" max="9205" width="15.23046875" style="270" customWidth="1"/>
    <col min="9206" max="9206" width="18" style="270" customWidth="1"/>
    <col min="9207" max="9207" width="11.765625" style="270" customWidth="1"/>
    <col min="9208" max="9214" width="9.69140625" style="270" customWidth="1"/>
    <col min="9215" max="9216" width="4.23046875" style="270" customWidth="1"/>
    <col min="9217" max="9217" width="17.23046875" style="270" customWidth="1"/>
    <col min="9218" max="9234" width="9.23046875" style="270" customWidth="1"/>
    <col min="9235" max="9453" width="11.53515625" style="270"/>
    <col min="9454" max="9454" width="3" style="270" customWidth="1"/>
    <col min="9455" max="9455" width="50.69140625" style="270" customWidth="1"/>
    <col min="9456" max="9456" width="13.23046875" style="270" customWidth="1"/>
    <col min="9457" max="9457" width="18.53515625" style="270" customWidth="1"/>
    <col min="9458" max="9458" width="10.765625" style="270" customWidth="1"/>
    <col min="9459" max="9459" width="9.69140625" style="270" customWidth="1"/>
    <col min="9460" max="9460" width="11.69140625" style="270" customWidth="1"/>
    <col min="9461" max="9461" width="15.23046875" style="270" customWidth="1"/>
    <col min="9462" max="9462" width="18" style="270" customWidth="1"/>
    <col min="9463" max="9463" width="11.765625" style="270" customWidth="1"/>
    <col min="9464" max="9470" width="9.69140625" style="270" customWidth="1"/>
    <col min="9471" max="9472" width="4.23046875" style="270" customWidth="1"/>
    <col min="9473" max="9473" width="17.23046875" style="270" customWidth="1"/>
    <col min="9474" max="9490" width="9.23046875" style="270" customWidth="1"/>
    <col min="9491" max="9709" width="11.53515625" style="270"/>
    <col min="9710" max="9710" width="3" style="270" customWidth="1"/>
    <col min="9711" max="9711" width="50.69140625" style="270" customWidth="1"/>
    <col min="9712" max="9712" width="13.23046875" style="270" customWidth="1"/>
    <col min="9713" max="9713" width="18.53515625" style="270" customWidth="1"/>
    <col min="9714" max="9714" width="10.765625" style="270" customWidth="1"/>
    <col min="9715" max="9715" width="9.69140625" style="270" customWidth="1"/>
    <col min="9716" max="9716" width="11.69140625" style="270" customWidth="1"/>
    <col min="9717" max="9717" width="15.23046875" style="270" customWidth="1"/>
    <col min="9718" max="9718" width="18" style="270" customWidth="1"/>
    <col min="9719" max="9719" width="11.765625" style="270" customWidth="1"/>
    <col min="9720" max="9726" width="9.69140625" style="270" customWidth="1"/>
    <col min="9727" max="9728" width="4.23046875" style="270" customWidth="1"/>
    <col min="9729" max="9729" width="17.23046875" style="270" customWidth="1"/>
    <col min="9730" max="9746" width="9.23046875" style="270" customWidth="1"/>
    <col min="9747" max="9965" width="11.53515625" style="270"/>
    <col min="9966" max="9966" width="3" style="270" customWidth="1"/>
    <col min="9967" max="9967" width="50.69140625" style="270" customWidth="1"/>
    <col min="9968" max="9968" width="13.23046875" style="270" customWidth="1"/>
    <col min="9969" max="9969" width="18.53515625" style="270" customWidth="1"/>
    <col min="9970" max="9970" width="10.765625" style="270" customWidth="1"/>
    <col min="9971" max="9971" width="9.69140625" style="270" customWidth="1"/>
    <col min="9972" max="9972" width="11.69140625" style="270" customWidth="1"/>
    <col min="9973" max="9973" width="15.23046875" style="270" customWidth="1"/>
    <col min="9974" max="9974" width="18" style="270" customWidth="1"/>
    <col min="9975" max="9975" width="11.765625" style="270" customWidth="1"/>
    <col min="9976" max="9982" width="9.69140625" style="270" customWidth="1"/>
    <col min="9983" max="9984" width="4.23046875" style="270" customWidth="1"/>
    <col min="9985" max="9985" width="17.23046875" style="270" customWidth="1"/>
    <col min="9986" max="10002" width="9.23046875" style="270" customWidth="1"/>
    <col min="10003" max="10221" width="11.53515625" style="270"/>
    <col min="10222" max="10222" width="3" style="270" customWidth="1"/>
    <col min="10223" max="10223" width="50.69140625" style="270" customWidth="1"/>
    <col min="10224" max="10224" width="13.23046875" style="270" customWidth="1"/>
    <col min="10225" max="10225" width="18.53515625" style="270" customWidth="1"/>
    <col min="10226" max="10226" width="10.765625" style="270" customWidth="1"/>
    <col min="10227" max="10227" width="9.69140625" style="270" customWidth="1"/>
    <col min="10228" max="10228" width="11.69140625" style="270" customWidth="1"/>
    <col min="10229" max="10229" width="15.23046875" style="270" customWidth="1"/>
    <col min="10230" max="10230" width="18" style="270" customWidth="1"/>
    <col min="10231" max="10231" width="11.765625" style="270" customWidth="1"/>
    <col min="10232" max="10238" width="9.69140625" style="270" customWidth="1"/>
    <col min="10239" max="10240" width="4.23046875" style="270" customWidth="1"/>
    <col min="10241" max="10241" width="17.23046875" style="270" customWidth="1"/>
    <col min="10242" max="10258" width="9.23046875" style="270" customWidth="1"/>
    <col min="10259" max="10477" width="11.53515625" style="270"/>
    <col min="10478" max="10478" width="3" style="270" customWidth="1"/>
    <col min="10479" max="10479" width="50.69140625" style="270" customWidth="1"/>
    <col min="10480" max="10480" width="13.23046875" style="270" customWidth="1"/>
    <col min="10481" max="10481" width="18.53515625" style="270" customWidth="1"/>
    <col min="10482" max="10482" width="10.765625" style="270" customWidth="1"/>
    <col min="10483" max="10483" width="9.69140625" style="270" customWidth="1"/>
    <col min="10484" max="10484" width="11.69140625" style="270" customWidth="1"/>
    <col min="10485" max="10485" width="15.23046875" style="270" customWidth="1"/>
    <col min="10486" max="10486" width="18" style="270" customWidth="1"/>
    <col min="10487" max="10487" width="11.765625" style="270" customWidth="1"/>
    <col min="10488" max="10494" width="9.69140625" style="270" customWidth="1"/>
    <col min="10495" max="10496" width="4.23046875" style="270" customWidth="1"/>
    <col min="10497" max="10497" width="17.23046875" style="270" customWidth="1"/>
    <col min="10498" max="10514" width="9.23046875" style="270" customWidth="1"/>
    <col min="10515" max="10733" width="11.53515625" style="270"/>
    <col min="10734" max="10734" width="3" style="270" customWidth="1"/>
    <col min="10735" max="10735" width="50.69140625" style="270" customWidth="1"/>
    <col min="10736" max="10736" width="13.23046875" style="270" customWidth="1"/>
    <col min="10737" max="10737" width="18.53515625" style="270" customWidth="1"/>
    <col min="10738" max="10738" width="10.765625" style="270" customWidth="1"/>
    <col min="10739" max="10739" width="9.69140625" style="270" customWidth="1"/>
    <col min="10740" max="10740" width="11.69140625" style="270" customWidth="1"/>
    <col min="10741" max="10741" width="15.23046875" style="270" customWidth="1"/>
    <col min="10742" max="10742" width="18" style="270" customWidth="1"/>
    <col min="10743" max="10743" width="11.765625" style="270" customWidth="1"/>
    <col min="10744" max="10750" width="9.69140625" style="270" customWidth="1"/>
    <col min="10751" max="10752" width="4.23046875" style="270" customWidth="1"/>
    <col min="10753" max="10753" width="17.23046875" style="270" customWidth="1"/>
    <col min="10754" max="10770" width="9.23046875" style="270" customWidth="1"/>
    <col min="10771" max="10989" width="11.53515625" style="270"/>
    <col min="10990" max="10990" width="3" style="270" customWidth="1"/>
    <col min="10991" max="10991" width="50.69140625" style="270" customWidth="1"/>
    <col min="10992" max="10992" width="13.23046875" style="270" customWidth="1"/>
    <col min="10993" max="10993" width="18.53515625" style="270" customWidth="1"/>
    <col min="10994" max="10994" width="10.765625" style="270" customWidth="1"/>
    <col min="10995" max="10995" width="9.69140625" style="270" customWidth="1"/>
    <col min="10996" max="10996" width="11.69140625" style="270" customWidth="1"/>
    <col min="10997" max="10997" width="15.23046875" style="270" customWidth="1"/>
    <col min="10998" max="10998" width="18" style="270" customWidth="1"/>
    <col min="10999" max="10999" width="11.765625" style="270" customWidth="1"/>
    <col min="11000" max="11006" width="9.69140625" style="270" customWidth="1"/>
    <col min="11007" max="11008" width="4.23046875" style="270" customWidth="1"/>
    <col min="11009" max="11009" width="17.23046875" style="270" customWidth="1"/>
    <col min="11010" max="11026" width="9.23046875" style="270" customWidth="1"/>
    <col min="11027" max="11245" width="11.53515625" style="270"/>
    <col min="11246" max="11246" width="3" style="270" customWidth="1"/>
    <col min="11247" max="11247" width="50.69140625" style="270" customWidth="1"/>
    <col min="11248" max="11248" width="13.23046875" style="270" customWidth="1"/>
    <col min="11249" max="11249" width="18.53515625" style="270" customWidth="1"/>
    <col min="11250" max="11250" width="10.765625" style="270" customWidth="1"/>
    <col min="11251" max="11251" width="9.69140625" style="270" customWidth="1"/>
    <col min="11252" max="11252" width="11.69140625" style="270" customWidth="1"/>
    <col min="11253" max="11253" width="15.23046875" style="270" customWidth="1"/>
    <col min="11254" max="11254" width="18" style="270" customWidth="1"/>
    <col min="11255" max="11255" width="11.765625" style="270" customWidth="1"/>
    <col min="11256" max="11262" width="9.69140625" style="270" customWidth="1"/>
    <col min="11263" max="11264" width="4.23046875" style="270" customWidth="1"/>
    <col min="11265" max="11265" width="17.23046875" style="270" customWidth="1"/>
    <col min="11266" max="11282" width="9.23046875" style="270" customWidth="1"/>
    <col min="11283" max="11501" width="11.53515625" style="270"/>
    <col min="11502" max="11502" width="3" style="270" customWidth="1"/>
    <col min="11503" max="11503" width="50.69140625" style="270" customWidth="1"/>
    <col min="11504" max="11504" width="13.23046875" style="270" customWidth="1"/>
    <col min="11505" max="11505" width="18.53515625" style="270" customWidth="1"/>
    <col min="11506" max="11506" width="10.765625" style="270" customWidth="1"/>
    <col min="11507" max="11507" width="9.69140625" style="270" customWidth="1"/>
    <col min="11508" max="11508" width="11.69140625" style="270" customWidth="1"/>
    <col min="11509" max="11509" width="15.23046875" style="270" customWidth="1"/>
    <col min="11510" max="11510" width="18" style="270" customWidth="1"/>
    <col min="11511" max="11511" width="11.765625" style="270" customWidth="1"/>
    <col min="11512" max="11518" width="9.69140625" style="270" customWidth="1"/>
    <col min="11519" max="11520" width="4.23046875" style="270" customWidth="1"/>
    <col min="11521" max="11521" width="17.23046875" style="270" customWidth="1"/>
    <col min="11522" max="11538" width="9.23046875" style="270" customWidth="1"/>
    <col min="11539" max="11757" width="11.53515625" style="270"/>
    <col min="11758" max="11758" width="3" style="270" customWidth="1"/>
    <col min="11759" max="11759" width="50.69140625" style="270" customWidth="1"/>
    <col min="11760" max="11760" width="13.23046875" style="270" customWidth="1"/>
    <col min="11761" max="11761" width="18.53515625" style="270" customWidth="1"/>
    <col min="11762" max="11762" width="10.765625" style="270" customWidth="1"/>
    <col min="11763" max="11763" width="9.69140625" style="270" customWidth="1"/>
    <col min="11764" max="11764" width="11.69140625" style="270" customWidth="1"/>
    <col min="11765" max="11765" width="15.23046875" style="270" customWidth="1"/>
    <col min="11766" max="11766" width="18" style="270" customWidth="1"/>
    <col min="11767" max="11767" width="11.765625" style="270" customWidth="1"/>
    <col min="11768" max="11774" width="9.69140625" style="270" customWidth="1"/>
    <col min="11775" max="11776" width="4.23046875" style="270" customWidth="1"/>
    <col min="11777" max="11777" width="17.23046875" style="270" customWidth="1"/>
    <col min="11778" max="11794" width="9.23046875" style="270" customWidth="1"/>
    <col min="11795" max="12013" width="11.53515625" style="270"/>
    <col min="12014" max="12014" width="3" style="270" customWidth="1"/>
    <col min="12015" max="12015" width="50.69140625" style="270" customWidth="1"/>
    <col min="12016" max="12016" width="13.23046875" style="270" customWidth="1"/>
    <col min="12017" max="12017" width="18.53515625" style="270" customWidth="1"/>
    <col min="12018" max="12018" width="10.765625" style="270" customWidth="1"/>
    <col min="12019" max="12019" width="9.69140625" style="270" customWidth="1"/>
    <col min="12020" max="12020" width="11.69140625" style="270" customWidth="1"/>
    <col min="12021" max="12021" width="15.23046875" style="270" customWidth="1"/>
    <col min="12022" max="12022" width="18" style="270" customWidth="1"/>
    <col min="12023" max="12023" width="11.765625" style="270" customWidth="1"/>
    <col min="12024" max="12030" width="9.69140625" style="270" customWidth="1"/>
    <col min="12031" max="12032" width="4.23046875" style="270" customWidth="1"/>
    <col min="12033" max="12033" width="17.23046875" style="270" customWidth="1"/>
    <col min="12034" max="12050" width="9.23046875" style="270" customWidth="1"/>
    <col min="12051" max="12269" width="11.53515625" style="270"/>
    <col min="12270" max="12270" width="3" style="270" customWidth="1"/>
    <col min="12271" max="12271" width="50.69140625" style="270" customWidth="1"/>
    <col min="12272" max="12272" width="13.23046875" style="270" customWidth="1"/>
    <col min="12273" max="12273" width="18.53515625" style="270" customWidth="1"/>
    <col min="12274" max="12274" width="10.765625" style="270" customWidth="1"/>
    <col min="12275" max="12275" width="9.69140625" style="270" customWidth="1"/>
    <col min="12276" max="12276" width="11.69140625" style="270" customWidth="1"/>
    <col min="12277" max="12277" width="15.23046875" style="270" customWidth="1"/>
    <col min="12278" max="12278" width="18" style="270" customWidth="1"/>
    <col min="12279" max="12279" width="11.765625" style="270" customWidth="1"/>
    <col min="12280" max="12286" width="9.69140625" style="270" customWidth="1"/>
    <col min="12287" max="12288" width="4.23046875" style="270" customWidth="1"/>
    <col min="12289" max="12289" width="17.23046875" style="270" customWidth="1"/>
    <col min="12290" max="12306" width="9.23046875" style="270" customWidth="1"/>
    <col min="12307" max="12525" width="11.53515625" style="270"/>
    <col min="12526" max="12526" width="3" style="270" customWidth="1"/>
    <col min="12527" max="12527" width="50.69140625" style="270" customWidth="1"/>
    <col min="12528" max="12528" width="13.23046875" style="270" customWidth="1"/>
    <col min="12529" max="12529" width="18.53515625" style="270" customWidth="1"/>
    <col min="12530" max="12530" width="10.765625" style="270" customWidth="1"/>
    <col min="12531" max="12531" width="9.69140625" style="270" customWidth="1"/>
    <col min="12532" max="12532" width="11.69140625" style="270" customWidth="1"/>
    <col min="12533" max="12533" width="15.23046875" style="270" customWidth="1"/>
    <col min="12534" max="12534" width="18" style="270" customWidth="1"/>
    <col min="12535" max="12535" width="11.765625" style="270" customWidth="1"/>
    <col min="12536" max="12542" width="9.69140625" style="270" customWidth="1"/>
    <col min="12543" max="12544" width="4.23046875" style="270" customWidth="1"/>
    <col min="12545" max="12545" width="17.23046875" style="270" customWidth="1"/>
    <col min="12546" max="12562" width="9.23046875" style="270" customWidth="1"/>
    <col min="12563" max="12781" width="11.53515625" style="270"/>
    <col min="12782" max="12782" width="3" style="270" customWidth="1"/>
    <col min="12783" max="12783" width="50.69140625" style="270" customWidth="1"/>
    <col min="12784" max="12784" width="13.23046875" style="270" customWidth="1"/>
    <col min="12785" max="12785" width="18.53515625" style="270" customWidth="1"/>
    <col min="12786" max="12786" width="10.765625" style="270" customWidth="1"/>
    <col min="12787" max="12787" width="9.69140625" style="270" customWidth="1"/>
    <col min="12788" max="12788" width="11.69140625" style="270" customWidth="1"/>
    <col min="12789" max="12789" width="15.23046875" style="270" customWidth="1"/>
    <col min="12790" max="12790" width="18" style="270" customWidth="1"/>
    <col min="12791" max="12791" width="11.765625" style="270" customWidth="1"/>
    <col min="12792" max="12798" width="9.69140625" style="270" customWidth="1"/>
    <col min="12799" max="12800" width="4.23046875" style="270" customWidth="1"/>
    <col min="12801" max="12801" width="17.23046875" style="270" customWidth="1"/>
    <col min="12802" max="12818" width="9.23046875" style="270" customWidth="1"/>
    <col min="12819" max="13037" width="11.53515625" style="270"/>
    <col min="13038" max="13038" width="3" style="270" customWidth="1"/>
    <col min="13039" max="13039" width="50.69140625" style="270" customWidth="1"/>
    <col min="13040" max="13040" width="13.23046875" style="270" customWidth="1"/>
    <col min="13041" max="13041" width="18.53515625" style="270" customWidth="1"/>
    <col min="13042" max="13042" width="10.765625" style="270" customWidth="1"/>
    <col min="13043" max="13043" width="9.69140625" style="270" customWidth="1"/>
    <col min="13044" max="13044" width="11.69140625" style="270" customWidth="1"/>
    <col min="13045" max="13045" width="15.23046875" style="270" customWidth="1"/>
    <col min="13046" max="13046" width="18" style="270" customWidth="1"/>
    <col min="13047" max="13047" width="11.765625" style="270" customWidth="1"/>
    <col min="13048" max="13054" width="9.69140625" style="270" customWidth="1"/>
    <col min="13055" max="13056" width="4.23046875" style="270" customWidth="1"/>
    <col min="13057" max="13057" width="17.23046875" style="270" customWidth="1"/>
    <col min="13058" max="13074" width="9.23046875" style="270" customWidth="1"/>
    <col min="13075" max="13293" width="11.53515625" style="270"/>
    <col min="13294" max="13294" width="3" style="270" customWidth="1"/>
    <col min="13295" max="13295" width="50.69140625" style="270" customWidth="1"/>
    <col min="13296" max="13296" width="13.23046875" style="270" customWidth="1"/>
    <col min="13297" max="13297" width="18.53515625" style="270" customWidth="1"/>
    <col min="13298" max="13298" width="10.765625" style="270" customWidth="1"/>
    <col min="13299" max="13299" width="9.69140625" style="270" customWidth="1"/>
    <col min="13300" max="13300" width="11.69140625" style="270" customWidth="1"/>
    <col min="13301" max="13301" width="15.23046875" style="270" customWidth="1"/>
    <col min="13302" max="13302" width="18" style="270" customWidth="1"/>
    <col min="13303" max="13303" width="11.765625" style="270" customWidth="1"/>
    <col min="13304" max="13310" width="9.69140625" style="270" customWidth="1"/>
    <col min="13311" max="13312" width="4.23046875" style="270" customWidth="1"/>
    <col min="13313" max="13313" width="17.23046875" style="270" customWidth="1"/>
    <col min="13314" max="13330" width="9.23046875" style="270" customWidth="1"/>
    <col min="13331" max="13549" width="11.53515625" style="270"/>
    <col min="13550" max="13550" width="3" style="270" customWidth="1"/>
    <col min="13551" max="13551" width="50.69140625" style="270" customWidth="1"/>
    <col min="13552" max="13552" width="13.23046875" style="270" customWidth="1"/>
    <col min="13553" max="13553" width="18.53515625" style="270" customWidth="1"/>
    <col min="13554" max="13554" width="10.765625" style="270" customWidth="1"/>
    <col min="13555" max="13555" width="9.69140625" style="270" customWidth="1"/>
    <col min="13556" max="13556" width="11.69140625" style="270" customWidth="1"/>
    <col min="13557" max="13557" width="15.23046875" style="270" customWidth="1"/>
    <col min="13558" max="13558" width="18" style="270" customWidth="1"/>
    <col min="13559" max="13559" width="11.765625" style="270" customWidth="1"/>
    <col min="13560" max="13566" width="9.69140625" style="270" customWidth="1"/>
    <col min="13567" max="13568" width="4.23046875" style="270" customWidth="1"/>
    <col min="13569" max="13569" width="17.23046875" style="270" customWidth="1"/>
    <col min="13570" max="13586" width="9.23046875" style="270" customWidth="1"/>
    <col min="13587" max="13805" width="11.53515625" style="270"/>
    <col min="13806" max="13806" width="3" style="270" customWidth="1"/>
    <col min="13807" max="13807" width="50.69140625" style="270" customWidth="1"/>
    <col min="13808" max="13808" width="13.23046875" style="270" customWidth="1"/>
    <col min="13809" max="13809" width="18.53515625" style="270" customWidth="1"/>
    <col min="13810" max="13810" width="10.765625" style="270" customWidth="1"/>
    <col min="13811" max="13811" width="9.69140625" style="270" customWidth="1"/>
    <col min="13812" max="13812" width="11.69140625" style="270" customWidth="1"/>
    <col min="13813" max="13813" width="15.23046875" style="270" customWidth="1"/>
    <col min="13814" max="13814" width="18" style="270" customWidth="1"/>
    <col min="13815" max="13815" width="11.765625" style="270" customWidth="1"/>
    <col min="13816" max="13822" width="9.69140625" style="270" customWidth="1"/>
    <col min="13823" max="13824" width="4.23046875" style="270" customWidth="1"/>
    <col min="13825" max="13825" width="17.23046875" style="270" customWidth="1"/>
    <col min="13826" max="13842" width="9.23046875" style="270" customWidth="1"/>
    <col min="13843" max="14061" width="11.53515625" style="270"/>
    <col min="14062" max="14062" width="3" style="270" customWidth="1"/>
    <col min="14063" max="14063" width="50.69140625" style="270" customWidth="1"/>
    <col min="14064" max="14064" width="13.23046875" style="270" customWidth="1"/>
    <col min="14065" max="14065" width="18.53515625" style="270" customWidth="1"/>
    <col min="14066" max="14066" width="10.765625" style="270" customWidth="1"/>
    <col min="14067" max="14067" width="9.69140625" style="270" customWidth="1"/>
    <col min="14068" max="14068" width="11.69140625" style="270" customWidth="1"/>
    <col min="14069" max="14069" width="15.23046875" style="270" customWidth="1"/>
    <col min="14070" max="14070" width="18" style="270" customWidth="1"/>
    <col min="14071" max="14071" width="11.765625" style="270" customWidth="1"/>
    <col min="14072" max="14078" width="9.69140625" style="270" customWidth="1"/>
    <col min="14079" max="14080" width="4.23046875" style="270" customWidth="1"/>
    <col min="14081" max="14081" width="17.23046875" style="270" customWidth="1"/>
    <col min="14082" max="14098" width="9.23046875" style="270" customWidth="1"/>
    <col min="14099" max="14317" width="11.53515625" style="270"/>
    <col min="14318" max="14318" width="3" style="270" customWidth="1"/>
    <col min="14319" max="14319" width="50.69140625" style="270" customWidth="1"/>
    <col min="14320" max="14320" width="13.23046875" style="270" customWidth="1"/>
    <col min="14321" max="14321" width="18.53515625" style="270" customWidth="1"/>
    <col min="14322" max="14322" width="10.765625" style="270" customWidth="1"/>
    <col min="14323" max="14323" width="9.69140625" style="270" customWidth="1"/>
    <col min="14324" max="14324" width="11.69140625" style="270" customWidth="1"/>
    <col min="14325" max="14325" width="15.23046875" style="270" customWidth="1"/>
    <col min="14326" max="14326" width="18" style="270" customWidth="1"/>
    <col min="14327" max="14327" width="11.765625" style="270" customWidth="1"/>
    <col min="14328" max="14334" width="9.69140625" style="270" customWidth="1"/>
    <col min="14335" max="14336" width="4.23046875" style="270" customWidth="1"/>
    <col min="14337" max="14337" width="17.23046875" style="270" customWidth="1"/>
    <col min="14338" max="14354" width="9.23046875" style="270" customWidth="1"/>
    <col min="14355" max="14573" width="11.53515625" style="270"/>
    <col min="14574" max="14574" width="3" style="270" customWidth="1"/>
    <col min="14575" max="14575" width="50.69140625" style="270" customWidth="1"/>
    <col min="14576" max="14576" width="13.23046875" style="270" customWidth="1"/>
    <col min="14577" max="14577" width="18.53515625" style="270" customWidth="1"/>
    <col min="14578" max="14578" width="10.765625" style="270" customWidth="1"/>
    <col min="14579" max="14579" width="9.69140625" style="270" customWidth="1"/>
    <col min="14580" max="14580" width="11.69140625" style="270" customWidth="1"/>
    <col min="14581" max="14581" width="15.23046875" style="270" customWidth="1"/>
    <col min="14582" max="14582" width="18" style="270" customWidth="1"/>
    <col min="14583" max="14583" width="11.765625" style="270" customWidth="1"/>
    <col min="14584" max="14590" width="9.69140625" style="270" customWidth="1"/>
    <col min="14591" max="14592" width="4.23046875" style="270" customWidth="1"/>
    <col min="14593" max="14593" width="17.23046875" style="270" customWidth="1"/>
    <col min="14594" max="14610" width="9.23046875" style="270" customWidth="1"/>
    <col min="14611" max="14829" width="11.53515625" style="270"/>
    <col min="14830" max="14830" width="3" style="270" customWidth="1"/>
    <col min="14831" max="14831" width="50.69140625" style="270" customWidth="1"/>
    <col min="14832" max="14832" width="13.23046875" style="270" customWidth="1"/>
    <col min="14833" max="14833" width="18.53515625" style="270" customWidth="1"/>
    <col min="14834" max="14834" width="10.765625" style="270" customWidth="1"/>
    <col min="14835" max="14835" width="9.69140625" style="270" customWidth="1"/>
    <col min="14836" max="14836" width="11.69140625" style="270" customWidth="1"/>
    <col min="14837" max="14837" width="15.23046875" style="270" customWidth="1"/>
    <col min="14838" max="14838" width="18" style="270" customWidth="1"/>
    <col min="14839" max="14839" width="11.765625" style="270" customWidth="1"/>
    <col min="14840" max="14846" width="9.69140625" style="270" customWidth="1"/>
    <col min="14847" max="14848" width="4.23046875" style="270" customWidth="1"/>
    <col min="14849" max="14849" width="17.23046875" style="270" customWidth="1"/>
    <col min="14850" max="14866" width="9.23046875" style="270" customWidth="1"/>
    <col min="14867" max="15085" width="11.53515625" style="270"/>
    <col min="15086" max="15086" width="3" style="270" customWidth="1"/>
    <col min="15087" max="15087" width="50.69140625" style="270" customWidth="1"/>
    <col min="15088" max="15088" width="13.23046875" style="270" customWidth="1"/>
    <col min="15089" max="15089" width="18.53515625" style="270" customWidth="1"/>
    <col min="15090" max="15090" width="10.765625" style="270" customWidth="1"/>
    <col min="15091" max="15091" width="9.69140625" style="270" customWidth="1"/>
    <col min="15092" max="15092" width="11.69140625" style="270" customWidth="1"/>
    <col min="15093" max="15093" width="15.23046875" style="270" customWidth="1"/>
    <col min="15094" max="15094" width="18" style="270" customWidth="1"/>
    <col min="15095" max="15095" width="11.765625" style="270" customWidth="1"/>
    <col min="15096" max="15102" width="9.69140625" style="270" customWidth="1"/>
    <col min="15103" max="15104" width="4.23046875" style="270" customWidth="1"/>
    <col min="15105" max="15105" width="17.23046875" style="270" customWidth="1"/>
    <col min="15106" max="15122" width="9.23046875" style="270" customWidth="1"/>
    <col min="15123" max="15341" width="11.53515625" style="270"/>
    <col min="15342" max="15342" width="3" style="270" customWidth="1"/>
    <col min="15343" max="15343" width="50.69140625" style="270" customWidth="1"/>
    <col min="15344" max="15344" width="13.23046875" style="270" customWidth="1"/>
    <col min="15345" max="15345" width="18.53515625" style="270" customWidth="1"/>
    <col min="15346" max="15346" width="10.765625" style="270" customWidth="1"/>
    <col min="15347" max="15347" width="9.69140625" style="270" customWidth="1"/>
    <col min="15348" max="15348" width="11.69140625" style="270" customWidth="1"/>
    <col min="15349" max="15349" width="15.23046875" style="270" customWidth="1"/>
    <col min="15350" max="15350" width="18" style="270" customWidth="1"/>
    <col min="15351" max="15351" width="11.765625" style="270" customWidth="1"/>
    <col min="15352" max="15358" width="9.69140625" style="270" customWidth="1"/>
    <col min="15359" max="15360" width="4.23046875" style="270" customWidth="1"/>
    <col min="15361" max="15361" width="17.23046875" style="270" customWidth="1"/>
    <col min="15362" max="15378" width="9.23046875" style="270" customWidth="1"/>
    <col min="15379" max="15597" width="11.53515625" style="270"/>
    <col min="15598" max="15598" width="3" style="270" customWidth="1"/>
    <col min="15599" max="15599" width="50.69140625" style="270" customWidth="1"/>
    <col min="15600" max="15600" width="13.23046875" style="270" customWidth="1"/>
    <col min="15601" max="15601" width="18.53515625" style="270" customWidth="1"/>
    <col min="15602" max="15602" width="10.765625" style="270" customWidth="1"/>
    <col min="15603" max="15603" width="9.69140625" style="270" customWidth="1"/>
    <col min="15604" max="15604" width="11.69140625" style="270" customWidth="1"/>
    <col min="15605" max="15605" width="15.23046875" style="270" customWidth="1"/>
    <col min="15606" max="15606" width="18" style="270" customWidth="1"/>
    <col min="15607" max="15607" width="11.765625" style="270" customWidth="1"/>
    <col min="15608" max="15614" width="9.69140625" style="270" customWidth="1"/>
    <col min="15615" max="15616" width="4.23046875" style="270" customWidth="1"/>
    <col min="15617" max="15617" width="17.23046875" style="270" customWidth="1"/>
    <col min="15618" max="15634" width="9.23046875" style="270" customWidth="1"/>
    <col min="15635" max="15853" width="11.53515625" style="270"/>
    <col min="15854" max="15854" width="3" style="270" customWidth="1"/>
    <col min="15855" max="15855" width="50.69140625" style="270" customWidth="1"/>
    <col min="15856" max="15856" width="13.23046875" style="270" customWidth="1"/>
    <col min="15857" max="15857" width="18.53515625" style="270" customWidth="1"/>
    <col min="15858" max="15858" width="10.765625" style="270" customWidth="1"/>
    <col min="15859" max="15859" width="9.69140625" style="270" customWidth="1"/>
    <col min="15860" max="15860" width="11.69140625" style="270" customWidth="1"/>
    <col min="15861" max="15861" width="15.23046875" style="270" customWidth="1"/>
    <col min="15862" max="15862" width="18" style="270" customWidth="1"/>
    <col min="15863" max="15863" width="11.765625" style="270" customWidth="1"/>
    <col min="15864" max="15870" width="9.69140625" style="270" customWidth="1"/>
    <col min="15871" max="15872" width="4.23046875" style="270" customWidth="1"/>
    <col min="15873" max="15873" width="17.23046875" style="270" customWidth="1"/>
    <col min="15874" max="15890" width="9.23046875" style="270" customWidth="1"/>
    <col min="15891" max="16109" width="11.53515625" style="270"/>
    <col min="16110" max="16110" width="3" style="270" customWidth="1"/>
    <col min="16111" max="16111" width="50.69140625" style="270" customWidth="1"/>
    <col min="16112" max="16112" width="13.23046875" style="270" customWidth="1"/>
    <col min="16113" max="16113" width="18.53515625" style="270" customWidth="1"/>
    <col min="16114" max="16114" width="10.765625" style="270" customWidth="1"/>
    <col min="16115" max="16115" width="9.69140625" style="270" customWidth="1"/>
    <col min="16116" max="16116" width="11.69140625" style="270" customWidth="1"/>
    <col min="16117" max="16117" width="15.23046875" style="270" customWidth="1"/>
    <col min="16118" max="16118" width="18" style="270" customWidth="1"/>
    <col min="16119" max="16119" width="11.765625" style="270" customWidth="1"/>
    <col min="16120" max="16126" width="9.69140625" style="270" customWidth="1"/>
    <col min="16127" max="16128" width="4.23046875" style="270" customWidth="1"/>
    <col min="16129" max="16129" width="17.23046875" style="270" customWidth="1"/>
    <col min="16130" max="16146" width="9.23046875" style="270" customWidth="1"/>
    <col min="16147" max="16384" width="11.53515625" style="270"/>
  </cols>
  <sheetData>
    <row r="1" spans="1:10" ht="45.45">
      <c r="A1" s="307" t="s">
        <v>410</v>
      </c>
    </row>
    <row r="2" spans="1:10">
      <c r="D2" s="308"/>
    </row>
    <row r="3" spans="1:10" ht="17.600000000000001">
      <c r="A3" s="273"/>
      <c r="B3" s="309" t="s">
        <v>271</v>
      </c>
      <c r="C3" s="273"/>
      <c r="D3" s="310"/>
      <c r="E3" s="273"/>
      <c r="F3" s="273"/>
      <c r="G3" s="273"/>
      <c r="H3" s="272"/>
      <c r="J3" s="272"/>
    </row>
    <row r="4" spans="1:10">
      <c r="H4" s="272"/>
      <c r="J4" s="272"/>
    </row>
    <row r="5" spans="1:10">
      <c r="B5" s="270" t="s">
        <v>539</v>
      </c>
      <c r="D5" s="365" t="str">
        <f>Datenblatt!C2</f>
        <v>Wohnen MFH</v>
      </c>
      <c r="E5" s="365"/>
      <c r="F5" s="365"/>
      <c r="H5" s="272"/>
      <c r="J5" s="272"/>
    </row>
    <row r="6" spans="1:10">
      <c r="B6" s="311" t="s">
        <v>273</v>
      </c>
      <c r="C6" s="270" t="s">
        <v>274</v>
      </c>
      <c r="D6" s="1201">
        <f>Datenblatt!M8</f>
        <v>1</v>
      </c>
      <c r="F6" s="311"/>
      <c r="H6" s="272"/>
      <c r="J6" s="272"/>
    </row>
    <row r="7" spans="1:10">
      <c r="B7" s="311" t="s">
        <v>1492</v>
      </c>
      <c r="C7" s="270" t="s">
        <v>25</v>
      </c>
      <c r="D7" s="312" t="s">
        <v>153</v>
      </c>
      <c r="H7" s="272"/>
      <c r="J7" s="272"/>
    </row>
    <row r="8" spans="1:10" ht="14.15">
      <c r="B8" s="374" t="s">
        <v>269</v>
      </c>
      <c r="C8" s="270" t="s">
        <v>442</v>
      </c>
      <c r="D8" s="358">
        <f>Datenblatt!M13</f>
        <v>20</v>
      </c>
      <c r="E8" s="270" t="s">
        <v>209</v>
      </c>
      <c r="H8" s="272"/>
      <c r="J8" s="272"/>
    </row>
    <row r="9" spans="1:10" ht="14.15">
      <c r="B9" s="311" t="s">
        <v>276</v>
      </c>
      <c r="C9" s="270" t="s">
        <v>443</v>
      </c>
      <c r="D9" s="358">
        <f>Datenblatt!M14</f>
        <v>26.47058823529412</v>
      </c>
      <c r="E9" s="270" t="s">
        <v>209</v>
      </c>
      <c r="H9" s="272"/>
      <c r="J9" s="272"/>
    </row>
    <row r="10" spans="1:10" ht="14.15">
      <c r="B10" s="311" t="s">
        <v>277</v>
      </c>
      <c r="C10" s="270" t="s">
        <v>2007</v>
      </c>
      <c r="D10" s="353">
        <f>D9/AE*0.8</f>
        <v>1.0588235294117649</v>
      </c>
      <c r="H10" s="272"/>
      <c r="J10" s="272"/>
    </row>
    <row r="11" spans="1:10">
      <c r="B11" s="311" t="s">
        <v>278</v>
      </c>
      <c r="C11" s="270" t="s">
        <v>279</v>
      </c>
      <c r="D11" s="353">
        <f>D16/EBF</f>
        <v>0.23529411764705882</v>
      </c>
      <c r="H11" s="272"/>
      <c r="J11" s="272"/>
    </row>
    <row r="12" spans="1:10">
      <c r="B12" s="311" t="s">
        <v>280</v>
      </c>
      <c r="C12" s="270" t="s">
        <v>281</v>
      </c>
      <c r="D12" s="461">
        <f>D16/(E4beheizt+D16)</f>
        <v>0.17777777777777778</v>
      </c>
      <c r="H12" s="272"/>
      <c r="J12" s="272"/>
    </row>
    <row r="13" spans="1:10" ht="15">
      <c r="B13" s="314" t="s">
        <v>116</v>
      </c>
      <c r="C13" s="313"/>
      <c r="D13" s="315" t="s">
        <v>282</v>
      </c>
      <c r="E13" s="315" t="s">
        <v>25</v>
      </c>
      <c r="F13" s="313" t="s">
        <v>50</v>
      </c>
      <c r="G13" s="313" t="s">
        <v>260</v>
      </c>
      <c r="H13" s="272"/>
      <c r="J13" s="272"/>
    </row>
    <row r="14" spans="1:10">
      <c r="B14" s="311" t="s">
        <v>283</v>
      </c>
      <c r="C14" s="270" t="s">
        <v>284</v>
      </c>
      <c r="D14" s="352">
        <v>0</v>
      </c>
      <c r="E14" s="355">
        <v>0</v>
      </c>
      <c r="H14" s="272"/>
      <c r="J14" s="272"/>
    </row>
    <row r="15" spans="1:10">
      <c r="B15" s="212" t="s">
        <v>285</v>
      </c>
      <c r="C15" s="270" t="s">
        <v>286</v>
      </c>
      <c r="D15" s="354">
        <f>D9-D16</f>
        <v>21.764705882352942</v>
      </c>
      <c r="E15" s="359">
        <f>Datenblatt!M18</f>
        <v>0.17</v>
      </c>
      <c r="F15" s="359">
        <f>Datenblatt!N18</f>
        <v>0.1</v>
      </c>
      <c r="G15" s="371">
        <f>Datenblatt!O18</f>
        <v>0.8</v>
      </c>
      <c r="H15" s="272"/>
      <c r="J15" s="272"/>
    </row>
    <row r="16" spans="1:10">
      <c r="B16" s="311" t="s">
        <v>287</v>
      </c>
      <c r="C16" s="270" t="s">
        <v>288</v>
      </c>
      <c r="D16" s="354">
        <f>SUM(D17:D20)</f>
        <v>4.7058823529411766</v>
      </c>
      <c r="E16" s="359">
        <f>Datenblatt!M19</f>
        <v>1</v>
      </c>
      <c r="F16" s="359">
        <f>Datenblatt!N19</f>
        <v>0.8</v>
      </c>
      <c r="G16" s="371">
        <f>Datenblatt!O19</f>
        <v>1.5</v>
      </c>
    </row>
    <row r="17" spans="2:7">
      <c r="B17" s="311" t="s">
        <v>289</v>
      </c>
      <c r="D17" s="357">
        <f>Datenblatt!M$95*(Datenblatt!M$13)/(Datenblatt!M$20)*0</f>
        <v>0</v>
      </c>
      <c r="E17" s="316"/>
      <c r="F17" s="359">
        <v>1</v>
      </c>
    </row>
    <row r="18" spans="2:7">
      <c r="B18" s="311" t="s">
        <v>290</v>
      </c>
      <c r="D18" s="357">
        <f>Datenblatt!M$95*(Datenblatt!M$13)/(Datenblatt!M$20)*0</f>
        <v>0</v>
      </c>
      <c r="E18" s="316"/>
      <c r="F18" s="359">
        <v>1</v>
      </c>
    </row>
    <row r="19" spans="2:7">
      <c r="B19" s="311" t="s">
        <v>291</v>
      </c>
      <c r="D19" s="357">
        <f>Datenblatt!M$95*(Datenblatt!M$13)/(Datenblatt!M$20)*0</f>
        <v>0</v>
      </c>
      <c r="E19" s="316"/>
      <c r="F19" s="359">
        <v>1</v>
      </c>
    </row>
    <row r="20" spans="2:7">
      <c r="B20" s="311" t="s">
        <v>292</v>
      </c>
      <c r="D20" s="357">
        <f>Datenblatt!M$95*(Datenblatt!M$13)/(Datenblatt!M$20)*1</f>
        <v>4.7058823529411766</v>
      </c>
      <c r="E20" s="316"/>
      <c r="F20" s="359">
        <v>1</v>
      </c>
    </row>
    <row r="21" spans="2:7">
      <c r="B21" s="311" t="s">
        <v>293</v>
      </c>
      <c r="D21" s="352">
        <v>0</v>
      </c>
      <c r="E21" s="316"/>
      <c r="F21" s="355">
        <v>0</v>
      </c>
    </row>
    <row r="22" spans="2:7">
      <c r="B22" s="311" t="s">
        <v>294</v>
      </c>
      <c r="C22" s="270" t="s">
        <v>295</v>
      </c>
      <c r="D22" s="352">
        <v>0</v>
      </c>
      <c r="E22" s="355">
        <v>0</v>
      </c>
    </row>
    <row r="23" spans="2:7">
      <c r="B23" s="311" t="s">
        <v>296</v>
      </c>
      <c r="C23" s="270" t="s">
        <v>297</v>
      </c>
      <c r="D23" s="352">
        <v>0</v>
      </c>
      <c r="E23" s="355">
        <v>0</v>
      </c>
    </row>
    <row r="24" spans="2:7">
      <c r="E24" s="316"/>
      <c r="G24" s="276"/>
    </row>
    <row r="25" spans="2:7" ht="15">
      <c r="B25" s="318" t="s">
        <v>298</v>
      </c>
      <c r="F25" s="313" t="s">
        <v>50</v>
      </c>
      <c r="G25" s="313" t="s">
        <v>260</v>
      </c>
    </row>
    <row r="26" spans="2:7">
      <c r="B26" s="311" t="s">
        <v>299</v>
      </c>
      <c r="C26" s="270" t="s">
        <v>300</v>
      </c>
      <c r="D26" s="359">
        <f>Datenblatt!M187</f>
        <v>0.35357142857142859</v>
      </c>
      <c r="E26" s="270" t="s">
        <v>301</v>
      </c>
      <c r="F26" s="359">
        <f>Datenblatt!N187</f>
        <v>0.29601679712981083</v>
      </c>
      <c r="G26" s="359">
        <f>Datenblatt!O187</f>
        <v>0.64695042400521863</v>
      </c>
    </row>
    <row r="27" spans="2:7">
      <c r="B27" s="311" t="s">
        <v>302</v>
      </c>
      <c r="C27" s="311" t="s">
        <v>303</v>
      </c>
      <c r="D27" s="460">
        <f>Datenblatt!M28*3600/1000000</f>
        <v>0.432</v>
      </c>
      <c r="E27" s="270" t="s">
        <v>304</v>
      </c>
    </row>
    <row r="28" spans="2:7" ht="14.15">
      <c r="B28" s="311" t="s">
        <v>305</v>
      </c>
      <c r="C28" s="311" t="s">
        <v>414</v>
      </c>
      <c r="D28" s="459">
        <f>Datenblatt!M20</f>
        <v>0.75</v>
      </c>
    </row>
    <row r="29" spans="2:7">
      <c r="B29" s="212" t="s">
        <v>306</v>
      </c>
      <c r="C29" s="270" t="s">
        <v>307</v>
      </c>
      <c r="D29" s="359">
        <f>Datenblatt!M26</f>
        <v>0.5</v>
      </c>
      <c r="F29" s="359">
        <f>Datenblatt!N26</f>
        <v>0.5</v>
      </c>
      <c r="G29" s="359">
        <f>Datenblatt!O26</f>
        <v>0.65</v>
      </c>
    </row>
    <row r="30" spans="2:7" s="210" customFormat="1">
      <c r="B30" s="212"/>
      <c r="D30" s="1101"/>
      <c r="F30" s="1101"/>
      <c r="G30" s="1101"/>
    </row>
    <row r="31" spans="2:7">
      <c r="B31" s="311" t="s">
        <v>308</v>
      </c>
      <c r="C31" s="270" t="s">
        <v>309</v>
      </c>
      <c r="D31" s="458">
        <f>Datenblatt!M21</f>
        <v>0.1</v>
      </c>
    </row>
    <row r="33" spans="2:7" ht="15">
      <c r="B33" s="318" t="s">
        <v>310</v>
      </c>
      <c r="F33" s="1274"/>
      <c r="G33" s="1274"/>
    </row>
    <row r="34" spans="2:7">
      <c r="B34" s="311" t="s">
        <v>311</v>
      </c>
      <c r="C34" s="311" t="s">
        <v>312</v>
      </c>
      <c r="D34" s="359">
        <f>Datenblatt!M186</f>
        <v>0.7</v>
      </c>
      <c r="E34" s="270" t="s">
        <v>301</v>
      </c>
      <c r="F34" s="1101"/>
      <c r="G34" s="1101"/>
    </row>
    <row r="35" spans="2:7">
      <c r="B35" s="311" t="s">
        <v>313</v>
      </c>
      <c r="C35" s="311"/>
      <c r="D35" s="877">
        <f>IF(Datenblatt!M34=0,21,Datenblatt!M34)</f>
        <v>22</v>
      </c>
      <c r="E35" s="270" t="s">
        <v>3</v>
      </c>
      <c r="F35" s="210"/>
      <c r="G35" s="210"/>
    </row>
    <row r="36" spans="2:7">
      <c r="B36" s="311" t="s">
        <v>102</v>
      </c>
      <c r="C36" s="311" t="s">
        <v>314</v>
      </c>
      <c r="D36" s="356">
        <f>IF(Datenblatt!M58=0, 1000, Datenblatt!M58)</f>
        <v>35</v>
      </c>
      <c r="E36" s="270" t="s">
        <v>315</v>
      </c>
      <c r="F36" s="210"/>
      <c r="G36" s="210"/>
    </row>
    <row r="37" spans="2:7">
      <c r="B37" s="311" t="s">
        <v>317</v>
      </c>
      <c r="C37" s="311" t="s">
        <v>318</v>
      </c>
      <c r="D37" s="356">
        <f>Datenblatt!H62</f>
        <v>84</v>
      </c>
      <c r="E37" s="270" t="s">
        <v>319</v>
      </c>
    </row>
    <row r="38" spans="2:7">
      <c r="B38" s="311" t="s">
        <v>579</v>
      </c>
      <c r="C38" s="311" t="s">
        <v>322</v>
      </c>
      <c r="D38" s="356">
        <f>Datenblatt!M53</f>
        <v>14.000000000000002</v>
      </c>
      <c r="E38" s="270" t="s">
        <v>15</v>
      </c>
    </row>
    <row r="39" spans="2:7">
      <c r="B39" s="311" t="s">
        <v>1493</v>
      </c>
      <c r="C39" s="311" t="s">
        <v>1491</v>
      </c>
      <c r="D39" s="1201">
        <f>Datenblatt!M55*Datenblatt!M56</f>
        <v>292.00000000000006</v>
      </c>
      <c r="E39" s="270" t="s">
        <v>35</v>
      </c>
    </row>
    <row r="40" spans="2:7" ht="15">
      <c r="B40" s="311" t="s">
        <v>1121</v>
      </c>
      <c r="C40" s="311" t="s">
        <v>318</v>
      </c>
      <c r="D40" s="1200">
        <f>QP/AP*tP*D39/1000*3.6</f>
        <v>35.320320000000009</v>
      </c>
      <c r="E40" s="270" t="s">
        <v>254</v>
      </c>
      <c r="F40" s="313" t="s">
        <v>50</v>
      </c>
      <c r="G40" s="313" t="s">
        <v>260</v>
      </c>
    </row>
    <row r="41" spans="2:7">
      <c r="B41" s="311" t="s">
        <v>469</v>
      </c>
      <c r="C41" s="311" t="s">
        <v>324</v>
      </c>
      <c r="D41" s="375">
        <f>(Datenblatt!M84+Datenblatt!M125)*3.6</f>
        <v>86.83335000000001</v>
      </c>
      <c r="E41" s="270" t="s">
        <v>254</v>
      </c>
      <c r="F41" s="375">
        <f>(Datenblatt!N84+Datenblatt!N125)*3.6</f>
        <v>42.853749999999998</v>
      </c>
      <c r="G41" s="375">
        <f>(Datenblatt!O84+Datenblatt!N125)*3.6</f>
        <v>97.285750000000007</v>
      </c>
    </row>
    <row r="42" spans="2:7">
      <c r="B42" s="311" t="s">
        <v>326</v>
      </c>
      <c r="C42" s="311" t="s">
        <v>327</v>
      </c>
      <c r="D42" s="1202">
        <v>1</v>
      </c>
    </row>
    <row r="43" spans="2:7">
      <c r="B43" s="311"/>
      <c r="C43" s="311"/>
      <c r="D43" s="1686"/>
    </row>
    <row r="44" spans="2:7">
      <c r="B44" s="311" t="s">
        <v>328</v>
      </c>
      <c r="C44" s="311" t="s">
        <v>329</v>
      </c>
      <c r="D44" s="1275">
        <v>1</v>
      </c>
    </row>
    <row r="45" spans="2:7">
      <c r="B45" s="311" t="s">
        <v>330</v>
      </c>
      <c r="C45" s="311" t="s">
        <v>331</v>
      </c>
      <c r="D45" s="1276">
        <v>15</v>
      </c>
      <c r="E45" s="270" t="s">
        <v>15</v>
      </c>
    </row>
    <row r="46" spans="2:7">
      <c r="B46" s="311"/>
      <c r="C46" s="311"/>
      <c r="D46" s="1686"/>
    </row>
    <row r="47" spans="2:7" ht="14.15">
      <c r="B47" s="320" t="s">
        <v>332</v>
      </c>
      <c r="C47" s="311"/>
      <c r="D47" s="312"/>
    </row>
    <row r="48" spans="2:7">
      <c r="B48" s="321" t="s">
        <v>333</v>
      </c>
      <c r="C48" s="311"/>
      <c r="D48" s="312"/>
    </row>
    <row r="49" spans="1:13">
      <c r="B49" s="322" t="s">
        <v>334</v>
      </c>
      <c r="C49" s="311"/>
      <c r="D49" s="312"/>
    </row>
    <row r="50" spans="1:13">
      <c r="B50" s="322" t="s">
        <v>335</v>
      </c>
      <c r="C50" s="311"/>
      <c r="D50" s="312"/>
      <c r="J50" s="272"/>
    </row>
    <row r="51" spans="1:13">
      <c r="B51" s="322" t="s">
        <v>336</v>
      </c>
      <c r="C51" s="311"/>
      <c r="D51" s="312"/>
      <c r="J51" s="272"/>
    </row>
    <row r="52" spans="1:13">
      <c r="B52" s="271" t="s">
        <v>272</v>
      </c>
      <c r="C52" s="311"/>
      <c r="D52" s="312"/>
      <c r="J52" s="272"/>
    </row>
    <row r="53" spans="1:13">
      <c r="A53" s="273"/>
      <c r="B53" s="323"/>
      <c r="C53" s="323"/>
      <c r="D53" s="324"/>
      <c r="E53" s="273"/>
      <c r="F53" s="273"/>
      <c r="G53" s="273"/>
      <c r="H53" s="273"/>
      <c r="I53" s="273"/>
      <c r="J53" s="274"/>
      <c r="K53" s="273"/>
      <c r="L53" s="273"/>
    </row>
    <row r="54" spans="1:13" ht="14.15">
      <c r="B54" s="320" t="s">
        <v>337</v>
      </c>
      <c r="J54" s="272"/>
    </row>
    <row r="55" spans="1:13" ht="14.15">
      <c r="B55" s="311" t="s">
        <v>338</v>
      </c>
      <c r="C55" s="270" t="s">
        <v>415</v>
      </c>
      <c r="D55" s="1102">
        <v>1</v>
      </c>
      <c r="H55" s="368" t="s">
        <v>427</v>
      </c>
      <c r="I55" s="368"/>
      <c r="J55" s="369"/>
      <c r="K55" s="368"/>
      <c r="L55" s="368"/>
      <c r="M55" s="368"/>
    </row>
    <row r="56" spans="1:13">
      <c r="B56" s="311" t="s">
        <v>339</v>
      </c>
      <c r="C56" s="270" t="s">
        <v>340</v>
      </c>
      <c r="D56" s="1102">
        <v>1</v>
      </c>
      <c r="H56" s="365"/>
      <c r="I56" s="270" t="s">
        <v>423</v>
      </c>
    </row>
    <row r="57" spans="1:13" ht="14.15">
      <c r="B57" s="311" t="s">
        <v>341</v>
      </c>
      <c r="C57" s="270" t="s">
        <v>416</v>
      </c>
      <c r="D57" s="1102">
        <v>1</v>
      </c>
      <c r="H57" s="366"/>
      <c r="I57" s="270" t="s">
        <v>424</v>
      </c>
      <c r="J57" s="272"/>
    </row>
    <row r="58" spans="1:13">
      <c r="B58" s="212" t="s">
        <v>342</v>
      </c>
      <c r="C58" s="311" t="s">
        <v>343</v>
      </c>
      <c r="D58" s="363">
        <f>$D$35+Thetaig</f>
        <v>22</v>
      </c>
      <c r="E58" s="270" t="s">
        <v>3</v>
      </c>
      <c r="H58" s="364"/>
      <c r="I58" s="270" t="s">
        <v>425</v>
      </c>
      <c r="J58" s="272"/>
    </row>
    <row r="59" spans="1:13">
      <c r="B59" s="311" t="s">
        <v>344</v>
      </c>
      <c r="C59" s="311" t="s">
        <v>345</v>
      </c>
      <c r="D59" s="363">
        <v>2.5</v>
      </c>
      <c r="E59" s="270" t="s">
        <v>3</v>
      </c>
      <c r="H59" s="367"/>
      <c r="I59" s="270" t="s">
        <v>426</v>
      </c>
      <c r="J59" s="272"/>
    </row>
    <row r="60" spans="1:13">
      <c r="B60" s="311" t="s">
        <v>346</v>
      </c>
      <c r="C60" s="311" t="s">
        <v>347</v>
      </c>
      <c r="D60" s="319">
        <v>556</v>
      </c>
      <c r="E60" s="270" t="s">
        <v>29</v>
      </c>
      <c r="J60" s="272"/>
    </row>
    <row r="61" spans="1:13" ht="14.15">
      <c r="B61" s="311" t="s">
        <v>348</v>
      </c>
      <c r="C61" s="311" t="s">
        <v>417</v>
      </c>
      <c r="D61" s="319">
        <v>0.7</v>
      </c>
    </row>
    <row r="62" spans="1:13" ht="14.15">
      <c r="B62" s="311" t="s">
        <v>349</v>
      </c>
      <c r="C62" s="311" t="s">
        <v>418</v>
      </c>
      <c r="D62" s="319">
        <v>30</v>
      </c>
      <c r="E62" s="270" t="s">
        <v>3</v>
      </c>
      <c r="J62" s="272"/>
      <c r="L62" s="272"/>
    </row>
    <row r="63" spans="1:13" ht="14.15">
      <c r="B63" s="311" t="s">
        <v>350</v>
      </c>
      <c r="C63" s="311" t="s">
        <v>419</v>
      </c>
      <c r="D63" s="363">
        <v>0</v>
      </c>
      <c r="E63" s="270" t="s">
        <v>3</v>
      </c>
      <c r="J63" s="272"/>
    </row>
    <row r="64" spans="1:13">
      <c r="B64" s="275"/>
      <c r="C64" s="276"/>
      <c r="D64" s="277"/>
      <c r="E64" s="278"/>
      <c r="F64" s="276"/>
    </row>
    <row r="65" spans="2:17">
      <c r="B65" s="275"/>
      <c r="C65" s="276"/>
      <c r="D65" s="277"/>
      <c r="E65" s="278"/>
      <c r="F65" s="276"/>
    </row>
    <row r="66" spans="2:17">
      <c r="B66" s="275"/>
      <c r="C66" s="276"/>
      <c r="D66" s="277"/>
      <c r="E66" s="278"/>
      <c r="F66" s="276"/>
    </row>
    <row r="67" spans="2:17" ht="12.9" thickBot="1">
      <c r="D67" s="316">
        <v>1</v>
      </c>
      <c r="E67" s="316">
        <v>2</v>
      </c>
      <c r="F67" s="316">
        <v>3</v>
      </c>
      <c r="G67" s="316">
        <v>4</v>
      </c>
      <c r="H67" s="316">
        <v>5</v>
      </c>
      <c r="I67" s="316">
        <v>6</v>
      </c>
      <c r="J67" s="316">
        <v>7</v>
      </c>
      <c r="K67" s="316">
        <v>8</v>
      </c>
      <c r="L67" s="316">
        <v>9</v>
      </c>
      <c r="M67" s="316">
        <v>10</v>
      </c>
      <c r="N67" s="316">
        <v>11</v>
      </c>
      <c r="O67" s="316">
        <v>12</v>
      </c>
      <c r="P67" s="270">
        <v>13</v>
      </c>
    </row>
    <row r="68" spans="2:17" ht="12.9" thickBot="1">
      <c r="B68" s="279" t="s">
        <v>1257</v>
      </c>
      <c r="C68" s="325"/>
      <c r="D68" s="326" t="s">
        <v>37</v>
      </c>
      <c r="E68" s="326" t="s">
        <v>38</v>
      </c>
      <c r="F68" s="326" t="s">
        <v>351</v>
      </c>
      <c r="G68" s="326" t="s">
        <v>39</v>
      </c>
      <c r="H68" s="326" t="s">
        <v>40</v>
      </c>
      <c r="I68" s="326" t="s">
        <v>41</v>
      </c>
      <c r="J68" s="326" t="s">
        <v>42</v>
      </c>
      <c r="K68" s="326" t="s">
        <v>43</v>
      </c>
      <c r="L68" s="326" t="s">
        <v>44</v>
      </c>
      <c r="M68" s="326" t="s">
        <v>45</v>
      </c>
      <c r="N68" s="326" t="s">
        <v>46</v>
      </c>
      <c r="O68" s="327" t="s">
        <v>47</v>
      </c>
      <c r="P68" s="325" t="s">
        <v>352</v>
      </c>
      <c r="Q68" s="328"/>
    </row>
    <row r="69" spans="2:17">
      <c r="B69" s="284" t="s">
        <v>353</v>
      </c>
      <c r="D69" s="316">
        <v>31</v>
      </c>
      <c r="E69" s="316">
        <v>28</v>
      </c>
      <c r="F69" s="316">
        <v>31</v>
      </c>
      <c r="G69" s="316">
        <v>30</v>
      </c>
      <c r="H69" s="316">
        <v>31</v>
      </c>
      <c r="I69" s="316">
        <v>30</v>
      </c>
      <c r="J69" s="316">
        <v>31</v>
      </c>
      <c r="K69" s="316">
        <v>31</v>
      </c>
      <c r="L69" s="316">
        <v>30</v>
      </c>
      <c r="M69" s="316">
        <v>31</v>
      </c>
      <c r="N69" s="316">
        <v>30</v>
      </c>
      <c r="O69" s="316">
        <v>31</v>
      </c>
      <c r="P69" s="330"/>
      <c r="Q69" s="331" t="s">
        <v>354</v>
      </c>
    </row>
    <row r="70" spans="2:17">
      <c r="B70" s="332" t="s">
        <v>356</v>
      </c>
      <c r="D70" s="316">
        <f>Monatswerte!L442</f>
        <v>0.4</v>
      </c>
      <c r="E70" s="316">
        <f>Monatswerte!M442</f>
        <v>1.6</v>
      </c>
      <c r="F70" s="316">
        <f>Monatswerte!N442</f>
        <v>5.5</v>
      </c>
      <c r="G70" s="316">
        <f>Monatswerte!O442</f>
        <v>8.4</v>
      </c>
      <c r="H70" s="316">
        <f>Monatswerte!P442</f>
        <v>13.4</v>
      </c>
      <c r="I70" s="316">
        <f>Monatswerte!Q442</f>
        <v>16.2</v>
      </c>
      <c r="J70" s="316">
        <f>Monatswerte!R442</f>
        <v>18.399999999999999</v>
      </c>
      <c r="K70" s="316">
        <f>Monatswerte!S442</f>
        <v>18.399999999999999</v>
      </c>
      <c r="L70" s="316">
        <f>Monatswerte!T442</f>
        <v>14</v>
      </c>
      <c r="M70" s="316">
        <f>Monatswerte!U442</f>
        <v>9.9</v>
      </c>
      <c r="N70" s="316">
        <f>Monatswerte!V442</f>
        <v>4.2</v>
      </c>
      <c r="O70" s="316">
        <f>Monatswerte!W442</f>
        <v>1.8</v>
      </c>
      <c r="P70" s="341">
        <f>Monatswerte!X442</f>
        <v>9.35</v>
      </c>
      <c r="Q70" s="304" t="s">
        <v>3</v>
      </c>
    </row>
    <row r="71" spans="2:17">
      <c r="B71" s="332" t="s">
        <v>358</v>
      </c>
      <c r="D71" s="316">
        <f>Monatswerte!L443</f>
        <v>104</v>
      </c>
      <c r="E71" s="316">
        <f>Monatswerte!M443</f>
        <v>165</v>
      </c>
      <c r="F71" s="316">
        <f>Monatswerte!N443</f>
        <v>311</v>
      </c>
      <c r="G71" s="316">
        <f>Monatswerte!O443</f>
        <v>417</v>
      </c>
      <c r="H71" s="316">
        <f>Monatswerte!P443</f>
        <v>536</v>
      </c>
      <c r="I71" s="316">
        <f>Monatswerte!Q443</f>
        <v>570</v>
      </c>
      <c r="J71" s="316">
        <f>Monatswerte!R443</f>
        <v>595</v>
      </c>
      <c r="K71" s="316">
        <f>Monatswerte!S443</f>
        <v>522</v>
      </c>
      <c r="L71" s="316">
        <f>Monatswerte!T443</f>
        <v>355</v>
      </c>
      <c r="M71" s="316">
        <f>Monatswerte!U443</f>
        <v>214</v>
      </c>
      <c r="N71" s="316">
        <f>Monatswerte!V443</f>
        <v>109</v>
      </c>
      <c r="O71" s="316">
        <f>Monatswerte!W443</f>
        <v>80</v>
      </c>
      <c r="P71" s="333">
        <f>Monatswerte!X443</f>
        <v>3978</v>
      </c>
      <c r="Q71" s="304" t="s">
        <v>359</v>
      </c>
    </row>
    <row r="72" spans="2:17">
      <c r="B72" s="332" t="s">
        <v>363</v>
      </c>
      <c r="D72" s="316">
        <f>Monatswerte!L444</f>
        <v>67</v>
      </c>
      <c r="E72" s="316">
        <f>Monatswerte!M444</f>
        <v>109</v>
      </c>
      <c r="F72" s="316">
        <f>Monatswerte!N444</f>
        <v>185</v>
      </c>
      <c r="G72" s="316">
        <f>Monatswerte!O444</f>
        <v>233</v>
      </c>
      <c r="H72" s="316">
        <f>Monatswerte!P444</f>
        <v>281</v>
      </c>
      <c r="I72" s="316">
        <f>Monatswerte!Q444</f>
        <v>295</v>
      </c>
      <c r="J72" s="316">
        <f>Monatswerte!R444</f>
        <v>311</v>
      </c>
      <c r="K72" s="316">
        <f>Monatswerte!S444</f>
        <v>287</v>
      </c>
      <c r="L72" s="316">
        <f>Monatswerte!T444</f>
        <v>192</v>
      </c>
      <c r="M72" s="316">
        <f>Monatswerte!U444</f>
        <v>112</v>
      </c>
      <c r="N72" s="316">
        <f>Monatswerte!V444</f>
        <v>62</v>
      </c>
      <c r="O72" s="316">
        <f>Monatswerte!W444</f>
        <v>51</v>
      </c>
      <c r="P72" s="333">
        <f>Monatswerte!X444</f>
        <v>2185</v>
      </c>
      <c r="Q72" s="304" t="s">
        <v>359</v>
      </c>
    </row>
    <row r="73" spans="2:17">
      <c r="B73" s="332" t="s">
        <v>361</v>
      </c>
      <c r="D73" s="316">
        <f>Monatswerte!L445</f>
        <v>177</v>
      </c>
      <c r="E73" s="316">
        <f>Monatswerte!M445</f>
        <v>235</v>
      </c>
      <c r="F73" s="316">
        <f>Monatswerte!N445</f>
        <v>313</v>
      </c>
      <c r="G73" s="316">
        <f>Monatswerte!O445</f>
        <v>290</v>
      </c>
      <c r="H73" s="316">
        <f>Monatswerte!P445</f>
        <v>284</v>
      </c>
      <c r="I73" s="316">
        <f>Monatswerte!Q445</f>
        <v>270</v>
      </c>
      <c r="J73" s="316">
        <f>Monatswerte!R445</f>
        <v>297</v>
      </c>
      <c r="K73" s="316">
        <f>Monatswerte!S445</f>
        <v>332</v>
      </c>
      <c r="L73" s="316">
        <f>Monatswerte!T445</f>
        <v>311</v>
      </c>
      <c r="M73" s="316">
        <f>Monatswerte!U445</f>
        <v>254</v>
      </c>
      <c r="N73" s="316">
        <f>Monatswerte!V445</f>
        <v>158</v>
      </c>
      <c r="O73" s="316">
        <f>Monatswerte!W445</f>
        <v>137</v>
      </c>
      <c r="P73" s="333">
        <f>Monatswerte!X445</f>
        <v>3058</v>
      </c>
      <c r="Q73" s="304" t="s">
        <v>359</v>
      </c>
    </row>
    <row r="74" spans="2:17">
      <c r="B74" s="332" t="s">
        <v>365</v>
      </c>
      <c r="D74" s="316">
        <f>Monatswerte!L446</f>
        <v>80</v>
      </c>
      <c r="E74" s="316">
        <f>Monatswerte!M446</f>
        <v>123</v>
      </c>
      <c r="F74" s="316">
        <f>Monatswerte!N446</f>
        <v>198</v>
      </c>
      <c r="G74" s="316">
        <f>Monatswerte!O446</f>
        <v>231</v>
      </c>
      <c r="H74" s="316">
        <f>Monatswerte!P446</f>
        <v>287</v>
      </c>
      <c r="I74" s="316">
        <f>Monatswerte!Q446</f>
        <v>303</v>
      </c>
      <c r="J74" s="316">
        <f>Monatswerte!R446</f>
        <v>327</v>
      </c>
      <c r="K74" s="316">
        <f>Monatswerte!S446</f>
        <v>295</v>
      </c>
      <c r="L74" s="316">
        <f>Monatswerte!T446</f>
        <v>218</v>
      </c>
      <c r="M74" s="316">
        <f>Monatswerte!U446</f>
        <v>142</v>
      </c>
      <c r="N74" s="316">
        <f>Monatswerte!V446</f>
        <v>75</v>
      </c>
      <c r="O74" s="316">
        <f>Monatswerte!W446</f>
        <v>59</v>
      </c>
      <c r="P74" s="333">
        <f>Monatswerte!X446</f>
        <v>2338</v>
      </c>
      <c r="Q74" s="304" t="s">
        <v>359</v>
      </c>
    </row>
    <row r="75" spans="2:17" ht="12.9" thickBot="1">
      <c r="B75" s="334" t="s">
        <v>367</v>
      </c>
      <c r="C75" s="335"/>
      <c r="D75" s="1881">
        <f>Monatswerte!L447</f>
        <v>43</v>
      </c>
      <c r="E75" s="336">
        <f>Monatswerte!M447</f>
        <v>63</v>
      </c>
      <c r="F75" s="336">
        <f>Monatswerte!N447</f>
        <v>94</v>
      </c>
      <c r="G75" s="336">
        <f>Monatswerte!O447</f>
        <v>111</v>
      </c>
      <c r="H75" s="336">
        <f>Monatswerte!P447</f>
        <v>150</v>
      </c>
      <c r="I75" s="336">
        <f>Monatswerte!Q447</f>
        <v>166</v>
      </c>
      <c r="J75" s="336">
        <f>Monatswerte!R447</f>
        <v>166</v>
      </c>
      <c r="K75" s="336">
        <f>Monatswerte!S447</f>
        <v>134</v>
      </c>
      <c r="L75" s="336">
        <f>Monatswerte!T447</f>
        <v>91</v>
      </c>
      <c r="M75" s="336">
        <f>Monatswerte!U447</f>
        <v>62</v>
      </c>
      <c r="N75" s="336">
        <f>Monatswerte!V447</f>
        <v>39</v>
      </c>
      <c r="O75" s="337">
        <f>Monatswerte!W447</f>
        <v>32</v>
      </c>
      <c r="P75" s="338">
        <f>Monatswerte!X447</f>
        <v>1150</v>
      </c>
      <c r="Q75" s="339" t="s">
        <v>359</v>
      </c>
    </row>
    <row r="76" spans="2:17" ht="12.9" thickBot="1"/>
    <row r="77" spans="2:17" ht="12.9" thickBot="1">
      <c r="B77" s="280" t="s">
        <v>429</v>
      </c>
      <c r="C77" s="325"/>
      <c r="D77" s="281" t="s">
        <v>359</v>
      </c>
      <c r="E77" s="325"/>
      <c r="F77" s="325"/>
      <c r="G77" s="325"/>
      <c r="H77" s="325"/>
      <c r="I77" s="325"/>
      <c r="J77" s="325"/>
      <c r="K77" s="325"/>
      <c r="L77" s="325"/>
      <c r="M77" s="325"/>
      <c r="N77" s="325"/>
      <c r="O77" s="325"/>
      <c r="P77" s="325"/>
      <c r="Q77" s="328"/>
    </row>
    <row r="78" spans="2:17">
      <c r="B78" s="282" t="s">
        <v>371</v>
      </c>
      <c r="C78" s="340"/>
      <c r="D78" s="340"/>
      <c r="E78" s="340"/>
      <c r="F78" s="340"/>
      <c r="G78" s="340"/>
      <c r="H78" s="340"/>
      <c r="I78" s="340"/>
      <c r="J78" s="340"/>
      <c r="K78" s="340"/>
      <c r="L78" s="340"/>
      <c r="M78" s="340"/>
      <c r="N78" s="340"/>
      <c r="O78" s="331"/>
      <c r="P78" s="330"/>
      <c r="Q78" s="331"/>
    </row>
    <row r="79" spans="2:17">
      <c r="B79" s="284" t="s">
        <v>373</v>
      </c>
      <c r="D79" s="303">
        <f>IF(EBF&gt;0,(Thetai-D$70)*D$69*$D$22*U_DAFbeheizt*0.0864/EBF,0)</f>
        <v>0</v>
      </c>
      <c r="E79" s="303">
        <f t="shared" ref="E79:O79" si="0">IF(EBF&gt;0,(Thetai-E$70)*E$69*$D$22*U_DAFbeheizt*0.0864/EBF,0)</f>
        <v>0</v>
      </c>
      <c r="F79" s="303">
        <f t="shared" si="0"/>
        <v>0</v>
      </c>
      <c r="G79" s="303">
        <f t="shared" si="0"/>
        <v>0</v>
      </c>
      <c r="H79" s="303">
        <f t="shared" si="0"/>
        <v>0</v>
      </c>
      <c r="I79" s="303">
        <f t="shared" si="0"/>
        <v>0</v>
      </c>
      <c r="J79" s="303">
        <f t="shared" si="0"/>
        <v>0</v>
      </c>
      <c r="K79" s="303">
        <f t="shared" si="0"/>
        <v>0</v>
      </c>
      <c r="L79" s="303">
        <f t="shared" si="0"/>
        <v>0</v>
      </c>
      <c r="M79" s="303">
        <f t="shared" si="0"/>
        <v>0</v>
      </c>
      <c r="N79" s="303">
        <f t="shared" si="0"/>
        <v>0</v>
      </c>
      <c r="O79" s="303">
        <f t="shared" si="0"/>
        <v>0</v>
      </c>
      <c r="P79" s="341">
        <f t="shared" ref="P79:P86" si="1">SUM(D79:O79)</f>
        <v>0</v>
      </c>
      <c r="Q79" s="304" t="s">
        <v>359</v>
      </c>
    </row>
    <row r="80" spans="2:17">
      <c r="B80" s="284" t="s">
        <v>375</v>
      </c>
      <c r="D80" s="303">
        <f t="shared" ref="D80:O80" si="2">IF(EBF&gt;0,(Thetai-D$70)*D$69*$D$14*U_E3*bGW*0.0864/EBF,0)</f>
        <v>0</v>
      </c>
      <c r="E80" s="303">
        <f t="shared" si="2"/>
        <v>0</v>
      </c>
      <c r="F80" s="303">
        <f t="shared" si="2"/>
        <v>0</v>
      </c>
      <c r="G80" s="303">
        <f t="shared" si="2"/>
        <v>0</v>
      </c>
      <c r="H80" s="303">
        <f t="shared" si="2"/>
        <v>0</v>
      </c>
      <c r="I80" s="303">
        <f t="shared" si="2"/>
        <v>0</v>
      </c>
      <c r="J80" s="303">
        <f t="shared" si="2"/>
        <v>0</v>
      </c>
      <c r="K80" s="303">
        <f t="shared" si="2"/>
        <v>0</v>
      </c>
      <c r="L80" s="303">
        <f t="shared" si="2"/>
        <v>0</v>
      </c>
      <c r="M80" s="303">
        <f t="shared" si="2"/>
        <v>0</v>
      </c>
      <c r="N80" s="303">
        <f t="shared" si="2"/>
        <v>0</v>
      </c>
      <c r="O80" s="303">
        <f t="shared" si="2"/>
        <v>0</v>
      </c>
      <c r="P80" s="341">
        <f t="shared" si="1"/>
        <v>0</v>
      </c>
      <c r="Q80" s="304" t="s">
        <v>359</v>
      </c>
    </row>
    <row r="81" spans="2:17">
      <c r="B81" s="283" t="s">
        <v>377</v>
      </c>
      <c r="D81" s="303">
        <f>IF(EBF&gt;0,(deltaThetahmax+Thetai-D$70)*D$69*E4beheizt*U_E4*0.0864/EBF,0)</f>
        <v>11.941646400000002</v>
      </c>
      <c r="E81" s="303">
        <f t="shared" ref="E81:M81" si="3">IF(EBF&gt;0,(Thetai-E$70)*E$69*E4beheizt*U_E4*0.0864/EBF,0)</f>
        <v>9.1300608000000008</v>
      </c>
      <c r="F81" s="303">
        <f t="shared" si="3"/>
        <v>8.1758160000000011</v>
      </c>
      <c r="G81" s="303">
        <f t="shared" si="3"/>
        <v>6.521472000000001</v>
      </c>
      <c r="H81" s="303">
        <f t="shared" si="3"/>
        <v>4.2613344</v>
      </c>
      <c r="I81" s="303">
        <f t="shared" si="3"/>
        <v>2.781216000000001</v>
      </c>
      <c r="J81" s="303">
        <f t="shared" si="3"/>
        <v>1.7838144000000011</v>
      </c>
      <c r="K81" s="303">
        <f t="shared" si="3"/>
        <v>1.7838144000000011</v>
      </c>
      <c r="L81" s="303">
        <f t="shared" si="3"/>
        <v>3.8361600000000009</v>
      </c>
      <c r="M81" s="303">
        <f t="shared" si="3"/>
        <v>5.9955984000000004</v>
      </c>
      <c r="N81" s="303">
        <f>IF(EBF&gt;0,(Thetai-N$70)*N$69*E4beheizt*U_E4*0.0864/EBF,0)</f>
        <v>8.5354559999999999</v>
      </c>
      <c r="O81" s="303">
        <f>IF(EBF&gt;0,(Thetai-O$70)*O$69*E4beheizt*U_E4*0.0864/EBF,0)</f>
        <v>10.009180800000001</v>
      </c>
      <c r="P81" s="341">
        <f t="shared" si="1"/>
        <v>74.755569600000015</v>
      </c>
      <c r="Q81" s="304" t="s">
        <v>359</v>
      </c>
    </row>
    <row r="82" spans="2:17">
      <c r="B82" s="284" t="s">
        <v>378</v>
      </c>
      <c r="D82" s="303">
        <f t="shared" ref="D82:M82" si="4">IF(EBF&gt;0,(Thetai+deltaThetahmax-D$70)*D$69*BodenErdeF*U_Boden*bGF*0.0864/EBF,0)</f>
        <v>0</v>
      </c>
      <c r="E82" s="303">
        <f t="shared" si="4"/>
        <v>0</v>
      </c>
      <c r="F82" s="303">
        <f t="shared" si="4"/>
        <v>0</v>
      </c>
      <c r="G82" s="303">
        <f t="shared" si="4"/>
        <v>0</v>
      </c>
      <c r="H82" s="303">
        <f t="shared" si="4"/>
        <v>0</v>
      </c>
      <c r="I82" s="303">
        <f t="shared" si="4"/>
        <v>0</v>
      </c>
      <c r="J82" s="303">
        <f t="shared" si="4"/>
        <v>0</v>
      </c>
      <c r="K82" s="303">
        <f t="shared" si="4"/>
        <v>0</v>
      </c>
      <c r="L82" s="303">
        <f t="shared" si="4"/>
        <v>0</v>
      </c>
      <c r="M82" s="303">
        <f t="shared" si="4"/>
        <v>0</v>
      </c>
      <c r="N82" s="303">
        <f>IF(EBF&gt;0,(Thetai+deltaThetahmax-N$70)*N$69*BodenErdeF*U_Boden*bGF*0.0864/EBF,0)</f>
        <v>0</v>
      </c>
      <c r="O82" s="303">
        <f>IF(EBF&gt;0,(Thetai+deltaThetahmax-O$70)*O$69*BodenErdeF*U_Boden*bGF*0.0864/EBF,0)</f>
        <v>0</v>
      </c>
      <c r="P82" s="341">
        <f t="shared" si="1"/>
        <v>0</v>
      </c>
      <c r="Q82" s="304" t="s">
        <v>359</v>
      </c>
    </row>
    <row r="83" spans="2:17">
      <c r="B83" s="285" t="s">
        <v>390</v>
      </c>
      <c r="D83" s="303">
        <f>(IF(EBF&gt;0,(Thetai+deltaThetahmax-D$70)*D$69*D65*E65*0.0864/EBF,0))*0</f>
        <v>0</v>
      </c>
      <c r="E83" s="303">
        <f>IF(EBF&gt;0,(Thetai+deltaThetahmax-E$70)*E$69*D65*U_gedaemmteDecken*0.0864/EBF,0)</f>
        <v>0</v>
      </c>
      <c r="F83" s="303">
        <f>IF(EBF&gt;0,(Thetai+deltaThetahmax-F$70)*F$69*D65*U_gedaemmteDecken*0.0864/EBF,0)</f>
        <v>0</v>
      </c>
      <c r="G83" s="303">
        <f>IF(EBF&gt;0,(Thetai+deltaThetahmax-G$70)*G$69*D65*U_gedaemmteDecken*0.0864/EBF,0)</f>
        <v>0</v>
      </c>
      <c r="H83" s="303">
        <f>IF(EBF&gt;0,(Thetai+deltaThetahmax-H$70)*H$69*D65*U_gedaemmteDecken*0.0864/EBF,0)</f>
        <v>0</v>
      </c>
      <c r="I83" s="303">
        <f>IF(EBF&gt;0,(Thetai+deltaThetahmax-I$70)*I$69*D65*U_gedaemmteDecken*0.0864/EBF,0)</f>
        <v>0</v>
      </c>
      <c r="J83" s="303">
        <f>IF(EBF&gt;0,(Thetai+deltaThetahmax-J$70)*J$69*D65*U_gedaemmteDecken*0.0864/EBF,0)</f>
        <v>0</v>
      </c>
      <c r="K83" s="303">
        <f>IF(EBF&gt;0,(Thetai+deltaThetahmax-K$70)*K$69*D65*U_gedaemmteDecken*0.0864/EBF,0)</f>
        <v>0</v>
      </c>
      <c r="L83" s="303">
        <f>IF(EBF&gt;0,(Thetai+deltaThetahmax-L$70)*L$69*D65*U_gedaemmteDecken*0.0864/EBF,0)</f>
        <v>0</v>
      </c>
      <c r="M83" s="303">
        <f>IF(EBF&gt;0,(Thetai+deltaThetahmax-M$70)*M$69*D65*U_gedaemmteDecken*0.0864/EBF,0)</f>
        <v>0</v>
      </c>
      <c r="N83" s="303">
        <f>IF(EBF&gt;0,(Thetai+deltaThetahmax-N$70)*N$69*D65*U_gedaemmteDecken*0.0864/EBF,0)</f>
        <v>0</v>
      </c>
      <c r="O83" s="303">
        <f>IF(EBF&gt;0,(Thetai+deltaThetahmax-O$70)*O$69*D65*U_gedaemmteDecken*0.0864/EBF,0)</f>
        <v>0</v>
      </c>
      <c r="P83" s="341">
        <f t="shared" si="1"/>
        <v>0</v>
      </c>
      <c r="Q83" s="304" t="s">
        <v>359</v>
      </c>
    </row>
    <row r="84" spans="2:17">
      <c r="B84" s="284" t="s">
        <v>391</v>
      </c>
      <c r="D84" s="303">
        <f>IF(EBF&gt;0,(Thetai-D$70)*D$69*D16*U_E5*0.0864/EBF,0)</f>
        <v>13.612574117647062</v>
      </c>
      <c r="E84" s="303">
        <f>IF(EBF&gt;0,(Thetai-E$70)*E$69*D16*U_E5*0.0864/EBF,0)</f>
        <v>11.612159999999999</v>
      </c>
      <c r="F84" s="303">
        <f>IF(EBF&gt;0,(Thetai-F$70)*F$69*D16*U_E5*0.0864/EBF,0)</f>
        <v>10.398494117647058</v>
      </c>
      <c r="G84" s="303">
        <f>IF(EBF&gt;0,(Thetai-G$70)*G$69*D16*U_E5*0.0864/EBF,0)</f>
        <v>8.2943999999999996</v>
      </c>
      <c r="H84" s="303">
        <f>IF(EBF&gt;0,(Thetai-H$70)*H$69*D16*U_E5*0.0864/EBF,0)</f>
        <v>5.4198211764705881</v>
      </c>
      <c r="I84" s="303">
        <f>IF(EBF&gt;0,(Thetai-I$70)*I$69*D16*U_E5*0.0864/EBF,0)</f>
        <v>3.5373176470588241</v>
      </c>
      <c r="J84" s="303">
        <f>IF(EBF&gt;0,(Thetai-J$70)*J$69*D16*U_E5*0.0864/EBF,0)</f>
        <v>2.2687623529411778</v>
      </c>
      <c r="K84" s="303">
        <f>IF(EBF&gt;0,(Thetai-K$70)*K$69*D16*U_E5*0.0864/EBF,0)</f>
        <v>2.2687623529411778</v>
      </c>
      <c r="L84" s="303">
        <f>IF(EBF&gt;0,(Thetai-L$70)*L$69*D16*U_E5*0.0864/EBF,0)</f>
        <v>4.8790588235294123</v>
      </c>
      <c r="M84" s="303">
        <f>IF(EBF&gt;0,(Thetai-M$70)*M$69*D16*U_E5*0.0864/EBF,0)</f>
        <v>7.6255623529411762</v>
      </c>
      <c r="N84" s="303">
        <f>IF(EBF&gt;0,(Thetai-N$70)*N$69*D16*U_E5*0.0864/EBF,0)</f>
        <v>10.855905882352943</v>
      </c>
      <c r="O84" s="303">
        <f>IF(EBF&gt;0,(Thetai-O$70)*O$69*D16*U_E5*0.0864/EBF,0)</f>
        <v>12.730277647058823</v>
      </c>
      <c r="P84" s="341">
        <f t="shared" si="1"/>
        <v>93.503096470588261</v>
      </c>
      <c r="Q84" s="304" t="s">
        <v>359</v>
      </c>
    </row>
    <row r="85" spans="2:17">
      <c r="B85" s="286" t="s">
        <v>392</v>
      </c>
      <c r="D85" s="303">
        <f>(1*D$69*(Thetai-D$70)*BodenUnb*E64*$D$56*0.0864/EBF)*0</f>
        <v>0</v>
      </c>
      <c r="E85" s="303">
        <f t="shared" ref="E85:O85" si="5">(1*E$69*(Thetai-E$70)*BodenUnb*U_Boden*$D$56*0.0864/EBF)*0</f>
        <v>0</v>
      </c>
      <c r="F85" s="303">
        <f t="shared" si="5"/>
        <v>0</v>
      </c>
      <c r="G85" s="303">
        <f t="shared" si="5"/>
        <v>0</v>
      </c>
      <c r="H85" s="303">
        <f t="shared" si="5"/>
        <v>0</v>
      </c>
      <c r="I85" s="303">
        <f t="shared" si="5"/>
        <v>0</v>
      </c>
      <c r="J85" s="303">
        <f t="shared" si="5"/>
        <v>0</v>
      </c>
      <c r="K85" s="303">
        <f t="shared" si="5"/>
        <v>0</v>
      </c>
      <c r="L85" s="303">
        <f t="shared" si="5"/>
        <v>0</v>
      </c>
      <c r="M85" s="303">
        <f t="shared" si="5"/>
        <v>0</v>
      </c>
      <c r="N85" s="303">
        <f t="shared" si="5"/>
        <v>0</v>
      </c>
      <c r="O85" s="303">
        <f t="shared" si="5"/>
        <v>0</v>
      </c>
      <c r="P85" s="341">
        <f>SUM(D85:O85)</f>
        <v>0</v>
      </c>
      <c r="Q85" s="304" t="s">
        <v>359</v>
      </c>
    </row>
    <row r="86" spans="2:17">
      <c r="B86" s="287" t="s">
        <v>316</v>
      </c>
      <c r="D86" s="303">
        <f>SUM(D79:D85)*(1+WBZuschlag)</f>
        <v>28.109642569411772</v>
      </c>
      <c r="E86" s="303">
        <f t="shared" ref="E86:O86" si="6">SUM(E79:E85)*(1+WBZuschlag)</f>
        <v>22.81644288</v>
      </c>
      <c r="F86" s="303">
        <f t="shared" si="6"/>
        <v>20.431741129411765</v>
      </c>
      <c r="G86" s="303">
        <f t="shared" si="6"/>
        <v>16.297459200000002</v>
      </c>
      <c r="H86" s="303">
        <f t="shared" si="6"/>
        <v>10.649271134117647</v>
      </c>
      <c r="I86" s="303">
        <f t="shared" si="6"/>
        <v>6.9503870117647075</v>
      </c>
      <c r="J86" s="303">
        <f t="shared" si="6"/>
        <v>4.4578344282352971</v>
      </c>
      <c r="K86" s="303">
        <f t="shared" si="6"/>
        <v>4.4578344282352971</v>
      </c>
      <c r="L86" s="303">
        <f t="shared" si="6"/>
        <v>9.5867407058823559</v>
      </c>
      <c r="M86" s="303">
        <f t="shared" si="6"/>
        <v>14.983276828235294</v>
      </c>
      <c r="N86" s="303">
        <f t="shared" si="6"/>
        <v>21.330498070588238</v>
      </c>
      <c r="O86" s="303">
        <f t="shared" si="6"/>
        <v>25.013404291764708</v>
      </c>
      <c r="P86" s="290">
        <f t="shared" si="1"/>
        <v>185.0845326776471</v>
      </c>
      <c r="Q86" s="304" t="s">
        <v>359</v>
      </c>
    </row>
    <row r="87" spans="2:17">
      <c r="B87" s="288" t="s">
        <v>393</v>
      </c>
      <c r="D87" s="316"/>
      <c r="E87" s="316"/>
      <c r="F87" s="316"/>
      <c r="G87" s="316"/>
      <c r="H87" s="316"/>
      <c r="I87" s="316"/>
      <c r="J87" s="316"/>
      <c r="K87" s="316"/>
      <c r="L87" s="316"/>
      <c r="M87" s="316"/>
      <c r="N87" s="316"/>
      <c r="O87" s="329"/>
      <c r="P87" s="341"/>
      <c r="Q87" s="304"/>
    </row>
    <row r="88" spans="2:17">
      <c r="B88" s="342" t="s">
        <v>320</v>
      </c>
      <c r="D88" s="303">
        <f t="shared" ref="D88:O88" si="7">IF(D86=0,0,(Thetai-D$70)*VStandard*D$69*(1150-0.14*HueM)*0.000024)</f>
        <v>12.0610280448</v>
      </c>
      <c r="E88" s="303">
        <f t="shared" si="7"/>
        <v>10.288618905599998</v>
      </c>
      <c r="F88" s="303">
        <f t="shared" si="7"/>
        <v>9.213285312</v>
      </c>
      <c r="G88" s="303">
        <f t="shared" si="7"/>
        <v>7.3490135040000002</v>
      </c>
      <c r="H88" s="303">
        <f t="shared" si="7"/>
        <v>4.8020759807999998</v>
      </c>
      <c r="I88" s="303">
        <f t="shared" si="7"/>
        <v>3.1341381120000005</v>
      </c>
      <c r="J88" s="303">
        <f t="shared" si="7"/>
        <v>2.0101713408000013</v>
      </c>
      <c r="K88" s="303">
        <f t="shared" si="7"/>
        <v>2.0101713408000013</v>
      </c>
      <c r="L88" s="303">
        <f t="shared" si="7"/>
        <v>4.3229491200000005</v>
      </c>
      <c r="M88" s="303">
        <f t="shared" si="7"/>
        <v>6.7564092287999982</v>
      </c>
      <c r="N88" s="303">
        <f t="shared" si="7"/>
        <v>9.6185617919999995</v>
      </c>
      <c r="O88" s="303">
        <f t="shared" si="7"/>
        <v>11.279294745600001</v>
      </c>
      <c r="P88" s="290">
        <f>SUM(D88:O88)</f>
        <v>82.845717427199986</v>
      </c>
      <c r="Q88" s="304" t="s">
        <v>359</v>
      </c>
    </row>
    <row r="89" spans="2:17">
      <c r="B89" s="288" t="s">
        <v>394</v>
      </c>
      <c r="D89" s="316"/>
      <c r="E89" s="316"/>
      <c r="F89" s="316"/>
      <c r="G89" s="316"/>
      <c r="H89" s="316"/>
      <c r="I89" s="316"/>
      <c r="J89" s="316"/>
      <c r="K89" s="316"/>
      <c r="L89" s="316"/>
      <c r="M89" s="316"/>
      <c r="N89" s="316"/>
      <c r="O89" s="329"/>
      <c r="P89" s="341"/>
      <c r="Q89" s="304"/>
    </row>
    <row r="90" spans="2:17">
      <c r="B90" s="284" t="s">
        <v>395</v>
      </c>
      <c r="D90" s="303">
        <f>D88+D86</f>
        <v>40.170670614211772</v>
      </c>
      <c r="E90" s="303">
        <f t="shared" ref="E90:O90" si="8">E88+E86</f>
        <v>33.1050617856</v>
      </c>
      <c r="F90" s="303">
        <f t="shared" si="8"/>
        <v>29.645026441411765</v>
      </c>
      <c r="G90" s="303">
        <f t="shared" si="8"/>
        <v>23.646472704000004</v>
      </c>
      <c r="H90" s="303">
        <f t="shared" si="8"/>
        <v>15.451347114917647</v>
      </c>
      <c r="I90" s="303">
        <f t="shared" si="8"/>
        <v>10.084525123764708</v>
      </c>
      <c r="J90" s="303">
        <f t="shared" si="8"/>
        <v>6.4680057690352983</v>
      </c>
      <c r="K90" s="303">
        <f t="shared" si="8"/>
        <v>6.4680057690352983</v>
      </c>
      <c r="L90" s="303">
        <f t="shared" si="8"/>
        <v>13.909689825882356</v>
      </c>
      <c r="M90" s="303">
        <f t="shared" si="8"/>
        <v>21.739686057035293</v>
      </c>
      <c r="N90" s="303">
        <f t="shared" si="8"/>
        <v>30.949059862588236</v>
      </c>
      <c r="O90" s="303">
        <f t="shared" si="8"/>
        <v>36.292699037364713</v>
      </c>
      <c r="P90" s="341">
        <f>SUM(D90:O90)</f>
        <v>267.93025010484712</v>
      </c>
      <c r="Q90" s="304" t="s">
        <v>359</v>
      </c>
    </row>
    <row r="91" spans="2:17">
      <c r="B91" s="288" t="s">
        <v>396</v>
      </c>
      <c r="D91" s="316"/>
      <c r="E91" s="316" t="s">
        <v>193</v>
      </c>
      <c r="F91" s="316"/>
      <c r="G91" s="316"/>
      <c r="H91" s="316"/>
      <c r="I91" s="316"/>
      <c r="J91" s="316"/>
      <c r="K91" s="316"/>
      <c r="L91" s="316"/>
      <c r="M91" s="316"/>
      <c r="N91" s="316"/>
      <c r="O91" s="329"/>
      <c r="P91" s="341"/>
      <c r="Q91" s="304"/>
    </row>
    <row r="92" spans="2:17">
      <c r="B92" s="284" t="s">
        <v>397</v>
      </c>
      <c r="D92" s="303">
        <f>QE*fE*D$69/365</f>
        <v>7.3748872602739741</v>
      </c>
      <c r="E92" s="303">
        <f t="shared" ref="E92:M92" si="9">QE*fE*E$69/365</f>
        <v>6.6611884931506857</v>
      </c>
      <c r="F92" s="303">
        <f t="shared" si="9"/>
        <v>7.3748872602739741</v>
      </c>
      <c r="G92" s="303">
        <f t="shared" si="9"/>
        <v>7.1369876712328768</v>
      </c>
      <c r="H92" s="303">
        <f t="shared" si="9"/>
        <v>7.3748872602739741</v>
      </c>
      <c r="I92" s="303">
        <f t="shared" si="9"/>
        <v>7.1369876712328768</v>
      </c>
      <c r="J92" s="303">
        <f t="shared" si="9"/>
        <v>7.3748872602739741</v>
      </c>
      <c r="K92" s="303">
        <f t="shared" si="9"/>
        <v>7.3748872602739741</v>
      </c>
      <c r="L92" s="303">
        <f t="shared" si="9"/>
        <v>7.1369876712328768</v>
      </c>
      <c r="M92" s="303">
        <f t="shared" si="9"/>
        <v>7.3748872602739741</v>
      </c>
      <c r="N92" s="303">
        <f>QE*fE*N$69/365</f>
        <v>7.1369876712328768</v>
      </c>
      <c r="O92" s="303">
        <f>QE*fE*O$69/365</f>
        <v>7.3748872602739741</v>
      </c>
      <c r="P92" s="341">
        <f>SUM(D92:O92)</f>
        <v>86.83335000000001</v>
      </c>
      <c r="Q92" s="304" t="s">
        <v>359</v>
      </c>
    </row>
    <row r="93" spans="2:17">
      <c r="B93" s="284" t="s">
        <v>399</v>
      </c>
      <c r="D93" s="303">
        <f>$D$40*D$69/365</f>
        <v>2.9998080000000007</v>
      </c>
      <c r="E93" s="303">
        <f t="shared" ref="E93:O93" si="10">$D$40*E$69/365</f>
        <v>2.7095040000000008</v>
      </c>
      <c r="F93" s="303">
        <f t="shared" si="10"/>
        <v>2.9998080000000007</v>
      </c>
      <c r="G93" s="303">
        <f t="shared" si="10"/>
        <v>2.9030400000000007</v>
      </c>
      <c r="H93" s="303">
        <f t="shared" si="10"/>
        <v>2.9998080000000007</v>
      </c>
      <c r="I93" s="303">
        <f t="shared" si="10"/>
        <v>2.9030400000000007</v>
      </c>
      <c r="J93" s="303">
        <f t="shared" si="10"/>
        <v>2.9998080000000007</v>
      </c>
      <c r="K93" s="303">
        <f t="shared" si="10"/>
        <v>2.9998080000000007</v>
      </c>
      <c r="L93" s="303">
        <f t="shared" si="10"/>
        <v>2.9030400000000007</v>
      </c>
      <c r="M93" s="303">
        <f t="shared" si="10"/>
        <v>2.9998080000000007</v>
      </c>
      <c r="N93" s="303">
        <f t="shared" si="10"/>
        <v>2.9030400000000007</v>
      </c>
      <c r="O93" s="303">
        <f t="shared" si="10"/>
        <v>2.9998080000000007</v>
      </c>
      <c r="P93" s="341">
        <f>SUM(D93:O93)</f>
        <v>35.320320000000009</v>
      </c>
      <c r="Q93" s="304" t="s">
        <v>359</v>
      </c>
    </row>
    <row r="94" spans="2:17">
      <c r="B94" s="284" t="s">
        <v>400</v>
      </c>
      <c r="D94" s="303">
        <f>D93+D92</f>
        <v>10.374695260273974</v>
      </c>
      <c r="E94" s="303">
        <f t="shared" ref="E94:O94" si="11">E93+E92</f>
        <v>9.3706924931506865</v>
      </c>
      <c r="F94" s="303">
        <f t="shared" si="11"/>
        <v>10.374695260273974</v>
      </c>
      <c r="G94" s="303">
        <f t="shared" si="11"/>
        <v>10.040027671232878</v>
      </c>
      <c r="H94" s="303">
        <f t="shared" si="11"/>
        <v>10.374695260273974</v>
      </c>
      <c r="I94" s="303">
        <f t="shared" si="11"/>
        <v>10.040027671232878</v>
      </c>
      <c r="J94" s="303">
        <f t="shared" si="11"/>
        <v>10.374695260273974</v>
      </c>
      <c r="K94" s="303">
        <f t="shared" si="11"/>
        <v>10.374695260273974</v>
      </c>
      <c r="L94" s="303">
        <f t="shared" si="11"/>
        <v>10.040027671232878</v>
      </c>
      <c r="M94" s="303">
        <f t="shared" si="11"/>
        <v>10.374695260273974</v>
      </c>
      <c r="N94" s="303">
        <f t="shared" si="11"/>
        <v>10.040027671232878</v>
      </c>
      <c r="O94" s="303">
        <f t="shared" si="11"/>
        <v>10.374695260273974</v>
      </c>
      <c r="P94" s="341">
        <f>SUM(D94:O94)</f>
        <v>122.15367000000001</v>
      </c>
      <c r="Q94" s="304" t="s">
        <v>359</v>
      </c>
    </row>
    <row r="95" spans="2:17">
      <c r="B95" s="289" t="s">
        <v>401</v>
      </c>
      <c r="D95" s="303">
        <f>IF(EBF&gt;0,($D$19*D$72*$F$19+$D$18*D$73*$F$18+$D$20*D$74*$F$20+$D$17*D$75*$F$17+$D$21*D$71*$F$21)*0.9*G_E5*FF/EBF,0)</f>
        <v>6.3529411764705888</v>
      </c>
      <c r="E95" s="303">
        <f t="shared" ref="E95:O95" si="12">IF(EBF&gt;0,($D$19*E$72*$F$19+$D$18*E$73*$F$18+$D$20*E$74*$F$20+$D$17*E$75*$F$17+$D$21*E$71*$F$21)*0.9*G_E5*FF/EBF,0)</f>
        <v>9.7676470588235311</v>
      </c>
      <c r="F95" s="303">
        <f t="shared" si="12"/>
        <v>15.723529411764707</v>
      </c>
      <c r="G95" s="303">
        <f t="shared" si="12"/>
        <v>18.344117647058823</v>
      </c>
      <c r="H95" s="303">
        <f t="shared" si="12"/>
        <v>22.791176470588237</v>
      </c>
      <c r="I95" s="303">
        <f t="shared" si="12"/>
        <v>24.061764705882357</v>
      </c>
      <c r="J95" s="303">
        <f t="shared" si="12"/>
        <v>25.967647058823538</v>
      </c>
      <c r="K95" s="303">
        <f t="shared" si="12"/>
        <v>23.426470588235297</v>
      </c>
      <c r="L95" s="303">
        <f t="shared" si="12"/>
        <v>17.311764705882354</v>
      </c>
      <c r="M95" s="303">
        <f t="shared" si="12"/>
        <v>11.276470588235295</v>
      </c>
      <c r="N95" s="303">
        <f t="shared" si="12"/>
        <v>5.9558823529411757</v>
      </c>
      <c r="O95" s="303">
        <f t="shared" si="12"/>
        <v>4.6852941176470591</v>
      </c>
      <c r="P95" s="341">
        <f>SUM(D95:O95)</f>
        <v>185.66470588235299</v>
      </c>
      <c r="Q95" s="304" t="s">
        <v>359</v>
      </c>
    </row>
    <row r="96" spans="2:17" ht="13.5" customHeight="1">
      <c r="B96" s="284" t="s">
        <v>402</v>
      </c>
      <c r="D96" s="303">
        <f>D95+D94</f>
        <v>16.727636436744561</v>
      </c>
      <c r="E96" s="303">
        <f t="shared" ref="E96:O96" si="13">E95+E94</f>
        <v>19.138339551974219</v>
      </c>
      <c r="F96" s="303">
        <f t="shared" si="13"/>
        <v>26.098224672038683</v>
      </c>
      <c r="G96" s="303">
        <f t="shared" si="13"/>
        <v>28.384145318291701</v>
      </c>
      <c r="H96" s="303">
        <f t="shared" si="13"/>
        <v>33.165871730862207</v>
      </c>
      <c r="I96" s="303">
        <f t="shared" si="13"/>
        <v>34.101792377115231</v>
      </c>
      <c r="J96" s="303">
        <f t="shared" si="13"/>
        <v>36.342342319097511</v>
      </c>
      <c r="K96" s="303">
        <f t="shared" si="13"/>
        <v>33.801165848509271</v>
      </c>
      <c r="L96" s="303">
        <f t="shared" si="13"/>
        <v>27.351792377115231</v>
      </c>
      <c r="M96" s="303">
        <f t="shared" si="13"/>
        <v>21.651165848509269</v>
      </c>
      <c r="N96" s="303">
        <f t="shared" si="13"/>
        <v>15.995910024174053</v>
      </c>
      <c r="O96" s="303">
        <f t="shared" si="13"/>
        <v>15.059989377921033</v>
      </c>
      <c r="P96" s="343">
        <f>SUM(D96:O96)</f>
        <v>307.818375882353</v>
      </c>
      <c r="Q96" s="304" t="s">
        <v>359</v>
      </c>
    </row>
    <row r="97" spans="2:20">
      <c r="B97" s="284" t="s">
        <v>411</v>
      </c>
      <c r="D97" s="303">
        <f t="shared" ref="D97:O97" si="14">IF(D90&gt;0,D96/D90,0)</f>
        <v>0.41641416936730397</v>
      </c>
      <c r="E97" s="303">
        <f t="shared" si="14"/>
        <v>0.57810916275948443</v>
      </c>
      <c r="F97" s="303">
        <f t="shared" si="14"/>
        <v>0.88035761154125736</v>
      </c>
      <c r="G97" s="303">
        <f t="shared" si="14"/>
        <v>1.2003543054220631</v>
      </c>
      <c r="H97" s="303">
        <f t="shared" si="14"/>
        <v>2.1464712095453415</v>
      </c>
      <c r="I97" s="303">
        <f t="shared" si="14"/>
        <v>3.3815962535263644</v>
      </c>
      <c r="J97" s="303">
        <f t="shared" si="14"/>
        <v>5.6187863178912973</v>
      </c>
      <c r="K97" s="303">
        <f t="shared" si="14"/>
        <v>5.2259022418204655</v>
      </c>
      <c r="L97" s="303">
        <f t="shared" si="14"/>
        <v>1.9663840617222519</v>
      </c>
      <c r="M97" s="303">
        <f t="shared" si="14"/>
        <v>0.99592817447805893</v>
      </c>
      <c r="N97" s="303">
        <f t="shared" si="14"/>
        <v>0.51684639517952491</v>
      </c>
      <c r="O97" s="303">
        <f t="shared" si="14"/>
        <v>0.41495920053827362</v>
      </c>
      <c r="P97" s="341" t="s">
        <v>56</v>
      </c>
      <c r="Q97" s="304"/>
    </row>
    <row r="98" spans="2:20">
      <c r="B98" s="289" t="s">
        <v>412</v>
      </c>
      <c r="D98" s="303">
        <f>IF(D90&gt;0,CEBF*EBF*1000000/(($D$22*U_DAFbeheizt+$D$14*U_E3*bGW+E4beheizt*U_E4+BodenErdeF*U_Boden*bGF+$D$16*U_E5)*3600 + $D$34*EBF*(1150-0.14*HueM)),0)</f>
        <v>190.84889923011801</v>
      </c>
      <c r="E98" s="303">
        <f t="shared" ref="E98:O98" si="15">IF(E90&gt;0,CEBF*EBF*1000000/(($D$22*U_DAFbeheizt+$D$14*U_E3*bGW+E4beheizt*U_E4+BodenErdeF*U_Boden*bGF+$D$16*U_E5)*3600 + $D$34*EBF*(1150-0.14*HueM)),0)</f>
        <v>190.84889923011801</v>
      </c>
      <c r="F98" s="303">
        <f t="shared" si="15"/>
        <v>190.84889923011801</v>
      </c>
      <c r="G98" s="303">
        <f t="shared" si="15"/>
        <v>190.84889923011801</v>
      </c>
      <c r="H98" s="303">
        <f t="shared" si="15"/>
        <v>190.84889923011801</v>
      </c>
      <c r="I98" s="303">
        <f t="shared" si="15"/>
        <v>190.84889923011801</v>
      </c>
      <c r="J98" s="303">
        <f t="shared" si="15"/>
        <v>190.84889923011801</v>
      </c>
      <c r="K98" s="303">
        <f t="shared" si="15"/>
        <v>190.84889923011801</v>
      </c>
      <c r="L98" s="303">
        <f t="shared" si="15"/>
        <v>190.84889923011801</v>
      </c>
      <c r="M98" s="303">
        <f t="shared" si="15"/>
        <v>190.84889923011801</v>
      </c>
      <c r="N98" s="303">
        <f t="shared" si="15"/>
        <v>190.84889923011801</v>
      </c>
      <c r="O98" s="303">
        <f t="shared" si="15"/>
        <v>190.84889923011801</v>
      </c>
      <c r="P98" s="341"/>
      <c r="Q98" s="304"/>
    </row>
    <row r="99" spans="2:20">
      <c r="B99" s="284" t="s">
        <v>403</v>
      </c>
      <c r="D99" s="303">
        <f>a0+D98/tau0</f>
        <v>13.723259948674533</v>
      </c>
      <c r="E99" s="303">
        <f>a0+E98/tau0</f>
        <v>13.723259948674533</v>
      </c>
      <c r="F99" s="303">
        <f>a0+F98/tau0</f>
        <v>13.723259948674533</v>
      </c>
      <c r="G99" s="303">
        <f>a0+G98/tau0</f>
        <v>13.723259948674533</v>
      </c>
      <c r="H99" s="303">
        <f t="shared" ref="H99:O99" si="16">a0+H98/tau0</f>
        <v>13.723259948674533</v>
      </c>
      <c r="I99" s="303">
        <f t="shared" si="16"/>
        <v>13.723259948674533</v>
      </c>
      <c r="J99" s="303">
        <f t="shared" si="16"/>
        <v>13.723259948674533</v>
      </c>
      <c r="K99" s="303">
        <f t="shared" si="16"/>
        <v>13.723259948674533</v>
      </c>
      <c r="L99" s="303">
        <f t="shared" si="16"/>
        <v>13.723259948674533</v>
      </c>
      <c r="M99" s="303">
        <f t="shared" si="16"/>
        <v>13.723259948674533</v>
      </c>
      <c r="N99" s="303">
        <f t="shared" si="16"/>
        <v>13.723259948674533</v>
      </c>
      <c r="O99" s="303">
        <f t="shared" si="16"/>
        <v>13.723259948674533</v>
      </c>
      <c r="P99" s="341"/>
      <c r="Q99" s="304"/>
    </row>
    <row r="100" spans="2:20">
      <c r="B100" s="284" t="s">
        <v>413</v>
      </c>
      <c r="D100" s="317">
        <f t="shared" ref="D100:O100" si="17">IF(D97=1,D99/(D99+1),IF(D90&lt;=0,0,(1-D97^D99)/(1-D97^(D99+1))))</f>
        <v>0.99999649445664807</v>
      </c>
      <c r="E100" s="317">
        <f t="shared" si="17"/>
        <v>0.99977126346440026</v>
      </c>
      <c r="F100" s="317">
        <f t="shared" si="17"/>
        <v>0.97541689694462619</v>
      </c>
      <c r="G100" s="317">
        <f t="shared" si="17"/>
        <v>0.82091528000059422</v>
      </c>
      <c r="H100" s="317">
        <f t="shared" si="17"/>
        <v>0.46587395304890727</v>
      </c>
      <c r="I100" s="317">
        <f t="shared" si="17"/>
        <v>0.29571831952662081</v>
      </c>
      <c r="J100" s="317">
        <f t="shared" si="17"/>
        <v>0.17797437798504767</v>
      </c>
      <c r="K100" s="317">
        <f t="shared" si="17"/>
        <v>0.19135451709844128</v>
      </c>
      <c r="L100" s="317">
        <f t="shared" si="17"/>
        <v>0.50852433229045946</v>
      </c>
      <c r="M100" s="317">
        <f t="shared" si="17"/>
        <v>0.93396528011633884</v>
      </c>
      <c r="N100" s="317">
        <f t="shared" si="17"/>
        <v>0.99994370152693135</v>
      </c>
      <c r="O100" s="317">
        <f t="shared" si="17"/>
        <v>0.99999665053096531</v>
      </c>
      <c r="P100" s="344">
        <f>IF(P96&gt;0,P101/P96,0)</f>
        <v>0.61164723089102135</v>
      </c>
      <c r="Q100" s="304"/>
    </row>
    <row r="101" spans="2:20">
      <c r="B101" s="342" t="s">
        <v>323</v>
      </c>
      <c r="D101" s="303">
        <f t="shared" ref="D101:O101" si="18">D96*D100</f>
        <v>16.727577797289857</v>
      </c>
      <c r="E101" s="303">
        <f t="shared" si="18"/>
        <v>19.133961914487969</v>
      </c>
      <c r="F101" s="303">
        <f t="shared" si="18"/>
        <v>25.456649325363657</v>
      </c>
      <c r="G101" s="303">
        <f t="shared" si="18"/>
        <v>23.300978601542987</v>
      </c>
      <c r="H101" s="303">
        <f t="shared" si="18"/>
        <v>15.451115769569782</v>
      </c>
      <c r="I101" s="303">
        <f>I96*I100</f>
        <v>10.084524734606244</v>
      </c>
      <c r="J101" s="303">
        <f t="shared" si="18"/>
        <v>6.4680057687610546</v>
      </c>
      <c r="K101" s="303">
        <f t="shared" si="18"/>
        <v>6.468005768305817</v>
      </c>
      <c r="L101" s="303">
        <f t="shared" si="18"/>
        <v>13.909051955519802</v>
      </c>
      <c r="M101" s="303">
        <f t="shared" si="18"/>
        <v>20.221437176548267</v>
      </c>
      <c r="N101" s="303">
        <f t="shared" si="18"/>
        <v>15.995009478864349</v>
      </c>
      <c r="O101" s="303">
        <f t="shared" si="18"/>
        <v>15.05993893495295</v>
      </c>
      <c r="P101" s="290">
        <f>SUM(D101:O101)</f>
        <v>188.27625722581277</v>
      </c>
      <c r="Q101" s="304" t="s">
        <v>359</v>
      </c>
    </row>
    <row r="102" spans="2:20" ht="12.9" thickBot="1">
      <c r="B102" s="291" t="s">
        <v>404</v>
      </c>
      <c r="C102" s="335"/>
      <c r="D102" s="345"/>
      <c r="E102" s="345"/>
      <c r="F102" s="345"/>
      <c r="G102" s="345"/>
      <c r="H102" s="345"/>
      <c r="I102" s="345"/>
      <c r="J102" s="345"/>
      <c r="K102" s="345"/>
      <c r="L102" s="345"/>
      <c r="M102" s="345"/>
      <c r="N102" s="345"/>
      <c r="O102" s="346"/>
      <c r="P102" s="347"/>
      <c r="Q102" s="339"/>
    </row>
    <row r="103" spans="2:20" ht="12.9" thickBot="1">
      <c r="B103" s="292" t="s">
        <v>325</v>
      </c>
      <c r="C103" s="348"/>
      <c r="D103" s="349">
        <f t="shared" ref="D103:O103" si="19">D90-D101</f>
        <v>23.443092816921915</v>
      </c>
      <c r="E103" s="349">
        <f t="shared" si="19"/>
        <v>13.971099871112031</v>
      </c>
      <c r="F103" s="349">
        <f t="shared" si="19"/>
        <v>4.1883771160481089</v>
      </c>
      <c r="G103" s="349">
        <f t="shared" si="19"/>
        <v>0.3454941024570175</v>
      </c>
      <c r="H103" s="349">
        <f t="shared" si="19"/>
        <v>2.3134534786528604E-4</v>
      </c>
      <c r="I103" s="349">
        <f t="shared" si="19"/>
        <v>3.8915846367615359E-7</v>
      </c>
      <c r="J103" s="349">
        <f t="shared" si="19"/>
        <v>2.7424373882922737E-10</v>
      </c>
      <c r="K103" s="349">
        <f>K90-K101</f>
        <v>7.2948136420336596E-10</v>
      </c>
      <c r="L103" s="349">
        <f t="shared" si="19"/>
        <v>6.3787036255469332E-4</v>
      </c>
      <c r="M103" s="349">
        <f t="shared" si="19"/>
        <v>1.5182488804870253</v>
      </c>
      <c r="N103" s="349">
        <f t="shared" si="19"/>
        <v>14.954050383723887</v>
      </c>
      <c r="O103" s="349">
        <f t="shared" si="19"/>
        <v>21.232760102411763</v>
      </c>
      <c r="P103" s="350">
        <f>SUM(D103:O103)</f>
        <v>79.653992879034362</v>
      </c>
      <c r="Q103" s="351" t="s">
        <v>359</v>
      </c>
    </row>
    <row r="104" spans="2:20">
      <c r="P104" s="1291">
        <f>P103/3.6</f>
        <v>22.1261091330651</v>
      </c>
      <c r="Q104" s="270" t="s">
        <v>1658</v>
      </c>
    </row>
    <row r="106" spans="2:20" ht="15.9" thickBot="1">
      <c r="B106" s="293" t="str">
        <f>IF(Standard="Minergie-P","Mit Wärmegewinn Elektrizität gemäss MINERGIE-P und mechanischer Lüftungsanlage.",IF(Standard="Minergie","Mit Wärmegewinn Elektrizität gemäss MINERGIE und mechanischer Lüftungsanlage.",""))</f>
        <v/>
      </c>
    </row>
    <row r="107" spans="2:20" ht="16.5" customHeight="1" thickBot="1">
      <c r="B107" s="370" t="s">
        <v>405</v>
      </c>
      <c r="C107" s="372" t="s">
        <v>48</v>
      </c>
      <c r="D107" s="281" t="s">
        <v>359</v>
      </c>
      <c r="E107" s="325"/>
      <c r="F107" s="325"/>
      <c r="G107" s="325"/>
      <c r="H107" s="325"/>
      <c r="I107" s="325"/>
      <c r="J107" s="325"/>
      <c r="K107" s="325"/>
      <c r="L107" s="325"/>
      <c r="M107" s="325"/>
      <c r="N107" s="325"/>
      <c r="O107" s="325"/>
      <c r="P107" s="325"/>
      <c r="Q107" s="328"/>
    </row>
    <row r="108" spans="2:20">
      <c r="B108" s="294" t="s">
        <v>371</v>
      </c>
      <c r="C108" s="340"/>
      <c r="D108" s="340"/>
      <c r="E108" s="340"/>
      <c r="F108" s="340"/>
      <c r="G108" s="340"/>
      <c r="H108" s="340"/>
      <c r="I108" s="340"/>
      <c r="J108" s="340"/>
      <c r="K108" s="340"/>
      <c r="L108" s="340"/>
      <c r="M108" s="340"/>
      <c r="N108" s="340"/>
      <c r="O108" s="331"/>
      <c r="P108" s="330"/>
      <c r="Q108" s="331"/>
    </row>
    <row r="109" spans="2:20">
      <c r="B109" s="284" t="s">
        <v>373</v>
      </c>
      <c r="D109" s="303">
        <f>IF(EBF&gt;0,(Thetai-D$70)*D$69*$D$22*U_DAFbeheizt*0.0864/EBF,0)</f>
        <v>0</v>
      </c>
      <c r="E109" s="303">
        <f t="shared" ref="E109:O109" si="20">IF(EBF&gt;0,(Thetai-E$70)*E$69*$D$22*U_DAFbeheizt*0.0864/EBF,0)</f>
        <v>0</v>
      </c>
      <c r="F109" s="303">
        <f t="shared" si="20"/>
        <v>0</v>
      </c>
      <c r="G109" s="303">
        <f t="shared" si="20"/>
        <v>0</v>
      </c>
      <c r="H109" s="303">
        <f t="shared" si="20"/>
        <v>0</v>
      </c>
      <c r="I109" s="303">
        <f t="shared" si="20"/>
        <v>0</v>
      </c>
      <c r="J109" s="303">
        <f t="shared" si="20"/>
        <v>0</v>
      </c>
      <c r="K109" s="303">
        <f t="shared" si="20"/>
        <v>0</v>
      </c>
      <c r="L109" s="303">
        <f t="shared" si="20"/>
        <v>0</v>
      </c>
      <c r="M109" s="303">
        <f t="shared" si="20"/>
        <v>0</v>
      </c>
      <c r="N109" s="303">
        <f t="shared" si="20"/>
        <v>0</v>
      </c>
      <c r="O109" s="303">
        <f t="shared" si="20"/>
        <v>0</v>
      </c>
      <c r="P109" s="341">
        <f t="shared" ref="P109:P114" si="21">SUM(D109:O109)</f>
        <v>0</v>
      </c>
      <c r="Q109" s="304" t="s">
        <v>359</v>
      </c>
      <c r="S109" s="1689">
        <f>P109/3.6</f>
        <v>0</v>
      </c>
      <c r="T109" s="270" t="s">
        <v>1658</v>
      </c>
    </row>
    <row r="110" spans="2:20">
      <c r="B110" s="284" t="s">
        <v>375</v>
      </c>
      <c r="D110" s="303">
        <v>0</v>
      </c>
      <c r="E110" s="303">
        <v>0</v>
      </c>
      <c r="F110" s="303">
        <v>0</v>
      </c>
      <c r="G110" s="303">
        <v>0</v>
      </c>
      <c r="H110" s="303">
        <v>0</v>
      </c>
      <c r="I110" s="303">
        <v>0</v>
      </c>
      <c r="J110" s="303">
        <v>0</v>
      </c>
      <c r="K110" s="303">
        <v>0</v>
      </c>
      <c r="L110" s="303">
        <v>0</v>
      </c>
      <c r="M110" s="303">
        <v>0</v>
      </c>
      <c r="N110" s="303">
        <v>0</v>
      </c>
      <c r="O110" s="303">
        <v>0</v>
      </c>
      <c r="P110" s="341">
        <f t="shared" si="21"/>
        <v>0</v>
      </c>
      <c r="Q110" s="304" t="s">
        <v>359</v>
      </c>
      <c r="S110" s="1689">
        <f t="shared" ref="S110:S133" si="22">P110/3.6</f>
        <v>0</v>
      </c>
      <c r="T110" s="270" t="s">
        <v>1658</v>
      </c>
    </row>
    <row r="111" spans="2:20">
      <c r="B111" s="284" t="s">
        <v>377</v>
      </c>
      <c r="D111" s="362">
        <f>IF(EBF&gt;0,(deltaThetahmax+Thetai-D$70)*D$69*E4beheizt*U_E4*0.0864/EBF,0)</f>
        <v>11.941646400000002</v>
      </c>
      <c r="E111" s="303">
        <f t="shared" ref="E111:M111" si="23">IF(EBF&gt;0,(Thetai-E$70)*E$69*E4beheizt*U_E4*0.0864/EBF,0)</f>
        <v>9.1300608000000008</v>
      </c>
      <c r="F111" s="303">
        <f t="shared" si="23"/>
        <v>8.1758160000000011</v>
      </c>
      <c r="G111" s="303">
        <f t="shared" si="23"/>
        <v>6.521472000000001</v>
      </c>
      <c r="H111" s="303">
        <f t="shared" si="23"/>
        <v>4.2613344</v>
      </c>
      <c r="I111" s="303">
        <f t="shared" si="23"/>
        <v>2.781216000000001</v>
      </c>
      <c r="J111" s="303">
        <f t="shared" si="23"/>
        <v>1.7838144000000011</v>
      </c>
      <c r="K111" s="303">
        <f t="shared" si="23"/>
        <v>1.7838144000000011</v>
      </c>
      <c r="L111" s="303">
        <f t="shared" si="23"/>
        <v>3.8361600000000009</v>
      </c>
      <c r="M111" s="303">
        <f t="shared" si="23"/>
        <v>5.9955984000000004</v>
      </c>
      <c r="N111" s="303">
        <f>IF(EBF&gt;0,(Thetai-N$70)*N$69*E4beheizt*U_E4*0.0864/EBF,0)</f>
        <v>8.5354559999999999</v>
      </c>
      <c r="O111" s="303">
        <f>IF(EBF&gt;0,(Thetai-O$70)*O$69*E4beheizt*U_E4*0.0864/EBF,0)</f>
        <v>10.009180800000001</v>
      </c>
      <c r="P111" s="341">
        <f t="shared" si="21"/>
        <v>74.755569600000015</v>
      </c>
      <c r="Q111" s="304" t="s">
        <v>359</v>
      </c>
      <c r="S111" s="1689">
        <f t="shared" si="22"/>
        <v>20.765436000000005</v>
      </c>
      <c r="T111" s="270" t="s">
        <v>1658</v>
      </c>
    </row>
    <row r="112" spans="2:20">
      <c r="B112" s="284" t="s">
        <v>406</v>
      </c>
      <c r="D112" s="303">
        <f>IF(EBF&gt;0,(Thetai+deltaThetahmax-D$70)*D$69*BodenErdeF*U_Boden*bGF*0.0864/EBF,0)</f>
        <v>0</v>
      </c>
      <c r="E112" s="303">
        <f t="shared" ref="E112:M112" si="24">IF(EBF&gt;0,(Thetai+deltaThetahmax-E$70)*E$69*BodenErdeF*U_Boden*bGF*0.0864/EBF,0)</f>
        <v>0</v>
      </c>
      <c r="F112" s="303">
        <f t="shared" si="24"/>
        <v>0</v>
      </c>
      <c r="G112" s="303">
        <f t="shared" si="24"/>
        <v>0</v>
      </c>
      <c r="H112" s="303">
        <f t="shared" si="24"/>
        <v>0</v>
      </c>
      <c r="I112" s="303">
        <f t="shared" si="24"/>
        <v>0</v>
      </c>
      <c r="J112" s="303">
        <f t="shared" si="24"/>
        <v>0</v>
      </c>
      <c r="K112" s="303">
        <f t="shared" si="24"/>
        <v>0</v>
      </c>
      <c r="L112" s="303">
        <f t="shared" si="24"/>
        <v>0</v>
      </c>
      <c r="M112" s="303">
        <f t="shared" si="24"/>
        <v>0</v>
      </c>
      <c r="N112" s="303">
        <f>IF(EBF&gt;0,(Thetai+deltaThetahmax-N$70)*N$69*BodenErdeF*U_Boden*bGF*0.0864/EBF,0)</f>
        <v>0</v>
      </c>
      <c r="O112" s="303">
        <f>IF(EBF&gt;0,(Thetai+deltaThetahmax-O$70)*O$69*BodenErdeF*U_Boden*bGF*0.0864/EBF,0)</f>
        <v>0</v>
      </c>
      <c r="P112" s="341">
        <f t="shared" si="21"/>
        <v>0</v>
      </c>
      <c r="Q112" s="304" t="s">
        <v>359</v>
      </c>
      <c r="S112" s="1689">
        <f t="shared" si="22"/>
        <v>0</v>
      </c>
      <c r="T112" s="270" t="s">
        <v>1658</v>
      </c>
    </row>
    <row r="113" spans="2:20">
      <c r="B113" s="285" t="s">
        <v>407</v>
      </c>
      <c r="D113" s="303">
        <f>(IF(EBF&gt;0,(Thetai+deltaThetahmax-D$70)*D$69*BodenErdeF*U_gedaemmteDecken*0.0864/EBF,0))*0</f>
        <v>0</v>
      </c>
      <c r="E113" s="303">
        <f t="shared" ref="E113:O113" si="25">(IF(EBF&gt;0,(Thetai+deltaThetahmax-E$70)*E$69*BodenErdeF*U_gedaemmteDecken*0.0864/EBF,0))*0</f>
        <v>0</v>
      </c>
      <c r="F113" s="303">
        <f t="shared" si="25"/>
        <v>0</v>
      </c>
      <c r="G113" s="303">
        <f t="shared" si="25"/>
        <v>0</v>
      </c>
      <c r="H113" s="303">
        <f t="shared" si="25"/>
        <v>0</v>
      </c>
      <c r="I113" s="303">
        <f t="shared" si="25"/>
        <v>0</v>
      </c>
      <c r="J113" s="303">
        <f t="shared" si="25"/>
        <v>0</v>
      </c>
      <c r="K113" s="303">
        <f t="shared" si="25"/>
        <v>0</v>
      </c>
      <c r="L113" s="303">
        <f t="shared" si="25"/>
        <v>0</v>
      </c>
      <c r="M113" s="303">
        <f t="shared" si="25"/>
        <v>0</v>
      </c>
      <c r="N113" s="303">
        <f t="shared" si="25"/>
        <v>0</v>
      </c>
      <c r="O113" s="303">
        <f t="shared" si="25"/>
        <v>0</v>
      </c>
      <c r="P113" s="341">
        <f t="shared" si="21"/>
        <v>0</v>
      </c>
      <c r="Q113" s="304" t="s">
        <v>359</v>
      </c>
      <c r="S113" s="1689">
        <f t="shared" si="22"/>
        <v>0</v>
      </c>
      <c r="T113" s="270" t="s">
        <v>1658</v>
      </c>
    </row>
    <row r="114" spans="2:20">
      <c r="B114" s="284" t="s">
        <v>391</v>
      </c>
      <c r="D114" s="362">
        <f>IF(EBF&gt;0,(Thetai-D$70)*D$69*D16*U_E5*0.0864/EBF,0)</f>
        <v>13.612574117647062</v>
      </c>
      <c r="E114" s="303">
        <f>IF(EBF&gt;0,(Thetai-E$70)*E$69*D16*U_E5*0.0864/EBF,0)</f>
        <v>11.612159999999999</v>
      </c>
      <c r="F114" s="303">
        <f>IF(EBF&gt;0,(Thetai-F$70)*F$69*D16*U_E5*0.0864/EBF,0)</f>
        <v>10.398494117647058</v>
      </c>
      <c r="G114" s="303">
        <f>IF(EBF&gt;0,(Thetai-G$70)*G$69*D16*U_E5*0.0864/EBF,0)</f>
        <v>8.2943999999999996</v>
      </c>
      <c r="H114" s="303">
        <f>IF(EBF&gt;0,(Thetai-H$70)*H$69*D16*U_E5*0.0864/EBF,0)</f>
        <v>5.4198211764705881</v>
      </c>
      <c r="I114" s="303">
        <f>IF(EBF&gt;0,(Thetai-I$70)*I$69*D16*U_E5*0.0864/EBF,0)</f>
        <v>3.5373176470588241</v>
      </c>
      <c r="J114" s="303">
        <f>IF(EBF&gt;0,(Thetai-J$70)*J$69*D16*U_E5*0.0864/EBF,0)</f>
        <v>2.2687623529411778</v>
      </c>
      <c r="K114" s="303">
        <f>IF(EBF&gt;0,(Thetai-K$70)*K$69*D16*U_E5*0.0864/EBF,0)</f>
        <v>2.2687623529411778</v>
      </c>
      <c r="L114" s="303">
        <f>IF(EBF&gt;0,(Thetai-L$70)*L$69*D16*U_E5*0.0864/EBF,0)</f>
        <v>4.8790588235294123</v>
      </c>
      <c r="M114" s="303">
        <f>IF(EBF&gt;0,(Thetai-M$70)*M$69*D16*U_E5*0.0864/EBF,0)</f>
        <v>7.6255623529411762</v>
      </c>
      <c r="N114" s="303">
        <f>IF(EBF&gt;0,(Thetai-N$70)*N$69*D16*U_E5*0.0864/EBF,0)</f>
        <v>10.855905882352943</v>
      </c>
      <c r="O114" s="303">
        <f>IF(EBF&gt;0,(Thetai-O$70)*O$69*D16*U_E5*0.0864/EBF,0)</f>
        <v>12.730277647058823</v>
      </c>
      <c r="P114" s="341">
        <f t="shared" si="21"/>
        <v>93.503096470588261</v>
      </c>
      <c r="Q114" s="304" t="s">
        <v>359</v>
      </c>
      <c r="S114" s="1689">
        <f t="shared" si="22"/>
        <v>25.973082352941184</v>
      </c>
      <c r="T114" s="270" t="s">
        <v>1658</v>
      </c>
    </row>
    <row r="115" spans="2:20">
      <c r="B115" s="286" t="s">
        <v>408</v>
      </c>
      <c r="D115" s="303">
        <f>1*D$69*(Thetai-D$70)*BodenUnb*E64*$D$56*0.0864/EBF</f>
        <v>0</v>
      </c>
      <c r="E115" s="303">
        <f t="shared" ref="E115:O115" si="26">1*E$69*(Thetai-E$70)*BodenUnb*U_Boden*$D$56*0.0864/EBF</f>
        <v>0</v>
      </c>
      <c r="F115" s="303">
        <f t="shared" si="26"/>
        <v>0</v>
      </c>
      <c r="G115" s="303">
        <f t="shared" si="26"/>
        <v>0</v>
      </c>
      <c r="H115" s="303">
        <f t="shared" si="26"/>
        <v>0</v>
      </c>
      <c r="I115" s="303">
        <f t="shared" si="26"/>
        <v>0</v>
      </c>
      <c r="J115" s="303">
        <f t="shared" si="26"/>
        <v>0</v>
      </c>
      <c r="K115" s="303">
        <f t="shared" si="26"/>
        <v>0</v>
      </c>
      <c r="L115" s="303">
        <f t="shared" si="26"/>
        <v>0</v>
      </c>
      <c r="M115" s="303">
        <f t="shared" si="26"/>
        <v>0</v>
      </c>
      <c r="N115" s="303">
        <f t="shared" si="26"/>
        <v>0</v>
      </c>
      <c r="O115" s="303">
        <f t="shared" si="26"/>
        <v>0</v>
      </c>
      <c r="P115" s="341">
        <f>SUM(D115:O115)</f>
        <v>0</v>
      </c>
      <c r="Q115" s="304" t="s">
        <v>359</v>
      </c>
      <c r="S115" s="1689">
        <f t="shared" si="22"/>
        <v>0</v>
      </c>
      <c r="T115" s="270" t="s">
        <v>1658</v>
      </c>
    </row>
    <row r="116" spans="2:20">
      <c r="B116" s="295" t="s">
        <v>316</v>
      </c>
      <c r="D116" s="303">
        <f>SUM(D109:D115)*(1+WBZuschlag)</f>
        <v>28.109642569411772</v>
      </c>
      <c r="E116" s="303">
        <f t="shared" ref="E116:O116" si="27">SUM(E109:E115)*(1+WBZuschlag)</f>
        <v>22.81644288</v>
      </c>
      <c r="F116" s="303">
        <f t="shared" si="27"/>
        <v>20.431741129411765</v>
      </c>
      <c r="G116" s="303">
        <f t="shared" si="27"/>
        <v>16.297459200000002</v>
      </c>
      <c r="H116" s="303">
        <f t="shared" si="27"/>
        <v>10.649271134117647</v>
      </c>
      <c r="I116" s="303">
        <f t="shared" si="27"/>
        <v>6.9503870117647075</v>
      </c>
      <c r="J116" s="303">
        <f t="shared" si="27"/>
        <v>4.4578344282352971</v>
      </c>
      <c r="K116" s="303">
        <f t="shared" si="27"/>
        <v>4.4578344282352971</v>
      </c>
      <c r="L116" s="303">
        <f t="shared" si="27"/>
        <v>9.5867407058823559</v>
      </c>
      <c r="M116" s="303">
        <f t="shared" si="27"/>
        <v>14.983276828235294</v>
      </c>
      <c r="N116" s="303">
        <f t="shared" si="27"/>
        <v>21.330498070588238</v>
      </c>
      <c r="O116" s="303">
        <f t="shared" si="27"/>
        <v>25.013404291764708</v>
      </c>
      <c r="P116" s="296">
        <f>SUM(D116:O116)</f>
        <v>185.0845326776471</v>
      </c>
      <c r="Q116" s="304" t="s">
        <v>359</v>
      </c>
      <c r="S116" s="1689">
        <f t="shared" si="22"/>
        <v>51.412370188235307</v>
      </c>
      <c r="T116" s="270" t="s">
        <v>1658</v>
      </c>
    </row>
    <row r="117" spans="2:20">
      <c r="B117" s="288" t="s">
        <v>393</v>
      </c>
      <c r="C117" s="297"/>
      <c r="D117" s="298"/>
      <c r="E117" s="298"/>
      <c r="F117" s="298"/>
      <c r="G117" s="298"/>
      <c r="H117" s="298"/>
      <c r="I117" s="298"/>
      <c r="J117" s="298"/>
      <c r="K117" s="298"/>
      <c r="L117" s="298"/>
      <c r="M117" s="298"/>
      <c r="N117" s="298"/>
      <c r="O117" s="299"/>
      <c r="P117" s="300"/>
      <c r="Q117" s="301"/>
      <c r="S117" s="1689"/>
    </row>
    <row r="118" spans="2:20">
      <c r="B118" s="302" t="s">
        <v>320</v>
      </c>
      <c r="C118" s="297"/>
      <c r="D118" s="362">
        <f t="shared" ref="D118:O118" si="28">IF(D116=0,0,(Thetai-D$70)*Vth*D$69*(1150-0.14*HueM)*0.000024)</f>
        <v>6.0920498797714293</v>
      </c>
      <c r="E118" s="303">
        <f t="shared" si="28"/>
        <v>5.1968024063999998</v>
      </c>
      <c r="F118" s="303">
        <f t="shared" si="28"/>
        <v>4.653649213714286</v>
      </c>
      <c r="G118" s="303">
        <f t="shared" si="28"/>
        <v>3.712001718857143</v>
      </c>
      <c r="H118" s="303">
        <f t="shared" si="28"/>
        <v>2.4255383780571433</v>
      </c>
      <c r="I118" s="303">
        <f t="shared" si="28"/>
        <v>1.5830595565714292</v>
      </c>
      <c r="J118" s="303">
        <f t="shared" si="28"/>
        <v>1.0153416466285718</v>
      </c>
      <c r="K118" s="303">
        <f t="shared" si="28"/>
        <v>1.0153416466285718</v>
      </c>
      <c r="L118" s="303">
        <f t="shared" si="28"/>
        <v>2.1835304228571428</v>
      </c>
      <c r="M118" s="303">
        <f t="shared" si="28"/>
        <v>3.4126760900571433</v>
      </c>
      <c r="N118" s="303">
        <f t="shared" si="28"/>
        <v>4.8583551908571438</v>
      </c>
      <c r="O118" s="303">
        <f t="shared" si="28"/>
        <v>5.6971947949714288</v>
      </c>
      <c r="P118" s="296">
        <f>SUM(D118:O118)</f>
        <v>41.845540945371432</v>
      </c>
      <c r="Q118" s="304" t="s">
        <v>359</v>
      </c>
      <c r="S118" s="1689">
        <f t="shared" si="22"/>
        <v>11.623761373714286</v>
      </c>
      <c r="T118" s="270" t="s">
        <v>1658</v>
      </c>
    </row>
    <row r="119" spans="2:20">
      <c r="B119" s="288" t="s">
        <v>394</v>
      </c>
      <c r="D119" s="316"/>
      <c r="E119" s="316"/>
      <c r="F119" s="316"/>
      <c r="G119" s="316"/>
      <c r="H119" s="316"/>
      <c r="I119" s="316"/>
      <c r="J119" s="316"/>
      <c r="K119" s="316"/>
      <c r="L119" s="316"/>
      <c r="M119" s="316"/>
      <c r="N119" s="316"/>
      <c r="O119" s="329"/>
      <c r="P119" s="341"/>
      <c r="Q119" s="304"/>
      <c r="S119" s="1689"/>
    </row>
    <row r="120" spans="2:20">
      <c r="B120" s="284" t="s">
        <v>395</v>
      </c>
      <c r="D120" s="303">
        <f t="shared" ref="D120:O120" si="29">D118+D116</f>
        <v>34.201692449183199</v>
      </c>
      <c r="E120" s="303">
        <f t="shared" si="29"/>
        <v>28.0132452864</v>
      </c>
      <c r="F120" s="303">
        <f t="shared" si="29"/>
        <v>25.085390343126051</v>
      </c>
      <c r="G120" s="303">
        <f t="shared" si="29"/>
        <v>20.009460918857144</v>
      </c>
      <c r="H120" s="303">
        <f t="shared" si="29"/>
        <v>13.074809512174792</v>
      </c>
      <c r="I120" s="303">
        <f t="shared" si="29"/>
        <v>8.5334465683361369</v>
      </c>
      <c r="J120" s="303">
        <f t="shared" si="29"/>
        <v>5.4731760748638685</v>
      </c>
      <c r="K120" s="303">
        <f t="shared" si="29"/>
        <v>5.4731760748638685</v>
      </c>
      <c r="L120" s="303">
        <f t="shared" si="29"/>
        <v>11.770271128739498</v>
      </c>
      <c r="M120" s="303">
        <f t="shared" si="29"/>
        <v>18.395952918292437</v>
      </c>
      <c r="N120" s="303">
        <f t="shared" si="29"/>
        <v>26.188853261445381</v>
      </c>
      <c r="O120" s="303">
        <f t="shared" si="29"/>
        <v>30.710599086736138</v>
      </c>
      <c r="P120" s="341">
        <f>SUM(D120:O120)</f>
        <v>226.93007362301847</v>
      </c>
      <c r="Q120" s="304" t="s">
        <v>359</v>
      </c>
      <c r="S120" s="1690">
        <f t="shared" si="22"/>
        <v>63.036131561949574</v>
      </c>
      <c r="T120" s="270" t="s">
        <v>1658</v>
      </c>
    </row>
    <row r="121" spans="2:20">
      <c r="B121" s="288" t="s">
        <v>396</v>
      </c>
      <c r="D121" s="316"/>
      <c r="E121" s="316" t="s">
        <v>193</v>
      </c>
      <c r="F121" s="316"/>
      <c r="G121" s="316"/>
      <c r="H121" s="316"/>
      <c r="I121" s="316"/>
      <c r="J121" s="316"/>
      <c r="K121" s="316"/>
      <c r="L121" s="316"/>
      <c r="M121" s="316"/>
      <c r="N121" s="316"/>
      <c r="O121" s="329"/>
      <c r="P121" s="341"/>
      <c r="Q121" s="304"/>
      <c r="S121" s="1689"/>
    </row>
    <row r="122" spans="2:20">
      <c r="B122" s="284" t="s">
        <v>397</v>
      </c>
      <c r="D122" s="362">
        <f>QE*fE*D$69/365</f>
        <v>7.3748872602739741</v>
      </c>
      <c r="E122" s="303">
        <f t="shared" ref="E122:M122" si="30">QE*fE*E$69/365</f>
        <v>6.6611884931506857</v>
      </c>
      <c r="F122" s="303">
        <f t="shared" si="30"/>
        <v>7.3748872602739741</v>
      </c>
      <c r="G122" s="303">
        <f t="shared" si="30"/>
        <v>7.1369876712328768</v>
      </c>
      <c r="H122" s="303">
        <f t="shared" si="30"/>
        <v>7.3748872602739741</v>
      </c>
      <c r="I122" s="303">
        <f t="shared" si="30"/>
        <v>7.1369876712328768</v>
      </c>
      <c r="J122" s="303">
        <f t="shared" si="30"/>
        <v>7.3748872602739741</v>
      </c>
      <c r="K122" s="303">
        <f t="shared" si="30"/>
        <v>7.3748872602739741</v>
      </c>
      <c r="L122" s="303">
        <f t="shared" si="30"/>
        <v>7.1369876712328768</v>
      </c>
      <c r="M122" s="303">
        <f t="shared" si="30"/>
        <v>7.3748872602739741</v>
      </c>
      <c r="N122" s="303">
        <f>QE*fE*N$69/365</f>
        <v>7.1369876712328768</v>
      </c>
      <c r="O122" s="303">
        <f>QE*fE*O$69/365</f>
        <v>7.3748872602739741</v>
      </c>
      <c r="P122" s="341">
        <f>SUM(D115:O115)</f>
        <v>0</v>
      </c>
      <c r="Q122" s="304" t="s">
        <v>359</v>
      </c>
      <c r="S122" s="1689">
        <f t="shared" si="22"/>
        <v>0</v>
      </c>
      <c r="T122" s="270" t="s">
        <v>1658</v>
      </c>
    </row>
    <row r="123" spans="2:20">
      <c r="B123" s="284" t="s">
        <v>399</v>
      </c>
      <c r="D123" s="303">
        <f>$D$40*D$69/365</f>
        <v>2.9998080000000007</v>
      </c>
      <c r="E123" s="303">
        <f t="shared" ref="E123:O123" si="31">$D$40*E$69/365</f>
        <v>2.7095040000000008</v>
      </c>
      <c r="F123" s="303">
        <f t="shared" si="31"/>
        <v>2.9998080000000007</v>
      </c>
      <c r="G123" s="303">
        <f t="shared" si="31"/>
        <v>2.9030400000000007</v>
      </c>
      <c r="H123" s="303">
        <f t="shared" si="31"/>
        <v>2.9998080000000007</v>
      </c>
      <c r="I123" s="303">
        <f t="shared" si="31"/>
        <v>2.9030400000000007</v>
      </c>
      <c r="J123" s="303">
        <f t="shared" si="31"/>
        <v>2.9998080000000007</v>
      </c>
      <c r="K123" s="303">
        <f t="shared" si="31"/>
        <v>2.9998080000000007</v>
      </c>
      <c r="L123" s="303">
        <f t="shared" si="31"/>
        <v>2.9030400000000007</v>
      </c>
      <c r="M123" s="303">
        <f t="shared" si="31"/>
        <v>2.9998080000000007</v>
      </c>
      <c r="N123" s="303">
        <f t="shared" si="31"/>
        <v>2.9030400000000007</v>
      </c>
      <c r="O123" s="303">
        <f t="shared" si="31"/>
        <v>2.9998080000000007</v>
      </c>
      <c r="P123" s="341">
        <f>SUM(D123:O123)</f>
        <v>35.320320000000009</v>
      </c>
      <c r="Q123" s="304" t="s">
        <v>359</v>
      </c>
      <c r="S123" s="1689">
        <f t="shared" si="22"/>
        <v>9.811200000000003</v>
      </c>
      <c r="T123" s="270" t="s">
        <v>1658</v>
      </c>
    </row>
    <row r="124" spans="2:20">
      <c r="B124" s="284" t="s">
        <v>400</v>
      </c>
      <c r="D124" s="303">
        <f>D123+D122</f>
        <v>10.374695260273974</v>
      </c>
      <c r="E124" s="303">
        <f t="shared" ref="E124:O124" si="32">E123+E122</f>
        <v>9.3706924931506865</v>
      </c>
      <c r="F124" s="303">
        <f t="shared" si="32"/>
        <v>10.374695260273974</v>
      </c>
      <c r="G124" s="303">
        <f t="shared" si="32"/>
        <v>10.040027671232878</v>
      </c>
      <c r="H124" s="303">
        <f t="shared" si="32"/>
        <v>10.374695260273974</v>
      </c>
      <c r="I124" s="303">
        <f t="shared" si="32"/>
        <v>10.040027671232878</v>
      </c>
      <c r="J124" s="303">
        <f t="shared" si="32"/>
        <v>10.374695260273974</v>
      </c>
      <c r="K124" s="303">
        <f t="shared" si="32"/>
        <v>10.374695260273974</v>
      </c>
      <c r="L124" s="303">
        <f t="shared" si="32"/>
        <v>10.040027671232878</v>
      </c>
      <c r="M124" s="303">
        <f t="shared" si="32"/>
        <v>10.374695260273974</v>
      </c>
      <c r="N124" s="303">
        <f t="shared" si="32"/>
        <v>10.040027671232878</v>
      </c>
      <c r="O124" s="303">
        <f t="shared" si="32"/>
        <v>10.374695260273974</v>
      </c>
      <c r="P124" s="341">
        <f>SUM(D124:O124)</f>
        <v>122.15367000000001</v>
      </c>
      <c r="Q124" s="304" t="s">
        <v>359</v>
      </c>
      <c r="S124" s="1689">
        <f t="shared" si="22"/>
        <v>33.931575000000002</v>
      </c>
      <c r="T124" s="270" t="s">
        <v>1658</v>
      </c>
    </row>
    <row r="125" spans="2:20">
      <c r="B125" s="288" t="s">
        <v>401</v>
      </c>
      <c r="D125" s="362">
        <f>IF(EBF&gt;0,($D$19*D$72*$F$19+$D$18*D$73*$F$18+$D$20*D$74*$F$20+$D$17*D$75*$F$17+$D$21*D$71*$F$21)*0.9*$D$29*FF/EBF,0)</f>
        <v>6.3529411764705888</v>
      </c>
      <c r="E125" s="303">
        <f t="shared" ref="E125:O125" si="33">IF(EBF&gt;0,($D$19*E$72*$F$19+$D$18*E$73*$F$18+$D$20*E$74*$F$20+$D$17*E$75*$F$17+$D$21*E$71*$F$21)*0.9*$D$29*FF/EBF,0)</f>
        <v>9.7676470588235311</v>
      </c>
      <c r="F125" s="303">
        <f t="shared" si="33"/>
        <v>15.723529411764707</v>
      </c>
      <c r="G125" s="303">
        <f t="shared" si="33"/>
        <v>18.344117647058823</v>
      </c>
      <c r="H125" s="303">
        <f t="shared" si="33"/>
        <v>22.791176470588237</v>
      </c>
      <c r="I125" s="303">
        <f t="shared" si="33"/>
        <v>24.061764705882357</v>
      </c>
      <c r="J125" s="303">
        <f t="shared" si="33"/>
        <v>25.967647058823538</v>
      </c>
      <c r="K125" s="303">
        <f t="shared" si="33"/>
        <v>23.426470588235297</v>
      </c>
      <c r="L125" s="303">
        <f t="shared" si="33"/>
        <v>17.311764705882354</v>
      </c>
      <c r="M125" s="303">
        <f t="shared" si="33"/>
        <v>11.276470588235295</v>
      </c>
      <c r="N125" s="303">
        <f t="shared" si="33"/>
        <v>5.9558823529411757</v>
      </c>
      <c r="O125" s="303">
        <f t="shared" si="33"/>
        <v>4.6852941176470591</v>
      </c>
      <c r="P125" s="341">
        <f>SUM(D125:O125)</f>
        <v>185.66470588235299</v>
      </c>
      <c r="Q125" s="304" t="s">
        <v>359</v>
      </c>
      <c r="S125" s="1689">
        <f t="shared" si="22"/>
        <v>51.573529411764717</v>
      </c>
      <c r="T125" s="270" t="s">
        <v>1658</v>
      </c>
    </row>
    <row r="126" spans="2:20">
      <c r="B126" s="284" t="s">
        <v>402</v>
      </c>
      <c r="D126" s="303">
        <f>D125+D124</f>
        <v>16.727636436744561</v>
      </c>
      <c r="E126" s="303">
        <f t="shared" ref="E126:O126" si="34">E125+E124</f>
        <v>19.138339551974219</v>
      </c>
      <c r="F126" s="303">
        <f t="shared" si="34"/>
        <v>26.098224672038683</v>
      </c>
      <c r="G126" s="303">
        <f t="shared" si="34"/>
        <v>28.384145318291701</v>
      </c>
      <c r="H126" s="303">
        <f t="shared" si="34"/>
        <v>33.165871730862207</v>
      </c>
      <c r="I126" s="303">
        <f t="shared" si="34"/>
        <v>34.101792377115231</v>
      </c>
      <c r="J126" s="303">
        <f t="shared" si="34"/>
        <v>36.342342319097511</v>
      </c>
      <c r="K126" s="303">
        <f t="shared" si="34"/>
        <v>33.801165848509271</v>
      </c>
      <c r="L126" s="303">
        <f t="shared" si="34"/>
        <v>27.351792377115231</v>
      </c>
      <c r="M126" s="303">
        <f t="shared" si="34"/>
        <v>21.651165848509269</v>
      </c>
      <c r="N126" s="303">
        <f t="shared" si="34"/>
        <v>15.995910024174053</v>
      </c>
      <c r="O126" s="303">
        <f t="shared" si="34"/>
        <v>15.059989377921033</v>
      </c>
      <c r="P126" s="341">
        <f>SUM(D126:O126)</f>
        <v>307.818375882353</v>
      </c>
      <c r="Q126" s="304" t="s">
        <v>359</v>
      </c>
      <c r="S126" s="1690">
        <f t="shared" si="22"/>
        <v>85.505104411764719</v>
      </c>
      <c r="T126" s="270" t="s">
        <v>1658</v>
      </c>
    </row>
    <row r="127" spans="2:20">
      <c r="B127" s="284" t="s">
        <v>411</v>
      </c>
      <c r="D127" s="303">
        <f t="shared" ref="D127:O127" si="35">IF(D120&gt;0,D126/D120,0)</f>
        <v>0.48908797310537916</v>
      </c>
      <c r="E127" s="303">
        <f t="shared" si="35"/>
        <v>0.68318894709659328</v>
      </c>
      <c r="F127" s="303">
        <f t="shared" si="35"/>
        <v>1.0403754661601337</v>
      </c>
      <c r="G127" s="303">
        <f t="shared" si="35"/>
        <v>1.4185362331047189</v>
      </c>
      <c r="H127" s="303">
        <f t="shared" si="35"/>
        <v>2.5366237037701653</v>
      </c>
      <c r="I127" s="303">
        <f t="shared" si="35"/>
        <v>3.996250765036951</v>
      </c>
      <c r="J127" s="303">
        <f t="shared" si="35"/>
        <v>6.640082800552225</v>
      </c>
      <c r="K127" s="303">
        <f t="shared" si="35"/>
        <v>6.1757863050934256</v>
      </c>
      <c r="L127" s="303">
        <f t="shared" si="35"/>
        <v>2.3238030864327581</v>
      </c>
      <c r="M127" s="303">
        <f t="shared" si="35"/>
        <v>1.1769526669629566</v>
      </c>
      <c r="N127" s="303">
        <f t="shared" si="35"/>
        <v>0.61079077668982396</v>
      </c>
      <c r="O127" s="303">
        <f t="shared" si="35"/>
        <v>0.49038409623293283</v>
      </c>
      <c r="P127" s="341" t="s">
        <v>56</v>
      </c>
      <c r="Q127" s="304"/>
      <c r="S127" s="1689"/>
    </row>
    <row r="128" spans="2:20">
      <c r="B128" s="288" t="s">
        <v>412</v>
      </c>
      <c r="D128" s="303">
        <f t="shared" ref="D128:O128" si="36">IF(D120&gt;0,CEBF*EBF*1000000/(($D$22*U_DAFbeheizt+$D$14*U_E3*bGW+E4beheizt*U_E4+BodenErdeF*U_Boden*bGF+$D$16*U_E5)*3600 + Vth*EBF*(1150-0.14*HueM)),0)</f>
        <v>228.31243693628369</v>
      </c>
      <c r="E128" s="303">
        <f t="shared" si="36"/>
        <v>228.31243693628369</v>
      </c>
      <c r="F128" s="303">
        <f t="shared" si="36"/>
        <v>228.31243693628369</v>
      </c>
      <c r="G128" s="303">
        <f t="shared" si="36"/>
        <v>228.31243693628369</v>
      </c>
      <c r="H128" s="303">
        <f t="shared" si="36"/>
        <v>228.31243693628369</v>
      </c>
      <c r="I128" s="303">
        <f t="shared" si="36"/>
        <v>228.31243693628369</v>
      </c>
      <c r="J128" s="303">
        <f t="shared" si="36"/>
        <v>228.31243693628369</v>
      </c>
      <c r="K128" s="303">
        <f t="shared" si="36"/>
        <v>228.31243693628369</v>
      </c>
      <c r="L128" s="303">
        <f t="shared" si="36"/>
        <v>228.31243693628369</v>
      </c>
      <c r="M128" s="303">
        <f t="shared" si="36"/>
        <v>228.31243693628369</v>
      </c>
      <c r="N128" s="303">
        <f t="shared" si="36"/>
        <v>228.31243693628369</v>
      </c>
      <c r="O128" s="303">
        <f t="shared" si="36"/>
        <v>228.31243693628369</v>
      </c>
      <c r="P128" s="341"/>
      <c r="Q128" s="304"/>
      <c r="S128" s="1689"/>
    </row>
    <row r="129" spans="2:20">
      <c r="B129" s="284" t="s">
        <v>403</v>
      </c>
      <c r="D129" s="303">
        <f>a0+D128/tau0</f>
        <v>16.22082912908558</v>
      </c>
      <c r="E129" s="303">
        <f>a0+E128/tau0</f>
        <v>16.22082912908558</v>
      </c>
      <c r="F129" s="303">
        <f>a0+F128/tau0</f>
        <v>16.22082912908558</v>
      </c>
      <c r="G129" s="303">
        <f>a0+G128/tau0</f>
        <v>16.22082912908558</v>
      </c>
      <c r="H129" s="303">
        <f t="shared" ref="H129:O129" si="37">a0+H128/tau0</f>
        <v>16.22082912908558</v>
      </c>
      <c r="I129" s="303">
        <f t="shared" si="37"/>
        <v>16.22082912908558</v>
      </c>
      <c r="J129" s="303">
        <f t="shared" si="37"/>
        <v>16.22082912908558</v>
      </c>
      <c r="K129" s="303">
        <f t="shared" si="37"/>
        <v>16.22082912908558</v>
      </c>
      <c r="L129" s="303">
        <f t="shared" si="37"/>
        <v>16.22082912908558</v>
      </c>
      <c r="M129" s="303">
        <f t="shared" si="37"/>
        <v>16.22082912908558</v>
      </c>
      <c r="N129" s="303">
        <f t="shared" si="37"/>
        <v>16.22082912908558</v>
      </c>
      <c r="O129" s="303">
        <f t="shared" si="37"/>
        <v>16.22082912908558</v>
      </c>
      <c r="P129" s="341"/>
      <c r="Q129" s="304"/>
      <c r="S129" s="1689"/>
    </row>
    <row r="130" spans="2:20">
      <c r="B130" s="284" t="s">
        <v>413</v>
      </c>
      <c r="D130" s="317">
        <f t="shared" ref="D130:O130" si="38">IF(D127=1,D129/(D129+1),IF(D120&lt;=0,0,(1-D127^D129)/(1-D127^(D129+1))))</f>
        <v>0.99999532321501394</v>
      </c>
      <c r="E130" s="317">
        <f t="shared" si="38"/>
        <v>0.99934305313418559</v>
      </c>
      <c r="F130" s="317">
        <f t="shared" si="38"/>
        <v>0.92147319780871162</v>
      </c>
      <c r="G130" s="317">
        <f t="shared" si="38"/>
        <v>0.70423402272396185</v>
      </c>
      <c r="H130" s="317">
        <f t="shared" si="38"/>
        <v>0.39422474474839553</v>
      </c>
      <c r="I130" s="317">
        <f t="shared" si="38"/>
        <v>0.25023454699551434</v>
      </c>
      <c r="J130" s="317">
        <f t="shared" si="38"/>
        <v>0.15060053165553786</v>
      </c>
      <c r="K130" s="317">
        <f t="shared" si="38"/>
        <v>0.16192270111016185</v>
      </c>
      <c r="L130" s="317">
        <f t="shared" si="38"/>
        <v>0.43032877951390752</v>
      </c>
      <c r="M130" s="317">
        <f t="shared" si="38"/>
        <v>0.83997676339554261</v>
      </c>
      <c r="N130" s="317">
        <f t="shared" si="38"/>
        <v>0.99986900016692926</v>
      </c>
      <c r="O130" s="317">
        <f t="shared" si="38"/>
        <v>0.99999513045416721</v>
      </c>
      <c r="P130" s="344">
        <f>IF(P126&gt;0,P131/P126,0)</f>
        <v>0.56350208481382924</v>
      </c>
      <c r="Q130" s="304"/>
      <c r="S130" s="1689">
        <f t="shared" si="22"/>
        <v>0.15652835689273034</v>
      </c>
      <c r="T130" s="270" t="s">
        <v>1658</v>
      </c>
    </row>
    <row r="131" spans="2:20">
      <c r="B131" s="302" t="s">
        <v>323</v>
      </c>
      <c r="D131" s="303">
        <f>D126*D130</f>
        <v>16.72755820518562</v>
      </c>
      <c r="E131" s="303">
        <f t="shared" ref="E131:O131" si="39">E126*E130</f>
        <v>19.125766679788658</v>
      </c>
      <c r="F131" s="303">
        <f t="shared" si="39"/>
        <v>24.0488145456737</v>
      </c>
      <c r="G131" s="303">
        <f t="shared" si="39"/>
        <v>19.989080839082074</v>
      </c>
      <c r="H131" s="303">
        <f t="shared" si="39"/>
        <v>13.07480731745718</v>
      </c>
      <c r="I131" s="303">
        <f t="shared" si="39"/>
        <v>8.5334465672225139</v>
      </c>
      <c r="J131" s="303">
        <f t="shared" si="39"/>
        <v>5.4731760748636376</v>
      </c>
      <c r="K131" s="303">
        <f t="shared" si="39"/>
        <v>5.4731760748631775</v>
      </c>
      <c r="L131" s="303">
        <f t="shared" si="39"/>
        <v>11.770263431161796</v>
      </c>
      <c r="M131" s="303">
        <f t="shared" si="39"/>
        <v>18.186476213170923</v>
      </c>
      <c r="N131" s="303">
        <f t="shared" si="39"/>
        <v>15.993814562631071</v>
      </c>
      <c r="O131" s="303">
        <f t="shared" si="39"/>
        <v>15.059916042612516</v>
      </c>
      <c r="P131" s="296">
        <f>SUM(D131:O131)</f>
        <v>173.45629655371286</v>
      </c>
      <c r="Q131" s="304" t="s">
        <v>359</v>
      </c>
      <c r="S131" s="1689">
        <f t="shared" si="22"/>
        <v>48.182304598253573</v>
      </c>
      <c r="T131" s="270" t="s">
        <v>1658</v>
      </c>
    </row>
    <row r="132" spans="2:20" ht="12.9" thickBot="1">
      <c r="B132" s="291" t="s">
        <v>404</v>
      </c>
      <c r="C132" s="335"/>
      <c r="D132" s="345"/>
      <c r="E132" s="345"/>
      <c r="F132" s="345"/>
      <c r="G132" s="345"/>
      <c r="H132" s="345"/>
      <c r="I132" s="345"/>
      <c r="J132" s="345"/>
      <c r="K132" s="345"/>
      <c r="L132" s="345"/>
      <c r="M132" s="345"/>
      <c r="N132" s="345"/>
      <c r="O132" s="346"/>
      <c r="P132" s="347"/>
      <c r="Q132" s="339"/>
      <c r="S132" s="1689"/>
    </row>
    <row r="133" spans="2:20" ht="12.9" thickBot="1">
      <c r="B133" s="305" t="s">
        <v>409</v>
      </c>
      <c r="C133" s="348"/>
      <c r="D133" s="349">
        <f>D120-D131</f>
        <v>17.474134243997579</v>
      </c>
      <c r="E133" s="349">
        <f t="shared" ref="E133:O133" si="40">E120-E131</f>
        <v>8.8874786066113423</v>
      </c>
      <c r="F133" s="349">
        <f t="shared" si="40"/>
        <v>1.0365757974523504</v>
      </c>
      <c r="G133" s="349">
        <f t="shared" si="40"/>
        <v>2.0380079775069504E-2</v>
      </c>
      <c r="H133" s="349">
        <f t="shared" si="40"/>
        <v>2.1947176112036004E-6</v>
      </c>
      <c r="I133" s="349">
        <f t="shared" si="40"/>
        <v>1.1136229716157686E-9</v>
      </c>
      <c r="J133" s="349">
        <f t="shared" si="40"/>
        <v>2.3092638912203256E-13</v>
      </c>
      <c r="K133" s="349">
        <f t="shared" si="40"/>
        <v>6.9100281052669743E-13</v>
      </c>
      <c r="L133" s="349">
        <f t="shared" si="40"/>
        <v>7.6975777023591263E-6</v>
      </c>
      <c r="M133" s="349">
        <f t="shared" si="40"/>
        <v>0.20947670512151362</v>
      </c>
      <c r="N133" s="349">
        <f t="shared" si="40"/>
        <v>10.19503869881431</v>
      </c>
      <c r="O133" s="349">
        <f t="shared" si="40"/>
        <v>15.650683044123623</v>
      </c>
      <c r="P133" s="373">
        <f>SUM(D133:O133)</f>
        <v>53.473777069305648</v>
      </c>
      <c r="Q133" s="351" t="s">
        <v>359</v>
      </c>
      <c r="S133" s="1689">
        <f t="shared" si="22"/>
        <v>14.853826963696013</v>
      </c>
      <c r="T133" s="270" t="s">
        <v>1658</v>
      </c>
    </row>
    <row r="134" spans="2:20">
      <c r="P134" s="1291">
        <f>P133/3.6</f>
        <v>14.853826963696013</v>
      </c>
      <c r="Q134" s="270" t="s">
        <v>1658</v>
      </c>
      <c r="S134" s="1689"/>
    </row>
    <row r="135" spans="2:20">
      <c r="P135" s="1291"/>
      <c r="S135" s="1689"/>
    </row>
    <row r="136" spans="2:20">
      <c r="P136" s="1291"/>
      <c r="S136" s="1689"/>
    </row>
    <row r="137" spans="2:20">
      <c r="B137" s="1103"/>
      <c r="C137" s="1103"/>
      <c r="D137" s="1124"/>
      <c r="E137" s="1124"/>
      <c r="F137" s="1124"/>
      <c r="G137" s="1124"/>
      <c r="H137" s="1124"/>
      <c r="I137" s="1124"/>
      <c r="J137" s="1124"/>
      <c r="K137" s="1124"/>
      <c r="L137" s="1124"/>
      <c r="M137" s="1124"/>
      <c r="N137" s="1124"/>
      <c r="O137" s="1124"/>
      <c r="P137" s="1125"/>
      <c r="S137" s="1689"/>
    </row>
    <row r="138" spans="2:20" ht="12.9" thickBot="1"/>
    <row r="139" spans="2:20" ht="12.9" thickBot="1">
      <c r="B139" s="280" t="s">
        <v>405</v>
      </c>
      <c r="C139" s="372" t="s">
        <v>50</v>
      </c>
      <c r="D139" s="281" t="s">
        <v>359</v>
      </c>
      <c r="E139" s="325"/>
      <c r="F139" s="325"/>
      <c r="G139" s="325"/>
      <c r="H139" s="325"/>
      <c r="I139" s="325"/>
      <c r="J139" s="325"/>
      <c r="K139" s="325"/>
      <c r="L139" s="325"/>
      <c r="M139" s="325"/>
      <c r="N139" s="325"/>
      <c r="O139" s="325"/>
      <c r="P139" s="325"/>
      <c r="Q139" s="328"/>
    </row>
    <row r="140" spans="2:20">
      <c r="B140" s="294" t="s">
        <v>371</v>
      </c>
      <c r="C140" s="340"/>
      <c r="D140" s="340"/>
      <c r="E140" s="340"/>
      <c r="F140" s="340"/>
      <c r="G140" s="340"/>
      <c r="H140" s="340"/>
      <c r="I140" s="340"/>
      <c r="J140" s="340"/>
      <c r="K140" s="340"/>
      <c r="L140" s="340"/>
      <c r="M140" s="340"/>
      <c r="N140" s="340"/>
      <c r="O140" s="331"/>
      <c r="P140" s="330"/>
      <c r="Q140" s="331"/>
    </row>
    <row r="141" spans="2:20">
      <c r="B141" s="284" t="s">
        <v>373</v>
      </c>
      <c r="D141" s="303">
        <f>IF(EBF&gt;0,(Thetai-D$70)*D$69*$D$22*U_DAFbeheizt*0.0864/EBF,0)</f>
        <v>0</v>
      </c>
      <c r="E141" s="303">
        <f t="shared" ref="E141:O141" si="41">IF(EBF&gt;0,(Thetai-E$70)*E$69*$D$22*U_DAFbeheizt*0.0864/EBF,0)</f>
        <v>0</v>
      </c>
      <c r="F141" s="303">
        <f t="shared" si="41"/>
        <v>0</v>
      </c>
      <c r="G141" s="303">
        <f t="shared" si="41"/>
        <v>0</v>
      </c>
      <c r="H141" s="303">
        <f t="shared" si="41"/>
        <v>0</v>
      </c>
      <c r="I141" s="303">
        <f t="shared" si="41"/>
        <v>0</v>
      </c>
      <c r="J141" s="303">
        <f t="shared" si="41"/>
        <v>0</v>
      </c>
      <c r="K141" s="303">
        <f t="shared" si="41"/>
        <v>0</v>
      </c>
      <c r="L141" s="303">
        <f t="shared" si="41"/>
        <v>0</v>
      </c>
      <c r="M141" s="303">
        <f t="shared" si="41"/>
        <v>0</v>
      </c>
      <c r="N141" s="303">
        <f t="shared" si="41"/>
        <v>0</v>
      </c>
      <c r="O141" s="303">
        <f t="shared" si="41"/>
        <v>0</v>
      </c>
      <c r="P141" s="341">
        <f t="shared" ref="P141:P146" si="42">SUM(D141:O141)</f>
        <v>0</v>
      </c>
      <c r="Q141" s="304" t="s">
        <v>359</v>
      </c>
    </row>
    <row r="142" spans="2:20">
      <c r="B142" s="284" t="s">
        <v>375</v>
      </c>
      <c r="D142" s="303">
        <v>0</v>
      </c>
      <c r="E142" s="303">
        <v>0</v>
      </c>
      <c r="F142" s="303">
        <v>0</v>
      </c>
      <c r="G142" s="303">
        <v>0</v>
      </c>
      <c r="H142" s="303">
        <v>0</v>
      </c>
      <c r="I142" s="303">
        <v>0</v>
      </c>
      <c r="J142" s="303">
        <v>0</v>
      </c>
      <c r="K142" s="303">
        <v>0</v>
      </c>
      <c r="L142" s="303">
        <v>0</v>
      </c>
      <c r="M142" s="303">
        <v>0</v>
      </c>
      <c r="N142" s="303">
        <v>0</v>
      </c>
      <c r="O142" s="303">
        <v>0</v>
      </c>
      <c r="P142" s="341">
        <f t="shared" si="42"/>
        <v>0</v>
      </c>
      <c r="Q142" s="304" t="s">
        <v>359</v>
      </c>
    </row>
    <row r="143" spans="2:20">
      <c r="B143" s="284" t="s">
        <v>377</v>
      </c>
      <c r="D143" s="362">
        <f>IF(EBF&gt;0,(deltaThetahmax+Thetai-D$70)*D$69*E4beheizt*$F$15*0.0864/EBF,0)</f>
        <v>7.024497882352942</v>
      </c>
      <c r="E143" s="303">
        <f t="shared" ref="E143:O143" si="43">IF(EBF&gt;0,(deltaThetahmax+Thetai-E$70)*E$69*E4beheizt*$F$15*0.0864/EBF,0)</f>
        <v>6.028788705882353</v>
      </c>
      <c r="F143" s="303">
        <f t="shared" si="43"/>
        <v>5.5379858823529418</v>
      </c>
      <c r="G143" s="303">
        <f t="shared" si="43"/>
        <v>4.5413364705882362</v>
      </c>
      <c r="H143" s="303">
        <f t="shared" si="43"/>
        <v>3.2353496470588241</v>
      </c>
      <c r="I143" s="303">
        <f t="shared" si="43"/>
        <v>2.3411858823529412</v>
      </c>
      <c r="J143" s="303">
        <f t="shared" si="43"/>
        <v>1.7779849411764714</v>
      </c>
      <c r="K143" s="303">
        <f t="shared" si="43"/>
        <v>1.7779849411764714</v>
      </c>
      <c r="L143" s="303">
        <f t="shared" si="43"/>
        <v>2.9617411764705883</v>
      </c>
      <c r="M143" s="303">
        <f t="shared" si="43"/>
        <v>4.2555049411764703</v>
      </c>
      <c r="N143" s="303">
        <f t="shared" si="43"/>
        <v>5.7260329411764719</v>
      </c>
      <c r="O143" s="303">
        <f t="shared" si="43"/>
        <v>6.6164357647058818</v>
      </c>
      <c r="P143" s="341">
        <f t="shared" si="42"/>
        <v>51.824829176470594</v>
      </c>
      <c r="Q143" s="304" t="s">
        <v>359</v>
      </c>
    </row>
    <row r="144" spans="2:20">
      <c r="B144" s="284" t="s">
        <v>406</v>
      </c>
      <c r="D144" s="303">
        <f t="shared" ref="D144:M144" si="44">IF(EBF&gt;0,(Thetai+deltaThetahmax-D$70)*D$69*BodenErdeF*U_Boden*bGF*0.0864/EBF,0)</f>
        <v>0</v>
      </c>
      <c r="E144" s="303">
        <f t="shared" si="44"/>
        <v>0</v>
      </c>
      <c r="F144" s="303">
        <f t="shared" si="44"/>
        <v>0</v>
      </c>
      <c r="G144" s="303">
        <f t="shared" si="44"/>
        <v>0</v>
      </c>
      <c r="H144" s="303">
        <f t="shared" si="44"/>
        <v>0</v>
      </c>
      <c r="I144" s="303">
        <f t="shared" si="44"/>
        <v>0</v>
      </c>
      <c r="J144" s="303">
        <f t="shared" si="44"/>
        <v>0</v>
      </c>
      <c r="K144" s="303">
        <f t="shared" si="44"/>
        <v>0</v>
      </c>
      <c r="L144" s="303">
        <f t="shared" si="44"/>
        <v>0</v>
      </c>
      <c r="M144" s="303">
        <f t="shared" si="44"/>
        <v>0</v>
      </c>
      <c r="N144" s="303">
        <f>IF(EBF&gt;0,(Thetai+deltaThetahmax-N$70)*N$69*BodenErdeF*U_Boden*bGF*0.0864/EBF,0)</f>
        <v>0</v>
      </c>
      <c r="O144" s="303">
        <f>IF(EBF&gt;0,(Thetai+deltaThetahmax-O$70)*O$69*BodenErdeF*U_Boden*bGF*0.0864/EBF,0)</f>
        <v>0</v>
      </c>
      <c r="P144" s="341">
        <f t="shared" si="42"/>
        <v>0</v>
      </c>
      <c r="Q144" s="304" t="s">
        <v>359</v>
      </c>
    </row>
    <row r="145" spans="2:17">
      <c r="B145" s="285" t="s">
        <v>407</v>
      </c>
      <c r="D145" s="303">
        <f t="shared" ref="D145:O145" si="45">(IF(EBF&gt;0,(Thetai+deltaThetahmax-D$70)*D$69*BodenErdeF*U_gedaemmteDecken*0.0864/EBF,0))*0</f>
        <v>0</v>
      </c>
      <c r="E145" s="303">
        <f t="shared" si="45"/>
        <v>0</v>
      </c>
      <c r="F145" s="303">
        <f t="shared" si="45"/>
        <v>0</v>
      </c>
      <c r="G145" s="303">
        <f t="shared" si="45"/>
        <v>0</v>
      </c>
      <c r="H145" s="303">
        <f t="shared" si="45"/>
        <v>0</v>
      </c>
      <c r="I145" s="303">
        <f t="shared" si="45"/>
        <v>0</v>
      </c>
      <c r="J145" s="303">
        <f t="shared" si="45"/>
        <v>0</v>
      </c>
      <c r="K145" s="303">
        <f t="shared" si="45"/>
        <v>0</v>
      </c>
      <c r="L145" s="303">
        <f t="shared" si="45"/>
        <v>0</v>
      </c>
      <c r="M145" s="303">
        <f t="shared" si="45"/>
        <v>0</v>
      </c>
      <c r="N145" s="303">
        <f t="shared" si="45"/>
        <v>0</v>
      </c>
      <c r="O145" s="303">
        <f t="shared" si="45"/>
        <v>0</v>
      </c>
      <c r="P145" s="341">
        <f t="shared" si="42"/>
        <v>0</v>
      </c>
      <c r="Q145" s="304" t="s">
        <v>359</v>
      </c>
    </row>
    <row r="146" spans="2:17">
      <c r="B146" s="284" t="s">
        <v>391</v>
      </c>
      <c r="D146" s="362">
        <f>IF(EBF&gt;0,(Thetai-D$70)*D$69*$D$16*$F$16*0.0864/EBF,0)</f>
        <v>10.89005929411765</v>
      </c>
      <c r="E146" s="303">
        <f t="shared" ref="E146:O146" si="46">IF(EBF&gt;0,(Thetai-E$70)*E$69*$D$16*$F$16*0.0864/EBF,0)</f>
        <v>9.2897280000000002</v>
      </c>
      <c r="F146" s="303">
        <f t="shared" si="46"/>
        <v>8.3187952941176473</v>
      </c>
      <c r="G146" s="303">
        <f t="shared" si="46"/>
        <v>6.6355199999999996</v>
      </c>
      <c r="H146" s="303">
        <f t="shared" si="46"/>
        <v>4.3358569411764707</v>
      </c>
      <c r="I146" s="303">
        <f t="shared" si="46"/>
        <v>2.8298541176470597</v>
      </c>
      <c r="J146" s="303">
        <f t="shared" si="46"/>
        <v>1.8150098823529426</v>
      </c>
      <c r="K146" s="303">
        <f t="shared" si="46"/>
        <v>1.8150098823529426</v>
      </c>
      <c r="L146" s="303">
        <f t="shared" si="46"/>
        <v>3.90324705882353</v>
      </c>
      <c r="M146" s="303">
        <f t="shared" si="46"/>
        <v>6.1004498823529412</v>
      </c>
      <c r="N146" s="303">
        <f t="shared" si="46"/>
        <v>8.6847247058823545</v>
      </c>
      <c r="O146" s="303">
        <f t="shared" si="46"/>
        <v>10.18422211764706</v>
      </c>
      <c r="P146" s="341">
        <f t="shared" si="42"/>
        <v>74.802477176470603</v>
      </c>
      <c r="Q146" s="304" t="s">
        <v>359</v>
      </c>
    </row>
    <row r="147" spans="2:17">
      <c r="B147" s="286" t="s">
        <v>408</v>
      </c>
      <c r="D147" s="303">
        <f>1*D$69*(Thetai-D$70)*BodenUnb*E95*$D$56*0.0864/EBF</f>
        <v>0</v>
      </c>
      <c r="E147" s="303">
        <f t="shared" ref="E147:O147" si="47">1*E$69*(Thetai-E$70)*BodenUnb*U_Boden*$D$56*0.0864/EBF</f>
        <v>0</v>
      </c>
      <c r="F147" s="303">
        <f t="shared" si="47"/>
        <v>0</v>
      </c>
      <c r="G147" s="303">
        <f t="shared" si="47"/>
        <v>0</v>
      </c>
      <c r="H147" s="303">
        <f t="shared" si="47"/>
        <v>0</v>
      </c>
      <c r="I147" s="303">
        <f t="shared" si="47"/>
        <v>0</v>
      </c>
      <c r="J147" s="303">
        <f t="shared" si="47"/>
        <v>0</v>
      </c>
      <c r="K147" s="303">
        <f t="shared" si="47"/>
        <v>0</v>
      </c>
      <c r="L147" s="303">
        <f t="shared" si="47"/>
        <v>0</v>
      </c>
      <c r="M147" s="303">
        <f t="shared" si="47"/>
        <v>0</v>
      </c>
      <c r="N147" s="303">
        <f t="shared" si="47"/>
        <v>0</v>
      </c>
      <c r="O147" s="303">
        <f t="shared" si="47"/>
        <v>0</v>
      </c>
      <c r="P147" s="341">
        <f>SUM(D147:O147)</f>
        <v>0</v>
      </c>
      <c r="Q147" s="304" t="s">
        <v>359</v>
      </c>
    </row>
    <row r="148" spans="2:17">
      <c r="B148" s="295" t="s">
        <v>316</v>
      </c>
      <c r="D148" s="303">
        <f>SUM(D141:D147)*(1+WBZuschlag)</f>
        <v>19.706012894117652</v>
      </c>
      <c r="E148" s="303">
        <f t="shared" ref="E148:O148" si="48">SUM(E141:E147)*(1+WBZuschlag)</f>
        <v>16.850368376470588</v>
      </c>
      <c r="F148" s="303">
        <f t="shared" si="48"/>
        <v>15.24245929411765</v>
      </c>
      <c r="G148" s="303">
        <f t="shared" si="48"/>
        <v>12.29454211764706</v>
      </c>
      <c r="H148" s="303">
        <f t="shared" si="48"/>
        <v>8.3283272470588248</v>
      </c>
      <c r="I148" s="303">
        <f t="shared" si="48"/>
        <v>5.6881440000000021</v>
      </c>
      <c r="J148" s="303">
        <f t="shared" si="48"/>
        <v>3.9522943058823556</v>
      </c>
      <c r="K148" s="303">
        <f t="shared" si="48"/>
        <v>3.9522943058823556</v>
      </c>
      <c r="L148" s="303">
        <f t="shared" si="48"/>
        <v>7.5514870588235308</v>
      </c>
      <c r="M148" s="303">
        <f t="shared" si="48"/>
        <v>11.391550305882355</v>
      </c>
      <c r="N148" s="303">
        <f t="shared" si="48"/>
        <v>15.85183341176471</v>
      </c>
      <c r="O148" s="303">
        <f t="shared" si="48"/>
        <v>18.48072367058824</v>
      </c>
      <c r="P148" s="296">
        <f>SUM(D148:O148)</f>
        <v>139.29003698823536</v>
      </c>
      <c r="Q148" s="304" t="s">
        <v>359</v>
      </c>
    </row>
    <row r="149" spans="2:17">
      <c r="B149" s="288" t="s">
        <v>393</v>
      </c>
      <c r="C149" s="297"/>
      <c r="D149" s="298"/>
      <c r="E149" s="298"/>
      <c r="F149" s="298"/>
      <c r="G149" s="298"/>
      <c r="H149" s="298"/>
      <c r="I149" s="298"/>
      <c r="J149" s="298"/>
      <c r="K149" s="298"/>
      <c r="L149" s="298"/>
      <c r="M149" s="298"/>
      <c r="N149" s="298"/>
      <c r="O149" s="299"/>
      <c r="P149" s="300"/>
      <c r="Q149" s="301"/>
    </row>
    <row r="150" spans="2:17">
      <c r="B150" s="302" t="s">
        <v>320</v>
      </c>
      <c r="C150" s="297"/>
      <c r="D150" s="362">
        <f>IF(D148=0,0,(Thetai-D$70)*$F$26*D$69*(1150-0.14*HueM)*0.000024)</f>
        <v>5.1003812741636008</v>
      </c>
      <c r="E150" s="303">
        <f t="shared" ref="E150:O150" si="49">IF(E148=0,0,(Thetai-E$70)*$F$26*E$69*(1150-0.14*HueM)*0.000024)</f>
        <v>4.350862879035617</v>
      </c>
      <c r="F150" s="303">
        <f t="shared" si="49"/>
        <v>3.8961245844305288</v>
      </c>
      <c r="G150" s="303">
        <f t="shared" si="49"/>
        <v>3.1077591993111553</v>
      </c>
      <c r="H150" s="303">
        <f t="shared" si="49"/>
        <v>2.0307073591577303</v>
      </c>
      <c r="I150" s="303">
        <f t="shared" si="49"/>
        <v>1.3253678938238749</v>
      </c>
      <c r="J150" s="303">
        <f t="shared" si="49"/>
        <v>0.85006354569393383</v>
      </c>
      <c r="K150" s="303">
        <f t="shared" si="49"/>
        <v>0.85006354569393383</v>
      </c>
      <c r="L150" s="303">
        <f t="shared" si="49"/>
        <v>1.8280936466536204</v>
      </c>
      <c r="M150" s="303">
        <f t="shared" si="49"/>
        <v>2.8571580285823877</v>
      </c>
      <c r="N150" s="303">
        <f t="shared" si="49"/>
        <v>4.0675083638043059</v>
      </c>
      <c r="O150" s="303">
        <f t="shared" si="49"/>
        <v>4.7698010063937382</v>
      </c>
      <c r="P150" s="296">
        <f>SUM(D150:O150)</f>
        <v>35.033891326744424</v>
      </c>
      <c r="Q150" s="304" t="s">
        <v>359</v>
      </c>
    </row>
    <row r="151" spans="2:17">
      <c r="B151" s="288" t="s">
        <v>394</v>
      </c>
      <c r="D151" s="316"/>
      <c r="E151" s="316"/>
      <c r="F151" s="316"/>
      <c r="G151" s="316"/>
      <c r="H151" s="316"/>
      <c r="I151" s="316"/>
      <c r="J151" s="316"/>
      <c r="K151" s="316"/>
      <c r="L151" s="316"/>
      <c r="M151" s="316"/>
      <c r="N151" s="316"/>
      <c r="O151" s="329"/>
      <c r="P151" s="341"/>
      <c r="Q151" s="304"/>
    </row>
    <row r="152" spans="2:17">
      <c r="B152" s="284" t="s">
        <v>395</v>
      </c>
      <c r="D152" s="303">
        <f t="shared" ref="D152:O152" si="50">D150+D148</f>
        <v>24.806394168281251</v>
      </c>
      <c r="E152" s="303">
        <f t="shared" si="50"/>
        <v>21.201231255506205</v>
      </c>
      <c r="F152" s="303">
        <f t="shared" si="50"/>
        <v>19.138583878548179</v>
      </c>
      <c r="G152" s="303">
        <f t="shared" si="50"/>
        <v>15.402301316958216</v>
      </c>
      <c r="H152" s="303">
        <f t="shared" si="50"/>
        <v>10.359034606216555</v>
      </c>
      <c r="I152" s="303">
        <f t="shared" si="50"/>
        <v>7.0135118938238765</v>
      </c>
      <c r="J152" s="303">
        <f t="shared" si="50"/>
        <v>4.8023578515762892</v>
      </c>
      <c r="K152" s="303">
        <f t="shared" si="50"/>
        <v>4.8023578515762892</v>
      </c>
      <c r="L152" s="303">
        <f t="shared" si="50"/>
        <v>9.3795807054771512</v>
      </c>
      <c r="M152" s="303">
        <f t="shared" si="50"/>
        <v>14.248708334464743</v>
      </c>
      <c r="N152" s="303">
        <f t="shared" si="50"/>
        <v>19.919341775569016</v>
      </c>
      <c r="O152" s="303">
        <f t="shared" si="50"/>
        <v>23.250524676981978</v>
      </c>
      <c r="P152" s="341">
        <f>SUM(D152:O152)</f>
        <v>174.32392831497975</v>
      </c>
      <c r="Q152" s="304" t="s">
        <v>359</v>
      </c>
    </row>
    <row r="153" spans="2:17">
      <c r="B153" s="288" t="s">
        <v>396</v>
      </c>
      <c r="D153" s="316"/>
      <c r="E153" s="316" t="s">
        <v>193</v>
      </c>
      <c r="F153" s="316"/>
      <c r="G153" s="316"/>
      <c r="H153" s="316"/>
      <c r="I153" s="316"/>
      <c r="J153" s="316"/>
      <c r="K153" s="316"/>
      <c r="L153" s="316"/>
      <c r="M153" s="316"/>
      <c r="N153" s="316"/>
      <c r="O153" s="329"/>
      <c r="P153" s="341"/>
      <c r="Q153" s="304"/>
    </row>
    <row r="154" spans="2:17">
      <c r="B154" s="284" t="s">
        <v>397</v>
      </c>
      <c r="D154" s="362">
        <f>$F$41*fE*D$69/365</f>
        <v>3.6396335616438353</v>
      </c>
      <c r="E154" s="303">
        <f t="shared" ref="E154:O154" si="51">$F$41*fE*E$69/365</f>
        <v>3.2874109589041094</v>
      </c>
      <c r="F154" s="303">
        <f t="shared" si="51"/>
        <v>3.6396335616438353</v>
      </c>
      <c r="G154" s="303">
        <f t="shared" si="51"/>
        <v>3.5222260273972603</v>
      </c>
      <c r="H154" s="303">
        <f t="shared" si="51"/>
        <v>3.6396335616438353</v>
      </c>
      <c r="I154" s="303">
        <f t="shared" si="51"/>
        <v>3.5222260273972603</v>
      </c>
      <c r="J154" s="303">
        <f t="shared" si="51"/>
        <v>3.6396335616438353</v>
      </c>
      <c r="K154" s="303">
        <f t="shared" si="51"/>
        <v>3.6396335616438353</v>
      </c>
      <c r="L154" s="303">
        <f t="shared" si="51"/>
        <v>3.5222260273972603</v>
      </c>
      <c r="M154" s="303">
        <f t="shared" si="51"/>
        <v>3.6396335616438353</v>
      </c>
      <c r="N154" s="303">
        <f t="shared" si="51"/>
        <v>3.5222260273972603</v>
      </c>
      <c r="O154" s="303">
        <f t="shared" si="51"/>
        <v>3.6396335616438353</v>
      </c>
      <c r="P154" s="341">
        <f>SUM(D154:O154)</f>
        <v>42.853749999999991</v>
      </c>
      <c r="Q154" s="304" t="s">
        <v>359</v>
      </c>
    </row>
    <row r="155" spans="2:17">
      <c r="B155" s="284" t="s">
        <v>399</v>
      </c>
      <c r="D155" s="303">
        <f>$D$40*D$69/365</f>
        <v>2.9998080000000007</v>
      </c>
      <c r="E155" s="303">
        <f t="shared" ref="E155:O155" si="52">$D$40*E$69/365</f>
        <v>2.7095040000000008</v>
      </c>
      <c r="F155" s="303">
        <f t="shared" si="52"/>
        <v>2.9998080000000007</v>
      </c>
      <c r="G155" s="303">
        <f t="shared" si="52"/>
        <v>2.9030400000000007</v>
      </c>
      <c r="H155" s="303">
        <f t="shared" si="52"/>
        <v>2.9998080000000007</v>
      </c>
      <c r="I155" s="303">
        <f t="shared" si="52"/>
        <v>2.9030400000000007</v>
      </c>
      <c r="J155" s="303">
        <f t="shared" si="52"/>
        <v>2.9998080000000007</v>
      </c>
      <c r="K155" s="303">
        <f t="shared" si="52"/>
        <v>2.9998080000000007</v>
      </c>
      <c r="L155" s="303">
        <f t="shared" si="52"/>
        <v>2.9030400000000007</v>
      </c>
      <c r="M155" s="303">
        <f t="shared" si="52"/>
        <v>2.9998080000000007</v>
      </c>
      <c r="N155" s="303">
        <f t="shared" si="52"/>
        <v>2.9030400000000007</v>
      </c>
      <c r="O155" s="303">
        <f t="shared" si="52"/>
        <v>2.9998080000000007</v>
      </c>
      <c r="P155" s="341">
        <f>SUM(D155:O155)</f>
        <v>35.320320000000009</v>
      </c>
      <c r="Q155" s="304" t="s">
        <v>359</v>
      </c>
    </row>
    <row r="156" spans="2:17">
      <c r="B156" s="284" t="s">
        <v>400</v>
      </c>
      <c r="D156" s="303">
        <f>D155+D154</f>
        <v>6.639441561643836</v>
      </c>
      <c r="E156" s="303">
        <f t="shared" ref="E156:O156" si="53">E155+E154</f>
        <v>5.9969149589041102</v>
      </c>
      <c r="F156" s="303">
        <f t="shared" si="53"/>
        <v>6.639441561643836</v>
      </c>
      <c r="G156" s="303">
        <f t="shared" si="53"/>
        <v>6.425266027397261</v>
      </c>
      <c r="H156" s="303">
        <f t="shared" si="53"/>
        <v>6.639441561643836</v>
      </c>
      <c r="I156" s="303">
        <f t="shared" si="53"/>
        <v>6.425266027397261</v>
      </c>
      <c r="J156" s="303">
        <f t="shared" si="53"/>
        <v>6.639441561643836</v>
      </c>
      <c r="K156" s="303">
        <f t="shared" si="53"/>
        <v>6.639441561643836</v>
      </c>
      <c r="L156" s="303">
        <f t="shared" si="53"/>
        <v>6.425266027397261</v>
      </c>
      <c r="M156" s="303">
        <f t="shared" si="53"/>
        <v>6.639441561643836</v>
      </c>
      <c r="N156" s="303">
        <f t="shared" si="53"/>
        <v>6.425266027397261</v>
      </c>
      <c r="O156" s="303">
        <f t="shared" si="53"/>
        <v>6.639441561643836</v>
      </c>
      <c r="P156" s="341">
        <f>SUM(D156:O156)</f>
        <v>78.17407</v>
      </c>
      <c r="Q156" s="304" t="s">
        <v>359</v>
      </c>
    </row>
    <row r="157" spans="2:17">
      <c r="B157" s="288" t="s">
        <v>401</v>
      </c>
      <c r="D157" s="362">
        <f t="shared" ref="D157:O157" si="54">IF(EBF&gt;0,($D$19*D$72*$F$19+$D$18*D$73*$F$18+$D$20*D$74*$F$20+$D$17*D$75*$F$17+$D$21*D$71*$F$21)*0.9*$F29*FF/EBF,0)</f>
        <v>6.3529411764705888</v>
      </c>
      <c r="E157" s="303">
        <f t="shared" si="54"/>
        <v>9.7676470588235311</v>
      </c>
      <c r="F157" s="303">
        <f t="shared" si="54"/>
        <v>15.723529411764707</v>
      </c>
      <c r="G157" s="303">
        <f t="shared" si="54"/>
        <v>18.344117647058823</v>
      </c>
      <c r="H157" s="303">
        <f t="shared" si="54"/>
        <v>22.791176470588237</v>
      </c>
      <c r="I157" s="303">
        <f t="shared" si="54"/>
        <v>24.061764705882357</v>
      </c>
      <c r="J157" s="303">
        <f t="shared" si="54"/>
        <v>25.967647058823538</v>
      </c>
      <c r="K157" s="303">
        <f t="shared" si="54"/>
        <v>23.426470588235297</v>
      </c>
      <c r="L157" s="303">
        <f t="shared" si="54"/>
        <v>17.311764705882354</v>
      </c>
      <c r="M157" s="303">
        <f t="shared" si="54"/>
        <v>11.276470588235295</v>
      </c>
      <c r="N157" s="303">
        <f t="shared" si="54"/>
        <v>5.9558823529411757</v>
      </c>
      <c r="O157" s="303">
        <f t="shared" si="54"/>
        <v>4.6852941176470591</v>
      </c>
      <c r="P157" s="341">
        <f>SUM(D157:O157)</f>
        <v>185.66470588235299</v>
      </c>
      <c r="Q157" s="304" t="s">
        <v>359</v>
      </c>
    </row>
    <row r="158" spans="2:17">
      <c r="B158" s="284" t="s">
        <v>402</v>
      </c>
      <c r="D158" s="303">
        <f t="shared" ref="D158:O158" si="55">D157+D156</f>
        <v>12.992382738114426</v>
      </c>
      <c r="E158" s="303">
        <f t="shared" si="55"/>
        <v>15.764562017727641</v>
      </c>
      <c r="F158" s="303">
        <f t="shared" si="55"/>
        <v>22.362970973408544</v>
      </c>
      <c r="G158" s="303">
        <f t="shared" si="55"/>
        <v>24.769383674456083</v>
      </c>
      <c r="H158" s="303">
        <f t="shared" si="55"/>
        <v>29.430618032232072</v>
      </c>
      <c r="I158" s="303">
        <f t="shared" si="55"/>
        <v>30.487030733279617</v>
      </c>
      <c r="J158" s="303">
        <f t="shared" si="55"/>
        <v>32.607088620467373</v>
      </c>
      <c r="K158" s="303">
        <f t="shared" si="55"/>
        <v>30.065912149879132</v>
      </c>
      <c r="L158" s="303">
        <f t="shared" si="55"/>
        <v>23.737030733279614</v>
      </c>
      <c r="M158" s="303">
        <f t="shared" si="55"/>
        <v>17.91591214987913</v>
      </c>
      <c r="N158" s="303">
        <f t="shared" si="55"/>
        <v>12.381148380338438</v>
      </c>
      <c r="O158" s="303">
        <f t="shared" si="55"/>
        <v>11.324735679290896</v>
      </c>
      <c r="P158" s="341">
        <f>SUM(D158:O158)</f>
        <v>263.83877588235293</v>
      </c>
      <c r="Q158" s="304" t="s">
        <v>359</v>
      </c>
    </row>
    <row r="159" spans="2:17">
      <c r="B159" s="284" t="s">
        <v>411</v>
      </c>
      <c r="D159" s="303">
        <f t="shared" ref="D159:O159" si="56">IF(D152&gt;0,D158/D152,0)</f>
        <v>0.52375136224865615</v>
      </c>
      <c r="E159" s="303">
        <f t="shared" si="56"/>
        <v>0.7435682309079763</v>
      </c>
      <c r="F159" s="303">
        <f t="shared" si="56"/>
        <v>1.1684757406985831</v>
      </c>
      <c r="G159" s="303">
        <f t="shared" si="56"/>
        <v>1.6081612198551485</v>
      </c>
      <c r="H159" s="303">
        <f t="shared" si="56"/>
        <v>2.8410579895708117</v>
      </c>
      <c r="I159" s="303">
        <f t="shared" si="56"/>
        <v>4.3468994128500169</v>
      </c>
      <c r="J159" s="303">
        <f t="shared" si="56"/>
        <v>6.7898081792810734</v>
      </c>
      <c r="K159" s="303">
        <f t="shared" si="56"/>
        <v>6.2606563440520215</v>
      </c>
      <c r="L159" s="303">
        <f t="shared" si="56"/>
        <v>2.5307134165835916</v>
      </c>
      <c r="M159" s="303">
        <f t="shared" si="56"/>
        <v>1.2573709650961247</v>
      </c>
      <c r="N159" s="303">
        <f t="shared" si="56"/>
        <v>0.62156413197969529</v>
      </c>
      <c r="O159" s="303">
        <f t="shared" si="56"/>
        <v>0.48707441387343769</v>
      </c>
      <c r="P159" s="341" t="s">
        <v>56</v>
      </c>
      <c r="Q159" s="304"/>
    </row>
    <row r="160" spans="2:17">
      <c r="B160" s="288" t="s">
        <v>412</v>
      </c>
      <c r="D160" s="303">
        <f t="shared" ref="D160:O160" si="57">IF(D152&gt;0,CEBF*EBF*1000000/(($D$22*U_DAFbeheizt+$D$14*U_E3*bGW+E4beheizt*U_E4+BodenErdeF*U_Boden*bGF+$D$16*U_E5)*3600 + Vth*EBF*(1150-0.14*HueM)),0)</f>
        <v>228.31243693628369</v>
      </c>
      <c r="E160" s="303">
        <f t="shared" si="57"/>
        <v>228.31243693628369</v>
      </c>
      <c r="F160" s="303">
        <f t="shared" si="57"/>
        <v>228.31243693628369</v>
      </c>
      <c r="G160" s="303">
        <f t="shared" si="57"/>
        <v>228.31243693628369</v>
      </c>
      <c r="H160" s="303">
        <f t="shared" si="57"/>
        <v>228.31243693628369</v>
      </c>
      <c r="I160" s="303">
        <f t="shared" si="57"/>
        <v>228.31243693628369</v>
      </c>
      <c r="J160" s="303">
        <f t="shared" si="57"/>
        <v>228.31243693628369</v>
      </c>
      <c r="K160" s="303">
        <f t="shared" si="57"/>
        <v>228.31243693628369</v>
      </c>
      <c r="L160" s="303">
        <f t="shared" si="57"/>
        <v>228.31243693628369</v>
      </c>
      <c r="M160" s="303">
        <f t="shared" si="57"/>
        <v>228.31243693628369</v>
      </c>
      <c r="N160" s="303">
        <f t="shared" si="57"/>
        <v>228.31243693628369</v>
      </c>
      <c r="O160" s="303">
        <f t="shared" si="57"/>
        <v>228.31243693628369</v>
      </c>
      <c r="P160" s="341"/>
      <c r="Q160" s="304"/>
    </row>
    <row r="161" spans="2:17">
      <c r="B161" s="284" t="s">
        <v>403</v>
      </c>
      <c r="D161" s="303">
        <f>a0+D160/tau0</f>
        <v>16.22082912908558</v>
      </c>
      <c r="E161" s="303">
        <f>a0+E160/tau0</f>
        <v>16.22082912908558</v>
      </c>
      <c r="F161" s="303">
        <f>a0+F160/tau0</f>
        <v>16.22082912908558</v>
      </c>
      <c r="G161" s="303">
        <f>a0+G160/tau0</f>
        <v>16.22082912908558</v>
      </c>
      <c r="H161" s="303">
        <f t="shared" ref="H161:O161" si="58">a0+H160/tau0</f>
        <v>16.22082912908558</v>
      </c>
      <c r="I161" s="303">
        <f t="shared" si="58"/>
        <v>16.22082912908558</v>
      </c>
      <c r="J161" s="303">
        <f t="shared" si="58"/>
        <v>16.22082912908558</v>
      </c>
      <c r="K161" s="303">
        <f t="shared" si="58"/>
        <v>16.22082912908558</v>
      </c>
      <c r="L161" s="303">
        <f t="shared" si="58"/>
        <v>16.22082912908558</v>
      </c>
      <c r="M161" s="303">
        <f t="shared" si="58"/>
        <v>16.22082912908558</v>
      </c>
      <c r="N161" s="303">
        <f t="shared" si="58"/>
        <v>16.22082912908558</v>
      </c>
      <c r="O161" s="303">
        <f t="shared" si="58"/>
        <v>16.22082912908558</v>
      </c>
      <c r="P161" s="341"/>
      <c r="Q161" s="304"/>
    </row>
    <row r="162" spans="2:17">
      <c r="B162" s="284" t="s">
        <v>413</v>
      </c>
      <c r="D162" s="317">
        <f t="shared" ref="D162:O162" si="59">IF(D159=1,D161/(D161+1),IF(D152&lt;=0,0,(1-D159^D161)/(1-D159^(D161+1))))</f>
        <v>0.99998676215253024</v>
      </c>
      <c r="E162" s="317">
        <f t="shared" si="59"/>
        <v>0.99788972851852475</v>
      </c>
      <c r="F162" s="317">
        <f t="shared" si="59"/>
        <v>0.84521701865706322</v>
      </c>
      <c r="G162" s="317">
        <f t="shared" si="59"/>
        <v>0.62172236346910648</v>
      </c>
      <c r="H162" s="317">
        <f t="shared" si="59"/>
        <v>0.3519815417743985</v>
      </c>
      <c r="I162" s="317">
        <f t="shared" si="59"/>
        <v>0.23004903150268802</v>
      </c>
      <c r="J162" s="317">
        <f t="shared" si="59"/>
        <v>0.14727956572491227</v>
      </c>
      <c r="K162" s="317">
        <f t="shared" si="59"/>
        <v>0.15972766193275534</v>
      </c>
      <c r="L162" s="317">
        <f t="shared" si="59"/>
        <v>0.39514542396636793</v>
      </c>
      <c r="M162" s="317">
        <f t="shared" si="59"/>
        <v>0.79126681726297698</v>
      </c>
      <c r="N162" s="317">
        <f t="shared" si="59"/>
        <v>0.99983084542929246</v>
      </c>
      <c r="O162" s="317">
        <f t="shared" si="59"/>
        <v>0.99999560869921289</v>
      </c>
      <c r="P162" s="344">
        <f>IF(P158&gt;0,P163/P158,0)</f>
        <v>0.52024800365585211</v>
      </c>
      <c r="Q162" s="304"/>
    </row>
    <row r="163" spans="2:17">
      <c r="B163" s="302" t="s">
        <v>323</v>
      </c>
      <c r="D163" s="303">
        <f t="shared" ref="D163:O163" si="60">D158*D162</f>
        <v>12.99221074693347</v>
      </c>
      <c r="E163" s="303">
        <f t="shared" si="60"/>
        <v>15.731294512083682</v>
      </c>
      <c r="F163" s="303">
        <f t="shared" si="60"/>
        <v>18.901563654458812</v>
      </c>
      <c r="G163" s="303">
        <f t="shared" si="60"/>
        <v>15.399679759755937</v>
      </c>
      <c r="H163" s="303">
        <f t="shared" si="60"/>
        <v>10.359034310358458</v>
      </c>
      <c r="I163" s="303">
        <f t="shared" si="60"/>
        <v>7.0135118935836607</v>
      </c>
      <c r="J163" s="303">
        <f t="shared" si="60"/>
        <v>4.8023578515761631</v>
      </c>
      <c r="K163" s="303">
        <f t="shared" si="60"/>
        <v>4.802357851575815</v>
      </c>
      <c r="L163" s="303">
        <f t="shared" si="60"/>
        <v>9.3795790728044786</v>
      </c>
      <c r="M163" s="303">
        <f t="shared" si="60"/>
        <v>14.176266785197958</v>
      </c>
      <c r="N163" s="303">
        <f t="shared" si="60"/>
        <v>12.379054052499296</v>
      </c>
      <c r="O163" s="303">
        <f t="shared" si="60"/>
        <v>11.324685948970194</v>
      </c>
      <c r="P163" s="296">
        <f>SUM(D163:O163)</f>
        <v>137.2615964397979</v>
      </c>
      <c r="Q163" s="304" t="s">
        <v>359</v>
      </c>
    </row>
    <row r="164" spans="2:17" ht="12.9" thickBot="1">
      <c r="B164" s="291" t="s">
        <v>404</v>
      </c>
      <c r="C164" s="335"/>
      <c r="D164" s="345"/>
      <c r="E164" s="345"/>
      <c r="F164" s="345"/>
      <c r="G164" s="345"/>
      <c r="H164" s="345"/>
      <c r="I164" s="345"/>
      <c r="J164" s="345"/>
      <c r="K164" s="345"/>
      <c r="L164" s="345"/>
      <c r="M164" s="345"/>
      <c r="N164" s="345"/>
      <c r="O164" s="346"/>
      <c r="P164" s="347"/>
      <c r="Q164" s="339"/>
    </row>
    <row r="165" spans="2:17" ht="12.9" thickBot="1">
      <c r="B165" s="305" t="s">
        <v>409</v>
      </c>
      <c r="C165" s="348"/>
      <c r="D165" s="349">
        <f t="shared" ref="D165:O165" si="61">D152-D163</f>
        <v>11.814183421347781</v>
      </c>
      <c r="E165" s="349">
        <f t="shared" si="61"/>
        <v>5.4699367434225223</v>
      </c>
      <c r="F165" s="349">
        <f t="shared" si="61"/>
        <v>0.23702022408936685</v>
      </c>
      <c r="G165" s="349">
        <f t="shared" si="61"/>
        <v>2.6215572022785238E-3</v>
      </c>
      <c r="H165" s="349">
        <f t="shared" si="61"/>
        <v>2.9585809713239541E-7</v>
      </c>
      <c r="I165" s="349">
        <f t="shared" si="61"/>
        <v>2.4021584721367617E-10</v>
      </c>
      <c r="J165" s="349">
        <f t="shared" si="61"/>
        <v>1.2612133559741778E-13</v>
      </c>
      <c r="K165" s="349">
        <f t="shared" si="61"/>
        <v>4.7428727611986687E-13</v>
      </c>
      <c r="L165" s="349">
        <f t="shared" si="61"/>
        <v>1.6326726726134666E-6</v>
      </c>
      <c r="M165" s="349">
        <f t="shared" si="61"/>
        <v>7.2441549266784477E-2</v>
      </c>
      <c r="N165" s="349">
        <f t="shared" si="61"/>
        <v>7.5402877230697207</v>
      </c>
      <c r="O165" s="349">
        <f t="shared" si="61"/>
        <v>11.925838728011785</v>
      </c>
      <c r="P165" s="373">
        <f>SUM(D165:O165)</f>
        <v>37.062331875181826</v>
      </c>
      <c r="Q165" s="351" t="s">
        <v>359</v>
      </c>
    </row>
    <row r="166" spans="2:17">
      <c r="P166" s="1291">
        <f>P165/3.6</f>
        <v>10.295092187550507</v>
      </c>
      <c r="Q166" s="270" t="s">
        <v>1658</v>
      </c>
    </row>
    <row r="168" spans="2:17" ht="12.9" thickBot="1"/>
    <row r="169" spans="2:17" ht="12.9" thickBot="1">
      <c r="B169" s="280" t="s">
        <v>405</v>
      </c>
      <c r="C169" s="372" t="s">
        <v>260</v>
      </c>
      <c r="D169" s="281" t="s">
        <v>359</v>
      </c>
      <c r="E169" s="325"/>
      <c r="F169" s="325"/>
      <c r="G169" s="325"/>
      <c r="H169" s="325"/>
      <c r="I169" s="325"/>
      <c r="J169" s="325"/>
      <c r="K169" s="325"/>
      <c r="L169" s="325"/>
      <c r="M169" s="325"/>
      <c r="N169" s="325"/>
      <c r="O169" s="325"/>
      <c r="P169" s="325"/>
      <c r="Q169" s="328"/>
    </row>
    <row r="170" spans="2:17">
      <c r="B170" s="294" t="s">
        <v>371</v>
      </c>
      <c r="C170" s="340"/>
      <c r="D170" s="340"/>
      <c r="E170" s="340"/>
      <c r="F170" s="340"/>
      <c r="G170" s="340"/>
      <c r="H170" s="340"/>
      <c r="I170" s="340"/>
      <c r="J170" s="340"/>
      <c r="K170" s="340"/>
      <c r="L170" s="340"/>
      <c r="M170" s="340"/>
      <c r="N170" s="340"/>
      <c r="O170" s="331"/>
      <c r="P170" s="330"/>
      <c r="Q170" s="331"/>
    </row>
    <row r="171" spans="2:17">
      <c r="B171" s="284" t="s">
        <v>373</v>
      </c>
      <c r="D171" s="303">
        <f>IF(EBF&gt;0,(Thetai-D$70)*D$69*$D$22*U_DAFbeheizt*0.0864/EBF,0)</f>
        <v>0</v>
      </c>
      <c r="E171" s="303">
        <f t="shared" ref="E171:O171" si="62">IF(EBF&gt;0,(Thetai-E$70)*E$69*$D$22*U_DAFbeheizt*0.0864/EBF,0)</f>
        <v>0</v>
      </c>
      <c r="F171" s="303">
        <f t="shared" si="62"/>
        <v>0</v>
      </c>
      <c r="G171" s="303">
        <f t="shared" si="62"/>
        <v>0</v>
      </c>
      <c r="H171" s="303">
        <f t="shared" si="62"/>
        <v>0</v>
      </c>
      <c r="I171" s="303">
        <f t="shared" si="62"/>
        <v>0</v>
      </c>
      <c r="J171" s="303">
        <f t="shared" si="62"/>
        <v>0</v>
      </c>
      <c r="K171" s="303">
        <f t="shared" si="62"/>
        <v>0</v>
      </c>
      <c r="L171" s="303">
        <f t="shared" si="62"/>
        <v>0</v>
      </c>
      <c r="M171" s="303">
        <f t="shared" si="62"/>
        <v>0</v>
      </c>
      <c r="N171" s="303">
        <f t="shared" si="62"/>
        <v>0</v>
      </c>
      <c r="O171" s="303">
        <f t="shared" si="62"/>
        <v>0</v>
      </c>
      <c r="P171" s="341">
        <f t="shared" ref="P171:P176" si="63">SUM(D171:O171)</f>
        <v>0</v>
      </c>
      <c r="Q171" s="304" t="s">
        <v>359</v>
      </c>
    </row>
    <row r="172" spans="2:17">
      <c r="B172" s="284" t="s">
        <v>375</v>
      </c>
      <c r="D172" s="303">
        <v>0</v>
      </c>
      <c r="E172" s="303">
        <v>0</v>
      </c>
      <c r="F172" s="303">
        <v>0</v>
      </c>
      <c r="G172" s="303">
        <v>0</v>
      </c>
      <c r="H172" s="303">
        <v>0</v>
      </c>
      <c r="I172" s="303">
        <v>0</v>
      </c>
      <c r="J172" s="303">
        <v>0</v>
      </c>
      <c r="K172" s="303">
        <v>0</v>
      </c>
      <c r="L172" s="303">
        <v>0</v>
      </c>
      <c r="M172" s="303">
        <v>0</v>
      </c>
      <c r="N172" s="303">
        <v>0</v>
      </c>
      <c r="O172" s="303">
        <v>0</v>
      </c>
      <c r="P172" s="341">
        <f t="shared" si="63"/>
        <v>0</v>
      </c>
      <c r="Q172" s="304" t="s">
        <v>359</v>
      </c>
    </row>
    <row r="173" spans="2:17">
      <c r="B173" s="284" t="s">
        <v>377</v>
      </c>
      <c r="D173" s="362">
        <f>IF(EBF&gt;0,(deltaThetahmax+Thetai-D$70)*D$69*E4beheizt*$G$15*0.0864/EBF,0)</f>
        <v>56.195983058823536</v>
      </c>
      <c r="E173" s="303">
        <f t="shared" ref="E173:O173" si="64">IF(EBF&gt;0,(deltaThetahmax+Thetai-E$70)*E$69*E4beheizt*$G$15*0.0864/EBF,0)</f>
        <v>48.230309647058824</v>
      </c>
      <c r="F173" s="303">
        <f t="shared" si="64"/>
        <v>44.303887058823534</v>
      </c>
      <c r="G173" s="303">
        <f t="shared" si="64"/>
        <v>36.33069176470589</v>
      </c>
      <c r="H173" s="303">
        <f t="shared" si="64"/>
        <v>25.882797176470593</v>
      </c>
      <c r="I173" s="303">
        <f t="shared" si="64"/>
        <v>18.72948705882353</v>
      </c>
      <c r="J173" s="303">
        <f t="shared" si="64"/>
        <v>14.223879529411771</v>
      </c>
      <c r="K173" s="303">
        <f t="shared" si="64"/>
        <v>14.223879529411771</v>
      </c>
      <c r="L173" s="303">
        <f t="shared" si="64"/>
        <v>23.693929411764707</v>
      </c>
      <c r="M173" s="303">
        <f t="shared" si="64"/>
        <v>34.044039529411762</v>
      </c>
      <c r="N173" s="303">
        <f t="shared" si="64"/>
        <v>45.808263529411775</v>
      </c>
      <c r="O173" s="303">
        <f t="shared" si="64"/>
        <v>52.931486117647054</v>
      </c>
      <c r="P173" s="341">
        <f t="shared" si="63"/>
        <v>414.59863341176475</v>
      </c>
      <c r="Q173" s="304" t="s">
        <v>359</v>
      </c>
    </row>
    <row r="174" spans="2:17">
      <c r="B174" s="284" t="s">
        <v>406</v>
      </c>
      <c r="D174" s="303">
        <f t="shared" ref="D174:M174" si="65">IF(EBF&gt;0,(Thetai+deltaThetahmax-D$70)*D$69*BodenErdeF*U_Boden*bGF*0.0864/EBF,0)</f>
        <v>0</v>
      </c>
      <c r="E174" s="303">
        <f t="shared" si="65"/>
        <v>0</v>
      </c>
      <c r="F174" s="303">
        <f t="shared" si="65"/>
        <v>0</v>
      </c>
      <c r="G174" s="303">
        <f t="shared" si="65"/>
        <v>0</v>
      </c>
      <c r="H174" s="303">
        <f t="shared" si="65"/>
        <v>0</v>
      </c>
      <c r="I174" s="303">
        <f t="shared" si="65"/>
        <v>0</v>
      </c>
      <c r="J174" s="303">
        <f t="shared" si="65"/>
        <v>0</v>
      </c>
      <c r="K174" s="303">
        <f t="shared" si="65"/>
        <v>0</v>
      </c>
      <c r="L174" s="303">
        <f t="shared" si="65"/>
        <v>0</v>
      </c>
      <c r="M174" s="303">
        <f t="shared" si="65"/>
        <v>0</v>
      </c>
      <c r="N174" s="303">
        <f>IF(EBF&gt;0,(Thetai+deltaThetahmax-N$70)*N$69*BodenErdeF*U_Boden*bGF*0.0864/EBF,0)</f>
        <v>0</v>
      </c>
      <c r="O174" s="303">
        <f>IF(EBF&gt;0,(Thetai+deltaThetahmax-O$70)*O$69*BodenErdeF*U_Boden*bGF*0.0864/EBF,0)</f>
        <v>0</v>
      </c>
      <c r="P174" s="341">
        <f t="shared" si="63"/>
        <v>0</v>
      </c>
      <c r="Q174" s="304" t="s">
        <v>359</v>
      </c>
    </row>
    <row r="175" spans="2:17">
      <c r="B175" s="285" t="s">
        <v>407</v>
      </c>
      <c r="D175" s="303">
        <f t="shared" ref="D175:O175" si="66">(IF(EBF&gt;0,(Thetai+deltaThetahmax-D$70)*D$69*BodenErdeF*U_gedaemmteDecken*0.0864/EBF,0))*0</f>
        <v>0</v>
      </c>
      <c r="E175" s="303">
        <f t="shared" si="66"/>
        <v>0</v>
      </c>
      <c r="F175" s="303">
        <f t="shared" si="66"/>
        <v>0</v>
      </c>
      <c r="G175" s="303">
        <f t="shared" si="66"/>
        <v>0</v>
      </c>
      <c r="H175" s="303">
        <f t="shared" si="66"/>
        <v>0</v>
      </c>
      <c r="I175" s="303">
        <f t="shared" si="66"/>
        <v>0</v>
      </c>
      <c r="J175" s="303">
        <f t="shared" si="66"/>
        <v>0</v>
      </c>
      <c r="K175" s="303">
        <f t="shared" si="66"/>
        <v>0</v>
      </c>
      <c r="L175" s="303">
        <f t="shared" si="66"/>
        <v>0</v>
      </c>
      <c r="M175" s="303">
        <f t="shared" si="66"/>
        <v>0</v>
      </c>
      <c r="N175" s="303">
        <f t="shared" si="66"/>
        <v>0</v>
      </c>
      <c r="O175" s="303">
        <f t="shared" si="66"/>
        <v>0</v>
      </c>
      <c r="P175" s="341">
        <f t="shared" si="63"/>
        <v>0</v>
      </c>
      <c r="Q175" s="304" t="s">
        <v>359</v>
      </c>
    </row>
    <row r="176" spans="2:17">
      <c r="B176" s="284" t="s">
        <v>391</v>
      </c>
      <c r="D176" s="362">
        <f>IF(EBF&gt;0,(Thetai-D$70)*D$69*$D$16*$G$16*0.0864/EBF,0)</f>
        <v>20.418861176470593</v>
      </c>
      <c r="E176" s="303">
        <f t="shared" ref="E176:O176" si="67">IF(EBF&gt;0,(Thetai-E$70)*E$69*$D$16*$G$16*0.0864/EBF,0)</f>
        <v>17.418239999999997</v>
      </c>
      <c r="F176" s="303">
        <f t="shared" si="67"/>
        <v>15.597741176470588</v>
      </c>
      <c r="G176" s="303">
        <f t="shared" si="67"/>
        <v>12.441600000000001</v>
      </c>
      <c r="H176" s="303">
        <f t="shared" si="67"/>
        <v>8.1297317647058822</v>
      </c>
      <c r="I176" s="303">
        <f t="shared" si="67"/>
        <v>5.3059764705882362</v>
      </c>
      <c r="J176" s="303">
        <f t="shared" si="67"/>
        <v>3.4031435294117669</v>
      </c>
      <c r="K176" s="303">
        <f t="shared" si="67"/>
        <v>3.4031435294117669</v>
      </c>
      <c r="L176" s="303">
        <f t="shared" si="67"/>
        <v>7.3185882352941194</v>
      </c>
      <c r="M176" s="303">
        <f t="shared" si="67"/>
        <v>11.438343529411764</v>
      </c>
      <c r="N176" s="303">
        <f t="shared" si="67"/>
        <v>16.283858823529414</v>
      </c>
      <c r="O176" s="303">
        <f t="shared" si="67"/>
        <v>19.095416470588237</v>
      </c>
      <c r="P176" s="341">
        <f t="shared" si="63"/>
        <v>140.25464470588236</v>
      </c>
      <c r="Q176" s="304" t="s">
        <v>359</v>
      </c>
    </row>
    <row r="177" spans="2:17">
      <c r="B177" s="286" t="s">
        <v>408</v>
      </c>
      <c r="D177" s="303">
        <f>1*D$69*(Thetai-D$70)*BodenUnb*E125*$D$56*0.0864/EBF</f>
        <v>0</v>
      </c>
      <c r="E177" s="303">
        <f t="shared" ref="E177:O177" si="68">1*E$69*(Thetai-E$70)*BodenUnb*U_Boden*$D$56*0.0864/EBF</f>
        <v>0</v>
      </c>
      <c r="F177" s="303">
        <f t="shared" si="68"/>
        <v>0</v>
      </c>
      <c r="G177" s="303">
        <f t="shared" si="68"/>
        <v>0</v>
      </c>
      <c r="H177" s="303">
        <f t="shared" si="68"/>
        <v>0</v>
      </c>
      <c r="I177" s="303">
        <f t="shared" si="68"/>
        <v>0</v>
      </c>
      <c r="J177" s="303">
        <f t="shared" si="68"/>
        <v>0</v>
      </c>
      <c r="K177" s="303">
        <f t="shared" si="68"/>
        <v>0</v>
      </c>
      <c r="L177" s="303">
        <f t="shared" si="68"/>
        <v>0</v>
      </c>
      <c r="M177" s="303">
        <f t="shared" si="68"/>
        <v>0</v>
      </c>
      <c r="N177" s="303">
        <f t="shared" si="68"/>
        <v>0</v>
      </c>
      <c r="O177" s="303">
        <f t="shared" si="68"/>
        <v>0</v>
      </c>
      <c r="P177" s="341">
        <f>SUM(D177:O177)</f>
        <v>0</v>
      </c>
      <c r="Q177" s="304" t="s">
        <v>359</v>
      </c>
    </row>
    <row r="178" spans="2:17">
      <c r="B178" s="295" t="s">
        <v>316</v>
      </c>
      <c r="D178" s="303">
        <f>SUM(D171:D177)*(1+WBZuschlag)</f>
        <v>84.276328658823545</v>
      </c>
      <c r="E178" s="303">
        <f t="shared" ref="E178:O178" si="69">SUM(E171:E177)*(1+WBZuschlag)</f>
        <v>72.213404611764702</v>
      </c>
      <c r="F178" s="303">
        <f t="shared" si="69"/>
        <v>65.891791058823543</v>
      </c>
      <c r="G178" s="303">
        <f t="shared" si="69"/>
        <v>53.649520941176483</v>
      </c>
      <c r="H178" s="303">
        <f t="shared" si="69"/>
        <v>37.413781835294131</v>
      </c>
      <c r="I178" s="303">
        <f t="shared" si="69"/>
        <v>26.439009882352941</v>
      </c>
      <c r="J178" s="303">
        <f t="shared" si="69"/>
        <v>19.389725364705896</v>
      </c>
      <c r="K178" s="303">
        <f t="shared" si="69"/>
        <v>19.389725364705896</v>
      </c>
      <c r="L178" s="303">
        <f t="shared" si="69"/>
        <v>34.113769411764707</v>
      </c>
      <c r="M178" s="303">
        <f t="shared" si="69"/>
        <v>50.030621364705887</v>
      </c>
      <c r="N178" s="303">
        <f t="shared" si="69"/>
        <v>68.301334588235306</v>
      </c>
      <c r="O178" s="303">
        <f t="shared" si="69"/>
        <v>79.229592847058825</v>
      </c>
      <c r="P178" s="296">
        <f>SUM(D178:O178)</f>
        <v>610.33860592941176</v>
      </c>
      <c r="Q178" s="304" t="s">
        <v>359</v>
      </c>
    </row>
    <row r="179" spans="2:17">
      <c r="B179" s="288" t="s">
        <v>393</v>
      </c>
      <c r="C179" s="297"/>
      <c r="D179" s="298"/>
      <c r="E179" s="298"/>
      <c r="F179" s="298"/>
      <c r="G179" s="298"/>
      <c r="H179" s="298"/>
      <c r="I179" s="298"/>
      <c r="J179" s="298"/>
      <c r="K179" s="298"/>
      <c r="L179" s="298"/>
      <c r="M179" s="298"/>
      <c r="N179" s="298"/>
      <c r="O179" s="299"/>
      <c r="P179" s="300"/>
      <c r="Q179" s="301"/>
    </row>
    <row r="180" spans="2:17">
      <c r="B180" s="302" t="s">
        <v>320</v>
      </c>
      <c r="C180" s="297"/>
      <c r="D180" s="362">
        <f t="shared" ref="D180:O180" si="70">IF(D178=0,0,(Thetai-D$70)*$G$26*D$69*(1150-0.14*HueM)*0.000024)</f>
        <v>11.146981725031706</v>
      </c>
      <c r="E180" s="303">
        <f t="shared" si="70"/>
        <v>9.508894804865756</v>
      </c>
      <c r="F180" s="303">
        <f t="shared" si="70"/>
        <v>8.5150554843992197</v>
      </c>
      <c r="G180" s="303">
        <f t="shared" si="70"/>
        <v>6.7920677177612552</v>
      </c>
      <c r="H180" s="303">
        <f t="shared" si="70"/>
        <v>4.4381501312626233</v>
      </c>
      <c r="I180" s="303">
        <f t="shared" si="70"/>
        <v>2.8966171149275941</v>
      </c>
      <c r="J180" s="303">
        <f t="shared" si="70"/>
        <v>1.857830287505285</v>
      </c>
      <c r="K180" s="303">
        <f t="shared" si="70"/>
        <v>1.857830287505285</v>
      </c>
      <c r="L180" s="303">
        <f t="shared" si="70"/>
        <v>3.995333951624267</v>
      </c>
      <c r="M180" s="303">
        <f t="shared" si="70"/>
        <v>6.244374021892761</v>
      </c>
      <c r="N180" s="303">
        <f t="shared" si="70"/>
        <v>8.8896180423639954</v>
      </c>
      <c r="O180" s="303">
        <f t="shared" si="70"/>
        <v>10.424492168779649</v>
      </c>
      <c r="P180" s="296">
        <f>SUM(D180:O180)</f>
        <v>76.567245737919407</v>
      </c>
      <c r="Q180" s="304" t="s">
        <v>359</v>
      </c>
    </row>
    <row r="181" spans="2:17">
      <c r="B181" s="288" t="s">
        <v>394</v>
      </c>
      <c r="D181" s="316"/>
      <c r="E181" s="316"/>
      <c r="F181" s="316"/>
      <c r="G181" s="316"/>
      <c r="H181" s="316"/>
      <c r="I181" s="316"/>
      <c r="J181" s="316"/>
      <c r="K181" s="316"/>
      <c r="L181" s="316"/>
      <c r="M181" s="316"/>
      <c r="N181" s="316"/>
      <c r="O181" s="329"/>
      <c r="P181" s="341"/>
      <c r="Q181" s="304"/>
    </row>
    <row r="182" spans="2:17">
      <c r="B182" s="284" t="s">
        <v>395</v>
      </c>
      <c r="D182" s="303">
        <f t="shared" ref="D182:O182" si="71">D180+D178</f>
        <v>95.423310383855252</v>
      </c>
      <c r="E182" s="303">
        <f t="shared" si="71"/>
        <v>81.722299416630463</v>
      </c>
      <c r="F182" s="303">
        <f t="shared" si="71"/>
        <v>74.40684654322277</v>
      </c>
      <c r="G182" s="303">
        <f t="shared" si="71"/>
        <v>60.441588658937739</v>
      </c>
      <c r="H182" s="303">
        <f t="shared" si="71"/>
        <v>41.851931966556755</v>
      </c>
      <c r="I182" s="303">
        <f t="shared" si="71"/>
        <v>29.335626997280535</v>
      </c>
      <c r="J182" s="303">
        <f t="shared" si="71"/>
        <v>21.247555652211179</v>
      </c>
      <c r="K182" s="303">
        <f t="shared" si="71"/>
        <v>21.247555652211179</v>
      </c>
      <c r="L182" s="303">
        <f t="shared" si="71"/>
        <v>38.109103363388975</v>
      </c>
      <c r="M182" s="303">
        <f t="shared" si="71"/>
        <v>56.274995386598647</v>
      </c>
      <c r="N182" s="303">
        <f t="shared" si="71"/>
        <v>77.190952630599298</v>
      </c>
      <c r="O182" s="303">
        <f t="shared" si="71"/>
        <v>89.654085015838476</v>
      </c>
      <c r="P182" s="341">
        <f>SUM(D182:O182)</f>
        <v>686.90585166733138</v>
      </c>
      <c r="Q182" s="304" t="s">
        <v>359</v>
      </c>
    </row>
    <row r="183" spans="2:17">
      <c r="B183" s="288" t="s">
        <v>396</v>
      </c>
      <c r="D183" s="316"/>
      <c r="E183" s="316" t="s">
        <v>193</v>
      </c>
      <c r="F183" s="316"/>
      <c r="G183" s="316"/>
      <c r="H183" s="316"/>
      <c r="I183" s="316"/>
      <c r="J183" s="316"/>
      <c r="K183" s="316"/>
      <c r="L183" s="316"/>
      <c r="M183" s="316"/>
      <c r="N183" s="316"/>
      <c r="O183" s="329"/>
      <c r="P183" s="341"/>
      <c r="Q183" s="304"/>
    </row>
    <row r="184" spans="2:17">
      <c r="B184" s="284" t="s">
        <v>397</v>
      </c>
      <c r="D184" s="362">
        <f>$G$41*fE*D$69/365</f>
        <v>8.2626253424657534</v>
      </c>
      <c r="E184" s="303">
        <f t="shared" ref="E184:O184" si="72">$G$41*fE*E$69/365</f>
        <v>7.4630164383561652</v>
      </c>
      <c r="F184" s="303">
        <f t="shared" si="72"/>
        <v>8.2626253424657534</v>
      </c>
      <c r="G184" s="303">
        <f t="shared" si="72"/>
        <v>7.9960890410958907</v>
      </c>
      <c r="H184" s="303">
        <f t="shared" si="72"/>
        <v>8.2626253424657534</v>
      </c>
      <c r="I184" s="303">
        <f t="shared" si="72"/>
        <v>7.9960890410958907</v>
      </c>
      <c r="J184" s="303">
        <f t="shared" si="72"/>
        <v>8.2626253424657534</v>
      </c>
      <c r="K184" s="303">
        <f t="shared" si="72"/>
        <v>8.2626253424657534</v>
      </c>
      <c r="L184" s="303">
        <f t="shared" si="72"/>
        <v>7.9960890410958907</v>
      </c>
      <c r="M184" s="303">
        <f t="shared" si="72"/>
        <v>8.2626253424657534</v>
      </c>
      <c r="N184" s="303">
        <f t="shared" si="72"/>
        <v>7.9960890410958907</v>
      </c>
      <c r="O184" s="303">
        <f t="shared" si="72"/>
        <v>8.2626253424657534</v>
      </c>
      <c r="P184" s="341">
        <f>SUM(D184:O184)</f>
        <v>97.285749999999993</v>
      </c>
      <c r="Q184" s="304" t="s">
        <v>359</v>
      </c>
    </row>
    <row r="185" spans="2:17">
      <c r="B185" s="284" t="s">
        <v>399</v>
      </c>
      <c r="D185" s="303">
        <f>$D$40*D$69/365</f>
        <v>2.9998080000000007</v>
      </c>
      <c r="E185" s="303">
        <f t="shared" ref="E185:O185" si="73">$D$40*E$69/365</f>
        <v>2.7095040000000008</v>
      </c>
      <c r="F185" s="303">
        <f t="shared" si="73"/>
        <v>2.9998080000000007</v>
      </c>
      <c r="G185" s="303">
        <f t="shared" si="73"/>
        <v>2.9030400000000007</v>
      </c>
      <c r="H185" s="303">
        <f t="shared" si="73"/>
        <v>2.9998080000000007</v>
      </c>
      <c r="I185" s="303">
        <f t="shared" si="73"/>
        <v>2.9030400000000007</v>
      </c>
      <c r="J185" s="303">
        <f t="shared" si="73"/>
        <v>2.9998080000000007</v>
      </c>
      <c r="K185" s="303">
        <f t="shared" si="73"/>
        <v>2.9998080000000007</v>
      </c>
      <c r="L185" s="303">
        <f t="shared" si="73"/>
        <v>2.9030400000000007</v>
      </c>
      <c r="M185" s="303">
        <f t="shared" si="73"/>
        <v>2.9998080000000007</v>
      </c>
      <c r="N185" s="303">
        <f t="shared" si="73"/>
        <v>2.9030400000000007</v>
      </c>
      <c r="O185" s="303">
        <f t="shared" si="73"/>
        <v>2.9998080000000007</v>
      </c>
      <c r="P185" s="341">
        <f>SUM(D185:O185)</f>
        <v>35.320320000000009</v>
      </c>
      <c r="Q185" s="304" t="s">
        <v>359</v>
      </c>
    </row>
    <row r="186" spans="2:17">
      <c r="B186" s="284" t="s">
        <v>400</v>
      </c>
      <c r="D186" s="303">
        <f>D185+D184</f>
        <v>11.262433342465755</v>
      </c>
      <c r="E186" s="303">
        <f t="shared" ref="E186:O186" si="74">E185+E184</f>
        <v>10.172520438356166</v>
      </c>
      <c r="F186" s="303">
        <f t="shared" si="74"/>
        <v>11.262433342465755</v>
      </c>
      <c r="G186" s="303">
        <f t="shared" si="74"/>
        <v>10.899129041095891</v>
      </c>
      <c r="H186" s="303">
        <f t="shared" si="74"/>
        <v>11.262433342465755</v>
      </c>
      <c r="I186" s="303">
        <f t="shared" si="74"/>
        <v>10.899129041095891</v>
      </c>
      <c r="J186" s="303">
        <f t="shared" si="74"/>
        <v>11.262433342465755</v>
      </c>
      <c r="K186" s="303">
        <f t="shared" si="74"/>
        <v>11.262433342465755</v>
      </c>
      <c r="L186" s="303">
        <f t="shared" si="74"/>
        <v>10.899129041095891</v>
      </c>
      <c r="M186" s="303">
        <f t="shared" si="74"/>
        <v>11.262433342465755</v>
      </c>
      <c r="N186" s="303">
        <f t="shared" si="74"/>
        <v>10.899129041095891</v>
      </c>
      <c r="O186" s="303">
        <f t="shared" si="74"/>
        <v>11.262433342465755</v>
      </c>
      <c r="P186" s="341">
        <f>SUM(D186:O186)</f>
        <v>132.60607000000002</v>
      </c>
      <c r="Q186" s="304" t="s">
        <v>359</v>
      </c>
    </row>
    <row r="187" spans="2:17">
      <c r="B187" s="288" t="s">
        <v>401</v>
      </c>
      <c r="D187" s="362">
        <f>IF(EBF&gt;0,($D$19*D$73*$F$19+$D$18*D$72*$F$18+$D$20*D$74*$F$20+$D$17*D$75*$F$17+$D$21*D$71*$F$21)*0.9*$G$29*FF/EBF,0)</f>
        <v>8.2588235294117673</v>
      </c>
      <c r="E187" s="303">
        <f t="shared" ref="E187:O187" si="75">IF(EBF&gt;0,($D$19*E$73*$F$19+$D$18*E$72*$F$18+$D$20*E$74*$F$20+$D$17*E$75*$F$17+$D$21*E$71*$F$21)*0.9*$G$29*FF/EBF,0)</f>
        <v>12.697941176470589</v>
      </c>
      <c r="F187" s="303">
        <f t="shared" si="75"/>
        <v>20.440588235294122</v>
      </c>
      <c r="G187" s="303">
        <f t="shared" si="75"/>
        <v>23.847352941176474</v>
      </c>
      <c r="H187" s="303">
        <f t="shared" si="75"/>
        <v>29.628529411764713</v>
      </c>
      <c r="I187" s="303">
        <f t="shared" si="75"/>
        <v>31.280294117647067</v>
      </c>
      <c r="J187" s="303">
        <f t="shared" si="75"/>
        <v>33.757941176470595</v>
      </c>
      <c r="K187" s="303">
        <f t="shared" si="75"/>
        <v>30.454411764705888</v>
      </c>
      <c r="L187" s="303">
        <f t="shared" si="75"/>
        <v>22.505294117647061</v>
      </c>
      <c r="M187" s="303">
        <f t="shared" si="75"/>
        <v>14.659411764705885</v>
      </c>
      <c r="N187" s="303">
        <f t="shared" si="75"/>
        <v>7.742647058823529</v>
      </c>
      <c r="O187" s="303">
        <f t="shared" si="75"/>
        <v>6.0908823529411773</v>
      </c>
      <c r="P187" s="341">
        <f>SUM(D187:O187)</f>
        <v>241.36411764705886</v>
      </c>
      <c r="Q187" s="304" t="s">
        <v>359</v>
      </c>
    </row>
    <row r="188" spans="2:17">
      <c r="B188" s="284" t="s">
        <v>402</v>
      </c>
      <c r="D188" s="303">
        <f>D187+D186</f>
        <v>19.521256871877522</v>
      </c>
      <c r="E188" s="303">
        <f t="shared" ref="E188:O188" si="76">E187+E186</f>
        <v>22.870461614826755</v>
      </c>
      <c r="F188" s="303">
        <f t="shared" si="76"/>
        <v>31.703021577759877</v>
      </c>
      <c r="G188" s="303">
        <f t="shared" si="76"/>
        <v>34.746481982272364</v>
      </c>
      <c r="H188" s="303">
        <f t="shared" si="76"/>
        <v>40.890962754230472</v>
      </c>
      <c r="I188" s="303">
        <f t="shared" si="76"/>
        <v>42.179423158742956</v>
      </c>
      <c r="J188" s="303">
        <f t="shared" si="76"/>
        <v>45.02037451893635</v>
      </c>
      <c r="K188" s="303">
        <f t="shared" si="76"/>
        <v>41.716845107171643</v>
      </c>
      <c r="L188" s="303">
        <f t="shared" si="76"/>
        <v>33.404423158742951</v>
      </c>
      <c r="M188" s="303">
        <f t="shared" si="76"/>
        <v>25.921845107171642</v>
      </c>
      <c r="N188" s="303">
        <f t="shared" si="76"/>
        <v>18.641776099919419</v>
      </c>
      <c r="O188" s="303">
        <f t="shared" si="76"/>
        <v>17.353315695406934</v>
      </c>
      <c r="P188" s="341">
        <f>SUM(D188:O188)</f>
        <v>373.97018764705888</v>
      </c>
      <c r="Q188" s="304" t="s">
        <v>359</v>
      </c>
    </row>
    <row r="189" spans="2:17">
      <c r="B189" s="284" t="s">
        <v>411</v>
      </c>
      <c r="D189" s="303">
        <f t="shared" ref="D189:O189" si="77">IF(D182&gt;0,D188/D182,0)</f>
        <v>0.20457534740044336</v>
      </c>
      <c r="E189" s="303">
        <f t="shared" si="77"/>
        <v>0.27985582610971693</v>
      </c>
      <c r="F189" s="303">
        <f t="shared" si="77"/>
        <v>0.42607667238449171</v>
      </c>
      <c r="G189" s="303">
        <f t="shared" si="77"/>
        <v>0.57487704663656725</v>
      </c>
      <c r="H189" s="303">
        <f t="shared" si="77"/>
        <v>0.97703883268533032</v>
      </c>
      <c r="I189" s="303">
        <f t="shared" si="77"/>
        <v>1.4378224526325298</v>
      </c>
      <c r="J189" s="303">
        <f t="shared" si="77"/>
        <v>2.1188495870230226</v>
      </c>
      <c r="K189" s="303">
        <f t="shared" si="77"/>
        <v>1.9633714950561985</v>
      </c>
      <c r="L189" s="303">
        <f t="shared" si="77"/>
        <v>0.87654707695994327</v>
      </c>
      <c r="M189" s="303">
        <f t="shared" si="77"/>
        <v>0.46062811607701493</v>
      </c>
      <c r="N189" s="303">
        <f t="shared" si="77"/>
        <v>0.2415020862500617</v>
      </c>
      <c r="O189" s="303">
        <f t="shared" si="77"/>
        <v>0.19355856113350844</v>
      </c>
      <c r="P189" s="341" t="s">
        <v>56</v>
      </c>
      <c r="Q189" s="304"/>
    </row>
    <row r="190" spans="2:17">
      <c r="B190" s="288" t="s">
        <v>412</v>
      </c>
      <c r="D190" s="303">
        <f t="shared" ref="D190:O190" si="78">IF(D182&gt;0,CEBF*EBF*1000000/(($D$22*U_DAFbeheizt+$D$14*U_E3*bGW+E4beheizt*U_E4+BodenErdeF*U_Boden*bGF+$D$16*U_E5)*3600 + Vth*EBF*(1150-0.14*HueM)),0)</f>
        <v>228.31243693628369</v>
      </c>
      <c r="E190" s="303">
        <f t="shared" si="78"/>
        <v>228.31243693628369</v>
      </c>
      <c r="F190" s="303">
        <f t="shared" si="78"/>
        <v>228.31243693628369</v>
      </c>
      <c r="G190" s="303">
        <f t="shared" si="78"/>
        <v>228.31243693628369</v>
      </c>
      <c r="H190" s="303">
        <f t="shared" si="78"/>
        <v>228.31243693628369</v>
      </c>
      <c r="I190" s="303">
        <f t="shared" si="78"/>
        <v>228.31243693628369</v>
      </c>
      <c r="J190" s="303">
        <f t="shared" si="78"/>
        <v>228.31243693628369</v>
      </c>
      <c r="K190" s="303">
        <f t="shared" si="78"/>
        <v>228.31243693628369</v>
      </c>
      <c r="L190" s="303">
        <f t="shared" si="78"/>
        <v>228.31243693628369</v>
      </c>
      <c r="M190" s="303">
        <f t="shared" si="78"/>
        <v>228.31243693628369</v>
      </c>
      <c r="N190" s="303">
        <f t="shared" si="78"/>
        <v>228.31243693628369</v>
      </c>
      <c r="O190" s="303">
        <f t="shared" si="78"/>
        <v>228.31243693628369</v>
      </c>
      <c r="P190" s="341"/>
      <c r="Q190" s="304"/>
    </row>
    <row r="191" spans="2:17">
      <c r="B191" s="284" t="s">
        <v>403</v>
      </c>
      <c r="D191" s="303">
        <f>a0+D190/tau0</f>
        <v>16.22082912908558</v>
      </c>
      <c r="E191" s="303">
        <f>a0+E190/tau0</f>
        <v>16.22082912908558</v>
      </c>
      <c r="F191" s="303">
        <f>a0+F190/tau0</f>
        <v>16.22082912908558</v>
      </c>
      <c r="G191" s="303">
        <f>a0+G190/tau0</f>
        <v>16.22082912908558</v>
      </c>
      <c r="H191" s="303">
        <f t="shared" ref="H191:O191" si="79">a0+H190/tau0</f>
        <v>16.22082912908558</v>
      </c>
      <c r="I191" s="303">
        <f t="shared" si="79"/>
        <v>16.22082912908558</v>
      </c>
      <c r="J191" s="303">
        <f t="shared" si="79"/>
        <v>16.22082912908558</v>
      </c>
      <c r="K191" s="303">
        <f t="shared" si="79"/>
        <v>16.22082912908558</v>
      </c>
      <c r="L191" s="303">
        <f t="shared" si="79"/>
        <v>16.22082912908558</v>
      </c>
      <c r="M191" s="303">
        <f t="shared" si="79"/>
        <v>16.22082912908558</v>
      </c>
      <c r="N191" s="303">
        <f t="shared" si="79"/>
        <v>16.22082912908558</v>
      </c>
      <c r="O191" s="303">
        <f t="shared" si="79"/>
        <v>16.22082912908558</v>
      </c>
      <c r="P191" s="341"/>
      <c r="Q191" s="304"/>
    </row>
    <row r="192" spans="2:17">
      <c r="B192" s="284" t="s">
        <v>413</v>
      </c>
      <c r="D192" s="317">
        <f t="shared" ref="D192:O192" si="80">IF(D189=1,D191/(D191+1),IF(D182&lt;=0,0,(1-D189^D191)/(1-D189^(D191+1))))</f>
        <v>0.99999999999472688</v>
      </c>
      <c r="E192" s="317">
        <f t="shared" si="80"/>
        <v>0.99999999923045124</v>
      </c>
      <c r="F192" s="317">
        <f t="shared" si="80"/>
        <v>0.99999943916090572</v>
      </c>
      <c r="G192" s="317">
        <f t="shared" si="80"/>
        <v>0.99994646317109193</v>
      </c>
      <c r="H192" s="317">
        <f t="shared" si="80"/>
        <v>0.95222016082530414</v>
      </c>
      <c r="I192" s="317">
        <f t="shared" si="80"/>
        <v>0.69490919667534101</v>
      </c>
      <c r="J192" s="317">
        <f t="shared" si="80"/>
        <v>0.47195293878802885</v>
      </c>
      <c r="K192" s="317">
        <f t="shared" si="80"/>
        <v>0.50932354465798269</v>
      </c>
      <c r="L192" s="317">
        <f t="shared" si="80"/>
        <v>0.98375677756395874</v>
      </c>
      <c r="M192" s="317">
        <f t="shared" si="80"/>
        <v>0.9999981329581259</v>
      </c>
      <c r="N192" s="317">
        <f t="shared" si="80"/>
        <v>0.99999999992579736</v>
      </c>
      <c r="O192" s="317">
        <f t="shared" si="80"/>
        <v>0.99999999999782196</v>
      </c>
      <c r="P192" s="344">
        <f>IF(P188&gt;0,P193/P188,0)</f>
        <v>0.84060443393147077</v>
      </c>
      <c r="Q192" s="304"/>
    </row>
    <row r="193" spans="2:17">
      <c r="B193" s="302" t="s">
        <v>323</v>
      </c>
      <c r="D193" s="303">
        <f t="shared" ref="D193:O193" si="81">D188*D192</f>
        <v>19.521256871774586</v>
      </c>
      <c r="E193" s="303">
        <f t="shared" si="81"/>
        <v>22.870461597226821</v>
      </c>
      <c r="F193" s="303">
        <f t="shared" si="81"/>
        <v>31.703003797465968</v>
      </c>
      <c r="G193" s="303">
        <f t="shared" si="81"/>
        <v>34.744621765811324</v>
      </c>
      <c r="H193" s="303">
        <f t="shared" si="81"/>
        <v>38.937199130134864</v>
      </c>
      <c r="I193" s="303">
        <f t="shared" si="81"/>
        <v>29.310869063471344</v>
      </c>
      <c r="J193" s="303">
        <f t="shared" si="81"/>
        <v>21.247498059549702</v>
      </c>
      <c r="K193" s="303">
        <f t="shared" si="81"/>
        <v>21.247371421932684</v>
      </c>
      <c r="L193" s="303">
        <f t="shared" si="81"/>
        <v>32.86182768302784</v>
      </c>
      <c r="M193" s="303">
        <f t="shared" si="81"/>
        <v>25.921796710001374</v>
      </c>
      <c r="N193" s="303">
        <f t="shared" si="81"/>
        <v>18.641776098536148</v>
      </c>
      <c r="O193" s="303">
        <f t="shared" si="81"/>
        <v>17.353315695369137</v>
      </c>
      <c r="P193" s="296">
        <f>SUM(D193:O193)</f>
        <v>314.36099789430182</v>
      </c>
      <c r="Q193" s="304" t="s">
        <v>359</v>
      </c>
    </row>
    <row r="194" spans="2:17" ht="12.9" thickBot="1">
      <c r="B194" s="291" t="s">
        <v>404</v>
      </c>
      <c r="C194" s="335"/>
      <c r="D194" s="345"/>
      <c r="E194" s="345"/>
      <c r="F194" s="345"/>
      <c r="G194" s="345"/>
      <c r="H194" s="345"/>
      <c r="I194" s="345"/>
      <c r="J194" s="345"/>
      <c r="K194" s="345"/>
      <c r="L194" s="345"/>
      <c r="M194" s="345"/>
      <c r="N194" s="345"/>
      <c r="O194" s="346"/>
      <c r="P194" s="347"/>
      <c r="Q194" s="339"/>
    </row>
    <row r="195" spans="2:17" ht="12.9" thickBot="1">
      <c r="B195" s="305" t="s">
        <v>409</v>
      </c>
      <c r="C195" s="348"/>
      <c r="D195" s="349">
        <f>D182-D193</f>
        <v>75.90205351208067</v>
      </c>
      <c r="E195" s="349">
        <f t="shared" ref="E195:O195" si="82">E182-E193</f>
        <v>58.851837819403642</v>
      </c>
      <c r="F195" s="349">
        <f t="shared" si="82"/>
        <v>42.703842745756802</v>
      </c>
      <c r="G195" s="349">
        <f t="shared" si="82"/>
        <v>25.696966893126415</v>
      </c>
      <c r="H195" s="349">
        <f t="shared" si="82"/>
        <v>2.9147328364218907</v>
      </c>
      <c r="I195" s="349">
        <f t="shared" si="82"/>
        <v>2.4757933809191002E-2</v>
      </c>
      <c r="J195" s="349">
        <f t="shared" si="82"/>
        <v>5.7592661477201545E-5</v>
      </c>
      <c r="K195" s="349">
        <f t="shared" si="82"/>
        <v>1.8423027849578943E-4</v>
      </c>
      <c r="L195" s="349">
        <f t="shared" si="82"/>
        <v>5.2472756803611347</v>
      </c>
      <c r="M195" s="349">
        <f t="shared" si="82"/>
        <v>30.353198676597273</v>
      </c>
      <c r="N195" s="349">
        <f t="shared" si="82"/>
        <v>58.54917653206315</v>
      </c>
      <c r="O195" s="349">
        <f t="shared" si="82"/>
        <v>72.300769320469342</v>
      </c>
      <c r="P195" s="373">
        <f>SUM(D195:O195)</f>
        <v>372.5448537730295</v>
      </c>
      <c r="Q195" s="351" t="s">
        <v>359</v>
      </c>
    </row>
    <row r="196" spans="2:17">
      <c r="P196" s="1291">
        <f>P195/3.6</f>
        <v>103.48468160361931</v>
      </c>
      <c r="Q196" s="270" t="s">
        <v>1658</v>
      </c>
    </row>
  </sheetData>
  <sheetProtection selectLockedCells="1"/>
  <dataValidations count="1">
    <dataValidation type="list" allowBlank="1" showInputMessage="1" showErrorMessage="1" sqref="WUT983058:WUT983059 IH3:IH4 SD3:SD4 ABZ3:ABZ4 ALV3:ALV4 AVR3:AVR4 BFN3:BFN4 BPJ3:BPJ4 BZF3:BZF4 CJB3:CJB4 CSX3:CSX4 DCT3:DCT4 DMP3:DMP4 DWL3:DWL4 EGH3:EGH4 EQD3:EQD4 EZZ3:EZZ4 FJV3:FJV4 FTR3:FTR4 GDN3:GDN4 GNJ3:GNJ4 GXF3:GXF4 HHB3:HHB4 HQX3:HQX4 IAT3:IAT4 IKP3:IKP4 IUL3:IUL4 JEH3:JEH4 JOD3:JOD4 JXZ3:JXZ4 KHV3:KHV4 KRR3:KRR4 LBN3:LBN4 LLJ3:LLJ4 LVF3:LVF4 MFB3:MFB4 MOX3:MOX4 MYT3:MYT4 NIP3:NIP4 NSL3:NSL4 OCH3:OCH4 OMD3:OMD4 OVZ3:OVZ4 PFV3:PFV4 PPR3:PPR4 PZN3:PZN4 QJJ3:QJJ4 QTF3:QTF4 RDB3:RDB4 RMX3:RMX4 RWT3:RWT4 SGP3:SGP4 SQL3:SQL4 TAH3:TAH4 TKD3:TKD4 TTZ3:TTZ4 UDV3:UDV4 UNR3:UNR4 UXN3:UXN4 VHJ3:VHJ4 VRF3:VRF4 WBB3:WBB4 WKX3:WKX4 WUT3:WUT4 E65554:E65555 IH65554:IH65555 SD65554:SD65555 ABZ65554:ABZ65555 ALV65554:ALV65555 AVR65554:AVR65555 BFN65554:BFN65555 BPJ65554:BPJ65555 BZF65554:BZF65555 CJB65554:CJB65555 CSX65554:CSX65555 DCT65554:DCT65555 DMP65554:DMP65555 DWL65554:DWL65555 EGH65554:EGH65555 EQD65554:EQD65555 EZZ65554:EZZ65555 FJV65554:FJV65555 FTR65554:FTR65555 GDN65554:GDN65555 GNJ65554:GNJ65555 GXF65554:GXF65555 HHB65554:HHB65555 HQX65554:HQX65555 IAT65554:IAT65555 IKP65554:IKP65555 IUL65554:IUL65555 JEH65554:JEH65555 JOD65554:JOD65555 JXZ65554:JXZ65555 KHV65554:KHV65555 KRR65554:KRR65555 LBN65554:LBN65555 LLJ65554:LLJ65555 LVF65554:LVF65555 MFB65554:MFB65555 MOX65554:MOX65555 MYT65554:MYT65555 NIP65554:NIP65555 NSL65554:NSL65555 OCH65554:OCH65555 OMD65554:OMD65555 OVZ65554:OVZ65555 PFV65554:PFV65555 PPR65554:PPR65555 PZN65554:PZN65555 QJJ65554:QJJ65555 QTF65554:QTF65555 RDB65554:RDB65555 RMX65554:RMX65555 RWT65554:RWT65555 SGP65554:SGP65555 SQL65554:SQL65555 TAH65554:TAH65555 TKD65554:TKD65555 TTZ65554:TTZ65555 UDV65554:UDV65555 UNR65554:UNR65555 UXN65554:UXN65555 VHJ65554:VHJ65555 VRF65554:VRF65555 WBB65554:WBB65555 WKX65554:WKX65555 WUT65554:WUT65555 E131090:E131091 IH131090:IH131091 SD131090:SD131091 ABZ131090:ABZ131091 ALV131090:ALV131091 AVR131090:AVR131091 BFN131090:BFN131091 BPJ131090:BPJ131091 BZF131090:BZF131091 CJB131090:CJB131091 CSX131090:CSX131091 DCT131090:DCT131091 DMP131090:DMP131091 DWL131090:DWL131091 EGH131090:EGH131091 EQD131090:EQD131091 EZZ131090:EZZ131091 FJV131090:FJV131091 FTR131090:FTR131091 GDN131090:GDN131091 GNJ131090:GNJ131091 GXF131090:GXF131091 HHB131090:HHB131091 HQX131090:HQX131091 IAT131090:IAT131091 IKP131090:IKP131091 IUL131090:IUL131091 JEH131090:JEH131091 JOD131090:JOD131091 JXZ131090:JXZ131091 KHV131090:KHV131091 KRR131090:KRR131091 LBN131090:LBN131091 LLJ131090:LLJ131091 LVF131090:LVF131091 MFB131090:MFB131091 MOX131090:MOX131091 MYT131090:MYT131091 NIP131090:NIP131091 NSL131090:NSL131091 OCH131090:OCH131091 OMD131090:OMD131091 OVZ131090:OVZ131091 PFV131090:PFV131091 PPR131090:PPR131091 PZN131090:PZN131091 QJJ131090:QJJ131091 QTF131090:QTF131091 RDB131090:RDB131091 RMX131090:RMX131091 RWT131090:RWT131091 SGP131090:SGP131091 SQL131090:SQL131091 TAH131090:TAH131091 TKD131090:TKD131091 TTZ131090:TTZ131091 UDV131090:UDV131091 UNR131090:UNR131091 UXN131090:UXN131091 VHJ131090:VHJ131091 VRF131090:VRF131091 WBB131090:WBB131091 WKX131090:WKX131091 WUT131090:WUT131091 E196626:E196627 IH196626:IH196627 SD196626:SD196627 ABZ196626:ABZ196627 ALV196626:ALV196627 AVR196626:AVR196627 BFN196626:BFN196627 BPJ196626:BPJ196627 BZF196626:BZF196627 CJB196626:CJB196627 CSX196626:CSX196627 DCT196626:DCT196627 DMP196626:DMP196627 DWL196626:DWL196627 EGH196626:EGH196627 EQD196626:EQD196627 EZZ196626:EZZ196627 FJV196626:FJV196627 FTR196626:FTR196627 GDN196626:GDN196627 GNJ196626:GNJ196627 GXF196626:GXF196627 HHB196626:HHB196627 HQX196626:HQX196627 IAT196626:IAT196627 IKP196626:IKP196627 IUL196626:IUL196627 JEH196626:JEH196627 JOD196626:JOD196627 JXZ196626:JXZ196627 KHV196626:KHV196627 KRR196626:KRR196627 LBN196626:LBN196627 LLJ196626:LLJ196627 LVF196626:LVF196627 MFB196626:MFB196627 MOX196626:MOX196627 MYT196626:MYT196627 NIP196626:NIP196627 NSL196626:NSL196627 OCH196626:OCH196627 OMD196626:OMD196627 OVZ196626:OVZ196627 PFV196626:PFV196627 PPR196626:PPR196627 PZN196626:PZN196627 QJJ196626:QJJ196627 QTF196626:QTF196627 RDB196626:RDB196627 RMX196626:RMX196627 RWT196626:RWT196627 SGP196626:SGP196627 SQL196626:SQL196627 TAH196626:TAH196627 TKD196626:TKD196627 TTZ196626:TTZ196627 UDV196626:UDV196627 UNR196626:UNR196627 UXN196626:UXN196627 VHJ196626:VHJ196627 VRF196626:VRF196627 WBB196626:WBB196627 WKX196626:WKX196627 WUT196626:WUT196627 E262162:E262163 IH262162:IH262163 SD262162:SD262163 ABZ262162:ABZ262163 ALV262162:ALV262163 AVR262162:AVR262163 BFN262162:BFN262163 BPJ262162:BPJ262163 BZF262162:BZF262163 CJB262162:CJB262163 CSX262162:CSX262163 DCT262162:DCT262163 DMP262162:DMP262163 DWL262162:DWL262163 EGH262162:EGH262163 EQD262162:EQD262163 EZZ262162:EZZ262163 FJV262162:FJV262163 FTR262162:FTR262163 GDN262162:GDN262163 GNJ262162:GNJ262163 GXF262162:GXF262163 HHB262162:HHB262163 HQX262162:HQX262163 IAT262162:IAT262163 IKP262162:IKP262163 IUL262162:IUL262163 JEH262162:JEH262163 JOD262162:JOD262163 JXZ262162:JXZ262163 KHV262162:KHV262163 KRR262162:KRR262163 LBN262162:LBN262163 LLJ262162:LLJ262163 LVF262162:LVF262163 MFB262162:MFB262163 MOX262162:MOX262163 MYT262162:MYT262163 NIP262162:NIP262163 NSL262162:NSL262163 OCH262162:OCH262163 OMD262162:OMD262163 OVZ262162:OVZ262163 PFV262162:PFV262163 PPR262162:PPR262163 PZN262162:PZN262163 QJJ262162:QJJ262163 QTF262162:QTF262163 RDB262162:RDB262163 RMX262162:RMX262163 RWT262162:RWT262163 SGP262162:SGP262163 SQL262162:SQL262163 TAH262162:TAH262163 TKD262162:TKD262163 TTZ262162:TTZ262163 UDV262162:UDV262163 UNR262162:UNR262163 UXN262162:UXN262163 VHJ262162:VHJ262163 VRF262162:VRF262163 WBB262162:WBB262163 WKX262162:WKX262163 WUT262162:WUT262163 E327698:E327699 IH327698:IH327699 SD327698:SD327699 ABZ327698:ABZ327699 ALV327698:ALV327699 AVR327698:AVR327699 BFN327698:BFN327699 BPJ327698:BPJ327699 BZF327698:BZF327699 CJB327698:CJB327699 CSX327698:CSX327699 DCT327698:DCT327699 DMP327698:DMP327699 DWL327698:DWL327699 EGH327698:EGH327699 EQD327698:EQD327699 EZZ327698:EZZ327699 FJV327698:FJV327699 FTR327698:FTR327699 GDN327698:GDN327699 GNJ327698:GNJ327699 GXF327698:GXF327699 HHB327698:HHB327699 HQX327698:HQX327699 IAT327698:IAT327699 IKP327698:IKP327699 IUL327698:IUL327699 JEH327698:JEH327699 JOD327698:JOD327699 JXZ327698:JXZ327699 KHV327698:KHV327699 KRR327698:KRR327699 LBN327698:LBN327699 LLJ327698:LLJ327699 LVF327698:LVF327699 MFB327698:MFB327699 MOX327698:MOX327699 MYT327698:MYT327699 NIP327698:NIP327699 NSL327698:NSL327699 OCH327698:OCH327699 OMD327698:OMD327699 OVZ327698:OVZ327699 PFV327698:PFV327699 PPR327698:PPR327699 PZN327698:PZN327699 QJJ327698:QJJ327699 QTF327698:QTF327699 RDB327698:RDB327699 RMX327698:RMX327699 RWT327698:RWT327699 SGP327698:SGP327699 SQL327698:SQL327699 TAH327698:TAH327699 TKD327698:TKD327699 TTZ327698:TTZ327699 UDV327698:UDV327699 UNR327698:UNR327699 UXN327698:UXN327699 VHJ327698:VHJ327699 VRF327698:VRF327699 WBB327698:WBB327699 WKX327698:WKX327699 WUT327698:WUT327699 E393234:E393235 IH393234:IH393235 SD393234:SD393235 ABZ393234:ABZ393235 ALV393234:ALV393235 AVR393234:AVR393235 BFN393234:BFN393235 BPJ393234:BPJ393235 BZF393234:BZF393235 CJB393234:CJB393235 CSX393234:CSX393235 DCT393234:DCT393235 DMP393234:DMP393235 DWL393234:DWL393235 EGH393234:EGH393235 EQD393234:EQD393235 EZZ393234:EZZ393235 FJV393234:FJV393235 FTR393234:FTR393235 GDN393234:GDN393235 GNJ393234:GNJ393235 GXF393234:GXF393235 HHB393234:HHB393235 HQX393234:HQX393235 IAT393234:IAT393235 IKP393234:IKP393235 IUL393234:IUL393235 JEH393234:JEH393235 JOD393234:JOD393235 JXZ393234:JXZ393235 KHV393234:KHV393235 KRR393234:KRR393235 LBN393234:LBN393235 LLJ393234:LLJ393235 LVF393234:LVF393235 MFB393234:MFB393235 MOX393234:MOX393235 MYT393234:MYT393235 NIP393234:NIP393235 NSL393234:NSL393235 OCH393234:OCH393235 OMD393234:OMD393235 OVZ393234:OVZ393235 PFV393234:PFV393235 PPR393234:PPR393235 PZN393234:PZN393235 QJJ393234:QJJ393235 QTF393234:QTF393235 RDB393234:RDB393235 RMX393234:RMX393235 RWT393234:RWT393235 SGP393234:SGP393235 SQL393234:SQL393235 TAH393234:TAH393235 TKD393234:TKD393235 TTZ393234:TTZ393235 UDV393234:UDV393235 UNR393234:UNR393235 UXN393234:UXN393235 VHJ393234:VHJ393235 VRF393234:VRF393235 WBB393234:WBB393235 WKX393234:WKX393235 WUT393234:WUT393235 E458770:E458771 IH458770:IH458771 SD458770:SD458771 ABZ458770:ABZ458771 ALV458770:ALV458771 AVR458770:AVR458771 BFN458770:BFN458771 BPJ458770:BPJ458771 BZF458770:BZF458771 CJB458770:CJB458771 CSX458770:CSX458771 DCT458770:DCT458771 DMP458770:DMP458771 DWL458770:DWL458771 EGH458770:EGH458771 EQD458770:EQD458771 EZZ458770:EZZ458771 FJV458770:FJV458771 FTR458770:FTR458771 GDN458770:GDN458771 GNJ458770:GNJ458771 GXF458770:GXF458771 HHB458770:HHB458771 HQX458770:HQX458771 IAT458770:IAT458771 IKP458770:IKP458771 IUL458770:IUL458771 JEH458770:JEH458771 JOD458770:JOD458771 JXZ458770:JXZ458771 KHV458770:KHV458771 KRR458770:KRR458771 LBN458770:LBN458771 LLJ458770:LLJ458771 LVF458770:LVF458771 MFB458770:MFB458771 MOX458770:MOX458771 MYT458770:MYT458771 NIP458770:NIP458771 NSL458770:NSL458771 OCH458770:OCH458771 OMD458770:OMD458771 OVZ458770:OVZ458771 PFV458770:PFV458771 PPR458770:PPR458771 PZN458770:PZN458771 QJJ458770:QJJ458771 QTF458770:QTF458771 RDB458770:RDB458771 RMX458770:RMX458771 RWT458770:RWT458771 SGP458770:SGP458771 SQL458770:SQL458771 TAH458770:TAH458771 TKD458770:TKD458771 TTZ458770:TTZ458771 UDV458770:UDV458771 UNR458770:UNR458771 UXN458770:UXN458771 VHJ458770:VHJ458771 VRF458770:VRF458771 WBB458770:WBB458771 WKX458770:WKX458771 WUT458770:WUT458771 E524306:E524307 IH524306:IH524307 SD524306:SD524307 ABZ524306:ABZ524307 ALV524306:ALV524307 AVR524306:AVR524307 BFN524306:BFN524307 BPJ524306:BPJ524307 BZF524306:BZF524307 CJB524306:CJB524307 CSX524306:CSX524307 DCT524306:DCT524307 DMP524306:DMP524307 DWL524306:DWL524307 EGH524306:EGH524307 EQD524306:EQD524307 EZZ524306:EZZ524307 FJV524306:FJV524307 FTR524306:FTR524307 GDN524306:GDN524307 GNJ524306:GNJ524307 GXF524306:GXF524307 HHB524306:HHB524307 HQX524306:HQX524307 IAT524306:IAT524307 IKP524306:IKP524307 IUL524306:IUL524307 JEH524306:JEH524307 JOD524306:JOD524307 JXZ524306:JXZ524307 KHV524306:KHV524307 KRR524306:KRR524307 LBN524306:LBN524307 LLJ524306:LLJ524307 LVF524306:LVF524307 MFB524306:MFB524307 MOX524306:MOX524307 MYT524306:MYT524307 NIP524306:NIP524307 NSL524306:NSL524307 OCH524306:OCH524307 OMD524306:OMD524307 OVZ524306:OVZ524307 PFV524306:PFV524307 PPR524306:PPR524307 PZN524306:PZN524307 QJJ524306:QJJ524307 QTF524306:QTF524307 RDB524306:RDB524307 RMX524306:RMX524307 RWT524306:RWT524307 SGP524306:SGP524307 SQL524306:SQL524307 TAH524306:TAH524307 TKD524306:TKD524307 TTZ524306:TTZ524307 UDV524306:UDV524307 UNR524306:UNR524307 UXN524306:UXN524307 VHJ524306:VHJ524307 VRF524306:VRF524307 WBB524306:WBB524307 WKX524306:WKX524307 WUT524306:WUT524307 E589842:E589843 IH589842:IH589843 SD589842:SD589843 ABZ589842:ABZ589843 ALV589842:ALV589843 AVR589842:AVR589843 BFN589842:BFN589843 BPJ589842:BPJ589843 BZF589842:BZF589843 CJB589842:CJB589843 CSX589842:CSX589843 DCT589842:DCT589843 DMP589842:DMP589843 DWL589842:DWL589843 EGH589842:EGH589843 EQD589842:EQD589843 EZZ589842:EZZ589843 FJV589842:FJV589843 FTR589842:FTR589843 GDN589842:GDN589843 GNJ589842:GNJ589843 GXF589842:GXF589843 HHB589842:HHB589843 HQX589842:HQX589843 IAT589842:IAT589843 IKP589842:IKP589843 IUL589842:IUL589843 JEH589842:JEH589843 JOD589842:JOD589843 JXZ589842:JXZ589843 KHV589842:KHV589843 KRR589842:KRR589843 LBN589842:LBN589843 LLJ589842:LLJ589843 LVF589842:LVF589843 MFB589842:MFB589843 MOX589842:MOX589843 MYT589842:MYT589843 NIP589842:NIP589843 NSL589842:NSL589843 OCH589842:OCH589843 OMD589842:OMD589843 OVZ589842:OVZ589843 PFV589842:PFV589843 PPR589842:PPR589843 PZN589842:PZN589843 QJJ589842:QJJ589843 QTF589842:QTF589843 RDB589842:RDB589843 RMX589842:RMX589843 RWT589842:RWT589843 SGP589842:SGP589843 SQL589842:SQL589843 TAH589842:TAH589843 TKD589842:TKD589843 TTZ589842:TTZ589843 UDV589842:UDV589843 UNR589842:UNR589843 UXN589842:UXN589843 VHJ589842:VHJ589843 VRF589842:VRF589843 WBB589842:WBB589843 WKX589842:WKX589843 WUT589842:WUT589843 E655378:E655379 IH655378:IH655379 SD655378:SD655379 ABZ655378:ABZ655379 ALV655378:ALV655379 AVR655378:AVR655379 BFN655378:BFN655379 BPJ655378:BPJ655379 BZF655378:BZF655379 CJB655378:CJB655379 CSX655378:CSX655379 DCT655378:DCT655379 DMP655378:DMP655379 DWL655378:DWL655379 EGH655378:EGH655379 EQD655378:EQD655379 EZZ655378:EZZ655379 FJV655378:FJV655379 FTR655378:FTR655379 GDN655378:GDN655379 GNJ655378:GNJ655379 GXF655378:GXF655379 HHB655378:HHB655379 HQX655378:HQX655379 IAT655378:IAT655379 IKP655378:IKP655379 IUL655378:IUL655379 JEH655378:JEH655379 JOD655378:JOD655379 JXZ655378:JXZ655379 KHV655378:KHV655379 KRR655378:KRR655379 LBN655378:LBN655379 LLJ655378:LLJ655379 LVF655378:LVF655379 MFB655378:MFB655379 MOX655378:MOX655379 MYT655378:MYT655379 NIP655378:NIP655379 NSL655378:NSL655379 OCH655378:OCH655379 OMD655378:OMD655379 OVZ655378:OVZ655379 PFV655378:PFV655379 PPR655378:PPR655379 PZN655378:PZN655379 QJJ655378:QJJ655379 QTF655378:QTF655379 RDB655378:RDB655379 RMX655378:RMX655379 RWT655378:RWT655379 SGP655378:SGP655379 SQL655378:SQL655379 TAH655378:TAH655379 TKD655378:TKD655379 TTZ655378:TTZ655379 UDV655378:UDV655379 UNR655378:UNR655379 UXN655378:UXN655379 VHJ655378:VHJ655379 VRF655378:VRF655379 WBB655378:WBB655379 WKX655378:WKX655379 WUT655378:WUT655379 E720914:E720915 IH720914:IH720915 SD720914:SD720915 ABZ720914:ABZ720915 ALV720914:ALV720915 AVR720914:AVR720915 BFN720914:BFN720915 BPJ720914:BPJ720915 BZF720914:BZF720915 CJB720914:CJB720915 CSX720914:CSX720915 DCT720914:DCT720915 DMP720914:DMP720915 DWL720914:DWL720915 EGH720914:EGH720915 EQD720914:EQD720915 EZZ720914:EZZ720915 FJV720914:FJV720915 FTR720914:FTR720915 GDN720914:GDN720915 GNJ720914:GNJ720915 GXF720914:GXF720915 HHB720914:HHB720915 HQX720914:HQX720915 IAT720914:IAT720915 IKP720914:IKP720915 IUL720914:IUL720915 JEH720914:JEH720915 JOD720914:JOD720915 JXZ720914:JXZ720915 KHV720914:KHV720915 KRR720914:KRR720915 LBN720914:LBN720915 LLJ720914:LLJ720915 LVF720914:LVF720915 MFB720914:MFB720915 MOX720914:MOX720915 MYT720914:MYT720915 NIP720914:NIP720915 NSL720914:NSL720915 OCH720914:OCH720915 OMD720914:OMD720915 OVZ720914:OVZ720915 PFV720914:PFV720915 PPR720914:PPR720915 PZN720914:PZN720915 QJJ720914:QJJ720915 QTF720914:QTF720915 RDB720914:RDB720915 RMX720914:RMX720915 RWT720914:RWT720915 SGP720914:SGP720915 SQL720914:SQL720915 TAH720914:TAH720915 TKD720914:TKD720915 TTZ720914:TTZ720915 UDV720914:UDV720915 UNR720914:UNR720915 UXN720914:UXN720915 VHJ720914:VHJ720915 VRF720914:VRF720915 WBB720914:WBB720915 WKX720914:WKX720915 WUT720914:WUT720915 E786450:E786451 IH786450:IH786451 SD786450:SD786451 ABZ786450:ABZ786451 ALV786450:ALV786451 AVR786450:AVR786451 BFN786450:BFN786451 BPJ786450:BPJ786451 BZF786450:BZF786451 CJB786450:CJB786451 CSX786450:CSX786451 DCT786450:DCT786451 DMP786450:DMP786451 DWL786450:DWL786451 EGH786450:EGH786451 EQD786450:EQD786451 EZZ786450:EZZ786451 FJV786450:FJV786451 FTR786450:FTR786451 GDN786450:GDN786451 GNJ786450:GNJ786451 GXF786450:GXF786451 HHB786450:HHB786451 HQX786450:HQX786451 IAT786450:IAT786451 IKP786450:IKP786451 IUL786450:IUL786451 JEH786450:JEH786451 JOD786450:JOD786451 JXZ786450:JXZ786451 KHV786450:KHV786451 KRR786450:KRR786451 LBN786450:LBN786451 LLJ786450:LLJ786451 LVF786450:LVF786451 MFB786450:MFB786451 MOX786450:MOX786451 MYT786450:MYT786451 NIP786450:NIP786451 NSL786450:NSL786451 OCH786450:OCH786451 OMD786450:OMD786451 OVZ786450:OVZ786451 PFV786450:PFV786451 PPR786450:PPR786451 PZN786450:PZN786451 QJJ786450:QJJ786451 QTF786450:QTF786451 RDB786450:RDB786451 RMX786450:RMX786451 RWT786450:RWT786451 SGP786450:SGP786451 SQL786450:SQL786451 TAH786450:TAH786451 TKD786450:TKD786451 TTZ786450:TTZ786451 UDV786450:UDV786451 UNR786450:UNR786451 UXN786450:UXN786451 VHJ786450:VHJ786451 VRF786450:VRF786451 WBB786450:WBB786451 WKX786450:WKX786451 WUT786450:WUT786451 E851986:E851987 IH851986:IH851987 SD851986:SD851987 ABZ851986:ABZ851987 ALV851986:ALV851987 AVR851986:AVR851987 BFN851986:BFN851987 BPJ851986:BPJ851987 BZF851986:BZF851987 CJB851986:CJB851987 CSX851986:CSX851987 DCT851986:DCT851987 DMP851986:DMP851987 DWL851986:DWL851987 EGH851986:EGH851987 EQD851986:EQD851987 EZZ851986:EZZ851987 FJV851986:FJV851987 FTR851986:FTR851987 GDN851986:GDN851987 GNJ851986:GNJ851987 GXF851986:GXF851987 HHB851986:HHB851987 HQX851986:HQX851987 IAT851986:IAT851987 IKP851986:IKP851987 IUL851986:IUL851987 JEH851986:JEH851987 JOD851986:JOD851987 JXZ851986:JXZ851987 KHV851986:KHV851987 KRR851986:KRR851987 LBN851986:LBN851987 LLJ851986:LLJ851987 LVF851986:LVF851987 MFB851986:MFB851987 MOX851986:MOX851987 MYT851986:MYT851987 NIP851986:NIP851987 NSL851986:NSL851987 OCH851986:OCH851987 OMD851986:OMD851987 OVZ851986:OVZ851987 PFV851986:PFV851987 PPR851986:PPR851987 PZN851986:PZN851987 QJJ851986:QJJ851987 QTF851986:QTF851987 RDB851986:RDB851987 RMX851986:RMX851987 RWT851986:RWT851987 SGP851986:SGP851987 SQL851986:SQL851987 TAH851986:TAH851987 TKD851986:TKD851987 TTZ851986:TTZ851987 UDV851986:UDV851987 UNR851986:UNR851987 UXN851986:UXN851987 VHJ851986:VHJ851987 VRF851986:VRF851987 WBB851986:WBB851987 WKX851986:WKX851987 WUT851986:WUT851987 E917522:E917523 IH917522:IH917523 SD917522:SD917523 ABZ917522:ABZ917523 ALV917522:ALV917523 AVR917522:AVR917523 BFN917522:BFN917523 BPJ917522:BPJ917523 BZF917522:BZF917523 CJB917522:CJB917523 CSX917522:CSX917523 DCT917522:DCT917523 DMP917522:DMP917523 DWL917522:DWL917523 EGH917522:EGH917523 EQD917522:EQD917523 EZZ917522:EZZ917523 FJV917522:FJV917523 FTR917522:FTR917523 GDN917522:GDN917523 GNJ917522:GNJ917523 GXF917522:GXF917523 HHB917522:HHB917523 HQX917522:HQX917523 IAT917522:IAT917523 IKP917522:IKP917523 IUL917522:IUL917523 JEH917522:JEH917523 JOD917522:JOD917523 JXZ917522:JXZ917523 KHV917522:KHV917523 KRR917522:KRR917523 LBN917522:LBN917523 LLJ917522:LLJ917523 LVF917522:LVF917523 MFB917522:MFB917523 MOX917522:MOX917523 MYT917522:MYT917523 NIP917522:NIP917523 NSL917522:NSL917523 OCH917522:OCH917523 OMD917522:OMD917523 OVZ917522:OVZ917523 PFV917522:PFV917523 PPR917522:PPR917523 PZN917522:PZN917523 QJJ917522:QJJ917523 QTF917522:QTF917523 RDB917522:RDB917523 RMX917522:RMX917523 RWT917522:RWT917523 SGP917522:SGP917523 SQL917522:SQL917523 TAH917522:TAH917523 TKD917522:TKD917523 TTZ917522:TTZ917523 UDV917522:UDV917523 UNR917522:UNR917523 UXN917522:UXN917523 VHJ917522:VHJ917523 VRF917522:VRF917523 WBB917522:WBB917523 WKX917522:WKX917523 WUT917522:WUT917523 E983058:E983059 IH983058:IH983059 SD983058:SD983059 ABZ983058:ABZ983059 ALV983058:ALV983059 AVR983058:AVR983059 BFN983058:BFN983059 BPJ983058:BPJ983059 BZF983058:BZF983059 CJB983058:CJB983059 CSX983058:CSX983059 DCT983058:DCT983059 DMP983058:DMP983059 DWL983058:DWL983059 EGH983058:EGH983059 EQD983058:EQD983059 EZZ983058:EZZ983059 FJV983058:FJV983059 FTR983058:FTR983059 GDN983058:GDN983059 GNJ983058:GNJ983059 GXF983058:GXF983059 HHB983058:HHB983059 HQX983058:HQX983059 IAT983058:IAT983059 IKP983058:IKP983059 IUL983058:IUL983059 JEH983058:JEH983059 JOD983058:JOD983059 JXZ983058:JXZ983059 KHV983058:KHV983059 KRR983058:KRR983059 LBN983058:LBN983059 LLJ983058:LLJ983059 LVF983058:LVF983059 MFB983058:MFB983059 MOX983058:MOX983059 MYT983058:MYT983059 NIP983058:NIP983059 NSL983058:NSL983059 OCH983058:OCH983059 OMD983058:OMD983059 OVZ983058:OVZ983059 PFV983058:PFV983059 PPR983058:PPR983059 PZN983058:PZN983059 QJJ983058:QJJ983059 QTF983058:QTF983059 RDB983058:RDB983059 RMX983058:RMX983059 RWT983058:RWT983059 SGP983058:SGP983059 SQL983058:SQL983059 TAH983058:TAH983059 TKD983058:TKD983059 TTZ983058:TTZ983059 UDV983058:UDV983059 UNR983058:UNR983059 UXN983058:UXN983059 VHJ983058:VHJ983059 VRF983058:VRF983059 WBB983058:WBB983059 WKX983058:WKX983059 D6:D7" xr:uid="{00000000-0002-0000-1600-000000000000}">
      <formula1>#REF!</formula1>
    </dataValidation>
  </dataValidations>
  <pageMargins left="0.78740157499999996" right="0.78740157499999996" top="0.984251969" bottom="0.984251969" header="0.4921259845" footer="0.4921259845"/>
  <pageSetup paperSize="9" scale="72" orientation="landscape" r:id="rId1"/>
  <headerFooter alignWithMargins="0">
    <oddHeader>&amp;CSIA 2024 Raum-Datenblätter</oddHeader>
    <oddFooter>&amp;CSIA 2024, Copyright © 2021 by SIA Zurich</oddFooter>
  </headerFooter>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59BC4-20B2-4CA5-9FEE-A4EA8E80A755}">
  <sheetPr codeName="tblQhc">
    <tabColor theme="6" tint="0.59999389629810485"/>
  </sheetPr>
  <dimension ref="A1:RO51"/>
  <sheetViews>
    <sheetView showGridLines="0" workbookViewId="0">
      <selection activeCell="K5" sqref="K5"/>
    </sheetView>
  </sheetViews>
  <sheetFormatPr baseColWidth="10" defaultRowHeight="12.45"/>
  <cols>
    <col min="1" max="1" width="6.61328125" customWidth="1"/>
    <col min="2" max="2" width="16.61328125" customWidth="1"/>
    <col min="4" max="483" width="6.61328125" customWidth="1"/>
  </cols>
  <sheetData>
    <row r="1" spans="1:483" ht="15.45">
      <c r="A1" s="77" t="s">
        <v>2253</v>
      </c>
    </row>
    <row r="2" spans="1:483" ht="15.45">
      <c r="A2" s="77"/>
      <c r="B2" s="379"/>
      <c r="C2" s="379"/>
    </row>
    <row r="3" spans="1:483">
      <c r="A3" s="379"/>
      <c r="B3" s="379"/>
      <c r="C3" s="379"/>
      <c r="D3" s="1917" t="str">
        <f>Winter_Auslegung!A5</f>
        <v>Adelboden</v>
      </c>
      <c r="E3" s="1918"/>
      <c r="F3" s="1918"/>
      <c r="G3" s="1918"/>
      <c r="H3" s="1918"/>
      <c r="I3" s="1918"/>
      <c r="J3" s="1918"/>
      <c r="K3" s="1918"/>
      <c r="L3" s="1918"/>
      <c r="M3" s="1918"/>
      <c r="N3" s="1918"/>
      <c r="O3" s="1919"/>
      <c r="P3" s="1917" t="str">
        <f>Winter_Auslegung!A6</f>
        <v>Aigle</v>
      </c>
      <c r="Q3" s="1918"/>
      <c r="R3" s="1918"/>
      <c r="S3" s="1918"/>
      <c r="T3" s="1918"/>
      <c r="U3" s="1918"/>
      <c r="V3" s="1918"/>
      <c r="W3" s="1918"/>
      <c r="X3" s="1918"/>
      <c r="Y3" s="1918"/>
      <c r="Z3" s="1918"/>
      <c r="AA3" s="1919"/>
      <c r="AB3" s="1917" t="str">
        <f>Winter_Auslegung!A7</f>
        <v>Altdorf</v>
      </c>
      <c r="AC3" s="1918"/>
      <c r="AD3" s="1918"/>
      <c r="AE3" s="1918"/>
      <c r="AF3" s="1918"/>
      <c r="AG3" s="1918"/>
      <c r="AH3" s="1918"/>
      <c r="AI3" s="1918"/>
      <c r="AJ3" s="1918"/>
      <c r="AK3" s="1918"/>
      <c r="AL3" s="1918"/>
      <c r="AM3" s="1919"/>
      <c r="AN3" s="1917" t="str">
        <f>Winter_Auslegung!A8</f>
        <v>Basel-Binningen</v>
      </c>
      <c r="AO3" s="1918"/>
      <c r="AP3" s="1918"/>
      <c r="AQ3" s="1918"/>
      <c r="AR3" s="1918"/>
      <c r="AS3" s="1918"/>
      <c r="AT3" s="1918"/>
      <c r="AU3" s="1918"/>
      <c r="AV3" s="1918"/>
      <c r="AW3" s="1918"/>
      <c r="AX3" s="1918"/>
      <c r="AY3" s="1919"/>
      <c r="AZ3" s="1917" t="str">
        <f>Winter_Auslegung!A9</f>
        <v>Bern-Liebefeld</v>
      </c>
      <c r="BA3" s="1918"/>
      <c r="BB3" s="1918"/>
      <c r="BC3" s="1918"/>
      <c r="BD3" s="1918"/>
      <c r="BE3" s="1918"/>
      <c r="BF3" s="1918"/>
      <c r="BG3" s="1918"/>
      <c r="BH3" s="1918"/>
      <c r="BI3" s="1918"/>
      <c r="BJ3" s="1918"/>
      <c r="BK3" s="1919"/>
      <c r="BL3" s="1917" t="str">
        <f>Winter_Auslegung!A10</f>
        <v>Buchs-Aarau</v>
      </c>
      <c r="BM3" s="1918"/>
      <c r="BN3" s="1918"/>
      <c r="BO3" s="1918"/>
      <c r="BP3" s="1918"/>
      <c r="BQ3" s="1918"/>
      <c r="BR3" s="1918"/>
      <c r="BS3" s="1918"/>
      <c r="BT3" s="1918"/>
      <c r="BU3" s="1918"/>
      <c r="BV3" s="1918"/>
      <c r="BW3" s="1919"/>
      <c r="BX3" s="1917" t="str">
        <f>Winter_Auslegung!A11</f>
        <v>Chur</v>
      </c>
      <c r="BY3" s="1918"/>
      <c r="BZ3" s="1918"/>
      <c r="CA3" s="1918"/>
      <c r="CB3" s="1918"/>
      <c r="CC3" s="1918"/>
      <c r="CD3" s="1918"/>
      <c r="CE3" s="1918"/>
      <c r="CF3" s="1918"/>
      <c r="CG3" s="1918"/>
      <c r="CH3" s="1918"/>
      <c r="CI3" s="1919"/>
      <c r="CJ3" s="1917" t="str">
        <f>Winter_Auslegung!A12</f>
        <v>Davos</v>
      </c>
      <c r="CK3" s="1918"/>
      <c r="CL3" s="1918"/>
      <c r="CM3" s="1918"/>
      <c r="CN3" s="1918"/>
      <c r="CO3" s="1918"/>
      <c r="CP3" s="1918"/>
      <c r="CQ3" s="1918"/>
      <c r="CR3" s="1918"/>
      <c r="CS3" s="1918"/>
      <c r="CT3" s="1918"/>
      <c r="CU3" s="1919"/>
      <c r="CV3" s="1917" t="str">
        <f>Winter_Auslegung!A13</f>
        <v>Disentis</v>
      </c>
      <c r="CW3" s="1918"/>
      <c r="CX3" s="1918"/>
      <c r="CY3" s="1918"/>
      <c r="CZ3" s="1918"/>
      <c r="DA3" s="1918"/>
      <c r="DB3" s="1918"/>
      <c r="DC3" s="1918"/>
      <c r="DD3" s="1918"/>
      <c r="DE3" s="1918"/>
      <c r="DF3" s="1918"/>
      <c r="DG3" s="1919"/>
      <c r="DH3" s="1917" t="str">
        <f>Winter_Auslegung!A14</f>
        <v>Engelberg</v>
      </c>
      <c r="DI3" s="1918"/>
      <c r="DJ3" s="1918"/>
      <c r="DK3" s="1918"/>
      <c r="DL3" s="1918"/>
      <c r="DM3" s="1918"/>
      <c r="DN3" s="1918"/>
      <c r="DO3" s="1918"/>
      <c r="DP3" s="1918"/>
      <c r="DQ3" s="1918"/>
      <c r="DR3" s="1918"/>
      <c r="DS3" s="1919"/>
      <c r="DT3" s="1917" t="str">
        <f>Winter_Auslegung!A15</f>
        <v>Genève-Cointrin</v>
      </c>
      <c r="DU3" s="1918"/>
      <c r="DV3" s="1918"/>
      <c r="DW3" s="1918"/>
      <c r="DX3" s="1918"/>
      <c r="DY3" s="1918"/>
      <c r="DZ3" s="1918"/>
      <c r="EA3" s="1918"/>
      <c r="EB3" s="1918"/>
      <c r="EC3" s="1918"/>
      <c r="ED3" s="1918"/>
      <c r="EE3" s="1919"/>
      <c r="EF3" s="1917" t="str">
        <f>Winter_Auslegung!A16</f>
        <v>Glarus</v>
      </c>
      <c r="EG3" s="1918"/>
      <c r="EH3" s="1918"/>
      <c r="EI3" s="1918"/>
      <c r="EJ3" s="1918"/>
      <c r="EK3" s="1918"/>
      <c r="EL3" s="1918"/>
      <c r="EM3" s="1918"/>
      <c r="EN3" s="1918"/>
      <c r="EO3" s="1918"/>
      <c r="EP3" s="1918"/>
      <c r="EQ3" s="1919"/>
      <c r="ER3" s="1917" t="str">
        <f>Winter_Auslegung!A17</f>
        <v>Grand-St-Bernard</v>
      </c>
      <c r="ES3" s="1918"/>
      <c r="ET3" s="1918"/>
      <c r="EU3" s="1918"/>
      <c r="EV3" s="1918"/>
      <c r="EW3" s="1918"/>
      <c r="EX3" s="1918"/>
      <c r="EY3" s="1918"/>
      <c r="EZ3" s="1918"/>
      <c r="FA3" s="1918"/>
      <c r="FB3" s="1918"/>
      <c r="FC3" s="1919"/>
      <c r="FD3" s="1917" t="str">
        <f>Winter_Auslegung!A18</f>
        <v>Güttingen</v>
      </c>
      <c r="FE3" s="1918"/>
      <c r="FF3" s="1918"/>
      <c r="FG3" s="1918"/>
      <c r="FH3" s="1918"/>
      <c r="FI3" s="1918"/>
      <c r="FJ3" s="1918"/>
      <c r="FK3" s="1918"/>
      <c r="FL3" s="1918"/>
      <c r="FM3" s="1918"/>
      <c r="FN3" s="1918"/>
      <c r="FO3" s="1919"/>
      <c r="FP3" s="1917" t="str">
        <f>Winter_Auslegung!A19</f>
        <v>Interlaken</v>
      </c>
      <c r="FQ3" s="1918"/>
      <c r="FR3" s="1918"/>
      <c r="FS3" s="1918"/>
      <c r="FT3" s="1918"/>
      <c r="FU3" s="1918"/>
      <c r="FV3" s="1918"/>
      <c r="FW3" s="1918"/>
      <c r="FX3" s="1918"/>
      <c r="FY3" s="1918"/>
      <c r="FZ3" s="1918"/>
      <c r="GA3" s="1919"/>
      <c r="GB3" s="1917" t="str">
        <f>Winter_Auslegung!A20</f>
        <v>La Chaux-de-Fonds</v>
      </c>
      <c r="GC3" s="1918"/>
      <c r="GD3" s="1918"/>
      <c r="GE3" s="1918"/>
      <c r="GF3" s="1918"/>
      <c r="GG3" s="1918"/>
      <c r="GH3" s="1918"/>
      <c r="GI3" s="1918"/>
      <c r="GJ3" s="1918"/>
      <c r="GK3" s="1918"/>
      <c r="GL3" s="1918"/>
      <c r="GM3" s="1919"/>
      <c r="GN3" s="1917" t="str">
        <f>Winter_Auslegung!A21</f>
        <v>La Frétaz</v>
      </c>
      <c r="GO3" s="1918"/>
      <c r="GP3" s="1918"/>
      <c r="GQ3" s="1918"/>
      <c r="GR3" s="1918"/>
      <c r="GS3" s="1918"/>
      <c r="GT3" s="1918"/>
      <c r="GU3" s="1918"/>
      <c r="GV3" s="1918"/>
      <c r="GW3" s="1918"/>
      <c r="GX3" s="1918"/>
      <c r="GY3" s="1919"/>
      <c r="GZ3" s="1917" t="str">
        <f>Winter_Auslegung!A22</f>
        <v>Locarno-Monti</v>
      </c>
      <c r="HA3" s="1918"/>
      <c r="HB3" s="1918"/>
      <c r="HC3" s="1918"/>
      <c r="HD3" s="1918"/>
      <c r="HE3" s="1918"/>
      <c r="HF3" s="1918"/>
      <c r="HG3" s="1918"/>
      <c r="HH3" s="1918"/>
      <c r="HI3" s="1918"/>
      <c r="HJ3" s="1918"/>
      <c r="HK3" s="1919"/>
      <c r="HL3" s="1917" t="str">
        <f>Winter_Auslegung!A23</f>
        <v>Lugano</v>
      </c>
      <c r="HM3" s="1918"/>
      <c r="HN3" s="1918"/>
      <c r="HO3" s="1918"/>
      <c r="HP3" s="1918"/>
      <c r="HQ3" s="1918"/>
      <c r="HR3" s="1918"/>
      <c r="HS3" s="1918"/>
      <c r="HT3" s="1918"/>
      <c r="HU3" s="1918"/>
      <c r="HV3" s="1918"/>
      <c r="HW3" s="1919"/>
      <c r="HX3" s="1917" t="str">
        <f>Winter_Auslegung!A24</f>
        <v>Luzern</v>
      </c>
      <c r="HY3" s="1918"/>
      <c r="HZ3" s="1918"/>
      <c r="IA3" s="1918"/>
      <c r="IB3" s="1918"/>
      <c r="IC3" s="1918"/>
      <c r="ID3" s="1918"/>
      <c r="IE3" s="1918"/>
      <c r="IF3" s="1918"/>
      <c r="IG3" s="1918"/>
      <c r="IH3" s="1918"/>
      <c r="II3" s="1919"/>
      <c r="IJ3" s="1917" t="str">
        <f>Winter_Auslegung!A25</f>
        <v>Magadino</v>
      </c>
      <c r="IK3" s="1918"/>
      <c r="IL3" s="1918"/>
      <c r="IM3" s="1918"/>
      <c r="IN3" s="1918"/>
      <c r="IO3" s="1918"/>
      <c r="IP3" s="1918"/>
      <c r="IQ3" s="1918"/>
      <c r="IR3" s="1918"/>
      <c r="IS3" s="1918"/>
      <c r="IT3" s="1918"/>
      <c r="IU3" s="1919"/>
      <c r="IV3" s="1917" t="str">
        <f>Winter_Auslegung!A26</f>
        <v>Montana</v>
      </c>
      <c r="IW3" s="1918"/>
      <c r="IX3" s="1918"/>
      <c r="IY3" s="1918"/>
      <c r="IZ3" s="1918"/>
      <c r="JA3" s="1918"/>
      <c r="JB3" s="1918"/>
      <c r="JC3" s="1918"/>
      <c r="JD3" s="1918"/>
      <c r="JE3" s="1918"/>
      <c r="JF3" s="1918"/>
      <c r="JG3" s="1919"/>
      <c r="JH3" s="1917" t="str">
        <f>Winter_Auslegung!A27</f>
        <v>Neuchâtel</v>
      </c>
      <c r="JI3" s="1918"/>
      <c r="JJ3" s="1918"/>
      <c r="JK3" s="1918"/>
      <c r="JL3" s="1918"/>
      <c r="JM3" s="1918"/>
      <c r="JN3" s="1918"/>
      <c r="JO3" s="1918"/>
      <c r="JP3" s="1918"/>
      <c r="JQ3" s="1918"/>
      <c r="JR3" s="1918"/>
      <c r="JS3" s="1919"/>
      <c r="JT3" s="1917" t="str">
        <f>Winter_Auslegung!A28</f>
        <v>Payerne</v>
      </c>
      <c r="JU3" s="1918"/>
      <c r="JV3" s="1918"/>
      <c r="JW3" s="1918"/>
      <c r="JX3" s="1918"/>
      <c r="JY3" s="1918"/>
      <c r="JZ3" s="1918"/>
      <c r="KA3" s="1918"/>
      <c r="KB3" s="1918"/>
      <c r="KC3" s="1918"/>
      <c r="KD3" s="1918"/>
      <c r="KE3" s="1919"/>
      <c r="KF3" s="1917" t="str">
        <f>Winter_Auslegung!A29</f>
        <v>Piotta</v>
      </c>
      <c r="KG3" s="1918"/>
      <c r="KH3" s="1918"/>
      <c r="KI3" s="1918"/>
      <c r="KJ3" s="1918"/>
      <c r="KK3" s="1918"/>
      <c r="KL3" s="1918"/>
      <c r="KM3" s="1918"/>
      <c r="KN3" s="1918"/>
      <c r="KO3" s="1918"/>
      <c r="KP3" s="1918"/>
      <c r="KQ3" s="1919"/>
      <c r="KR3" s="1917" t="str">
        <f>Winter_Auslegung!A30</f>
        <v>Pully</v>
      </c>
      <c r="KS3" s="1918"/>
      <c r="KT3" s="1918"/>
      <c r="KU3" s="1918"/>
      <c r="KV3" s="1918"/>
      <c r="KW3" s="1918"/>
      <c r="KX3" s="1918"/>
      <c r="KY3" s="1918"/>
      <c r="KZ3" s="1918"/>
      <c r="LA3" s="1918"/>
      <c r="LB3" s="1918"/>
      <c r="LC3" s="1919"/>
      <c r="LD3" s="1917" t="str">
        <f>Winter_Auslegung!A31</f>
        <v>Robbia</v>
      </c>
      <c r="LE3" s="1918"/>
      <c r="LF3" s="1918"/>
      <c r="LG3" s="1918"/>
      <c r="LH3" s="1918"/>
      <c r="LI3" s="1918"/>
      <c r="LJ3" s="1918"/>
      <c r="LK3" s="1918"/>
      <c r="LL3" s="1918"/>
      <c r="LM3" s="1918"/>
      <c r="LN3" s="1918"/>
      <c r="LO3" s="1919"/>
      <c r="LP3" s="1917" t="str">
        <f>Winter_Auslegung!A32</f>
        <v>Rünenberg</v>
      </c>
      <c r="LQ3" s="1918"/>
      <c r="LR3" s="1918"/>
      <c r="LS3" s="1918"/>
      <c r="LT3" s="1918"/>
      <c r="LU3" s="1918"/>
      <c r="LV3" s="1918"/>
      <c r="LW3" s="1918"/>
      <c r="LX3" s="1918"/>
      <c r="LY3" s="1918"/>
      <c r="LZ3" s="1918"/>
      <c r="MA3" s="1919"/>
      <c r="MB3" s="1917" t="str">
        <f>Winter_Auslegung!A33</f>
        <v>Samedan</v>
      </c>
      <c r="MC3" s="1918"/>
      <c r="MD3" s="1918"/>
      <c r="ME3" s="1918"/>
      <c r="MF3" s="1918"/>
      <c r="MG3" s="1918"/>
      <c r="MH3" s="1918"/>
      <c r="MI3" s="1918"/>
      <c r="MJ3" s="1918"/>
      <c r="MK3" s="1918"/>
      <c r="ML3" s="1918"/>
      <c r="MM3" s="1919"/>
      <c r="MN3" s="1917" t="str">
        <f>Winter_Auslegung!A34</f>
        <v>San Bernardino</v>
      </c>
      <c r="MO3" s="1918"/>
      <c r="MP3" s="1918"/>
      <c r="MQ3" s="1918"/>
      <c r="MR3" s="1918"/>
      <c r="MS3" s="1918"/>
      <c r="MT3" s="1918"/>
      <c r="MU3" s="1918"/>
      <c r="MV3" s="1918"/>
      <c r="MW3" s="1918"/>
      <c r="MX3" s="1918"/>
      <c r="MY3" s="1919"/>
      <c r="MZ3" s="1917" t="str">
        <f>Winter_Auslegung!A35</f>
        <v>St. Gallen</v>
      </c>
      <c r="NA3" s="1918"/>
      <c r="NB3" s="1918"/>
      <c r="NC3" s="1918"/>
      <c r="ND3" s="1918"/>
      <c r="NE3" s="1918"/>
      <c r="NF3" s="1918"/>
      <c r="NG3" s="1918"/>
      <c r="NH3" s="1918"/>
      <c r="NI3" s="1918"/>
      <c r="NJ3" s="1918"/>
      <c r="NK3" s="1919"/>
      <c r="NL3" s="1917" t="str">
        <f>Winter_Auslegung!A36</f>
        <v>Schaffhausen</v>
      </c>
      <c r="NM3" s="1918"/>
      <c r="NN3" s="1918"/>
      <c r="NO3" s="1918"/>
      <c r="NP3" s="1918"/>
      <c r="NQ3" s="1918"/>
      <c r="NR3" s="1918"/>
      <c r="NS3" s="1918"/>
      <c r="NT3" s="1918"/>
      <c r="NU3" s="1918"/>
      <c r="NV3" s="1918"/>
      <c r="NW3" s="1919"/>
      <c r="NX3" s="1917" t="str">
        <f>Winter_Auslegung!A37</f>
        <v>Scuol</v>
      </c>
      <c r="NY3" s="1918"/>
      <c r="NZ3" s="1918"/>
      <c r="OA3" s="1918"/>
      <c r="OB3" s="1918"/>
      <c r="OC3" s="1918"/>
      <c r="OD3" s="1918"/>
      <c r="OE3" s="1918"/>
      <c r="OF3" s="1918"/>
      <c r="OG3" s="1918"/>
      <c r="OH3" s="1918"/>
      <c r="OI3" s="1919"/>
      <c r="OJ3" s="1917" t="str">
        <f>Winter_Auslegung!A38</f>
        <v>Sion</v>
      </c>
      <c r="OK3" s="1918"/>
      <c r="OL3" s="1918"/>
      <c r="OM3" s="1918"/>
      <c r="ON3" s="1918"/>
      <c r="OO3" s="1918"/>
      <c r="OP3" s="1918"/>
      <c r="OQ3" s="1918"/>
      <c r="OR3" s="1918"/>
      <c r="OS3" s="1918"/>
      <c r="OT3" s="1918"/>
      <c r="OU3" s="1919"/>
      <c r="OV3" s="1917" t="str">
        <f>Winter_Auslegung!A39</f>
        <v>Ulrichen</v>
      </c>
      <c r="OW3" s="1918"/>
      <c r="OX3" s="1918"/>
      <c r="OY3" s="1918"/>
      <c r="OZ3" s="1918"/>
      <c r="PA3" s="1918"/>
      <c r="PB3" s="1918"/>
      <c r="PC3" s="1918"/>
      <c r="PD3" s="1918"/>
      <c r="PE3" s="1918"/>
      <c r="PF3" s="1918"/>
      <c r="PG3" s="1919"/>
      <c r="PH3" s="1917" t="str">
        <f>Winter_Auslegung!A40</f>
        <v>Vaduz</v>
      </c>
      <c r="PI3" s="1918"/>
      <c r="PJ3" s="1918"/>
      <c r="PK3" s="1918"/>
      <c r="PL3" s="1918"/>
      <c r="PM3" s="1918"/>
      <c r="PN3" s="1918"/>
      <c r="PO3" s="1918"/>
      <c r="PP3" s="1918"/>
      <c r="PQ3" s="1918"/>
      <c r="PR3" s="1918"/>
      <c r="PS3" s="1919"/>
      <c r="PT3" s="1917" t="str">
        <f>Winter_Auslegung!A41</f>
        <v>Wynau</v>
      </c>
      <c r="PU3" s="1918"/>
      <c r="PV3" s="1918"/>
      <c r="PW3" s="1918"/>
      <c r="PX3" s="1918"/>
      <c r="PY3" s="1918"/>
      <c r="PZ3" s="1918"/>
      <c r="QA3" s="1918"/>
      <c r="QB3" s="1918"/>
      <c r="QC3" s="1918"/>
      <c r="QD3" s="1918"/>
      <c r="QE3" s="1919"/>
      <c r="QF3" s="1917" t="str">
        <f>Winter_Auslegung!A42</f>
        <v>Zermatt</v>
      </c>
      <c r="QG3" s="1918"/>
      <c r="QH3" s="1918"/>
      <c r="QI3" s="1918"/>
      <c r="QJ3" s="1918"/>
      <c r="QK3" s="1918"/>
      <c r="QL3" s="1918"/>
      <c r="QM3" s="1918"/>
      <c r="QN3" s="1918"/>
      <c r="QO3" s="1918"/>
      <c r="QP3" s="1918"/>
      <c r="QQ3" s="1919"/>
      <c r="QR3" s="1917" t="str">
        <f>Winter_Auslegung!A43</f>
        <v>Zürich-Kloten</v>
      </c>
      <c r="QS3" s="1918"/>
      <c r="QT3" s="1918"/>
      <c r="QU3" s="1918"/>
      <c r="QV3" s="1918"/>
      <c r="QW3" s="1918"/>
      <c r="QX3" s="1918"/>
      <c r="QY3" s="1918"/>
      <c r="QZ3" s="1918"/>
      <c r="RA3" s="1918"/>
      <c r="RB3" s="1918"/>
      <c r="RC3" s="1919"/>
      <c r="RD3" s="1917" t="str">
        <f>Winter_Auslegung!A44</f>
        <v>Zürich-MeteoSchweiz</v>
      </c>
      <c r="RE3" s="1918"/>
      <c r="RF3" s="1918"/>
      <c r="RG3" s="1918"/>
      <c r="RH3" s="1918"/>
      <c r="RI3" s="1918"/>
      <c r="RJ3" s="1918"/>
      <c r="RK3" s="1918"/>
      <c r="RL3" s="1918"/>
      <c r="RM3" s="1918"/>
      <c r="RN3" s="1918"/>
      <c r="RO3" s="1919"/>
    </row>
    <row r="4" spans="1:483">
      <c r="A4" s="1589" t="s">
        <v>539</v>
      </c>
      <c r="B4" s="1590"/>
      <c r="C4" s="1944"/>
      <c r="D4" s="637" t="s">
        <v>25</v>
      </c>
      <c r="E4" s="1921"/>
      <c r="F4" s="1922"/>
      <c r="G4" s="1922"/>
      <c r="H4" s="379" t="s">
        <v>50</v>
      </c>
      <c r="L4" s="379" t="s">
        <v>260</v>
      </c>
      <c r="O4" s="1940"/>
      <c r="P4" s="637" t="s">
        <v>25</v>
      </c>
      <c r="Q4" s="1921"/>
      <c r="R4" s="1922"/>
      <c r="S4" s="1922"/>
      <c r="T4" s="379" t="s">
        <v>50</v>
      </c>
      <c r="X4" s="379" t="s">
        <v>260</v>
      </c>
      <c r="AA4" s="1940"/>
      <c r="AB4" s="637" t="s">
        <v>25</v>
      </c>
      <c r="AC4" s="1921"/>
      <c r="AD4" s="1922"/>
      <c r="AE4" s="1922"/>
      <c r="AF4" s="379" t="s">
        <v>50</v>
      </c>
      <c r="AJ4" s="379" t="s">
        <v>260</v>
      </c>
      <c r="AM4" s="1940"/>
      <c r="AN4" s="637" t="s">
        <v>25</v>
      </c>
      <c r="AO4" s="1921"/>
      <c r="AP4" s="1922"/>
      <c r="AQ4" s="1922"/>
      <c r="AR4" s="379" t="s">
        <v>50</v>
      </c>
      <c r="AV4" s="379" t="s">
        <v>260</v>
      </c>
      <c r="AY4" s="1940"/>
      <c r="AZ4" s="637" t="s">
        <v>25</v>
      </c>
      <c r="BA4" s="1921"/>
      <c r="BB4" s="1922"/>
      <c r="BC4" s="1922"/>
      <c r="BD4" s="379" t="s">
        <v>50</v>
      </c>
      <c r="BH4" s="379" t="s">
        <v>260</v>
      </c>
      <c r="BK4" s="1940"/>
      <c r="BL4" s="637" t="s">
        <v>25</v>
      </c>
      <c r="BM4" s="1921"/>
      <c r="BN4" s="1922"/>
      <c r="BO4" s="1922"/>
      <c r="BP4" s="379" t="s">
        <v>50</v>
      </c>
      <c r="BT4" s="379" t="s">
        <v>260</v>
      </c>
      <c r="BW4" s="1940"/>
      <c r="BX4" s="637" t="s">
        <v>25</v>
      </c>
      <c r="BY4" s="1921"/>
      <c r="BZ4" s="1922"/>
      <c r="CA4" s="1922"/>
      <c r="CB4" s="379" t="s">
        <v>50</v>
      </c>
      <c r="CF4" s="379" t="s">
        <v>260</v>
      </c>
      <c r="CI4" s="1940"/>
      <c r="CJ4" s="637" t="s">
        <v>25</v>
      </c>
      <c r="CK4" s="1921"/>
      <c r="CL4" s="1922"/>
      <c r="CM4" s="1922"/>
      <c r="CN4" s="379" t="s">
        <v>50</v>
      </c>
      <c r="CR4" s="379" t="s">
        <v>260</v>
      </c>
      <c r="CU4" s="1940"/>
      <c r="CV4" s="637" t="s">
        <v>25</v>
      </c>
      <c r="CW4" s="1921"/>
      <c r="CX4" s="1922"/>
      <c r="CY4" s="1922"/>
      <c r="CZ4" s="379" t="s">
        <v>50</v>
      </c>
      <c r="DD4" s="379" t="s">
        <v>260</v>
      </c>
      <c r="DG4" s="1940"/>
      <c r="DH4" s="637" t="s">
        <v>25</v>
      </c>
      <c r="DI4" s="1921"/>
      <c r="DJ4" s="1922"/>
      <c r="DK4" s="1922"/>
      <c r="DL4" s="379" t="s">
        <v>50</v>
      </c>
      <c r="DP4" s="379" t="s">
        <v>260</v>
      </c>
      <c r="DS4" s="1940"/>
      <c r="DT4" s="637" t="s">
        <v>25</v>
      </c>
      <c r="DU4" s="1921"/>
      <c r="DV4" s="1922"/>
      <c r="DW4" s="1922"/>
      <c r="DX4" s="379" t="s">
        <v>50</v>
      </c>
      <c r="EB4" s="379" t="s">
        <v>260</v>
      </c>
      <c r="EE4" s="1940"/>
      <c r="EF4" s="637" t="s">
        <v>25</v>
      </c>
      <c r="EG4" s="1921"/>
      <c r="EH4" s="1922"/>
      <c r="EI4" s="1922"/>
      <c r="EJ4" s="379" t="s">
        <v>50</v>
      </c>
      <c r="EN4" s="379" t="s">
        <v>260</v>
      </c>
      <c r="EQ4" s="1940"/>
      <c r="ER4" s="637" t="s">
        <v>25</v>
      </c>
      <c r="ES4" s="1921"/>
      <c r="ET4" s="1922"/>
      <c r="EU4" s="1922"/>
      <c r="EV4" s="379" t="s">
        <v>50</v>
      </c>
      <c r="EZ4" s="379" t="s">
        <v>260</v>
      </c>
      <c r="FC4" s="1940"/>
      <c r="FD4" s="637" t="s">
        <v>25</v>
      </c>
      <c r="FE4" s="1921"/>
      <c r="FF4" s="1922"/>
      <c r="FG4" s="1922"/>
      <c r="FH4" s="379" t="s">
        <v>50</v>
      </c>
      <c r="FL4" s="379" t="s">
        <v>260</v>
      </c>
      <c r="FO4" s="1940"/>
      <c r="FP4" s="637" t="s">
        <v>25</v>
      </c>
      <c r="FQ4" s="1921"/>
      <c r="FR4" s="1922"/>
      <c r="FS4" s="1922"/>
      <c r="FT4" s="379" t="s">
        <v>50</v>
      </c>
      <c r="FX4" s="379" t="s">
        <v>260</v>
      </c>
      <c r="GA4" s="1940"/>
      <c r="GB4" s="637" t="s">
        <v>25</v>
      </c>
      <c r="GC4" s="1921"/>
      <c r="GD4" s="1922"/>
      <c r="GE4" s="1922"/>
      <c r="GF4" s="379" t="s">
        <v>50</v>
      </c>
      <c r="GJ4" s="379" t="s">
        <v>260</v>
      </c>
      <c r="GM4" s="1940"/>
      <c r="GN4" s="637" t="s">
        <v>25</v>
      </c>
      <c r="GO4" s="1921"/>
      <c r="GP4" s="1922"/>
      <c r="GQ4" s="1922"/>
      <c r="GR4" s="379" t="s">
        <v>50</v>
      </c>
      <c r="GV4" s="379" t="s">
        <v>260</v>
      </c>
      <c r="GY4" s="1940"/>
      <c r="GZ4" s="637" t="s">
        <v>25</v>
      </c>
      <c r="HA4" s="1921"/>
      <c r="HB4" s="1922"/>
      <c r="HC4" s="1922"/>
      <c r="HD4" s="379" t="s">
        <v>50</v>
      </c>
      <c r="HH4" s="379" t="s">
        <v>260</v>
      </c>
      <c r="HK4" s="1940"/>
      <c r="HL4" s="637" t="s">
        <v>25</v>
      </c>
      <c r="HM4" s="1921"/>
      <c r="HN4" s="1922"/>
      <c r="HO4" s="1922"/>
      <c r="HP4" s="379" t="s">
        <v>50</v>
      </c>
      <c r="HT4" s="379" t="s">
        <v>260</v>
      </c>
      <c r="HW4" s="1940"/>
      <c r="HX4" s="637" t="s">
        <v>25</v>
      </c>
      <c r="HY4" s="1921"/>
      <c r="HZ4" s="1922"/>
      <c r="IA4" s="1922"/>
      <c r="IB4" s="379" t="s">
        <v>50</v>
      </c>
      <c r="IF4" s="379" t="s">
        <v>260</v>
      </c>
      <c r="II4" s="1940"/>
      <c r="IJ4" s="637" t="s">
        <v>25</v>
      </c>
      <c r="IK4" s="1921"/>
      <c r="IL4" s="1922"/>
      <c r="IM4" s="1922"/>
      <c r="IN4" s="379" t="s">
        <v>50</v>
      </c>
      <c r="IR4" s="379" t="s">
        <v>260</v>
      </c>
      <c r="IU4" s="1940"/>
      <c r="IV4" s="637" t="s">
        <v>25</v>
      </c>
      <c r="IW4" s="1921"/>
      <c r="IX4" s="1922"/>
      <c r="IY4" s="1922"/>
      <c r="IZ4" s="379" t="s">
        <v>50</v>
      </c>
      <c r="JD4" s="379" t="s">
        <v>260</v>
      </c>
      <c r="JG4" s="1940"/>
      <c r="JH4" s="637" t="s">
        <v>25</v>
      </c>
      <c r="JI4" s="1921"/>
      <c r="JJ4" s="1922"/>
      <c r="JK4" s="1922"/>
      <c r="JL4" s="379" t="s">
        <v>50</v>
      </c>
      <c r="JP4" s="379" t="s">
        <v>260</v>
      </c>
      <c r="JS4" s="1940"/>
      <c r="JT4" s="637" t="s">
        <v>25</v>
      </c>
      <c r="JU4" s="1921"/>
      <c r="JV4" s="1922"/>
      <c r="JW4" s="1922"/>
      <c r="JX4" s="379" t="s">
        <v>50</v>
      </c>
      <c r="KB4" s="379" t="s">
        <v>260</v>
      </c>
      <c r="KE4" s="1940"/>
      <c r="KF4" s="637" t="s">
        <v>25</v>
      </c>
      <c r="KG4" s="1921"/>
      <c r="KH4" s="1922"/>
      <c r="KI4" s="1922"/>
      <c r="KJ4" s="379" t="s">
        <v>50</v>
      </c>
      <c r="KN4" s="379" t="s">
        <v>260</v>
      </c>
      <c r="KQ4" s="1940"/>
      <c r="KR4" s="637" t="s">
        <v>25</v>
      </c>
      <c r="KS4" s="1921"/>
      <c r="KT4" s="1922"/>
      <c r="KU4" s="1922"/>
      <c r="KV4" s="379" t="s">
        <v>50</v>
      </c>
      <c r="KZ4" s="379" t="s">
        <v>260</v>
      </c>
      <c r="LC4" s="1940"/>
      <c r="LD4" s="637" t="s">
        <v>25</v>
      </c>
      <c r="LE4" s="1921"/>
      <c r="LF4" s="1922"/>
      <c r="LG4" s="1922"/>
      <c r="LH4" s="379" t="s">
        <v>50</v>
      </c>
      <c r="LL4" s="379" t="s">
        <v>260</v>
      </c>
      <c r="LO4" s="1940"/>
      <c r="LP4" s="637" t="s">
        <v>25</v>
      </c>
      <c r="LQ4" s="1921"/>
      <c r="LR4" s="1922"/>
      <c r="LS4" s="1922"/>
      <c r="LT4" s="379" t="s">
        <v>50</v>
      </c>
      <c r="LX4" s="379" t="s">
        <v>260</v>
      </c>
      <c r="MA4" s="1940"/>
      <c r="MB4" s="637" t="s">
        <v>25</v>
      </c>
      <c r="MC4" s="1921"/>
      <c r="MD4" s="1922"/>
      <c r="ME4" s="1922"/>
      <c r="MF4" s="379" t="s">
        <v>50</v>
      </c>
      <c r="MJ4" s="379" t="s">
        <v>260</v>
      </c>
      <c r="MM4" s="1940"/>
      <c r="MN4" s="637" t="s">
        <v>25</v>
      </c>
      <c r="MO4" s="1921"/>
      <c r="MP4" s="1922"/>
      <c r="MQ4" s="1922"/>
      <c r="MR4" s="379" t="s">
        <v>50</v>
      </c>
      <c r="MV4" s="379" t="s">
        <v>260</v>
      </c>
      <c r="MY4" s="1940"/>
      <c r="MZ4" s="637" t="s">
        <v>25</v>
      </c>
      <c r="NA4" s="1921"/>
      <c r="NB4" s="1922"/>
      <c r="NC4" s="1922"/>
      <c r="ND4" s="379" t="s">
        <v>50</v>
      </c>
      <c r="NH4" s="379" t="s">
        <v>260</v>
      </c>
      <c r="NK4" s="1940"/>
      <c r="NL4" s="637" t="s">
        <v>25</v>
      </c>
      <c r="NM4" s="1921"/>
      <c r="NN4" s="1922"/>
      <c r="NO4" s="1922"/>
      <c r="NP4" s="379" t="s">
        <v>50</v>
      </c>
      <c r="NT4" s="379" t="s">
        <v>260</v>
      </c>
      <c r="NW4" s="1940"/>
      <c r="NX4" s="637" t="s">
        <v>25</v>
      </c>
      <c r="NY4" s="1921"/>
      <c r="NZ4" s="1922"/>
      <c r="OA4" s="1922"/>
      <c r="OB4" s="379" t="s">
        <v>50</v>
      </c>
      <c r="OF4" s="379" t="s">
        <v>260</v>
      </c>
      <c r="OI4" s="1923"/>
      <c r="OJ4" s="637" t="s">
        <v>25</v>
      </c>
      <c r="OK4" s="1921"/>
      <c r="OL4" s="1922"/>
      <c r="OM4" s="1922"/>
      <c r="ON4" s="379" t="s">
        <v>50</v>
      </c>
      <c r="OR4" s="379" t="s">
        <v>260</v>
      </c>
      <c r="OU4" s="1923"/>
      <c r="OV4" s="637" t="s">
        <v>25</v>
      </c>
      <c r="OW4" s="1921"/>
      <c r="OX4" s="1922"/>
      <c r="OY4" s="1922"/>
      <c r="OZ4" s="379" t="s">
        <v>50</v>
      </c>
      <c r="PD4" s="379" t="s">
        <v>260</v>
      </c>
      <c r="PG4" s="1923"/>
      <c r="PH4" s="637" t="s">
        <v>25</v>
      </c>
      <c r="PI4" s="1921"/>
      <c r="PJ4" s="1922"/>
      <c r="PK4" s="1922"/>
      <c r="PL4" s="379" t="s">
        <v>50</v>
      </c>
      <c r="PP4" s="379" t="s">
        <v>260</v>
      </c>
      <c r="PS4" s="1923"/>
      <c r="PT4" s="637" t="s">
        <v>25</v>
      </c>
      <c r="PU4" s="1921"/>
      <c r="PV4" s="1922"/>
      <c r="PW4" s="1922"/>
      <c r="PX4" s="379" t="s">
        <v>50</v>
      </c>
      <c r="QB4" s="379" t="s">
        <v>260</v>
      </c>
      <c r="QE4" s="1923"/>
      <c r="QF4" s="637" t="s">
        <v>25</v>
      </c>
      <c r="QG4" s="1921"/>
      <c r="QH4" s="1922"/>
      <c r="QI4" s="1922"/>
      <c r="QJ4" s="379" t="s">
        <v>50</v>
      </c>
      <c r="QN4" s="379" t="s">
        <v>260</v>
      </c>
      <c r="QQ4" s="1923"/>
      <c r="QR4" s="1920" t="s">
        <v>25</v>
      </c>
      <c r="QS4" s="1921"/>
      <c r="QT4" s="1922"/>
      <c r="QU4" s="1922"/>
      <c r="QV4" s="379" t="s">
        <v>50</v>
      </c>
      <c r="QZ4" s="379" t="s">
        <v>260</v>
      </c>
      <c r="RC4" s="1923"/>
      <c r="RD4" s="637" t="s">
        <v>25</v>
      </c>
      <c r="RE4" s="1921"/>
      <c r="RF4" s="1922"/>
      <c r="RG4" s="1922"/>
      <c r="RH4" s="379" t="s">
        <v>50</v>
      </c>
      <c r="RL4" s="379" t="s">
        <v>260</v>
      </c>
      <c r="RO4" s="1923"/>
    </row>
    <row r="5" spans="1:483" ht="134.6">
      <c r="A5" s="1588" t="s">
        <v>153</v>
      </c>
      <c r="B5" s="1603" t="s">
        <v>155</v>
      </c>
      <c r="C5" s="1217"/>
      <c r="D5" s="1938" t="s">
        <v>497</v>
      </c>
      <c r="E5" s="1925" t="s">
        <v>499</v>
      </c>
      <c r="F5" s="1926" t="s">
        <v>1469</v>
      </c>
      <c r="G5" s="1926" t="s">
        <v>663</v>
      </c>
      <c r="H5" s="1925" t="s">
        <v>497</v>
      </c>
      <c r="I5" s="1925" t="s">
        <v>499</v>
      </c>
      <c r="J5" s="1926" t="s">
        <v>1469</v>
      </c>
      <c r="K5" s="1926" t="s">
        <v>663</v>
      </c>
      <c r="L5" s="1925" t="s">
        <v>497</v>
      </c>
      <c r="M5" s="1925" t="s">
        <v>499</v>
      </c>
      <c r="N5" s="1926" t="s">
        <v>1469</v>
      </c>
      <c r="O5" s="1941" t="s">
        <v>663</v>
      </c>
      <c r="P5" s="1938" t="s">
        <v>497</v>
      </c>
      <c r="Q5" s="1925" t="s">
        <v>499</v>
      </c>
      <c r="R5" s="1926" t="s">
        <v>1469</v>
      </c>
      <c r="S5" s="1926" t="s">
        <v>663</v>
      </c>
      <c r="T5" s="1925" t="s">
        <v>497</v>
      </c>
      <c r="U5" s="1925" t="s">
        <v>499</v>
      </c>
      <c r="V5" s="1926" t="s">
        <v>1469</v>
      </c>
      <c r="W5" s="1926" t="s">
        <v>663</v>
      </c>
      <c r="X5" s="1925" t="s">
        <v>497</v>
      </c>
      <c r="Y5" s="1925" t="s">
        <v>499</v>
      </c>
      <c r="Z5" s="1926" t="s">
        <v>1469</v>
      </c>
      <c r="AA5" s="1941" t="s">
        <v>663</v>
      </c>
      <c r="AB5" s="1938" t="s">
        <v>497</v>
      </c>
      <c r="AC5" s="1925" t="s">
        <v>499</v>
      </c>
      <c r="AD5" s="1926" t="s">
        <v>1469</v>
      </c>
      <c r="AE5" s="1926" t="s">
        <v>663</v>
      </c>
      <c r="AF5" s="1925" t="s">
        <v>497</v>
      </c>
      <c r="AG5" s="1925" t="s">
        <v>499</v>
      </c>
      <c r="AH5" s="1926" t="s">
        <v>1469</v>
      </c>
      <c r="AI5" s="1926" t="s">
        <v>663</v>
      </c>
      <c r="AJ5" s="1925" t="s">
        <v>497</v>
      </c>
      <c r="AK5" s="1925" t="s">
        <v>499</v>
      </c>
      <c r="AL5" s="1926" t="s">
        <v>1469</v>
      </c>
      <c r="AM5" s="1941" t="s">
        <v>663</v>
      </c>
      <c r="AN5" s="1938" t="s">
        <v>497</v>
      </c>
      <c r="AO5" s="1925" t="s">
        <v>499</v>
      </c>
      <c r="AP5" s="1926" t="s">
        <v>1469</v>
      </c>
      <c r="AQ5" s="1926" t="s">
        <v>663</v>
      </c>
      <c r="AR5" s="1925" t="s">
        <v>497</v>
      </c>
      <c r="AS5" s="1925" t="s">
        <v>499</v>
      </c>
      <c r="AT5" s="1926" t="s">
        <v>1469</v>
      </c>
      <c r="AU5" s="1926" t="s">
        <v>663</v>
      </c>
      <c r="AV5" s="1925" t="s">
        <v>497</v>
      </c>
      <c r="AW5" s="1925" t="s">
        <v>499</v>
      </c>
      <c r="AX5" s="1926" t="s">
        <v>1469</v>
      </c>
      <c r="AY5" s="1941" t="s">
        <v>663</v>
      </c>
      <c r="AZ5" s="1938" t="s">
        <v>497</v>
      </c>
      <c r="BA5" s="1925" t="s">
        <v>499</v>
      </c>
      <c r="BB5" s="1926" t="s">
        <v>1469</v>
      </c>
      <c r="BC5" s="1926" t="s">
        <v>663</v>
      </c>
      <c r="BD5" s="1925" t="s">
        <v>497</v>
      </c>
      <c r="BE5" s="1925" t="s">
        <v>499</v>
      </c>
      <c r="BF5" s="1926" t="s">
        <v>1469</v>
      </c>
      <c r="BG5" s="1926" t="s">
        <v>663</v>
      </c>
      <c r="BH5" s="1925" t="s">
        <v>497</v>
      </c>
      <c r="BI5" s="1925" t="s">
        <v>499</v>
      </c>
      <c r="BJ5" s="1926" t="s">
        <v>1469</v>
      </c>
      <c r="BK5" s="1941" t="s">
        <v>663</v>
      </c>
      <c r="BL5" s="1938" t="s">
        <v>497</v>
      </c>
      <c r="BM5" s="1925" t="s">
        <v>499</v>
      </c>
      <c r="BN5" s="1926" t="s">
        <v>1469</v>
      </c>
      <c r="BO5" s="1926" t="s">
        <v>663</v>
      </c>
      <c r="BP5" s="1925" t="s">
        <v>497</v>
      </c>
      <c r="BQ5" s="1925" t="s">
        <v>499</v>
      </c>
      <c r="BR5" s="1926" t="s">
        <v>1469</v>
      </c>
      <c r="BS5" s="1926" t="s">
        <v>663</v>
      </c>
      <c r="BT5" s="1925" t="s">
        <v>497</v>
      </c>
      <c r="BU5" s="1925" t="s">
        <v>499</v>
      </c>
      <c r="BV5" s="1926" t="s">
        <v>1469</v>
      </c>
      <c r="BW5" s="1941" t="s">
        <v>663</v>
      </c>
      <c r="BX5" s="1938" t="s">
        <v>497</v>
      </c>
      <c r="BY5" s="1925" t="s">
        <v>499</v>
      </c>
      <c r="BZ5" s="1926" t="s">
        <v>1469</v>
      </c>
      <c r="CA5" s="1926" t="s">
        <v>663</v>
      </c>
      <c r="CB5" s="1925" t="s">
        <v>497</v>
      </c>
      <c r="CC5" s="1925" t="s">
        <v>499</v>
      </c>
      <c r="CD5" s="1926" t="s">
        <v>1469</v>
      </c>
      <c r="CE5" s="1926" t="s">
        <v>663</v>
      </c>
      <c r="CF5" s="1925" t="s">
        <v>497</v>
      </c>
      <c r="CG5" s="1925" t="s">
        <v>499</v>
      </c>
      <c r="CH5" s="1926" t="s">
        <v>1469</v>
      </c>
      <c r="CI5" s="1941" t="s">
        <v>663</v>
      </c>
      <c r="CJ5" s="1938" t="s">
        <v>497</v>
      </c>
      <c r="CK5" s="1925" t="s">
        <v>499</v>
      </c>
      <c r="CL5" s="1926" t="s">
        <v>1469</v>
      </c>
      <c r="CM5" s="1926" t="s">
        <v>663</v>
      </c>
      <c r="CN5" s="1925" t="s">
        <v>497</v>
      </c>
      <c r="CO5" s="1925" t="s">
        <v>499</v>
      </c>
      <c r="CP5" s="1926" t="s">
        <v>1469</v>
      </c>
      <c r="CQ5" s="1926" t="s">
        <v>663</v>
      </c>
      <c r="CR5" s="1925" t="s">
        <v>497</v>
      </c>
      <c r="CS5" s="1925" t="s">
        <v>499</v>
      </c>
      <c r="CT5" s="1926" t="s">
        <v>1469</v>
      </c>
      <c r="CU5" s="1941" t="s">
        <v>663</v>
      </c>
      <c r="CV5" s="1938" t="s">
        <v>497</v>
      </c>
      <c r="CW5" s="1925" t="s">
        <v>499</v>
      </c>
      <c r="CX5" s="1926" t="s">
        <v>1469</v>
      </c>
      <c r="CY5" s="1926" t="s">
        <v>663</v>
      </c>
      <c r="CZ5" s="1925" t="s">
        <v>497</v>
      </c>
      <c r="DA5" s="1925" t="s">
        <v>499</v>
      </c>
      <c r="DB5" s="1926" t="s">
        <v>1469</v>
      </c>
      <c r="DC5" s="1926" t="s">
        <v>663</v>
      </c>
      <c r="DD5" s="1925" t="s">
        <v>497</v>
      </c>
      <c r="DE5" s="1925" t="s">
        <v>499</v>
      </c>
      <c r="DF5" s="1926" t="s">
        <v>1469</v>
      </c>
      <c r="DG5" s="1941" t="s">
        <v>663</v>
      </c>
      <c r="DH5" s="1938" t="s">
        <v>497</v>
      </c>
      <c r="DI5" s="1925" t="s">
        <v>499</v>
      </c>
      <c r="DJ5" s="1926" t="s">
        <v>1469</v>
      </c>
      <c r="DK5" s="1926" t="s">
        <v>663</v>
      </c>
      <c r="DL5" s="1925" t="s">
        <v>497</v>
      </c>
      <c r="DM5" s="1925" t="s">
        <v>499</v>
      </c>
      <c r="DN5" s="1926" t="s">
        <v>1469</v>
      </c>
      <c r="DO5" s="1926" t="s">
        <v>663</v>
      </c>
      <c r="DP5" s="1925" t="s">
        <v>497</v>
      </c>
      <c r="DQ5" s="1925" t="s">
        <v>499</v>
      </c>
      <c r="DR5" s="1926" t="s">
        <v>1469</v>
      </c>
      <c r="DS5" s="1941" t="s">
        <v>663</v>
      </c>
      <c r="DT5" s="1938" t="s">
        <v>497</v>
      </c>
      <c r="DU5" s="1925" t="s">
        <v>499</v>
      </c>
      <c r="DV5" s="1926" t="s">
        <v>1469</v>
      </c>
      <c r="DW5" s="1926" t="s">
        <v>663</v>
      </c>
      <c r="DX5" s="1925" t="s">
        <v>497</v>
      </c>
      <c r="DY5" s="1925" t="s">
        <v>499</v>
      </c>
      <c r="DZ5" s="1926" t="s">
        <v>1469</v>
      </c>
      <c r="EA5" s="1926" t="s">
        <v>663</v>
      </c>
      <c r="EB5" s="1925" t="s">
        <v>497</v>
      </c>
      <c r="EC5" s="1925" t="s">
        <v>499</v>
      </c>
      <c r="ED5" s="1926" t="s">
        <v>1469</v>
      </c>
      <c r="EE5" s="1941" t="s">
        <v>663</v>
      </c>
      <c r="EF5" s="1938" t="s">
        <v>497</v>
      </c>
      <c r="EG5" s="1925" t="s">
        <v>499</v>
      </c>
      <c r="EH5" s="1926" t="s">
        <v>1469</v>
      </c>
      <c r="EI5" s="1926" t="s">
        <v>663</v>
      </c>
      <c r="EJ5" s="1925" t="s">
        <v>497</v>
      </c>
      <c r="EK5" s="1925" t="s">
        <v>499</v>
      </c>
      <c r="EL5" s="1926" t="s">
        <v>1469</v>
      </c>
      <c r="EM5" s="1926" t="s">
        <v>663</v>
      </c>
      <c r="EN5" s="1925" t="s">
        <v>497</v>
      </c>
      <c r="EO5" s="1925" t="s">
        <v>499</v>
      </c>
      <c r="EP5" s="1926" t="s">
        <v>1469</v>
      </c>
      <c r="EQ5" s="1941" t="s">
        <v>663</v>
      </c>
      <c r="ER5" s="1938" t="s">
        <v>497</v>
      </c>
      <c r="ES5" s="1925" t="s">
        <v>499</v>
      </c>
      <c r="ET5" s="1926" t="s">
        <v>1469</v>
      </c>
      <c r="EU5" s="1926" t="s">
        <v>663</v>
      </c>
      <c r="EV5" s="1925" t="s">
        <v>497</v>
      </c>
      <c r="EW5" s="1925" t="s">
        <v>499</v>
      </c>
      <c r="EX5" s="1926" t="s">
        <v>1469</v>
      </c>
      <c r="EY5" s="1926" t="s">
        <v>663</v>
      </c>
      <c r="EZ5" s="1925" t="s">
        <v>497</v>
      </c>
      <c r="FA5" s="1925" t="s">
        <v>499</v>
      </c>
      <c r="FB5" s="1926" t="s">
        <v>1469</v>
      </c>
      <c r="FC5" s="1941" t="s">
        <v>663</v>
      </c>
      <c r="FD5" s="1938" t="s">
        <v>497</v>
      </c>
      <c r="FE5" s="1925" t="s">
        <v>499</v>
      </c>
      <c r="FF5" s="1926" t="s">
        <v>1469</v>
      </c>
      <c r="FG5" s="1926" t="s">
        <v>663</v>
      </c>
      <c r="FH5" s="1925" t="s">
        <v>497</v>
      </c>
      <c r="FI5" s="1925" t="s">
        <v>499</v>
      </c>
      <c r="FJ5" s="1926" t="s">
        <v>1469</v>
      </c>
      <c r="FK5" s="1926" t="s">
        <v>663</v>
      </c>
      <c r="FL5" s="1925" t="s">
        <v>497</v>
      </c>
      <c r="FM5" s="1925" t="s">
        <v>499</v>
      </c>
      <c r="FN5" s="1926" t="s">
        <v>1469</v>
      </c>
      <c r="FO5" s="1941" t="s">
        <v>663</v>
      </c>
      <c r="FP5" s="1938" t="s">
        <v>497</v>
      </c>
      <c r="FQ5" s="1925" t="s">
        <v>499</v>
      </c>
      <c r="FR5" s="1926" t="s">
        <v>1469</v>
      </c>
      <c r="FS5" s="1926" t="s">
        <v>663</v>
      </c>
      <c r="FT5" s="1925" t="s">
        <v>497</v>
      </c>
      <c r="FU5" s="1925" t="s">
        <v>499</v>
      </c>
      <c r="FV5" s="1926" t="s">
        <v>1469</v>
      </c>
      <c r="FW5" s="1926" t="s">
        <v>663</v>
      </c>
      <c r="FX5" s="1925" t="s">
        <v>497</v>
      </c>
      <c r="FY5" s="1925" t="s">
        <v>499</v>
      </c>
      <c r="FZ5" s="1926" t="s">
        <v>1469</v>
      </c>
      <c r="GA5" s="1941" t="s">
        <v>663</v>
      </c>
      <c r="GB5" s="1938" t="s">
        <v>497</v>
      </c>
      <c r="GC5" s="1925" t="s">
        <v>499</v>
      </c>
      <c r="GD5" s="1926" t="s">
        <v>1469</v>
      </c>
      <c r="GE5" s="1926" t="s">
        <v>663</v>
      </c>
      <c r="GF5" s="1925" t="s">
        <v>497</v>
      </c>
      <c r="GG5" s="1925" t="s">
        <v>499</v>
      </c>
      <c r="GH5" s="1926" t="s">
        <v>1469</v>
      </c>
      <c r="GI5" s="1926" t="s">
        <v>663</v>
      </c>
      <c r="GJ5" s="1925" t="s">
        <v>497</v>
      </c>
      <c r="GK5" s="1925" t="s">
        <v>499</v>
      </c>
      <c r="GL5" s="1926" t="s">
        <v>1469</v>
      </c>
      <c r="GM5" s="1941" t="s">
        <v>663</v>
      </c>
      <c r="GN5" s="1938" t="s">
        <v>497</v>
      </c>
      <c r="GO5" s="1925" t="s">
        <v>499</v>
      </c>
      <c r="GP5" s="1926" t="s">
        <v>1469</v>
      </c>
      <c r="GQ5" s="1926" t="s">
        <v>663</v>
      </c>
      <c r="GR5" s="1925" t="s">
        <v>497</v>
      </c>
      <c r="GS5" s="1925" t="s">
        <v>499</v>
      </c>
      <c r="GT5" s="1926" t="s">
        <v>1469</v>
      </c>
      <c r="GU5" s="1926" t="s">
        <v>663</v>
      </c>
      <c r="GV5" s="1925" t="s">
        <v>497</v>
      </c>
      <c r="GW5" s="1925" t="s">
        <v>499</v>
      </c>
      <c r="GX5" s="1926" t="s">
        <v>1469</v>
      </c>
      <c r="GY5" s="1941" t="s">
        <v>663</v>
      </c>
      <c r="GZ5" s="1938" t="s">
        <v>497</v>
      </c>
      <c r="HA5" s="1925" t="s">
        <v>499</v>
      </c>
      <c r="HB5" s="1926" t="s">
        <v>1469</v>
      </c>
      <c r="HC5" s="1926" t="s">
        <v>663</v>
      </c>
      <c r="HD5" s="1925" t="s">
        <v>497</v>
      </c>
      <c r="HE5" s="1925" t="s">
        <v>499</v>
      </c>
      <c r="HF5" s="1926" t="s">
        <v>1469</v>
      </c>
      <c r="HG5" s="1926" t="s">
        <v>663</v>
      </c>
      <c r="HH5" s="1925" t="s">
        <v>497</v>
      </c>
      <c r="HI5" s="1925" t="s">
        <v>499</v>
      </c>
      <c r="HJ5" s="1926" t="s">
        <v>1469</v>
      </c>
      <c r="HK5" s="1941" t="s">
        <v>663</v>
      </c>
      <c r="HL5" s="1938" t="s">
        <v>497</v>
      </c>
      <c r="HM5" s="1925" t="s">
        <v>499</v>
      </c>
      <c r="HN5" s="1926" t="s">
        <v>1469</v>
      </c>
      <c r="HO5" s="1926" t="s">
        <v>663</v>
      </c>
      <c r="HP5" s="1925" t="s">
        <v>497</v>
      </c>
      <c r="HQ5" s="1925" t="s">
        <v>499</v>
      </c>
      <c r="HR5" s="1926" t="s">
        <v>1469</v>
      </c>
      <c r="HS5" s="1926" t="s">
        <v>663</v>
      </c>
      <c r="HT5" s="1925" t="s">
        <v>497</v>
      </c>
      <c r="HU5" s="1925" t="s">
        <v>499</v>
      </c>
      <c r="HV5" s="1926" t="s">
        <v>1469</v>
      </c>
      <c r="HW5" s="1941" t="s">
        <v>663</v>
      </c>
      <c r="HX5" s="1938" t="s">
        <v>497</v>
      </c>
      <c r="HY5" s="1925" t="s">
        <v>499</v>
      </c>
      <c r="HZ5" s="1926" t="s">
        <v>1469</v>
      </c>
      <c r="IA5" s="1926" t="s">
        <v>663</v>
      </c>
      <c r="IB5" s="1925" t="s">
        <v>497</v>
      </c>
      <c r="IC5" s="1925" t="s">
        <v>499</v>
      </c>
      <c r="ID5" s="1926" t="s">
        <v>1469</v>
      </c>
      <c r="IE5" s="1926" t="s">
        <v>663</v>
      </c>
      <c r="IF5" s="1925" t="s">
        <v>497</v>
      </c>
      <c r="IG5" s="1925" t="s">
        <v>499</v>
      </c>
      <c r="IH5" s="1926" t="s">
        <v>1469</v>
      </c>
      <c r="II5" s="1941" t="s">
        <v>663</v>
      </c>
      <c r="IJ5" s="1938" t="s">
        <v>497</v>
      </c>
      <c r="IK5" s="1925" t="s">
        <v>499</v>
      </c>
      <c r="IL5" s="1926" t="s">
        <v>1469</v>
      </c>
      <c r="IM5" s="1926" t="s">
        <v>663</v>
      </c>
      <c r="IN5" s="1925" t="s">
        <v>497</v>
      </c>
      <c r="IO5" s="1925" t="s">
        <v>499</v>
      </c>
      <c r="IP5" s="1926" t="s">
        <v>1469</v>
      </c>
      <c r="IQ5" s="1926" t="s">
        <v>663</v>
      </c>
      <c r="IR5" s="1925" t="s">
        <v>497</v>
      </c>
      <c r="IS5" s="1925" t="s">
        <v>499</v>
      </c>
      <c r="IT5" s="1926" t="s">
        <v>1469</v>
      </c>
      <c r="IU5" s="1941" t="s">
        <v>663</v>
      </c>
      <c r="IV5" s="1938" t="s">
        <v>497</v>
      </c>
      <c r="IW5" s="1925" t="s">
        <v>499</v>
      </c>
      <c r="IX5" s="1926" t="s">
        <v>1469</v>
      </c>
      <c r="IY5" s="1926" t="s">
        <v>663</v>
      </c>
      <c r="IZ5" s="1925" t="s">
        <v>497</v>
      </c>
      <c r="JA5" s="1925" t="s">
        <v>499</v>
      </c>
      <c r="JB5" s="1926" t="s">
        <v>1469</v>
      </c>
      <c r="JC5" s="1926" t="s">
        <v>663</v>
      </c>
      <c r="JD5" s="1925" t="s">
        <v>497</v>
      </c>
      <c r="JE5" s="1925" t="s">
        <v>499</v>
      </c>
      <c r="JF5" s="1926" t="s">
        <v>1469</v>
      </c>
      <c r="JG5" s="1941" t="s">
        <v>663</v>
      </c>
      <c r="JH5" s="1938" t="s">
        <v>497</v>
      </c>
      <c r="JI5" s="1925" t="s">
        <v>499</v>
      </c>
      <c r="JJ5" s="1926" t="s">
        <v>1469</v>
      </c>
      <c r="JK5" s="1926" t="s">
        <v>663</v>
      </c>
      <c r="JL5" s="1925" t="s">
        <v>497</v>
      </c>
      <c r="JM5" s="1925" t="s">
        <v>499</v>
      </c>
      <c r="JN5" s="1926" t="s">
        <v>1469</v>
      </c>
      <c r="JO5" s="1926" t="s">
        <v>663</v>
      </c>
      <c r="JP5" s="1925" t="s">
        <v>497</v>
      </c>
      <c r="JQ5" s="1925" t="s">
        <v>499</v>
      </c>
      <c r="JR5" s="1926" t="s">
        <v>1469</v>
      </c>
      <c r="JS5" s="1941" t="s">
        <v>663</v>
      </c>
      <c r="JT5" s="1938" t="s">
        <v>497</v>
      </c>
      <c r="JU5" s="1925" t="s">
        <v>499</v>
      </c>
      <c r="JV5" s="1926" t="s">
        <v>1469</v>
      </c>
      <c r="JW5" s="1926" t="s">
        <v>663</v>
      </c>
      <c r="JX5" s="1925" t="s">
        <v>497</v>
      </c>
      <c r="JY5" s="1925" t="s">
        <v>499</v>
      </c>
      <c r="JZ5" s="1926" t="s">
        <v>1469</v>
      </c>
      <c r="KA5" s="1926" t="s">
        <v>663</v>
      </c>
      <c r="KB5" s="1925" t="s">
        <v>497</v>
      </c>
      <c r="KC5" s="1925" t="s">
        <v>499</v>
      </c>
      <c r="KD5" s="1926" t="s">
        <v>1469</v>
      </c>
      <c r="KE5" s="1941" t="s">
        <v>663</v>
      </c>
      <c r="KF5" s="1938" t="s">
        <v>497</v>
      </c>
      <c r="KG5" s="1925" t="s">
        <v>499</v>
      </c>
      <c r="KH5" s="1926" t="s">
        <v>1469</v>
      </c>
      <c r="KI5" s="1926" t="s">
        <v>663</v>
      </c>
      <c r="KJ5" s="1925" t="s">
        <v>497</v>
      </c>
      <c r="KK5" s="1925" t="s">
        <v>499</v>
      </c>
      <c r="KL5" s="1926" t="s">
        <v>1469</v>
      </c>
      <c r="KM5" s="1926" t="s">
        <v>663</v>
      </c>
      <c r="KN5" s="1925" t="s">
        <v>497</v>
      </c>
      <c r="KO5" s="1925" t="s">
        <v>499</v>
      </c>
      <c r="KP5" s="1926" t="s">
        <v>1469</v>
      </c>
      <c r="KQ5" s="1941" t="s">
        <v>663</v>
      </c>
      <c r="KR5" s="1938" t="s">
        <v>497</v>
      </c>
      <c r="KS5" s="1925" t="s">
        <v>499</v>
      </c>
      <c r="KT5" s="1926" t="s">
        <v>1469</v>
      </c>
      <c r="KU5" s="1926" t="s">
        <v>663</v>
      </c>
      <c r="KV5" s="1925" t="s">
        <v>497</v>
      </c>
      <c r="KW5" s="1925" t="s">
        <v>499</v>
      </c>
      <c r="KX5" s="1926" t="s">
        <v>1469</v>
      </c>
      <c r="KY5" s="1926" t="s">
        <v>663</v>
      </c>
      <c r="KZ5" s="1925" t="s">
        <v>497</v>
      </c>
      <c r="LA5" s="1925" t="s">
        <v>499</v>
      </c>
      <c r="LB5" s="1926" t="s">
        <v>1469</v>
      </c>
      <c r="LC5" s="1941" t="s">
        <v>663</v>
      </c>
      <c r="LD5" s="1938" t="s">
        <v>497</v>
      </c>
      <c r="LE5" s="1925" t="s">
        <v>499</v>
      </c>
      <c r="LF5" s="1926" t="s">
        <v>1469</v>
      </c>
      <c r="LG5" s="1926" t="s">
        <v>663</v>
      </c>
      <c r="LH5" s="1925" t="s">
        <v>497</v>
      </c>
      <c r="LI5" s="1925" t="s">
        <v>499</v>
      </c>
      <c r="LJ5" s="1926" t="s">
        <v>1469</v>
      </c>
      <c r="LK5" s="1926" t="s">
        <v>663</v>
      </c>
      <c r="LL5" s="1925" t="s">
        <v>497</v>
      </c>
      <c r="LM5" s="1925" t="s">
        <v>499</v>
      </c>
      <c r="LN5" s="1926" t="s">
        <v>1469</v>
      </c>
      <c r="LO5" s="1941" t="s">
        <v>663</v>
      </c>
      <c r="LP5" s="1938" t="s">
        <v>497</v>
      </c>
      <c r="LQ5" s="1925" t="s">
        <v>499</v>
      </c>
      <c r="LR5" s="1926" t="s">
        <v>1469</v>
      </c>
      <c r="LS5" s="1926" t="s">
        <v>663</v>
      </c>
      <c r="LT5" s="1925" t="s">
        <v>497</v>
      </c>
      <c r="LU5" s="1925" t="s">
        <v>499</v>
      </c>
      <c r="LV5" s="1926" t="s">
        <v>1469</v>
      </c>
      <c r="LW5" s="1926" t="s">
        <v>663</v>
      </c>
      <c r="LX5" s="1925" t="s">
        <v>497</v>
      </c>
      <c r="LY5" s="1925" t="s">
        <v>499</v>
      </c>
      <c r="LZ5" s="1926" t="s">
        <v>1469</v>
      </c>
      <c r="MA5" s="1941" t="s">
        <v>663</v>
      </c>
      <c r="MB5" s="1938" t="s">
        <v>497</v>
      </c>
      <c r="MC5" s="1925" t="s">
        <v>499</v>
      </c>
      <c r="MD5" s="1926" t="s">
        <v>1469</v>
      </c>
      <c r="ME5" s="1926" t="s">
        <v>663</v>
      </c>
      <c r="MF5" s="1925" t="s">
        <v>497</v>
      </c>
      <c r="MG5" s="1925" t="s">
        <v>499</v>
      </c>
      <c r="MH5" s="1926" t="s">
        <v>1469</v>
      </c>
      <c r="MI5" s="1926" t="s">
        <v>663</v>
      </c>
      <c r="MJ5" s="1925" t="s">
        <v>497</v>
      </c>
      <c r="MK5" s="1925" t="s">
        <v>499</v>
      </c>
      <c r="ML5" s="1926" t="s">
        <v>1469</v>
      </c>
      <c r="MM5" s="1941" t="s">
        <v>663</v>
      </c>
      <c r="MN5" s="1938" t="s">
        <v>497</v>
      </c>
      <c r="MO5" s="1925" t="s">
        <v>499</v>
      </c>
      <c r="MP5" s="1926" t="s">
        <v>1469</v>
      </c>
      <c r="MQ5" s="1926" t="s">
        <v>663</v>
      </c>
      <c r="MR5" s="1925" t="s">
        <v>497</v>
      </c>
      <c r="MS5" s="1925" t="s">
        <v>499</v>
      </c>
      <c r="MT5" s="1926" t="s">
        <v>1469</v>
      </c>
      <c r="MU5" s="1926" t="s">
        <v>663</v>
      </c>
      <c r="MV5" s="1925" t="s">
        <v>497</v>
      </c>
      <c r="MW5" s="1925" t="s">
        <v>499</v>
      </c>
      <c r="MX5" s="1926" t="s">
        <v>1469</v>
      </c>
      <c r="MY5" s="1941" t="s">
        <v>663</v>
      </c>
      <c r="MZ5" s="1938" t="s">
        <v>497</v>
      </c>
      <c r="NA5" s="1925" t="s">
        <v>499</v>
      </c>
      <c r="NB5" s="1926" t="s">
        <v>1469</v>
      </c>
      <c r="NC5" s="1926" t="s">
        <v>663</v>
      </c>
      <c r="ND5" s="1925" t="s">
        <v>497</v>
      </c>
      <c r="NE5" s="1925" t="s">
        <v>499</v>
      </c>
      <c r="NF5" s="1926" t="s">
        <v>1469</v>
      </c>
      <c r="NG5" s="1926" t="s">
        <v>663</v>
      </c>
      <c r="NH5" s="1925" t="s">
        <v>497</v>
      </c>
      <c r="NI5" s="1925" t="s">
        <v>499</v>
      </c>
      <c r="NJ5" s="1926" t="s">
        <v>1469</v>
      </c>
      <c r="NK5" s="1941" t="s">
        <v>663</v>
      </c>
      <c r="NL5" s="1938" t="s">
        <v>497</v>
      </c>
      <c r="NM5" s="1925" t="s">
        <v>499</v>
      </c>
      <c r="NN5" s="1926" t="s">
        <v>1469</v>
      </c>
      <c r="NO5" s="1926" t="s">
        <v>663</v>
      </c>
      <c r="NP5" s="1925" t="s">
        <v>497</v>
      </c>
      <c r="NQ5" s="1925" t="s">
        <v>499</v>
      </c>
      <c r="NR5" s="1926" t="s">
        <v>1469</v>
      </c>
      <c r="NS5" s="1926" t="s">
        <v>663</v>
      </c>
      <c r="NT5" s="1925" t="s">
        <v>497</v>
      </c>
      <c r="NU5" s="1925" t="s">
        <v>499</v>
      </c>
      <c r="NV5" s="1926" t="s">
        <v>1469</v>
      </c>
      <c r="NW5" s="1941" t="s">
        <v>663</v>
      </c>
      <c r="NX5" s="1938" t="s">
        <v>497</v>
      </c>
      <c r="NY5" s="1925" t="s">
        <v>499</v>
      </c>
      <c r="NZ5" s="1926" t="s">
        <v>1469</v>
      </c>
      <c r="OA5" s="1926" t="s">
        <v>663</v>
      </c>
      <c r="OB5" s="1925" t="s">
        <v>497</v>
      </c>
      <c r="OC5" s="1925" t="s">
        <v>499</v>
      </c>
      <c r="OD5" s="1926" t="s">
        <v>1469</v>
      </c>
      <c r="OE5" s="1926" t="s">
        <v>663</v>
      </c>
      <c r="OF5" s="1925" t="s">
        <v>497</v>
      </c>
      <c r="OG5" s="1925" t="s">
        <v>499</v>
      </c>
      <c r="OH5" s="1926" t="s">
        <v>1469</v>
      </c>
      <c r="OI5" s="1927" t="s">
        <v>663</v>
      </c>
      <c r="OJ5" s="1938" t="s">
        <v>497</v>
      </c>
      <c r="OK5" s="1925" t="s">
        <v>499</v>
      </c>
      <c r="OL5" s="1926" t="s">
        <v>1469</v>
      </c>
      <c r="OM5" s="1926" t="s">
        <v>663</v>
      </c>
      <c r="ON5" s="1925" t="s">
        <v>497</v>
      </c>
      <c r="OO5" s="1925" t="s">
        <v>499</v>
      </c>
      <c r="OP5" s="1926" t="s">
        <v>1469</v>
      </c>
      <c r="OQ5" s="1926" t="s">
        <v>663</v>
      </c>
      <c r="OR5" s="1925" t="s">
        <v>497</v>
      </c>
      <c r="OS5" s="1925" t="s">
        <v>499</v>
      </c>
      <c r="OT5" s="1926" t="s">
        <v>1469</v>
      </c>
      <c r="OU5" s="1927" t="s">
        <v>663</v>
      </c>
      <c r="OV5" s="1938" t="s">
        <v>497</v>
      </c>
      <c r="OW5" s="1925" t="s">
        <v>499</v>
      </c>
      <c r="OX5" s="1926" t="s">
        <v>1469</v>
      </c>
      <c r="OY5" s="1926" t="s">
        <v>663</v>
      </c>
      <c r="OZ5" s="1925" t="s">
        <v>497</v>
      </c>
      <c r="PA5" s="1925" t="s">
        <v>499</v>
      </c>
      <c r="PB5" s="1926" t="s">
        <v>1469</v>
      </c>
      <c r="PC5" s="1926" t="s">
        <v>663</v>
      </c>
      <c r="PD5" s="1925" t="s">
        <v>497</v>
      </c>
      <c r="PE5" s="1925" t="s">
        <v>499</v>
      </c>
      <c r="PF5" s="1926" t="s">
        <v>1469</v>
      </c>
      <c r="PG5" s="1927" t="s">
        <v>663</v>
      </c>
      <c r="PH5" s="1938" t="s">
        <v>497</v>
      </c>
      <c r="PI5" s="1925" t="s">
        <v>499</v>
      </c>
      <c r="PJ5" s="1926" t="s">
        <v>1469</v>
      </c>
      <c r="PK5" s="1926" t="s">
        <v>663</v>
      </c>
      <c r="PL5" s="1925" t="s">
        <v>497</v>
      </c>
      <c r="PM5" s="1925" t="s">
        <v>499</v>
      </c>
      <c r="PN5" s="1926" t="s">
        <v>1469</v>
      </c>
      <c r="PO5" s="1926" t="s">
        <v>663</v>
      </c>
      <c r="PP5" s="1925" t="s">
        <v>497</v>
      </c>
      <c r="PQ5" s="1925" t="s">
        <v>499</v>
      </c>
      <c r="PR5" s="1926" t="s">
        <v>1469</v>
      </c>
      <c r="PS5" s="1927" t="s">
        <v>663</v>
      </c>
      <c r="PT5" s="1938" t="s">
        <v>497</v>
      </c>
      <c r="PU5" s="1925" t="s">
        <v>499</v>
      </c>
      <c r="PV5" s="1926" t="s">
        <v>1469</v>
      </c>
      <c r="PW5" s="1926" t="s">
        <v>663</v>
      </c>
      <c r="PX5" s="1925" t="s">
        <v>497</v>
      </c>
      <c r="PY5" s="1925" t="s">
        <v>499</v>
      </c>
      <c r="PZ5" s="1926" t="s">
        <v>1469</v>
      </c>
      <c r="QA5" s="1926" t="s">
        <v>663</v>
      </c>
      <c r="QB5" s="1925" t="s">
        <v>497</v>
      </c>
      <c r="QC5" s="1925" t="s">
        <v>499</v>
      </c>
      <c r="QD5" s="1926" t="s">
        <v>1469</v>
      </c>
      <c r="QE5" s="1927" t="s">
        <v>663</v>
      </c>
      <c r="QF5" s="1938" t="s">
        <v>497</v>
      </c>
      <c r="QG5" s="1925" t="s">
        <v>499</v>
      </c>
      <c r="QH5" s="1926" t="s">
        <v>1469</v>
      </c>
      <c r="QI5" s="1926" t="s">
        <v>663</v>
      </c>
      <c r="QJ5" s="1925" t="s">
        <v>497</v>
      </c>
      <c r="QK5" s="1925" t="s">
        <v>499</v>
      </c>
      <c r="QL5" s="1926" t="s">
        <v>1469</v>
      </c>
      <c r="QM5" s="1926" t="s">
        <v>663</v>
      </c>
      <c r="QN5" s="1925" t="s">
        <v>497</v>
      </c>
      <c r="QO5" s="1925" t="s">
        <v>499</v>
      </c>
      <c r="QP5" s="1926" t="s">
        <v>1469</v>
      </c>
      <c r="QQ5" s="1927" t="s">
        <v>663</v>
      </c>
      <c r="QR5" s="1924" t="s">
        <v>497</v>
      </c>
      <c r="QS5" s="1925" t="s">
        <v>499</v>
      </c>
      <c r="QT5" s="1926" t="s">
        <v>1469</v>
      </c>
      <c r="QU5" s="1926" t="s">
        <v>663</v>
      </c>
      <c r="QV5" s="1925" t="s">
        <v>497</v>
      </c>
      <c r="QW5" s="1925" t="s">
        <v>499</v>
      </c>
      <c r="QX5" s="1926" t="s">
        <v>1469</v>
      </c>
      <c r="QY5" s="1926" t="s">
        <v>663</v>
      </c>
      <c r="QZ5" s="1925" t="s">
        <v>497</v>
      </c>
      <c r="RA5" s="1925" t="s">
        <v>499</v>
      </c>
      <c r="RB5" s="1926" t="s">
        <v>1469</v>
      </c>
      <c r="RC5" s="1927" t="s">
        <v>663</v>
      </c>
      <c r="RD5" s="1938" t="s">
        <v>497</v>
      </c>
      <c r="RE5" s="1925" t="s">
        <v>499</v>
      </c>
      <c r="RF5" s="1926" t="s">
        <v>1469</v>
      </c>
      <c r="RG5" s="1926" t="s">
        <v>663</v>
      </c>
      <c r="RH5" s="1925" t="s">
        <v>497</v>
      </c>
      <c r="RI5" s="1925" t="s">
        <v>499</v>
      </c>
      <c r="RJ5" s="1926" t="s">
        <v>1469</v>
      </c>
      <c r="RK5" s="1926" t="s">
        <v>663</v>
      </c>
      <c r="RL5" s="1925" t="s">
        <v>497</v>
      </c>
      <c r="RM5" s="1925" t="s">
        <v>499</v>
      </c>
      <c r="RN5" s="1926" t="s">
        <v>1469</v>
      </c>
      <c r="RO5" s="1927" t="s">
        <v>663</v>
      </c>
    </row>
    <row r="6" spans="1:483" ht="14.15">
      <c r="A6" s="391"/>
      <c r="B6" s="257"/>
      <c r="C6" s="257"/>
      <c r="D6" s="1928" t="s">
        <v>54</v>
      </c>
      <c r="E6" s="1914" t="s">
        <v>441</v>
      </c>
      <c r="F6" s="1915" t="s">
        <v>149</v>
      </c>
      <c r="G6" s="1916" t="s">
        <v>441</v>
      </c>
      <c r="H6" s="1914" t="s">
        <v>54</v>
      </c>
      <c r="I6" s="1914" t="s">
        <v>441</v>
      </c>
      <c r="J6" s="1915" t="s">
        <v>149</v>
      </c>
      <c r="K6" s="1916" t="s">
        <v>441</v>
      </c>
      <c r="L6" s="1914" t="s">
        <v>54</v>
      </c>
      <c r="M6" s="1914" t="s">
        <v>441</v>
      </c>
      <c r="N6" s="1915" t="s">
        <v>149</v>
      </c>
      <c r="O6" s="1929" t="s">
        <v>441</v>
      </c>
      <c r="P6" s="1928" t="s">
        <v>54</v>
      </c>
      <c r="Q6" s="1914" t="s">
        <v>441</v>
      </c>
      <c r="R6" s="1915" t="s">
        <v>149</v>
      </c>
      <c r="S6" s="1916" t="s">
        <v>441</v>
      </c>
      <c r="T6" s="1914" t="s">
        <v>54</v>
      </c>
      <c r="U6" s="1914" t="s">
        <v>441</v>
      </c>
      <c r="V6" s="1915" t="s">
        <v>149</v>
      </c>
      <c r="W6" s="1916" t="s">
        <v>441</v>
      </c>
      <c r="X6" s="1914" t="s">
        <v>54</v>
      </c>
      <c r="Y6" s="1914" t="s">
        <v>441</v>
      </c>
      <c r="Z6" s="1915" t="s">
        <v>149</v>
      </c>
      <c r="AA6" s="1929" t="s">
        <v>441</v>
      </c>
      <c r="AB6" s="1928" t="s">
        <v>54</v>
      </c>
      <c r="AC6" s="1914" t="s">
        <v>441</v>
      </c>
      <c r="AD6" s="1915" t="s">
        <v>149</v>
      </c>
      <c r="AE6" s="1916" t="s">
        <v>441</v>
      </c>
      <c r="AF6" s="1914" t="s">
        <v>54</v>
      </c>
      <c r="AG6" s="1914" t="s">
        <v>441</v>
      </c>
      <c r="AH6" s="1915" t="s">
        <v>149</v>
      </c>
      <c r="AI6" s="1916" t="s">
        <v>441</v>
      </c>
      <c r="AJ6" s="1914" t="s">
        <v>54</v>
      </c>
      <c r="AK6" s="1914" t="s">
        <v>441</v>
      </c>
      <c r="AL6" s="1915" t="s">
        <v>149</v>
      </c>
      <c r="AM6" s="1929" t="s">
        <v>441</v>
      </c>
      <c r="AN6" s="1928" t="s">
        <v>54</v>
      </c>
      <c r="AO6" s="1914" t="s">
        <v>441</v>
      </c>
      <c r="AP6" s="1915" t="s">
        <v>149</v>
      </c>
      <c r="AQ6" s="1916" t="s">
        <v>441</v>
      </c>
      <c r="AR6" s="1914" t="s">
        <v>54</v>
      </c>
      <c r="AS6" s="1914" t="s">
        <v>441</v>
      </c>
      <c r="AT6" s="1915" t="s">
        <v>149</v>
      </c>
      <c r="AU6" s="1916" t="s">
        <v>441</v>
      </c>
      <c r="AV6" s="1914" t="s">
        <v>54</v>
      </c>
      <c r="AW6" s="1914" t="s">
        <v>441</v>
      </c>
      <c r="AX6" s="1915" t="s">
        <v>149</v>
      </c>
      <c r="AY6" s="1929" t="s">
        <v>441</v>
      </c>
      <c r="AZ6" s="1928" t="s">
        <v>54</v>
      </c>
      <c r="BA6" s="1914" t="s">
        <v>441</v>
      </c>
      <c r="BB6" s="1915" t="s">
        <v>149</v>
      </c>
      <c r="BC6" s="1916" t="s">
        <v>441</v>
      </c>
      <c r="BD6" s="1914" t="s">
        <v>54</v>
      </c>
      <c r="BE6" s="1914" t="s">
        <v>441</v>
      </c>
      <c r="BF6" s="1915" t="s">
        <v>149</v>
      </c>
      <c r="BG6" s="1916" t="s">
        <v>441</v>
      </c>
      <c r="BH6" s="1914" t="s">
        <v>54</v>
      </c>
      <c r="BI6" s="1914" t="s">
        <v>441</v>
      </c>
      <c r="BJ6" s="1915" t="s">
        <v>149</v>
      </c>
      <c r="BK6" s="1929" t="s">
        <v>441</v>
      </c>
      <c r="BL6" s="1928" t="s">
        <v>54</v>
      </c>
      <c r="BM6" s="1914" t="s">
        <v>441</v>
      </c>
      <c r="BN6" s="1915" t="s">
        <v>149</v>
      </c>
      <c r="BO6" s="1916" t="s">
        <v>441</v>
      </c>
      <c r="BP6" s="1914" t="s">
        <v>54</v>
      </c>
      <c r="BQ6" s="1914" t="s">
        <v>441</v>
      </c>
      <c r="BR6" s="1915" t="s">
        <v>149</v>
      </c>
      <c r="BS6" s="1916" t="s">
        <v>441</v>
      </c>
      <c r="BT6" s="1914" t="s">
        <v>54</v>
      </c>
      <c r="BU6" s="1914" t="s">
        <v>441</v>
      </c>
      <c r="BV6" s="1915" t="s">
        <v>149</v>
      </c>
      <c r="BW6" s="1929" t="s">
        <v>441</v>
      </c>
      <c r="BX6" s="1928" t="s">
        <v>54</v>
      </c>
      <c r="BY6" s="1914" t="s">
        <v>441</v>
      </c>
      <c r="BZ6" s="1915" t="s">
        <v>149</v>
      </c>
      <c r="CA6" s="1916" t="s">
        <v>441</v>
      </c>
      <c r="CB6" s="1914" t="s">
        <v>54</v>
      </c>
      <c r="CC6" s="1914" t="s">
        <v>441</v>
      </c>
      <c r="CD6" s="1915" t="s">
        <v>149</v>
      </c>
      <c r="CE6" s="1916" t="s">
        <v>441</v>
      </c>
      <c r="CF6" s="1914" t="s">
        <v>54</v>
      </c>
      <c r="CG6" s="1914" t="s">
        <v>441</v>
      </c>
      <c r="CH6" s="1915" t="s">
        <v>149</v>
      </c>
      <c r="CI6" s="1929" t="s">
        <v>441</v>
      </c>
      <c r="CJ6" s="1928" t="s">
        <v>54</v>
      </c>
      <c r="CK6" s="1914" t="s">
        <v>441</v>
      </c>
      <c r="CL6" s="1915" t="s">
        <v>149</v>
      </c>
      <c r="CM6" s="1916" t="s">
        <v>441</v>
      </c>
      <c r="CN6" s="1914" t="s">
        <v>54</v>
      </c>
      <c r="CO6" s="1914" t="s">
        <v>441</v>
      </c>
      <c r="CP6" s="1915" t="s">
        <v>149</v>
      </c>
      <c r="CQ6" s="1916" t="s">
        <v>441</v>
      </c>
      <c r="CR6" s="1914" t="s">
        <v>54</v>
      </c>
      <c r="CS6" s="1914" t="s">
        <v>441</v>
      </c>
      <c r="CT6" s="1915" t="s">
        <v>149</v>
      </c>
      <c r="CU6" s="1929" t="s">
        <v>441</v>
      </c>
      <c r="CV6" s="1928" t="s">
        <v>54</v>
      </c>
      <c r="CW6" s="1914" t="s">
        <v>441</v>
      </c>
      <c r="CX6" s="1915" t="s">
        <v>149</v>
      </c>
      <c r="CY6" s="1916" t="s">
        <v>441</v>
      </c>
      <c r="CZ6" s="1914" t="s">
        <v>54</v>
      </c>
      <c r="DA6" s="1914" t="s">
        <v>441</v>
      </c>
      <c r="DB6" s="1915" t="s">
        <v>149</v>
      </c>
      <c r="DC6" s="1916" t="s">
        <v>441</v>
      </c>
      <c r="DD6" s="1914" t="s">
        <v>54</v>
      </c>
      <c r="DE6" s="1914" t="s">
        <v>441</v>
      </c>
      <c r="DF6" s="1915" t="s">
        <v>149</v>
      </c>
      <c r="DG6" s="1929" t="s">
        <v>441</v>
      </c>
      <c r="DH6" s="1928" t="s">
        <v>54</v>
      </c>
      <c r="DI6" s="1914" t="s">
        <v>441</v>
      </c>
      <c r="DJ6" s="1915" t="s">
        <v>149</v>
      </c>
      <c r="DK6" s="1916" t="s">
        <v>441</v>
      </c>
      <c r="DL6" s="1914" t="s">
        <v>54</v>
      </c>
      <c r="DM6" s="1914" t="s">
        <v>441</v>
      </c>
      <c r="DN6" s="1915" t="s">
        <v>149</v>
      </c>
      <c r="DO6" s="1916" t="s">
        <v>441</v>
      </c>
      <c r="DP6" s="1914" t="s">
        <v>54</v>
      </c>
      <c r="DQ6" s="1914" t="s">
        <v>441</v>
      </c>
      <c r="DR6" s="1915" t="s">
        <v>149</v>
      </c>
      <c r="DS6" s="1929" t="s">
        <v>441</v>
      </c>
      <c r="DT6" s="1928" t="s">
        <v>54</v>
      </c>
      <c r="DU6" s="1914" t="s">
        <v>441</v>
      </c>
      <c r="DV6" s="1915" t="s">
        <v>149</v>
      </c>
      <c r="DW6" s="1916" t="s">
        <v>441</v>
      </c>
      <c r="DX6" s="1914" t="s">
        <v>54</v>
      </c>
      <c r="DY6" s="1914" t="s">
        <v>441</v>
      </c>
      <c r="DZ6" s="1915" t="s">
        <v>149</v>
      </c>
      <c r="EA6" s="1916" t="s">
        <v>441</v>
      </c>
      <c r="EB6" s="1914" t="s">
        <v>54</v>
      </c>
      <c r="EC6" s="1914" t="s">
        <v>441</v>
      </c>
      <c r="ED6" s="1915" t="s">
        <v>149</v>
      </c>
      <c r="EE6" s="1929" t="s">
        <v>441</v>
      </c>
      <c r="EF6" s="1928" t="s">
        <v>54</v>
      </c>
      <c r="EG6" s="1914" t="s">
        <v>441</v>
      </c>
      <c r="EH6" s="1915" t="s">
        <v>149</v>
      </c>
      <c r="EI6" s="1916" t="s">
        <v>441</v>
      </c>
      <c r="EJ6" s="1914" t="s">
        <v>54</v>
      </c>
      <c r="EK6" s="1914" t="s">
        <v>441</v>
      </c>
      <c r="EL6" s="1915" t="s">
        <v>149</v>
      </c>
      <c r="EM6" s="1916" t="s">
        <v>441</v>
      </c>
      <c r="EN6" s="1914" t="s">
        <v>54</v>
      </c>
      <c r="EO6" s="1914" t="s">
        <v>441</v>
      </c>
      <c r="EP6" s="1915" t="s">
        <v>149</v>
      </c>
      <c r="EQ6" s="1929" t="s">
        <v>441</v>
      </c>
      <c r="ER6" s="1928" t="s">
        <v>54</v>
      </c>
      <c r="ES6" s="1914" t="s">
        <v>441</v>
      </c>
      <c r="ET6" s="1915" t="s">
        <v>149</v>
      </c>
      <c r="EU6" s="1916" t="s">
        <v>441</v>
      </c>
      <c r="EV6" s="1914" t="s">
        <v>54</v>
      </c>
      <c r="EW6" s="1914" t="s">
        <v>441</v>
      </c>
      <c r="EX6" s="1915" t="s">
        <v>149</v>
      </c>
      <c r="EY6" s="1916" t="s">
        <v>441</v>
      </c>
      <c r="EZ6" s="1914" t="s">
        <v>54</v>
      </c>
      <c r="FA6" s="1914" t="s">
        <v>441</v>
      </c>
      <c r="FB6" s="1915" t="s">
        <v>149</v>
      </c>
      <c r="FC6" s="1929" t="s">
        <v>441</v>
      </c>
      <c r="FD6" s="1928" t="s">
        <v>54</v>
      </c>
      <c r="FE6" s="1914" t="s">
        <v>441</v>
      </c>
      <c r="FF6" s="1915" t="s">
        <v>149</v>
      </c>
      <c r="FG6" s="1916" t="s">
        <v>441</v>
      </c>
      <c r="FH6" s="1914" t="s">
        <v>54</v>
      </c>
      <c r="FI6" s="1914" t="s">
        <v>441</v>
      </c>
      <c r="FJ6" s="1915" t="s">
        <v>149</v>
      </c>
      <c r="FK6" s="1916" t="s">
        <v>441</v>
      </c>
      <c r="FL6" s="1914" t="s">
        <v>54</v>
      </c>
      <c r="FM6" s="1914" t="s">
        <v>441</v>
      </c>
      <c r="FN6" s="1915" t="s">
        <v>149</v>
      </c>
      <c r="FO6" s="1929" t="s">
        <v>441</v>
      </c>
      <c r="FP6" s="1928" t="s">
        <v>54</v>
      </c>
      <c r="FQ6" s="1914" t="s">
        <v>441</v>
      </c>
      <c r="FR6" s="1915" t="s">
        <v>149</v>
      </c>
      <c r="FS6" s="1916" t="s">
        <v>441</v>
      </c>
      <c r="FT6" s="1914" t="s">
        <v>54</v>
      </c>
      <c r="FU6" s="1914" t="s">
        <v>441</v>
      </c>
      <c r="FV6" s="1915" t="s">
        <v>149</v>
      </c>
      <c r="FW6" s="1916" t="s">
        <v>441</v>
      </c>
      <c r="FX6" s="1914" t="s">
        <v>54</v>
      </c>
      <c r="FY6" s="1914" t="s">
        <v>441</v>
      </c>
      <c r="FZ6" s="1915" t="s">
        <v>149</v>
      </c>
      <c r="GA6" s="1929" t="s">
        <v>441</v>
      </c>
      <c r="GB6" s="1928" t="s">
        <v>54</v>
      </c>
      <c r="GC6" s="1914" t="s">
        <v>441</v>
      </c>
      <c r="GD6" s="1915" t="s">
        <v>149</v>
      </c>
      <c r="GE6" s="1916" t="s">
        <v>441</v>
      </c>
      <c r="GF6" s="1914" t="s">
        <v>54</v>
      </c>
      <c r="GG6" s="1914" t="s">
        <v>441</v>
      </c>
      <c r="GH6" s="1915" t="s">
        <v>149</v>
      </c>
      <c r="GI6" s="1916" t="s">
        <v>441</v>
      </c>
      <c r="GJ6" s="1914" t="s">
        <v>54</v>
      </c>
      <c r="GK6" s="1914" t="s">
        <v>441</v>
      </c>
      <c r="GL6" s="1915" t="s">
        <v>149</v>
      </c>
      <c r="GM6" s="1929" t="s">
        <v>441</v>
      </c>
      <c r="GN6" s="1928" t="s">
        <v>54</v>
      </c>
      <c r="GO6" s="1914" t="s">
        <v>441</v>
      </c>
      <c r="GP6" s="1915" t="s">
        <v>149</v>
      </c>
      <c r="GQ6" s="1916" t="s">
        <v>441</v>
      </c>
      <c r="GR6" s="1914" t="s">
        <v>54</v>
      </c>
      <c r="GS6" s="1914" t="s">
        <v>441</v>
      </c>
      <c r="GT6" s="1915" t="s">
        <v>149</v>
      </c>
      <c r="GU6" s="1916" t="s">
        <v>441</v>
      </c>
      <c r="GV6" s="1914" t="s">
        <v>54</v>
      </c>
      <c r="GW6" s="1914" t="s">
        <v>441</v>
      </c>
      <c r="GX6" s="1915" t="s">
        <v>149</v>
      </c>
      <c r="GY6" s="1929" t="s">
        <v>441</v>
      </c>
      <c r="GZ6" s="1928" t="s">
        <v>54</v>
      </c>
      <c r="HA6" s="1914" t="s">
        <v>441</v>
      </c>
      <c r="HB6" s="1915" t="s">
        <v>149</v>
      </c>
      <c r="HC6" s="1916" t="s">
        <v>441</v>
      </c>
      <c r="HD6" s="1914" t="s">
        <v>54</v>
      </c>
      <c r="HE6" s="1914" t="s">
        <v>441</v>
      </c>
      <c r="HF6" s="1915" t="s">
        <v>149</v>
      </c>
      <c r="HG6" s="1916" t="s">
        <v>441</v>
      </c>
      <c r="HH6" s="1914" t="s">
        <v>54</v>
      </c>
      <c r="HI6" s="1914" t="s">
        <v>441</v>
      </c>
      <c r="HJ6" s="1915" t="s">
        <v>149</v>
      </c>
      <c r="HK6" s="1929" t="s">
        <v>441</v>
      </c>
      <c r="HL6" s="1928" t="s">
        <v>54</v>
      </c>
      <c r="HM6" s="1914" t="s">
        <v>441</v>
      </c>
      <c r="HN6" s="1915" t="s">
        <v>149</v>
      </c>
      <c r="HO6" s="1916" t="s">
        <v>441</v>
      </c>
      <c r="HP6" s="1914" t="s">
        <v>54</v>
      </c>
      <c r="HQ6" s="1914" t="s">
        <v>441</v>
      </c>
      <c r="HR6" s="1915" t="s">
        <v>149</v>
      </c>
      <c r="HS6" s="1916" t="s">
        <v>441</v>
      </c>
      <c r="HT6" s="1914" t="s">
        <v>54</v>
      </c>
      <c r="HU6" s="1914" t="s">
        <v>441</v>
      </c>
      <c r="HV6" s="1915" t="s">
        <v>149</v>
      </c>
      <c r="HW6" s="1929" t="s">
        <v>441</v>
      </c>
      <c r="HX6" s="1928" t="s">
        <v>54</v>
      </c>
      <c r="HY6" s="1914" t="s">
        <v>441</v>
      </c>
      <c r="HZ6" s="1915" t="s">
        <v>149</v>
      </c>
      <c r="IA6" s="1916" t="s">
        <v>441</v>
      </c>
      <c r="IB6" s="1914" t="s">
        <v>54</v>
      </c>
      <c r="IC6" s="1914" t="s">
        <v>441</v>
      </c>
      <c r="ID6" s="1915" t="s">
        <v>149</v>
      </c>
      <c r="IE6" s="1916" t="s">
        <v>441</v>
      </c>
      <c r="IF6" s="1914" t="s">
        <v>54</v>
      </c>
      <c r="IG6" s="1914" t="s">
        <v>441</v>
      </c>
      <c r="IH6" s="1915" t="s">
        <v>149</v>
      </c>
      <c r="II6" s="1929" t="s">
        <v>441</v>
      </c>
      <c r="IJ6" s="1928" t="s">
        <v>54</v>
      </c>
      <c r="IK6" s="1914" t="s">
        <v>441</v>
      </c>
      <c r="IL6" s="1915" t="s">
        <v>149</v>
      </c>
      <c r="IM6" s="1916" t="s">
        <v>441</v>
      </c>
      <c r="IN6" s="1914" t="s">
        <v>54</v>
      </c>
      <c r="IO6" s="1914" t="s">
        <v>441</v>
      </c>
      <c r="IP6" s="1915" t="s">
        <v>149</v>
      </c>
      <c r="IQ6" s="1916" t="s">
        <v>441</v>
      </c>
      <c r="IR6" s="1914" t="s">
        <v>54</v>
      </c>
      <c r="IS6" s="1914" t="s">
        <v>441</v>
      </c>
      <c r="IT6" s="1915" t="s">
        <v>149</v>
      </c>
      <c r="IU6" s="1929" t="s">
        <v>441</v>
      </c>
      <c r="IV6" s="1928" t="s">
        <v>54</v>
      </c>
      <c r="IW6" s="1914" t="s">
        <v>441</v>
      </c>
      <c r="IX6" s="1915" t="s">
        <v>149</v>
      </c>
      <c r="IY6" s="1916" t="s">
        <v>441</v>
      </c>
      <c r="IZ6" s="1914" t="s">
        <v>54</v>
      </c>
      <c r="JA6" s="1914" t="s">
        <v>441</v>
      </c>
      <c r="JB6" s="1915" t="s">
        <v>149</v>
      </c>
      <c r="JC6" s="1916" t="s">
        <v>441</v>
      </c>
      <c r="JD6" s="1914" t="s">
        <v>54</v>
      </c>
      <c r="JE6" s="1914" t="s">
        <v>441</v>
      </c>
      <c r="JF6" s="1915" t="s">
        <v>149</v>
      </c>
      <c r="JG6" s="1929" t="s">
        <v>441</v>
      </c>
      <c r="JH6" s="1928" t="s">
        <v>54</v>
      </c>
      <c r="JI6" s="1914" t="s">
        <v>441</v>
      </c>
      <c r="JJ6" s="1915" t="s">
        <v>149</v>
      </c>
      <c r="JK6" s="1916" t="s">
        <v>441</v>
      </c>
      <c r="JL6" s="1914" t="s">
        <v>54</v>
      </c>
      <c r="JM6" s="1914" t="s">
        <v>441</v>
      </c>
      <c r="JN6" s="1915" t="s">
        <v>149</v>
      </c>
      <c r="JO6" s="1916" t="s">
        <v>441</v>
      </c>
      <c r="JP6" s="1914" t="s">
        <v>54</v>
      </c>
      <c r="JQ6" s="1914" t="s">
        <v>441</v>
      </c>
      <c r="JR6" s="1915" t="s">
        <v>149</v>
      </c>
      <c r="JS6" s="1929" t="s">
        <v>441</v>
      </c>
      <c r="JT6" s="1928" t="s">
        <v>54</v>
      </c>
      <c r="JU6" s="1914" t="s">
        <v>441</v>
      </c>
      <c r="JV6" s="1915" t="s">
        <v>149</v>
      </c>
      <c r="JW6" s="1916" t="s">
        <v>441</v>
      </c>
      <c r="JX6" s="1914" t="s">
        <v>54</v>
      </c>
      <c r="JY6" s="1914" t="s">
        <v>441</v>
      </c>
      <c r="JZ6" s="1915" t="s">
        <v>149</v>
      </c>
      <c r="KA6" s="1916" t="s">
        <v>441</v>
      </c>
      <c r="KB6" s="1914" t="s">
        <v>54</v>
      </c>
      <c r="KC6" s="1914" t="s">
        <v>441</v>
      </c>
      <c r="KD6" s="1915" t="s">
        <v>149</v>
      </c>
      <c r="KE6" s="1929" t="s">
        <v>441</v>
      </c>
      <c r="KF6" s="1928" t="s">
        <v>54</v>
      </c>
      <c r="KG6" s="1914" t="s">
        <v>441</v>
      </c>
      <c r="KH6" s="1915" t="s">
        <v>149</v>
      </c>
      <c r="KI6" s="1916" t="s">
        <v>441</v>
      </c>
      <c r="KJ6" s="1914" t="s">
        <v>54</v>
      </c>
      <c r="KK6" s="1914" t="s">
        <v>441</v>
      </c>
      <c r="KL6" s="1915" t="s">
        <v>149</v>
      </c>
      <c r="KM6" s="1916" t="s">
        <v>441</v>
      </c>
      <c r="KN6" s="1914" t="s">
        <v>54</v>
      </c>
      <c r="KO6" s="1914" t="s">
        <v>441</v>
      </c>
      <c r="KP6" s="1915" t="s">
        <v>149</v>
      </c>
      <c r="KQ6" s="1929" t="s">
        <v>441</v>
      </c>
      <c r="KR6" s="1928" t="s">
        <v>54</v>
      </c>
      <c r="KS6" s="1914" t="s">
        <v>441</v>
      </c>
      <c r="KT6" s="1915" t="s">
        <v>149</v>
      </c>
      <c r="KU6" s="1916" t="s">
        <v>441</v>
      </c>
      <c r="KV6" s="1914" t="s">
        <v>54</v>
      </c>
      <c r="KW6" s="1914" t="s">
        <v>441</v>
      </c>
      <c r="KX6" s="1915" t="s">
        <v>149</v>
      </c>
      <c r="KY6" s="1916" t="s">
        <v>441</v>
      </c>
      <c r="KZ6" s="1914" t="s">
        <v>54</v>
      </c>
      <c r="LA6" s="1914" t="s">
        <v>441</v>
      </c>
      <c r="LB6" s="1915" t="s">
        <v>149</v>
      </c>
      <c r="LC6" s="1929" t="s">
        <v>441</v>
      </c>
      <c r="LD6" s="1928" t="s">
        <v>54</v>
      </c>
      <c r="LE6" s="1914" t="s">
        <v>441</v>
      </c>
      <c r="LF6" s="1915" t="s">
        <v>149</v>
      </c>
      <c r="LG6" s="1916" t="s">
        <v>441</v>
      </c>
      <c r="LH6" s="1914" t="s">
        <v>54</v>
      </c>
      <c r="LI6" s="1914" t="s">
        <v>441</v>
      </c>
      <c r="LJ6" s="1915" t="s">
        <v>149</v>
      </c>
      <c r="LK6" s="1916" t="s">
        <v>441</v>
      </c>
      <c r="LL6" s="1914" t="s">
        <v>54</v>
      </c>
      <c r="LM6" s="1914" t="s">
        <v>441</v>
      </c>
      <c r="LN6" s="1915" t="s">
        <v>149</v>
      </c>
      <c r="LO6" s="1929" t="s">
        <v>441</v>
      </c>
      <c r="LP6" s="1928" t="s">
        <v>54</v>
      </c>
      <c r="LQ6" s="1914" t="s">
        <v>441</v>
      </c>
      <c r="LR6" s="1915" t="s">
        <v>149</v>
      </c>
      <c r="LS6" s="1916" t="s">
        <v>441</v>
      </c>
      <c r="LT6" s="1914" t="s">
        <v>54</v>
      </c>
      <c r="LU6" s="1914" t="s">
        <v>441</v>
      </c>
      <c r="LV6" s="1915" t="s">
        <v>149</v>
      </c>
      <c r="LW6" s="1916" t="s">
        <v>441</v>
      </c>
      <c r="LX6" s="1914" t="s">
        <v>54</v>
      </c>
      <c r="LY6" s="1914" t="s">
        <v>441</v>
      </c>
      <c r="LZ6" s="1915" t="s">
        <v>149</v>
      </c>
      <c r="MA6" s="1929" t="s">
        <v>441</v>
      </c>
      <c r="MB6" s="1928" t="s">
        <v>54</v>
      </c>
      <c r="MC6" s="1914" t="s">
        <v>441</v>
      </c>
      <c r="MD6" s="1915" t="s">
        <v>149</v>
      </c>
      <c r="ME6" s="1916" t="s">
        <v>441</v>
      </c>
      <c r="MF6" s="1914" t="s">
        <v>54</v>
      </c>
      <c r="MG6" s="1914" t="s">
        <v>441</v>
      </c>
      <c r="MH6" s="1915" t="s">
        <v>149</v>
      </c>
      <c r="MI6" s="1916" t="s">
        <v>441</v>
      </c>
      <c r="MJ6" s="1914" t="s">
        <v>54</v>
      </c>
      <c r="MK6" s="1914" t="s">
        <v>441</v>
      </c>
      <c r="ML6" s="1915" t="s">
        <v>149</v>
      </c>
      <c r="MM6" s="1929" t="s">
        <v>441</v>
      </c>
      <c r="MN6" s="1928" t="s">
        <v>54</v>
      </c>
      <c r="MO6" s="1914" t="s">
        <v>441</v>
      </c>
      <c r="MP6" s="1915" t="s">
        <v>149</v>
      </c>
      <c r="MQ6" s="1916" t="s">
        <v>441</v>
      </c>
      <c r="MR6" s="1914" t="s">
        <v>54</v>
      </c>
      <c r="MS6" s="1914" t="s">
        <v>441</v>
      </c>
      <c r="MT6" s="1915" t="s">
        <v>149</v>
      </c>
      <c r="MU6" s="1916" t="s">
        <v>441</v>
      </c>
      <c r="MV6" s="1914" t="s">
        <v>54</v>
      </c>
      <c r="MW6" s="1914" t="s">
        <v>441</v>
      </c>
      <c r="MX6" s="1915" t="s">
        <v>149</v>
      </c>
      <c r="MY6" s="1929" t="s">
        <v>441</v>
      </c>
      <c r="MZ6" s="1928" t="s">
        <v>54</v>
      </c>
      <c r="NA6" s="1914" t="s">
        <v>441</v>
      </c>
      <c r="NB6" s="1915" t="s">
        <v>149</v>
      </c>
      <c r="NC6" s="1916" t="s">
        <v>441</v>
      </c>
      <c r="ND6" s="1914" t="s">
        <v>54</v>
      </c>
      <c r="NE6" s="1914" t="s">
        <v>441</v>
      </c>
      <c r="NF6" s="1915" t="s">
        <v>149</v>
      </c>
      <c r="NG6" s="1916" t="s">
        <v>441</v>
      </c>
      <c r="NH6" s="1914" t="s">
        <v>54</v>
      </c>
      <c r="NI6" s="1914" t="s">
        <v>441</v>
      </c>
      <c r="NJ6" s="1915" t="s">
        <v>149</v>
      </c>
      <c r="NK6" s="1929" t="s">
        <v>441</v>
      </c>
      <c r="NL6" s="1928" t="s">
        <v>54</v>
      </c>
      <c r="NM6" s="1914" t="s">
        <v>441</v>
      </c>
      <c r="NN6" s="1915" t="s">
        <v>149</v>
      </c>
      <c r="NO6" s="1916" t="s">
        <v>441</v>
      </c>
      <c r="NP6" s="1914" t="s">
        <v>54</v>
      </c>
      <c r="NQ6" s="1914" t="s">
        <v>441</v>
      </c>
      <c r="NR6" s="1915" t="s">
        <v>149</v>
      </c>
      <c r="NS6" s="1916" t="s">
        <v>441</v>
      </c>
      <c r="NT6" s="1914" t="s">
        <v>54</v>
      </c>
      <c r="NU6" s="1914" t="s">
        <v>441</v>
      </c>
      <c r="NV6" s="1915" t="s">
        <v>149</v>
      </c>
      <c r="NW6" s="1929" t="s">
        <v>441</v>
      </c>
      <c r="NX6" s="1928" t="s">
        <v>54</v>
      </c>
      <c r="NY6" s="1914" t="s">
        <v>441</v>
      </c>
      <c r="NZ6" s="1915" t="s">
        <v>149</v>
      </c>
      <c r="OA6" s="1916" t="s">
        <v>441</v>
      </c>
      <c r="OB6" s="1914" t="s">
        <v>54</v>
      </c>
      <c r="OC6" s="1914" t="s">
        <v>441</v>
      </c>
      <c r="OD6" s="1915" t="s">
        <v>149</v>
      </c>
      <c r="OE6" s="1916" t="s">
        <v>441</v>
      </c>
      <c r="OF6" s="1914" t="s">
        <v>54</v>
      </c>
      <c r="OG6" s="1914" t="s">
        <v>441</v>
      </c>
      <c r="OH6" s="1915" t="s">
        <v>149</v>
      </c>
      <c r="OI6" s="1929" t="s">
        <v>441</v>
      </c>
      <c r="OJ6" s="1928" t="s">
        <v>54</v>
      </c>
      <c r="OK6" s="1914" t="s">
        <v>441</v>
      </c>
      <c r="OL6" s="1915" t="s">
        <v>149</v>
      </c>
      <c r="OM6" s="1916" t="s">
        <v>441</v>
      </c>
      <c r="ON6" s="1914" t="s">
        <v>54</v>
      </c>
      <c r="OO6" s="1914" t="s">
        <v>441</v>
      </c>
      <c r="OP6" s="1915" t="s">
        <v>149</v>
      </c>
      <c r="OQ6" s="1916" t="s">
        <v>441</v>
      </c>
      <c r="OR6" s="1914" t="s">
        <v>54</v>
      </c>
      <c r="OS6" s="1914" t="s">
        <v>441</v>
      </c>
      <c r="OT6" s="1915" t="s">
        <v>149</v>
      </c>
      <c r="OU6" s="1929" t="s">
        <v>441</v>
      </c>
      <c r="OV6" s="1928" t="s">
        <v>54</v>
      </c>
      <c r="OW6" s="1914" t="s">
        <v>441</v>
      </c>
      <c r="OX6" s="1915" t="s">
        <v>149</v>
      </c>
      <c r="OY6" s="1916" t="s">
        <v>441</v>
      </c>
      <c r="OZ6" s="1914" t="s">
        <v>54</v>
      </c>
      <c r="PA6" s="1914" t="s">
        <v>441</v>
      </c>
      <c r="PB6" s="1915" t="s">
        <v>149</v>
      </c>
      <c r="PC6" s="1916" t="s">
        <v>441</v>
      </c>
      <c r="PD6" s="1914" t="s">
        <v>54</v>
      </c>
      <c r="PE6" s="1914" t="s">
        <v>441</v>
      </c>
      <c r="PF6" s="1915" t="s">
        <v>149</v>
      </c>
      <c r="PG6" s="1929" t="s">
        <v>441</v>
      </c>
      <c r="PH6" s="1928" t="s">
        <v>54</v>
      </c>
      <c r="PI6" s="1914" t="s">
        <v>441</v>
      </c>
      <c r="PJ6" s="1915" t="s">
        <v>149</v>
      </c>
      <c r="PK6" s="1916" t="s">
        <v>441</v>
      </c>
      <c r="PL6" s="1914" t="s">
        <v>54</v>
      </c>
      <c r="PM6" s="1914" t="s">
        <v>441</v>
      </c>
      <c r="PN6" s="1915" t="s">
        <v>149</v>
      </c>
      <c r="PO6" s="1916" t="s">
        <v>441</v>
      </c>
      <c r="PP6" s="1914" t="s">
        <v>54</v>
      </c>
      <c r="PQ6" s="1914" t="s">
        <v>441</v>
      </c>
      <c r="PR6" s="1915" t="s">
        <v>149</v>
      </c>
      <c r="PS6" s="1929" t="s">
        <v>441</v>
      </c>
      <c r="PT6" s="1928" t="s">
        <v>54</v>
      </c>
      <c r="PU6" s="1914" t="s">
        <v>441</v>
      </c>
      <c r="PV6" s="1915" t="s">
        <v>149</v>
      </c>
      <c r="PW6" s="1916" t="s">
        <v>441</v>
      </c>
      <c r="PX6" s="1914" t="s">
        <v>54</v>
      </c>
      <c r="PY6" s="1914" t="s">
        <v>441</v>
      </c>
      <c r="PZ6" s="1915" t="s">
        <v>149</v>
      </c>
      <c r="QA6" s="1916" t="s">
        <v>441</v>
      </c>
      <c r="QB6" s="1914" t="s">
        <v>54</v>
      </c>
      <c r="QC6" s="1914" t="s">
        <v>441</v>
      </c>
      <c r="QD6" s="1915" t="s">
        <v>149</v>
      </c>
      <c r="QE6" s="1929" t="s">
        <v>441</v>
      </c>
      <c r="QF6" s="1928" t="s">
        <v>54</v>
      </c>
      <c r="QG6" s="1914" t="s">
        <v>441</v>
      </c>
      <c r="QH6" s="1915" t="s">
        <v>149</v>
      </c>
      <c r="QI6" s="1916" t="s">
        <v>441</v>
      </c>
      <c r="QJ6" s="1914" t="s">
        <v>54</v>
      </c>
      <c r="QK6" s="1914" t="s">
        <v>441</v>
      </c>
      <c r="QL6" s="1915" t="s">
        <v>149</v>
      </c>
      <c r="QM6" s="1916" t="s">
        <v>441</v>
      </c>
      <c r="QN6" s="1914" t="s">
        <v>54</v>
      </c>
      <c r="QO6" s="1914" t="s">
        <v>441</v>
      </c>
      <c r="QP6" s="1915" t="s">
        <v>149</v>
      </c>
      <c r="QQ6" s="1929" t="s">
        <v>441</v>
      </c>
      <c r="QR6" s="1928" t="s">
        <v>54</v>
      </c>
      <c r="QS6" s="1914" t="s">
        <v>441</v>
      </c>
      <c r="QT6" s="1915" t="s">
        <v>149</v>
      </c>
      <c r="QU6" s="1916" t="s">
        <v>441</v>
      </c>
      <c r="QV6" s="1914" t="s">
        <v>54</v>
      </c>
      <c r="QW6" s="1914" t="s">
        <v>441</v>
      </c>
      <c r="QX6" s="1915" t="s">
        <v>149</v>
      </c>
      <c r="QY6" s="1916" t="s">
        <v>441</v>
      </c>
      <c r="QZ6" s="1914" t="s">
        <v>54</v>
      </c>
      <c r="RA6" s="1914" t="s">
        <v>441</v>
      </c>
      <c r="RB6" s="1915" t="s">
        <v>149</v>
      </c>
      <c r="RC6" s="1929" t="s">
        <v>441</v>
      </c>
      <c r="RD6" s="1928" t="s">
        <v>54</v>
      </c>
      <c r="RE6" s="1914" t="s">
        <v>441</v>
      </c>
      <c r="RF6" s="1915" t="s">
        <v>149</v>
      </c>
      <c r="RG6" s="1916" t="s">
        <v>441</v>
      </c>
      <c r="RH6" s="1914" t="s">
        <v>54</v>
      </c>
      <c r="RI6" s="1914" t="s">
        <v>441</v>
      </c>
      <c r="RJ6" s="1915" t="s">
        <v>149</v>
      </c>
      <c r="RK6" s="1916" t="s">
        <v>441</v>
      </c>
      <c r="RL6" s="1914" t="s">
        <v>54</v>
      </c>
      <c r="RM6" s="1914" t="s">
        <v>441</v>
      </c>
      <c r="RN6" s="1915" t="s">
        <v>149</v>
      </c>
      <c r="RO6" s="1929" t="s">
        <v>441</v>
      </c>
    </row>
    <row r="7" spans="1:483">
      <c r="A7" s="656">
        <f>Eingabedaten!A9</f>
        <v>1.01</v>
      </c>
      <c r="B7" s="390" t="str">
        <f>Eingabedaten!C9</f>
        <v>Wohnen MFH</v>
      </c>
      <c r="C7" s="1090"/>
      <c r="D7" s="1930">
        <v>14.860111764705884</v>
      </c>
      <c r="E7" s="1931">
        <v>0</v>
      </c>
      <c r="F7" s="1931">
        <v>16.964394117647061</v>
      </c>
      <c r="G7" s="1931">
        <v>14.931419884250845</v>
      </c>
      <c r="H7" s="1931">
        <v>11.894607455462184</v>
      </c>
      <c r="I7" s="1931">
        <v>0</v>
      </c>
      <c r="J7" s="1931">
        <v>12.691058823529412</v>
      </c>
      <c r="K7" s="1931">
        <v>8.765180132202202</v>
      </c>
      <c r="L7" s="1931">
        <v>0</v>
      </c>
      <c r="M7" s="1931">
        <v>0</v>
      </c>
      <c r="N7" s="1931">
        <v>58.607529411764709</v>
      </c>
      <c r="O7" s="1942">
        <v>138.3125894671191</v>
      </c>
      <c r="P7" s="1930">
        <v>22.156119798319331</v>
      </c>
      <c r="Q7" s="1931">
        <v>4.9338791374928048</v>
      </c>
      <c r="R7" s="1931">
        <v>14.415473529411766</v>
      </c>
      <c r="S7" s="1931">
        <v>14.245685441486383</v>
      </c>
      <c r="T7" s="1931">
        <v>15.506516246588237</v>
      </c>
      <c r="U7" s="1931">
        <v>2.7361824942449124</v>
      </c>
      <c r="V7" s="1931">
        <v>10.779264705882355</v>
      </c>
      <c r="W7" s="1931">
        <v>10.042405121134909</v>
      </c>
      <c r="X7" s="1931">
        <v>0</v>
      </c>
      <c r="Y7" s="1931">
        <v>0</v>
      </c>
      <c r="Z7" s="1931">
        <v>50.401882352941186</v>
      </c>
      <c r="AA7" s="1942">
        <v>100.02892188255102</v>
      </c>
      <c r="AB7" s="1930">
        <v>20.474267193277313</v>
      </c>
      <c r="AC7" s="1931">
        <v>3.345598421660875</v>
      </c>
      <c r="AD7" s="1931">
        <v>14.469705882352944</v>
      </c>
      <c r="AE7" s="1931">
        <v>16.910228843809573</v>
      </c>
      <c r="AF7" s="1931">
        <v>15.966290616470589</v>
      </c>
      <c r="AG7" s="1931">
        <v>1.5925782394378072</v>
      </c>
      <c r="AH7" s="1931">
        <v>10.819941176470589</v>
      </c>
      <c r="AI7" s="1931">
        <v>12.379052351287157</v>
      </c>
      <c r="AJ7" s="1931">
        <v>0</v>
      </c>
      <c r="AK7" s="1931">
        <v>0</v>
      </c>
      <c r="AL7" s="1931">
        <v>50.57647058823531</v>
      </c>
      <c r="AM7" s="1942">
        <v>108.05866998666272</v>
      </c>
      <c r="AN7" s="1930">
        <v>23.815737915966388</v>
      </c>
      <c r="AO7" s="1931">
        <v>6.7409410912402432</v>
      </c>
      <c r="AP7" s="1931">
        <v>14.957797058823532</v>
      </c>
      <c r="AQ7" s="1931">
        <v>12.59419812876078</v>
      </c>
      <c r="AR7" s="1931">
        <v>16.567228031462186</v>
      </c>
      <c r="AS7" s="1931">
        <v>3.9866787363173186</v>
      </c>
      <c r="AT7" s="1931">
        <v>11.186029411764707</v>
      </c>
      <c r="AU7" s="1931">
        <v>8.7357996259077098</v>
      </c>
      <c r="AV7" s="1931">
        <v>0</v>
      </c>
      <c r="AW7" s="1931">
        <v>0</v>
      </c>
      <c r="AX7" s="1931">
        <v>52.147764705882366</v>
      </c>
      <c r="AY7" s="1942">
        <v>92.424347495778733</v>
      </c>
      <c r="AZ7" s="1930">
        <v>20.974340487394961</v>
      </c>
      <c r="BA7" s="1931">
        <v>5.0041712462659147</v>
      </c>
      <c r="BB7" s="1931">
        <v>15.44588823529412</v>
      </c>
      <c r="BC7" s="1931">
        <v>15.094676849620017</v>
      </c>
      <c r="BD7" s="1931">
        <v>14.539836144672273</v>
      </c>
      <c r="BE7" s="1931">
        <v>2.7712274643515067</v>
      </c>
      <c r="BF7" s="1931">
        <v>11.552117647058823</v>
      </c>
      <c r="BG7" s="1931">
        <v>10.342568457930383</v>
      </c>
      <c r="BH7" s="1931">
        <v>0</v>
      </c>
      <c r="BI7" s="1931">
        <v>0</v>
      </c>
      <c r="BJ7" s="1931">
        <v>53.719058823529423</v>
      </c>
      <c r="BK7" s="1942">
        <v>105.81242407346956</v>
      </c>
      <c r="BL7" s="1930">
        <v>19.941590789915971</v>
      </c>
      <c r="BM7" s="1931">
        <v>5.2588968941986876</v>
      </c>
      <c r="BN7" s="1931">
        <v>15.283191176470591</v>
      </c>
      <c r="BO7" s="1931">
        <v>16.689735808184718</v>
      </c>
      <c r="BP7" s="1931">
        <v>14.493685194218489</v>
      </c>
      <c r="BQ7" s="1931">
        <v>2.9645223377415548</v>
      </c>
      <c r="BR7" s="1931">
        <v>11.430088235294118</v>
      </c>
      <c r="BS7" s="1931">
        <v>12.027071190202857</v>
      </c>
      <c r="BT7" s="1931">
        <v>0</v>
      </c>
      <c r="BU7" s="1931">
        <v>0</v>
      </c>
      <c r="BV7" s="1931">
        <v>53.195294117647073</v>
      </c>
      <c r="BW7" s="1942">
        <v>106.45741821061868</v>
      </c>
      <c r="BX7" s="1930">
        <v>19.568751848739499</v>
      </c>
      <c r="BY7" s="1931">
        <v>3.9523700310390235</v>
      </c>
      <c r="BZ7" s="1931">
        <v>15.337423529411765</v>
      </c>
      <c r="CA7" s="1931">
        <v>12.723013861782338</v>
      </c>
      <c r="CB7" s="1931">
        <v>13.861713665613445</v>
      </c>
      <c r="CC7" s="1931">
        <v>2.0236822472942575</v>
      </c>
      <c r="CD7" s="1931">
        <v>11.470764705882353</v>
      </c>
      <c r="CE7" s="1931">
        <v>8.3402393896888167</v>
      </c>
      <c r="CF7" s="1931">
        <v>0</v>
      </c>
      <c r="CG7" s="1931">
        <v>0</v>
      </c>
      <c r="CH7" s="1931">
        <v>53.36988235294119</v>
      </c>
      <c r="CI7" s="1942">
        <v>100.03465072278638</v>
      </c>
      <c r="CJ7" s="1930">
        <v>13.993684033613448</v>
      </c>
      <c r="CK7" s="1931">
        <v>0</v>
      </c>
      <c r="CL7" s="1931">
        <v>18.537132352941178</v>
      </c>
      <c r="CM7" s="1931">
        <v>17.250288555739832</v>
      </c>
      <c r="CN7" s="1931">
        <v>9.5742437915966381</v>
      </c>
      <c r="CO7" s="1931">
        <v>0</v>
      </c>
      <c r="CP7" s="1931">
        <v>13.870676470588236</v>
      </c>
      <c r="CQ7" s="1931">
        <v>9.8608041926089438</v>
      </c>
      <c r="CR7" s="1931">
        <v>0</v>
      </c>
      <c r="CS7" s="1931">
        <v>0</v>
      </c>
      <c r="CT7" s="1931">
        <v>63.670588235294133</v>
      </c>
      <c r="CU7" s="1942">
        <v>153.5691551508543</v>
      </c>
      <c r="CV7" s="1930">
        <v>18.746045159663868</v>
      </c>
      <c r="CW7" s="1931">
        <v>0.30044052490664291</v>
      </c>
      <c r="CX7" s="1931">
        <v>16.693232352941177</v>
      </c>
      <c r="CY7" s="1931">
        <v>13.500347894099988</v>
      </c>
      <c r="CZ7" s="1931">
        <v>13.36863013216807</v>
      </c>
      <c r="DA7" s="1931">
        <v>0</v>
      </c>
      <c r="DB7" s="1931">
        <v>12.487676470588235</v>
      </c>
      <c r="DC7" s="1931">
        <v>7.9979593929671422</v>
      </c>
      <c r="DD7" s="1931">
        <v>0</v>
      </c>
      <c r="DE7" s="1931">
        <v>0</v>
      </c>
      <c r="DF7" s="1931">
        <v>57.734588235294126</v>
      </c>
      <c r="DG7" s="1942">
        <v>124.92967789880332</v>
      </c>
      <c r="DH7" s="1930">
        <v>20.429310067226897</v>
      </c>
      <c r="DI7" s="1931">
        <v>0</v>
      </c>
      <c r="DJ7" s="1931">
        <v>17.506717647058828</v>
      </c>
      <c r="DK7" s="1931">
        <v>21.307077371700796</v>
      </c>
      <c r="DL7" s="1931">
        <v>14.156467897277313</v>
      </c>
      <c r="DM7" s="1931">
        <v>0</v>
      </c>
      <c r="DN7" s="1931">
        <v>13.097823529411766</v>
      </c>
      <c r="DO7" s="1931">
        <v>14.681755423263898</v>
      </c>
      <c r="DP7" s="1931">
        <v>0</v>
      </c>
      <c r="DQ7" s="1931">
        <v>0</v>
      </c>
      <c r="DR7" s="1931">
        <v>60.353411764705903</v>
      </c>
      <c r="DS7" s="1942">
        <v>141.27178192652556</v>
      </c>
      <c r="DT7" s="1930">
        <v>21.961693831932777</v>
      </c>
      <c r="DU7" s="1931">
        <v>7.9775507215406938</v>
      </c>
      <c r="DV7" s="1931">
        <v>13.710452941176474</v>
      </c>
      <c r="DW7" s="1931">
        <v>12.153495825474071</v>
      </c>
      <c r="DX7" s="1931">
        <v>15.242712855394958</v>
      </c>
      <c r="DY7" s="1931">
        <v>4.5588351348930845</v>
      </c>
      <c r="DZ7" s="1931">
        <v>10.250470588235295</v>
      </c>
      <c r="EA7" s="1931">
        <v>8.3923956348333739</v>
      </c>
      <c r="EB7" s="1931">
        <v>36.263939495798319</v>
      </c>
      <c r="EC7" s="1931">
        <v>0.83254299642725216</v>
      </c>
      <c r="ED7" s="1931">
        <v>48.132235294117656</v>
      </c>
      <c r="EE7" s="1942">
        <v>89.87240420703084</v>
      </c>
      <c r="EF7" s="1930">
        <v>19.80248734453782</v>
      </c>
      <c r="EG7" s="1931">
        <v>2.3508085993751586</v>
      </c>
      <c r="EH7" s="1931">
        <v>15.879747058823533</v>
      </c>
      <c r="EI7" s="1931">
        <v>21.743826244640317</v>
      </c>
      <c r="EJ7" s="1931">
        <v>14.028678481478991</v>
      </c>
      <c r="EK7" s="1931">
        <v>0.93179267738266636</v>
      </c>
      <c r="EL7" s="1931">
        <v>11.877529411764707</v>
      </c>
      <c r="EM7" s="1931">
        <v>16.168800584549459</v>
      </c>
      <c r="EN7" s="1931">
        <v>0</v>
      </c>
      <c r="EO7" s="1931">
        <v>0</v>
      </c>
      <c r="EP7" s="1931">
        <v>55.115764705882363</v>
      </c>
      <c r="EQ7" s="1942">
        <v>124.14922807065467</v>
      </c>
      <c r="ER7" s="1930">
        <v>13.522782352941178</v>
      </c>
      <c r="ES7" s="1931">
        <v>0</v>
      </c>
      <c r="ET7" s="1931">
        <v>19.784476470588238</v>
      </c>
      <c r="EU7" s="1931">
        <v>20.98711494867689</v>
      </c>
      <c r="EV7" s="1931">
        <v>10.161704618487393</v>
      </c>
      <c r="EW7" s="1931">
        <v>0</v>
      </c>
      <c r="EX7" s="1931">
        <v>14.806235294117648</v>
      </c>
      <c r="EY7" s="1931">
        <v>12.058840506279241</v>
      </c>
      <c r="EZ7" s="1931">
        <v>0</v>
      </c>
      <c r="FA7" s="1931">
        <v>0</v>
      </c>
      <c r="FB7" s="1931">
        <v>67.686117647058836</v>
      </c>
      <c r="FC7" s="1942">
        <v>183.1672673669984</v>
      </c>
      <c r="FD7" s="1930">
        <v>24.535494957983193</v>
      </c>
      <c r="FE7" s="1931">
        <v>4.8545571522491073</v>
      </c>
      <c r="FF7" s="1931">
        <v>15.228958823529414</v>
      </c>
      <c r="FG7" s="1931">
        <v>16.772179624988965</v>
      </c>
      <c r="FH7" s="1931">
        <v>20.562606722689075</v>
      </c>
      <c r="FI7" s="1931">
        <v>2.6643354770862073</v>
      </c>
      <c r="FJ7" s="1931">
        <v>11.389411764705883</v>
      </c>
      <c r="FK7" s="1931">
        <v>11.981760383354475</v>
      </c>
      <c r="FL7" s="1931">
        <v>0</v>
      </c>
      <c r="FM7" s="1931">
        <v>0</v>
      </c>
      <c r="FN7" s="1931">
        <v>53.020705882352956</v>
      </c>
      <c r="FO7" s="1942">
        <v>108.07411956429431</v>
      </c>
      <c r="FP7" s="1930">
        <v>18.92772196638656</v>
      </c>
      <c r="FQ7" s="1931">
        <v>3.3983461131566699</v>
      </c>
      <c r="FR7" s="1931">
        <v>15.228958823529414</v>
      </c>
      <c r="FS7" s="1931">
        <v>16.949889710520026</v>
      </c>
      <c r="FT7" s="1931">
        <v>13.083113075361346</v>
      </c>
      <c r="FU7" s="1931">
        <v>1.613555293213409</v>
      </c>
      <c r="FV7" s="1931">
        <v>11.389411764705883</v>
      </c>
      <c r="FW7" s="1931">
        <v>11.755658418386863</v>
      </c>
      <c r="FX7" s="1931">
        <v>0</v>
      </c>
      <c r="FY7" s="1931">
        <v>0</v>
      </c>
      <c r="FZ7" s="1931">
        <v>53.020705882352956</v>
      </c>
      <c r="GA7" s="1942">
        <v>113.23479154453408</v>
      </c>
      <c r="GB7" s="1930">
        <v>18.665618655462186</v>
      </c>
      <c r="GC7" s="1931">
        <v>0.88349124641924592</v>
      </c>
      <c r="GD7" s="1931">
        <v>16.584767647058825</v>
      </c>
      <c r="GE7" s="1931">
        <v>15.575866430868839</v>
      </c>
      <c r="GF7" s="1931">
        <v>12.898074129747901</v>
      </c>
      <c r="GG7" s="1931">
        <v>8.6481741423327402E-2</v>
      </c>
      <c r="GH7" s="1931">
        <v>12.406323529411765</v>
      </c>
      <c r="GI7" s="1931">
        <v>9.6945628088246352</v>
      </c>
      <c r="GJ7" s="1931">
        <v>0</v>
      </c>
      <c r="GK7" s="1931">
        <v>0</v>
      </c>
      <c r="GL7" s="1931">
        <v>57.385411764705893</v>
      </c>
      <c r="GM7" s="1942">
        <v>126.4287117347466</v>
      </c>
      <c r="GN7" s="1930">
        <v>18.541951260504202</v>
      </c>
      <c r="GO7" s="1931">
        <v>6.9167143898698977E-2</v>
      </c>
      <c r="GP7" s="1931">
        <v>16.639000000000003</v>
      </c>
      <c r="GQ7" s="1931">
        <v>19.908465922861613</v>
      </c>
      <c r="GR7" s="1931">
        <v>12.814763643697479</v>
      </c>
      <c r="GS7" s="1931">
        <v>0</v>
      </c>
      <c r="GT7" s="1931">
        <v>12.447000000000001</v>
      </c>
      <c r="GU7" s="1931">
        <v>13.14541247455008</v>
      </c>
      <c r="GV7" s="1931">
        <v>0</v>
      </c>
      <c r="GW7" s="1931">
        <v>0</v>
      </c>
      <c r="GX7" s="1931">
        <v>57.560000000000016</v>
      </c>
      <c r="GY7" s="1942">
        <v>139.04266305124432</v>
      </c>
      <c r="GZ7" s="1930">
        <v>20.057001747899161</v>
      </c>
      <c r="HA7" s="1931">
        <v>10.294341219624725</v>
      </c>
      <c r="HB7" s="1931">
        <v>12.137714705882354</v>
      </c>
      <c r="HC7" s="1931">
        <v>7.7876967176279912</v>
      </c>
      <c r="HD7" s="1931">
        <v>14.938756372705882</v>
      </c>
      <c r="HE7" s="1931">
        <v>6.0697929438728373</v>
      </c>
      <c r="HF7" s="1931">
        <v>9.0708529411764722</v>
      </c>
      <c r="HG7" s="1931">
        <v>4.8949648397401759</v>
      </c>
      <c r="HH7" s="1931">
        <v>31.715415126050424</v>
      </c>
      <c r="HI7" s="1931">
        <v>3.8446833638866753</v>
      </c>
      <c r="HJ7" s="1931">
        <v>43.069176470588246</v>
      </c>
      <c r="HK7" s="1942">
        <v>74.098133862650002</v>
      </c>
      <c r="HL7" s="1930">
        <v>22.130090050420172</v>
      </c>
      <c r="HM7" s="1931">
        <v>11.011345777103719</v>
      </c>
      <c r="HN7" s="1931">
        <v>11.866552941176472</v>
      </c>
      <c r="HO7" s="1931">
        <v>7.0434849565305004</v>
      </c>
      <c r="HP7" s="1931">
        <v>15.367945198252103</v>
      </c>
      <c r="HQ7" s="1931">
        <v>6.5894961186130612</v>
      </c>
      <c r="HR7" s="1931">
        <v>8.8674705882352942</v>
      </c>
      <c r="HS7" s="1931">
        <v>4.2537070473572873</v>
      </c>
      <c r="HT7" s="1931">
        <v>34.812342857142859</v>
      </c>
      <c r="HU7" s="1931">
        <v>4.7040596996397168</v>
      </c>
      <c r="HV7" s="1931">
        <v>42.196235294117656</v>
      </c>
      <c r="HW7" s="1942">
        <v>73.471562915677765</v>
      </c>
      <c r="HX7" s="1930">
        <v>22.045429058823533</v>
      </c>
      <c r="HY7" s="1931">
        <v>4.765665549795326</v>
      </c>
      <c r="HZ7" s="1931">
        <v>14.903564705882353</v>
      </c>
      <c r="IA7" s="1931">
        <v>16.163387584511298</v>
      </c>
      <c r="IB7" s="1931">
        <v>15.302919678117648</v>
      </c>
      <c r="IC7" s="1931">
        <v>2.6130071067017635</v>
      </c>
      <c r="ID7" s="1931">
        <v>11.145352941176471</v>
      </c>
      <c r="IE7" s="1931">
        <v>11.553278372402492</v>
      </c>
      <c r="IF7" s="1931">
        <v>0</v>
      </c>
      <c r="IG7" s="1931">
        <v>0</v>
      </c>
      <c r="IH7" s="1931">
        <v>51.973176470588243</v>
      </c>
      <c r="II7" s="1942">
        <v>106.40113813085196</v>
      </c>
      <c r="IJ7" s="1930">
        <v>20.997987277310926</v>
      </c>
      <c r="IK7" s="1931">
        <v>10.261095072296998</v>
      </c>
      <c r="IL7" s="1931">
        <v>13.059664705882355</v>
      </c>
      <c r="IM7" s="1931">
        <v>10.53843174202466</v>
      </c>
      <c r="IN7" s="1931">
        <v>15.339137785277313</v>
      </c>
      <c r="IO7" s="1931">
        <v>6.0475571082326463</v>
      </c>
      <c r="IP7" s="1931">
        <v>9.76235294117647</v>
      </c>
      <c r="IQ7" s="1931">
        <v>6.840751676672272</v>
      </c>
      <c r="IR7" s="1931">
        <v>33.533485714285717</v>
      </c>
      <c r="IS7" s="1931">
        <v>3.7292786849713631</v>
      </c>
      <c r="IT7" s="1931">
        <v>46.03717647058825</v>
      </c>
      <c r="IU7" s="1942">
        <v>84.038209670752437</v>
      </c>
      <c r="IV7" s="1930">
        <v>19.295736134453787</v>
      </c>
      <c r="IW7" s="1931">
        <v>0.64753386591504503</v>
      </c>
      <c r="IX7" s="1931">
        <v>16.639000000000003</v>
      </c>
      <c r="IY7" s="1931">
        <v>11.975949593052032</v>
      </c>
      <c r="IZ7" s="1931">
        <v>13.351349754621848</v>
      </c>
      <c r="JA7" s="1931">
        <v>0</v>
      </c>
      <c r="JB7" s="1931">
        <v>12.447000000000001</v>
      </c>
      <c r="JC7" s="1931">
        <v>6.6293695614484625</v>
      </c>
      <c r="JD7" s="1931">
        <v>0</v>
      </c>
      <c r="JE7" s="1931">
        <v>0</v>
      </c>
      <c r="JF7" s="1931">
        <v>57.560000000000016</v>
      </c>
      <c r="JG7" s="1942">
        <v>120.34982362310598</v>
      </c>
      <c r="JH7" s="1930">
        <v>18.252148470588239</v>
      </c>
      <c r="JI7" s="1931">
        <v>6.0350062876776791</v>
      </c>
      <c r="JJ7" s="1931">
        <v>14.361241176470589</v>
      </c>
      <c r="JK7" s="1931">
        <v>14.689848783647681</v>
      </c>
      <c r="JL7" s="1931">
        <v>13.285895778420169</v>
      </c>
      <c r="JM7" s="1931">
        <v>3.5349418503622525</v>
      </c>
      <c r="JN7" s="1931">
        <v>10.738588235294118</v>
      </c>
      <c r="JO7" s="1931">
        <v>10.569575916520204</v>
      </c>
      <c r="JP7" s="1931">
        <v>0</v>
      </c>
      <c r="JQ7" s="1931">
        <v>0</v>
      </c>
      <c r="JR7" s="1931">
        <v>50.227294117647062</v>
      </c>
      <c r="JS7" s="1942">
        <v>98.93089946133253</v>
      </c>
      <c r="JT7" s="1930">
        <v>23.004855428571432</v>
      </c>
      <c r="JU7" s="1931">
        <v>5.5890360450894434</v>
      </c>
      <c r="JV7" s="1931">
        <v>15.066261764705883</v>
      </c>
      <c r="JW7" s="1931">
        <v>15.131552751795383</v>
      </c>
      <c r="JX7" s="1931">
        <v>15.988818147495801</v>
      </c>
      <c r="JY7" s="1931">
        <v>3.195058461997224</v>
      </c>
      <c r="JZ7" s="1931">
        <v>11.267382352941176</v>
      </c>
      <c r="KA7" s="1931">
        <v>10.627825828851641</v>
      </c>
      <c r="KB7" s="1931">
        <v>0</v>
      </c>
      <c r="KC7" s="1931">
        <v>0</v>
      </c>
      <c r="KD7" s="1931">
        <v>52.4969411764706</v>
      </c>
      <c r="KE7" s="1942">
        <v>102.71541402469379</v>
      </c>
      <c r="KF7" s="1930">
        <v>20.637456655462191</v>
      </c>
      <c r="KG7" s="1931">
        <v>1.9497475643835604</v>
      </c>
      <c r="KH7" s="1931">
        <v>15.337423529411765</v>
      </c>
      <c r="KI7" s="1931">
        <v>20.137755158416219</v>
      </c>
      <c r="KJ7" s="1931">
        <v>14.307915656336139</v>
      </c>
      <c r="KK7" s="1931">
        <v>0.82932180946650702</v>
      </c>
      <c r="KL7" s="1931">
        <v>11.470764705882353</v>
      </c>
      <c r="KM7" s="1931">
        <v>14.554170071056257</v>
      </c>
      <c r="KN7" s="1931">
        <v>0</v>
      </c>
      <c r="KO7" s="1931">
        <v>0</v>
      </c>
      <c r="KP7" s="1931">
        <v>53.36988235294119</v>
      </c>
      <c r="KQ7" s="1942">
        <v>126.32034187830739</v>
      </c>
      <c r="KR7" s="1930">
        <v>21.215134268907562</v>
      </c>
      <c r="KS7" s="1931">
        <v>8.2203744535406962</v>
      </c>
      <c r="KT7" s="1931">
        <v>13.764685294117649</v>
      </c>
      <c r="KU7" s="1931">
        <v>11.157271232335315</v>
      </c>
      <c r="KV7" s="1931">
        <v>14.713811434756304</v>
      </c>
      <c r="KW7" s="1931">
        <v>4.5949918713490927</v>
      </c>
      <c r="KX7" s="1931">
        <v>10.29114705882353</v>
      </c>
      <c r="KY7" s="1931">
        <v>7.6359251613178163</v>
      </c>
      <c r="KZ7" s="1931">
        <v>33.708322689075636</v>
      </c>
      <c r="LA7" s="1931">
        <v>0.90313123172137366</v>
      </c>
      <c r="LB7" s="1931">
        <v>48.306823529411773</v>
      </c>
      <c r="LC7" s="1942">
        <v>86.442981814693724</v>
      </c>
      <c r="LD7" s="1930">
        <v>15.649741596638655</v>
      </c>
      <c r="LE7" s="1931">
        <v>0.57296423169655775</v>
      </c>
      <c r="LF7" s="1931">
        <v>15.662817647058827</v>
      </c>
      <c r="LG7" s="1931">
        <v>17.445660379601364</v>
      </c>
      <c r="LH7" s="1931">
        <v>11.411475899159663</v>
      </c>
      <c r="LI7" s="1931">
        <v>4.2115440725349153E-2</v>
      </c>
      <c r="LJ7" s="1931">
        <v>11.714823529411765</v>
      </c>
      <c r="LK7" s="1931">
        <v>11.310349579674385</v>
      </c>
      <c r="LL7" s="1931">
        <v>0</v>
      </c>
      <c r="LM7" s="1931">
        <v>0</v>
      </c>
      <c r="LN7" s="1931">
        <v>54.417411764705889</v>
      </c>
      <c r="LO7" s="1942">
        <v>130.80427004717041</v>
      </c>
      <c r="LP7" s="1930">
        <v>20.954002420168074</v>
      </c>
      <c r="LQ7" s="1931">
        <v>4.3874677099297807</v>
      </c>
      <c r="LR7" s="1931">
        <v>15.825514705882355</v>
      </c>
      <c r="LS7" s="1931">
        <v>16.35320560750754</v>
      </c>
      <c r="LT7" s="1931">
        <v>14.786578021378155</v>
      </c>
      <c r="LU7" s="1931">
        <v>2.3208635915853826</v>
      </c>
      <c r="LV7" s="1931">
        <v>11.83685294117647</v>
      </c>
      <c r="LW7" s="1931">
        <v>11.57950775977092</v>
      </c>
      <c r="LX7" s="1931">
        <v>0</v>
      </c>
      <c r="LY7" s="1931">
        <v>0</v>
      </c>
      <c r="LZ7" s="1931">
        <v>54.941176470588253</v>
      </c>
      <c r="MA7" s="1942">
        <v>108.41419766292864</v>
      </c>
      <c r="MB7" s="1930">
        <v>17.870697058823531</v>
      </c>
      <c r="MC7" s="1931">
        <v>0</v>
      </c>
      <c r="MD7" s="1931">
        <v>20.977588235294125</v>
      </c>
      <c r="ME7" s="1931">
        <v>20.939086770517537</v>
      </c>
      <c r="MF7" s="1931">
        <v>12.341020282352941</v>
      </c>
      <c r="MG7" s="1931">
        <v>0</v>
      </c>
      <c r="MH7" s="1931">
        <v>15.701117647058826</v>
      </c>
      <c r="MI7" s="1931">
        <v>11.84818332092043</v>
      </c>
      <c r="MJ7" s="1931">
        <v>0</v>
      </c>
      <c r="MK7" s="1931">
        <v>0</v>
      </c>
      <c r="ML7" s="1931">
        <v>71.52705882352943</v>
      </c>
      <c r="MM7" s="1942">
        <v>169.1324086948608</v>
      </c>
      <c r="MN7" s="1930">
        <v>16.303939495798328</v>
      </c>
      <c r="MO7" s="1931">
        <v>0</v>
      </c>
      <c r="MP7" s="1931">
        <v>17.344020588235296</v>
      </c>
      <c r="MQ7" s="1931">
        <v>20.811855705470848</v>
      </c>
      <c r="MR7" s="1931">
        <v>11.222594608403364</v>
      </c>
      <c r="MS7" s="1931">
        <v>0</v>
      </c>
      <c r="MT7" s="1931">
        <v>12.975794117647059</v>
      </c>
      <c r="MU7" s="1931">
        <v>13.196235762030408</v>
      </c>
      <c r="MV7" s="1931">
        <v>0</v>
      </c>
      <c r="MW7" s="1931">
        <v>0</v>
      </c>
      <c r="MX7" s="1931">
        <v>59.829647058823539</v>
      </c>
      <c r="MY7" s="1942">
        <v>163.52826109747218</v>
      </c>
      <c r="MZ7" s="1930">
        <v>19.703574302521012</v>
      </c>
      <c r="NA7" s="1931">
        <v>3.0491593290894419</v>
      </c>
      <c r="NB7" s="1931">
        <v>16.476302941176474</v>
      </c>
      <c r="NC7" s="1931">
        <v>15.995822676243254</v>
      </c>
      <c r="ND7" s="1931">
        <v>13.640856832806724</v>
      </c>
      <c r="NE7" s="1931">
        <v>1.3763806329959196</v>
      </c>
      <c r="NF7" s="1931">
        <v>12.324970588235294</v>
      </c>
      <c r="NG7" s="1931">
        <v>10.873279923064313</v>
      </c>
      <c r="NH7" s="1931">
        <v>0</v>
      </c>
      <c r="NI7" s="1931">
        <v>0</v>
      </c>
      <c r="NJ7" s="1931">
        <v>57.036235294117652</v>
      </c>
      <c r="NK7" s="1942">
        <v>113.27822694094425</v>
      </c>
      <c r="NL7" s="1930">
        <v>19.30572196638656</v>
      </c>
      <c r="NM7" s="1931">
        <v>4.8459882773583525</v>
      </c>
      <c r="NN7" s="1931">
        <v>15.500120588235296</v>
      </c>
      <c r="NO7" s="1931">
        <v>17.592026598283248</v>
      </c>
      <c r="NP7" s="1931">
        <v>13.353113075361346</v>
      </c>
      <c r="NQ7" s="1931">
        <v>2.6650533740738909</v>
      </c>
      <c r="NR7" s="1931">
        <v>11.59279411764706</v>
      </c>
      <c r="NS7" s="1931">
        <v>12.6164938327153</v>
      </c>
      <c r="NT7" s="1931">
        <v>0</v>
      </c>
      <c r="NU7" s="1931">
        <v>0</v>
      </c>
      <c r="NV7" s="1931">
        <v>53.893647058823539</v>
      </c>
      <c r="NW7" s="1942">
        <v>110.25308134023111</v>
      </c>
      <c r="NX7" s="1930">
        <v>19.939452100840342</v>
      </c>
      <c r="NY7" s="1931">
        <v>0.38467462050328127</v>
      </c>
      <c r="NZ7" s="1931">
        <v>17.940576470588237</v>
      </c>
      <c r="OA7" s="1931">
        <v>17.13128672252672</v>
      </c>
      <c r="OB7" s="1931">
        <v>13.810231045378154</v>
      </c>
      <c r="OC7" s="1931">
        <v>0</v>
      </c>
      <c r="OD7" s="1931">
        <v>13.423235294117648</v>
      </c>
      <c r="OE7" s="1931">
        <v>10.487395946162225</v>
      </c>
      <c r="OF7" s="1931">
        <v>0</v>
      </c>
      <c r="OG7" s="1931">
        <v>0</v>
      </c>
      <c r="OH7" s="1931">
        <v>61.750117647058843</v>
      </c>
      <c r="OI7" s="1932">
        <v>134.22816871547107</v>
      </c>
      <c r="OJ7" s="1930">
        <v>20.074031092436979</v>
      </c>
      <c r="OK7" s="1931">
        <v>7.3342413957927928</v>
      </c>
      <c r="OL7" s="1931">
        <v>14.68663529411765</v>
      </c>
      <c r="OM7" s="1931">
        <v>12.922564149212686</v>
      </c>
      <c r="ON7" s="1931">
        <v>14.022033303394961</v>
      </c>
      <c r="OO7" s="1931">
        <v>4.0977363710979233</v>
      </c>
      <c r="OP7" s="1931">
        <v>10.982647058823529</v>
      </c>
      <c r="OQ7" s="1931">
        <v>8.4975654535532605</v>
      </c>
      <c r="OR7" s="1931">
        <v>31.604369747899167</v>
      </c>
      <c r="OS7" s="1931">
        <v>0.12810919920652628</v>
      </c>
      <c r="OT7" s="1931">
        <v>51.274823529411776</v>
      </c>
      <c r="OU7" s="1932">
        <v>94.488470331417304</v>
      </c>
      <c r="OV7" s="1930">
        <v>18.995282773109246</v>
      </c>
      <c r="OW7" s="1931">
        <v>0</v>
      </c>
      <c r="OX7" s="1931">
        <v>20.218335294117651</v>
      </c>
      <c r="OY7" s="1931">
        <v>20.954043537244857</v>
      </c>
      <c r="OZ7" s="1931">
        <v>13.136511253781515</v>
      </c>
      <c r="PA7" s="1931">
        <v>0</v>
      </c>
      <c r="PB7" s="1931">
        <v>15.131647058823532</v>
      </c>
      <c r="PC7" s="1931">
        <v>12.957668045973289</v>
      </c>
      <c r="PD7" s="1931">
        <v>0</v>
      </c>
      <c r="PE7" s="1931">
        <v>0</v>
      </c>
      <c r="PF7" s="1931">
        <v>69.082823529411783</v>
      </c>
      <c r="PG7" s="1932">
        <v>149.98252546064799</v>
      </c>
      <c r="PH7" s="1930">
        <v>20.84895847058824</v>
      </c>
      <c r="PI7" s="1931">
        <v>4.6319941587696549</v>
      </c>
      <c r="PJ7" s="1931">
        <v>15.662817647058827</v>
      </c>
      <c r="PK7" s="1931">
        <v>13.873964718220876</v>
      </c>
      <c r="PL7" s="1931">
        <v>15.445130262319331</v>
      </c>
      <c r="PM7" s="1931">
        <v>2.4966359799221314</v>
      </c>
      <c r="PN7" s="1931">
        <v>11.714823529411765</v>
      </c>
      <c r="PO7" s="1931">
        <v>9.5384004274236993</v>
      </c>
      <c r="PP7" s="1931">
        <v>0</v>
      </c>
      <c r="PQ7" s="1931">
        <v>0</v>
      </c>
      <c r="PR7" s="1931">
        <v>54.417411764705889</v>
      </c>
      <c r="PS7" s="1932">
        <v>99.455633991621013</v>
      </c>
      <c r="PT7" s="1930">
        <v>21.294149277310929</v>
      </c>
      <c r="PU7" s="1931">
        <v>4.8802480290894437</v>
      </c>
      <c r="PV7" s="1931">
        <v>15.391655882352945</v>
      </c>
      <c r="PW7" s="1931">
        <v>16.614873880415377</v>
      </c>
      <c r="PX7" s="1931">
        <v>14.768468967798322</v>
      </c>
      <c r="PY7" s="1931">
        <v>2.6811499136963923</v>
      </c>
      <c r="PZ7" s="1931">
        <v>11.511441176470591</v>
      </c>
      <c r="QA7" s="1931">
        <v>11.751812755177669</v>
      </c>
      <c r="QB7" s="1931">
        <v>0</v>
      </c>
      <c r="QC7" s="1931">
        <v>0</v>
      </c>
      <c r="QD7" s="1931">
        <v>53.544470588235306</v>
      </c>
      <c r="QE7" s="1932">
        <v>108.60632810289742</v>
      </c>
      <c r="QF7" s="1930">
        <v>15.536350000000002</v>
      </c>
      <c r="QG7" s="1931">
        <v>0</v>
      </c>
      <c r="QH7" s="1931">
        <v>17.45248529411765</v>
      </c>
      <c r="QI7" s="1931">
        <v>17.291227497921902</v>
      </c>
      <c r="QJ7" s="1931">
        <v>11.155651307563025</v>
      </c>
      <c r="QK7" s="1931">
        <v>0</v>
      </c>
      <c r="QL7" s="1931">
        <v>13.05714705882353</v>
      </c>
      <c r="QM7" s="1931">
        <v>9.9556820108428532</v>
      </c>
      <c r="QN7" s="1931">
        <v>0</v>
      </c>
      <c r="QO7" s="1931">
        <v>0</v>
      </c>
      <c r="QP7" s="1931">
        <v>60.178823529411773</v>
      </c>
      <c r="QQ7" s="1932">
        <v>154.85397456589422</v>
      </c>
      <c r="QR7" s="1930">
        <v>25.48819255462185</v>
      </c>
      <c r="QS7" s="1931">
        <v>5.3714807746020492</v>
      </c>
      <c r="QT7" s="1931">
        <v>15.608585294117649</v>
      </c>
      <c r="QU7" s="1931">
        <v>15.336174351015099</v>
      </c>
      <c r="QV7" s="1931">
        <v>20.878047092436976</v>
      </c>
      <c r="QW7" s="1931">
        <v>3.0396370629672176</v>
      </c>
      <c r="QX7" s="1931">
        <v>11.674147058823529</v>
      </c>
      <c r="QY7" s="1931">
        <v>10.669292949429204</v>
      </c>
      <c r="QZ7" s="1931">
        <v>0</v>
      </c>
      <c r="RA7" s="1931">
        <v>0</v>
      </c>
      <c r="RB7" s="1931">
        <v>54.242823529411773</v>
      </c>
      <c r="RC7" s="1932">
        <v>104.33509593822018</v>
      </c>
      <c r="RD7" s="1930">
        <v>20.553281394957988</v>
      </c>
      <c r="RE7" s="1931">
        <v>4.9837705373583496</v>
      </c>
      <c r="RF7" s="1931">
        <v>15.500120588235296</v>
      </c>
      <c r="RG7" s="1931">
        <v>14.853826963696013</v>
      </c>
      <c r="RH7" s="1931">
        <v>14.240663435563025</v>
      </c>
      <c r="RI7" s="1931">
        <v>2.7573988470164092</v>
      </c>
      <c r="RJ7" s="1931">
        <v>11.59279411764706</v>
      </c>
      <c r="RK7" s="1931">
        <v>10.295092187550507</v>
      </c>
      <c r="RL7" s="1931">
        <v>0</v>
      </c>
      <c r="RM7" s="1931">
        <v>0</v>
      </c>
      <c r="RN7" s="1931">
        <v>53.893647058823539</v>
      </c>
      <c r="RO7" s="1932">
        <v>103.48468160361931</v>
      </c>
    </row>
    <row r="8" spans="1:483">
      <c r="A8" s="656">
        <f>Eingabedaten!A10</f>
        <v>1.02</v>
      </c>
      <c r="B8" s="390" t="str">
        <f>Eingabedaten!C10</f>
        <v>Wohnen EFH</v>
      </c>
      <c r="C8" s="1090"/>
      <c r="D8" s="1930">
        <v>14.241471764705883</v>
      </c>
      <c r="E8" s="1931">
        <v>0</v>
      </c>
      <c r="F8" s="1931">
        <v>20.770394117647061</v>
      </c>
      <c r="G8" s="1931">
        <v>27.158145758151779</v>
      </c>
      <c r="H8" s="1931">
        <v>11.374801101176471</v>
      </c>
      <c r="I8" s="1931">
        <v>0</v>
      </c>
      <c r="J8" s="1931">
        <v>14.709882352941181</v>
      </c>
      <c r="K8" s="1931">
        <v>15.554489007241099</v>
      </c>
      <c r="L8" s="1931">
        <v>0</v>
      </c>
      <c r="M8" s="1931">
        <v>0</v>
      </c>
      <c r="N8" s="1931">
        <v>76.51811764705883</v>
      </c>
      <c r="O8" s="1942">
        <v>222.20477530980222</v>
      </c>
      <c r="P8" s="1930">
        <v>21.722669741176475</v>
      </c>
      <c r="Q8" s="1931">
        <v>1.9794607897863006</v>
      </c>
      <c r="R8" s="1931">
        <v>17.704473529411768</v>
      </c>
      <c r="S8" s="1931">
        <v>23.329374733184519</v>
      </c>
      <c r="T8" s="1931">
        <v>15.367010784376474</v>
      </c>
      <c r="U8" s="1931">
        <v>1.0132574104632464</v>
      </c>
      <c r="V8" s="1931">
        <v>12.493970588235296</v>
      </c>
      <c r="W8" s="1931">
        <v>15.539924248942684</v>
      </c>
      <c r="X8" s="1931">
        <v>0</v>
      </c>
      <c r="Y8" s="1931">
        <v>0</v>
      </c>
      <c r="Z8" s="1931">
        <v>65.879529411764722</v>
      </c>
      <c r="AA8" s="1942">
        <v>159.56791443868488</v>
      </c>
      <c r="AB8" s="1930">
        <v>20.553340564705884</v>
      </c>
      <c r="AC8" s="1931">
        <v>0.82642238624747844</v>
      </c>
      <c r="AD8" s="1931">
        <v>17.769705882352945</v>
      </c>
      <c r="AE8" s="1931">
        <v>27.011424355125417</v>
      </c>
      <c r="AF8" s="1931">
        <v>15.83752696094118</v>
      </c>
      <c r="AG8" s="1931">
        <v>0.19180866673485644</v>
      </c>
      <c r="AH8" s="1931">
        <v>12.541117647058828</v>
      </c>
      <c r="AI8" s="1931">
        <v>18.821318325421259</v>
      </c>
      <c r="AJ8" s="1931">
        <v>0</v>
      </c>
      <c r="AK8" s="1931">
        <v>0</v>
      </c>
      <c r="AL8" s="1931">
        <v>66.105882352941194</v>
      </c>
      <c r="AM8" s="1942">
        <v>170.08833129698084</v>
      </c>
      <c r="AN8" s="1930">
        <v>23.506220658823533</v>
      </c>
      <c r="AO8" s="1931">
        <v>3.7741485541748898</v>
      </c>
      <c r="AP8" s="1931">
        <v>18.356797058823535</v>
      </c>
      <c r="AQ8" s="1931">
        <v>20.912881330200822</v>
      </c>
      <c r="AR8" s="1931">
        <v>16.480891386729414</v>
      </c>
      <c r="AS8" s="1931">
        <v>2.1035804753166985</v>
      </c>
      <c r="AT8" s="1931">
        <v>12.965441176470591</v>
      </c>
      <c r="AU8" s="1931">
        <v>13.799392154202156</v>
      </c>
      <c r="AV8" s="1931">
        <v>0</v>
      </c>
      <c r="AW8" s="1931">
        <v>0</v>
      </c>
      <c r="AX8" s="1931">
        <v>68.143058823529429</v>
      </c>
      <c r="AY8" s="1942">
        <v>148.9083295035698</v>
      </c>
      <c r="AZ8" s="1930">
        <v>20.567447458823533</v>
      </c>
      <c r="BA8" s="1931">
        <v>2.0132855374192404</v>
      </c>
      <c r="BB8" s="1931">
        <v>18.943888235294121</v>
      </c>
      <c r="BC8" s="1931">
        <v>24.651207273371686</v>
      </c>
      <c r="BD8" s="1931">
        <v>14.395162360094123</v>
      </c>
      <c r="BE8" s="1931">
        <v>1.0406431184000715</v>
      </c>
      <c r="BF8" s="1931">
        <v>13.389764705882357</v>
      </c>
      <c r="BG8" s="1931">
        <v>15.993090845659324</v>
      </c>
      <c r="BH8" s="1931">
        <v>0</v>
      </c>
      <c r="BI8" s="1931">
        <v>0</v>
      </c>
      <c r="BJ8" s="1931">
        <v>70.180235294117651</v>
      </c>
      <c r="BK8" s="1942">
        <v>168.4092184443079</v>
      </c>
      <c r="BL8" s="1930">
        <v>19.614368847058827</v>
      </c>
      <c r="BM8" s="1931">
        <v>2.2528963136948899</v>
      </c>
      <c r="BN8" s="1931">
        <v>18.748191176470591</v>
      </c>
      <c r="BO8" s="1931">
        <v>26.54536330329417</v>
      </c>
      <c r="BP8" s="1931">
        <v>14.227033753600002</v>
      </c>
      <c r="BQ8" s="1931">
        <v>1.1209153915402268</v>
      </c>
      <c r="BR8" s="1931">
        <v>13.24832352941177</v>
      </c>
      <c r="BS8" s="1931">
        <v>18.09868833639106</v>
      </c>
      <c r="BT8" s="1931">
        <v>0</v>
      </c>
      <c r="BU8" s="1931">
        <v>0</v>
      </c>
      <c r="BV8" s="1931">
        <v>69.501176470588248</v>
      </c>
      <c r="BW8" s="1942">
        <v>166.83244683480623</v>
      </c>
      <c r="BX8" s="1930">
        <v>19.479630705882354</v>
      </c>
      <c r="BY8" s="1931">
        <v>1.2039226908027705</v>
      </c>
      <c r="BZ8" s="1931">
        <v>18.813423529411764</v>
      </c>
      <c r="CA8" s="1931">
        <v>21.724849610423142</v>
      </c>
      <c r="CB8" s="1931">
        <v>13.605668977694119</v>
      </c>
      <c r="CC8" s="1931">
        <v>0.46225803489553197</v>
      </c>
      <c r="CD8" s="1931">
        <v>13.295470588235297</v>
      </c>
      <c r="CE8" s="1931">
        <v>13.677591075550787</v>
      </c>
      <c r="CF8" s="1931">
        <v>0</v>
      </c>
      <c r="CG8" s="1931">
        <v>0</v>
      </c>
      <c r="CH8" s="1931">
        <v>69.727529411764721</v>
      </c>
      <c r="CI8" s="1942">
        <v>161.77228072470052</v>
      </c>
      <c r="CJ8" s="1930">
        <v>13.27444823529412</v>
      </c>
      <c r="CK8" s="1931">
        <v>0</v>
      </c>
      <c r="CL8" s="1931">
        <v>22.662132352941178</v>
      </c>
      <c r="CM8" s="1931">
        <v>29.962237035720769</v>
      </c>
      <c r="CN8" s="1931">
        <v>9.0369612423529411</v>
      </c>
      <c r="CO8" s="1931">
        <v>0</v>
      </c>
      <c r="CP8" s="1931">
        <v>16.077147058823535</v>
      </c>
      <c r="CQ8" s="1931">
        <v>16.659785148780575</v>
      </c>
      <c r="CR8" s="1931">
        <v>0</v>
      </c>
      <c r="CS8" s="1931">
        <v>0</v>
      </c>
      <c r="CT8" s="1931">
        <v>83.082352941176509</v>
      </c>
      <c r="CU8" s="1942">
        <v>247.76419561593616</v>
      </c>
      <c r="CV8" s="1930">
        <v>18.206140870588236</v>
      </c>
      <c r="CW8" s="1931">
        <v>0</v>
      </c>
      <c r="CX8" s="1931">
        <v>20.444232352941182</v>
      </c>
      <c r="CY8" s="1931">
        <v>24.544780073911063</v>
      </c>
      <c r="CZ8" s="1931">
        <v>13.059551680752943</v>
      </c>
      <c r="DA8" s="1931">
        <v>0</v>
      </c>
      <c r="DB8" s="1931">
        <v>14.474147058823533</v>
      </c>
      <c r="DC8" s="1931">
        <v>14.083006055239322</v>
      </c>
      <c r="DD8" s="1931">
        <v>0</v>
      </c>
      <c r="DE8" s="1931">
        <v>0</v>
      </c>
      <c r="DF8" s="1931">
        <v>75.386352941176483</v>
      </c>
      <c r="DG8" s="1942">
        <v>204.99450693543687</v>
      </c>
      <c r="DH8" s="1930">
        <v>19.756846752941179</v>
      </c>
      <c r="DI8" s="1931">
        <v>0</v>
      </c>
      <c r="DJ8" s="1931">
        <v>21.422717647058825</v>
      </c>
      <c r="DK8" s="1931">
        <v>33.754747375578198</v>
      </c>
      <c r="DL8" s="1931">
        <v>13.852692822211768</v>
      </c>
      <c r="DM8" s="1931">
        <v>0</v>
      </c>
      <c r="DN8" s="1931">
        <v>15.181352941176476</v>
      </c>
      <c r="DO8" s="1931">
        <v>22.12822357743978</v>
      </c>
      <c r="DP8" s="1931">
        <v>0</v>
      </c>
      <c r="DQ8" s="1931">
        <v>0</v>
      </c>
      <c r="DR8" s="1931">
        <v>78.781647058823566</v>
      </c>
      <c r="DS8" s="1942">
        <v>223.63448681436864</v>
      </c>
      <c r="DT8" s="1930">
        <v>21.661028917647059</v>
      </c>
      <c r="DU8" s="1931">
        <v>4.6654007946548894</v>
      </c>
      <c r="DV8" s="1931">
        <v>16.856452941176471</v>
      </c>
      <c r="DW8" s="1931">
        <v>20.070374510873048</v>
      </c>
      <c r="DX8" s="1931">
        <v>15.161679587011765</v>
      </c>
      <c r="DY8" s="1931">
        <v>2.7356549014289202</v>
      </c>
      <c r="DZ8" s="1931">
        <v>11.881058823529415</v>
      </c>
      <c r="EA8" s="1931">
        <v>13.240560440373415</v>
      </c>
      <c r="EB8" s="1931">
        <v>0</v>
      </c>
      <c r="EC8" s="1931">
        <v>0</v>
      </c>
      <c r="ED8" s="1931">
        <v>62.936941176470597</v>
      </c>
      <c r="EE8" s="1942">
        <v>145.06164320077519</v>
      </c>
      <c r="EF8" s="1930">
        <v>19.342480258823535</v>
      </c>
      <c r="EG8" s="1931">
        <v>9.1153283260209231E-2</v>
      </c>
      <c r="EH8" s="1931">
        <v>19.465747058823531</v>
      </c>
      <c r="EI8" s="1931">
        <v>33.233702663108133</v>
      </c>
      <c r="EJ8" s="1931">
        <v>13.671869642917649</v>
      </c>
      <c r="EK8" s="1931">
        <v>0</v>
      </c>
      <c r="EL8" s="1931">
        <v>13.766941176470592</v>
      </c>
      <c r="EM8" s="1931">
        <v>23.55174581580459</v>
      </c>
      <c r="EN8" s="1931">
        <v>0</v>
      </c>
      <c r="EO8" s="1931">
        <v>0</v>
      </c>
      <c r="EP8" s="1931">
        <v>71.991058823529428</v>
      </c>
      <c r="EQ8" s="1942">
        <v>192.11929293197278</v>
      </c>
      <c r="ER8" s="1930">
        <v>12.224302352941177</v>
      </c>
      <c r="ES8" s="1931">
        <v>0</v>
      </c>
      <c r="ET8" s="1931">
        <v>24.162476470588235</v>
      </c>
      <c r="EU8" s="1931">
        <v>35.08440378638344</v>
      </c>
      <c r="EV8" s="1931">
        <v>9.5382061741176472</v>
      </c>
      <c r="EW8" s="1931">
        <v>0</v>
      </c>
      <c r="EX8" s="1931">
        <v>17.161529411764711</v>
      </c>
      <c r="EY8" s="1931">
        <v>19.346894023640864</v>
      </c>
      <c r="EZ8" s="1931">
        <v>0</v>
      </c>
      <c r="FA8" s="1931">
        <v>0</v>
      </c>
      <c r="FB8" s="1931">
        <v>88.288470588235313</v>
      </c>
      <c r="FC8" s="1942">
        <v>294.13334216073679</v>
      </c>
      <c r="FD8" s="1930">
        <v>23.953403529411766</v>
      </c>
      <c r="FE8" s="1931">
        <v>1.8344130899180651</v>
      </c>
      <c r="FF8" s="1931">
        <v>18.682958823529415</v>
      </c>
      <c r="FG8" s="1931">
        <v>26.712925061590621</v>
      </c>
      <c r="FH8" s="1931">
        <v>19.989574117647059</v>
      </c>
      <c r="FI8" s="1931">
        <v>0.9131458489634352</v>
      </c>
      <c r="FJ8" s="1931">
        <v>13.201176470588239</v>
      </c>
      <c r="FK8" s="1931">
        <v>18.022219988892296</v>
      </c>
      <c r="FL8" s="1931">
        <v>0</v>
      </c>
      <c r="FM8" s="1931">
        <v>0</v>
      </c>
      <c r="FN8" s="1931">
        <v>69.274823529411776</v>
      </c>
      <c r="FO8" s="1942">
        <v>170.05597592761598</v>
      </c>
      <c r="FP8" s="1930">
        <v>18.290668023529417</v>
      </c>
      <c r="FQ8" s="1931">
        <v>0.84838459181924153</v>
      </c>
      <c r="FR8" s="1931">
        <v>18.682958823529415</v>
      </c>
      <c r="FS8" s="1931">
        <v>27.3750962456234</v>
      </c>
      <c r="FT8" s="1931">
        <v>12.800551505694122</v>
      </c>
      <c r="FU8" s="1931">
        <v>0.21125865932781834</v>
      </c>
      <c r="FV8" s="1931">
        <v>13.201176470588239</v>
      </c>
      <c r="FW8" s="1931">
        <v>18.090073819039429</v>
      </c>
      <c r="FX8" s="1931">
        <v>0</v>
      </c>
      <c r="FY8" s="1931">
        <v>0</v>
      </c>
      <c r="FZ8" s="1931">
        <v>69.274823529411776</v>
      </c>
      <c r="GA8" s="1942">
        <v>179.14361980046547</v>
      </c>
      <c r="GB8" s="1930">
        <v>17.931188941176472</v>
      </c>
      <c r="GC8" s="1931">
        <v>0</v>
      </c>
      <c r="GD8" s="1931">
        <v>20.313767647058825</v>
      </c>
      <c r="GE8" s="1931">
        <v>27.025328921353164</v>
      </c>
      <c r="GF8" s="1931">
        <v>12.557175420235296</v>
      </c>
      <c r="GG8" s="1931">
        <v>0</v>
      </c>
      <c r="GH8" s="1931">
        <v>14.379852941176473</v>
      </c>
      <c r="GI8" s="1931">
        <v>16.185802466354097</v>
      </c>
      <c r="GJ8" s="1931">
        <v>0</v>
      </c>
      <c r="GK8" s="1931">
        <v>0</v>
      </c>
      <c r="GL8" s="1931">
        <v>74.933647058823553</v>
      </c>
      <c r="GM8" s="1942">
        <v>204.80774945728581</v>
      </c>
      <c r="GN8" s="1930">
        <v>17.554134117647063</v>
      </c>
      <c r="GO8" s="1931">
        <v>0</v>
      </c>
      <c r="GP8" s="1931">
        <v>20.379000000000001</v>
      </c>
      <c r="GQ8" s="1931">
        <v>32.612559836130927</v>
      </c>
      <c r="GR8" s="1931">
        <v>12.319423962352943</v>
      </c>
      <c r="GS8" s="1931">
        <v>0</v>
      </c>
      <c r="GT8" s="1931">
        <v>14.427000000000005</v>
      </c>
      <c r="GU8" s="1931">
        <v>20.781828620730902</v>
      </c>
      <c r="GV8" s="1931">
        <v>0</v>
      </c>
      <c r="GW8" s="1931">
        <v>0</v>
      </c>
      <c r="GX8" s="1931">
        <v>75.160000000000025</v>
      </c>
      <c r="GY8" s="1942">
        <v>221.57266942392002</v>
      </c>
      <c r="GZ8" s="1930">
        <v>19.517323576470591</v>
      </c>
      <c r="HA8" s="1931">
        <v>6.3476353646313619</v>
      </c>
      <c r="HB8" s="1931">
        <v>14.964714705882356</v>
      </c>
      <c r="HC8" s="1931">
        <v>14.618678932907654</v>
      </c>
      <c r="HD8" s="1931">
        <v>14.698621813835294</v>
      </c>
      <c r="HE8" s="1931">
        <v>3.9252866680010405</v>
      </c>
      <c r="HF8" s="1931">
        <v>10.513794117647063</v>
      </c>
      <c r="HG8" s="1931">
        <v>9.2022049066700387</v>
      </c>
      <c r="HH8" s="1931">
        <v>33.103774117647063</v>
      </c>
      <c r="HI8" s="1931">
        <v>0.37134787006320952</v>
      </c>
      <c r="HJ8" s="1931">
        <v>56.372705882352946</v>
      </c>
      <c r="HK8" s="1942">
        <v>122.6662031462691</v>
      </c>
      <c r="HL8" s="1930">
        <v>21.608116564705885</v>
      </c>
      <c r="HM8" s="1931">
        <v>6.9356881077372448</v>
      </c>
      <c r="HN8" s="1931">
        <v>14.638552941176473</v>
      </c>
      <c r="HO8" s="1931">
        <v>13.833583339608641</v>
      </c>
      <c r="HP8" s="1931">
        <v>15.154327521129414</v>
      </c>
      <c r="HQ8" s="1931">
        <v>4.3434603298433698</v>
      </c>
      <c r="HR8" s="1931">
        <v>10.278058823529415</v>
      </c>
      <c r="HS8" s="1931">
        <v>8.4422360063415169</v>
      </c>
      <c r="HT8" s="1931">
        <v>36.300254117647064</v>
      </c>
      <c r="HU8" s="1931">
        <v>1.2458357444261776</v>
      </c>
      <c r="HV8" s="1931">
        <v>55.240941176470599</v>
      </c>
      <c r="HW8" s="1942">
        <v>121.53510818897786</v>
      </c>
      <c r="HX8" s="1930">
        <v>21.727059458823533</v>
      </c>
      <c r="HY8" s="1931">
        <v>1.8934806006663019</v>
      </c>
      <c r="HZ8" s="1931">
        <v>18.291564705882355</v>
      </c>
      <c r="IA8" s="1931">
        <v>25.948674907178788</v>
      </c>
      <c r="IB8" s="1931">
        <v>15.211279657035298</v>
      </c>
      <c r="IC8" s="1931">
        <v>0.95238051864879603</v>
      </c>
      <c r="ID8" s="1931">
        <v>12.918294117647061</v>
      </c>
      <c r="IE8" s="1931">
        <v>17.524926061384829</v>
      </c>
      <c r="IF8" s="1931">
        <v>0</v>
      </c>
      <c r="IG8" s="1931">
        <v>0</v>
      </c>
      <c r="IH8" s="1931">
        <v>67.916705882352957</v>
      </c>
      <c r="II8" s="1942">
        <v>167.5963965436446</v>
      </c>
      <c r="IJ8" s="1930">
        <v>20.520275505882356</v>
      </c>
      <c r="IK8" s="1931">
        <v>6.410328087294892</v>
      </c>
      <c r="IL8" s="1931">
        <v>16.073664705882354</v>
      </c>
      <c r="IM8" s="1931">
        <v>18.084055582848883</v>
      </c>
      <c r="IN8" s="1931">
        <v>15.109609979105885</v>
      </c>
      <c r="IO8" s="1931">
        <v>3.9695556646707688</v>
      </c>
      <c r="IP8" s="1931">
        <v>11.315294117647062</v>
      </c>
      <c r="IQ8" s="1931">
        <v>11.534705801542742</v>
      </c>
      <c r="IR8" s="1931">
        <v>35.270277647058826</v>
      </c>
      <c r="IS8" s="1931">
        <v>0.5214141460062679</v>
      </c>
      <c r="IT8" s="1931">
        <v>60.220705882352945</v>
      </c>
      <c r="IU8" s="1942">
        <v>135.77709579827453</v>
      </c>
      <c r="IV8" s="1930">
        <v>18.332284705882355</v>
      </c>
      <c r="IW8" s="1931">
        <v>0</v>
      </c>
      <c r="IX8" s="1931">
        <v>20.379000000000001</v>
      </c>
      <c r="IY8" s="1931">
        <v>22.17524090230085</v>
      </c>
      <c r="IZ8" s="1931">
        <v>12.865330710588236</v>
      </c>
      <c r="JA8" s="1931">
        <v>0</v>
      </c>
      <c r="JB8" s="1931">
        <v>14.427000000000005</v>
      </c>
      <c r="JC8" s="1931">
        <v>12.030786154431841</v>
      </c>
      <c r="JD8" s="1931">
        <v>0</v>
      </c>
      <c r="JE8" s="1931">
        <v>0</v>
      </c>
      <c r="JF8" s="1931">
        <v>75.160000000000025</v>
      </c>
      <c r="JG8" s="1942">
        <v>201.48343435390342</v>
      </c>
      <c r="JH8" s="1930">
        <v>17.623946870588235</v>
      </c>
      <c r="JI8" s="1931">
        <v>3.1632831859395978</v>
      </c>
      <c r="JJ8" s="1931">
        <v>17.639241176470588</v>
      </c>
      <c r="JK8" s="1931">
        <v>23.668620269711791</v>
      </c>
      <c r="JL8" s="1931">
        <v>12.966210574305883</v>
      </c>
      <c r="JM8" s="1931">
        <v>1.7217485943408726</v>
      </c>
      <c r="JN8" s="1931">
        <v>12.446823529411768</v>
      </c>
      <c r="JO8" s="1931">
        <v>16.024958710966388</v>
      </c>
      <c r="JP8" s="1931">
        <v>0</v>
      </c>
      <c r="JQ8" s="1931">
        <v>0</v>
      </c>
      <c r="JR8" s="1931">
        <v>65.653176470588249</v>
      </c>
      <c r="JS8" s="1942">
        <v>157.13917699129644</v>
      </c>
      <c r="JT8" s="1930">
        <v>22.659928800000003</v>
      </c>
      <c r="JU8" s="1931">
        <v>2.5388979599913606</v>
      </c>
      <c r="JV8" s="1931">
        <v>18.487261764705885</v>
      </c>
      <c r="JW8" s="1931">
        <v>24.256283134502784</v>
      </c>
      <c r="JX8" s="1931">
        <v>15.881267997364708</v>
      </c>
      <c r="JY8" s="1931">
        <v>1.3251882891126698</v>
      </c>
      <c r="JZ8" s="1931">
        <v>13.059735294117651</v>
      </c>
      <c r="KA8" s="1931">
        <v>16.049549915838032</v>
      </c>
      <c r="KB8" s="1931">
        <v>0</v>
      </c>
      <c r="KC8" s="1931">
        <v>0</v>
      </c>
      <c r="KD8" s="1931">
        <v>68.595764705882374</v>
      </c>
      <c r="KE8" s="1942">
        <v>163.56347835630029</v>
      </c>
      <c r="KF8" s="1930">
        <v>19.841060541176475</v>
      </c>
      <c r="KG8" s="1931">
        <v>4.2967516342561969E-2</v>
      </c>
      <c r="KH8" s="1931">
        <v>18.813423529411764</v>
      </c>
      <c r="KI8" s="1931">
        <v>31.21070819431403</v>
      </c>
      <c r="KJ8" s="1931">
        <v>13.929893312376475</v>
      </c>
      <c r="KK8" s="1931">
        <v>0</v>
      </c>
      <c r="KL8" s="1931">
        <v>13.295470588235297</v>
      </c>
      <c r="KM8" s="1931">
        <v>21.150837694250466</v>
      </c>
      <c r="KN8" s="1931">
        <v>0</v>
      </c>
      <c r="KO8" s="1931">
        <v>0</v>
      </c>
      <c r="KP8" s="1931">
        <v>69.727529411764721</v>
      </c>
      <c r="KQ8" s="1942">
        <v>198.33621435241901</v>
      </c>
      <c r="KR8" s="1930">
        <v>20.719717811764706</v>
      </c>
      <c r="KS8" s="1931">
        <v>4.6672320124431286</v>
      </c>
      <c r="KT8" s="1931">
        <v>16.921685294117651</v>
      </c>
      <c r="KU8" s="1931">
        <v>18.862571784821565</v>
      </c>
      <c r="KV8" s="1931">
        <v>14.516103886682355</v>
      </c>
      <c r="KW8" s="1931">
        <v>2.7372230088052305</v>
      </c>
      <c r="KX8" s="1931">
        <v>11.928205882352945</v>
      </c>
      <c r="KY8" s="1931">
        <v>12.385598196413532</v>
      </c>
      <c r="KZ8" s="1931">
        <v>0</v>
      </c>
      <c r="LA8" s="1931">
        <v>0</v>
      </c>
      <c r="LB8" s="1931">
        <v>63.163294117647069</v>
      </c>
      <c r="LC8" s="1942">
        <v>139.9718670931978</v>
      </c>
      <c r="LD8" s="1930">
        <v>15.028055882352939</v>
      </c>
      <c r="LE8" s="1931">
        <v>0</v>
      </c>
      <c r="LF8" s="1931">
        <v>19.204817647058828</v>
      </c>
      <c r="LG8" s="1931">
        <v>29.368180467050493</v>
      </c>
      <c r="LH8" s="1931">
        <v>10.888174305882353</v>
      </c>
      <c r="LI8" s="1931">
        <v>0</v>
      </c>
      <c r="LJ8" s="1931">
        <v>13.578352941176474</v>
      </c>
      <c r="LK8" s="1931">
        <v>18.344627174941117</v>
      </c>
      <c r="LL8" s="1931">
        <v>0</v>
      </c>
      <c r="LM8" s="1931">
        <v>0</v>
      </c>
      <c r="LN8" s="1931">
        <v>71.08564705882354</v>
      </c>
      <c r="LO8" s="1942">
        <v>209.3086668938586</v>
      </c>
      <c r="LP8" s="1930">
        <v>20.591371105882359</v>
      </c>
      <c r="LQ8" s="1931">
        <v>1.5396588985863009</v>
      </c>
      <c r="LR8" s="1931">
        <v>19.400514705882358</v>
      </c>
      <c r="LS8" s="1931">
        <v>26.249061132717131</v>
      </c>
      <c r="LT8" s="1931">
        <v>14.567656967905886</v>
      </c>
      <c r="LU8" s="1931">
        <v>0.70448849231874</v>
      </c>
      <c r="LV8" s="1931">
        <v>13.719794117647062</v>
      </c>
      <c r="LW8" s="1931">
        <v>17.591684754947117</v>
      </c>
      <c r="LX8" s="1931">
        <v>0</v>
      </c>
      <c r="LY8" s="1931">
        <v>0</v>
      </c>
      <c r="LZ8" s="1931">
        <v>71.764705882352956</v>
      </c>
      <c r="MA8" s="1942">
        <v>171.43143826425109</v>
      </c>
      <c r="MB8" s="1930">
        <v>16.806737058823533</v>
      </c>
      <c r="MC8" s="1931">
        <v>0</v>
      </c>
      <c r="MD8" s="1931">
        <v>25.597588235294118</v>
      </c>
      <c r="ME8" s="1931">
        <v>34.642399166577668</v>
      </c>
      <c r="MF8" s="1931">
        <v>11.816553609411764</v>
      </c>
      <c r="MG8" s="1931">
        <v>0</v>
      </c>
      <c r="MH8" s="1931">
        <v>18.198764705882358</v>
      </c>
      <c r="MI8" s="1931">
        <v>19.189446273746125</v>
      </c>
      <c r="MJ8" s="1931">
        <v>0</v>
      </c>
      <c r="MK8" s="1931">
        <v>0</v>
      </c>
      <c r="ML8" s="1931">
        <v>93.268235294117687</v>
      </c>
      <c r="MM8" s="1942">
        <v>270.59535382936315</v>
      </c>
      <c r="MN8" s="1930">
        <v>15.230842352941183</v>
      </c>
      <c r="MO8" s="1931">
        <v>0</v>
      </c>
      <c r="MP8" s="1931">
        <v>21.227020588235291</v>
      </c>
      <c r="MQ8" s="1931">
        <v>34.882135721003813</v>
      </c>
      <c r="MR8" s="1931">
        <v>10.69463269647059</v>
      </c>
      <c r="MS8" s="1931">
        <v>0</v>
      </c>
      <c r="MT8" s="1931">
        <v>15.039911764705884</v>
      </c>
      <c r="MU8" s="1931">
        <v>20.792803476423213</v>
      </c>
      <c r="MV8" s="1931">
        <v>0</v>
      </c>
      <c r="MW8" s="1931">
        <v>0</v>
      </c>
      <c r="MX8" s="1931">
        <v>78.102588235294135</v>
      </c>
      <c r="MY8" s="1942">
        <v>256.67861260969477</v>
      </c>
      <c r="MZ8" s="1930">
        <v>18.907178188235296</v>
      </c>
      <c r="NA8" s="1931">
        <v>0.5254452426804187</v>
      </c>
      <c r="NB8" s="1931">
        <v>20.183302941176475</v>
      </c>
      <c r="NC8" s="1931">
        <v>26.318083790551025</v>
      </c>
      <c r="ND8" s="1931">
        <v>13.26283448884706</v>
      </c>
      <c r="NE8" s="1931">
        <v>1.7421341179890939E-2</v>
      </c>
      <c r="NF8" s="1931">
        <v>14.285558823529415</v>
      </c>
      <c r="NG8" s="1931">
        <v>16.969367939108519</v>
      </c>
      <c r="NH8" s="1931">
        <v>0</v>
      </c>
      <c r="NI8" s="1931">
        <v>0</v>
      </c>
      <c r="NJ8" s="1931">
        <v>74.480941176470594</v>
      </c>
      <c r="NK8" s="1942">
        <v>180.70023976371928</v>
      </c>
      <c r="NL8" s="1930">
        <v>18.668668023529417</v>
      </c>
      <c r="NM8" s="1931">
        <v>1.8329418925721837</v>
      </c>
      <c r="NN8" s="1931">
        <v>19.009120588235294</v>
      </c>
      <c r="NO8" s="1931">
        <v>27.821374605584577</v>
      </c>
      <c r="NP8" s="1931">
        <v>13.070551505694121</v>
      </c>
      <c r="NQ8" s="1931">
        <v>0.91048240675972847</v>
      </c>
      <c r="NR8" s="1931">
        <v>13.436911764705886</v>
      </c>
      <c r="NS8" s="1931">
        <v>18.956956501697537</v>
      </c>
      <c r="NT8" s="1931">
        <v>0</v>
      </c>
      <c r="NU8" s="1931">
        <v>0</v>
      </c>
      <c r="NV8" s="1931">
        <v>70.406588235294123</v>
      </c>
      <c r="NW8" s="1942">
        <v>172.0753022476033</v>
      </c>
      <c r="NX8" s="1930">
        <v>18.988183529411767</v>
      </c>
      <c r="NY8" s="1931">
        <v>0</v>
      </c>
      <c r="NZ8" s="1931">
        <v>21.944576470588235</v>
      </c>
      <c r="OA8" s="1931">
        <v>28.57332671241425</v>
      </c>
      <c r="OB8" s="1931">
        <v>13.328872320000002</v>
      </c>
      <c r="OC8" s="1931">
        <v>0</v>
      </c>
      <c r="OD8" s="1931">
        <v>15.558529411764709</v>
      </c>
      <c r="OE8" s="1931">
        <v>16.727983261729499</v>
      </c>
      <c r="OF8" s="1931">
        <v>0</v>
      </c>
      <c r="OG8" s="1931">
        <v>0</v>
      </c>
      <c r="OH8" s="1931">
        <v>80.592470588235315</v>
      </c>
      <c r="OI8" s="1932">
        <v>218.39409314484482</v>
      </c>
      <c r="OJ8" s="1930">
        <v>19.51664823529412</v>
      </c>
      <c r="OK8" s="1931">
        <v>3.9104157433325377</v>
      </c>
      <c r="OL8" s="1931">
        <v>18.030635294117651</v>
      </c>
      <c r="OM8" s="1931">
        <v>21.294068715103219</v>
      </c>
      <c r="ON8" s="1931">
        <v>13.665292367058825</v>
      </c>
      <c r="OO8" s="1931">
        <v>2.1982785558642135</v>
      </c>
      <c r="OP8" s="1931">
        <v>12.729705882352945</v>
      </c>
      <c r="OQ8" s="1931">
        <v>13.548647182017914</v>
      </c>
      <c r="OR8" s="1931">
        <v>0</v>
      </c>
      <c r="OS8" s="1931">
        <v>0</v>
      </c>
      <c r="OT8" s="1931">
        <v>67.011294117647068</v>
      </c>
      <c r="OU8" s="1932">
        <v>151.65547181612672</v>
      </c>
      <c r="OV8" s="1930">
        <v>18.034877058823533</v>
      </c>
      <c r="OW8" s="1931">
        <v>0</v>
      </c>
      <c r="OX8" s="1931">
        <v>24.684335294117652</v>
      </c>
      <c r="OY8" s="1931">
        <v>32.913495197140477</v>
      </c>
      <c r="OZ8" s="1931">
        <v>12.651657289411768</v>
      </c>
      <c r="PA8" s="1931">
        <v>0</v>
      </c>
      <c r="PB8" s="1931">
        <v>17.538705882352946</v>
      </c>
      <c r="PC8" s="1931">
        <v>19.856767974485511</v>
      </c>
      <c r="PD8" s="1931">
        <v>0</v>
      </c>
      <c r="PE8" s="1931">
        <v>0</v>
      </c>
      <c r="PF8" s="1931">
        <v>90.099294117647091</v>
      </c>
      <c r="PG8" s="1932">
        <v>242.5107552959291</v>
      </c>
      <c r="PH8" s="1930">
        <v>20.954588870588239</v>
      </c>
      <c r="PI8" s="1931">
        <v>1.6659319871321829</v>
      </c>
      <c r="PJ8" s="1931">
        <v>19.204817647058828</v>
      </c>
      <c r="PK8" s="1931">
        <v>22.981145349970163</v>
      </c>
      <c r="PL8" s="1931">
        <v>15.300456477741182</v>
      </c>
      <c r="PM8" s="1931">
        <v>0.79092085266695344</v>
      </c>
      <c r="PN8" s="1931">
        <v>13.578352941176474</v>
      </c>
      <c r="PO8" s="1931">
        <v>15.076822475739409</v>
      </c>
      <c r="PP8" s="1931">
        <v>0</v>
      </c>
      <c r="PQ8" s="1931">
        <v>0</v>
      </c>
      <c r="PR8" s="1931">
        <v>71.08564705882354</v>
      </c>
      <c r="PS8" s="1932">
        <v>158.8006236819472</v>
      </c>
      <c r="PT8" s="1930">
        <v>20.878403905882358</v>
      </c>
      <c r="PU8" s="1931">
        <v>1.8163740772686539</v>
      </c>
      <c r="PV8" s="1931">
        <v>18.878655882352945</v>
      </c>
      <c r="PW8" s="1931">
        <v>26.463129069761258</v>
      </c>
      <c r="PX8" s="1931">
        <v>14.61849180687059</v>
      </c>
      <c r="PY8" s="1931">
        <v>0.90079836891369036</v>
      </c>
      <c r="PZ8" s="1931">
        <v>13.342617647058827</v>
      </c>
      <c r="QA8" s="1931">
        <v>17.630275686251863</v>
      </c>
      <c r="QB8" s="1931">
        <v>0</v>
      </c>
      <c r="QC8" s="1931">
        <v>0</v>
      </c>
      <c r="QD8" s="1931">
        <v>69.953882352941193</v>
      </c>
      <c r="QE8" s="1932">
        <v>171.32251510456294</v>
      </c>
      <c r="QF8" s="1930">
        <v>14.939030000000002</v>
      </c>
      <c r="QG8" s="1931">
        <v>0</v>
      </c>
      <c r="QH8" s="1931">
        <v>21.357485294117648</v>
      </c>
      <c r="QI8" s="1931">
        <v>30.846870231800093</v>
      </c>
      <c r="QJ8" s="1931">
        <v>10.637010032941177</v>
      </c>
      <c r="QK8" s="1931">
        <v>0</v>
      </c>
      <c r="QL8" s="1931">
        <v>15.134205882352946</v>
      </c>
      <c r="QM8" s="1931">
        <v>17.228834385274602</v>
      </c>
      <c r="QN8" s="1931">
        <v>0</v>
      </c>
      <c r="QO8" s="1931">
        <v>0</v>
      </c>
      <c r="QP8" s="1931">
        <v>78.55529411764708</v>
      </c>
      <c r="QQ8" s="1932">
        <v>246.0942078040182</v>
      </c>
      <c r="QR8" s="1930">
        <v>25.275138611764707</v>
      </c>
      <c r="QS8" s="1931">
        <v>2.3211354711725374</v>
      </c>
      <c r="QT8" s="1931">
        <v>19.139585294117651</v>
      </c>
      <c r="QU8" s="1931">
        <v>24.824098493735296</v>
      </c>
      <c r="QV8" s="1931">
        <v>20.49559355294118</v>
      </c>
      <c r="QW8" s="1931">
        <v>1.1800439608525024</v>
      </c>
      <c r="QX8" s="1931">
        <v>13.531205882352944</v>
      </c>
      <c r="QY8" s="1931">
        <v>16.344668295438023</v>
      </c>
      <c r="QZ8" s="1931">
        <v>0</v>
      </c>
      <c r="RA8" s="1931">
        <v>0</v>
      </c>
      <c r="RB8" s="1931">
        <v>70.859294117647067</v>
      </c>
      <c r="RC8" s="1932">
        <v>165.48540371006678</v>
      </c>
      <c r="RD8" s="1930">
        <v>20.075569623529418</v>
      </c>
      <c r="RE8" s="1931">
        <v>1.9700502433015938</v>
      </c>
      <c r="RF8" s="1931">
        <v>19.009120588235294</v>
      </c>
      <c r="RG8" s="1931">
        <v>24.217696734376666</v>
      </c>
      <c r="RH8" s="1931">
        <v>14.053562640188236</v>
      </c>
      <c r="RI8" s="1931">
        <v>1.0097607654588956</v>
      </c>
      <c r="RJ8" s="1931">
        <v>13.436911764705886</v>
      </c>
      <c r="RK8" s="1931">
        <v>15.880890965221152</v>
      </c>
      <c r="RL8" s="1931">
        <v>0</v>
      </c>
      <c r="RM8" s="1931">
        <v>0</v>
      </c>
      <c r="RN8" s="1931">
        <v>70.406588235294123</v>
      </c>
      <c r="RO8" s="1932">
        <v>164.9364473976139</v>
      </c>
    </row>
    <row r="9" spans="1:483">
      <c r="A9" s="1299">
        <f>Eingabedaten!A11</f>
        <v>2.0099999999999998</v>
      </c>
      <c r="B9" s="384" t="str">
        <f>Eingabedaten!C11</f>
        <v xml:space="preserve">Hotelzimmer </v>
      </c>
      <c r="C9" s="1945"/>
      <c r="D9" s="1930">
        <v>14.893408823529414</v>
      </c>
      <c r="E9" s="1931">
        <v>0</v>
      </c>
      <c r="F9" s="1931">
        <v>16.964394117647061</v>
      </c>
      <c r="G9" s="1931">
        <v>16.900630540042975</v>
      </c>
      <c r="H9" s="1931">
        <v>12.395252941176469</v>
      </c>
      <c r="I9" s="1931">
        <v>0</v>
      </c>
      <c r="J9" s="1931">
        <v>12.691058823529412</v>
      </c>
      <c r="K9" s="1931">
        <v>9.3889239926069088</v>
      </c>
      <c r="L9" s="1931">
        <v>0</v>
      </c>
      <c r="M9" s="1931">
        <v>0</v>
      </c>
      <c r="N9" s="1931">
        <v>53.071529411764715</v>
      </c>
      <c r="O9" s="1942">
        <v>136.73166903476474</v>
      </c>
      <c r="P9" s="1930">
        <v>23.167008941176473</v>
      </c>
      <c r="Q9" s="1931">
        <v>6.2286997515175901</v>
      </c>
      <c r="R9" s="1931">
        <v>14.415473529411766</v>
      </c>
      <c r="S9" s="1931">
        <v>15.225900792313643</v>
      </c>
      <c r="T9" s="1931">
        <v>16.011769281254907</v>
      </c>
      <c r="U9" s="1931">
        <v>4.1403086034045105</v>
      </c>
      <c r="V9" s="1931">
        <v>10.779264705882355</v>
      </c>
      <c r="W9" s="1931">
        <v>10.099006081205676</v>
      </c>
      <c r="X9" s="1931">
        <v>0</v>
      </c>
      <c r="Y9" s="1931">
        <v>0</v>
      </c>
      <c r="Z9" s="1931">
        <v>45.617882352941187</v>
      </c>
      <c r="AA9" s="1942">
        <v>98.511311363220472</v>
      </c>
      <c r="AB9" s="1930">
        <v>23.418160274509805</v>
      </c>
      <c r="AC9" s="1931">
        <v>4.5725348467332774</v>
      </c>
      <c r="AD9" s="1931">
        <v>14.469705882352944</v>
      </c>
      <c r="AE9" s="1931">
        <v>17.872233291212513</v>
      </c>
      <c r="AF9" s="1931">
        <v>15.893941176470591</v>
      </c>
      <c r="AG9" s="1931">
        <v>2.9473471670553311</v>
      </c>
      <c r="AH9" s="1931">
        <v>10.819941176470589</v>
      </c>
      <c r="AI9" s="1931">
        <v>12.363164763547903</v>
      </c>
      <c r="AJ9" s="1931">
        <v>0</v>
      </c>
      <c r="AK9" s="1931">
        <v>0</v>
      </c>
      <c r="AL9" s="1931">
        <v>45.776470588235298</v>
      </c>
      <c r="AM9" s="1942">
        <v>106.12661283165167</v>
      </c>
      <c r="AN9" s="1930">
        <v>24.960259058823535</v>
      </c>
      <c r="AO9" s="1931">
        <v>8.5265102346478585</v>
      </c>
      <c r="AP9" s="1931">
        <v>14.957797058823532</v>
      </c>
      <c r="AQ9" s="1931">
        <v>13.434036401045724</v>
      </c>
      <c r="AR9" s="1931">
        <v>17.171861485176471</v>
      </c>
      <c r="AS9" s="1931">
        <v>5.5244690658940332</v>
      </c>
      <c r="AT9" s="1931">
        <v>11.186029411764707</v>
      </c>
      <c r="AU9" s="1931">
        <v>8.7237972762634683</v>
      </c>
      <c r="AV9" s="1931">
        <v>41.940658823529418</v>
      </c>
      <c r="AW9" s="1931">
        <v>1.0719961796089115</v>
      </c>
      <c r="AX9" s="1931">
        <v>47.203764705882357</v>
      </c>
      <c r="AY9" s="1942">
        <v>91.148690285109268</v>
      </c>
      <c r="AZ9" s="1930">
        <v>22.013865058823537</v>
      </c>
      <c r="BA9" s="1931">
        <v>6.1860975025764127</v>
      </c>
      <c r="BB9" s="1931">
        <v>15.44588823529412</v>
      </c>
      <c r="BC9" s="1931">
        <v>16.358868413888068</v>
      </c>
      <c r="BD9" s="1931">
        <v>15.087405906196084</v>
      </c>
      <c r="BE9" s="1931">
        <v>4.0932704346422213</v>
      </c>
      <c r="BF9" s="1931">
        <v>11.552117647058823</v>
      </c>
      <c r="BG9" s="1931">
        <v>10.588412488585469</v>
      </c>
      <c r="BH9" s="1931">
        <v>0</v>
      </c>
      <c r="BI9" s="1931">
        <v>0</v>
      </c>
      <c r="BJ9" s="1931">
        <v>48.631058823529422</v>
      </c>
      <c r="BK9" s="1942">
        <v>104.94939192236116</v>
      </c>
      <c r="BL9" s="1930">
        <v>21.06702164705883</v>
      </c>
      <c r="BM9" s="1931">
        <v>6.5811703859049109</v>
      </c>
      <c r="BN9" s="1931">
        <v>15.283191176470591</v>
      </c>
      <c r="BO9" s="1931">
        <v>17.811547214933544</v>
      </c>
      <c r="BP9" s="1931">
        <v>14.52249411764706</v>
      </c>
      <c r="BQ9" s="1931">
        <v>4.3479935394080025</v>
      </c>
      <c r="BR9" s="1931">
        <v>11.430088235294118</v>
      </c>
      <c r="BS9" s="1931">
        <v>12.158772001120827</v>
      </c>
      <c r="BT9" s="1931">
        <v>0</v>
      </c>
      <c r="BU9" s="1931">
        <v>0</v>
      </c>
      <c r="BV9" s="1931">
        <v>48.155294117647074</v>
      </c>
      <c r="BW9" s="1942">
        <v>105.29833049098559</v>
      </c>
      <c r="BX9" s="1930">
        <v>22.33442450980392</v>
      </c>
      <c r="BY9" s="1931">
        <v>5.1621509409685702</v>
      </c>
      <c r="BZ9" s="1931">
        <v>15.337423529411765</v>
      </c>
      <c r="CA9" s="1931">
        <v>13.840953965830478</v>
      </c>
      <c r="CB9" s="1931">
        <v>14.26359711372549</v>
      </c>
      <c r="CC9" s="1931">
        <v>3.3659777567503331</v>
      </c>
      <c r="CD9" s="1931">
        <v>11.470764705882353</v>
      </c>
      <c r="CE9" s="1931">
        <v>8.5246351054992466</v>
      </c>
      <c r="CF9" s="1931">
        <v>0</v>
      </c>
      <c r="CG9" s="1931">
        <v>0</v>
      </c>
      <c r="CH9" s="1931">
        <v>48.313882352941185</v>
      </c>
      <c r="CI9" s="1942">
        <v>98.668176416436893</v>
      </c>
      <c r="CJ9" s="1930">
        <v>14.143500000000005</v>
      </c>
      <c r="CK9" s="1931">
        <v>0</v>
      </c>
      <c r="CL9" s="1931">
        <v>18.537132352941178</v>
      </c>
      <c r="CM9" s="1931">
        <v>19.950006786597761</v>
      </c>
      <c r="CN9" s="1931">
        <v>10.225229411764705</v>
      </c>
      <c r="CO9" s="1931">
        <v>0</v>
      </c>
      <c r="CP9" s="1931">
        <v>13.870676470588236</v>
      </c>
      <c r="CQ9" s="1931">
        <v>10.931606643625029</v>
      </c>
      <c r="CR9" s="1931">
        <v>0</v>
      </c>
      <c r="CS9" s="1931">
        <v>0</v>
      </c>
      <c r="CT9" s="1931">
        <v>57.670588235294133</v>
      </c>
      <c r="CU9" s="1942">
        <v>154.11097291613507</v>
      </c>
      <c r="CV9" s="1930">
        <v>19.441944588235298</v>
      </c>
      <c r="CW9" s="1931">
        <v>0.82818630822562289</v>
      </c>
      <c r="CX9" s="1931">
        <v>16.693232352941177</v>
      </c>
      <c r="CY9" s="1931">
        <v>15.258091309049366</v>
      </c>
      <c r="CZ9" s="1931">
        <v>13.428564705882357</v>
      </c>
      <c r="DA9" s="1931">
        <v>0.33275117255734471</v>
      </c>
      <c r="DB9" s="1931">
        <v>12.487676470588235</v>
      </c>
      <c r="DC9" s="1931">
        <v>8.5260341398578205</v>
      </c>
      <c r="DD9" s="1931">
        <v>0</v>
      </c>
      <c r="DE9" s="1931">
        <v>0</v>
      </c>
      <c r="DF9" s="1931">
        <v>52.278588235294123</v>
      </c>
      <c r="DG9" s="1942">
        <v>123.94493742356755</v>
      </c>
      <c r="DH9" s="1930">
        <v>21.182480352941184</v>
      </c>
      <c r="DI9" s="1931">
        <v>0.15637824579424986</v>
      </c>
      <c r="DJ9" s="1931">
        <v>17.506717647058828</v>
      </c>
      <c r="DK9" s="1931">
        <v>23.247115945660443</v>
      </c>
      <c r="DL9" s="1931">
        <v>14.548409407372551</v>
      </c>
      <c r="DM9" s="1931">
        <v>0</v>
      </c>
      <c r="DN9" s="1931">
        <v>13.097823529411766</v>
      </c>
      <c r="DO9" s="1931">
        <v>15.250964828891219</v>
      </c>
      <c r="DP9" s="1931">
        <v>0</v>
      </c>
      <c r="DQ9" s="1931">
        <v>0</v>
      </c>
      <c r="DR9" s="1931">
        <v>54.657411764705898</v>
      </c>
      <c r="DS9" s="1942">
        <v>139.9900990775717</v>
      </c>
      <c r="DT9" s="1930">
        <v>23.350423921568627</v>
      </c>
      <c r="DU9" s="1931">
        <v>9.9102179528831531</v>
      </c>
      <c r="DV9" s="1931">
        <v>13.710452941176474</v>
      </c>
      <c r="DW9" s="1931">
        <v>12.959465059476244</v>
      </c>
      <c r="DX9" s="1931">
        <v>15.852533917490195</v>
      </c>
      <c r="DY9" s="1931">
        <v>6.5327775932570491</v>
      </c>
      <c r="DZ9" s="1931">
        <v>10.250470588235295</v>
      </c>
      <c r="EA9" s="1931">
        <v>8.3730100551272759</v>
      </c>
      <c r="EB9" s="1931">
        <v>39.384015686274509</v>
      </c>
      <c r="EC9" s="1931">
        <v>2.7452154182232915</v>
      </c>
      <c r="ED9" s="1931">
        <v>43.556235294117656</v>
      </c>
      <c r="EE9" s="1942">
        <v>88.78321260208935</v>
      </c>
      <c r="EF9" s="1930">
        <v>23.079478509803927</v>
      </c>
      <c r="EG9" s="1931">
        <v>3.424821131399943</v>
      </c>
      <c r="EH9" s="1931">
        <v>15.879747058823533</v>
      </c>
      <c r="EI9" s="1931">
        <v>22.990971575590837</v>
      </c>
      <c r="EJ9" s="1931">
        <v>14.507710013071897</v>
      </c>
      <c r="EK9" s="1931">
        <v>2.1050548840519725</v>
      </c>
      <c r="EL9" s="1931">
        <v>11.877529411764707</v>
      </c>
      <c r="EM9" s="1931">
        <v>16.189965021083736</v>
      </c>
      <c r="EN9" s="1931">
        <v>0</v>
      </c>
      <c r="EO9" s="1931">
        <v>0</v>
      </c>
      <c r="EP9" s="1931">
        <v>49.899764705882362</v>
      </c>
      <c r="EQ9" s="1942">
        <v>122.76610327039856</v>
      </c>
      <c r="ER9" s="1930">
        <v>14.439088235294122</v>
      </c>
      <c r="ES9" s="1931">
        <v>0</v>
      </c>
      <c r="ET9" s="1931">
        <v>19.784476470588238</v>
      </c>
      <c r="EU9" s="1931">
        <v>24.571630840606964</v>
      </c>
      <c r="EV9" s="1931">
        <v>9.7300993254901975</v>
      </c>
      <c r="EW9" s="1931">
        <v>0</v>
      </c>
      <c r="EX9" s="1931">
        <v>14.806235294117648</v>
      </c>
      <c r="EY9" s="1931">
        <v>13.602390534050421</v>
      </c>
      <c r="EZ9" s="1931">
        <v>0</v>
      </c>
      <c r="FA9" s="1931">
        <v>0</v>
      </c>
      <c r="FB9" s="1931">
        <v>61.318117647058834</v>
      </c>
      <c r="FC9" s="1942">
        <v>186.9682771352536</v>
      </c>
      <c r="FD9" s="1930">
        <v>21.584790196078433</v>
      </c>
      <c r="FE9" s="1931">
        <v>6.0362989406548451</v>
      </c>
      <c r="FF9" s="1931">
        <v>15.228958823529414</v>
      </c>
      <c r="FG9" s="1931">
        <v>17.982361721260109</v>
      </c>
      <c r="FH9" s="1931">
        <v>19.253105160784315</v>
      </c>
      <c r="FI9" s="1931">
        <v>3.9862443246009924</v>
      </c>
      <c r="FJ9" s="1931">
        <v>11.389411764705883</v>
      </c>
      <c r="FK9" s="1931">
        <v>12.168751291207984</v>
      </c>
      <c r="FL9" s="1931">
        <v>0</v>
      </c>
      <c r="FM9" s="1931">
        <v>0</v>
      </c>
      <c r="FN9" s="1931">
        <v>47.996705882352956</v>
      </c>
      <c r="FO9" s="1942">
        <v>107.11946918764367</v>
      </c>
      <c r="FP9" s="1930">
        <v>19.719072823529416</v>
      </c>
      <c r="FQ9" s="1931">
        <v>4.5009511704195511</v>
      </c>
      <c r="FR9" s="1931">
        <v>15.228958823529414</v>
      </c>
      <c r="FS9" s="1931">
        <v>18.328519481432952</v>
      </c>
      <c r="FT9" s="1931">
        <v>13.495805018980395</v>
      </c>
      <c r="FU9" s="1931">
        <v>2.8779254698544166</v>
      </c>
      <c r="FV9" s="1931">
        <v>11.389411764705883</v>
      </c>
      <c r="FW9" s="1931">
        <v>12.052171058852577</v>
      </c>
      <c r="FX9" s="1931">
        <v>0</v>
      </c>
      <c r="FY9" s="1931">
        <v>0</v>
      </c>
      <c r="FZ9" s="1931">
        <v>47.996705882352956</v>
      </c>
      <c r="GA9" s="1942">
        <v>112.18037011709002</v>
      </c>
      <c r="GB9" s="1930">
        <v>19.35197294117647</v>
      </c>
      <c r="GC9" s="1931">
        <v>1.3826445045001308</v>
      </c>
      <c r="GD9" s="1931">
        <v>16.584767647058825</v>
      </c>
      <c r="GE9" s="1931">
        <v>17.408767428248805</v>
      </c>
      <c r="GF9" s="1931">
        <v>13.253702381176472</v>
      </c>
      <c r="GG9" s="1931">
        <v>0.72458646910784086</v>
      </c>
      <c r="GH9" s="1931">
        <v>12.406323529411765</v>
      </c>
      <c r="GI9" s="1931">
        <v>10.251553316830307</v>
      </c>
      <c r="GJ9" s="1931">
        <v>0</v>
      </c>
      <c r="GK9" s="1931">
        <v>0</v>
      </c>
      <c r="GL9" s="1931">
        <v>51.961411764705886</v>
      </c>
      <c r="GM9" s="1942">
        <v>126.00277709986831</v>
      </c>
      <c r="GN9" s="1930">
        <v>19.083360784313726</v>
      </c>
      <c r="GO9" s="1931">
        <v>0.4694803952452295</v>
      </c>
      <c r="GP9" s="1931">
        <v>16.639000000000003</v>
      </c>
      <c r="GQ9" s="1931">
        <v>21.891464017971348</v>
      </c>
      <c r="GR9" s="1931">
        <v>13.109083796078432</v>
      </c>
      <c r="GS9" s="1931">
        <v>6.0548828860996648E-2</v>
      </c>
      <c r="GT9" s="1931">
        <v>12.447000000000001</v>
      </c>
      <c r="GU9" s="1931">
        <v>13.746799886314941</v>
      </c>
      <c r="GV9" s="1931">
        <v>0</v>
      </c>
      <c r="GW9" s="1931">
        <v>0</v>
      </c>
      <c r="GX9" s="1931">
        <v>52.120000000000012</v>
      </c>
      <c r="GY9" s="1942">
        <v>138.57715646259049</v>
      </c>
      <c r="GZ9" s="1930">
        <v>21.657030392156866</v>
      </c>
      <c r="HA9" s="1931">
        <v>12.650177824490999</v>
      </c>
      <c r="HB9" s="1931">
        <v>12.137714705882354</v>
      </c>
      <c r="HC9" s="1931">
        <v>8.2668001363558616</v>
      </c>
      <c r="HD9" s="1931">
        <v>14.948111764705883</v>
      </c>
      <c r="HE9" s="1931">
        <v>8.5521446160744006</v>
      </c>
      <c r="HF9" s="1931">
        <v>9.0708529411764722</v>
      </c>
      <c r="HG9" s="1931">
        <v>4.7564032346992269</v>
      </c>
      <c r="HH9" s="1931">
        <v>34.179262745098043</v>
      </c>
      <c r="HI9" s="1931">
        <v>5.9935946566546674</v>
      </c>
      <c r="HJ9" s="1931">
        <v>38.957176470588244</v>
      </c>
      <c r="HK9" s="1942">
        <v>72.252312542016242</v>
      </c>
      <c r="HL9" s="1930">
        <v>23.045527764705884</v>
      </c>
      <c r="HM9" s="1931">
        <v>13.423445092922371</v>
      </c>
      <c r="HN9" s="1931">
        <v>11.866552941176472</v>
      </c>
      <c r="HO9" s="1931">
        <v>7.5401473678071955</v>
      </c>
      <c r="HP9" s="1931">
        <v>15.848076050823529</v>
      </c>
      <c r="HQ9" s="1931">
        <v>9.112755237473138</v>
      </c>
      <c r="HR9" s="1931">
        <v>8.8674705882352942</v>
      </c>
      <c r="HS9" s="1931">
        <v>4.1635289139247771</v>
      </c>
      <c r="HT9" s="1931">
        <v>37.324800000000003</v>
      </c>
      <c r="HU9" s="1931">
        <v>7.1185307698662346</v>
      </c>
      <c r="HV9" s="1931">
        <v>38.16423529411766</v>
      </c>
      <c r="HW9" s="1942">
        <v>71.586252421807401</v>
      </c>
      <c r="HX9" s="1930">
        <v>23.180405058823535</v>
      </c>
      <c r="HY9" s="1931">
        <v>6.0379810794391595</v>
      </c>
      <c r="HZ9" s="1931">
        <v>14.903564705882353</v>
      </c>
      <c r="IA9" s="1931">
        <v>17.286747438214149</v>
      </c>
      <c r="IB9" s="1931">
        <v>15.902365523450984</v>
      </c>
      <c r="IC9" s="1931">
        <v>4.0007702371979565</v>
      </c>
      <c r="ID9" s="1931">
        <v>11.145352941176471</v>
      </c>
      <c r="IE9" s="1931">
        <v>11.689228405684164</v>
      </c>
      <c r="IF9" s="1931">
        <v>0</v>
      </c>
      <c r="IG9" s="1931">
        <v>0</v>
      </c>
      <c r="IH9" s="1931">
        <v>47.045176470588238</v>
      </c>
      <c r="II9" s="1942">
        <v>105.01126836114506</v>
      </c>
      <c r="IJ9" s="1930">
        <v>22.447323529411769</v>
      </c>
      <c r="IK9" s="1931">
        <v>12.628184219353745</v>
      </c>
      <c r="IL9" s="1931">
        <v>13.059664705882355</v>
      </c>
      <c r="IM9" s="1931">
        <v>11.346022747761712</v>
      </c>
      <c r="IN9" s="1931">
        <v>15.523461709803923</v>
      </c>
      <c r="IO9" s="1931">
        <v>8.5380902697659131</v>
      </c>
      <c r="IP9" s="1931">
        <v>9.76235294117647</v>
      </c>
      <c r="IQ9" s="1931">
        <v>6.8897792902356159</v>
      </c>
      <c r="IR9" s="1931">
        <v>36.16746666666667</v>
      </c>
      <c r="IS9" s="1931">
        <v>6.1010986547289772</v>
      </c>
      <c r="IT9" s="1931">
        <v>41.653176470588242</v>
      </c>
      <c r="IU9" s="1942">
        <v>82.759402096190044</v>
      </c>
      <c r="IV9" s="1930">
        <v>20.119964705882357</v>
      </c>
      <c r="IW9" s="1931">
        <v>1.0895020735197392</v>
      </c>
      <c r="IX9" s="1931">
        <v>16.639000000000003</v>
      </c>
      <c r="IY9" s="1931">
        <v>13.790441740851705</v>
      </c>
      <c r="IZ9" s="1931">
        <v>13.834310211764706</v>
      </c>
      <c r="JA9" s="1931">
        <v>0.50678647397354049</v>
      </c>
      <c r="JB9" s="1931">
        <v>12.447000000000001</v>
      </c>
      <c r="JC9" s="1931">
        <v>7.2241023226584247</v>
      </c>
      <c r="JD9" s="1931">
        <v>0</v>
      </c>
      <c r="JE9" s="1931">
        <v>0</v>
      </c>
      <c r="JF9" s="1931">
        <v>52.120000000000012</v>
      </c>
      <c r="JG9" s="1942">
        <v>120.43228174297731</v>
      </c>
      <c r="JH9" s="1930">
        <v>21.43123235294118</v>
      </c>
      <c r="JI9" s="1931">
        <v>7.6616652411576638</v>
      </c>
      <c r="JJ9" s="1931">
        <v>14.361241176470589</v>
      </c>
      <c r="JK9" s="1931">
        <v>15.623387033370484</v>
      </c>
      <c r="JL9" s="1931">
        <v>13.353611764705883</v>
      </c>
      <c r="JM9" s="1931">
        <v>5.0111803024789126</v>
      </c>
      <c r="JN9" s="1931">
        <v>10.738588235294118</v>
      </c>
      <c r="JO9" s="1931">
        <v>10.59018244979549</v>
      </c>
      <c r="JP9" s="1931">
        <v>30.680988235294119</v>
      </c>
      <c r="JQ9" s="1931">
        <v>0.9736868369945334</v>
      </c>
      <c r="JR9" s="1931">
        <v>45.459294117647069</v>
      </c>
      <c r="JS9" s="1942">
        <v>97.605821156097804</v>
      </c>
      <c r="JT9" s="1930">
        <v>24.111196000000003</v>
      </c>
      <c r="JU9" s="1931">
        <v>6.8161569380666105</v>
      </c>
      <c r="JV9" s="1931">
        <v>15.066261764705883</v>
      </c>
      <c r="JW9" s="1931">
        <v>16.283989977544053</v>
      </c>
      <c r="JX9" s="1931">
        <v>16.572701167686276</v>
      </c>
      <c r="JY9" s="1931">
        <v>4.549961512390678</v>
      </c>
      <c r="JZ9" s="1931">
        <v>11.267382352941176</v>
      </c>
      <c r="KA9" s="1931">
        <v>10.801919158812748</v>
      </c>
      <c r="KB9" s="1931">
        <v>0</v>
      </c>
      <c r="KC9" s="1931">
        <v>0</v>
      </c>
      <c r="KD9" s="1931">
        <v>47.520941176470593</v>
      </c>
      <c r="KE9" s="1942">
        <v>101.91519358916013</v>
      </c>
      <c r="KF9" s="1930">
        <v>21.25699494117648</v>
      </c>
      <c r="KG9" s="1931">
        <v>2.8940791593607269</v>
      </c>
      <c r="KH9" s="1931">
        <v>15.337423529411765</v>
      </c>
      <c r="KI9" s="1931">
        <v>21.670824272486442</v>
      </c>
      <c r="KJ9" s="1931">
        <v>14.627230649098042</v>
      </c>
      <c r="KK9" s="1931">
        <v>1.7068759956553827</v>
      </c>
      <c r="KL9" s="1931">
        <v>11.470764705882353</v>
      </c>
      <c r="KM9" s="1931">
        <v>14.861920182750204</v>
      </c>
      <c r="KN9" s="1931">
        <v>0</v>
      </c>
      <c r="KO9" s="1931">
        <v>0</v>
      </c>
      <c r="KP9" s="1931">
        <v>48.313882352941185</v>
      </c>
      <c r="KQ9" s="1942">
        <v>125.45040092978242</v>
      </c>
      <c r="KR9" s="1930">
        <v>23.147214862745098</v>
      </c>
      <c r="KS9" s="1931">
        <v>10.169828264216488</v>
      </c>
      <c r="KT9" s="1931">
        <v>13.764685294117649</v>
      </c>
      <c r="KU9" s="1931">
        <v>11.856071272161318</v>
      </c>
      <c r="KV9" s="1931">
        <v>15.209505112470591</v>
      </c>
      <c r="KW9" s="1931">
        <v>6.720683018773701</v>
      </c>
      <c r="KX9" s="1931">
        <v>10.29114705882353</v>
      </c>
      <c r="KY9" s="1931">
        <v>7.553365294609641</v>
      </c>
      <c r="KZ9" s="1931">
        <v>36.293694117647064</v>
      </c>
      <c r="LA9" s="1931">
        <v>2.8158036535174147</v>
      </c>
      <c r="LB9" s="1931">
        <v>43.714823529411774</v>
      </c>
      <c r="LC9" s="1942">
        <v>85.197799510821326</v>
      </c>
      <c r="LD9" s="1930">
        <v>16.267888235294116</v>
      </c>
      <c r="LE9" s="1931">
        <v>1.1636135705393464</v>
      </c>
      <c r="LF9" s="1931">
        <v>15.662817647058827</v>
      </c>
      <c r="LG9" s="1931">
        <v>19.242620086048426</v>
      </c>
      <c r="LH9" s="1931">
        <v>11.965176470588235</v>
      </c>
      <c r="LI9" s="1931">
        <v>0.58159587308742766</v>
      </c>
      <c r="LJ9" s="1931">
        <v>11.714823529411765</v>
      </c>
      <c r="LK9" s="1931">
        <v>11.822485980758373</v>
      </c>
      <c r="LL9" s="1931">
        <v>0</v>
      </c>
      <c r="LM9" s="1931">
        <v>0</v>
      </c>
      <c r="LN9" s="1931">
        <v>49.265411764705895</v>
      </c>
      <c r="LO9" s="1942">
        <v>129.67001168103306</v>
      </c>
      <c r="LP9" s="1930">
        <v>23.079478509803927</v>
      </c>
      <c r="LQ9" s="1931">
        <v>5.4959757401450418</v>
      </c>
      <c r="LR9" s="1931">
        <v>15.825514705882355</v>
      </c>
      <c r="LS9" s="1931">
        <v>17.549283605231764</v>
      </c>
      <c r="LT9" s="1931">
        <v>15.097826891294119</v>
      </c>
      <c r="LU9" s="1931">
        <v>3.5895256970561356</v>
      </c>
      <c r="LV9" s="1931">
        <v>11.83685294117647</v>
      </c>
      <c r="LW9" s="1931">
        <v>11.759333462268181</v>
      </c>
      <c r="LX9" s="1931">
        <v>0</v>
      </c>
      <c r="LY9" s="1931">
        <v>0</v>
      </c>
      <c r="LZ9" s="1931">
        <v>49.741176470588243</v>
      </c>
      <c r="MA9" s="1942">
        <v>107.29537450295652</v>
      </c>
      <c r="MB9" s="1930">
        <v>17.528297058823529</v>
      </c>
      <c r="MC9" s="1931">
        <v>0</v>
      </c>
      <c r="MD9" s="1931">
        <v>20.977588235294125</v>
      </c>
      <c r="ME9" s="1931">
        <v>24.446808171465904</v>
      </c>
      <c r="MF9" s="1931">
        <v>12.045839482352942</v>
      </c>
      <c r="MG9" s="1931">
        <v>0</v>
      </c>
      <c r="MH9" s="1931">
        <v>15.701117647058826</v>
      </c>
      <c r="MI9" s="1931">
        <v>13.451196605374518</v>
      </c>
      <c r="MJ9" s="1931">
        <v>0</v>
      </c>
      <c r="MK9" s="1931">
        <v>0</v>
      </c>
      <c r="ML9" s="1931">
        <v>64.807058823529431</v>
      </c>
      <c r="MM9" s="1942">
        <v>171.24100659934388</v>
      </c>
      <c r="MN9" s="1930">
        <v>15.917223529411766</v>
      </c>
      <c r="MO9" s="1931">
        <v>0</v>
      </c>
      <c r="MP9" s="1931">
        <v>17.344020588235296</v>
      </c>
      <c r="MQ9" s="1931">
        <v>23.474327475288767</v>
      </c>
      <c r="MR9" s="1931">
        <v>10.96849411764706</v>
      </c>
      <c r="MS9" s="1931">
        <v>0</v>
      </c>
      <c r="MT9" s="1931">
        <v>12.975794117647059</v>
      </c>
      <c r="MU9" s="1931">
        <v>14.09169713570795</v>
      </c>
      <c r="MV9" s="1931">
        <v>0</v>
      </c>
      <c r="MW9" s="1931">
        <v>0</v>
      </c>
      <c r="MX9" s="1931">
        <v>54.181647058823543</v>
      </c>
      <c r="MY9" s="1942">
        <v>163.63123487286836</v>
      </c>
      <c r="MZ9" s="1930">
        <v>20.323112588235297</v>
      </c>
      <c r="NA9" s="1931">
        <v>3.993490924066609</v>
      </c>
      <c r="NB9" s="1931">
        <v>16.476302941176474</v>
      </c>
      <c r="NC9" s="1931">
        <v>17.408280651528592</v>
      </c>
      <c r="ND9" s="1931">
        <v>13.960171825568629</v>
      </c>
      <c r="NE9" s="1931">
        <v>2.4921701133024423</v>
      </c>
      <c r="NF9" s="1931">
        <v>12.324970588235294</v>
      </c>
      <c r="NG9" s="1931">
        <v>11.1907479373318</v>
      </c>
      <c r="NH9" s="1931">
        <v>0</v>
      </c>
      <c r="NI9" s="1931">
        <v>0</v>
      </c>
      <c r="NJ9" s="1931">
        <v>51.644235294117657</v>
      </c>
      <c r="NK9" s="1942">
        <v>112.44146473454968</v>
      </c>
      <c r="NL9" s="1930">
        <v>20.30224215686275</v>
      </c>
      <c r="NM9" s="1931">
        <v>6.0786432074783745</v>
      </c>
      <c r="NN9" s="1931">
        <v>15.500120588235296</v>
      </c>
      <c r="NO9" s="1931">
        <v>18.819431806237901</v>
      </c>
      <c r="NP9" s="1931">
        <v>13.765805018980394</v>
      </c>
      <c r="NQ9" s="1931">
        <v>4.0239801077452313</v>
      </c>
      <c r="NR9" s="1931">
        <v>11.59279411764706</v>
      </c>
      <c r="NS9" s="1931">
        <v>12.810129769273896</v>
      </c>
      <c r="NT9" s="1931">
        <v>0</v>
      </c>
      <c r="NU9" s="1931">
        <v>0</v>
      </c>
      <c r="NV9" s="1931">
        <v>48.78964705882354</v>
      </c>
      <c r="NW9" s="1942">
        <v>109.1546601074723</v>
      </c>
      <c r="NX9" s="1930">
        <v>20.905090196078437</v>
      </c>
      <c r="NY9" s="1931">
        <v>0.86667236344130805</v>
      </c>
      <c r="NZ9" s="1931">
        <v>17.940576470588237</v>
      </c>
      <c r="OA9" s="1931">
        <v>19.453535370051263</v>
      </c>
      <c r="OB9" s="1931">
        <v>14.387511654901962</v>
      </c>
      <c r="OC9" s="1931">
        <v>0.35351117644990399</v>
      </c>
      <c r="OD9" s="1931">
        <v>13.423235294117648</v>
      </c>
      <c r="OE9" s="1931">
        <v>11.401453537573278</v>
      </c>
      <c r="OF9" s="1931">
        <v>0</v>
      </c>
      <c r="OG9" s="1931">
        <v>0</v>
      </c>
      <c r="OH9" s="1931">
        <v>55.926117647058831</v>
      </c>
      <c r="OI9" s="1932">
        <v>134.46375180384953</v>
      </c>
      <c r="OJ9" s="1930">
        <v>22.221525490196083</v>
      </c>
      <c r="OK9" s="1931">
        <v>9.2386850377066807</v>
      </c>
      <c r="OL9" s="1931">
        <v>14.68663529411765</v>
      </c>
      <c r="OM9" s="1931">
        <v>14.065251667217254</v>
      </c>
      <c r="ON9" s="1931">
        <v>14.359503968627454</v>
      </c>
      <c r="OO9" s="1931">
        <v>6.0489592275370621</v>
      </c>
      <c r="OP9" s="1931">
        <v>10.982647058823529</v>
      </c>
      <c r="OQ9" s="1931">
        <v>8.7419273701965086</v>
      </c>
      <c r="OR9" s="1931">
        <v>34.019607843137265</v>
      </c>
      <c r="OS9" s="1931">
        <v>1.2121722349291708</v>
      </c>
      <c r="OT9" s="1931">
        <v>46.410823529411772</v>
      </c>
      <c r="OU9" s="1932">
        <v>93.839490841703835</v>
      </c>
      <c r="OV9" s="1930">
        <v>19.854863725490198</v>
      </c>
      <c r="OW9" s="1931">
        <v>0.15373400164222159</v>
      </c>
      <c r="OX9" s="1931">
        <v>20.218335294117651</v>
      </c>
      <c r="OY9" s="1931">
        <v>23.761443821038775</v>
      </c>
      <c r="OZ9" s="1931">
        <v>13.643051749019609</v>
      </c>
      <c r="PA9" s="1931">
        <v>0</v>
      </c>
      <c r="PB9" s="1931">
        <v>15.131647058823532</v>
      </c>
      <c r="PC9" s="1931">
        <v>14.209739351308752</v>
      </c>
      <c r="PD9" s="1931">
        <v>0</v>
      </c>
      <c r="PE9" s="1931">
        <v>0</v>
      </c>
      <c r="PF9" s="1931">
        <v>62.586823529411781</v>
      </c>
      <c r="PG9" s="1932">
        <v>151.25045065277033</v>
      </c>
      <c r="PH9" s="1930">
        <v>24.298732862745098</v>
      </c>
      <c r="PI9" s="1931">
        <v>6.0938420144539309</v>
      </c>
      <c r="PJ9" s="1931">
        <v>15.662817647058827</v>
      </c>
      <c r="PK9" s="1931">
        <v>14.914911109321734</v>
      </c>
      <c r="PL9" s="1931">
        <v>15.42727848366013</v>
      </c>
      <c r="PM9" s="1931">
        <v>3.9003293592138037</v>
      </c>
      <c r="PN9" s="1931">
        <v>11.714823529411765</v>
      </c>
      <c r="PO9" s="1931">
        <v>9.6530637939474637</v>
      </c>
      <c r="PP9" s="1931">
        <v>0</v>
      </c>
      <c r="PQ9" s="1931">
        <v>0</v>
      </c>
      <c r="PR9" s="1931">
        <v>49.265411764705895</v>
      </c>
      <c r="PS9" s="1932">
        <v>98.09319206555729</v>
      </c>
      <c r="PT9" s="1930">
        <v>22.324128705882359</v>
      </c>
      <c r="PU9" s="1931">
        <v>6.0505528073999431</v>
      </c>
      <c r="PV9" s="1931">
        <v>15.391655882352945</v>
      </c>
      <c r="PW9" s="1931">
        <v>17.90044529735313</v>
      </c>
      <c r="PX9" s="1931">
        <v>15.310851120941178</v>
      </c>
      <c r="PY9" s="1931">
        <v>3.9947431491035443</v>
      </c>
      <c r="PZ9" s="1931">
        <v>11.511441176470591</v>
      </c>
      <c r="QA9" s="1931">
        <v>11.99549978931431</v>
      </c>
      <c r="QB9" s="1931">
        <v>0</v>
      </c>
      <c r="QC9" s="1931">
        <v>0</v>
      </c>
      <c r="QD9" s="1931">
        <v>48.472470588235304</v>
      </c>
      <c r="QE9" s="1932">
        <v>107.800359561314</v>
      </c>
      <c r="QF9" s="1930">
        <v>14.125650000000002</v>
      </c>
      <c r="QG9" s="1931">
        <v>0</v>
      </c>
      <c r="QH9" s="1931">
        <v>17.45248529411765</v>
      </c>
      <c r="QI9" s="1931">
        <v>19.889456061501289</v>
      </c>
      <c r="QJ9" s="1931">
        <v>11.638611764705882</v>
      </c>
      <c r="QK9" s="1931">
        <v>0</v>
      </c>
      <c r="QL9" s="1931">
        <v>13.05714705882353</v>
      </c>
      <c r="QM9" s="1931">
        <v>10.907482486126399</v>
      </c>
      <c r="QN9" s="1931">
        <v>0</v>
      </c>
      <c r="QO9" s="1931">
        <v>0</v>
      </c>
      <c r="QP9" s="1931">
        <v>54.49882352941178</v>
      </c>
      <c r="QQ9" s="1932">
        <v>154.61924535593559</v>
      </c>
      <c r="QR9" s="1930">
        <v>22.999543411764712</v>
      </c>
      <c r="QS9" s="1931">
        <v>6.6086682211205963</v>
      </c>
      <c r="QT9" s="1931">
        <v>15.608585294117649</v>
      </c>
      <c r="QU9" s="1931">
        <v>16.541140166444347</v>
      </c>
      <c r="QV9" s="1931">
        <v>19.731099136627456</v>
      </c>
      <c r="QW9" s="1931">
        <v>4.3944059905847412</v>
      </c>
      <c r="QX9" s="1931">
        <v>11.674147058823529</v>
      </c>
      <c r="QY9" s="1931">
        <v>10.873741271682162</v>
      </c>
      <c r="QZ9" s="1931">
        <v>0</v>
      </c>
      <c r="RA9" s="1931">
        <v>0</v>
      </c>
      <c r="RB9" s="1931">
        <v>49.106823529411777</v>
      </c>
      <c r="RC9" s="1932">
        <v>103.48554721624807</v>
      </c>
      <c r="RD9" s="1930">
        <v>21.769929411764707</v>
      </c>
      <c r="RE9" s="1931">
        <v>6.171230830811707</v>
      </c>
      <c r="RF9" s="1931">
        <v>15.500120588235296</v>
      </c>
      <c r="RG9" s="1931">
        <v>16.01682655712278</v>
      </c>
      <c r="RH9" s="1931">
        <v>14.746732330039215</v>
      </c>
      <c r="RI9" s="1931">
        <v>4.0834655005850102</v>
      </c>
      <c r="RJ9" s="1931">
        <v>11.59279411764706</v>
      </c>
      <c r="RK9" s="1931">
        <v>10.473669295744653</v>
      </c>
      <c r="RL9" s="1931">
        <v>0</v>
      </c>
      <c r="RM9" s="1931">
        <v>0</v>
      </c>
      <c r="RN9" s="1931">
        <v>48.78964705882354</v>
      </c>
      <c r="RO9" s="1932">
        <v>102.50188967825707</v>
      </c>
    </row>
    <row r="10" spans="1:483">
      <c r="A10" s="1300">
        <f>Eingabedaten!A12</f>
        <v>2.02</v>
      </c>
      <c r="B10" s="385" t="str">
        <f>Eingabedaten!C12</f>
        <v>Empfang, Lobby</v>
      </c>
      <c r="C10" s="385"/>
      <c r="D10" s="1930">
        <v>24.400909803921571</v>
      </c>
      <c r="E10" s="1931">
        <v>5.6579770248811823</v>
      </c>
      <c r="F10" s="1931">
        <v>16.238237908496732</v>
      </c>
      <c r="G10" s="1931">
        <v>10.945270017565695</v>
      </c>
      <c r="H10" s="1931">
        <v>20.898969934640526</v>
      </c>
      <c r="I10" s="1931">
        <v>5.7011874166741165</v>
      </c>
      <c r="J10" s="1931">
        <v>12.966149019607844</v>
      </c>
      <c r="K10" s="1931">
        <v>3.8376179239682147</v>
      </c>
      <c r="L10" s="1931">
        <v>0</v>
      </c>
      <c r="M10" s="1931">
        <v>0</v>
      </c>
      <c r="N10" s="1931">
        <v>42.608413071895413</v>
      </c>
      <c r="O10" s="1942">
        <v>75.509085670058099</v>
      </c>
      <c r="P10" s="1930">
        <v>40.181248418300655</v>
      </c>
      <c r="Q10" s="1931">
        <v>21.173851794147456</v>
      </c>
      <c r="R10" s="1931">
        <v>13.825448366013072</v>
      </c>
      <c r="S10" s="1931">
        <v>9.0544994129042262</v>
      </c>
      <c r="T10" s="1931">
        <v>35.64763064052287</v>
      </c>
      <c r="U10" s="1931">
        <v>17.412588266189633</v>
      </c>
      <c r="V10" s="1931">
        <v>11.012915032679739</v>
      </c>
      <c r="W10" s="1931">
        <v>3.8869873594622777</v>
      </c>
      <c r="X10" s="1931">
        <v>55.05752679738562</v>
      </c>
      <c r="Y10" s="1931">
        <v>9.8210675117247561</v>
      </c>
      <c r="Z10" s="1931">
        <v>36.613547712418296</v>
      </c>
      <c r="AA10" s="1942">
        <v>55.923097218633472</v>
      </c>
      <c r="AB10" s="1930">
        <v>34.192444758169941</v>
      </c>
      <c r="AC10" s="1931">
        <v>18.684897454086219</v>
      </c>
      <c r="AD10" s="1931">
        <v>13.876784313725491</v>
      </c>
      <c r="AE10" s="1931">
        <v>10.865412691617209</v>
      </c>
      <c r="AF10" s="1931">
        <v>27.528230968996148</v>
      </c>
      <c r="AG10" s="1931">
        <v>15.382819906883437</v>
      </c>
      <c r="AH10" s="1931">
        <v>11.05447320261438</v>
      </c>
      <c r="AI10" s="1931">
        <v>5.1657518039133778</v>
      </c>
      <c r="AJ10" s="1931">
        <v>48.249689262371618</v>
      </c>
      <c r="AK10" s="1931">
        <v>6.6665654680911324</v>
      </c>
      <c r="AL10" s="1931">
        <v>36.741098039215686</v>
      </c>
      <c r="AM10" s="1942">
        <v>61.553171928309226</v>
      </c>
      <c r="AN10" s="1930">
        <v>45.946894849673207</v>
      </c>
      <c r="AO10" s="1931">
        <v>24.061894752888339</v>
      </c>
      <c r="AP10" s="1931">
        <v>14.338807843137255</v>
      </c>
      <c r="AQ10" s="1931">
        <v>7.5573765578076806</v>
      </c>
      <c r="AR10" s="1931">
        <v>36.131200209150329</v>
      </c>
      <c r="AS10" s="1931">
        <v>19.954349363635778</v>
      </c>
      <c r="AT10" s="1931">
        <v>11.428496732026145</v>
      </c>
      <c r="AU10" s="1931">
        <v>3.0531249865777408</v>
      </c>
      <c r="AV10" s="1931">
        <v>67.327989542483678</v>
      </c>
      <c r="AW10" s="1931">
        <v>13.21477349846502</v>
      </c>
      <c r="AX10" s="1931">
        <v>37.889050980392156</v>
      </c>
      <c r="AY10" s="1942">
        <v>50.64642552393498</v>
      </c>
      <c r="AZ10" s="1930">
        <v>43.672922143790849</v>
      </c>
      <c r="BA10" s="1931">
        <v>20.431584362946541</v>
      </c>
      <c r="BB10" s="1931">
        <v>14.80083137254902</v>
      </c>
      <c r="BC10" s="1931">
        <v>10.408911547011607</v>
      </c>
      <c r="BD10" s="1931">
        <v>34.438159267973859</v>
      </c>
      <c r="BE10" s="1931">
        <v>16.578261371936915</v>
      </c>
      <c r="BF10" s="1931">
        <v>11.802520261437909</v>
      </c>
      <c r="BG10" s="1931">
        <v>4.4261338191530779</v>
      </c>
      <c r="BH10" s="1931">
        <v>63.556977777777782</v>
      </c>
      <c r="BI10" s="1931">
        <v>8.8792347226213444</v>
      </c>
      <c r="BJ10" s="1931">
        <v>39.037003921568626</v>
      </c>
      <c r="BK10" s="1942">
        <v>61.177131822338055</v>
      </c>
      <c r="BL10" s="1930">
        <v>39.276306614379088</v>
      </c>
      <c r="BM10" s="1931">
        <v>21.383757763901681</v>
      </c>
      <c r="BN10" s="1931">
        <v>14.646823529411765</v>
      </c>
      <c r="BO10" s="1931">
        <v>11.241598080293336</v>
      </c>
      <c r="BP10" s="1931">
        <v>31.366494326797387</v>
      </c>
      <c r="BQ10" s="1931">
        <v>17.222042942567587</v>
      </c>
      <c r="BR10" s="1931">
        <v>11.677845751633988</v>
      </c>
      <c r="BS10" s="1931">
        <v>5.2532344405465539</v>
      </c>
      <c r="BT10" s="1931">
        <v>57.798577777777787</v>
      </c>
      <c r="BU10" s="1931">
        <v>10.0718955674207</v>
      </c>
      <c r="BV10" s="1931">
        <v>38.654352941176469</v>
      </c>
      <c r="BW10" s="1942">
        <v>62.203909877453228</v>
      </c>
      <c r="BX10" s="1930">
        <v>33.641613071895421</v>
      </c>
      <c r="BY10" s="1931">
        <v>19.599394950032224</v>
      </c>
      <c r="BZ10" s="1931">
        <v>14.698159477124182</v>
      </c>
      <c r="CA10" s="1931">
        <v>8.2589970308468033</v>
      </c>
      <c r="CB10" s="1931">
        <v>28.017322875816994</v>
      </c>
      <c r="CC10" s="1931">
        <v>16.210486757605302</v>
      </c>
      <c r="CD10" s="1931">
        <v>11.719403921568629</v>
      </c>
      <c r="CE10" s="1931">
        <v>3.1860617618846723</v>
      </c>
      <c r="CF10" s="1931">
        <v>47.534408491503264</v>
      </c>
      <c r="CG10" s="1931">
        <v>7.4696183670172625</v>
      </c>
      <c r="CH10" s="1931">
        <v>38.78190326797386</v>
      </c>
      <c r="CI10" s="1942">
        <v>55.086791314073444</v>
      </c>
      <c r="CJ10" s="1930">
        <v>22.63533268496732</v>
      </c>
      <c r="CK10" s="1931">
        <v>3.4022984693050358</v>
      </c>
      <c r="CL10" s="1931">
        <v>17.726980392156861</v>
      </c>
      <c r="CM10" s="1931">
        <v>15.047745262741135</v>
      </c>
      <c r="CN10" s="1931">
        <v>17.344773856209152</v>
      </c>
      <c r="CO10" s="1931">
        <v>3.8122055248211839</v>
      </c>
      <c r="CP10" s="1931">
        <v>14.17133594771242</v>
      </c>
      <c r="CQ10" s="1931">
        <v>5.5240108879218077</v>
      </c>
      <c r="CR10" s="1931">
        <v>0</v>
      </c>
      <c r="CS10" s="1931">
        <v>0</v>
      </c>
      <c r="CT10" s="1931">
        <v>46.307372549019611</v>
      </c>
      <c r="CU10" s="1942">
        <v>89.525324033479933</v>
      </c>
      <c r="CV10" s="1930">
        <v>30.881933144261442</v>
      </c>
      <c r="CW10" s="1931">
        <v>8.9561583821482582</v>
      </c>
      <c r="CX10" s="1931">
        <v>15.98155816993464</v>
      </c>
      <c r="CY10" s="1931">
        <v>9.8764031027949422</v>
      </c>
      <c r="CZ10" s="1931">
        <v>23.931305411764708</v>
      </c>
      <c r="DA10" s="1931">
        <v>8.5911815219729064</v>
      </c>
      <c r="DB10" s="1931">
        <v>12.758358169934642</v>
      </c>
      <c r="DC10" s="1931">
        <v>3.4397992824741115</v>
      </c>
      <c r="DD10" s="1931">
        <v>0</v>
      </c>
      <c r="DE10" s="1931">
        <v>0</v>
      </c>
      <c r="DF10" s="1931">
        <v>41.97066143790849</v>
      </c>
      <c r="DG10" s="1942">
        <v>68.866238995329425</v>
      </c>
      <c r="DH10" s="1930">
        <v>32.824849995712412</v>
      </c>
      <c r="DI10" s="1931">
        <v>7.6016403091216675</v>
      </c>
      <c r="DJ10" s="1931">
        <v>16.751597385620919</v>
      </c>
      <c r="DK10" s="1931">
        <v>16.520486730805263</v>
      </c>
      <c r="DL10" s="1931">
        <v>26.077819607843136</v>
      </c>
      <c r="DM10" s="1931">
        <v>7.641839756265413</v>
      </c>
      <c r="DN10" s="1931">
        <v>13.381730718954252</v>
      </c>
      <c r="DO10" s="1931">
        <v>7.8742171940608063</v>
      </c>
      <c r="DP10" s="1931">
        <v>0</v>
      </c>
      <c r="DQ10" s="1931">
        <v>0</v>
      </c>
      <c r="DR10" s="1931">
        <v>43.883916339869288</v>
      </c>
      <c r="DS10" s="1942">
        <v>83.732124673469613</v>
      </c>
      <c r="DT10" s="1930">
        <v>45.033808732026145</v>
      </c>
      <c r="DU10" s="1931">
        <v>26.045375351359468</v>
      </c>
      <c r="DV10" s="1931">
        <v>13.158081045751633</v>
      </c>
      <c r="DW10" s="1931">
        <v>7.2695212771865672</v>
      </c>
      <c r="DX10" s="1931">
        <v>35.547770562091507</v>
      </c>
      <c r="DY10" s="1931">
        <v>21.324327601847976</v>
      </c>
      <c r="DZ10" s="1931">
        <v>10.472658823529413</v>
      </c>
      <c r="EA10" s="1931">
        <v>2.915216294589603</v>
      </c>
      <c r="EB10" s="1931">
        <v>66.546060130718956</v>
      </c>
      <c r="EC10" s="1931">
        <v>15.357651429509341</v>
      </c>
      <c r="ED10" s="1931">
        <v>34.955393464052285</v>
      </c>
      <c r="EE10" s="1942">
        <v>49.10438959623739</v>
      </c>
      <c r="EF10" s="1930">
        <v>35.561954091503267</v>
      </c>
      <c r="EG10" s="1931">
        <v>15.858389750560288</v>
      </c>
      <c r="EH10" s="1931">
        <v>15.211518954248366</v>
      </c>
      <c r="EI10" s="1931">
        <v>15.125962327652209</v>
      </c>
      <c r="EJ10" s="1931">
        <v>28.514702849673203</v>
      </c>
      <c r="EK10" s="1931">
        <v>13.342466029813092</v>
      </c>
      <c r="EL10" s="1931">
        <v>12.134985620915034</v>
      </c>
      <c r="EM10" s="1931">
        <v>7.5927286878459581</v>
      </c>
      <c r="EN10" s="1931">
        <v>50.982975163398699</v>
      </c>
      <c r="EO10" s="1931">
        <v>3.9043350794818239</v>
      </c>
      <c r="EP10" s="1931">
        <v>40.057406535947706</v>
      </c>
      <c r="EQ10" s="1942">
        <v>74.91991245799187</v>
      </c>
      <c r="ER10" s="1930">
        <v>16.768206347712418</v>
      </c>
      <c r="ES10" s="1931">
        <v>0</v>
      </c>
      <c r="ET10" s="1931">
        <v>18.907707189542482</v>
      </c>
      <c r="EU10" s="1931">
        <v>20.663211165139181</v>
      </c>
      <c r="EV10" s="1931">
        <v>13.182504575163403</v>
      </c>
      <c r="EW10" s="1931">
        <v>0.20474010159664324</v>
      </c>
      <c r="EX10" s="1931">
        <v>15.127173856209151</v>
      </c>
      <c r="EY10" s="1931">
        <v>8.3454833267893118</v>
      </c>
      <c r="EZ10" s="1931">
        <v>0</v>
      </c>
      <c r="FA10" s="1931">
        <v>0</v>
      </c>
      <c r="FB10" s="1931">
        <v>49.241030065359475</v>
      </c>
      <c r="FC10" s="1942">
        <v>112.78319878437334</v>
      </c>
      <c r="FD10" s="1930">
        <v>41.011202928104581</v>
      </c>
      <c r="FE10" s="1931">
        <v>20.353916894485891</v>
      </c>
      <c r="FF10" s="1931">
        <v>14.595487581699347</v>
      </c>
      <c r="FG10" s="1931">
        <v>11.523127944098748</v>
      </c>
      <c r="FH10" s="1931">
        <v>35.773448366013078</v>
      </c>
      <c r="FI10" s="1931">
        <v>16.519999584229556</v>
      </c>
      <c r="FJ10" s="1931">
        <v>11.636287581699348</v>
      </c>
      <c r="FK10" s="1931">
        <v>5.3412503293839659</v>
      </c>
      <c r="FL10" s="1931">
        <v>58.883722875816993</v>
      </c>
      <c r="FM10" s="1931">
        <v>8.64003077951471</v>
      </c>
      <c r="FN10" s="1931">
        <v>38.526802614379086</v>
      </c>
      <c r="FO10" s="1942">
        <v>63.551558114697322</v>
      </c>
      <c r="FP10" s="1930">
        <v>37.036868392156862</v>
      </c>
      <c r="FQ10" s="1931">
        <v>17.676829308492604</v>
      </c>
      <c r="FR10" s="1931">
        <v>14.595487581699347</v>
      </c>
      <c r="FS10" s="1931">
        <v>11.990583653539295</v>
      </c>
      <c r="FT10" s="1931">
        <v>29.438305254901962</v>
      </c>
      <c r="FU10" s="1931">
        <v>14.638520747675301</v>
      </c>
      <c r="FV10" s="1931">
        <v>11.636287581699348</v>
      </c>
      <c r="FW10" s="1931">
        <v>5.3655471966500237</v>
      </c>
      <c r="FX10" s="1931">
        <v>52.103090196078433</v>
      </c>
      <c r="FY10" s="1931">
        <v>5.5901666377489327</v>
      </c>
      <c r="FZ10" s="1931">
        <v>38.526802614379086</v>
      </c>
      <c r="GA10" s="1942">
        <v>66.405686188865374</v>
      </c>
      <c r="GB10" s="1930">
        <v>38.282913673202614</v>
      </c>
      <c r="GC10" s="1931">
        <v>9.5940136599352535</v>
      </c>
      <c r="GD10" s="1931">
        <v>15.878886274509805</v>
      </c>
      <c r="GE10" s="1931">
        <v>11.519691236893907</v>
      </c>
      <c r="GF10" s="1931">
        <v>30.313054326797388</v>
      </c>
      <c r="GG10" s="1931">
        <v>9.0677486027962999</v>
      </c>
      <c r="GH10" s="1931">
        <v>12.67524183006536</v>
      </c>
      <c r="GI10" s="1931">
        <v>4.4044822364986587</v>
      </c>
      <c r="GJ10" s="1931">
        <v>0</v>
      </c>
      <c r="GK10" s="1931">
        <v>0</v>
      </c>
      <c r="GL10" s="1931">
        <v>41.715560784313723</v>
      </c>
      <c r="GM10" s="1942">
        <v>72.552489093386498</v>
      </c>
      <c r="GN10" s="1930">
        <v>34.580052287581701</v>
      </c>
      <c r="GO10" s="1931">
        <v>7.4103375180536197</v>
      </c>
      <c r="GP10" s="1931">
        <v>15.930222222222223</v>
      </c>
      <c r="GQ10" s="1931">
        <v>14.81997252051573</v>
      </c>
      <c r="GR10" s="1931">
        <v>26.943712418300656</v>
      </c>
      <c r="GS10" s="1931">
        <v>7.1363899723404858</v>
      </c>
      <c r="GT10" s="1931">
        <v>12.716800000000001</v>
      </c>
      <c r="GU10" s="1931">
        <v>6.4059448859470365</v>
      </c>
      <c r="GV10" s="1931">
        <v>0</v>
      </c>
      <c r="GW10" s="1931">
        <v>0</v>
      </c>
      <c r="GX10" s="1931">
        <v>41.843111111111114</v>
      </c>
      <c r="GY10" s="1942">
        <v>82.646509744015972</v>
      </c>
      <c r="GZ10" s="1930">
        <v>38.920922562091512</v>
      </c>
      <c r="HA10" s="1931">
        <v>31.436131214093283</v>
      </c>
      <c r="HB10" s="1931">
        <v>11.669338562091504</v>
      </c>
      <c r="HC10" s="1931">
        <v>3.7324975712182913</v>
      </c>
      <c r="HD10" s="1931">
        <v>30.845191320261442</v>
      </c>
      <c r="HE10" s="1931">
        <v>25.159902964992057</v>
      </c>
      <c r="HF10" s="1931">
        <v>9.267471895424837</v>
      </c>
      <c r="HG10" s="1931">
        <v>1.1807173950720018</v>
      </c>
      <c r="HH10" s="1931">
        <v>55.259022222222228</v>
      </c>
      <c r="HI10" s="1931">
        <v>21.538321978959484</v>
      </c>
      <c r="HJ10" s="1931">
        <v>31.256433986928101</v>
      </c>
      <c r="HK10" s="1942">
        <v>36.008709045229779</v>
      </c>
      <c r="HL10" s="1930">
        <v>39.688976941176477</v>
      </c>
      <c r="HM10" s="1931">
        <v>32.389913978051922</v>
      </c>
      <c r="HN10" s="1931">
        <v>11.412658823529412</v>
      </c>
      <c r="HO10" s="1931">
        <v>3.4035002337223803</v>
      </c>
      <c r="HP10" s="1931">
        <v>31.355593411764712</v>
      </c>
      <c r="HQ10" s="1931">
        <v>25.794798853636316</v>
      </c>
      <c r="HR10" s="1931">
        <v>9.0596810457516348</v>
      </c>
      <c r="HS10" s="1931">
        <v>1.0327948673216001</v>
      </c>
      <c r="HT10" s="1931">
        <v>56.06597647058824</v>
      </c>
      <c r="HU10" s="1931">
        <v>23.201406979424164</v>
      </c>
      <c r="HV10" s="1931">
        <v>30.618682352941178</v>
      </c>
      <c r="HW10" s="1942">
        <v>34.956605374383471</v>
      </c>
      <c r="HX10" s="1930">
        <v>40.643818248366017</v>
      </c>
      <c r="HY10" s="1931">
        <v>20.619815785637115</v>
      </c>
      <c r="HZ10" s="1931">
        <v>14.287471895424837</v>
      </c>
      <c r="IA10" s="1931">
        <v>10.838586314140811</v>
      </c>
      <c r="IB10" s="1931">
        <v>32.190455633986929</v>
      </c>
      <c r="IC10" s="1931">
        <v>16.721055201001082</v>
      </c>
      <c r="ID10" s="1931">
        <v>11.386938562091505</v>
      </c>
      <c r="IE10" s="1931">
        <v>4.9652750074888834</v>
      </c>
      <c r="IF10" s="1931">
        <v>58.591100653594779</v>
      </c>
      <c r="IG10" s="1931">
        <v>9.3440688056565335</v>
      </c>
      <c r="IH10" s="1931">
        <v>37.761500653594766</v>
      </c>
      <c r="II10" s="1942">
        <v>61.362961166912982</v>
      </c>
      <c r="IJ10" s="1930">
        <v>36.859583163398696</v>
      </c>
      <c r="IK10" s="1931">
        <v>30.867087050100267</v>
      </c>
      <c r="IL10" s="1931">
        <v>12.542049673202614</v>
      </c>
      <c r="IM10" s="1931">
        <v>6.3136234897987888</v>
      </c>
      <c r="IN10" s="1931">
        <v>31.523853594771246</v>
      </c>
      <c r="IO10" s="1931">
        <v>24.730989150869188</v>
      </c>
      <c r="IP10" s="1931">
        <v>9.973960784313725</v>
      </c>
      <c r="IQ10" s="1931">
        <v>2.341734579196534</v>
      </c>
      <c r="IR10" s="1931">
        <v>52.430358169934642</v>
      </c>
      <c r="IS10" s="1931">
        <v>21.590546822189676</v>
      </c>
      <c r="IT10" s="1931">
        <v>33.424789542483659</v>
      </c>
      <c r="IU10" s="1942">
        <v>44.877693759082931</v>
      </c>
      <c r="IV10" s="1930">
        <v>32.089103184313728</v>
      </c>
      <c r="IW10" s="1931">
        <v>8.8997901857554726</v>
      </c>
      <c r="IX10" s="1931">
        <v>15.930222222222223</v>
      </c>
      <c r="IY10" s="1931">
        <v>9.1214022158873025</v>
      </c>
      <c r="IZ10" s="1931">
        <v>24.40453333333333</v>
      </c>
      <c r="JA10" s="1931">
        <v>8.5502945291489745</v>
      </c>
      <c r="JB10" s="1931">
        <v>12.716800000000001</v>
      </c>
      <c r="JC10" s="1931">
        <v>2.9000164291553086</v>
      </c>
      <c r="JD10" s="1931">
        <v>0</v>
      </c>
      <c r="JE10" s="1931">
        <v>0</v>
      </c>
      <c r="JF10" s="1931">
        <v>41.843111111111114</v>
      </c>
      <c r="JG10" s="1942">
        <v>66.938439437974452</v>
      </c>
      <c r="JH10" s="1930">
        <v>34.876705464052293</v>
      </c>
      <c r="JI10" s="1931">
        <v>23.120698359842859</v>
      </c>
      <c r="JJ10" s="1931">
        <v>13.774112418300653</v>
      </c>
      <c r="JK10" s="1931">
        <v>9.298995157439343</v>
      </c>
      <c r="JL10" s="1931">
        <v>29.004857516339872</v>
      </c>
      <c r="JM10" s="1931">
        <v>18.875142017599384</v>
      </c>
      <c r="JN10" s="1931">
        <v>10.971356862745099</v>
      </c>
      <c r="JO10" s="1931">
        <v>4.1441413444648907</v>
      </c>
      <c r="JP10" s="1931">
        <v>49.133249673202613</v>
      </c>
      <c r="JQ10" s="1931">
        <v>12.419187955421776</v>
      </c>
      <c r="JR10" s="1931">
        <v>36.485997385620912</v>
      </c>
      <c r="JS10" s="1942">
        <v>55.921429233906821</v>
      </c>
      <c r="JT10" s="1930">
        <v>44.549410718954249</v>
      </c>
      <c r="JU10" s="1931">
        <v>21.662666970732467</v>
      </c>
      <c r="JV10" s="1931">
        <v>14.441479738562091</v>
      </c>
      <c r="JW10" s="1931">
        <v>10.28496198409878</v>
      </c>
      <c r="JX10" s="1931">
        <v>35.117713986928109</v>
      </c>
      <c r="JY10" s="1931">
        <v>17.478061865707907</v>
      </c>
      <c r="JZ10" s="1931">
        <v>11.511613071895425</v>
      </c>
      <c r="KA10" s="1931">
        <v>4.5138404251221216</v>
      </c>
      <c r="KB10" s="1931">
        <v>65.21547712418301</v>
      </c>
      <c r="KC10" s="1931">
        <v>10.22929882296247</v>
      </c>
      <c r="KD10" s="1931">
        <v>38.144151633986922</v>
      </c>
      <c r="KE10" s="1942">
        <v>59.379511636843617</v>
      </c>
      <c r="KF10" s="1930">
        <v>34.301626143790848</v>
      </c>
      <c r="KG10" s="1931">
        <v>13.787253740438882</v>
      </c>
      <c r="KH10" s="1931">
        <v>14.698159477124182</v>
      </c>
      <c r="KI10" s="1931">
        <v>15.201415603763651</v>
      </c>
      <c r="KJ10" s="1931">
        <v>27.523691503267973</v>
      </c>
      <c r="KK10" s="1931">
        <v>11.934398055638768</v>
      </c>
      <c r="KL10" s="1931">
        <v>11.719403921568629</v>
      </c>
      <c r="KM10" s="1931">
        <v>7.6847124551089401</v>
      </c>
      <c r="KN10" s="1931">
        <v>47.053725845751636</v>
      </c>
      <c r="KO10" s="1931">
        <v>3.0051460075081433</v>
      </c>
      <c r="KP10" s="1931">
        <v>38.78190326797386</v>
      </c>
      <c r="KQ10" s="1942">
        <v>75.345514140542463</v>
      </c>
      <c r="KR10" s="1930">
        <v>42.656777411764701</v>
      </c>
      <c r="KS10" s="1931">
        <v>26.603484065062126</v>
      </c>
      <c r="KT10" s="1931">
        <v>13.209416993464053</v>
      </c>
      <c r="KU10" s="1931">
        <v>6.3095841131811286</v>
      </c>
      <c r="KV10" s="1931">
        <v>33.681775058823526</v>
      </c>
      <c r="KW10" s="1931">
        <v>21.754420485999862</v>
      </c>
      <c r="KX10" s="1931">
        <v>10.514216993464053</v>
      </c>
      <c r="KY10" s="1931">
        <v>2.4284940301266453</v>
      </c>
      <c r="KZ10" s="1931">
        <v>61.873129411764708</v>
      </c>
      <c r="LA10" s="1931">
        <v>15.318788038271093</v>
      </c>
      <c r="LB10" s="1931">
        <v>35.082943790849676</v>
      </c>
      <c r="LC10" s="1942">
        <v>46.082093113751419</v>
      </c>
      <c r="LD10" s="1930">
        <v>25.321051105882351</v>
      </c>
      <c r="LE10" s="1931">
        <v>10.00909568719177</v>
      </c>
      <c r="LF10" s="1931">
        <v>15.006175163398693</v>
      </c>
      <c r="LG10" s="1931">
        <v>12.90765176748142</v>
      </c>
      <c r="LH10" s="1931">
        <v>20.166954248366014</v>
      </c>
      <c r="LI10" s="1931">
        <v>9.3041522852883745</v>
      </c>
      <c r="LJ10" s="1931">
        <v>11.968752941176472</v>
      </c>
      <c r="LK10" s="1931">
        <v>5.3412417629222633</v>
      </c>
      <c r="LL10" s="1931">
        <v>35.364768752941181</v>
      </c>
      <c r="LM10" s="1931">
        <v>0.15817417010916263</v>
      </c>
      <c r="LN10" s="1931">
        <v>39.547205228758173</v>
      </c>
      <c r="LO10" s="1942">
        <v>75.403068585953889</v>
      </c>
      <c r="LP10" s="1930">
        <v>42.322677751633996</v>
      </c>
      <c r="LQ10" s="1931">
        <v>19.054251693864344</v>
      </c>
      <c r="LR10" s="1931">
        <v>15.160183006535949</v>
      </c>
      <c r="LS10" s="1931">
        <v>11.091584211171256</v>
      </c>
      <c r="LT10" s="1931">
        <v>33.496623895424833</v>
      </c>
      <c r="LU10" s="1931">
        <v>15.622439536223375</v>
      </c>
      <c r="LV10" s="1931">
        <v>12.093427450980395</v>
      </c>
      <c r="LW10" s="1931">
        <v>5.0179634865994434</v>
      </c>
      <c r="LX10" s="1931">
        <v>61.802216993464057</v>
      </c>
      <c r="LY10" s="1931">
        <v>7.2152810524553512</v>
      </c>
      <c r="LZ10" s="1931">
        <v>39.92985620915033</v>
      </c>
      <c r="MA10" s="1942">
        <v>62.907685672433125</v>
      </c>
      <c r="MB10" s="1930">
        <v>27.833775309803926</v>
      </c>
      <c r="MC10" s="1931">
        <v>2.9244102825414031</v>
      </c>
      <c r="MD10" s="1931">
        <v>20.037098039215685</v>
      </c>
      <c r="ME10" s="1931">
        <v>20.525939009443878</v>
      </c>
      <c r="MF10" s="1931">
        <v>21.134713725490194</v>
      </c>
      <c r="MG10" s="1931">
        <v>3.4919043003877972</v>
      </c>
      <c r="MH10" s="1931">
        <v>16.041453594771244</v>
      </c>
      <c r="MI10" s="1931">
        <v>8.0281556069596469</v>
      </c>
      <c r="MJ10" s="1931">
        <v>0</v>
      </c>
      <c r="MK10" s="1931">
        <v>0</v>
      </c>
      <c r="ML10" s="1931">
        <v>52.047137254901955</v>
      </c>
      <c r="MM10" s="1942">
        <v>105.02396549500686</v>
      </c>
      <c r="MN10" s="1930">
        <v>25.850028925490204</v>
      </c>
      <c r="MO10" s="1931">
        <v>3.109144951278711</v>
      </c>
      <c r="MP10" s="1931">
        <v>16.597589542483657</v>
      </c>
      <c r="MQ10" s="1931">
        <v>17.243511664915363</v>
      </c>
      <c r="MR10" s="1931">
        <v>19.696815686274512</v>
      </c>
      <c r="MS10" s="1931">
        <v>3.5887480637774001</v>
      </c>
      <c r="MT10" s="1931">
        <v>13.257056209150328</v>
      </c>
      <c r="MU10" s="1931">
        <v>7.1156687551597466</v>
      </c>
      <c r="MV10" s="1931">
        <v>0</v>
      </c>
      <c r="MW10" s="1931">
        <v>0</v>
      </c>
      <c r="MX10" s="1931">
        <v>43.501265359477117</v>
      </c>
      <c r="MY10" s="1942">
        <v>96.926115235118218</v>
      </c>
      <c r="MZ10" s="1930">
        <v>40.931011764705886</v>
      </c>
      <c r="NA10" s="1931">
        <v>16.191346938990055</v>
      </c>
      <c r="NB10" s="1931">
        <v>15.776214379084967</v>
      </c>
      <c r="NC10" s="1931">
        <v>11.255422944611391</v>
      </c>
      <c r="ND10" s="1931">
        <v>32.537129411764703</v>
      </c>
      <c r="NE10" s="1931">
        <v>13.640376072811209</v>
      </c>
      <c r="NF10" s="1931">
        <v>12.592125490196079</v>
      </c>
      <c r="NG10" s="1931">
        <v>4.8366707156520166</v>
      </c>
      <c r="NH10" s="1931">
        <v>55.888564705882352</v>
      </c>
      <c r="NI10" s="1931">
        <v>4.2208322820179447</v>
      </c>
      <c r="NJ10" s="1931">
        <v>41.460460130718957</v>
      </c>
      <c r="NK10" s="1942">
        <v>65.723255049249246</v>
      </c>
      <c r="NL10" s="1930">
        <v>34.528651084967322</v>
      </c>
      <c r="NM10" s="1931">
        <v>20.534717662699695</v>
      </c>
      <c r="NN10" s="1931">
        <v>14.852167320261438</v>
      </c>
      <c r="NO10" s="1931">
        <v>12.164115478412425</v>
      </c>
      <c r="NP10" s="1931">
        <v>27.966907256577844</v>
      </c>
      <c r="NQ10" s="1931">
        <v>16.628141165838471</v>
      </c>
      <c r="NR10" s="1931">
        <v>11.84407843137255</v>
      </c>
      <c r="NS10" s="1931">
        <v>5.7476797498597572</v>
      </c>
      <c r="NT10" s="1931">
        <v>48.926295424836603</v>
      </c>
      <c r="NU10" s="1931">
        <v>9.1014955475340518</v>
      </c>
      <c r="NV10" s="1931">
        <v>39.164554248366009</v>
      </c>
      <c r="NW10" s="1942">
        <v>65.261492755761779</v>
      </c>
      <c r="NX10" s="1930">
        <v>33.128216010457521</v>
      </c>
      <c r="NY10" s="1931">
        <v>9.0834744292986738</v>
      </c>
      <c r="NZ10" s="1931">
        <v>17.162284967320264</v>
      </c>
      <c r="OA10" s="1931">
        <v>14.674299341420223</v>
      </c>
      <c r="OB10" s="1931">
        <v>25.174671895424844</v>
      </c>
      <c r="OC10" s="1931">
        <v>8.7058170921516602</v>
      </c>
      <c r="OD10" s="1931">
        <v>13.714196078431375</v>
      </c>
      <c r="OE10" s="1931">
        <v>5.9574650582252664</v>
      </c>
      <c r="OF10" s="1931">
        <v>0</v>
      </c>
      <c r="OG10" s="1931">
        <v>0</v>
      </c>
      <c r="OH10" s="1931">
        <v>44.904318954248367</v>
      </c>
      <c r="OI10" s="1932">
        <v>80.030361164541645</v>
      </c>
      <c r="OJ10" s="1930">
        <v>37.694207581699345</v>
      </c>
      <c r="OK10" s="1931">
        <v>25.229876739968564</v>
      </c>
      <c r="OL10" s="1931">
        <v>14.082128104575164</v>
      </c>
      <c r="OM10" s="1931">
        <v>8.8291862048651293</v>
      </c>
      <c r="ON10" s="1931">
        <v>29.991891241830068</v>
      </c>
      <c r="OO10" s="1931">
        <v>20.688528982630675</v>
      </c>
      <c r="OP10" s="1931">
        <v>11.220705882352942</v>
      </c>
      <c r="OQ10" s="1931">
        <v>3.5746715657298918</v>
      </c>
      <c r="OR10" s="1931">
        <v>53.680732026143794</v>
      </c>
      <c r="OS10" s="1931">
        <v>13.854340830332868</v>
      </c>
      <c r="OT10" s="1931">
        <v>37.251299346405226</v>
      </c>
      <c r="OU10" s="1932">
        <v>53.78360103214095</v>
      </c>
      <c r="OV10" s="1930">
        <v>31.836234332026145</v>
      </c>
      <c r="OW10" s="1931">
        <v>6.671624831677585</v>
      </c>
      <c r="OX10" s="1931">
        <v>19.318394771241834</v>
      </c>
      <c r="OY10" s="1931">
        <v>19.333169950700572</v>
      </c>
      <c r="OZ10" s="1931">
        <v>24.230891503267976</v>
      </c>
      <c r="PA10" s="1931">
        <v>6.3312353407088997</v>
      </c>
      <c r="PB10" s="1931">
        <v>15.459639215686277</v>
      </c>
      <c r="PC10" s="1931">
        <v>8.265881189109173</v>
      </c>
      <c r="PD10" s="1931">
        <v>0</v>
      </c>
      <c r="PE10" s="1931">
        <v>0</v>
      </c>
      <c r="PF10" s="1931">
        <v>50.261432679738562</v>
      </c>
      <c r="PG10" s="1932">
        <v>92.881019792232465</v>
      </c>
      <c r="PH10" s="1930">
        <v>39.961664209150328</v>
      </c>
      <c r="PI10" s="1931">
        <v>20.979280677592786</v>
      </c>
      <c r="PJ10" s="1931">
        <v>15.006175163398693</v>
      </c>
      <c r="PK10" s="1931">
        <v>8.9183487312937135</v>
      </c>
      <c r="PL10" s="1931">
        <v>31.794902379084967</v>
      </c>
      <c r="PM10" s="1931">
        <v>17.464465648122211</v>
      </c>
      <c r="PN10" s="1931">
        <v>11.968752941176472</v>
      </c>
      <c r="PO10" s="1931">
        <v>3.7161852101398769</v>
      </c>
      <c r="PP10" s="1931">
        <v>58.313233986928111</v>
      </c>
      <c r="PQ10" s="1931">
        <v>8.8788582918064112</v>
      </c>
      <c r="PR10" s="1931">
        <v>39.547205228758173</v>
      </c>
      <c r="PS10" s="1932">
        <v>55.722725418551278</v>
      </c>
      <c r="PT10" s="1930">
        <v>43.132705254901964</v>
      </c>
      <c r="PU10" s="1931">
        <v>20.207478940141538</v>
      </c>
      <c r="PV10" s="1931">
        <v>14.749495424836601</v>
      </c>
      <c r="PW10" s="1931">
        <v>11.664991023134242</v>
      </c>
      <c r="PX10" s="1931">
        <v>33.907098980392163</v>
      </c>
      <c r="PY10" s="1931">
        <v>16.4238017751154</v>
      </c>
      <c r="PZ10" s="1931">
        <v>11.76096209150327</v>
      </c>
      <c r="QA10" s="1931">
        <v>5.3471716552842237</v>
      </c>
      <c r="QB10" s="1931">
        <v>61.682227450980399</v>
      </c>
      <c r="QC10" s="1931">
        <v>8.5740921892563158</v>
      </c>
      <c r="QD10" s="1931">
        <v>38.909453594771236</v>
      </c>
      <c r="QE10" s="1932">
        <v>64.021567559003969</v>
      </c>
      <c r="QF10" s="1930">
        <v>23.9346432</v>
      </c>
      <c r="QG10" s="1931">
        <v>3.9995045579722412</v>
      </c>
      <c r="QH10" s="1931">
        <v>16.700261437908495</v>
      </c>
      <c r="QI10" s="1931">
        <v>14.317347435641876</v>
      </c>
      <c r="QJ10" s="1931">
        <v>20.142975163398688</v>
      </c>
      <c r="QK10" s="1931">
        <v>4.2009780187760599</v>
      </c>
      <c r="QL10" s="1931">
        <v>13.340172549019609</v>
      </c>
      <c r="QM10" s="1931">
        <v>5.1921611744118108</v>
      </c>
      <c r="QN10" s="1931">
        <v>0</v>
      </c>
      <c r="QO10" s="1931">
        <v>0</v>
      </c>
      <c r="QP10" s="1931">
        <v>43.756366013071897</v>
      </c>
      <c r="QQ10" s="1932">
        <v>89.178964157096374</v>
      </c>
      <c r="QR10" s="1930">
        <v>42.278424679738556</v>
      </c>
      <c r="QS10" s="1931">
        <v>21.353749494796656</v>
      </c>
      <c r="QT10" s="1931">
        <v>14.954839215686274</v>
      </c>
      <c r="QU10" s="1931">
        <v>10.436875276545313</v>
      </c>
      <c r="QV10" s="1931">
        <v>37.497055790849679</v>
      </c>
      <c r="QW10" s="1931">
        <v>17.218779608232641</v>
      </c>
      <c r="QX10" s="1931">
        <v>11.927194771241831</v>
      </c>
      <c r="QY10" s="1931">
        <v>4.5428932919360028</v>
      </c>
      <c r="QZ10" s="1931">
        <v>59.926818300653601</v>
      </c>
      <c r="RA10" s="1931">
        <v>9.882251742600932</v>
      </c>
      <c r="RB10" s="1931">
        <v>39.419654901960783</v>
      </c>
      <c r="RC10" s="1932">
        <v>60.55642666540701</v>
      </c>
      <c r="RD10" s="1930">
        <v>41.711546771241842</v>
      </c>
      <c r="RE10" s="1931">
        <v>20.63311217112328</v>
      </c>
      <c r="RF10" s="1931">
        <v>14.852167320261438</v>
      </c>
      <c r="RG10" s="1931">
        <v>9.9544986308410159</v>
      </c>
      <c r="RH10" s="1931">
        <v>32.945477228758172</v>
      </c>
      <c r="RI10" s="1931">
        <v>16.739145452144246</v>
      </c>
      <c r="RJ10" s="1931">
        <v>11.84407843137255</v>
      </c>
      <c r="RK10" s="1931">
        <v>4.2585957132921832</v>
      </c>
      <c r="RL10" s="1931">
        <v>60.058373856209151</v>
      </c>
      <c r="RM10" s="1931">
        <v>8.8984902707223377</v>
      </c>
      <c r="RN10" s="1931">
        <v>39.164554248366009</v>
      </c>
      <c r="RO10" s="1932">
        <v>59.359122937777826</v>
      </c>
    </row>
    <row r="11" spans="1:483" ht="24.9">
      <c r="A11" s="1299">
        <f>Eingabedaten!A13</f>
        <v>3.01</v>
      </c>
      <c r="B11" s="384" t="str">
        <f>Eingabedaten!C13</f>
        <v>Einzel-, Gruppenbüro</v>
      </c>
      <c r="C11" s="1945"/>
      <c r="D11" s="1930">
        <v>36.357765826330535</v>
      </c>
      <c r="E11" s="1931">
        <v>1.959338850831664</v>
      </c>
      <c r="F11" s="1931">
        <v>21.643256862745101</v>
      </c>
      <c r="G11" s="1931">
        <v>8.5133593278041673</v>
      </c>
      <c r="H11" s="1931">
        <v>27.378797759103641</v>
      </c>
      <c r="I11" s="1931">
        <v>0</v>
      </c>
      <c r="J11" s="1931">
        <v>16.568590196078432</v>
      </c>
      <c r="K11" s="1931">
        <v>6.5644258745602873</v>
      </c>
      <c r="L11" s="1931">
        <v>0</v>
      </c>
      <c r="M11" s="1931">
        <v>0</v>
      </c>
      <c r="N11" s="1931">
        <v>54.555319607843138</v>
      </c>
      <c r="O11" s="1942">
        <v>79.285548038515088</v>
      </c>
      <c r="P11" s="1930">
        <v>46.138538711484607</v>
      </c>
      <c r="Q11" s="1931">
        <v>13.981122971502012</v>
      </c>
      <c r="R11" s="1931">
        <v>18.475272549019611</v>
      </c>
      <c r="S11" s="1931">
        <v>10.292433522817534</v>
      </c>
      <c r="T11" s="1931">
        <v>33.1630518767507</v>
      </c>
      <c r="U11" s="1931">
        <v>4.9663216938943293</v>
      </c>
      <c r="V11" s="1931">
        <v>14.089939215686277</v>
      </c>
      <c r="W11" s="1931">
        <v>9.6645637872650063</v>
      </c>
      <c r="X11" s="1931">
        <v>69.617503641456594</v>
      </c>
      <c r="Y11" s="1931">
        <v>4.5712470812866446</v>
      </c>
      <c r="Z11" s="1931">
        <v>46.916621568627455</v>
      </c>
      <c r="AA11" s="1942">
        <v>64.743492838948796</v>
      </c>
      <c r="AB11" s="1930">
        <v>40.313070252100843</v>
      </c>
      <c r="AC11" s="1931">
        <v>10.721363094584323</v>
      </c>
      <c r="AD11" s="1931">
        <v>18.542676470588241</v>
      </c>
      <c r="AE11" s="1931">
        <v>13.316378333377068</v>
      </c>
      <c r="AF11" s="1931">
        <v>34.12632739495799</v>
      </c>
      <c r="AG11" s="1931">
        <v>3.2059851240420616</v>
      </c>
      <c r="AH11" s="1931">
        <v>14.142676470588238</v>
      </c>
      <c r="AI11" s="1931">
        <v>12.814945091087543</v>
      </c>
      <c r="AJ11" s="1931">
        <v>61.358666666666672</v>
      </c>
      <c r="AK11" s="1931">
        <v>1.8353751285996436</v>
      </c>
      <c r="AL11" s="1931">
        <v>47.079147058823537</v>
      </c>
      <c r="AM11" s="1942">
        <v>73.635915057006443</v>
      </c>
      <c r="AN11" s="1930">
        <v>47.668058935574244</v>
      </c>
      <c r="AO11" s="1931">
        <v>17.653789175901693</v>
      </c>
      <c r="AP11" s="1931">
        <v>19.149311764705885</v>
      </c>
      <c r="AQ11" s="1931">
        <v>8.4685663512902725</v>
      </c>
      <c r="AR11" s="1931">
        <v>34.350934005602241</v>
      </c>
      <c r="AS11" s="1931">
        <v>7.1870032162373692</v>
      </c>
      <c r="AT11" s="1931">
        <v>14.617311764705885</v>
      </c>
      <c r="AU11" s="1931">
        <v>7.9825278046062662</v>
      </c>
      <c r="AV11" s="1931">
        <v>72.970402240896362</v>
      </c>
      <c r="AW11" s="1931">
        <v>8.7856754948901816</v>
      </c>
      <c r="AX11" s="1931">
        <v>48.541876470588235</v>
      </c>
      <c r="AY11" s="1942">
        <v>58.325718809055125</v>
      </c>
      <c r="AZ11" s="1930">
        <v>44.44871305322129</v>
      </c>
      <c r="BA11" s="1931">
        <v>14.284875270691835</v>
      </c>
      <c r="BB11" s="1931">
        <v>19.755947058823534</v>
      </c>
      <c r="BC11" s="1931">
        <v>10.866572628023134</v>
      </c>
      <c r="BD11" s="1931">
        <v>31.917423417366951</v>
      </c>
      <c r="BE11" s="1931">
        <v>5.2669863881489611</v>
      </c>
      <c r="BF11" s="1931">
        <v>15.091947058823532</v>
      </c>
      <c r="BG11" s="1931">
        <v>9.704678030688763</v>
      </c>
      <c r="BH11" s="1931">
        <v>67.023390476190485</v>
      </c>
      <c r="BI11" s="1931">
        <v>4.6659685640208393</v>
      </c>
      <c r="BJ11" s="1931">
        <v>50.004605882352941</v>
      </c>
      <c r="BK11" s="1942">
        <v>68.413330465333146</v>
      </c>
      <c r="BL11" s="1930">
        <v>44.241610308123249</v>
      </c>
      <c r="BM11" s="1931">
        <v>14.688563035149992</v>
      </c>
      <c r="BN11" s="1931">
        <v>19.553735294117651</v>
      </c>
      <c r="BO11" s="1931">
        <v>13.163457995218641</v>
      </c>
      <c r="BP11" s="1931">
        <v>31.839763809523813</v>
      </c>
      <c r="BQ11" s="1931">
        <v>5.4172655201333697</v>
      </c>
      <c r="BR11" s="1931">
        <v>14.93373529411765</v>
      </c>
      <c r="BS11" s="1931">
        <v>12.360233258098539</v>
      </c>
      <c r="BT11" s="1931">
        <v>67.588064985994407</v>
      </c>
      <c r="BU11" s="1931">
        <v>5.1835911658246774</v>
      </c>
      <c r="BV11" s="1931">
        <v>49.51702941176471</v>
      </c>
      <c r="BW11" s="1942">
        <v>72.461967611618292</v>
      </c>
      <c r="BX11" s="1930">
        <v>44.572656358543419</v>
      </c>
      <c r="BY11" s="1931">
        <v>12.367272539226429</v>
      </c>
      <c r="BZ11" s="1931">
        <v>19.621139215686277</v>
      </c>
      <c r="CA11" s="1931">
        <v>8.1119920335412878</v>
      </c>
      <c r="CB11" s="1931">
        <v>32.015993053221287</v>
      </c>
      <c r="CC11" s="1931">
        <v>3.9613052779844447</v>
      </c>
      <c r="CD11" s="1931">
        <v>14.986472549019611</v>
      </c>
      <c r="CE11" s="1931">
        <v>7.1382563509430437</v>
      </c>
      <c r="CF11" s="1931">
        <v>67.323385994397768</v>
      </c>
      <c r="CG11" s="1931">
        <v>2.7377319698714251</v>
      </c>
      <c r="CH11" s="1931">
        <v>49.679554901960785</v>
      </c>
      <c r="CI11" s="1942">
        <v>61.433100722297155</v>
      </c>
      <c r="CJ11" s="1930">
        <v>35.257428571428576</v>
      </c>
      <c r="CK11" s="1931">
        <v>1.1316313371767774</v>
      </c>
      <c r="CL11" s="1931">
        <v>23.597970588235299</v>
      </c>
      <c r="CM11" s="1931">
        <v>10.5734364298086</v>
      </c>
      <c r="CN11" s="1931">
        <v>24.37625210084034</v>
      </c>
      <c r="CO11" s="1931">
        <v>0</v>
      </c>
      <c r="CP11" s="1931">
        <v>18.097970588235299</v>
      </c>
      <c r="CQ11" s="1931">
        <v>7.4658699929588659</v>
      </c>
      <c r="CR11" s="1931">
        <v>0</v>
      </c>
      <c r="CS11" s="1931">
        <v>0</v>
      </c>
      <c r="CT11" s="1931">
        <v>59.268558823529425</v>
      </c>
      <c r="CU11" s="1942">
        <v>86.317033546027631</v>
      </c>
      <c r="CV11" s="1930">
        <v>43.369040448179277</v>
      </c>
      <c r="CW11" s="1931">
        <v>4.4790951043852516</v>
      </c>
      <c r="CX11" s="1931">
        <v>21.306237254901966</v>
      </c>
      <c r="CY11" s="1931">
        <v>7.7690537989302255</v>
      </c>
      <c r="CZ11" s="1931">
        <v>31.025764257703084</v>
      </c>
      <c r="DA11" s="1931">
        <v>0.40900145680389388</v>
      </c>
      <c r="DB11" s="1931">
        <v>16.304903921568631</v>
      </c>
      <c r="DC11" s="1931">
        <v>6.0845817228273757</v>
      </c>
      <c r="DD11" s="1931">
        <v>0</v>
      </c>
      <c r="DE11" s="1931">
        <v>0</v>
      </c>
      <c r="DF11" s="1931">
        <v>53.742692156862745</v>
      </c>
      <c r="DG11" s="1942">
        <v>71.310141830609709</v>
      </c>
      <c r="DH11" s="1930">
        <v>43.705598207282918</v>
      </c>
      <c r="DI11" s="1931">
        <v>3.2976208851491484</v>
      </c>
      <c r="DJ11" s="1931">
        <v>22.317296078431379</v>
      </c>
      <c r="DK11" s="1931">
        <v>16.874219569742397</v>
      </c>
      <c r="DL11" s="1931">
        <v>31.289714733893561</v>
      </c>
      <c r="DM11" s="1931">
        <v>0</v>
      </c>
      <c r="DN11" s="1931">
        <v>17.095962745098042</v>
      </c>
      <c r="DO11" s="1931">
        <v>14.762373862656762</v>
      </c>
      <c r="DP11" s="1931">
        <v>0</v>
      </c>
      <c r="DQ11" s="1931">
        <v>0</v>
      </c>
      <c r="DR11" s="1931">
        <v>56.180574509803932</v>
      </c>
      <c r="DS11" s="1942">
        <v>92.414747687331015</v>
      </c>
      <c r="DT11" s="1930">
        <v>45.82361456582634</v>
      </c>
      <c r="DU11" s="1931">
        <v>19.292200247207095</v>
      </c>
      <c r="DV11" s="1931">
        <v>17.599021568627453</v>
      </c>
      <c r="DW11" s="1931">
        <v>8.0815272542832037</v>
      </c>
      <c r="DX11" s="1931">
        <v>32.989844257703083</v>
      </c>
      <c r="DY11" s="1931">
        <v>8.4122718288179517</v>
      </c>
      <c r="DZ11" s="1931">
        <v>13.404354901960787</v>
      </c>
      <c r="EA11" s="1931">
        <v>7.5971832353392283</v>
      </c>
      <c r="EB11" s="1931">
        <v>70.093938375350149</v>
      </c>
      <c r="EC11" s="1931">
        <v>10.887759823955683</v>
      </c>
      <c r="ED11" s="1931">
        <v>44.803790196078431</v>
      </c>
      <c r="EE11" s="1942">
        <v>55.891602283890066</v>
      </c>
      <c r="EF11" s="1930">
        <v>44.079366498599441</v>
      </c>
      <c r="EG11" s="1931">
        <v>8.5989225992388629</v>
      </c>
      <c r="EH11" s="1931">
        <v>20.295178431372552</v>
      </c>
      <c r="EI11" s="1931">
        <v>17.883989002192912</v>
      </c>
      <c r="EJ11" s="1931">
        <v>31.683720560224092</v>
      </c>
      <c r="EK11" s="1931">
        <v>2.3156321382799074</v>
      </c>
      <c r="EL11" s="1931">
        <v>15.513845098039219</v>
      </c>
      <c r="EM11" s="1931">
        <v>16.919526976976961</v>
      </c>
      <c r="EN11" s="1931">
        <v>66.864553501400565</v>
      </c>
      <c r="EO11" s="1931">
        <v>0.16152279399752956</v>
      </c>
      <c r="EP11" s="1931">
        <v>51.304809803921572</v>
      </c>
      <c r="EQ11" s="1942">
        <v>89.157604201638335</v>
      </c>
      <c r="ER11" s="1930">
        <v>33.119932773109248</v>
      </c>
      <c r="ES11" s="1931">
        <v>0</v>
      </c>
      <c r="ET11" s="1931">
        <v>25.148260784313727</v>
      </c>
      <c r="EU11" s="1931">
        <v>14.362500615998231</v>
      </c>
      <c r="EV11" s="1931">
        <v>23.707071148459381</v>
      </c>
      <c r="EW11" s="1931">
        <v>0</v>
      </c>
      <c r="EX11" s="1931">
        <v>19.310927450980394</v>
      </c>
      <c r="EY11" s="1931">
        <v>10.220924726063972</v>
      </c>
      <c r="EZ11" s="1931">
        <v>0</v>
      </c>
      <c r="FA11" s="1931">
        <v>0</v>
      </c>
      <c r="FB11" s="1931">
        <v>63.006645098039222</v>
      </c>
      <c r="FC11" s="1942">
        <v>100.02597447717199</v>
      </c>
      <c r="FD11" s="1930">
        <v>43.624552156862755</v>
      </c>
      <c r="FE11" s="1931">
        <v>14.089857846197537</v>
      </c>
      <c r="FF11" s="1931">
        <v>19.486331372549024</v>
      </c>
      <c r="FG11" s="1931">
        <v>13.170101827408194</v>
      </c>
      <c r="FH11" s="1931">
        <v>31.263485490196082</v>
      </c>
      <c r="FI11" s="1931">
        <v>5.0892289198485328</v>
      </c>
      <c r="FJ11" s="1931">
        <v>14.88099803921569</v>
      </c>
      <c r="FK11" s="1931">
        <v>12.228257950589203</v>
      </c>
      <c r="FL11" s="1931">
        <v>65.046949019607851</v>
      </c>
      <c r="FM11" s="1931">
        <v>4.2412639816996744</v>
      </c>
      <c r="FN11" s="1931">
        <v>49.354503921568629</v>
      </c>
      <c r="FO11" s="1942">
        <v>72.943354134951122</v>
      </c>
      <c r="FP11" s="1930">
        <v>41.904596078431382</v>
      </c>
      <c r="FQ11" s="1931">
        <v>10.94047920939841</v>
      </c>
      <c r="FR11" s="1931">
        <v>19.486331372549024</v>
      </c>
      <c r="FS11" s="1931">
        <v>12.771988285849416</v>
      </c>
      <c r="FT11" s="1931">
        <v>29.964674509803924</v>
      </c>
      <c r="FU11" s="1931">
        <v>3.5077456071994604</v>
      </c>
      <c r="FV11" s="1931">
        <v>14.88099803921569</v>
      </c>
      <c r="FW11" s="1931">
        <v>11.465236732571665</v>
      </c>
      <c r="FX11" s="1931">
        <v>61.729333333333336</v>
      </c>
      <c r="FY11" s="1931">
        <v>1.904216858456206</v>
      </c>
      <c r="FZ11" s="1931">
        <v>49.354503921568629</v>
      </c>
      <c r="GA11" s="1942">
        <v>75.069247069855848</v>
      </c>
      <c r="GB11" s="1930">
        <v>41.174944761904769</v>
      </c>
      <c r="GC11" s="1931">
        <v>5.844232590420706</v>
      </c>
      <c r="GD11" s="1931">
        <v>21.171429411764709</v>
      </c>
      <c r="GE11" s="1931">
        <v>9.9505833198242613</v>
      </c>
      <c r="GF11" s="1931">
        <v>29.673660504201681</v>
      </c>
      <c r="GG11" s="1931">
        <v>1.158064458472575</v>
      </c>
      <c r="GH11" s="1931">
        <v>16.199429411764708</v>
      </c>
      <c r="GI11" s="1931">
        <v>8.1132098968543982</v>
      </c>
      <c r="GJ11" s="1931">
        <v>0</v>
      </c>
      <c r="GK11" s="1931">
        <v>0</v>
      </c>
      <c r="GL11" s="1931">
        <v>53.417641176470596</v>
      </c>
      <c r="GM11" s="1942">
        <v>76.519751017481326</v>
      </c>
      <c r="GN11" s="1930">
        <v>41.168499719887954</v>
      </c>
      <c r="GO11" s="1931">
        <v>4.1554847951919713</v>
      </c>
      <c r="GP11" s="1931">
        <v>21.238833333333336</v>
      </c>
      <c r="GQ11" s="1931">
        <v>14.365795467612999</v>
      </c>
      <c r="GR11" s="1931">
        <v>29.380421288515407</v>
      </c>
      <c r="GS11" s="1931">
        <v>0.32014674549782263</v>
      </c>
      <c r="GT11" s="1931">
        <v>16.252166666666671</v>
      </c>
      <c r="GU11" s="1931">
        <v>12.352503742540954</v>
      </c>
      <c r="GV11" s="1931">
        <v>0</v>
      </c>
      <c r="GW11" s="1931">
        <v>0</v>
      </c>
      <c r="GX11" s="1931">
        <v>53.58016666666667</v>
      </c>
      <c r="GY11" s="1942">
        <v>89.866694586684147</v>
      </c>
      <c r="GZ11" s="1930">
        <v>43.878822184873954</v>
      </c>
      <c r="HA11" s="1931">
        <v>21.860479687482449</v>
      </c>
      <c r="HB11" s="1931">
        <v>15.644307843137259</v>
      </c>
      <c r="HC11" s="1931">
        <v>3.6695485834149819</v>
      </c>
      <c r="HD11" s="1931">
        <v>32.516426666666675</v>
      </c>
      <c r="HE11" s="1931">
        <v>10.357021757062647</v>
      </c>
      <c r="HF11" s="1931">
        <v>11.874974509803925</v>
      </c>
      <c r="HG11" s="1931">
        <v>3.4656438342085649</v>
      </c>
      <c r="HH11" s="1931">
        <v>65.717526050420176</v>
      </c>
      <c r="HI11" s="1931">
        <v>14.840453374723495</v>
      </c>
      <c r="HJ11" s="1931">
        <v>40.090550980392159</v>
      </c>
      <c r="HK11" s="1942">
        <v>41.929031871388339</v>
      </c>
      <c r="HL11" s="1930">
        <v>46.467798095238095</v>
      </c>
      <c r="HM11" s="1931">
        <v>22.786313201467713</v>
      </c>
      <c r="HN11" s="1931">
        <v>15.307288235294122</v>
      </c>
      <c r="HO11" s="1931">
        <v>3.1334812347695666</v>
      </c>
      <c r="HP11" s="1931">
        <v>33.344568963585438</v>
      </c>
      <c r="HQ11" s="1931">
        <v>11.10246135339961</v>
      </c>
      <c r="HR11" s="1931">
        <v>11.61128823529412</v>
      </c>
      <c r="HS11" s="1931">
        <v>2.8495263577725494</v>
      </c>
      <c r="HT11" s="1931">
        <v>69.723397198879553</v>
      </c>
      <c r="HU11" s="1931">
        <v>16.232379842245084</v>
      </c>
      <c r="HV11" s="1931">
        <v>39.277923529411765</v>
      </c>
      <c r="HW11" s="1942">
        <v>40.294537229531109</v>
      </c>
      <c r="HX11" s="1930">
        <v>45.739758431372557</v>
      </c>
      <c r="HY11" s="1931">
        <v>13.464133845949808</v>
      </c>
      <c r="HZ11" s="1931">
        <v>19.081907843137259</v>
      </c>
      <c r="IA11" s="1931">
        <v>12.499685357154814</v>
      </c>
      <c r="IB11" s="1931">
        <v>32.943460392156865</v>
      </c>
      <c r="IC11" s="1931">
        <v>4.8093223259477824</v>
      </c>
      <c r="ID11" s="1931">
        <v>14.564574509803924</v>
      </c>
      <c r="IE11" s="1931">
        <v>11.685545829063667</v>
      </c>
      <c r="IF11" s="1931">
        <v>69.846886274509814</v>
      </c>
      <c r="IG11" s="1931">
        <v>4.3688967401737173</v>
      </c>
      <c r="IH11" s="1931">
        <v>48.379350980392154</v>
      </c>
      <c r="II11" s="1942">
        <v>71.239566551604682</v>
      </c>
      <c r="IJ11" s="1930">
        <v>44.819301288515405</v>
      </c>
      <c r="IK11" s="1931">
        <v>21.682559370033161</v>
      </c>
      <c r="IL11" s="1931">
        <v>16.790174509803926</v>
      </c>
      <c r="IM11" s="1931">
        <v>6.2622390771009817</v>
      </c>
      <c r="IN11" s="1931">
        <v>33.170878655462189</v>
      </c>
      <c r="IO11" s="1931">
        <v>10.29581555868298</v>
      </c>
      <c r="IP11" s="1931">
        <v>12.771507843137258</v>
      </c>
      <c r="IQ11" s="1931">
        <v>5.5744315632410881</v>
      </c>
      <c r="IR11" s="1931">
        <v>67.552802240896369</v>
      </c>
      <c r="IS11" s="1931">
        <v>14.987471773334756</v>
      </c>
      <c r="IT11" s="1931">
        <v>42.853484313725495</v>
      </c>
      <c r="IU11" s="1942">
        <v>50.825887366562377</v>
      </c>
      <c r="IV11" s="1930">
        <v>43.930337254901957</v>
      </c>
      <c r="IW11" s="1931">
        <v>5.5280117924743468</v>
      </c>
      <c r="IX11" s="1931">
        <v>21.238833333333336</v>
      </c>
      <c r="IY11" s="1931">
        <v>6.2055866312957395</v>
      </c>
      <c r="IZ11" s="1931">
        <v>31.546180392156863</v>
      </c>
      <c r="JA11" s="1931">
        <v>0.98707281475111364</v>
      </c>
      <c r="JB11" s="1931">
        <v>16.252166666666671</v>
      </c>
      <c r="JC11" s="1931">
        <v>4.4563821322200896</v>
      </c>
      <c r="JD11" s="1931">
        <v>0</v>
      </c>
      <c r="JE11" s="1931">
        <v>0</v>
      </c>
      <c r="JF11" s="1931">
        <v>53.58016666666667</v>
      </c>
      <c r="JG11" s="1942">
        <v>65.162244291288971</v>
      </c>
      <c r="JH11" s="1930">
        <v>41.510957535014015</v>
      </c>
      <c r="JI11" s="1931">
        <v>16.072467461990328</v>
      </c>
      <c r="JJ11" s="1931">
        <v>18.407868627450984</v>
      </c>
      <c r="JK11" s="1931">
        <v>11.067541162580319</v>
      </c>
      <c r="JL11" s="1931">
        <v>30.239473389355744</v>
      </c>
      <c r="JM11" s="1931">
        <v>6.1020404460713378</v>
      </c>
      <c r="JN11" s="1931">
        <v>14.037201960784316</v>
      </c>
      <c r="JO11" s="1931">
        <v>10.579474522879519</v>
      </c>
      <c r="JP11" s="1931">
        <v>61.658727170868353</v>
      </c>
      <c r="JQ11" s="1931">
        <v>7.3264672167734544</v>
      </c>
      <c r="JR11" s="1931">
        <v>46.754096078431374</v>
      </c>
      <c r="JS11" s="1942">
        <v>65.307118543881145</v>
      </c>
      <c r="JT11" s="1930">
        <v>45.498255238095247</v>
      </c>
      <c r="JU11" s="1931">
        <v>15.659114700373667</v>
      </c>
      <c r="JV11" s="1931">
        <v>19.284119607843138</v>
      </c>
      <c r="JW11" s="1931">
        <v>11.301754445129246</v>
      </c>
      <c r="JX11" s="1931">
        <v>32.755900056022412</v>
      </c>
      <c r="JY11" s="1931">
        <v>5.8763896511660203</v>
      </c>
      <c r="JZ11" s="1931">
        <v>14.722786274509806</v>
      </c>
      <c r="KA11" s="1931">
        <v>10.339439208213047</v>
      </c>
      <c r="KB11" s="1931">
        <v>69.317481232493009</v>
      </c>
      <c r="KC11" s="1931">
        <v>5.8726703070297015</v>
      </c>
      <c r="KD11" s="1931">
        <v>48.866927450980391</v>
      </c>
      <c r="KE11" s="1942">
        <v>66.935178835890667</v>
      </c>
      <c r="KF11" s="1930">
        <v>44.283289187675074</v>
      </c>
      <c r="KG11" s="1931">
        <v>7.5648644689497715</v>
      </c>
      <c r="KH11" s="1931">
        <v>19.621139215686277</v>
      </c>
      <c r="KI11" s="1931">
        <v>16.890265538551972</v>
      </c>
      <c r="KJ11" s="1931">
        <v>31.632080224089641</v>
      </c>
      <c r="KK11" s="1931">
        <v>2.0874260407248424</v>
      </c>
      <c r="KL11" s="1931">
        <v>14.986472549019611</v>
      </c>
      <c r="KM11" s="1931">
        <v>15.377497772764228</v>
      </c>
      <c r="KN11" s="1931">
        <v>64.447007282913177</v>
      </c>
      <c r="KO11" s="1931">
        <v>5.2705764744622741E-2</v>
      </c>
      <c r="KP11" s="1931">
        <v>49.679554901960785</v>
      </c>
      <c r="KQ11" s="1942">
        <v>84.722311729563089</v>
      </c>
      <c r="KR11" s="1930">
        <v>43.955968179271714</v>
      </c>
      <c r="KS11" s="1931">
        <v>19.642208004494766</v>
      </c>
      <c r="KT11" s="1931">
        <v>17.666425490196083</v>
      </c>
      <c r="KU11" s="1931">
        <v>7.0202524561396382</v>
      </c>
      <c r="KV11" s="1931">
        <v>31.548860056022413</v>
      </c>
      <c r="KW11" s="1931">
        <v>8.6690837970982386</v>
      </c>
      <c r="KX11" s="1931">
        <v>13.457092156862746</v>
      </c>
      <c r="KY11" s="1931">
        <v>6.6713663308863422</v>
      </c>
      <c r="KZ11" s="1931">
        <v>65.823410644257706</v>
      </c>
      <c r="LA11" s="1931">
        <v>10.893263928350763</v>
      </c>
      <c r="LB11" s="1931">
        <v>44.966315686274513</v>
      </c>
      <c r="LC11" s="1942">
        <v>52.848186519995394</v>
      </c>
      <c r="LD11" s="1930">
        <v>39.324104201680676</v>
      </c>
      <c r="LE11" s="1931">
        <v>4.9502984778373031</v>
      </c>
      <c r="LF11" s="1931">
        <v>20.025562745098043</v>
      </c>
      <c r="LG11" s="1931">
        <v>11.94377891876074</v>
      </c>
      <c r="LH11" s="1931">
        <v>27.546927731092438</v>
      </c>
      <c r="LI11" s="1931">
        <v>0.61253344136808996</v>
      </c>
      <c r="LJ11" s="1931">
        <v>15.302896078431377</v>
      </c>
      <c r="LK11" s="1931">
        <v>10.042683825280834</v>
      </c>
      <c r="LL11" s="1931">
        <v>0</v>
      </c>
      <c r="LM11" s="1931">
        <v>0</v>
      </c>
      <c r="LN11" s="1931">
        <v>50.65470784313726</v>
      </c>
      <c r="LO11" s="1942">
        <v>82.278286497709416</v>
      </c>
      <c r="LP11" s="1930">
        <v>45.142547226890763</v>
      </c>
      <c r="LQ11" s="1931">
        <v>13.007899938633134</v>
      </c>
      <c r="LR11" s="1931">
        <v>20.227774509803925</v>
      </c>
      <c r="LS11" s="1931">
        <v>12.513918030764493</v>
      </c>
      <c r="LT11" s="1931">
        <v>32.463212773109248</v>
      </c>
      <c r="LU11" s="1931">
        <v>4.6739257692838008</v>
      </c>
      <c r="LV11" s="1931">
        <v>15.461107843137258</v>
      </c>
      <c r="LW11" s="1931">
        <v>11.583169190602712</v>
      </c>
      <c r="LX11" s="1931">
        <v>68.629250420168077</v>
      </c>
      <c r="LY11" s="1931">
        <v>3.5477436701573701</v>
      </c>
      <c r="LZ11" s="1931">
        <v>51.142284313725497</v>
      </c>
      <c r="MA11" s="1942">
        <v>72.022178463041996</v>
      </c>
      <c r="MB11" s="1930">
        <v>40.17482464985995</v>
      </c>
      <c r="MC11" s="1931">
        <v>0.94415882974521337</v>
      </c>
      <c r="MD11" s="1931">
        <v>26.631147058823533</v>
      </c>
      <c r="ME11" s="1931">
        <v>13.703161632483161</v>
      </c>
      <c r="MF11" s="1931">
        <v>28.198903081232491</v>
      </c>
      <c r="MG11" s="1931">
        <v>0</v>
      </c>
      <c r="MH11" s="1931">
        <v>20.471147058823533</v>
      </c>
      <c r="MI11" s="1931">
        <v>9.0857703431568737</v>
      </c>
      <c r="MJ11" s="1931">
        <v>0</v>
      </c>
      <c r="MK11" s="1931">
        <v>0</v>
      </c>
      <c r="ML11" s="1931">
        <v>66.582205882352952</v>
      </c>
      <c r="MM11" s="1942">
        <v>97.971227284357695</v>
      </c>
      <c r="MN11" s="1930">
        <v>38.476648739495808</v>
      </c>
      <c r="MO11" s="1931">
        <v>0.64658460461363509</v>
      </c>
      <c r="MP11" s="1931">
        <v>22.115084313725493</v>
      </c>
      <c r="MQ11" s="1931">
        <v>14.501282675411126</v>
      </c>
      <c r="MR11" s="1931">
        <v>26.808648739495805</v>
      </c>
      <c r="MS11" s="1931">
        <v>0</v>
      </c>
      <c r="MT11" s="1931">
        <v>16.93775098039216</v>
      </c>
      <c r="MU11" s="1931">
        <v>11.583857666922897</v>
      </c>
      <c r="MV11" s="1931">
        <v>0</v>
      </c>
      <c r="MW11" s="1931">
        <v>0</v>
      </c>
      <c r="MX11" s="1931">
        <v>55.692998039215688</v>
      </c>
      <c r="MY11" s="1942">
        <v>99.005041633173278</v>
      </c>
      <c r="MZ11" s="1930">
        <v>42.72184425770309</v>
      </c>
      <c r="NA11" s="1931">
        <v>10.48594997719351</v>
      </c>
      <c r="NB11" s="1931">
        <v>21.036621568627453</v>
      </c>
      <c r="NC11" s="1931">
        <v>11.6076978702822</v>
      </c>
      <c r="ND11" s="1931">
        <v>30.793765826330535</v>
      </c>
      <c r="NE11" s="1931">
        <v>3.3962495701366073</v>
      </c>
      <c r="NF11" s="1931">
        <v>16.093954901960789</v>
      </c>
      <c r="NG11" s="1931">
        <v>10.309239611617423</v>
      </c>
      <c r="NH11" s="1931">
        <v>61.429360224089642</v>
      </c>
      <c r="NI11" s="1931">
        <v>1.156593200204566</v>
      </c>
      <c r="NJ11" s="1931">
        <v>53.092590196078433</v>
      </c>
      <c r="NK11" s="1942">
        <v>72.931501251590305</v>
      </c>
      <c r="NL11" s="1930">
        <v>41.767014229691881</v>
      </c>
      <c r="NM11" s="1931">
        <v>13.768969457050538</v>
      </c>
      <c r="NN11" s="1931">
        <v>19.82335098039216</v>
      </c>
      <c r="NO11" s="1931">
        <v>13.978879901719342</v>
      </c>
      <c r="NP11" s="1931">
        <v>30.366242016806723</v>
      </c>
      <c r="NQ11" s="1931">
        <v>4.9811725237083246</v>
      </c>
      <c r="NR11" s="1931">
        <v>15.144684313725492</v>
      </c>
      <c r="NS11" s="1931">
        <v>12.974714039501265</v>
      </c>
      <c r="NT11" s="1931">
        <v>61.958731652661072</v>
      </c>
      <c r="NU11" s="1931">
        <v>4.2306679462149281</v>
      </c>
      <c r="NV11" s="1931">
        <v>50.167131372549022</v>
      </c>
      <c r="NW11" s="1942">
        <v>75.636233971271409</v>
      </c>
      <c r="NX11" s="1930">
        <v>43.493410644257708</v>
      </c>
      <c r="NY11" s="1931">
        <v>4.9137973557373842</v>
      </c>
      <c r="NZ11" s="1931">
        <v>22.856527450980394</v>
      </c>
      <c r="OA11" s="1931">
        <v>11.771791901938325</v>
      </c>
      <c r="OB11" s="1931">
        <v>31.306979271708691</v>
      </c>
      <c r="OC11" s="1931">
        <v>0.59720814182672532</v>
      </c>
      <c r="OD11" s="1931">
        <v>17.517860784313729</v>
      </c>
      <c r="OE11" s="1931">
        <v>8.9934559855864791</v>
      </c>
      <c r="OF11" s="1931">
        <v>0</v>
      </c>
      <c r="OG11" s="1931">
        <v>0</v>
      </c>
      <c r="OH11" s="1931">
        <v>57.480778431372556</v>
      </c>
      <c r="OI11" s="1932">
        <v>80.365298866590848</v>
      </c>
      <c r="OJ11" s="1930">
        <v>43.563201344537816</v>
      </c>
      <c r="OK11" s="1931">
        <v>18.311983584824912</v>
      </c>
      <c r="OL11" s="1931">
        <v>18.812292156862746</v>
      </c>
      <c r="OM11" s="1931">
        <v>8.6222457113925408</v>
      </c>
      <c r="ON11" s="1931">
        <v>31.22970218487395</v>
      </c>
      <c r="OO11" s="1931">
        <v>7.7006732964992564</v>
      </c>
      <c r="OP11" s="1931">
        <v>14.353625490196082</v>
      </c>
      <c r="OQ11" s="1931">
        <v>7.4398387937979473</v>
      </c>
      <c r="OR11" s="1931">
        <v>65.082238655462191</v>
      </c>
      <c r="OS11" s="1931">
        <v>9.0985280213338307</v>
      </c>
      <c r="OT11" s="1931">
        <v>47.729249019607842</v>
      </c>
      <c r="OU11" s="1932">
        <v>59.21363154541551</v>
      </c>
      <c r="OV11" s="1930">
        <v>42.550021288515403</v>
      </c>
      <c r="OW11" s="1931">
        <v>3.5190357577378446</v>
      </c>
      <c r="OX11" s="1931">
        <v>25.687492156862753</v>
      </c>
      <c r="OY11" s="1931">
        <v>15.181628625569321</v>
      </c>
      <c r="OZ11" s="1931">
        <v>30.350402240896361</v>
      </c>
      <c r="PA11" s="1931">
        <v>0.10813428534795783</v>
      </c>
      <c r="PB11" s="1931">
        <v>19.732825490196085</v>
      </c>
      <c r="PC11" s="1931">
        <v>11.205970737671594</v>
      </c>
      <c r="PD11" s="1931">
        <v>0</v>
      </c>
      <c r="PE11" s="1931">
        <v>0</v>
      </c>
      <c r="PF11" s="1931">
        <v>64.306849019607853</v>
      </c>
      <c r="PG11" s="1932">
        <v>90.561026947329978</v>
      </c>
      <c r="PH11" s="1930">
        <v>46.22487820728292</v>
      </c>
      <c r="PI11" s="1931">
        <v>13.886200426766894</v>
      </c>
      <c r="PJ11" s="1931">
        <v>20.025562745098043</v>
      </c>
      <c r="PK11" s="1931">
        <v>9.6518296942480575</v>
      </c>
      <c r="PL11" s="1931">
        <v>33.271441792717091</v>
      </c>
      <c r="PM11" s="1931">
        <v>4.8187397998647716</v>
      </c>
      <c r="PN11" s="1931">
        <v>15.302896078431377</v>
      </c>
      <c r="PO11" s="1931">
        <v>8.8611294720075442</v>
      </c>
      <c r="PP11" s="1931">
        <v>70.605705322128856</v>
      </c>
      <c r="PQ11" s="1931">
        <v>3.8318431167713896</v>
      </c>
      <c r="PR11" s="1931">
        <v>50.65470784313726</v>
      </c>
      <c r="PS11" s="1932">
        <v>63.927614580755495</v>
      </c>
      <c r="PT11" s="1930">
        <v>44.387362240896358</v>
      </c>
      <c r="PU11" s="1931">
        <v>14.107036731268103</v>
      </c>
      <c r="PV11" s="1931">
        <v>19.688543137254904</v>
      </c>
      <c r="PW11" s="1931">
        <v>12.948432725634101</v>
      </c>
      <c r="PX11" s="1931">
        <v>31.883640112044819</v>
      </c>
      <c r="PY11" s="1931">
        <v>5.1417952969865945</v>
      </c>
      <c r="PZ11" s="1931">
        <v>15.039209803921572</v>
      </c>
      <c r="QA11" s="1931">
        <v>11.84337460983369</v>
      </c>
      <c r="QB11" s="1931">
        <v>67.058680112044826</v>
      </c>
      <c r="QC11" s="1931">
        <v>4.2006783464691004</v>
      </c>
      <c r="QD11" s="1931">
        <v>49.842080392156866</v>
      </c>
      <c r="QE11" s="1932">
        <v>72.502169390383315</v>
      </c>
      <c r="QF11" s="1930">
        <v>36.148228571428575</v>
      </c>
      <c r="QG11" s="1931">
        <v>1.0593938359685346</v>
      </c>
      <c r="QH11" s="1931">
        <v>22.249892156862749</v>
      </c>
      <c r="QI11" s="1931">
        <v>10.325949971174543</v>
      </c>
      <c r="QJ11" s="1931">
        <v>26.16949131652661</v>
      </c>
      <c r="QK11" s="1931">
        <v>0</v>
      </c>
      <c r="QL11" s="1931">
        <v>17.043225490196082</v>
      </c>
      <c r="QM11" s="1931">
        <v>7.5332215372904257</v>
      </c>
      <c r="QN11" s="1931">
        <v>0</v>
      </c>
      <c r="QO11" s="1931">
        <v>0</v>
      </c>
      <c r="QP11" s="1931">
        <v>56.018049019607851</v>
      </c>
      <c r="QQ11" s="1932">
        <v>89.506138598074216</v>
      </c>
      <c r="QR11" s="1930">
        <v>44.709366498599437</v>
      </c>
      <c r="QS11" s="1931">
        <v>15.15583679997974</v>
      </c>
      <c r="QT11" s="1931">
        <v>19.958158823529416</v>
      </c>
      <c r="QU11" s="1931">
        <v>11.318780414228383</v>
      </c>
      <c r="QV11" s="1931">
        <v>32.133720560224084</v>
      </c>
      <c r="QW11" s="1931">
        <v>5.644064763999876</v>
      </c>
      <c r="QX11" s="1931">
        <v>15.250158823529414</v>
      </c>
      <c r="QY11" s="1931">
        <v>10.298276792225009</v>
      </c>
      <c r="QZ11" s="1931">
        <v>67.764553501400556</v>
      </c>
      <c r="RA11" s="1931">
        <v>5.3542263261958114</v>
      </c>
      <c r="RB11" s="1931">
        <v>50.492182352941178</v>
      </c>
      <c r="RC11" s="1932">
        <v>68.436057707891663</v>
      </c>
      <c r="RD11" s="1930">
        <v>43.656469243697479</v>
      </c>
      <c r="RE11" s="1931">
        <v>14.430134539350295</v>
      </c>
      <c r="RF11" s="1931">
        <v>19.82335098039216</v>
      </c>
      <c r="RG11" s="1931">
        <v>10.76159676840914</v>
      </c>
      <c r="RH11" s="1931">
        <v>31.311380168067227</v>
      </c>
      <c r="RI11" s="1931">
        <v>5.2320633783383244</v>
      </c>
      <c r="RJ11" s="1931">
        <v>15.144684313725492</v>
      </c>
      <c r="RK11" s="1931">
        <v>9.8054468506331105</v>
      </c>
      <c r="RL11" s="1931">
        <v>65.611632492997202</v>
      </c>
      <c r="RM11" s="1931">
        <v>4.5630273875502505</v>
      </c>
      <c r="RN11" s="1931">
        <v>50.167131372549022</v>
      </c>
      <c r="RO11" s="1932">
        <v>67.095197137449262</v>
      </c>
    </row>
    <row r="12" spans="1:483">
      <c r="A12" s="633">
        <f>Eingabedaten!A14</f>
        <v>3.02</v>
      </c>
      <c r="B12" s="379" t="str">
        <f>Eingabedaten!C14</f>
        <v>Grossraumbüro</v>
      </c>
      <c r="C12" s="379"/>
      <c r="D12" s="1930">
        <v>31.99796862745098</v>
      </c>
      <c r="E12" s="1931">
        <v>10.660854292659492</v>
      </c>
      <c r="F12" s="1931">
        <v>13.744178431372548</v>
      </c>
      <c r="G12" s="1931">
        <v>1.6965066610165123</v>
      </c>
      <c r="H12" s="1931">
        <v>24.091537254901958</v>
      </c>
      <c r="I12" s="1931">
        <v>4.5485983845837108</v>
      </c>
      <c r="J12" s="1931">
        <v>10.734023529411765</v>
      </c>
      <c r="K12" s="1931">
        <v>1.3867543153518991</v>
      </c>
      <c r="L12" s="1931">
        <v>0</v>
      </c>
      <c r="M12" s="1931">
        <v>0</v>
      </c>
      <c r="N12" s="1931">
        <v>40.574103921568629</v>
      </c>
      <c r="O12" s="1942">
        <v>61.689485136695261</v>
      </c>
      <c r="P12" s="1930">
        <v>38.067984392156866</v>
      </c>
      <c r="Q12" s="1931">
        <v>23.052910960011094</v>
      </c>
      <c r="R12" s="1931">
        <v>11.676086274509803</v>
      </c>
      <c r="S12" s="1931">
        <v>1.6275367576900419</v>
      </c>
      <c r="T12" s="1931">
        <v>29.120293019607846</v>
      </c>
      <c r="U12" s="1931">
        <v>12.702782266990964</v>
      </c>
      <c r="V12" s="1931">
        <v>9.1170392156862761</v>
      </c>
      <c r="W12" s="1931">
        <v>1.8098829798305451</v>
      </c>
      <c r="X12" s="1931">
        <v>52.714196078431371</v>
      </c>
      <c r="Y12" s="1931">
        <v>6.8162647106951191</v>
      </c>
      <c r="Z12" s="1931">
        <v>34.861484313725484</v>
      </c>
      <c r="AA12" s="1942">
        <v>45.890336543442338</v>
      </c>
      <c r="AB12" s="1930">
        <v>36.641025411764701</v>
      </c>
      <c r="AC12" s="1931">
        <v>20.926843483281036</v>
      </c>
      <c r="AD12" s="1931">
        <v>11.720088235294117</v>
      </c>
      <c r="AE12" s="1931">
        <v>2.3263481166742781</v>
      </c>
      <c r="AF12" s="1931">
        <v>30.701314823529412</v>
      </c>
      <c r="AG12" s="1931">
        <v>11.170259437010174</v>
      </c>
      <c r="AH12" s="1931">
        <v>9.151443137254903</v>
      </c>
      <c r="AI12" s="1931">
        <v>2.7406913215385544</v>
      </c>
      <c r="AJ12" s="1931">
        <v>51.080666666666666</v>
      </c>
      <c r="AK12" s="1931">
        <v>4.4641360336153513</v>
      </c>
      <c r="AL12" s="1931">
        <v>34.983029411764704</v>
      </c>
      <c r="AM12" s="1942">
        <v>50.513840680824408</v>
      </c>
      <c r="AN12" s="1930">
        <v>40.019012470588237</v>
      </c>
      <c r="AO12" s="1931">
        <v>25.709024495431272</v>
      </c>
      <c r="AP12" s="1931">
        <v>12.11610588235294</v>
      </c>
      <c r="AQ12" s="1931">
        <v>1.1457242477305312</v>
      </c>
      <c r="AR12" s="1931">
        <v>30.604554823529412</v>
      </c>
      <c r="AS12" s="1931">
        <v>14.520836160784143</v>
      </c>
      <c r="AT12" s="1931">
        <v>9.4610784313725489</v>
      </c>
      <c r="AU12" s="1931">
        <v>1.2887557834264933</v>
      </c>
      <c r="AV12" s="1931">
        <v>56.754235294117649</v>
      </c>
      <c r="AW12" s="1931">
        <v>9.3477589868014856</v>
      </c>
      <c r="AX12" s="1931">
        <v>36.076935294117646</v>
      </c>
      <c r="AY12" s="1942">
        <v>41.579170301670494</v>
      </c>
      <c r="AZ12" s="1930">
        <v>38.612817098039216</v>
      </c>
      <c r="BA12" s="1931">
        <v>22.181653964652515</v>
      </c>
      <c r="BB12" s="1931">
        <v>12.512123529411763</v>
      </c>
      <c r="BC12" s="1931">
        <v>2.0455372791056048</v>
      </c>
      <c r="BD12" s="1931">
        <v>29.521823372549022</v>
      </c>
      <c r="BE12" s="1931">
        <v>12.025620106348079</v>
      </c>
      <c r="BF12" s="1931">
        <v>9.7707137254901966</v>
      </c>
      <c r="BG12" s="1931">
        <v>2.0722577084324771</v>
      </c>
      <c r="BH12" s="1931">
        <v>53.663372549019606</v>
      </c>
      <c r="BI12" s="1931">
        <v>6.1327534005387934</v>
      </c>
      <c r="BJ12" s="1931">
        <v>37.170841176470589</v>
      </c>
      <c r="BK12" s="1942">
        <v>49.965763535117404</v>
      </c>
      <c r="BL12" s="1930">
        <v>38.845369725490194</v>
      </c>
      <c r="BM12" s="1931">
        <v>22.854582358189983</v>
      </c>
      <c r="BN12" s="1931">
        <v>12.380117647058825</v>
      </c>
      <c r="BO12" s="1931">
        <v>2.4489481152142782</v>
      </c>
      <c r="BP12" s="1931">
        <v>29.745631686274514</v>
      </c>
      <c r="BQ12" s="1931">
        <v>12.539756374725318</v>
      </c>
      <c r="BR12" s="1931">
        <v>9.667501960784314</v>
      </c>
      <c r="BS12" s="1931">
        <v>2.7452577648858334</v>
      </c>
      <c r="BT12" s="1931">
        <v>54.792862745098034</v>
      </c>
      <c r="BU12" s="1931">
        <v>7.0101389311882683</v>
      </c>
      <c r="BV12" s="1931">
        <v>36.806205882352941</v>
      </c>
      <c r="BW12" s="1942">
        <v>50.871862343105235</v>
      </c>
      <c r="BX12" s="1930">
        <v>38.722803607843133</v>
      </c>
      <c r="BY12" s="1931">
        <v>21.94403428488458</v>
      </c>
      <c r="BZ12" s="1931">
        <v>12.424119607843135</v>
      </c>
      <c r="CA12" s="1931">
        <v>1.3050087851798791</v>
      </c>
      <c r="CB12" s="1931">
        <v>29.608627921568626</v>
      </c>
      <c r="CC12" s="1931">
        <v>11.885092372742779</v>
      </c>
      <c r="CD12" s="1931">
        <v>9.7019058823529427</v>
      </c>
      <c r="CE12" s="1931">
        <v>1.2900913295171232</v>
      </c>
      <c r="CF12" s="1931">
        <v>53.934392156862742</v>
      </c>
      <c r="CG12" s="1931">
        <v>5.0699000300246926</v>
      </c>
      <c r="CH12" s="1931">
        <v>36.927750980392155</v>
      </c>
      <c r="CI12" s="1942">
        <v>45.188390847340408</v>
      </c>
      <c r="CJ12" s="1930">
        <v>30.502000000000006</v>
      </c>
      <c r="CK12" s="1931">
        <v>8.2726334259049032</v>
      </c>
      <c r="CL12" s="1931">
        <v>15.020235294117647</v>
      </c>
      <c r="CM12" s="1931">
        <v>3.1748217722558274</v>
      </c>
      <c r="CN12" s="1931">
        <v>22.629352941176471</v>
      </c>
      <c r="CO12" s="1931">
        <v>3.0830677668213684</v>
      </c>
      <c r="CP12" s="1931">
        <v>11.731737254901962</v>
      </c>
      <c r="CQ12" s="1931">
        <v>2.2651691413617057</v>
      </c>
      <c r="CR12" s="1931">
        <v>0</v>
      </c>
      <c r="CS12" s="1931">
        <v>0</v>
      </c>
      <c r="CT12" s="1931">
        <v>44.098911764705882</v>
      </c>
      <c r="CU12" s="1942">
        <v>72.047576871148522</v>
      </c>
      <c r="CV12" s="1930">
        <v>37.496802509803928</v>
      </c>
      <c r="CW12" s="1931">
        <v>13.362150199945553</v>
      </c>
      <c r="CX12" s="1931">
        <v>13.52416862745098</v>
      </c>
      <c r="CY12" s="1931">
        <v>1.4889400766024676</v>
      </c>
      <c r="CZ12" s="1931">
        <v>28.625757019607843</v>
      </c>
      <c r="DA12" s="1931">
        <v>6.5290984089592152</v>
      </c>
      <c r="DB12" s="1931">
        <v>10.562003921568628</v>
      </c>
      <c r="DC12" s="1931">
        <v>1.2259320086419858</v>
      </c>
      <c r="DD12" s="1931">
        <v>0</v>
      </c>
      <c r="DE12" s="1931">
        <v>0</v>
      </c>
      <c r="DF12" s="1931">
        <v>39.966378431372547</v>
      </c>
      <c r="DG12" s="1942">
        <v>56.192403989870556</v>
      </c>
      <c r="DH12" s="1930">
        <v>37.246060470588233</v>
      </c>
      <c r="DI12" s="1931">
        <v>12.13363553711522</v>
      </c>
      <c r="DJ12" s="1931">
        <v>14.184198039215687</v>
      </c>
      <c r="DK12" s="1931">
        <v>4.4615967494509423</v>
      </c>
      <c r="DL12" s="1931">
        <v>28.450776941176471</v>
      </c>
      <c r="DM12" s="1931">
        <v>5.8669929907268772</v>
      </c>
      <c r="DN12" s="1931">
        <v>11.078062745098041</v>
      </c>
      <c r="DO12" s="1931">
        <v>4.3233246140186443</v>
      </c>
      <c r="DP12" s="1931">
        <v>0</v>
      </c>
      <c r="DQ12" s="1931">
        <v>0</v>
      </c>
      <c r="DR12" s="1931">
        <v>41.789554901960784</v>
      </c>
      <c r="DS12" s="1942">
        <v>67.715203062679194</v>
      </c>
      <c r="DT12" s="1930">
        <v>39.732401568627452</v>
      </c>
      <c r="DU12" s="1931">
        <v>27.010887630040461</v>
      </c>
      <c r="DV12" s="1931">
        <v>11.104060784313724</v>
      </c>
      <c r="DW12" s="1931">
        <v>1.1012668255537856</v>
      </c>
      <c r="DX12" s="1931">
        <v>30.39571137254902</v>
      </c>
      <c r="DY12" s="1931">
        <v>15.452028643852637</v>
      </c>
      <c r="DZ12" s="1931">
        <v>8.6697882352941189</v>
      </c>
      <c r="EA12" s="1931">
        <v>1.223343429156905</v>
      </c>
      <c r="EB12" s="1931">
        <v>56.28784313725491</v>
      </c>
      <c r="EC12" s="1931">
        <v>10.935379042414704</v>
      </c>
      <c r="ED12" s="1931">
        <v>33.281398039215688</v>
      </c>
      <c r="EE12" s="1942">
        <v>40.225221016544431</v>
      </c>
      <c r="EF12" s="1930">
        <v>38.57218839215686</v>
      </c>
      <c r="EG12" s="1931">
        <v>18.288006043166611</v>
      </c>
      <c r="EH12" s="1931">
        <v>12.864139215686274</v>
      </c>
      <c r="EI12" s="1931">
        <v>3.9451733094937946</v>
      </c>
      <c r="EJ12" s="1931">
        <v>29.517531137254903</v>
      </c>
      <c r="EK12" s="1931">
        <v>9.6013262373339163</v>
      </c>
      <c r="EL12" s="1931">
        <v>10.045945098039216</v>
      </c>
      <c r="EM12" s="1931">
        <v>4.2880094028297471</v>
      </c>
      <c r="EN12" s="1931">
        <v>53.947019607843139</v>
      </c>
      <c r="EO12" s="1931">
        <v>2.5733197469104181</v>
      </c>
      <c r="EP12" s="1931">
        <v>38.14320196078431</v>
      </c>
      <c r="EQ12" s="1942">
        <v>60.983071812482251</v>
      </c>
      <c r="ER12" s="1930">
        <v>25.379823529411773</v>
      </c>
      <c r="ES12" s="1931">
        <v>2.9816822084772077</v>
      </c>
      <c r="ET12" s="1931">
        <v>16.032280392156864</v>
      </c>
      <c r="EU12" s="1931">
        <v>5.6208800508038363</v>
      </c>
      <c r="EV12" s="1931">
        <v>17.283647058823526</v>
      </c>
      <c r="EW12" s="1931">
        <v>0.5662178191608872</v>
      </c>
      <c r="EX12" s="1931">
        <v>12.523027450980393</v>
      </c>
      <c r="EY12" s="1931">
        <v>4.0662973295895108</v>
      </c>
      <c r="EZ12" s="1931">
        <v>0</v>
      </c>
      <c r="FA12" s="1931">
        <v>0</v>
      </c>
      <c r="FB12" s="1931">
        <v>46.894449019607841</v>
      </c>
      <c r="FC12" s="1942">
        <v>89.565605161139274</v>
      </c>
      <c r="FD12" s="1930">
        <v>37.888640078431372</v>
      </c>
      <c r="FE12" s="1931">
        <v>22.045572898791111</v>
      </c>
      <c r="FF12" s="1931">
        <v>12.336115686274509</v>
      </c>
      <c r="FG12" s="1931">
        <v>2.5377051675849689</v>
      </c>
      <c r="FH12" s="1931">
        <v>28.950976156862744</v>
      </c>
      <c r="FI12" s="1931">
        <v>11.925506004900045</v>
      </c>
      <c r="FJ12" s="1931">
        <v>9.6330980392156871</v>
      </c>
      <c r="FK12" s="1931">
        <v>2.778074094002668</v>
      </c>
      <c r="FL12" s="1931">
        <v>51.888509803921565</v>
      </c>
      <c r="FM12" s="1931">
        <v>5.9533878015122026</v>
      </c>
      <c r="FN12" s="1931">
        <v>36.684660784313728</v>
      </c>
      <c r="FO12" s="1942">
        <v>51.876373474936862</v>
      </c>
      <c r="FP12" s="1930">
        <v>36.69255803921569</v>
      </c>
      <c r="FQ12" s="1931">
        <v>19.920767902291512</v>
      </c>
      <c r="FR12" s="1931">
        <v>12.336115686274509</v>
      </c>
      <c r="FS12" s="1931">
        <v>2.6477184101590803</v>
      </c>
      <c r="FT12" s="1931">
        <v>28.038932549019606</v>
      </c>
      <c r="FU12" s="1931">
        <v>10.565593767753201</v>
      </c>
      <c r="FV12" s="1931">
        <v>9.6330980392156871</v>
      </c>
      <c r="FW12" s="1931">
        <v>2.6914359354529407</v>
      </c>
      <c r="FX12" s="1931">
        <v>49.382549019607836</v>
      </c>
      <c r="FY12" s="1931">
        <v>3.7720464195615051</v>
      </c>
      <c r="FZ12" s="1931">
        <v>36.684660784313728</v>
      </c>
      <c r="GA12" s="1942">
        <v>54.131757722704222</v>
      </c>
      <c r="GB12" s="1930">
        <v>36.231702666666671</v>
      </c>
      <c r="GC12" s="1931">
        <v>13.931183813607117</v>
      </c>
      <c r="GD12" s="1931">
        <v>13.436164705882351</v>
      </c>
      <c r="GE12" s="1931">
        <v>2.0842066130114483</v>
      </c>
      <c r="GF12" s="1931">
        <v>28.412094117647058</v>
      </c>
      <c r="GG12" s="1931">
        <v>6.9440727544414882</v>
      </c>
      <c r="GH12" s="1931">
        <v>10.493196078431373</v>
      </c>
      <c r="GI12" s="1931">
        <v>1.832133373158866</v>
      </c>
      <c r="GJ12" s="1931">
        <v>0</v>
      </c>
      <c r="GK12" s="1931">
        <v>0</v>
      </c>
      <c r="GL12" s="1931">
        <v>39.72328823529412</v>
      </c>
      <c r="GM12" s="1942">
        <v>58.977490578413416</v>
      </c>
      <c r="GN12" s="1930">
        <v>35.358358823529407</v>
      </c>
      <c r="GO12" s="1931">
        <v>11.884735756994351</v>
      </c>
      <c r="GP12" s="1931">
        <v>13.480166666666666</v>
      </c>
      <c r="GQ12" s="1931">
        <v>3.2751628222316116</v>
      </c>
      <c r="GR12" s="1931">
        <v>27.026035294117644</v>
      </c>
      <c r="GS12" s="1931">
        <v>5.6452564997444679</v>
      </c>
      <c r="GT12" s="1931">
        <v>10.527600000000001</v>
      </c>
      <c r="GU12" s="1931">
        <v>3.1488787903428603</v>
      </c>
      <c r="GV12" s="1931">
        <v>0</v>
      </c>
      <c r="GW12" s="1931">
        <v>0</v>
      </c>
      <c r="GX12" s="1931">
        <v>39.844833333333334</v>
      </c>
      <c r="GY12" s="1942">
        <v>66.935440191751155</v>
      </c>
      <c r="GZ12" s="1930">
        <v>38.135812235294118</v>
      </c>
      <c r="HA12" s="1931">
        <v>31.196817320739893</v>
      </c>
      <c r="HB12" s="1931">
        <v>9.8280039215686266</v>
      </c>
      <c r="HC12" s="1931">
        <v>0.27656205810435885</v>
      </c>
      <c r="HD12" s="1931">
        <v>29.14813458823529</v>
      </c>
      <c r="HE12" s="1931">
        <v>18.080980906401322</v>
      </c>
      <c r="HF12" s="1931">
        <v>7.672074509803922</v>
      </c>
      <c r="HG12" s="1931">
        <v>0.28976581287440334</v>
      </c>
      <c r="HH12" s="1931">
        <v>52.526352941176476</v>
      </c>
      <c r="HI12" s="1931">
        <v>15.198830491906028</v>
      </c>
      <c r="HJ12" s="1931">
        <v>29.756590196078431</v>
      </c>
      <c r="HK12" s="1942">
        <v>29.885814566696716</v>
      </c>
      <c r="HL12" s="1930">
        <v>39.550337333333331</v>
      </c>
      <c r="HM12" s="1931">
        <v>31.692692440270381</v>
      </c>
      <c r="HN12" s="1931">
        <v>9.607994117647058</v>
      </c>
      <c r="HO12" s="1931">
        <v>0.24036342279085912</v>
      </c>
      <c r="HP12" s="1931">
        <v>30.179116549019607</v>
      </c>
      <c r="HQ12" s="1931">
        <v>18.396213615761244</v>
      </c>
      <c r="HR12" s="1931">
        <v>7.5000549019607847</v>
      </c>
      <c r="HS12" s="1931">
        <v>0.23436656805550571</v>
      </c>
      <c r="HT12" s="1931">
        <v>54.831843137254907</v>
      </c>
      <c r="HU12" s="1931">
        <v>16.434749959722303</v>
      </c>
      <c r="HV12" s="1931">
        <v>29.148864705882353</v>
      </c>
      <c r="HW12" s="1942">
        <v>29.115599323186764</v>
      </c>
      <c r="HX12" s="1930">
        <v>39.159179764705883</v>
      </c>
      <c r="HY12" s="1931">
        <v>22.304585261411574</v>
      </c>
      <c r="HZ12" s="1931">
        <v>12.072103921568626</v>
      </c>
      <c r="IA12" s="1931">
        <v>2.2941699804426827</v>
      </c>
      <c r="IB12" s="1931">
        <v>29.978024470588231</v>
      </c>
      <c r="IC12" s="1931">
        <v>12.151208847312347</v>
      </c>
      <c r="ID12" s="1931">
        <v>9.426674509803922</v>
      </c>
      <c r="IE12" s="1931">
        <v>2.5367136627824136</v>
      </c>
      <c r="IF12" s="1931">
        <v>55.355058823529404</v>
      </c>
      <c r="IG12" s="1931">
        <v>6.4630733941568455</v>
      </c>
      <c r="IH12" s="1931">
        <v>35.955390196078426</v>
      </c>
      <c r="II12" s="1942">
        <v>50.229724776589748</v>
      </c>
      <c r="IJ12" s="1930">
        <v>38.798111215686276</v>
      </c>
      <c r="IK12" s="1931">
        <v>30.477097607698802</v>
      </c>
      <c r="IL12" s="1931">
        <v>10.57603725490196</v>
      </c>
      <c r="IM12" s="1931">
        <v>0.870960582716094</v>
      </c>
      <c r="IN12" s="1931">
        <v>29.65417631372549</v>
      </c>
      <c r="IO12" s="1931">
        <v>17.609322107163411</v>
      </c>
      <c r="IP12" s="1931">
        <v>8.2569411764705887</v>
      </c>
      <c r="IQ12" s="1931">
        <v>0.87365211302984169</v>
      </c>
      <c r="IR12" s="1931">
        <v>53.928078431372548</v>
      </c>
      <c r="IS12" s="1931">
        <v>15.23572026782222</v>
      </c>
      <c r="IT12" s="1931">
        <v>31.822856862745098</v>
      </c>
      <c r="IU12" s="1942">
        <v>36.807111549427823</v>
      </c>
      <c r="IV12" s="1930">
        <v>37.810968627450976</v>
      </c>
      <c r="IW12" s="1931">
        <v>13.550687152841604</v>
      </c>
      <c r="IX12" s="1931">
        <v>13.480166666666666</v>
      </c>
      <c r="IY12" s="1931">
        <v>1.2112271505680989</v>
      </c>
      <c r="IZ12" s="1931">
        <v>29.087184313725491</v>
      </c>
      <c r="JA12" s="1931">
        <v>6.6710802689354427</v>
      </c>
      <c r="JB12" s="1931">
        <v>10.527600000000001</v>
      </c>
      <c r="JC12" s="1931">
        <v>0.88682972492198353</v>
      </c>
      <c r="JD12" s="1931">
        <v>0</v>
      </c>
      <c r="JE12" s="1931">
        <v>0</v>
      </c>
      <c r="JF12" s="1931">
        <v>39.844833333333334</v>
      </c>
      <c r="JG12" s="1942">
        <v>54.340546020473141</v>
      </c>
      <c r="JH12" s="1930">
        <v>36.687798196078433</v>
      </c>
      <c r="JI12" s="1931">
        <v>24.429828651938568</v>
      </c>
      <c r="JJ12" s="1931">
        <v>11.632084313725487</v>
      </c>
      <c r="JK12" s="1931">
        <v>1.7486450690782964</v>
      </c>
      <c r="JL12" s="1931">
        <v>28.068503686274511</v>
      </c>
      <c r="JM12" s="1931">
        <v>13.711054513774069</v>
      </c>
      <c r="JN12" s="1931">
        <v>9.0826352941176474</v>
      </c>
      <c r="JO12" s="1931">
        <v>2.0250175175246499</v>
      </c>
      <c r="JP12" s="1931">
        <v>49.83133333333334</v>
      </c>
      <c r="JQ12" s="1931">
        <v>8.7464000415960079</v>
      </c>
      <c r="JR12" s="1931">
        <v>34.73993921568627</v>
      </c>
      <c r="JS12" s="1942">
        <v>45.86547776760095</v>
      </c>
      <c r="JT12" s="1930">
        <v>39.208478196078431</v>
      </c>
      <c r="JU12" s="1931">
        <v>23.273900815192402</v>
      </c>
      <c r="JV12" s="1931">
        <v>12.204109803921567</v>
      </c>
      <c r="JW12" s="1931">
        <v>2.0686473727430772</v>
      </c>
      <c r="JX12" s="1931">
        <v>29.992630745098033</v>
      </c>
      <c r="JY12" s="1931">
        <v>12.817906953047908</v>
      </c>
      <c r="JZ12" s="1931">
        <v>9.5298862745098045</v>
      </c>
      <c r="KA12" s="1931">
        <v>2.1932630638480775</v>
      </c>
      <c r="KB12" s="1931">
        <v>55.140745098039211</v>
      </c>
      <c r="KC12" s="1931">
        <v>7.1361486914654684</v>
      </c>
      <c r="KD12" s="1931">
        <v>36.320025490196073</v>
      </c>
      <c r="KE12" s="1942">
        <v>48.453493825888422</v>
      </c>
      <c r="KF12" s="1930">
        <v>37.381716156862744</v>
      </c>
      <c r="KG12" s="1931">
        <v>16.448331412344693</v>
      </c>
      <c r="KH12" s="1931">
        <v>12.424119607843135</v>
      </c>
      <c r="KI12" s="1931">
        <v>4.3026749596899263</v>
      </c>
      <c r="KJ12" s="1931">
        <v>28.50646007843137</v>
      </c>
      <c r="KK12" s="1931">
        <v>8.7411175060685373</v>
      </c>
      <c r="KL12" s="1931">
        <v>9.7019058823529427</v>
      </c>
      <c r="KM12" s="1931">
        <v>4.4402604960103025</v>
      </c>
      <c r="KN12" s="1931">
        <v>50.025372549019615</v>
      </c>
      <c r="KO12" s="1931">
        <v>1.9139833391940571</v>
      </c>
      <c r="KP12" s="1931">
        <v>36.927750980392155</v>
      </c>
      <c r="KQ12" s="1942">
        <v>61.04577279712607</v>
      </c>
      <c r="KR12" s="1930">
        <v>37.795993019607842</v>
      </c>
      <c r="KS12" s="1931">
        <v>27.495149553479628</v>
      </c>
      <c r="KT12" s="1931">
        <v>11.14806274509804</v>
      </c>
      <c r="KU12" s="1931">
        <v>0.8292996043680988</v>
      </c>
      <c r="KV12" s="1931">
        <v>28.884799686274508</v>
      </c>
      <c r="KW12" s="1931">
        <v>15.743880412539847</v>
      </c>
      <c r="KX12" s="1931">
        <v>8.7041921568627458</v>
      </c>
      <c r="KY12" s="1931">
        <v>0.93984950247799004</v>
      </c>
      <c r="KZ12" s="1931">
        <v>51.756156862745101</v>
      </c>
      <c r="LA12" s="1931">
        <v>10.907352248087552</v>
      </c>
      <c r="LB12" s="1931">
        <v>33.402943137254901</v>
      </c>
      <c r="LC12" s="1942">
        <v>37.8796212488108</v>
      </c>
      <c r="LD12" s="1930">
        <v>33.346023529411767</v>
      </c>
      <c r="LE12" s="1931">
        <v>13.675082892944205</v>
      </c>
      <c r="LF12" s="1931">
        <v>12.688131372549019</v>
      </c>
      <c r="LG12" s="1931">
        <v>2.7272548143503474</v>
      </c>
      <c r="LH12" s="1931">
        <v>24.998200000000001</v>
      </c>
      <c r="LI12" s="1931">
        <v>6.9563765405328137</v>
      </c>
      <c r="LJ12" s="1931">
        <v>9.9083294117647061</v>
      </c>
      <c r="LK12" s="1931">
        <v>2.4783283709884318</v>
      </c>
      <c r="LL12" s="1931">
        <v>0</v>
      </c>
      <c r="LM12" s="1931">
        <v>0</v>
      </c>
      <c r="LN12" s="1931">
        <v>37.657021568627449</v>
      </c>
      <c r="LO12" s="1942">
        <v>61.35937937242425</v>
      </c>
      <c r="LP12" s="1930">
        <v>39.199808470588245</v>
      </c>
      <c r="LQ12" s="1931">
        <v>21.20949034131165</v>
      </c>
      <c r="LR12" s="1931">
        <v>12.820137254901962</v>
      </c>
      <c r="LS12" s="1931">
        <v>2.3253211173337514</v>
      </c>
      <c r="LT12" s="1931">
        <v>29.982316705882354</v>
      </c>
      <c r="LU12" s="1931">
        <v>11.390319862100027</v>
      </c>
      <c r="LV12" s="1931">
        <v>10.01154117647059</v>
      </c>
      <c r="LW12" s="1931">
        <v>2.5312977998196184</v>
      </c>
      <c r="LX12" s="1931">
        <v>55.071411764705886</v>
      </c>
      <c r="LY12" s="1931">
        <v>4.8996567526612793</v>
      </c>
      <c r="LZ12" s="1931">
        <v>38.021656862745097</v>
      </c>
      <c r="MA12" s="1942">
        <v>51.386898289297307</v>
      </c>
      <c r="MB12" s="1930">
        <v>33.906498039215684</v>
      </c>
      <c r="MC12" s="1931">
        <v>7.6587308633408444</v>
      </c>
      <c r="MD12" s="1931">
        <v>17.000323529411766</v>
      </c>
      <c r="ME12" s="1931">
        <v>5.5472439594326044</v>
      </c>
      <c r="MF12" s="1931">
        <v>25.454772549019605</v>
      </c>
      <c r="MG12" s="1931">
        <v>2.9006416416829031</v>
      </c>
      <c r="MH12" s="1931">
        <v>13.279913725490196</v>
      </c>
      <c r="MI12" s="1931">
        <v>3.6525746394032681</v>
      </c>
      <c r="MJ12" s="1931">
        <v>0</v>
      </c>
      <c r="MK12" s="1931">
        <v>0</v>
      </c>
      <c r="ML12" s="1931">
        <v>49.568441176470586</v>
      </c>
      <c r="MM12" s="1942">
        <v>83.701863595092107</v>
      </c>
      <c r="MN12" s="1930">
        <v>32.516952941176477</v>
      </c>
      <c r="MO12" s="1931">
        <v>7.3072130158484994</v>
      </c>
      <c r="MP12" s="1931">
        <v>14.052192156862743</v>
      </c>
      <c r="MQ12" s="1931">
        <v>4.0741762640985897</v>
      </c>
      <c r="MR12" s="1931">
        <v>24.237305882352945</v>
      </c>
      <c r="MS12" s="1931">
        <v>2.8768578894735302</v>
      </c>
      <c r="MT12" s="1931">
        <v>10.974850980392157</v>
      </c>
      <c r="MU12" s="1931">
        <v>3.3878347921292535</v>
      </c>
      <c r="MV12" s="1931">
        <v>0</v>
      </c>
      <c r="MW12" s="1931">
        <v>0</v>
      </c>
      <c r="MX12" s="1931">
        <v>41.424919607843137</v>
      </c>
      <c r="MY12" s="1942">
        <v>78.347420306659885</v>
      </c>
      <c r="MZ12" s="1930">
        <v>37.544507843137254</v>
      </c>
      <c r="NA12" s="1931">
        <v>18.87788176776613</v>
      </c>
      <c r="NB12" s="1931">
        <v>13.348160784313725</v>
      </c>
      <c r="NC12" s="1931">
        <v>2.2934114505017376</v>
      </c>
      <c r="ND12" s="1931">
        <v>29.037439215686273</v>
      </c>
      <c r="NE12" s="1931">
        <v>9.9897577453602384</v>
      </c>
      <c r="NF12" s="1931">
        <v>10.424388235294119</v>
      </c>
      <c r="NG12" s="1931">
        <v>2.3211387423549321</v>
      </c>
      <c r="NH12" s="1931">
        <v>48.731286274509806</v>
      </c>
      <c r="NI12" s="1931">
        <v>2.8257480450764128</v>
      </c>
      <c r="NJ12" s="1931">
        <v>39.480198039215693</v>
      </c>
      <c r="NK12" s="1942">
        <v>53.592799514446554</v>
      </c>
      <c r="NL12" s="1930">
        <v>36.676748549019607</v>
      </c>
      <c r="NM12" s="1931">
        <v>22.079195618259277</v>
      </c>
      <c r="NN12" s="1931">
        <v>12.556125490196077</v>
      </c>
      <c r="NO12" s="1931">
        <v>2.8012818133912818</v>
      </c>
      <c r="NP12" s="1931">
        <v>28.17075294117647</v>
      </c>
      <c r="NQ12" s="1931">
        <v>11.977167215574841</v>
      </c>
      <c r="NR12" s="1931">
        <v>9.8051176470588253</v>
      </c>
      <c r="NS12" s="1931">
        <v>3.0551413067250777</v>
      </c>
      <c r="NT12" s="1931">
        <v>49.986392156862742</v>
      </c>
      <c r="NU12" s="1931">
        <v>6.289175485792625</v>
      </c>
      <c r="NV12" s="1931">
        <v>37.292386274509802</v>
      </c>
      <c r="NW12" s="1942">
        <v>53.265181736665369</v>
      </c>
      <c r="NX12" s="1930">
        <v>37.172792784313728</v>
      </c>
      <c r="NY12" s="1931">
        <v>13.277983470196608</v>
      </c>
      <c r="NZ12" s="1931">
        <v>14.536213725490196</v>
      </c>
      <c r="OA12" s="1931">
        <v>3.5245992291440746</v>
      </c>
      <c r="OB12" s="1931">
        <v>28.328379450980389</v>
      </c>
      <c r="OC12" s="1931">
        <v>6.6801468711135259</v>
      </c>
      <c r="OD12" s="1931">
        <v>11.35329411764706</v>
      </c>
      <c r="OE12" s="1931">
        <v>2.782441703074773</v>
      </c>
      <c r="OF12" s="1931">
        <v>0</v>
      </c>
      <c r="OG12" s="1931">
        <v>0</v>
      </c>
      <c r="OH12" s="1931">
        <v>42.761915686274506</v>
      </c>
      <c r="OI12" s="1932">
        <v>64.400855530895853</v>
      </c>
      <c r="OJ12" s="1930">
        <v>37.905979529411759</v>
      </c>
      <c r="OK12" s="1931">
        <v>26.465205240080749</v>
      </c>
      <c r="OL12" s="1931">
        <v>11.896096078431372</v>
      </c>
      <c r="OM12" s="1931">
        <v>1.6579015235371022</v>
      </c>
      <c r="ON12" s="1931">
        <v>28.971604235294119</v>
      </c>
      <c r="OO12" s="1931">
        <v>15.006775227992845</v>
      </c>
      <c r="OP12" s="1931">
        <v>9.2890588235294125</v>
      </c>
      <c r="OQ12" s="1931">
        <v>1.589424101455011</v>
      </c>
      <c r="OR12" s="1931">
        <v>52.027176470588238</v>
      </c>
      <c r="OS12" s="1931">
        <v>9.8160775614735254</v>
      </c>
      <c r="OT12" s="1931">
        <v>35.469209803921565</v>
      </c>
      <c r="OU12" s="1932">
        <v>43.795705470065599</v>
      </c>
      <c r="OV12" s="1930">
        <v>36.655159215686268</v>
      </c>
      <c r="OW12" s="1931">
        <v>11.130899929276381</v>
      </c>
      <c r="OX12" s="1931">
        <v>16.384296078431372</v>
      </c>
      <c r="OY12" s="1931">
        <v>5.5337011799408744</v>
      </c>
      <c r="OZ12" s="1931">
        <v>27.950398431372548</v>
      </c>
      <c r="PA12" s="1931">
        <v>5.0832334299844657</v>
      </c>
      <c r="PB12" s="1931">
        <v>12.798258823529414</v>
      </c>
      <c r="PC12" s="1931">
        <v>4.1148225535938243</v>
      </c>
      <c r="PD12" s="1931">
        <v>0</v>
      </c>
      <c r="PE12" s="1931">
        <v>0</v>
      </c>
      <c r="PF12" s="1931">
        <v>47.866809803921569</v>
      </c>
      <c r="PG12" s="1932">
        <v>73.908039298858242</v>
      </c>
      <c r="PH12" s="1930">
        <v>39.909025960784312</v>
      </c>
      <c r="PI12" s="1931">
        <v>23.114119003701664</v>
      </c>
      <c r="PJ12" s="1931">
        <v>12.688131372549019</v>
      </c>
      <c r="PK12" s="1931">
        <v>1.565829482845609</v>
      </c>
      <c r="PL12" s="1931">
        <v>30.517750274509805</v>
      </c>
      <c r="PM12" s="1931">
        <v>12.745451678268161</v>
      </c>
      <c r="PN12" s="1931">
        <v>9.9083294117647061</v>
      </c>
      <c r="PO12" s="1931">
        <v>1.6742788235890118</v>
      </c>
      <c r="PP12" s="1931">
        <v>56.483215686274512</v>
      </c>
      <c r="PQ12" s="1931">
        <v>6.1187979383889122</v>
      </c>
      <c r="PR12" s="1931">
        <v>37.657021568627449</v>
      </c>
      <c r="PS12" s="1932">
        <v>45.682496877421066</v>
      </c>
      <c r="PT12" s="1930">
        <v>38.630156549019603</v>
      </c>
      <c r="PU12" s="1931">
        <v>21.946965260072329</v>
      </c>
      <c r="PV12" s="1931">
        <v>12.468121568627451</v>
      </c>
      <c r="PW12" s="1931">
        <v>2.5941055116398282</v>
      </c>
      <c r="PX12" s="1931">
        <v>29.542451450980391</v>
      </c>
      <c r="PY12" s="1931">
        <v>11.867695633257293</v>
      </c>
      <c r="PZ12" s="1931">
        <v>9.7363098039215696</v>
      </c>
      <c r="QA12" s="1931">
        <v>2.7581579626907913</v>
      </c>
      <c r="QB12" s="1931">
        <v>53.802039215686271</v>
      </c>
      <c r="QC12" s="1931">
        <v>5.9062500736282377</v>
      </c>
      <c r="QD12" s="1931">
        <v>37.049296078431368</v>
      </c>
      <c r="QE12" s="1932">
        <v>52.186507547839533</v>
      </c>
      <c r="QF12" s="1930">
        <v>32.366100000000003</v>
      </c>
      <c r="QG12" s="1931">
        <v>8.4970174477066784</v>
      </c>
      <c r="QH12" s="1931">
        <v>14.140196078431373</v>
      </c>
      <c r="QI12" s="1931">
        <v>2.7926590028900473</v>
      </c>
      <c r="QJ12" s="1931">
        <v>24.551305882352942</v>
      </c>
      <c r="QK12" s="1931">
        <v>3.2887965052668333</v>
      </c>
      <c r="QL12" s="1931">
        <v>11.043658823529412</v>
      </c>
      <c r="QM12" s="1931">
        <v>2.0711633765981916</v>
      </c>
      <c r="QN12" s="1931">
        <v>0</v>
      </c>
      <c r="QO12" s="1931">
        <v>0</v>
      </c>
      <c r="QP12" s="1931">
        <v>41.668009803921564</v>
      </c>
      <c r="QQ12" s="1932">
        <v>72.31003386633769</v>
      </c>
      <c r="QR12" s="1930">
        <v>38.887188392156858</v>
      </c>
      <c r="QS12" s="1931">
        <v>22.974708529820926</v>
      </c>
      <c r="QT12" s="1931">
        <v>12.644129411764705</v>
      </c>
      <c r="QU12" s="1931">
        <v>2.077536366477065</v>
      </c>
      <c r="QV12" s="1931">
        <v>29.7425311372549</v>
      </c>
      <c r="QW12" s="1931">
        <v>12.605213777048579</v>
      </c>
      <c r="QX12" s="1931">
        <v>9.8739254901960791</v>
      </c>
      <c r="QY12" s="1931">
        <v>2.1880563530843902</v>
      </c>
      <c r="QZ12" s="1931">
        <v>54.397019607843134</v>
      </c>
      <c r="RA12" s="1931">
        <v>6.8759007394977001</v>
      </c>
      <c r="RB12" s="1931">
        <v>37.535476470588236</v>
      </c>
      <c r="RC12" s="1932">
        <v>49.438865070656227</v>
      </c>
      <c r="RD12" s="1930">
        <v>38.024635764705877</v>
      </c>
      <c r="RE12" s="1931">
        <v>22.522730030268949</v>
      </c>
      <c r="RF12" s="1931">
        <v>12.556125490196077</v>
      </c>
      <c r="RG12" s="1931">
        <v>1.8931654459333342</v>
      </c>
      <c r="RH12" s="1931">
        <v>29.068722823529409</v>
      </c>
      <c r="RI12" s="1931">
        <v>12.273826949554088</v>
      </c>
      <c r="RJ12" s="1931">
        <v>9.8051176470588253</v>
      </c>
      <c r="RK12" s="1931">
        <v>1.9991640367702697</v>
      </c>
      <c r="RL12" s="1931">
        <v>52.367529411764707</v>
      </c>
      <c r="RM12" s="1931">
        <v>6.1460743125130044</v>
      </c>
      <c r="RN12" s="1931">
        <v>37.292386274509802</v>
      </c>
      <c r="RO12" s="1932">
        <v>48.529661339641557</v>
      </c>
    </row>
    <row r="13" spans="1:483">
      <c r="A13" s="633">
        <f>Eingabedaten!A15</f>
        <v>3.03</v>
      </c>
      <c r="B13" s="379" t="str">
        <f>Eingabedaten!C15</f>
        <v>Sitzungszimmer</v>
      </c>
      <c r="C13" s="379"/>
      <c r="D13" s="1930">
        <v>50.089733333333335</v>
      </c>
      <c r="E13" s="1931">
        <v>0</v>
      </c>
      <c r="F13" s="1931">
        <v>21.643256862745101</v>
      </c>
      <c r="G13" s="1931">
        <v>16.78630946278787</v>
      </c>
      <c r="H13" s="1931">
        <v>40.048870588235296</v>
      </c>
      <c r="I13" s="1931">
        <v>0</v>
      </c>
      <c r="J13" s="1931">
        <v>16.568590196078432</v>
      </c>
      <c r="K13" s="1931">
        <v>9.7866860122257719</v>
      </c>
      <c r="L13" s="1931">
        <v>0</v>
      </c>
      <c r="M13" s="1931">
        <v>0</v>
      </c>
      <c r="N13" s="1931">
        <v>54.555319607843138</v>
      </c>
      <c r="O13" s="1942">
        <v>129.92230410951794</v>
      </c>
      <c r="P13" s="1930">
        <v>72.738401568627467</v>
      </c>
      <c r="Q13" s="1931">
        <v>7.2724934200635669</v>
      </c>
      <c r="R13" s="1931">
        <v>18.475272549019611</v>
      </c>
      <c r="S13" s="1931">
        <v>17.815484235830873</v>
      </c>
      <c r="T13" s="1931">
        <v>58.985162352941181</v>
      </c>
      <c r="U13" s="1931">
        <v>4.4439364917205006</v>
      </c>
      <c r="V13" s="1931">
        <v>14.089939215686277</v>
      </c>
      <c r="W13" s="1931">
        <v>12.516461182273833</v>
      </c>
      <c r="X13" s="1931">
        <v>0</v>
      </c>
      <c r="Y13" s="1931">
        <v>0</v>
      </c>
      <c r="Z13" s="1931">
        <v>46.916621568627455</v>
      </c>
      <c r="AA13" s="1942">
        <v>99.644123326630918</v>
      </c>
      <c r="AB13" s="1930">
        <v>67.092792156862743</v>
      </c>
      <c r="AC13" s="1931">
        <v>4.7878736119716008</v>
      </c>
      <c r="AD13" s="1931">
        <v>18.542676470588241</v>
      </c>
      <c r="AE13" s="1931">
        <v>21.744518603355388</v>
      </c>
      <c r="AF13" s="1931">
        <v>57.655378823529425</v>
      </c>
      <c r="AG13" s="1931">
        <v>2.6253241487419032</v>
      </c>
      <c r="AH13" s="1931">
        <v>14.142676470588238</v>
      </c>
      <c r="AI13" s="1931">
        <v>15.971855358840076</v>
      </c>
      <c r="AJ13" s="1931">
        <v>0</v>
      </c>
      <c r="AK13" s="1931">
        <v>0</v>
      </c>
      <c r="AL13" s="1931">
        <v>47.079147058823537</v>
      </c>
      <c r="AM13" s="1942">
        <v>110.41213116497543</v>
      </c>
      <c r="AN13" s="1930">
        <v>75.514756078431375</v>
      </c>
      <c r="AO13" s="1931">
        <v>10.487643864392101</v>
      </c>
      <c r="AP13" s="1931">
        <v>19.149311764705885</v>
      </c>
      <c r="AQ13" s="1931">
        <v>15.496794492298973</v>
      </c>
      <c r="AR13" s="1931">
        <v>61.188983529411765</v>
      </c>
      <c r="AS13" s="1931">
        <v>6.440464661078682</v>
      </c>
      <c r="AT13" s="1931">
        <v>14.617311764705885</v>
      </c>
      <c r="AU13" s="1931">
        <v>10.624391284675459</v>
      </c>
      <c r="AV13" s="1931">
        <v>103.85687843137254</v>
      </c>
      <c r="AW13" s="1931">
        <v>1.4586388629032883</v>
      </c>
      <c r="AX13" s="1931">
        <v>48.541876470588235</v>
      </c>
      <c r="AY13" s="1942">
        <v>91.205206923922233</v>
      </c>
      <c r="AZ13" s="1930">
        <v>70.916185098039222</v>
      </c>
      <c r="BA13" s="1931">
        <v>7.6599159770666292</v>
      </c>
      <c r="BB13" s="1931">
        <v>19.755947058823534</v>
      </c>
      <c r="BC13" s="1931">
        <v>18.589456694489691</v>
      </c>
      <c r="BD13" s="1931">
        <v>57.718428235294127</v>
      </c>
      <c r="BE13" s="1931">
        <v>4.6476860415367796</v>
      </c>
      <c r="BF13" s="1931">
        <v>15.091947058823532</v>
      </c>
      <c r="BG13" s="1931">
        <v>12.728524851047041</v>
      </c>
      <c r="BH13" s="1931">
        <v>0</v>
      </c>
      <c r="BI13" s="1931">
        <v>0</v>
      </c>
      <c r="BJ13" s="1931">
        <v>50.004605882352941</v>
      </c>
      <c r="BK13" s="1942">
        <v>104.92093869649727</v>
      </c>
      <c r="BL13" s="1930">
        <v>69.637182745098045</v>
      </c>
      <c r="BM13" s="1931">
        <v>7.9298465855876419</v>
      </c>
      <c r="BN13" s="1931">
        <v>19.553735294117651</v>
      </c>
      <c r="BO13" s="1931">
        <v>21.297453634401169</v>
      </c>
      <c r="BP13" s="1931">
        <v>56.909402352941179</v>
      </c>
      <c r="BQ13" s="1931">
        <v>4.8610756998538163</v>
      </c>
      <c r="BR13" s="1931">
        <v>14.93373529411765</v>
      </c>
      <c r="BS13" s="1931">
        <v>15.462099812958829</v>
      </c>
      <c r="BT13" s="1931">
        <v>0</v>
      </c>
      <c r="BU13" s="1931">
        <v>0</v>
      </c>
      <c r="BV13" s="1931">
        <v>49.51702941176471</v>
      </c>
      <c r="BW13" s="1942">
        <v>108.47342901717624</v>
      </c>
      <c r="BX13" s="1930">
        <v>65.851794509803938</v>
      </c>
      <c r="BY13" s="1931">
        <v>5.8402299232578185</v>
      </c>
      <c r="BZ13" s="1931">
        <v>19.621139215686277</v>
      </c>
      <c r="CA13" s="1931">
        <v>15.169193500368953</v>
      </c>
      <c r="CB13" s="1931">
        <v>54.031308235294112</v>
      </c>
      <c r="CC13" s="1931">
        <v>3.3659170013235555</v>
      </c>
      <c r="CD13" s="1931">
        <v>14.986472549019611</v>
      </c>
      <c r="CE13" s="1931">
        <v>9.8460710331930557</v>
      </c>
      <c r="CF13" s="1931">
        <v>0</v>
      </c>
      <c r="CG13" s="1931">
        <v>0</v>
      </c>
      <c r="CH13" s="1931">
        <v>49.679554901960785</v>
      </c>
      <c r="CI13" s="1942">
        <v>97.162007581226177</v>
      </c>
      <c r="CJ13" s="1930">
        <v>48.223301960784312</v>
      </c>
      <c r="CK13" s="1931">
        <v>0</v>
      </c>
      <c r="CL13" s="1931">
        <v>23.597970588235299</v>
      </c>
      <c r="CM13" s="1931">
        <v>19.186319874079878</v>
      </c>
      <c r="CN13" s="1931">
        <v>37.799694117647057</v>
      </c>
      <c r="CO13" s="1931">
        <v>0</v>
      </c>
      <c r="CP13" s="1931">
        <v>18.097970588235299</v>
      </c>
      <c r="CQ13" s="1931">
        <v>11.01612749430616</v>
      </c>
      <c r="CR13" s="1931">
        <v>0</v>
      </c>
      <c r="CS13" s="1931">
        <v>0</v>
      </c>
      <c r="CT13" s="1931">
        <v>59.268558823529425</v>
      </c>
      <c r="CU13" s="1942">
        <v>140.31106433390704</v>
      </c>
      <c r="CV13" s="1930">
        <v>65.433370980392169</v>
      </c>
      <c r="CW13" s="1931">
        <v>0.68565900458486972</v>
      </c>
      <c r="CX13" s="1931">
        <v>21.306237254901966</v>
      </c>
      <c r="CY13" s="1931">
        <v>15.260374986431861</v>
      </c>
      <c r="CZ13" s="1931">
        <v>53.383943529411766</v>
      </c>
      <c r="DA13" s="1931">
        <v>0</v>
      </c>
      <c r="DB13" s="1931">
        <v>16.304903921568631</v>
      </c>
      <c r="DC13" s="1931">
        <v>8.9896259177999642</v>
      </c>
      <c r="DD13" s="1931">
        <v>0</v>
      </c>
      <c r="DE13" s="1931">
        <v>0</v>
      </c>
      <c r="DF13" s="1931">
        <v>53.742692156862745</v>
      </c>
      <c r="DG13" s="1942">
        <v>116.63649522533886</v>
      </c>
      <c r="DH13" s="1930">
        <v>68.533643921568626</v>
      </c>
      <c r="DI13" s="1931">
        <v>0</v>
      </c>
      <c r="DJ13" s="1931">
        <v>22.317296078431379</v>
      </c>
      <c r="DK13" s="1931">
        <v>26.54231423505054</v>
      </c>
      <c r="DL13" s="1931">
        <v>55.668122352941175</v>
      </c>
      <c r="DM13" s="1931">
        <v>0</v>
      </c>
      <c r="DN13" s="1931">
        <v>17.095962745098042</v>
      </c>
      <c r="DO13" s="1931">
        <v>18.646296768009464</v>
      </c>
      <c r="DP13" s="1931">
        <v>0</v>
      </c>
      <c r="DQ13" s="1931">
        <v>0</v>
      </c>
      <c r="DR13" s="1931">
        <v>56.180574509803932</v>
      </c>
      <c r="DS13" s="1942">
        <v>139.6308677364288</v>
      </c>
      <c r="DT13" s="1930">
        <v>73.151436862745086</v>
      </c>
      <c r="DU13" s="1931">
        <v>12.24326239094408</v>
      </c>
      <c r="DV13" s="1931">
        <v>17.599021568627453</v>
      </c>
      <c r="DW13" s="1931">
        <v>14.886832584042399</v>
      </c>
      <c r="DX13" s="1931">
        <v>59.454432941176471</v>
      </c>
      <c r="DY13" s="1931">
        <v>7.3540815091720111</v>
      </c>
      <c r="DZ13" s="1931">
        <v>13.404354901960787</v>
      </c>
      <c r="EA13" s="1931">
        <v>10.15486402657594</v>
      </c>
      <c r="EB13" s="1931">
        <v>100.12373333333333</v>
      </c>
      <c r="EC13" s="1931">
        <v>3.360392652026575</v>
      </c>
      <c r="ED13" s="1931">
        <v>44.803790196078431</v>
      </c>
      <c r="EE13" s="1942">
        <v>88.006373839241462</v>
      </c>
      <c r="EF13" s="1930">
        <v>68.668265098039228</v>
      </c>
      <c r="EG13" s="1931">
        <v>3.4959903070738818</v>
      </c>
      <c r="EH13" s="1931">
        <v>20.295178431372552</v>
      </c>
      <c r="EI13" s="1931">
        <v>28.169820337499914</v>
      </c>
      <c r="EJ13" s="1931">
        <v>56.043072941176469</v>
      </c>
      <c r="EK13" s="1931">
        <v>1.6036923153663529</v>
      </c>
      <c r="EL13" s="1931">
        <v>15.513845098039219</v>
      </c>
      <c r="EM13" s="1931">
        <v>20.940346474749063</v>
      </c>
      <c r="EN13" s="1931">
        <v>0</v>
      </c>
      <c r="EO13" s="1931">
        <v>0</v>
      </c>
      <c r="EP13" s="1931">
        <v>51.304809803921572</v>
      </c>
      <c r="EQ13" s="1942">
        <v>129.98934516889511</v>
      </c>
      <c r="ER13" s="1930">
        <v>31.420737254901965</v>
      </c>
      <c r="ES13" s="1931">
        <v>0</v>
      </c>
      <c r="ET13" s="1931">
        <v>25.148260784313727</v>
      </c>
      <c r="EU13" s="1931">
        <v>23.595591312213497</v>
      </c>
      <c r="EV13" s="1931">
        <v>19.752188235294113</v>
      </c>
      <c r="EW13" s="1931">
        <v>0</v>
      </c>
      <c r="EX13" s="1931">
        <v>19.310927450980394</v>
      </c>
      <c r="EY13" s="1931">
        <v>14.103590030902167</v>
      </c>
      <c r="EZ13" s="1931">
        <v>0</v>
      </c>
      <c r="FA13" s="1931">
        <v>0</v>
      </c>
      <c r="FB13" s="1931">
        <v>63.006645098039222</v>
      </c>
      <c r="FC13" s="1942">
        <v>162.31092437328843</v>
      </c>
      <c r="FD13" s="1930">
        <v>69.055744313725512</v>
      </c>
      <c r="FE13" s="1931">
        <v>7.4110007697876092</v>
      </c>
      <c r="FF13" s="1931">
        <v>19.486331372549024</v>
      </c>
      <c r="FG13" s="1931">
        <v>21.296393496274558</v>
      </c>
      <c r="FH13" s="1931">
        <v>56.226912941176472</v>
      </c>
      <c r="FI13" s="1931">
        <v>4.4697702151572027</v>
      </c>
      <c r="FJ13" s="1931">
        <v>14.88099803921569</v>
      </c>
      <c r="FK13" s="1931">
        <v>15.350775062102258</v>
      </c>
      <c r="FL13" s="1931">
        <v>0</v>
      </c>
      <c r="FM13" s="1931">
        <v>0</v>
      </c>
      <c r="FN13" s="1931">
        <v>49.354503921568629</v>
      </c>
      <c r="FO13" s="1942">
        <v>109.36417134975373</v>
      </c>
      <c r="FP13" s="1930">
        <v>66.22755137254903</v>
      </c>
      <c r="FQ13" s="1931">
        <v>5.1734356706164553</v>
      </c>
      <c r="FR13" s="1931">
        <v>19.486331372549024</v>
      </c>
      <c r="FS13" s="1931">
        <v>21.112804961717799</v>
      </c>
      <c r="FT13" s="1931">
        <v>54.06737882352941</v>
      </c>
      <c r="FU13" s="1931">
        <v>2.8203512865537896</v>
      </c>
      <c r="FV13" s="1931">
        <v>14.88099803921569</v>
      </c>
      <c r="FW13" s="1931">
        <v>14.738817499979504</v>
      </c>
      <c r="FX13" s="1931">
        <v>0</v>
      </c>
      <c r="FY13" s="1931">
        <v>0</v>
      </c>
      <c r="FZ13" s="1931">
        <v>49.354503921568629</v>
      </c>
      <c r="GA13" s="1942">
        <v>113.24719917489088</v>
      </c>
      <c r="GB13" s="1930">
        <v>65.095618823529421</v>
      </c>
      <c r="GC13" s="1931">
        <v>1.7258606998658246</v>
      </c>
      <c r="GD13" s="1931">
        <v>21.171429411764709</v>
      </c>
      <c r="GE13" s="1931">
        <v>18.146832642942186</v>
      </c>
      <c r="GF13" s="1931">
        <v>54.048517647058823</v>
      </c>
      <c r="GG13" s="1931">
        <v>0.48543665347402015</v>
      </c>
      <c r="GH13" s="1931">
        <v>16.199429411764708</v>
      </c>
      <c r="GI13" s="1931">
        <v>11.3367693465422</v>
      </c>
      <c r="GJ13" s="1931">
        <v>0</v>
      </c>
      <c r="GK13" s="1931">
        <v>0</v>
      </c>
      <c r="GL13" s="1931">
        <v>53.417641176470596</v>
      </c>
      <c r="GM13" s="1942">
        <v>120.88661432384311</v>
      </c>
      <c r="GN13" s="1930">
        <v>64.54069019607843</v>
      </c>
      <c r="GO13" s="1931">
        <v>0.52901368194661735</v>
      </c>
      <c r="GP13" s="1931">
        <v>21.238833333333336</v>
      </c>
      <c r="GQ13" s="1931">
        <v>24.09143818789703</v>
      </c>
      <c r="GR13" s="1931">
        <v>52.752611764705883</v>
      </c>
      <c r="GS13" s="1931">
        <v>0</v>
      </c>
      <c r="GT13" s="1931">
        <v>16.252166666666671</v>
      </c>
      <c r="GU13" s="1931">
        <v>16.180238000918827</v>
      </c>
      <c r="GV13" s="1931">
        <v>0</v>
      </c>
      <c r="GW13" s="1931">
        <v>0</v>
      </c>
      <c r="GX13" s="1931">
        <v>53.58016666666667</v>
      </c>
      <c r="GY13" s="1942">
        <v>136.83735342142026</v>
      </c>
      <c r="GZ13" s="1930">
        <v>68.650208627450979</v>
      </c>
      <c r="HA13" s="1931">
        <v>15.091512594903575</v>
      </c>
      <c r="HB13" s="1931">
        <v>15.644307843137259</v>
      </c>
      <c r="HC13" s="1931">
        <v>8.9031071223339122</v>
      </c>
      <c r="HD13" s="1931">
        <v>55.925628235294106</v>
      </c>
      <c r="HE13" s="1931">
        <v>9.6621048709813948</v>
      </c>
      <c r="HF13" s="1931">
        <v>11.874974509803925</v>
      </c>
      <c r="HG13" s="1931">
        <v>5.3607282515206149</v>
      </c>
      <c r="HH13" s="1931">
        <v>91.283827450980382</v>
      </c>
      <c r="HI13" s="1931">
        <v>6.727562029641402</v>
      </c>
      <c r="HJ13" s="1931">
        <v>40.090550980392159</v>
      </c>
      <c r="HK13" s="1942">
        <v>69.85823925082299</v>
      </c>
      <c r="HL13" s="1930">
        <v>72.203632941176465</v>
      </c>
      <c r="HM13" s="1931">
        <v>16.151827285593608</v>
      </c>
      <c r="HN13" s="1931">
        <v>15.307288235294122</v>
      </c>
      <c r="HO13" s="1931">
        <v>7.9099345542914365</v>
      </c>
      <c r="HP13" s="1931">
        <v>58.487021176470584</v>
      </c>
      <c r="HQ13" s="1931">
        <v>10.455843681458381</v>
      </c>
      <c r="HR13" s="1931">
        <v>11.61128823529412</v>
      </c>
      <c r="HS13" s="1931">
        <v>4.5704557544969431</v>
      </c>
      <c r="HT13" s="1931">
        <v>96.538635294117654</v>
      </c>
      <c r="HU13" s="1931">
        <v>8.2016413488918705</v>
      </c>
      <c r="HV13" s="1931">
        <v>39.277923529411765</v>
      </c>
      <c r="HW13" s="1942">
        <v>68.511293281235695</v>
      </c>
      <c r="HX13" s="1930">
        <v>73.192718431372555</v>
      </c>
      <c r="HY13" s="1931">
        <v>7.046014602611085</v>
      </c>
      <c r="HZ13" s="1931">
        <v>19.081907843137259</v>
      </c>
      <c r="IA13" s="1931">
        <v>20.503275828466407</v>
      </c>
      <c r="IB13" s="1931">
        <v>59.460687058823531</v>
      </c>
      <c r="IC13" s="1931">
        <v>4.2676174381179415</v>
      </c>
      <c r="ID13" s="1931">
        <v>14.564574509803924</v>
      </c>
      <c r="IE13" s="1931">
        <v>14.741264877387888</v>
      </c>
      <c r="IF13" s="1931">
        <v>0</v>
      </c>
      <c r="IG13" s="1931">
        <v>0</v>
      </c>
      <c r="IH13" s="1931">
        <v>48.379350980392154</v>
      </c>
      <c r="II13" s="1942">
        <v>107.49607332873485</v>
      </c>
      <c r="IJ13" s="1930">
        <v>70.562487843137248</v>
      </c>
      <c r="IK13" s="1931">
        <v>15.009163768335698</v>
      </c>
      <c r="IL13" s="1931">
        <v>16.790174509803926</v>
      </c>
      <c r="IM13" s="1931">
        <v>12.405537860541022</v>
      </c>
      <c r="IN13" s="1931">
        <v>57.372856470588232</v>
      </c>
      <c r="IO13" s="1931">
        <v>9.6105585154297319</v>
      </c>
      <c r="IP13" s="1931">
        <v>12.771507843137258</v>
      </c>
      <c r="IQ13" s="1931">
        <v>7.9033502659397428</v>
      </c>
      <c r="IR13" s="1931">
        <v>94.640360784313728</v>
      </c>
      <c r="IS13" s="1931">
        <v>6.8492546828934797</v>
      </c>
      <c r="IT13" s="1931">
        <v>42.853484313725495</v>
      </c>
      <c r="IU13" s="1942">
        <v>81.362787424224052</v>
      </c>
      <c r="IV13" s="1930">
        <v>67.738541176470591</v>
      </c>
      <c r="IW13" s="1931">
        <v>1.4694993845453819</v>
      </c>
      <c r="IX13" s="1931">
        <v>21.238833333333336</v>
      </c>
      <c r="IY13" s="1931">
        <v>12.985336672661616</v>
      </c>
      <c r="IZ13" s="1931">
        <v>55.769599999999997</v>
      </c>
      <c r="JA13" s="1931">
        <v>0.26535400521678909</v>
      </c>
      <c r="JB13" s="1931">
        <v>16.252166666666671</v>
      </c>
      <c r="JC13" s="1931">
        <v>7.0784975954920721</v>
      </c>
      <c r="JD13" s="1931">
        <v>0</v>
      </c>
      <c r="JE13" s="1931">
        <v>0</v>
      </c>
      <c r="JF13" s="1931">
        <v>53.58016666666667</v>
      </c>
      <c r="JG13" s="1942">
        <v>108.43200158599822</v>
      </c>
      <c r="JH13" s="1930">
        <v>65.150734117647062</v>
      </c>
      <c r="JI13" s="1931">
        <v>8.930879903008595</v>
      </c>
      <c r="JJ13" s="1931">
        <v>18.407868627450984</v>
      </c>
      <c r="JK13" s="1931">
        <v>18.635856379947807</v>
      </c>
      <c r="JL13" s="1931">
        <v>53.309840000000001</v>
      </c>
      <c r="JM13" s="1931">
        <v>5.6578841349964453</v>
      </c>
      <c r="JN13" s="1931">
        <v>14.037201960784316</v>
      </c>
      <c r="JO13" s="1931">
        <v>13.417621684090461</v>
      </c>
      <c r="JP13" s="1931">
        <v>85.392141176470588</v>
      </c>
      <c r="JQ13" s="1931">
        <v>0.95365728858418797</v>
      </c>
      <c r="JR13" s="1931">
        <v>46.754096078431374</v>
      </c>
      <c r="JS13" s="1942">
        <v>99.724153890254371</v>
      </c>
      <c r="JT13" s="1930">
        <v>72.754346666666663</v>
      </c>
      <c r="JU13" s="1931">
        <v>8.5376788812577526</v>
      </c>
      <c r="JV13" s="1931">
        <v>19.284119607843138</v>
      </c>
      <c r="JW13" s="1931">
        <v>18.921455890327696</v>
      </c>
      <c r="JX13" s="1931">
        <v>59.112715294117656</v>
      </c>
      <c r="JY13" s="1931">
        <v>5.2958870339450099</v>
      </c>
      <c r="JZ13" s="1931">
        <v>14.722786274509806</v>
      </c>
      <c r="KA13" s="1931">
        <v>13.298056272759334</v>
      </c>
      <c r="KB13" s="1931">
        <v>0</v>
      </c>
      <c r="KC13" s="1931">
        <v>0</v>
      </c>
      <c r="KD13" s="1931">
        <v>48.866927450980391</v>
      </c>
      <c r="KE13" s="1942">
        <v>102.33726953670046</v>
      </c>
      <c r="KF13" s="1930">
        <v>68.192614901960795</v>
      </c>
      <c r="KG13" s="1931">
        <v>3.1380113546270905</v>
      </c>
      <c r="KH13" s="1931">
        <v>19.621139215686277</v>
      </c>
      <c r="KI13" s="1931">
        <v>25.827406296559918</v>
      </c>
      <c r="KJ13" s="1931">
        <v>55.261901176470587</v>
      </c>
      <c r="KK13" s="1931">
        <v>1.4974354522654509</v>
      </c>
      <c r="KL13" s="1931">
        <v>14.986472549019611</v>
      </c>
      <c r="KM13" s="1931">
        <v>18.933456587947212</v>
      </c>
      <c r="KN13" s="1931">
        <v>0</v>
      </c>
      <c r="KO13" s="1931">
        <v>0</v>
      </c>
      <c r="KP13" s="1931">
        <v>49.679554901960785</v>
      </c>
      <c r="KQ13" s="1942">
        <v>127.05022230324521</v>
      </c>
      <c r="KR13" s="1930">
        <v>69.833979607843148</v>
      </c>
      <c r="KS13" s="1931">
        <v>12.607781547452754</v>
      </c>
      <c r="KT13" s="1931">
        <v>17.666425490196083</v>
      </c>
      <c r="KU13" s="1931">
        <v>13.545622148468734</v>
      </c>
      <c r="KV13" s="1931">
        <v>56.782795294117655</v>
      </c>
      <c r="KW13" s="1931">
        <v>7.625304062654731</v>
      </c>
      <c r="KX13" s="1931">
        <v>13.457092156862746</v>
      </c>
      <c r="KY13" s="1931">
        <v>9.098568249996756</v>
      </c>
      <c r="KZ13" s="1931">
        <v>93.064172549019617</v>
      </c>
      <c r="LA13" s="1931">
        <v>3.4780397108501107</v>
      </c>
      <c r="LB13" s="1931">
        <v>44.966315686274513</v>
      </c>
      <c r="LC13" s="1942">
        <v>84.158766358344337</v>
      </c>
      <c r="LD13" s="1930">
        <v>42.312470588235293</v>
      </c>
      <c r="LE13" s="1931">
        <v>0.98927409849617409</v>
      </c>
      <c r="LF13" s="1931">
        <v>20.025562745098043</v>
      </c>
      <c r="LG13" s="1931">
        <v>20.825309752635441</v>
      </c>
      <c r="LH13" s="1931">
        <v>38.75247058823529</v>
      </c>
      <c r="LI13" s="1931">
        <v>0.20142919552255506</v>
      </c>
      <c r="LJ13" s="1931">
        <v>15.302896078431377</v>
      </c>
      <c r="LK13" s="1931">
        <v>13.567218127190541</v>
      </c>
      <c r="LL13" s="1931">
        <v>0</v>
      </c>
      <c r="LM13" s="1931">
        <v>0</v>
      </c>
      <c r="LN13" s="1931">
        <v>50.65470784313726</v>
      </c>
      <c r="LO13" s="1942">
        <v>127.95030036526606</v>
      </c>
      <c r="LP13" s="1930">
        <v>71.127981176470598</v>
      </c>
      <c r="LQ13" s="1931">
        <v>6.8078399506039942</v>
      </c>
      <c r="LR13" s="1931">
        <v>20.227774509803925</v>
      </c>
      <c r="LS13" s="1931">
        <v>20.615039003276625</v>
      </c>
      <c r="LT13" s="1931">
        <v>57.927792941176477</v>
      </c>
      <c r="LU13" s="1931">
        <v>3.9915989071708564</v>
      </c>
      <c r="LV13" s="1931">
        <v>15.461107843137258</v>
      </c>
      <c r="LW13" s="1931">
        <v>14.693435382729605</v>
      </c>
      <c r="LX13" s="1931">
        <v>0</v>
      </c>
      <c r="LY13" s="1931">
        <v>0</v>
      </c>
      <c r="LZ13" s="1931">
        <v>51.142284313725497</v>
      </c>
      <c r="MA13" s="1942">
        <v>108.75610584637319</v>
      </c>
      <c r="MB13" s="1930">
        <v>57.354611764705886</v>
      </c>
      <c r="MC13" s="1931">
        <v>0</v>
      </c>
      <c r="MD13" s="1931">
        <v>26.631147058823533</v>
      </c>
      <c r="ME13" s="1931">
        <v>23.223674422667706</v>
      </c>
      <c r="MF13" s="1931">
        <v>45.329670588235295</v>
      </c>
      <c r="MG13" s="1931">
        <v>0</v>
      </c>
      <c r="MH13" s="1931">
        <v>20.471147058823533</v>
      </c>
      <c r="MI13" s="1931">
        <v>13.262789518338801</v>
      </c>
      <c r="MJ13" s="1931">
        <v>0</v>
      </c>
      <c r="MK13" s="1931">
        <v>0</v>
      </c>
      <c r="ML13" s="1931">
        <v>66.582205882352952</v>
      </c>
      <c r="MM13" s="1942">
        <v>155.33214730778175</v>
      </c>
      <c r="MN13" s="1930">
        <v>54.01527058823531</v>
      </c>
      <c r="MO13" s="1931">
        <v>0</v>
      </c>
      <c r="MP13" s="1931">
        <v>22.115084313725493</v>
      </c>
      <c r="MQ13" s="1931">
        <v>24.568401480144203</v>
      </c>
      <c r="MR13" s="1931">
        <v>42.66962352941178</v>
      </c>
      <c r="MS13" s="1931">
        <v>0</v>
      </c>
      <c r="MT13" s="1931">
        <v>16.93775098039216</v>
      </c>
      <c r="MU13" s="1931">
        <v>15.726806957905605</v>
      </c>
      <c r="MV13" s="1931">
        <v>0</v>
      </c>
      <c r="MW13" s="1931">
        <v>0</v>
      </c>
      <c r="MX13" s="1931">
        <v>55.692998039215688</v>
      </c>
      <c r="MY13" s="1942">
        <v>156.12896421780908</v>
      </c>
      <c r="MZ13" s="1930">
        <v>66.080261960784313</v>
      </c>
      <c r="NA13" s="1931">
        <v>4.9703642958035648</v>
      </c>
      <c r="NB13" s="1931">
        <v>21.036621568627453</v>
      </c>
      <c r="NC13" s="1931">
        <v>19.661379701112029</v>
      </c>
      <c r="ND13" s="1931">
        <v>53.753077647058824</v>
      </c>
      <c r="NE13" s="1931">
        <v>2.5729840175822623</v>
      </c>
      <c r="NF13" s="1931">
        <v>16.093954901960789</v>
      </c>
      <c r="NG13" s="1931">
        <v>13.450365101404094</v>
      </c>
      <c r="NH13" s="1931">
        <v>0</v>
      </c>
      <c r="NI13" s="1931">
        <v>0</v>
      </c>
      <c r="NJ13" s="1931">
        <v>53.092590196078433</v>
      </c>
      <c r="NK13" s="1942">
        <v>111.60035466496645</v>
      </c>
      <c r="NL13" s="1930">
        <v>66.85755137254904</v>
      </c>
      <c r="NM13" s="1931">
        <v>7.2748332729154086</v>
      </c>
      <c r="NN13" s="1931">
        <v>19.82335098039216</v>
      </c>
      <c r="NO13" s="1931">
        <v>22.400767630701633</v>
      </c>
      <c r="NP13" s="1931">
        <v>54.517378823529413</v>
      </c>
      <c r="NQ13" s="1931">
        <v>4.4054206488617424</v>
      </c>
      <c r="NR13" s="1931">
        <v>15.144684313725492</v>
      </c>
      <c r="NS13" s="1931">
        <v>16.2185754797862</v>
      </c>
      <c r="NT13" s="1931">
        <v>0</v>
      </c>
      <c r="NU13" s="1931">
        <v>0</v>
      </c>
      <c r="NV13" s="1931">
        <v>50.167131372549022</v>
      </c>
      <c r="NW13" s="1942">
        <v>112.54469665159313</v>
      </c>
      <c r="NX13" s="1930">
        <v>69.782172549019606</v>
      </c>
      <c r="NY13" s="1931">
        <v>0.93556995232851503</v>
      </c>
      <c r="NZ13" s="1931">
        <v>22.856527450980394</v>
      </c>
      <c r="OA13" s="1931">
        <v>19.879718802666069</v>
      </c>
      <c r="OB13" s="1931">
        <v>57.595741176470597</v>
      </c>
      <c r="OC13" s="1931">
        <v>0.12840537079473574</v>
      </c>
      <c r="OD13" s="1931">
        <v>17.517860784313729</v>
      </c>
      <c r="OE13" s="1931">
        <v>12.361294312819926</v>
      </c>
      <c r="OF13" s="1931">
        <v>0</v>
      </c>
      <c r="OG13" s="1931">
        <v>0</v>
      </c>
      <c r="OH13" s="1931">
        <v>57.480778431372556</v>
      </c>
      <c r="OI13" s="1932">
        <v>126.39428696644799</v>
      </c>
      <c r="OJ13" s="1930">
        <v>68.5803137254902</v>
      </c>
      <c r="OK13" s="1931">
        <v>11.238647441959548</v>
      </c>
      <c r="OL13" s="1931">
        <v>18.812292156862746</v>
      </c>
      <c r="OM13" s="1931">
        <v>15.45115361995461</v>
      </c>
      <c r="ON13" s="1931">
        <v>55.852470588235306</v>
      </c>
      <c r="OO13" s="1931">
        <v>6.7582224277355358</v>
      </c>
      <c r="OP13" s="1931">
        <v>14.353625490196082</v>
      </c>
      <c r="OQ13" s="1931">
        <v>10.114279391134787</v>
      </c>
      <c r="OR13" s="1931">
        <v>91.005490196078455</v>
      </c>
      <c r="OS13" s="1931">
        <v>1.4193594858009482</v>
      </c>
      <c r="OT13" s="1931">
        <v>47.729249019607842</v>
      </c>
      <c r="OU13" s="1932">
        <v>92.333434915850347</v>
      </c>
      <c r="OV13" s="1930">
        <v>67.480478431372561</v>
      </c>
      <c r="OW13" s="1931">
        <v>0.1875488650843751</v>
      </c>
      <c r="OX13" s="1931">
        <v>25.687492156862753</v>
      </c>
      <c r="OY13" s="1931">
        <v>24.437221431805281</v>
      </c>
      <c r="OZ13" s="1931">
        <v>55.676870588235296</v>
      </c>
      <c r="PA13" s="1931">
        <v>0</v>
      </c>
      <c r="PB13" s="1931">
        <v>19.732825490196085</v>
      </c>
      <c r="PC13" s="1931">
        <v>15.285183738394149</v>
      </c>
      <c r="PD13" s="1931">
        <v>0</v>
      </c>
      <c r="PE13" s="1931">
        <v>0</v>
      </c>
      <c r="PF13" s="1931">
        <v>64.306849019607853</v>
      </c>
      <c r="PG13" s="1932">
        <v>140.20769453597396</v>
      </c>
      <c r="PH13" s="1930">
        <v>70.833621960784342</v>
      </c>
      <c r="PI13" s="1931">
        <v>7.0936626302810639</v>
      </c>
      <c r="PJ13" s="1931">
        <v>20.025562745098043</v>
      </c>
      <c r="PK13" s="1931">
        <v>17.071335026076568</v>
      </c>
      <c r="PL13" s="1931">
        <v>57.705919999999999</v>
      </c>
      <c r="PM13" s="1931">
        <v>4.103113790579755</v>
      </c>
      <c r="PN13" s="1931">
        <v>15.302896078431377</v>
      </c>
      <c r="PO13" s="1931">
        <v>11.690013509979581</v>
      </c>
      <c r="PP13" s="1931">
        <v>0</v>
      </c>
      <c r="PQ13" s="1931">
        <v>0</v>
      </c>
      <c r="PR13" s="1931">
        <v>50.65470784313726</v>
      </c>
      <c r="PS13" s="1932">
        <v>98.829028187522084</v>
      </c>
      <c r="PT13" s="1930">
        <v>70.070166274509816</v>
      </c>
      <c r="PU13" s="1931">
        <v>7.4811990949588152</v>
      </c>
      <c r="PV13" s="1931">
        <v>19.688543137254904</v>
      </c>
      <c r="PW13" s="1931">
        <v>20.963113531542948</v>
      </c>
      <c r="PX13" s="1931">
        <v>57.079280000000004</v>
      </c>
      <c r="PY13" s="1931">
        <v>4.5125183913881095</v>
      </c>
      <c r="PZ13" s="1931">
        <v>15.039209803921572</v>
      </c>
      <c r="QA13" s="1931">
        <v>14.958953879475917</v>
      </c>
      <c r="QB13" s="1931">
        <v>0</v>
      </c>
      <c r="QC13" s="1931">
        <v>0</v>
      </c>
      <c r="QD13" s="1931">
        <v>49.842080392156866</v>
      </c>
      <c r="QE13" s="1932">
        <v>109.22030065465937</v>
      </c>
      <c r="QF13" s="1930">
        <v>44.718901960784315</v>
      </c>
      <c r="QG13" s="1931">
        <v>0</v>
      </c>
      <c r="QH13" s="1931">
        <v>22.249892156862749</v>
      </c>
      <c r="QI13" s="1931">
        <v>19.290534141771197</v>
      </c>
      <c r="QJ13" s="1931">
        <v>37.99814117647059</v>
      </c>
      <c r="QK13" s="1931">
        <v>0</v>
      </c>
      <c r="QL13" s="1931">
        <v>17.043225490196082</v>
      </c>
      <c r="QM13" s="1931">
        <v>11.136160575854545</v>
      </c>
      <c r="QN13" s="1931">
        <v>0</v>
      </c>
      <c r="QO13" s="1931">
        <v>0</v>
      </c>
      <c r="QP13" s="1931">
        <v>56.018049019607851</v>
      </c>
      <c r="QQ13" s="1932">
        <v>145.05642875950412</v>
      </c>
      <c r="QR13" s="1930">
        <v>70.726668235294113</v>
      </c>
      <c r="QS13" s="1931">
        <v>8.228859466454578</v>
      </c>
      <c r="QT13" s="1931">
        <v>19.958158823529416</v>
      </c>
      <c r="QU13" s="1931">
        <v>19.080723812889921</v>
      </c>
      <c r="QV13" s="1931">
        <v>57.606291764705894</v>
      </c>
      <c r="QW13" s="1931">
        <v>5.0370888546242556</v>
      </c>
      <c r="QX13" s="1931">
        <v>15.250158823529414</v>
      </c>
      <c r="QY13" s="1931">
        <v>13.305782153284317</v>
      </c>
      <c r="QZ13" s="1931">
        <v>0</v>
      </c>
      <c r="RA13" s="1931">
        <v>0</v>
      </c>
      <c r="RB13" s="1931">
        <v>50.492182352941178</v>
      </c>
      <c r="RC13" s="1932">
        <v>104.23389548513221</v>
      </c>
      <c r="RD13" s="1930">
        <v>69.821311372549019</v>
      </c>
      <c r="RE13" s="1931">
        <v>7.6126663130843584</v>
      </c>
      <c r="RF13" s="1931">
        <v>19.82335098039216</v>
      </c>
      <c r="RG13" s="1931">
        <v>18.41339519815179</v>
      </c>
      <c r="RH13" s="1931">
        <v>56.843444705882348</v>
      </c>
      <c r="RI13" s="1931">
        <v>4.6175137741005718</v>
      </c>
      <c r="RJ13" s="1931">
        <v>15.144684313725492</v>
      </c>
      <c r="RK13" s="1931">
        <v>12.760188792503513</v>
      </c>
      <c r="RL13" s="1931">
        <v>0</v>
      </c>
      <c r="RM13" s="1931">
        <v>0</v>
      </c>
      <c r="RN13" s="1931">
        <v>50.167131372549022</v>
      </c>
      <c r="RO13" s="1932">
        <v>102.87718047633325</v>
      </c>
    </row>
    <row r="14" spans="1:483">
      <c r="A14" s="633">
        <f>Eingabedaten!A16</f>
        <v>3.04</v>
      </c>
      <c r="B14" s="379" t="str">
        <f>Eingabedaten!C16</f>
        <v>Schalterhalle, Empfang</v>
      </c>
      <c r="C14" s="379"/>
      <c r="D14" s="1930">
        <v>23.349291503267974</v>
      </c>
      <c r="E14" s="1931">
        <v>0</v>
      </c>
      <c r="F14" s="1931">
        <v>15.724878431372549</v>
      </c>
      <c r="G14" s="1931">
        <v>10.858883789149505</v>
      </c>
      <c r="H14" s="1931">
        <v>18.461903267973859</v>
      </c>
      <c r="I14" s="1931">
        <v>0</v>
      </c>
      <c r="J14" s="1931">
        <v>12.55056732026144</v>
      </c>
      <c r="K14" s="1931">
        <v>6.6635774117049049</v>
      </c>
      <c r="L14" s="1931">
        <v>0</v>
      </c>
      <c r="M14" s="1931">
        <v>0</v>
      </c>
      <c r="N14" s="1931">
        <v>41.332909803921559</v>
      </c>
      <c r="O14" s="1942">
        <v>63.36420592426385</v>
      </c>
      <c r="P14" s="1930">
        <v>31.167467712418308</v>
      </c>
      <c r="Q14" s="1931">
        <v>5.2261429950398446</v>
      </c>
      <c r="R14" s="1931">
        <v>13.312088888888889</v>
      </c>
      <c r="S14" s="1931">
        <v>11.673659601644259</v>
      </c>
      <c r="T14" s="1931">
        <v>23.477752679738565</v>
      </c>
      <c r="U14" s="1931">
        <v>2.6587499234809724</v>
      </c>
      <c r="V14" s="1931">
        <v>10.597333333333335</v>
      </c>
      <c r="W14" s="1931">
        <v>8.6831927648089255</v>
      </c>
      <c r="X14" s="1931">
        <v>48.477040522875818</v>
      </c>
      <c r="Y14" s="1931">
        <v>2.1846311239170704</v>
      </c>
      <c r="Z14" s="1931">
        <v>35.338044444444449</v>
      </c>
      <c r="AA14" s="1942">
        <v>50.402434469343014</v>
      </c>
      <c r="AB14" s="1930">
        <v>27.238252549019609</v>
      </c>
      <c r="AC14" s="1931">
        <v>3.5579509502759454</v>
      </c>
      <c r="AD14" s="1931">
        <v>13.363424836601308</v>
      </c>
      <c r="AE14" s="1931">
        <v>14.214631146067735</v>
      </c>
      <c r="AF14" s="1931">
        <v>24.337719215686278</v>
      </c>
      <c r="AG14" s="1931">
        <v>1.4452479023009221</v>
      </c>
      <c r="AH14" s="1931">
        <v>10.638891503267976</v>
      </c>
      <c r="AI14" s="1931">
        <v>10.990475829555596</v>
      </c>
      <c r="AJ14" s="1931">
        <v>43.089777777777776</v>
      </c>
      <c r="AK14" s="1931">
        <v>0.30249940896461502</v>
      </c>
      <c r="AL14" s="1931">
        <v>35.465594771241825</v>
      </c>
      <c r="AM14" s="1942">
        <v>56.673654632547525</v>
      </c>
      <c r="AN14" s="1930">
        <v>32.387570718954251</v>
      </c>
      <c r="AO14" s="1931">
        <v>7.5582678207015856</v>
      </c>
      <c r="AP14" s="1931">
        <v>13.825448366013072</v>
      </c>
      <c r="AQ14" s="1931">
        <v>10.137138154733917</v>
      </c>
      <c r="AR14" s="1931">
        <v>24.438611241830063</v>
      </c>
      <c r="AS14" s="1931">
        <v>3.9908654678430473</v>
      </c>
      <c r="AT14" s="1931">
        <v>11.012915032679739</v>
      </c>
      <c r="AU14" s="1931">
        <v>7.3930408463067963</v>
      </c>
      <c r="AV14" s="1931">
        <v>51.087963398692807</v>
      </c>
      <c r="AW14" s="1931">
        <v>4.5154650281422635</v>
      </c>
      <c r="AX14" s="1931">
        <v>36.613547712418296</v>
      </c>
      <c r="AY14" s="1942">
        <v>45.567913953837497</v>
      </c>
      <c r="AZ14" s="1930">
        <v>29.953153464052289</v>
      </c>
      <c r="BA14" s="1931">
        <v>5.4648359777140314</v>
      </c>
      <c r="BB14" s="1931">
        <v>14.287471895424837</v>
      </c>
      <c r="BC14" s="1931">
        <v>12.217099928253816</v>
      </c>
      <c r="BD14" s="1931">
        <v>22.829550849673204</v>
      </c>
      <c r="BE14" s="1931">
        <v>2.7927639321621429</v>
      </c>
      <c r="BF14" s="1931">
        <v>11.386938562091505</v>
      </c>
      <c r="BG14" s="1931">
        <v>8.8090519840435313</v>
      </c>
      <c r="BH14" s="1931">
        <v>46.908088888888898</v>
      </c>
      <c r="BI14" s="1931">
        <v>2.1604531593315159</v>
      </c>
      <c r="BJ14" s="1931">
        <v>37.761500653594766</v>
      </c>
      <c r="BK14" s="1942">
        <v>53.385679343527634</v>
      </c>
      <c r="BL14" s="1930">
        <v>29.962764967320265</v>
      </c>
      <c r="BM14" s="1931">
        <v>5.7439388801805027</v>
      </c>
      <c r="BN14" s="1931">
        <v>14.133464052287582</v>
      </c>
      <c r="BO14" s="1931">
        <v>13.973428709075071</v>
      </c>
      <c r="BP14" s="1931">
        <v>22.90225777777778</v>
      </c>
      <c r="BQ14" s="1931">
        <v>2.9363850005084591</v>
      </c>
      <c r="BR14" s="1931">
        <v>11.262264052287584</v>
      </c>
      <c r="BS14" s="1931">
        <v>10.658405463248124</v>
      </c>
      <c r="BT14" s="1931">
        <v>47.561338562091514</v>
      </c>
      <c r="BU14" s="1931">
        <v>2.3955260507545626</v>
      </c>
      <c r="BV14" s="1931">
        <v>37.378849673202616</v>
      </c>
      <c r="BW14" s="1942">
        <v>55.941361604298471</v>
      </c>
      <c r="BX14" s="1930">
        <v>30.056879477124184</v>
      </c>
      <c r="BY14" s="1931">
        <v>4.2565451069087672</v>
      </c>
      <c r="BZ14" s="1931">
        <v>14.184799999999999</v>
      </c>
      <c r="CA14" s="1931">
        <v>9.9007700261743459</v>
      </c>
      <c r="CB14" s="1931">
        <v>22.913046797385626</v>
      </c>
      <c r="CC14" s="1931">
        <v>1.9387000502944747</v>
      </c>
      <c r="CD14" s="1931">
        <v>11.303822222222223</v>
      </c>
      <c r="CE14" s="1931">
        <v>6.8063334408991905</v>
      </c>
      <c r="CF14" s="1931">
        <v>47.147628758169937</v>
      </c>
      <c r="CG14" s="1931">
        <v>0.88223923154371275</v>
      </c>
      <c r="CH14" s="1931">
        <v>37.506399999999999</v>
      </c>
      <c r="CI14" s="1942">
        <v>48.367762731951188</v>
      </c>
      <c r="CJ14" s="1930">
        <v>22.129333333333339</v>
      </c>
      <c r="CK14" s="1931">
        <v>0</v>
      </c>
      <c r="CL14" s="1931">
        <v>17.213620915032678</v>
      </c>
      <c r="CM14" s="1931">
        <v>12.575520163296209</v>
      </c>
      <c r="CN14" s="1931">
        <v>16.208549019607847</v>
      </c>
      <c r="CO14" s="1931">
        <v>0</v>
      </c>
      <c r="CP14" s="1931">
        <v>13.755754248366015</v>
      </c>
      <c r="CQ14" s="1931">
        <v>7.4708024990769619</v>
      </c>
      <c r="CR14" s="1931">
        <v>0</v>
      </c>
      <c r="CS14" s="1931">
        <v>0</v>
      </c>
      <c r="CT14" s="1931">
        <v>45.031869281045751</v>
      </c>
      <c r="CU14" s="1942">
        <v>69.058734179268043</v>
      </c>
      <c r="CV14" s="1930">
        <v>28.980206013071893</v>
      </c>
      <c r="CW14" s="1931">
        <v>0.65188348123699769</v>
      </c>
      <c r="CX14" s="1931">
        <v>15.468198692810457</v>
      </c>
      <c r="CY14" s="1931">
        <v>9.8784308851407925</v>
      </c>
      <c r="CZ14" s="1931">
        <v>22.021717124183006</v>
      </c>
      <c r="DA14" s="1931">
        <v>0</v>
      </c>
      <c r="DB14" s="1931">
        <v>12.342776470588237</v>
      </c>
      <c r="DC14" s="1931">
        <v>6.1348751717332775</v>
      </c>
      <c r="DD14" s="1931">
        <v>0</v>
      </c>
      <c r="DE14" s="1931">
        <v>0</v>
      </c>
      <c r="DF14" s="1931">
        <v>40.695158169934636</v>
      </c>
      <c r="DG14" s="1942">
        <v>56.980758354161445</v>
      </c>
      <c r="DH14" s="1930">
        <v>29.260695947712421</v>
      </c>
      <c r="DI14" s="1931">
        <v>6.5570550769451508E-2</v>
      </c>
      <c r="DJ14" s="1931">
        <v>16.238237908496732</v>
      </c>
      <c r="DK14" s="1931">
        <v>17.441030443074808</v>
      </c>
      <c r="DL14" s="1931">
        <v>21.988792679738566</v>
      </c>
      <c r="DM14" s="1931">
        <v>0</v>
      </c>
      <c r="DN14" s="1931">
        <v>12.966149019607844</v>
      </c>
      <c r="DO14" s="1931">
        <v>12.744384519005063</v>
      </c>
      <c r="DP14" s="1931">
        <v>0</v>
      </c>
      <c r="DQ14" s="1931">
        <v>0</v>
      </c>
      <c r="DR14" s="1931">
        <v>42.608413071895413</v>
      </c>
      <c r="DS14" s="1942">
        <v>71.58396609878946</v>
      </c>
      <c r="DT14" s="1930">
        <v>31.059628758169939</v>
      </c>
      <c r="DU14" s="1931">
        <v>8.7522058427590697</v>
      </c>
      <c r="DV14" s="1931">
        <v>12.64472156862745</v>
      </c>
      <c r="DW14" s="1931">
        <v>9.7433125844588542</v>
      </c>
      <c r="DX14" s="1931">
        <v>23.704543790849673</v>
      </c>
      <c r="DY14" s="1931">
        <v>4.5453459351776342</v>
      </c>
      <c r="DZ14" s="1931">
        <v>10.057077124183007</v>
      </c>
      <c r="EA14" s="1931">
        <v>7.0648341249580326</v>
      </c>
      <c r="EB14" s="1931">
        <v>49.311006535947712</v>
      </c>
      <c r="EC14" s="1931">
        <v>6.0396268903281385</v>
      </c>
      <c r="ED14" s="1931">
        <v>33.679890196078432</v>
      </c>
      <c r="EE14" s="1942">
        <v>43.707402771451903</v>
      </c>
      <c r="EF14" s="1930">
        <v>29.770213856209153</v>
      </c>
      <c r="EG14" s="1931">
        <v>2.6701610173809676</v>
      </c>
      <c r="EH14" s="1931">
        <v>14.698159477124182</v>
      </c>
      <c r="EI14" s="1931">
        <v>18.557371015798623</v>
      </c>
      <c r="EJ14" s="1931">
        <v>22.727097516339867</v>
      </c>
      <c r="EK14" s="1931">
        <v>0.84233153314081455</v>
      </c>
      <c r="EL14" s="1931">
        <v>11.719403921568629</v>
      </c>
      <c r="EM14" s="1931">
        <v>14.462197433605922</v>
      </c>
      <c r="EN14" s="1931">
        <v>0</v>
      </c>
      <c r="EO14" s="1931">
        <v>0</v>
      </c>
      <c r="EP14" s="1931">
        <v>38.78190326797386</v>
      </c>
      <c r="EQ14" s="1942">
        <v>68.099453467985384</v>
      </c>
      <c r="ER14" s="1930">
        <v>18.619764705882357</v>
      </c>
      <c r="ES14" s="1931">
        <v>0</v>
      </c>
      <c r="ET14" s="1931">
        <v>18.394347712418298</v>
      </c>
      <c r="EU14" s="1931">
        <v>15.544281660855876</v>
      </c>
      <c r="EV14" s="1931">
        <v>13.521971241830062</v>
      </c>
      <c r="EW14" s="1931">
        <v>0</v>
      </c>
      <c r="EX14" s="1931">
        <v>14.711592156862746</v>
      </c>
      <c r="EY14" s="1931">
        <v>9.4801745001958331</v>
      </c>
      <c r="EZ14" s="1931">
        <v>0</v>
      </c>
      <c r="FA14" s="1931">
        <v>0</v>
      </c>
      <c r="FB14" s="1931">
        <v>47.965526797385614</v>
      </c>
      <c r="FC14" s="1942">
        <v>79.990226735503413</v>
      </c>
      <c r="FD14" s="1930">
        <v>29.266581437908503</v>
      </c>
      <c r="FE14" s="1931">
        <v>5.2988604984790042</v>
      </c>
      <c r="FF14" s="1931">
        <v>14.082128104575164</v>
      </c>
      <c r="FG14" s="1931">
        <v>13.981869938530243</v>
      </c>
      <c r="FH14" s="1931">
        <v>22.278003660130722</v>
      </c>
      <c r="FI14" s="1931">
        <v>2.6741504089801218</v>
      </c>
      <c r="FJ14" s="1931">
        <v>11.220705882352942</v>
      </c>
      <c r="FK14" s="1931">
        <v>10.581988654123684</v>
      </c>
      <c r="FL14" s="1931">
        <v>45.333432679738564</v>
      </c>
      <c r="FM14" s="1931">
        <v>1.8700396361389306</v>
      </c>
      <c r="FN14" s="1931">
        <v>37.251299346405226</v>
      </c>
      <c r="FO14" s="1942">
        <v>56.380154142171897</v>
      </c>
      <c r="FP14" s="1930">
        <v>27.972264052287585</v>
      </c>
      <c r="FQ14" s="1931">
        <v>3.7934191223393348</v>
      </c>
      <c r="FR14" s="1931">
        <v>14.082128104575164</v>
      </c>
      <c r="FS14" s="1931">
        <v>13.85306566827049</v>
      </c>
      <c r="FT14" s="1931">
        <v>21.287649673202612</v>
      </c>
      <c r="FU14" s="1931">
        <v>1.5732626893830235</v>
      </c>
      <c r="FV14" s="1931">
        <v>11.220705882352942</v>
      </c>
      <c r="FW14" s="1931">
        <v>10.15288924589362</v>
      </c>
      <c r="FX14" s="1931">
        <v>42.844888888888882</v>
      </c>
      <c r="FY14" s="1931">
        <v>0.31563131042482578</v>
      </c>
      <c r="FZ14" s="1931">
        <v>37.251299346405226</v>
      </c>
      <c r="GA14" s="1942">
        <v>58.174379983891633</v>
      </c>
      <c r="GB14" s="1930">
        <v>27.443635555555556</v>
      </c>
      <c r="GC14" s="1931">
        <v>1.340390082160982</v>
      </c>
      <c r="GD14" s="1931">
        <v>15.365526797385622</v>
      </c>
      <c r="GE14" s="1931">
        <v>11.825313863220709</v>
      </c>
      <c r="GF14" s="1931">
        <v>21.407811764705887</v>
      </c>
      <c r="GG14" s="1931">
        <v>0.12721529606901871</v>
      </c>
      <c r="GH14" s="1931">
        <v>12.259660130718956</v>
      </c>
      <c r="GI14" s="1931">
        <v>7.7632589880852834</v>
      </c>
      <c r="GJ14" s="1931">
        <v>0</v>
      </c>
      <c r="GK14" s="1931">
        <v>0</v>
      </c>
      <c r="GL14" s="1931">
        <v>40.44005751633987</v>
      </c>
      <c r="GM14" s="1942">
        <v>60.384023490576013</v>
      </c>
      <c r="GN14" s="1930">
        <v>27.317971241830065</v>
      </c>
      <c r="GO14" s="1931">
        <v>0.52860072161088867</v>
      </c>
      <c r="GP14" s="1931">
        <v>15.41686274509804</v>
      </c>
      <c r="GQ14" s="1931">
        <v>15.762935354520341</v>
      </c>
      <c r="GR14" s="1931">
        <v>20.525918954248368</v>
      </c>
      <c r="GS14" s="1931">
        <v>0</v>
      </c>
      <c r="GT14" s="1931">
        <v>12.301218300653597</v>
      </c>
      <c r="GU14" s="1931">
        <v>11.058768408360729</v>
      </c>
      <c r="GV14" s="1931">
        <v>0</v>
      </c>
      <c r="GW14" s="1931">
        <v>0</v>
      </c>
      <c r="GX14" s="1931">
        <v>40.567607843137253</v>
      </c>
      <c r="GY14" s="1942">
        <v>69.909968368305741</v>
      </c>
      <c r="GZ14" s="1930">
        <v>29.488837647058823</v>
      </c>
      <c r="HA14" s="1931">
        <v>10.724465011829173</v>
      </c>
      <c r="HB14" s="1931">
        <v>11.155979084967321</v>
      </c>
      <c r="HC14" s="1931">
        <v>5.6499143750907157</v>
      </c>
      <c r="HD14" s="1931">
        <v>22.913297777777778</v>
      </c>
      <c r="HE14" s="1931">
        <v>5.9393096050069927</v>
      </c>
      <c r="HF14" s="1931">
        <v>8.8518901960784326</v>
      </c>
      <c r="HG14" s="1931">
        <v>3.7098925748625349</v>
      </c>
      <c r="HH14" s="1931">
        <v>45.879341176470589</v>
      </c>
      <c r="HI14" s="1931">
        <v>8.9987058038602363</v>
      </c>
      <c r="HJ14" s="1931">
        <v>29.980930718954248</v>
      </c>
      <c r="HK14" s="1942">
        <v>33.236908468505241</v>
      </c>
      <c r="HL14" s="1930">
        <v>31.267564444444446</v>
      </c>
      <c r="HM14" s="1931">
        <v>11.44110382557078</v>
      </c>
      <c r="HN14" s="1931">
        <v>10.899299346405229</v>
      </c>
      <c r="HO14" s="1931">
        <v>4.9609442043042025</v>
      </c>
      <c r="HP14" s="1931">
        <v>23.754306928104576</v>
      </c>
      <c r="HQ14" s="1931">
        <v>6.4693753519941879</v>
      </c>
      <c r="HR14" s="1931">
        <v>8.6440993464052305</v>
      </c>
      <c r="HS14" s="1931">
        <v>3.1281915816835872</v>
      </c>
      <c r="HT14" s="1931">
        <v>48.648779084967323</v>
      </c>
      <c r="HU14" s="1931">
        <v>9.9771272344780169</v>
      </c>
      <c r="HV14" s="1931">
        <v>29.343179084967321</v>
      </c>
      <c r="HW14" s="1942">
        <v>32.164193520762332</v>
      </c>
      <c r="HX14" s="1930">
        <v>31.038745620915034</v>
      </c>
      <c r="HY14" s="1931">
        <v>5.0712521754255526</v>
      </c>
      <c r="HZ14" s="1931">
        <v>13.774112418300653</v>
      </c>
      <c r="IA14" s="1931">
        <v>13.447551947187058</v>
      </c>
      <c r="IB14" s="1931">
        <v>23.44694692810458</v>
      </c>
      <c r="IC14" s="1931">
        <v>2.5408412717449171</v>
      </c>
      <c r="ID14" s="1931">
        <v>10.971356862745099</v>
      </c>
      <c r="IE14" s="1931">
        <v>10.172082880077554</v>
      </c>
      <c r="IF14" s="1931">
        <v>48.886990849673211</v>
      </c>
      <c r="IG14" s="1931">
        <v>2.0351766265515021</v>
      </c>
      <c r="IH14" s="1931">
        <v>36.485997385620912</v>
      </c>
      <c r="II14" s="1942">
        <v>55.148079041574455</v>
      </c>
      <c r="IJ14" s="1930">
        <v>30.200212287581699</v>
      </c>
      <c r="IK14" s="1931">
        <v>10.671518264773573</v>
      </c>
      <c r="IL14" s="1931">
        <v>12.028690196078431</v>
      </c>
      <c r="IM14" s="1931">
        <v>8.0595533080333119</v>
      </c>
      <c r="IN14" s="1931">
        <v>23.367381960784318</v>
      </c>
      <c r="IO14" s="1931">
        <v>5.9051266759730598</v>
      </c>
      <c r="IP14" s="1931">
        <v>9.5583790849673207</v>
      </c>
      <c r="IQ14" s="1931">
        <v>5.4665710223879573</v>
      </c>
      <c r="IR14" s="1931">
        <v>47.261030065359478</v>
      </c>
      <c r="IS14" s="1931">
        <v>9.1105681006891377</v>
      </c>
      <c r="IT14" s="1931">
        <v>32.149286274509805</v>
      </c>
      <c r="IU14" s="1942">
        <v>39.964993433767042</v>
      </c>
      <c r="IV14" s="1930">
        <v>29.439958169934641</v>
      </c>
      <c r="IW14" s="1931">
        <v>1.1595601467540522</v>
      </c>
      <c r="IX14" s="1931">
        <v>15.41686274509804</v>
      </c>
      <c r="IY14" s="1931">
        <v>8.407790430375444</v>
      </c>
      <c r="IZ14" s="1931">
        <v>22.517186928104575</v>
      </c>
      <c r="JA14" s="1931">
        <v>2.6432928345857653E-2</v>
      </c>
      <c r="JB14" s="1931">
        <v>12.301218300653597</v>
      </c>
      <c r="JC14" s="1931">
        <v>4.8078197095240389</v>
      </c>
      <c r="JD14" s="1931">
        <v>0</v>
      </c>
      <c r="JE14" s="1931">
        <v>0</v>
      </c>
      <c r="JF14" s="1931">
        <v>40.567607843137253</v>
      </c>
      <c r="JG14" s="1942">
        <v>52.563562341177196</v>
      </c>
      <c r="JH14" s="1930">
        <v>27.794226928104578</v>
      </c>
      <c r="JI14" s="1931">
        <v>6.5253543679935566</v>
      </c>
      <c r="JJ14" s="1931">
        <v>13.26075294117647</v>
      </c>
      <c r="JK14" s="1931">
        <v>12.223120232675734</v>
      </c>
      <c r="JL14" s="1931">
        <v>21.381934640522879</v>
      </c>
      <c r="JM14" s="1931">
        <v>3.4695166499094805</v>
      </c>
      <c r="JN14" s="1931">
        <v>10.555775163398692</v>
      </c>
      <c r="JO14" s="1931">
        <v>9.2991946370985978</v>
      </c>
      <c r="JP14" s="1931">
        <v>42.955989542483657</v>
      </c>
      <c r="JQ14" s="1931">
        <v>3.8582635858681829</v>
      </c>
      <c r="JR14" s="1931">
        <v>35.210494117647059</v>
      </c>
      <c r="JS14" s="1942">
        <v>50.689140305615425</v>
      </c>
      <c r="JT14" s="1930">
        <v>30.846097777777779</v>
      </c>
      <c r="JU14" s="1931">
        <v>6.1363893320719889</v>
      </c>
      <c r="JV14" s="1931">
        <v>13.928120261437908</v>
      </c>
      <c r="JW14" s="1931">
        <v>12.458440341584609</v>
      </c>
      <c r="JX14" s="1931">
        <v>23.295232418300653</v>
      </c>
      <c r="JY14" s="1931">
        <v>3.2256261313652956</v>
      </c>
      <c r="JZ14" s="1931">
        <v>11.096031372549021</v>
      </c>
      <c r="KA14" s="1931">
        <v>9.2132421711024115</v>
      </c>
      <c r="KB14" s="1931">
        <v>48.474739869281052</v>
      </c>
      <c r="KC14" s="1931">
        <v>2.8282070498042571</v>
      </c>
      <c r="KD14" s="1931">
        <v>36.868648366013069</v>
      </c>
      <c r="KE14" s="1942">
        <v>52.081981577847067</v>
      </c>
      <c r="KF14" s="1930">
        <v>29.498143267973862</v>
      </c>
      <c r="KG14" s="1931">
        <v>2.409006958295282</v>
      </c>
      <c r="KH14" s="1931">
        <v>14.184799999999999</v>
      </c>
      <c r="KI14" s="1931">
        <v>17.003917699156258</v>
      </c>
      <c r="KJ14" s="1931">
        <v>22.092556339869283</v>
      </c>
      <c r="KK14" s="1931">
        <v>0.79108169078608181</v>
      </c>
      <c r="KL14" s="1931">
        <v>11.303822222222223</v>
      </c>
      <c r="KM14" s="1931">
        <v>12.984903714964007</v>
      </c>
      <c r="KN14" s="1931">
        <v>0</v>
      </c>
      <c r="KO14" s="1931">
        <v>0</v>
      </c>
      <c r="KP14" s="1931">
        <v>37.506399999999999</v>
      </c>
      <c r="KQ14" s="1942">
        <v>65.331949573857727</v>
      </c>
      <c r="KR14" s="1930">
        <v>29.59638640522876</v>
      </c>
      <c r="KS14" s="1931">
        <v>8.9981313158914897</v>
      </c>
      <c r="KT14" s="1931">
        <v>12.69605751633987</v>
      </c>
      <c r="KU14" s="1931">
        <v>8.822540269289652</v>
      </c>
      <c r="KV14" s="1931">
        <v>22.303819084967323</v>
      </c>
      <c r="KW14" s="1931">
        <v>4.587677263530149</v>
      </c>
      <c r="KX14" s="1931">
        <v>10.098635294117649</v>
      </c>
      <c r="KY14" s="1931">
        <v>6.3359484541830646</v>
      </c>
      <c r="KZ14" s="1931">
        <v>45.730159477124189</v>
      </c>
      <c r="LA14" s="1931">
        <v>6.0362539045693433</v>
      </c>
      <c r="LB14" s="1931">
        <v>33.807440522875815</v>
      </c>
      <c r="LC14" s="1942">
        <v>41.427713617474119</v>
      </c>
      <c r="LD14" s="1930">
        <v>25.257364705882352</v>
      </c>
      <c r="LE14" s="1931">
        <v>0.86520817489050084</v>
      </c>
      <c r="LF14" s="1931">
        <v>14.492815686274509</v>
      </c>
      <c r="LG14" s="1931">
        <v>13.600388598612748</v>
      </c>
      <c r="LH14" s="1931">
        <v>18.739247058823526</v>
      </c>
      <c r="LI14" s="1931">
        <v>2.9760423672207104E-2</v>
      </c>
      <c r="LJ14" s="1931">
        <v>11.553171241830066</v>
      </c>
      <c r="LK14" s="1931">
        <v>9.2859149107078931</v>
      </c>
      <c r="LL14" s="1931">
        <v>0</v>
      </c>
      <c r="LM14" s="1931">
        <v>0</v>
      </c>
      <c r="LN14" s="1931">
        <v>38.271701960784313</v>
      </c>
      <c r="LO14" s="1942">
        <v>64.483086761896715</v>
      </c>
      <c r="LP14" s="1930">
        <v>30.52119529411765</v>
      </c>
      <c r="LQ14" s="1931">
        <v>4.8840462225660337</v>
      </c>
      <c r="LR14" s="1931">
        <v>14.646823529411765</v>
      </c>
      <c r="LS14" s="1931">
        <v>13.528025005899067</v>
      </c>
      <c r="LT14" s="1931">
        <v>23.282324705882353</v>
      </c>
      <c r="LU14" s="1931">
        <v>2.3541895488547753</v>
      </c>
      <c r="LV14" s="1931">
        <v>11.677845751633988</v>
      </c>
      <c r="LW14" s="1931">
        <v>10.14006938496696</v>
      </c>
      <c r="LX14" s="1931">
        <v>48.176376470588238</v>
      </c>
      <c r="LY14" s="1931">
        <v>1.3567528169280803</v>
      </c>
      <c r="LZ14" s="1931">
        <v>38.654352941176469</v>
      </c>
      <c r="MA14" s="1942">
        <v>55.793555873872265</v>
      </c>
      <c r="MB14" s="1930">
        <v>25.893997385620917</v>
      </c>
      <c r="MC14" s="1931">
        <v>0</v>
      </c>
      <c r="MD14" s="1931">
        <v>19.523738562091502</v>
      </c>
      <c r="ME14" s="1931">
        <v>15.400061664991615</v>
      </c>
      <c r="MF14" s="1931">
        <v>19.243383006535943</v>
      </c>
      <c r="MG14" s="1931">
        <v>0</v>
      </c>
      <c r="MH14" s="1931">
        <v>15.62587189542484</v>
      </c>
      <c r="MI14" s="1931">
        <v>8.9677257354151649</v>
      </c>
      <c r="MJ14" s="1931">
        <v>0</v>
      </c>
      <c r="MK14" s="1931">
        <v>0</v>
      </c>
      <c r="ML14" s="1931">
        <v>50.771633986928109</v>
      </c>
      <c r="MM14" s="1942">
        <v>77.990318658135564</v>
      </c>
      <c r="MN14" s="1930">
        <v>24.483937254901964</v>
      </c>
      <c r="MO14" s="1931">
        <v>0</v>
      </c>
      <c r="MP14" s="1931">
        <v>16.084230065359478</v>
      </c>
      <c r="MQ14" s="1931">
        <v>16.155566166786276</v>
      </c>
      <c r="MR14" s="1931">
        <v>18.03860392156863</v>
      </c>
      <c r="MS14" s="1931">
        <v>0</v>
      </c>
      <c r="MT14" s="1931">
        <v>12.841474509803922</v>
      </c>
      <c r="MU14" s="1931">
        <v>10.777507866446797</v>
      </c>
      <c r="MV14" s="1931">
        <v>0</v>
      </c>
      <c r="MW14" s="1931">
        <v>0</v>
      </c>
      <c r="MX14" s="1931">
        <v>42.22576209150327</v>
      </c>
      <c r="MY14" s="1942">
        <v>78.297327017240377</v>
      </c>
      <c r="MZ14" s="1930">
        <v>28.808010457516339</v>
      </c>
      <c r="NA14" s="1931">
        <v>3.6305755857462629</v>
      </c>
      <c r="NB14" s="1931">
        <v>15.262854901960784</v>
      </c>
      <c r="NC14" s="1931">
        <v>12.885365498756773</v>
      </c>
      <c r="ND14" s="1931">
        <v>22.189291503267974</v>
      </c>
      <c r="NE14" s="1931">
        <v>1.4058009756790217</v>
      </c>
      <c r="NF14" s="1931">
        <v>12.176543790849674</v>
      </c>
      <c r="NG14" s="1931">
        <v>9.2658420104050485</v>
      </c>
      <c r="NH14" s="1931">
        <v>0</v>
      </c>
      <c r="NI14" s="1931">
        <v>0</v>
      </c>
      <c r="NJ14" s="1931">
        <v>40.184956862745096</v>
      </c>
      <c r="NK14" s="1942">
        <v>56.854241609192833</v>
      </c>
      <c r="NL14" s="1930">
        <v>28.010500915032679</v>
      </c>
      <c r="NM14" s="1931">
        <v>5.2201425460306217</v>
      </c>
      <c r="NN14" s="1931">
        <v>14.338807843137255</v>
      </c>
      <c r="NO14" s="1931">
        <v>14.704073365301085</v>
      </c>
      <c r="NP14" s="1931">
        <v>21.556847058823529</v>
      </c>
      <c r="NQ14" s="1931">
        <v>2.6320710425122198</v>
      </c>
      <c r="NR14" s="1931">
        <v>11.428496732026145</v>
      </c>
      <c r="NS14" s="1931">
        <v>11.15616518371168</v>
      </c>
      <c r="NT14" s="1931">
        <v>42.980005228758166</v>
      </c>
      <c r="NU14" s="1931">
        <v>1.9066384223532771</v>
      </c>
      <c r="NV14" s="1931">
        <v>37.889050980392156</v>
      </c>
      <c r="NW14" s="1942">
        <v>58.293346892874169</v>
      </c>
      <c r="NX14" s="1930">
        <v>29.284826143790852</v>
      </c>
      <c r="NY14" s="1931">
        <v>0.81055286624478673</v>
      </c>
      <c r="NZ14" s="1931">
        <v>16.648925490196081</v>
      </c>
      <c r="OA14" s="1931">
        <v>13.09361093713934</v>
      </c>
      <c r="OB14" s="1931">
        <v>22.227205228758173</v>
      </c>
      <c r="OC14" s="1931">
        <v>0</v>
      </c>
      <c r="OD14" s="1931">
        <v>13.298614379084968</v>
      </c>
      <c r="OE14" s="1931">
        <v>8.4301815092149361</v>
      </c>
      <c r="OF14" s="1931">
        <v>0</v>
      </c>
      <c r="OG14" s="1931">
        <v>0</v>
      </c>
      <c r="OH14" s="1931">
        <v>43.628815686274507</v>
      </c>
      <c r="OI14" s="1932">
        <v>63.49444713281359</v>
      </c>
      <c r="OJ14" s="1930">
        <v>29.246778039215688</v>
      </c>
      <c r="OK14" s="1931">
        <v>8.0775653629374187</v>
      </c>
      <c r="OL14" s="1931">
        <v>13.56876862745098</v>
      </c>
      <c r="OM14" s="1931">
        <v>10.139413668846625</v>
      </c>
      <c r="ON14" s="1931">
        <v>22.273264313725495</v>
      </c>
      <c r="OO14" s="1931">
        <v>4.0981604386976329</v>
      </c>
      <c r="OP14" s="1931">
        <v>10.805124183006537</v>
      </c>
      <c r="OQ14" s="1931">
        <v>6.975786488721619</v>
      </c>
      <c r="OR14" s="1931">
        <v>45.39650196078432</v>
      </c>
      <c r="OS14" s="1931">
        <v>4.7953962511516659</v>
      </c>
      <c r="OT14" s="1931">
        <v>35.975796078431372</v>
      </c>
      <c r="OU14" s="1932">
        <v>46.368715200658968</v>
      </c>
      <c r="OV14" s="1930">
        <v>28.244318954248367</v>
      </c>
      <c r="OW14" s="1931">
        <v>0.21051444558116225</v>
      </c>
      <c r="OX14" s="1931">
        <v>18.805035294117651</v>
      </c>
      <c r="OY14" s="1931">
        <v>16.262550098533659</v>
      </c>
      <c r="OZ14" s="1931">
        <v>21.411430065359479</v>
      </c>
      <c r="PA14" s="1931">
        <v>0</v>
      </c>
      <c r="PB14" s="1931">
        <v>15.044057516339873</v>
      </c>
      <c r="PC14" s="1931">
        <v>10.419581777370812</v>
      </c>
      <c r="PD14" s="1931">
        <v>0</v>
      </c>
      <c r="PE14" s="1931">
        <v>0</v>
      </c>
      <c r="PF14" s="1931">
        <v>48.985929411764708</v>
      </c>
      <c r="PG14" s="1932">
        <v>71.007239663739398</v>
      </c>
      <c r="PH14" s="1930">
        <v>31.316589281045758</v>
      </c>
      <c r="PI14" s="1931">
        <v>5.1875071568777864</v>
      </c>
      <c r="PJ14" s="1931">
        <v>14.492815686274509</v>
      </c>
      <c r="PK14" s="1931">
        <v>11.170906480977484</v>
      </c>
      <c r="PL14" s="1931">
        <v>23.883384052287582</v>
      </c>
      <c r="PM14" s="1931">
        <v>2.4308036128605051</v>
      </c>
      <c r="PN14" s="1931">
        <v>11.553171241830066</v>
      </c>
      <c r="PO14" s="1931">
        <v>8.0913749227069918</v>
      </c>
      <c r="PP14" s="1931">
        <v>49.632413071895428</v>
      </c>
      <c r="PQ14" s="1931">
        <v>1.6480323377027239</v>
      </c>
      <c r="PR14" s="1931">
        <v>38.271701960784313</v>
      </c>
      <c r="PS14" s="1932">
        <v>49.856027214420422</v>
      </c>
      <c r="PT14" s="1930">
        <v>29.93335006535948</v>
      </c>
      <c r="PU14" s="1931">
        <v>5.3436749035544837</v>
      </c>
      <c r="PV14" s="1931">
        <v>14.236135947712418</v>
      </c>
      <c r="PW14" s="1931">
        <v>13.786708908700007</v>
      </c>
      <c r="PX14" s="1931">
        <v>22.824811503267973</v>
      </c>
      <c r="PY14" s="1931">
        <v>2.7024649128712497</v>
      </c>
      <c r="PZ14" s="1931">
        <v>11.345380392156864</v>
      </c>
      <c r="QA14" s="1931">
        <v>10.318033345018385</v>
      </c>
      <c r="QB14" s="1931">
        <v>46.971158169934633</v>
      </c>
      <c r="QC14" s="1931">
        <v>1.828428276028268</v>
      </c>
      <c r="QD14" s="1931">
        <v>37.63395032679739</v>
      </c>
      <c r="QE14" s="1932">
        <v>56.18355048323069</v>
      </c>
      <c r="QF14" s="1930">
        <v>23.4528</v>
      </c>
      <c r="QG14" s="1931">
        <v>0</v>
      </c>
      <c r="QH14" s="1931">
        <v>16.186901960784315</v>
      </c>
      <c r="QI14" s="1931">
        <v>12.556863782133641</v>
      </c>
      <c r="QJ14" s="1931">
        <v>17.69044183006536</v>
      </c>
      <c r="QK14" s="1931">
        <v>0</v>
      </c>
      <c r="QL14" s="1931">
        <v>12.924590849673205</v>
      </c>
      <c r="QM14" s="1931">
        <v>7.5452382670378455</v>
      </c>
      <c r="QN14" s="1931">
        <v>0</v>
      </c>
      <c r="QO14" s="1931">
        <v>0</v>
      </c>
      <c r="QP14" s="1931">
        <v>42.480862745098037</v>
      </c>
      <c r="QQ14" s="1932">
        <v>71.562273939040637</v>
      </c>
      <c r="QR14" s="1930">
        <v>30.190213856209148</v>
      </c>
      <c r="QS14" s="1931">
        <v>5.9324621928595214</v>
      </c>
      <c r="QT14" s="1931">
        <v>14.441479738562091</v>
      </c>
      <c r="QU14" s="1931">
        <v>12.536265994364564</v>
      </c>
      <c r="QV14" s="1931">
        <v>23.027097516339865</v>
      </c>
      <c r="QW14" s="1931">
        <v>3.0530910395558228</v>
      </c>
      <c r="QX14" s="1931">
        <v>11.511613071895425</v>
      </c>
      <c r="QY14" s="1931">
        <v>9.201695975479268</v>
      </c>
      <c r="QZ14" s="1931">
        <v>47.520826143790842</v>
      </c>
      <c r="RA14" s="1931">
        <v>2.4985778403371603</v>
      </c>
      <c r="RB14" s="1931">
        <v>38.144151633986922</v>
      </c>
      <c r="RC14" s="1932">
        <v>53.204267457266816</v>
      </c>
      <c r="RD14" s="1930">
        <v>29.388740915032681</v>
      </c>
      <c r="RE14" s="1931">
        <v>5.4342964331961694</v>
      </c>
      <c r="RF14" s="1931">
        <v>14.338807843137255</v>
      </c>
      <c r="RG14" s="1931">
        <v>12.089743328874869</v>
      </c>
      <c r="RH14" s="1931">
        <v>22.354390588235297</v>
      </c>
      <c r="RI14" s="1931">
        <v>2.7727382550737736</v>
      </c>
      <c r="RJ14" s="1931">
        <v>11.428496732026145</v>
      </c>
      <c r="RK14" s="1931">
        <v>8.833679631660992</v>
      </c>
      <c r="RL14" s="1931">
        <v>45.707602614379084</v>
      </c>
      <c r="RM14" s="1931">
        <v>2.0918257083511249</v>
      </c>
      <c r="RN14" s="1931">
        <v>37.889050980392156</v>
      </c>
      <c r="RO14" s="1932">
        <v>52.281197868793484</v>
      </c>
    </row>
    <row r="15" spans="1:483">
      <c r="A15" s="1301">
        <f>Eingabedaten!A17</f>
        <v>4.01</v>
      </c>
      <c r="B15" s="386" t="str">
        <f>Eingabedaten!C17</f>
        <v>Schulzimmer</v>
      </c>
      <c r="C15" s="1946"/>
      <c r="D15" s="1930">
        <v>42.67286050420168</v>
      </c>
      <c r="E15" s="1931">
        <v>0.41975889668298016</v>
      </c>
      <c r="F15" s="1931">
        <v>21.152191596638659</v>
      </c>
      <c r="G15" s="1931">
        <v>15.347285830527543</v>
      </c>
      <c r="H15" s="1931">
        <v>33.671771428571425</v>
      </c>
      <c r="I15" s="1931">
        <v>0</v>
      </c>
      <c r="J15" s="1931">
        <v>15.862171428571429</v>
      </c>
      <c r="K15" s="1931">
        <v>9.3900424103988538</v>
      </c>
      <c r="L15" s="1931">
        <v>0</v>
      </c>
      <c r="M15" s="1931">
        <v>0</v>
      </c>
      <c r="N15" s="1931">
        <v>65.417512605042035</v>
      </c>
      <c r="O15" s="1942">
        <v>166.44096735863681</v>
      </c>
      <c r="P15" s="1930">
        <v>54.937469243697478</v>
      </c>
      <c r="Q15" s="1931">
        <v>10.328611422220691</v>
      </c>
      <c r="R15" s="1931">
        <v>18.062119327731097</v>
      </c>
      <c r="S15" s="1931">
        <v>15.165908134782578</v>
      </c>
      <c r="T15" s="1931">
        <v>44.023618823529411</v>
      </c>
      <c r="U15" s="1931">
        <v>5.8451436762595428</v>
      </c>
      <c r="V15" s="1931">
        <v>13.490685714285714</v>
      </c>
      <c r="W15" s="1931">
        <v>11.014103546198053</v>
      </c>
      <c r="X15" s="1931">
        <v>0</v>
      </c>
      <c r="Y15" s="1931">
        <v>0</v>
      </c>
      <c r="Z15" s="1931">
        <v>56.314521008403375</v>
      </c>
      <c r="AA15" s="1942">
        <v>121.8775734721528</v>
      </c>
      <c r="AB15" s="1930">
        <v>52.585261848739499</v>
      </c>
      <c r="AC15" s="1931">
        <v>7.4565949546229753</v>
      </c>
      <c r="AD15" s="1931">
        <v>18.127865546218494</v>
      </c>
      <c r="AE15" s="1931">
        <v>18.334382236696502</v>
      </c>
      <c r="AF15" s="1931">
        <v>46.810582857142869</v>
      </c>
      <c r="AG15" s="1931">
        <v>4.2217908974719309</v>
      </c>
      <c r="AH15" s="1931">
        <v>13.541142857142859</v>
      </c>
      <c r="AI15" s="1931">
        <v>13.924958911369753</v>
      </c>
      <c r="AJ15" s="1931">
        <v>0</v>
      </c>
      <c r="AK15" s="1931">
        <v>0</v>
      </c>
      <c r="AL15" s="1931">
        <v>56.508201680672286</v>
      </c>
      <c r="AM15" s="1942">
        <v>132.32706239967115</v>
      </c>
      <c r="AN15" s="1930">
        <v>58.577542521008404</v>
      </c>
      <c r="AO15" s="1931">
        <v>13.6679431354165</v>
      </c>
      <c r="AP15" s="1931">
        <v>18.719581512605046</v>
      </c>
      <c r="AQ15" s="1931">
        <v>13.09699179338288</v>
      </c>
      <c r="AR15" s="1931">
        <v>46.808939159663865</v>
      </c>
      <c r="AS15" s="1931">
        <v>8.2008302955186156</v>
      </c>
      <c r="AT15" s="1931">
        <v>13.995257142857145</v>
      </c>
      <c r="AU15" s="1931">
        <v>9.3237439045392243</v>
      </c>
      <c r="AV15" s="1931">
        <v>92.322675630252121</v>
      </c>
      <c r="AW15" s="1931">
        <v>0.30989746446921784</v>
      </c>
      <c r="AX15" s="1931">
        <v>58.251327731092445</v>
      </c>
      <c r="AY15" s="1942">
        <v>112.47073778958858</v>
      </c>
      <c r="AZ15" s="1930">
        <v>55.911757310924372</v>
      </c>
      <c r="BA15" s="1931">
        <v>10.159059000145541</v>
      </c>
      <c r="BB15" s="1931">
        <v>19.311297478991602</v>
      </c>
      <c r="BC15" s="1931">
        <v>16.197808220916269</v>
      </c>
      <c r="BD15" s="1931">
        <v>44.744802689075627</v>
      </c>
      <c r="BE15" s="1931">
        <v>5.9124496642586246</v>
      </c>
      <c r="BF15" s="1931">
        <v>14.44937142857143</v>
      </c>
      <c r="BG15" s="1931">
        <v>11.440857491768398</v>
      </c>
      <c r="BH15" s="1931">
        <v>0</v>
      </c>
      <c r="BI15" s="1931">
        <v>0</v>
      </c>
      <c r="BJ15" s="1931">
        <v>59.994453781512618</v>
      </c>
      <c r="BK15" s="1942">
        <v>129.22365929292417</v>
      </c>
      <c r="BL15" s="1930">
        <v>56.498434957983193</v>
      </c>
      <c r="BM15" s="1931">
        <v>10.815894143358717</v>
      </c>
      <c r="BN15" s="1931">
        <v>19.114058823529415</v>
      </c>
      <c r="BO15" s="1931">
        <v>18.229893799751597</v>
      </c>
      <c r="BP15" s="1931">
        <v>45.281755966386555</v>
      </c>
      <c r="BQ15" s="1931">
        <v>6.3027478639457515</v>
      </c>
      <c r="BR15" s="1931">
        <v>14.298000000000002</v>
      </c>
      <c r="BS15" s="1931">
        <v>13.625749461888535</v>
      </c>
      <c r="BT15" s="1931">
        <v>0</v>
      </c>
      <c r="BU15" s="1931">
        <v>0</v>
      </c>
      <c r="BV15" s="1931">
        <v>59.413411764705899</v>
      </c>
      <c r="BW15" s="1942">
        <v>130.73032351013438</v>
      </c>
      <c r="BX15" s="1930">
        <v>56.127165042016813</v>
      </c>
      <c r="BY15" s="1931">
        <v>8.7184458362380948</v>
      </c>
      <c r="BZ15" s="1931">
        <v>19.179805042016813</v>
      </c>
      <c r="CA15" s="1931">
        <v>13.18294973369524</v>
      </c>
      <c r="CB15" s="1931">
        <v>44.915507899159664</v>
      </c>
      <c r="CC15" s="1931">
        <v>4.859918153804621</v>
      </c>
      <c r="CD15" s="1931">
        <v>14.348457142857145</v>
      </c>
      <c r="CE15" s="1931">
        <v>8.9019080537026234</v>
      </c>
      <c r="CF15" s="1931">
        <v>0</v>
      </c>
      <c r="CG15" s="1931">
        <v>0</v>
      </c>
      <c r="CH15" s="1931">
        <v>59.607092436974796</v>
      </c>
      <c r="CI15" s="1942">
        <v>121.23852602587453</v>
      </c>
      <c r="CJ15" s="1930">
        <v>39.175142857142859</v>
      </c>
      <c r="CK15" s="1931">
        <v>0</v>
      </c>
      <c r="CL15" s="1931">
        <v>23.058831932773117</v>
      </c>
      <c r="CM15" s="1931">
        <v>18.344876630099339</v>
      </c>
      <c r="CN15" s="1931">
        <v>30.215663865546222</v>
      </c>
      <c r="CO15" s="1931">
        <v>0</v>
      </c>
      <c r="CP15" s="1931">
        <v>17.325428571428574</v>
      </c>
      <c r="CQ15" s="1931">
        <v>10.963992776654514</v>
      </c>
      <c r="CR15" s="1931">
        <v>0</v>
      </c>
      <c r="CS15" s="1931">
        <v>0</v>
      </c>
      <c r="CT15" s="1931">
        <v>71.034252100840348</v>
      </c>
      <c r="CU15" s="1942">
        <v>184.89719829129746</v>
      </c>
      <c r="CV15" s="1930">
        <v>53.676276302521011</v>
      </c>
      <c r="CW15" s="1931">
        <v>2.2077608483136943</v>
      </c>
      <c r="CX15" s="1931">
        <v>20.823460504201684</v>
      </c>
      <c r="CY15" s="1931">
        <v>13.908110960420872</v>
      </c>
      <c r="CZ15" s="1931">
        <v>42.945919999999994</v>
      </c>
      <c r="DA15" s="1931">
        <v>0.83932429774999184</v>
      </c>
      <c r="DB15" s="1931">
        <v>15.609885714285717</v>
      </c>
      <c r="DC15" s="1931">
        <v>8.5606796770657638</v>
      </c>
      <c r="DD15" s="1931">
        <v>0</v>
      </c>
      <c r="DE15" s="1931">
        <v>0</v>
      </c>
      <c r="DF15" s="1931">
        <v>64.449109243697492</v>
      </c>
      <c r="DG15" s="1942">
        <v>150.43536571486862</v>
      </c>
      <c r="DH15" s="1930">
        <v>53.259862521008415</v>
      </c>
      <c r="DI15" s="1931">
        <v>1.3443247735437631</v>
      </c>
      <c r="DJ15" s="1931">
        <v>21.809653781512615</v>
      </c>
      <c r="DK15" s="1931">
        <v>23.553359761994603</v>
      </c>
      <c r="DL15" s="1931">
        <v>42.864806722689075</v>
      </c>
      <c r="DM15" s="1931">
        <v>0.19869616458457232</v>
      </c>
      <c r="DN15" s="1931">
        <v>16.36674285714286</v>
      </c>
      <c r="DO15" s="1931">
        <v>16.972748747974727</v>
      </c>
      <c r="DP15" s="1931">
        <v>0</v>
      </c>
      <c r="DQ15" s="1931">
        <v>0</v>
      </c>
      <c r="DR15" s="1931">
        <v>67.354319327731105</v>
      </c>
      <c r="DS15" s="1942">
        <v>172.27867942066527</v>
      </c>
      <c r="DT15" s="1930">
        <v>58.072779831932777</v>
      </c>
      <c r="DU15" s="1931">
        <v>15.359293646386689</v>
      </c>
      <c r="DV15" s="1931">
        <v>17.207418487394964</v>
      </c>
      <c r="DW15" s="1931">
        <v>12.585025953397968</v>
      </c>
      <c r="DX15" s="1931">
        <v>46.439973109243695</v>
      </c>
      <c r="DY15" s="1931">
        <v>9.4797351365091806</v>
      </c>
      <c r="DZ15" s="1931">
        <v>12.834742857142858</v>
      </c>
      <c r="EA15" s="1931">
        <v>8.9163809570514942</v>
      </c>
      <c r="EB15" s="1931">
        <v>91.390857142857158</v>
      </c>
      <c r="EC15" s="1931">
        <v>2.1554718757131535</v>
      </c>
      <c r="ED15" s="1931">
        <v>53.796672268907571</v>
      </c>
      <c r="EE15" s="1942">
        <v>109.25430615278609</v>
      </c>
      <c r="EF15" s="1930">
        <v>55.922686386554616</v>
      </c>
      <c r="EG15" s="1931">
        <v>5.8007375701037924</v>
      </c>
      <c r="EH15" s="1931">
        <v>19.837267226890763</v>
      </c>
      <c r="EI15" s="1931">
        <v>23.955427278572071</v>
      </c>
      <c r="EJ15" s="1931">
        <v>44.803136806722691</v>
      </c>
      <c r="EK15" s="1931">
        <v>3.2007111344974866</v>
      </c>
      <c r="EL15" s="1931">
        <v>14.853028571428574</v>
      </c>
      <c r="EM15" s="1931">
        <v>18.346081381143062</v>
      </c>
      <c r="EN15" s="1931">
        <v>0</v>
      </c>
      <c r="EO15" s="1931">
        <v>0</v>
      </c>
      <c r="EP15" s="1931">
        <v>61.54389915966388</v>
      </c>
      <c r="EQ15" s="1942">
        <v>153.4932020923514</v>
      </c>
      <c r="ER15" s="1930">
        <v>26.394840336134461</v>
      </c>
      <c r="ES15" s="1931">
        <v>0</v>
      </c>
      <c r="ET15" s="1931">
        <v>24.570994957983199</v>
      </c>
      <c r="EU15" s="1931">
        <v>23.093974013039411</v>
      </c>
      <c r="EV15" s="1931">
        <v>16.98228571428572</v>
      </c>
      <c r="EW15" s="1931">
        <v>0</v>
      </c>
      <c r="EX15" s="1931">
        <v>18.485942857142859</v>
      </c>
      <c r="EY15" s="1931">
        <v>14.115801466342756</v>
      </c>
      <c r="EZ15" s="1931">
        <v>0</v>
      </c>
      <c r="FA15" s="1931">
        <v>0</v>
      </c>
      <c r="FB15" s="1931">
        <v>75.488907563025222</v>
      </c>
      <c r="FC15" s="1942">
        <v>220.77654358197404</v>
      </c>
      <c r="FD15" s="1930">
        <v>54.49572470588236</v>
      </c>
      <c r="FE15" s="1931">
        <v>10.015720102976763</v>
      </c>
      <c r="FF15" s="1931">
        <v>19.048312605042021</v>
      </c>
      <c r="FG15" s="1931">
        <v>18.343282204687231</v>
      </c>
      <c r="FH15" s="1931">
        <v>43.623874285714287</v>
      </c>
      <c r="FI15" s="1931">
        <v>5.7597749980941249</v>
      </c>
      <c r="FJ15" s="1931">
        <v>14.247542857142857</v>
      </c>
      <c r="FK15" s="1931">
        <v>13.594482724898576</v>
      </c>
      <c r="FL15" s="1931">
        <v>0</v>
      </c>
      <c r="FM15" s="1931">
        <v>0</v>
      </c>
      <c r="FN15" s="1931">
        <v>59.219731092436987</v>
      </c>
      <c r="FO15" s="1942">
        <v>132.61052804640613</v>
      </c>
      <c r="FP15" s="1930">
        <v>52.257282352941182</v>
      </c>
      <c r="FQ15" s="1931">
        <v>7.2778851168349981</v>
      </c>
      <c r="FR15" s="1931">
        <v>19.048312605042021</v>
      </c>
      <c r="FS15" s="1931">
        <v>18.397683088910718</v>
      </c>
      <c r="FT15" s="1931">
        <v>41.907089075630253</v>
      </c>
      <c r="FU15" s="1931">
        <v>4.2707465748687303</v>
      </c>
      <c r="FV15" s="1931">
        <v>14.247542857142857</v>
      </c>
      <c r="FW15" s="1931">
        <v>13.234002307825731</v>
      </c>
      <c r="FX15" s="1931">
        <v>0</v>
      </c>
      <c r="FY15" s="1931">
        <v>0</v>
      </c>
      <c r="FZ15" s="1931">
        <v>59.219731092436987</v>
      </c>
      <c r="GA15" s="1942">
        <v>138.48074542931155</v>
      </c>
      <c r="GB15" s="1930">
        <v>51.413525714285711</v>
      </c>
      <c r="GC15" s="1931">
        <v>3.1225766272413993</v>
      </c>
      <c r="GD15" s="1931">
        <v>20.691968067226895</v>
      </c>
      <c r="GE15" s="1931">
        <v>16.392296209212894</v>
      </c>
      <c r="GF15" s="1931">
        <v>43.384383193277309</v>
      </c>
      <c r="GG15" s="1931">
        <v>1.4331544035972354</v>
      </c>
      <c r="GH15" s="1931">
        <v>15.508971428571432</v>
      </c>
      <c r="GI15" s="1931">
        <v>10.62476729261693</v>
      </c>
      <c r="GJ15" s="1931">
        <v>0</v>
      </c>
      <c r="GK15" s="1931">
        <v>0</v>
      </c>
      <c r="GL15" s="1931">
        <v>64.06174789915967</v>
      </c>
      <c r="GM15" s="1942">
        <v>153.43584893038042</v>
      </c>
      <c r="GN15" s="1930">
        <v>49.700015126050424</v>
      </c>
      <c r="GO15" s="1931">
        <v>1.9240119354409864</v>
      </c>
      <c r="GP15" s="1931">
        <v>20.757714285714293</v>
      </c>
      <c r="GQ15" s="1931">
        <v>21.45566822915389</v>
      </c>
      <c r="GR15" s="1931">
        <v>39.990954621848736</v>
      </c>
      <c r="GS15" s="1931">
        <v>0.57991231341489324</v>
      </c>
      <c r="GT15" s="1931">
        <v>15.559428571428574</v>
      </c>
      <c r="GU15" s="1931">
        <v>14.860887248554109</v>
      </c>
      <c r="GV15" s="1931">
        <v>0</v>
      </c>
      <c r="GW15" s="1931">
        <v>0</v>
      </c>
      <c r="GX15" s="1931">
        <v>64.255428571428581</v>
      </c>
      <c r="GY15" s="1942">
        <v>169.90379456828211</v>
      </c>
      <c r="GZ15" s="1930">
        <v>54.986596974789911</v>
      </c>
      <c r="HA15" s="1931">
        <v>18.382842043890911</v>
      </c>
      <c r="HB15" s="1931">
        <v>15.300778151260509</v>
      </c>
      <c r="HC15" s="1931">
        <v>7.2925332010712545</v>
      </c>
      <c r="HD15" s="1931">
        <v>44.016603697478985</v>
      </c>
      <c r="HE15" s="1931">
        <v>11.860377301062417</v>
      </c>
      <c r="HF15" s="1931">
        <v>11.371485714285715</v>
      </c>
      <c r="HG15" s="1931">
        <v>4.683905025506486</v>
      </c>
      <c r="HH15" s="1931">
        <v>81.503072268907559</v>
      </c>
      <c r="HI15" s="1931">
        <v>6.1396222258432349</v>
      </c>
      <c r="HJ15" s="1931">
        <v>48.17993277310925</v>
      </c>
      <c r="HK15" s="1942">
        <v>88.624024822081253</v>
      </c>
      <c r="HL15" s="1930">
        <v>57.478645714285719</v>
      </c>
      <c r="HM15" s="1931">
        <v>19.369088734517597</v>
      </c>
      <c r="HN15" s="1931">
        <v>14.972047058823534</v>
      </c>
      <c r="HO15" s="1931">
        <v>6.5341427180403855</v>
      </c>
      <c r="HP15" s="1931">
        <v>45.83874487394958</v>
      </c>
      <c r="HQ15" s="1931">
        <v>12.594217708125273</v>
      </c>
      <c r="HR15" s="1931">
        <v>11.119200000000003</v>
      </c>
      <c r="HS15" s="1931">
        <v>4.0490274159014392</v>
      </c>
      <c r="HT15" s="1931">
        <v>86.116786554621839</v>
      </c>
      <c r="HU15" s="1931">
        <v>7.3141514858789183</v>
      </c>
      <c r="HV15" s="1931">
        <v>47.211529411764715</v>
      </c>
      <c r="HW15" s="1942">
        <v>87.629381032722264</v>
      </c>
      <c r="HX15" s="1930">
        <v>57.063254453781504</v>
      </c>
      <c r="HY15" s="1931">
        <v>9.7902023050134641</v>
      </c>
      <c r="HZ15" s="1931">
        <v>18.653835294117652</v>
      </c>
      <c r="IA15" s="1931">
        <v>17.570822115550175</v>
      </c>
      <c r="IB15" s="1931">
        <v>45.702041008403356</v>
      </c>
      <c r="IC15" s="1931">
        <v>5.6726159167957473</v>
      </c>
      <c r="ID15" s="1931">
        <v>13.944800000000001</v>
      </c>
      <c r="IE15" s="1931">
        <v>13.012670897239268</v>
      </c>
      <c r="IF15" s="1931">
        <v>0</v>
      </c>
      <c r="IG15" s="1931">
        <v>0</v>
      </c>
      <c r="IH15" s="1931">
        <v>58.057647058823534</v>
      </c>
      <c r="II15" s="1942">
        <v>130.22192337476585</v>
      </c>
      <c r="IJ15" s="1930">
        <v>56.229404369747897</v>
      </c>
      <c r="IK15" s="1931">
        <v>18.327738440839777</v>
      </c>
      <c r="IL15" s="1931">
        <v>16.418463865546222</v>
      </c>
      <c r="IM15" s="1931">
        <v>10.609250171085725</v>
      </c>
      <c r="IN15" s="1931">
        <v>44.97169344537815</v>
      </c>
      <c r="IO15" s="1931">
        <v>11.826893281634652</v>
      </c>
      <c r="IP15" s="1931">
        <v>12.229257142857145</v>
      </c>
      <c r="IQ15" s="1931">
        <v>7.0837927275373955</v>
      </c>
      <c r="IR15" s="1931">
        <v>84.964342857142867</v>
      </c>
      <c r="IS15" s="1931">
        <v>5.9853886427436649</v>
      </c>
      <c r="IT15" s="1931">
        <v>51.472504201680678</v>
      </c>
      <c r="IU15" s="1942">
        <v>101.68683928236526</v>
      </c>
      <c r="IV15" s="1930">
        <v>54.637717647058821</v>
      </c>
      <c r="IW15" s="1931">
        <v>2.7616123257671297</v>
      </c>
      <c r="IX15" s="1931">
        <v>20.757714285714293</v>
      </c>
      <c r="IY15" s="1931">
        <v>12.157253041314052</v>
      </c>
      <c r="IZ15" s="1931">
        <v>44.270393277310923</v>
      </c>
      <c r="JA15" s="1931">
        <v>1.1901423463841592</v>
      </c>
      <c r="JB15" s="1931">
        <v>15.559428571428574</v>
      </c>
      <c r="JC15" s="1931">
        <v>6.9758747709296003</v>
      </c>
      <c r="JD15" s="1931">
        <v>0</v>
      </c>
      <c r="JE15" s="1931">
        <v>0</v>
      </c>
      <c r="JF15" s="1931">
        <v>64.255428571428581</v>
      </c>
      <c r="JG15" s="1942">
        <v>144.26732201911508</v>
      </c>
      <c r="JH15" s="1930">
        <v>52.356560336134464</v>
      </c>
      <c r="JI15" s="1931">
        <v>12.372657472168799</v>
      </c>
      <c r="JJ15" s="1931">
        <v>17.996373109243702</v>
      </c>
      <c r="JK15" s="1931">
        <v>15.787660088042667</v>
      </c>
      <c r="JL15" s="1931">
        <v>42.045372100840339</v>
      </c>
      <c r="JM15" s="1931">
        <v>7.2904599772883865</v>
      </c>
      <c r="JN15" s="1931">
        <v>13.440228571428571</v>
      </c>
      <c r="JO15" s="1931">
        <v>11.725909472665958</v>
      </c>
      <c r="JP15" s="1931">
        <v>75.427858823529405</v>
      </c>
      <c r="JQ15" s="1931">
        <v>0.10155790797928807</v>
      </c>
      <c r="JR15" s="1931">
        <v>56.120840336134464</v>
      </c>
      <c r="JS15" s="1942">
        <v>121.03790126586283</v>
      </c>
      <c r="JT15" s="1930">
        <v>57.080617478991599</v>
      </c>
      <c r="JU15" s="1931">
        <v>11.480282356523533</v>
      </c>
      <c r="JV15" s="1931">
        <v>18.851073949579835</v>
      </c>
      <c r="JW15" s="1931">
        <v>16.354059452490564</v>
      </c>
      <c r="JX15" s="1931">
        <v>45.672336806722683</v>
      </c>
      <c r="JY15" s="1931">
        <v>6.5641274928822089</v>
      </c>
      <c r="JZ15" s="1931">
        <v>14.096171428571431</v>
      </c>
      <c r="KA15" s="1931">
        <v>11.830276602012665</v>
      </c>
      <c r="KB15" s="1931">
        <v>0</v>
      </c>
      <c r="KC15" s="1931">
        <v>0</v>
      </c>
      <c r="KD15" s="1931">
        <v>58.638689075630268</v>
      </c>
      <c r="KE15" s="1942">
        <v>125.64292537072647</v>
      </c>
      <c r="KF15" s="1930">
        <v>53.358117983193289</v>
      </c>
      <c r="KG15" s="1931">
        <v>5.3154850725764051</v>
      </c>
      <c r="KH15" s="1931">
        <v>19.179805042016813</v>
      </c>
      <c r="KI15" s="1931">
        <v>22.526138320441444</v>
      </c>
      <c r="KJ15" s="1931">
        <v>42.642872605042008</v>
      </c>
      <c r="KK15" s="1931">
        <v>2.7863872074095384</v>
      </c>
      <c r="KL15" s="1931">
        <v>14.348457142857145</v>
      </c>
      <c r="KM15" s="1931">
        <v>16.904553149640027</v>
      </c>
      <c r="KN15" s="1931">
        <v>0</v>
      </c>
      <c r="KO15" s="1931">
        <v>0</v>
      </c>
      <c r="KP15" s="1931">
        <v>59.607092436974796</v>
      </c>
      <c r="KQ15" s="1942">
        <v>154.94317891640523</v>
      </c>
      <c r="KR15" s="1930">
        <v>54.33690117647059</v>
      </c>
      <c r="KS15" s="1931">
        <v>15.694833401526413</v>
      </c>
      <c r="KT15" s="1931">
        <v>17.273164705882358</v>
      </c>
      <c r="KU15" s="1931">
        <v>11.335158743171437</v>
      </c>
      <c r="KV15" s="1931">
        <v>43.510428907563032</v>
      </c>
      <c r="KW15" s="1931">
        <v>9.7281717742852827</v>
      </c>
      <c r="KX15" s="1931">
        <v>12.885200000000001</v>
      </c>
      <c r="KY15" s="1931">
        <v>7.9460026126901697</v>
      </c>
      <c r="KZ15" s="1931">
        <v>79.52129075630252</v>
      </c>
      <c r="LA15" s="1931">
        <v>2.256312211847614</v>
      </c>
      <c r="LB15" s="1931">
        <v>53.990352941176482</v>
      </c>
      <c r="LC15" s="1942">
        <v>104.80938235312142</v>
      </c>
      <c r="LD15" s="1930">
        <v>44.850497478991599</v>
      </c>
      <c r="LE15" s="1931">
        <v>2.6788786580571915</v>
      </c>
      <c r="LF15" s="1931">
        <v>19.574282352941182</v>
      </c>
      <c r="LG15" s="1931">
        <v>18.579260515064441</v>
      </c>
      <c r="LH15" s="1931">
        <v>35.090406722689075</v>
      </c>
      <c r="LI15" s="1931">
        <v>1.1198728548020245</v>
      </c>
      <c r="LJ15" s="1931">
        <v>14.651200000000001</v>
      </c>
      <c r="LK15" s="1931">
        <v>12.542419413056223</v>
      </c>
      <c r="LL15" s="1931">
        <v>0</v>
      </c>
      <c r="LM15" s="1931">
        <v>0</v>
      </c>
      <c r="LN15" s="1931">
        <v>60.769176470588249</v>
      </c>
      <c r="LO15" s="1942">
        <v>159.22277554146245</v>
      </c>
      <c r="LP15" s="1930">
        <v>57.052325378151274</v>
      </c>
      <c r="LQ15" s="1931">
        <v>8.8251483418966217</v>
      </c>
      <c r="LR15" s="1931">
        <v>19.771521008403365</v>
      </c>
      <c r="LS15" s="1931">
        <v>17.750459227991872</v>
      </c>
      <c r="LT15" s="1931">
        <v>45.643706890756306</v>
      </c>
      <c r="LU15" s="1931">
        <v>5.2802854719646213</v>
      </c>
      <c r="LV15" s="1931">
        <v>14.802571428571431</v>
      </c>
      <c r="LW15" s="1931">
        <v>13.02778475377052</v>
      </c>
      <c r="LX15" s="1931">
        <v>0</v>
      </c>
      <c r="LY15" s="1931">
        <v>0</v>
      </c>
      <c r="LZ15" s="1931">
        <v>61.350218487394969</v>
      </c>
      <c r="MA15" s="1942">
        <v>132.60320133486795</v>
      </c>
      <c r="MB15" s="1930">
        <v>45.944625210084034</v>
      </c>
      <c r="MC15" s="1931">
        <v>0</v>
      </c>
      <c r="MD15" s="1931">
        <v>26.017411764705891</v>
      </c>
      <c r="ME15" s="1931">
        <v>22.855951882445432</v>
      </c>
      <c r="MF15" s="1931">
        <v>36.008746218487396</v>
      </c>
      <c r="MG15" s="1931">
        <v>0</v>
      </c>
      <c r="MH15" s="1931">
        <v>19.596000000000004</v>
      </c>
      <c r="MI15" s="1931">
        <v>13.557352212746801</v>
      </c>
      <c r="MJ15" s="1931">
        <v>0</v>
      </c>
      <c r="MK15" s="1931">
        <v>0</v>
      </c>
      <c r="ML15" s="1931">
        <v>79.749882352941185</v>
      </c>
      <c r="MM15" s="1942">
        <v>204.78224881138124</v>
      </c>
      <c r="MN15" s="1930">
        <v>43.029290756302522</v>
      </c>
      <c r="MO15" s="1931">
        <v>0</v>
      </c>
      <c r="MP15" s="1931">
        <v>21.612415126050426</v>
      </c>
      <c r="MQ15" s="1931">
        <v>22.603737300391565</v>
      </c>
      <c r="MR15" s="1931">
        <v>33.379085714285715</v>
      </c>
      <c r="MS15" s="1931">
        <v>0</v>
      </c>
      <c r="MT15" s="1931">
        <v>16.21537142857143</v>
      </c>
      <c r="MU15" s="1931">
        <v>14.874696065998405</v>
      </c>
      <c r="MV15" s="1931">
        <v>0</v>
      </c>
      <c r="MW15" s="1931">
        <v>0</v>
      </c>
      <c r="MX15" s="1931">
        <v>66.773277310924371</v>
      </c>
      <c r="MY15" s="1942">
        <v>198.73621795976607</v>
      </c>
      <c r="MZ15" s="1930">
        <v>54.514213445378147</v>
      </c>
      <c r="NA15" s="1931">
        <v>6.8860733078705225</v>
      </c>
      <c r="NB15" s="1931">
        <v>20.560475630252107</v>
      </c>
      <c r="NC15" s="1931">
        <v>17.21860650096351</v>
      </c>
      <c r="ND15" s="1931">
        <v>44.524225210084026</v>
      </c>
      <c r="NE15" s="1931">
        <v>3.9082359469053367</v>
      </c>
      <c r="NF15" s="1931">
        <v>15.408057142857144</v>
      </c>
      <c r="NG15" s="1931">
        <v>12.142364144771886</v>
      </c>
      <c r="NH15" s="1931">
        <v>0</v>
      </c>
      <c r="NI15" s="1931">
        <v>0</v>
      </c>
      <c r="NJ15" s="1931">
        <v>63.674386554621869</v>
      </c>
      <c r="NK15" s="1942">
        <v>138.13537791142664</v>
      </c>
      <c r="NL15" s="1930">
        <v>52.377907226890756</v>
      </c>
      <c r="NM15" s="1931">
        <v>9.9202908109228893</v>
      </c>
      <c r="NN15" s="1931">
        <v>19.377043697478996</v>
      </c>
      <c r="NO15" s="1931">
        <v>19.281245531794646</v>
      </c>
      <c r="NP15" s="1931">
        <v>42.360258823529414</v>
      </c>
      <c r="NQ15" s="1931">
        <v>5.7609000317948382</v>
      </c>
      <c r="NR15" s="1931">
        <v>14.499828571428573</v>
      </c>
      <c r="NS15" s="1931">
        <v>14.367486664712414</v>
      </c>
      <c r="NT15" s="1931">
        <v>0</v>
      </c>
      <c r="NU15" s="1931">
        <v>0</v>
      </c>
      <c r="NV15" s="1931">
        <v>60.188134453781529</v>
      </c>
      <c r="NW15" s="1942">
        <v>135.50562573381279</v>
      </c>
      <c r="NX15" s="1930">
        <v>52.905955630252102</v>
      </c>
      <c r="NY15" s="1931">
        <v>2.3590306558967042</v>
      </c>
      <c r="NZ15" s="1931">
        <v>22.33562352941177</v>
      </c>
      <c r="OA15" s="1931">
        <v>18.617795412490803</v>
      </c>
      <c r="OB15" s="1931">
        <v>42.260950588235289</v>
      </c>
      <c r="OC15" s="1931">
        <v>0.92348608055095971</v>
      </c>
      <c r="OD15" s="1931">
        <v>16.770400000000002</v>
      </c>
      <c r="OE15" s="1931">
        <v>11.914198107124435</v>
      </c>
      <c r="OF15" s="1931">
        <v>0</v>
      </c>
      <c r="OG15" s="1931">
        <v>0</v>
      </c>
      <c r="OH15" s="1931">
        <v>68.903764705882367</v>
      </c>
      <c r="OI15" s="1932">
        <v>162.70919320910323</v>
      </c>
      <c r="OJ15" s="1930">
        <v>54.552308907563024</v>
      </c>
      <c r="OK15" s="1931">
        <v>14.459365460789774</v>
      </c>
      <c r="OL15" s="1931">
        <v>18.390850420168071</v>
      </c>
      <c r="OM15" s="1931">
        <v>13.561742218999303</v>
      </c>
      <c r="ON15" s="1931">
        <v>43.681134117647055</v>
      </c>
      <c r="OO15" s="1931">
        <v>8.8221918856097883</v>
      </c>
      <c r="OP15" s="1931">
        <v>13.74297142857143</v>
      </c>
      <c r="OQ15" s="1931">
        <v>9.2096112985146501</v>
      </c>
      <c r="OR15" s="1931">
        <v>80.250473949579828</v>
      </c>
      <c r="OS15" s="1931">
        <v>0.68733599854818395</v>
      </c>
      <c r="OT15" s="1931">
        <v>57.28292436974791</v>
      </c>
      <c r="OU15" s="1932">
        <v>115.0880731078322</v>
      </c>
      <c r="OV15" s="1930">
        <v>51.991724369747892</v>
      </c>
      <c r="OW15" s="1931">
        <v>1.3252817430239971</v>
      </c>
      <c r="OX15" s="1931">
        <v>25.096964705882364</v>
      </c>
      <c r="OY15" s="1931">
        <v>23.172896613658654</v>
      </c>
      <c r="OZ15" s="1931">
        <v>41.591085714285718</v>
      </c>
      <c r="PA15" s="1931">
        <v>0.2213249911436726</v>
      </c>
      <c r="PB15" s="1931">
        <v>18.889600000000002</v>
      </c>
      <c r="PC15" s="1931">
        <v>14.921729384780518</v>
      </c>
      <c r="PD15" s="1931">
        <v>0</v>
      </c>
      <c r="PE15" s="1931">
        <v>0</v>
      </c>
      <c r="PF15" s="1931">
        <v>77.038352941176484</v>
      </c>
      <c r="PG15" s="1932">
        <v>182.01371347580476</v>
      </c>
      <c r="PH15" s="1930">
        <v>58.36213478991597</v>
      </c>
      <c r="PI15" s="1931">
        <v>10.18750676603554</v>
      </c>
      <c r="PJ15" s="1931">
        <v>19.574282352941182</v>
      </c>
      <c r="PK15" s="1931">
        <v>14.642801668693513</v>
      </c>
      <c r="PL15" s="1931">
        <v>46.638233949579835</v>
      </c>
      <c r="PM15" s="1931">
        <v>5.7996817190248349</v>
      </c>
      <c r="PN15" s="1931">
        <v>14.651200000000001</v>
      </c>
      <c r="PO15" s="1931">
        <v>10.388088278795335</v>
      </c>
      <c r="PP15" s="1931">
        <v>0</v>
      </c>
      <c r="PQ15" s="1931">
        <v>0</v>
      </c>
      <c r="PR15" s="1931">
        <v>60.769176470588249</v>
      </c>
      <c r="PS15" s="1932">
        <v>121.22230289467751</v>
      </c>
      <c r="PT15" s="1930">
        <v>55.968341512605051</v>
      </c>
      <c r="PU15" s="1931">
        <v>9.9585977021512537</v>
      </c>
      <c r="PV15" s="1931">
        <v>19.245551260504207</v>
      </c>
      <c r="PW15" s="1931">
        <v>18.189020994732111</v>
      </c>
      <c r="PX15" s="1931">
        <v>44.802062521008402</v>
      </c>
      <c r="PY15" s="1931">
        <v>5.7855423345506685</v>
      </c>
      <c r="PZ15" s="1931">
        <v>14.398914285714287</v>
      </c>
      <c r="QA15" s="1931">
        <v>13.329948546861777</v>
      </c>
      <c r="QB15" s="1931">
        <v>0</v>
      </c>
      <c r="QC15" s="1931">
        <v>0</v>
      </c>
      <c r="QD15" s="1931">
        <v>59.800773109243707</v>
      </c>
      <c r="QE15" s="1932">
        <v>133.14530291118123</v>
      </c>
      <c r="QF15" s="1930">
        <v>43.770542857142857</v>
      </c>
      <c r="QG15" s="1931">
        <v>0</v>
      </c>
      <c r="QH15" s="1931">
        <v>21.743907563025214</v>
      </c>
      <c r="QI15" s="1931">
        <v>18.171228510943227</v>
      </c>
      <c r="QJ15" s="1931">
        <v>34.934699159663865</v>
      </c>
      <c r="QK15" s="1931">
        <v>0</v>
      </c>
      <c r="QL15" s="1931">
        <v>16.316285714285716</v>
      </c>
      <c r="QM15" s="1931">
        <v>10.945248564125734</v>
      </c>
      <c r="QN15" s="1931">
        <v>0</v>
      </c>
      <c r="QO15" s="1931">
        <v>0</v>
      </c>
      <c r="QP15" s="1931">
        <v>67.160638655462208</v>
      </c>
      <c r="QQ15" s="1932">
        <v>187.15513311789294</v>
      </c>
      <c r="QR15" s="1930">
        <v>56.462686386554623</v>
      </c>
      <c r="QS15" s="1931">
        <v>11.061005983516838</v>
      </c>
      <c r="QT15" s="1931">
        <v>19.508536134453784</v>
      </c>
      <c r="QU15" s="1931">
        <v>16.523286963833026</v>
      </c>
      <c r="QV15" s="1931">
        <v>45.188851092436977</v>
      </c>
      <c r="QW15" s="1931">
        <v>6.3919880112695715</v>
      </c>
      <c r="QX15" s="1931">
        <v>14.600742857142858</v>
      </c>
      <c r="QY15" s="1931">
        <v>11.873950736176878</v>
      </c>
      <c r="QZ15" s="1931">
        <v>0</v>
      </c>
      <c r="RA15" s="1931">
        <v>0</v>
      </c>
      <c r="RB15" s="1931">
        <v>60.575495798319338</v>
      </c>
      <c r="RC15" s="1932">
        <v>127.67721806147347</v>
      </c>
      <c r="RD15" s="1930">
        <v>54.796008739495797</v>
      </c>
      <c r="RE15" s="1931">
        <v>10.331204735219744</v>
      </c>
      <c r="RF15" s="1931">
        <v>19.377043697478996</v>
      </c>
      <c r="RG15" s="1931">
        <v>15.912593796418303</v>
      </c>
      <c r="RH15" s="1931">
        <v>43.880469243697476</v>
      </c>
      <c r="RI15" s="1931">
        <v>5.8918493130591285</v>
      </c>
      <c r="RJ15" s="1931">
        <v>14.499828571428573</v>
      </c>
      <c r="RK15" s="1931">
        <v>11.376908438645764</v>
      </c>
      <c r="RL15" s="1931">
        <v>0</v>
      </c>
      <c r="RM15" s="1931">
        <v>0</v>
      </c>
      <c r="RN15" s="1931">
        <v>60.188134453781529</v>
      </c>
      <c r="RO15" s="1932">
        <v>126.38845093337406</v>
      </c>
    </row>
    <row r="16" spans="1:483">
      <c r="A16" s="633">
        <f>Eingabedaten!A18</f>
        <v>4.0199999999999996</v>
      </c>
      <c r="B16" s="379" t="str">
        <f>Eingabedaten!C18</f>
        <v>Lehrerzimmer</v>
      </c>
      <c r="C16" s="379"/>
      <c r="D16" s="1930">
        <v>30.88633725490196</v>
      </c>
      <c r="E16" s="1931">
        <v>0</v>
      </c>
      <c r="F16" s="1931">
        <v>25.381756862745096</v>
      </c>
      <c r="G16" s="1931">
        <v>27.356057577624867</v>
      </c>
      <c r="H16" s="1931">
        <v>28.323654901960783</v>
      </c>
      <c r="I16" s="1931">
        <v>0</v>
      </c>
      <c r="J16" s="1931">
        <v>18.739913725490197</v>
      </c>
      <c r="K16" s="1931">
        <v>14.897722783999567</v>
      </c>
      <c r="L16" s="1931">
        <v>0</v>
      </c>
      <c r="M16" s="1931">
        <v>0</v>
      </c>
      <c r="N16" s="1931">
        <v>79.041607843137257</v>
      </c>
      <c r="O16" s="1942">
        <v>219.50917721584696</v>
      </c>
      <c r="P16" s="1930">
        <v>46.601601568627459</v>
      </c>
      <c r="Q16" s="1931">
        <v>4.3574234802610183</v>
      </c>
      <c r="R16" s="1931">
        <v>21.696772549019606</v>
      </c>
      <c r="S16" s="1931">
        <v>26.191054035355403</v>
      </c>
      <c r="T16" s="1931">
        <v>36.177146666666665</v>
      </c>
      <c r="U16" s="1931">
        <v>2.9036224554593355</v>
      </c>
      <c r="V16" s="1931">
        <v>15.957145098039216</v>
      </c>
      <c r="W16" s="1931">
        <v>17.033012286692816</v>
      </c>
      <c r="X16" s="1931">
        <v>0</v>
      </c>
      <c r="Y16" s="1931">
        <v>0</v>
      </c>
      <c r="Z16" s="1931">
        <v>68.067568627450981</v>
      </c>
      <c r="AA16" s="1942">
        <v>160.39900027113043</v>
      </c>
      <c r="AB16" s="1930">
        <v>45.49557960784314</v>
      </c>
      <c r="AC16" s="1931">
        <v>2.0122756215264461</v>
      </c>
      <c r="AD16" s="1931">
        <v>21.775176470588239</v>
      </c>
      <c r="AE16" s="1931">
        <v>31.216013059566702</v>
      </c>
      <c r="AF16" s="1931">
        <v>38.241375686274509</v>
      </c>
      <c r="AG16" s="1931">
        <v>1.3108307829980899</v>
      </c>
      <c r="AH16" s="1931">
        <v>16.016352941176471</v>
      </c>
      <c r="AI16" s="1931">
        <v>21.149208189629853</v>
      </c>
      <c r="AJ16" s="1931">
        <v>0</v>
      </c>
      <c r="AK16" s="1931">
        <v>0</v>
      </c>
      <c r="AL16" s="1931">
        <v>68.301058823529416</v>
      </c>
      <c r="AM16" s="1942">
        <v>173.97106371729484</v>
      </c>
      <c r="AN16" s="1930">
        <v>49.478771764705883</v>
      </c>
      <c r="AO16" s="1931">
        <v>7.1715178177498204</v>
      </c>
      <c r="AP16" s="1931">
        <v>22.48081176470588</v>
      </c>
      <c r="AQ16" s="1931">
        <v>23.261605729999932</v>
      </c>
      <c r="AR16" s="1931">
        <v>38.302018823529409</v>
      </c>
      <c r="AS16" s="1931">
        <v>4.9434069226607882</v>
      </c>
      <c r="AT16" s="1931">
        <v>16.549223529411766</v>
      </c>
      <c r="AU16" s="1931">
        <v>14.847259441274</v>
      </c>
      <c r="AV16" s="1931">
        <v>0</v>
      </c>
      <c r="AW16" s="1931">
        <v>0</v>
      </c>
      <c r="AX16" s="1931">
        <v>70.402470588235303</v>
      </c>
      <c r="AY16" s="1942">
        <v>148.13806635485079</v>
      </c>
      <c r="AZ16" s="1930">
        <v>44.655785098039217</v>
      </c>
      <c r="BA16" s="1931">
        <v>4.6112354542394245</v>
      </c>
      <c r="BB16" s="1931">
        <v>23.186447058823529</v>
      </c>
      <c r="BC16" s="1931">
        <v>27.326398644423719</v>
      </c>
      <c r="BD16" s="1931">
        <v>35.629477647058827</v>
      </c>
      <c r="BE16" s="1931">
        <v>3.0356298527550654</v>
      </c>
      <c r="BF16" s="1931">
        <v>17.08209411764706</v>
      </c>
      <c r="BG16" s="1931">
        <v>17.379341236654451</v>
      </c>
      <c r="BH16" s="1931">
        <v>0</v>
      </c>
      <c r="BI16" s="1931">
        <v>0</v>
      </c>
      <c r="BJ16" s="1931">
        <v>72.503882352941176</v>
      </c>
      <c r="BK16" s="1942">
        <v>168.63664529144739</v>
      </c>
      <c r="BL16" s="1930">
        <v>43.005982745098045</v>
      </c>
      <c r="BM16" s="1931">
        <v>4.933507654412832</v>
      </c>
      <c r="BN16" s="1931">
        <v>22.951235294117648</v>
      </c>
      <c r="BO16" s="1931">
        <v>30.417903509432843</v>
      </c>
      <c r="BP16" s="1931">
        <v>36.236563137254898</v>
      </c>
      <c r="BQ16" s="1931">
        <v>3.3027088997231022</v>
      </c>
      <c r="BR16" s="1931">
        <v>16.904470588235295</v>
      </c>
      <c r="BS16" s="1931">
        <v>20.370425217100276</v>
      </c>
      <c r="BT16" s="1931">
        <v>0</v>
      </c>
      <c r="BU16" s="1931">
        <v>0</v>
      </c>
      <c r="BV16" s="1931">
        <v>71.803411764705885</v>
      </c>
      <c r="BW16" s="1942">
        <v>170.39326038202759</v>
      </c>
      <c r="BX16" s="1930">
        <v>43.240474509803917</v>
      </c>
      <c r="BY16" s="1931">
        <v>2.8245154102945405</v>
      </c>
      <c r="BZ16" s="1931">
        <v>23.029639215686274</v>
      </c>
      <c r="CA16" s="1931">
        <v>23.377648761678536</v>
      </c>
      <c r="CB16" s="1931">
        <v>36.476101960784312</v>
      </c>
      <c r="CC16" s="1931">
        <v>1.7905216418143652</v>
      </c>
      <c r="CD16" s="1931">
        <v>16.96367843137255</v>
      </c>
      <c r="CE16" s="1931">
        <v>14.148714973199558</v>
      </c>
      <c r="CF16" s="1931">
        <v>0</v>
      </c>
      <c r="CG16" s="1931">
        <v>0</v>
      </c>
      <c r="CH16" s="1931">
        <v>72.03690196078432</v>
      </c>
      <c r="CI16" s="1942">
        <v>159.91426753115005</v>
      </c>
      <c r="CJ16" s="1930">
        <v>30.557968627450979</v>
      </c>
      <c r="CK16" s="1931">
        <v>0</v>
      </c>
      <c r="CL16" s="1931">
        <v>27.655470588235293</v>
      </c>
      <c r="CM16" s="1931">
        <v>30.158750811871368</v>
      </c>
      <c r="CN16" s="1931">
        <v>23.279301960784316</v>
      </c>
      <c r="CO16" s="1931">
        <v>0</v>
      </c>
      <c r="CP16" s="1931">
        <v>20.45694117647059</v>
      </c>
      <c r="CQ16" s="1931">
        <v>16.280265497071511</v>
      </c>
      <c r="CR16" s="1931">
        <v>0</v>
      </c>
      <c r="CS16" s="1931">
        <v>0</v>
      </c>
      <c r="CT16" s="1931">
        <v>85.812823529411787</v>
      </c>
      <c r="CU16" s="1942">
        <v>240.16753401340117</v>
      </c>
      <c r="CV16" s="1930">
        <v>40.676907450980387</v>
      </c>
      <c r="CW16" s="1931">
        <v>0</v>
      </c>
      <c r="CX16" s="1931">
        <v>24.989737254901961</v>
      </c>
      <c r="CY16" s="1931">
        <v>24.76446665372638</v>
      </c>
      <c r="CZ16" s="1931">
        <v>34.498629019607847</v>
      </c>
      <c r="DA16" s="1931">
        <v>0</v>
      </c>
      <c r="DB16" s="1931">
        <v>18.443874509803919</v>
      </c>
      <c r="DC16" s="1931">
        <v>13.603484874906524</v>
      </c>
      <c r="DD16" s="1931">
        <v>0</v>
      </c>
      <c r="DE16" s="1931">
        <v>0</v>
      </c>
      <c r="DF16" s="1931">
        <v>77.874156862745096</v>
      </c>
      <c r="DG16" s="1942">
        <v>198.27413589490968</v>
      </c>
      <c r="DH16" s="1930">
        <v>43.509243921568626</v>
      </c>
      <c r="DI16" s="1931">
        <v>0</v>
      </c>
      <c r="DJ16" s="1931">
        <v>26.16579607843137</v>
      </c>
      <c r="DK16" s="1931">
        <v>37.93773327403391</v>
      </c>
      <c r="DL16" s="1931">
        <v>33.833800784313723</v>
      </c>
      <c r="DM16" s="1931">
        <v>0</v>
      </c>
      <c r="DN16" s="1931">
        <v>19.331992156862746</v>
      </c>
      <c r="DO16" s="1931">
        <v>24.601219554849326</v>
      </c>
      <c r="DP16" s="1931">
        <v>0</v>
      </c>
      <c r="DQ16" s="1931">
        <v>0</v>
      </c>
      <c r="DR16" s="1931">
        <v>81.376509803921579</v>
      </c>
      <c r="DS16" s="1942">
        <v>225.0672046870784</v>
      </c>
      <c r="DT16" s="1930">
        <v>46.396636862745098</v>
      </c>
      <c r="DU16" s="1931">
        <v>8.3595279810868064</v>
      </c>
      <c r="DV16" s="1931">
        <v>20.677521568627448</v>
      </c>
      <c r="DW16" s="1931">
        <v>22.356983478568043</v>
      </c>
      <c r="DX16" s="1931">
        <v>36.105476078431373</v>
      </c>
      <c r="DY16" s="1931">
        <v>5.8341049455984733</v>
      </c>
      <c r="DZ16" s="1931">
        <v>15.187443137254901</v>
      </c>
      <c r="EA16" s="1931">
        <v>14.242869003257397</v>
      </c>
      <c r="EB16" s="1931">
        <v>0</v>
      </c>
      <c r="EC16" s="1931">
        <v>0</v>
      </c>
      <c r="ED16" s="1931">
        <v>65.032196078431369</v>
      </c>
      <c r="EE16" s="1942">
        <v>143.71592698251263</v>
      </c>
      <c r="EF16" s="1930">
        <v>42.655065098039223</v>
      </c>
      <c r="EG16" s="1931">
        <v>0.92409985215367918</v>
      </c>
      <c r="EH16" s="1931">
        <v>23.813678431372548</v>
      </c>
      <c r="EI16" s="1931">
        <v>39.259889663727627</v>
      </c>
      <c r="EJ16" s="1931">
        <v>35.895921568627458</v>
      </c>
      <c r="EK16" s="1931">
        <v>0.48612779079529456</v>
      </c>
      <c r="EL16" s="1931">
        <v>17.555756862745099</v>
      </c>
      <c r="EM16" s="1931">
        <v>27.233342542599384</v>
      </c>
      <c r="EN16" s="1931">
        <v>0</v>
      </c>
      <c r="EO16" s="1931">
        <v>0</v>
      </c>
      <c r="EP16" s="1931">
        <v>74.371803921568628</v>
      </c>
      <c r="EQ16" s="1942">
        <v>199.26242439543674</v>
      </c>
      <c r="ER16" s="1930">
        <v>25.789403921568631</v>
      </c>
      <c r="ES16" s="1931">
        <v>0</v>
      </c>
      <c r="ET16" s="1931">
        <v>29.458760784313721</v>
      </c>
      <c r="EU16" s="1931">
        <v>35.627746015962252</v>
      </c>
      <c r="EV16" s="1931">
        <v>18.451474509803923</v>
      </c>
      <c r="EW16" s="1931">
        <v>0</v>
      </c>
      <c r="EX16" s="1931">
        <v>21.818721568627449</v>
      </c>
      <c r="EY16" s="1931">
        <v>19.690564535892424</v>
      </c>
      <c r="EZ16" s="1931">
        <v>0</v>
      </c>
      <c r="FA16" s="1931">
        <v>0</v>
      </c>
      <c r="FB16" s="1931">
        <v>91.183098039215707</v>
      </c>
      <c r="FC16" s="1942">
        <v>281.50586935704661</v>
      </c>
      <c r="FD16" s="1930">
        <v>43.372144313725499</v>
      </c>
      <c r="FE16" s="1931">
        <v>4.3621019290142833</v>
      </c>
      <c r="FF16" s="1931">
        <v>22.872831372549019</v>
      </c>
      <c r="FG16" s="1931">
        <v>30.443878649339606</v>
      </c>
      <c r="FH16" s="1931">
        <v>34.103308235294122</v>
      </c>
      <c r="FI16" s="1931">
        <v>2.8575968006360766</v>
      </c>
      <c r="FJ16" s="1931">
        <v>16.84526274509804</v>
      </c>
      <c r="FK16" s="1931">
        <v>20.241751575975204</v>
      </c>
      <c r="FL16" s="1931">
        <v>0</v>
      </c>
      <c r="FM16" s="1931">
        <v>0</v>
      </c>
      <c r="FN16" s="1931">
        <v>71.56992156862745</v>
      </c>
      <c r="FO16" s="1942">
        <v>172.59897183272969</v>
      </c>
      <c r="FP16" s="1930">
        <v>41.038351372549023</v>
      </c>
      <c r="FQ16" s="1931">
        <v>2.2956786149917137</v>
      </c>
      <c r="FR16" s="1931">
        <v>22.872831372549019</v>
      </c>
      <c r="FS16" s="1931">
        <v>30.691712238262589</v>
      </c>
      <c r="FT16" s="1931">
        <v>32.229545098039218</v>
      </c>
      <c r="FU16" s="1931">
        <v>1.4783096927681649</v>
      </c>
      <c r="FV16" s="1931">
        <v>16.84526274509804</v>
      </c>
      <c r="FW16" s="1931">
        <v>19.826609203951445</v>
      </c>
      <c r="FX16" s="1931">
        <v>0</v>
      </c>
      <c r="FY16" s="1931">
        <v>0</v>
      </c>
      <c r="FZ16" s="1931">
        <v>71.56992156862745</v>
      </c>
      <c r="GA16" s="1942">
        <v>180.64035381188427</v>
      </c>
      <c r="GB16" s="1930">
        <v>40.514188235294121</v>
      </c>
      <c r="GC16" s="1931">
        <v>0</v>
      </c>
      <c r="GD16" s="1931">
        <v>24.832929411764706</v>
      </c>
      <c r="GE16" s="1931">
        <v>28.218514037778057</v>
      </c>
      <c r="GF16" s="1931">
        <v>32.465173333333333</v>
      </c>
      <c r="GG16" s="1931">
        <v>0</v>
      </c>
      <c r="GH16" s="1931">
        <v>18.325458823529413</v>
      </c>
      <c r="GI16" s="1931">
        <v>16.355659124413322</v>
      </c>
      <c r="GJ16" s="1931">
        <v>0</v>
      </c>
      <c r="GK16" s="1931">
        <v>0</v>
      </c>
      <c r="GL16" s="1931">
        <v>77.407176470588226</v>
      </c>
      <c r="GM16" s="1942">
        <v>200.19330637253819</v>
      </c>
      <c r="GN16" s="1930">
        <v>40.311356862745093</v>
      </c>
      <c r="GO16" s="1931">
        <v>0</v>
      </c>
      <c r="GP16" s="1931">
        <v>24.911333333333332</v>
      </c>
      <c r="GQ16" s="1931">
        <v>35.689100635646547</v>
      </c>
      <c r="GR16" s="1931">
        <v>31.505160784313727</v>
      </c>
      <c r="GS16" s="1931">
        <v>0</v>
      </c>
      <c r="GT16" s="1931">
        <v>18.384666666666668</v>
      </c>
      <c r="GU16" s="1931">
        <v>22.134862920828908</v>
      </c>
      <c r="GV16" s="1931">
        <v>0</v>
      </c>
      <c r="GW16" s="1931">
        <v>0</v>
      </c>
      <c r="GX16" s="1931">
        <v>77.640666666666675</v>
      </c>
      <c r="GY16" s="1942">
        <v>220.67739787023848</v>
      </c>
      <c r="GZ16" s="1930">
        <v>43.007808627450977</v>
      </c>
      <c r="HA16" s="1931">
        <v>10.603714504376423</v>
      </c>
      <c r="HB16" s="1931">
        <v>18.403807843137255</v>
      </c>
      <c r="HC16" s="1931">
        <v>15.265866141210353</v>
      </c>
      <c r="HD16" s="1931">
        <v>35.631650196078432</v>
      </c>
      <c r="HE16" s="1931">
        <v>7.4483620038555856</v>
      </c>
      <c r="HF16" s="1931">
        <v>13.47041568627451</v>
      </c>
      <c r="HG16" s="1931">
        <v>8.7061374853720714</v>
      </c>
      <c r="HH16" s="1931">
        <v>65.46492549019608</v>
      </c>
      <c r="HI16" s="1931">
        <v>2.6250013253671423</v>
      </c>
      <c r="HJ16" s="1931">
        <v>58.260980392156867</v>
      </c>
      <c r="HK16" s="1942">
        <v>119.17181171309115</v>
      </c>
      <c r="HL16" s="1930">
        <v>46.478832941176471</v>
      </c>
      <c r="HM16" s="1931">
        <v>11.761498521573841</v>
      </c>
      <c r="HN16" s="1931">
        <v>18.011788235294119</v>
      </c>
      <c r="HO16" s="1931">
        <v>14.05671473227283</v>
      </c>
      <c r="HP16" s="1931">
        <v>36.039632941176471</v>
      </c>
      <c r="HQ16" s="1931">
        <v>8.2999134883828489</v>
      </c>
      <c r="HR16" s="1931">
        <v>13.174376470588236</v>
      </c>
      <c r="HS16" s="1931">
        <v>7.6898064787244955</v>
      </c>
      <c r="HT16" s="1931">
        <v>70.745929411764706</v>
      </c>
      <c r="HU16" s="1931">
        <v>3.9773940535890073</v>
      </c>
      <c r="HV16" s="1931">
        <v>57.093529411764706</v>
      </c>
      <c r="HW16" s="1942">
        <v>118.05847036260357</v>
      </c>
      <c r="HX16" s="1930">
        <v>46.520318431372552</v>
      </c>
      <c r="HY16" s="1931">
        <v>4.1043098733820509</v>
      </c>
      <c r="HZ16" s="1931">
        <v>22.402407843137254</v>
      </c>
      <c r="IA16" s="1931">
        <v>29.510188044491052</v>
      </c>
      <c r="IB16" s="1931">
        <v>37.212064313725499</v>
      </c>
      <c r="IC16" s="1931">
        <v>2.7130018616484319</v>
      </c>
      <c r="ID16" s="1931">
        <v>16.490015686274511</v>
      </c>
      <c r="IE16" s="1931">
        <v>19.569587008786652</v>
      </c>
      <c r="IF16" s="1931">
        <v>0</v>
      </c>
      <c r="IG16" s="1931">
        <v>0</v>
      </c>
      <c r="IH16" s="1931">
        <v>70.168980392156868</v>
      </c>
      <c r="II16" s="1942">
        <v>170.40753515565126</v>
      </c>
      <c r="IJ16" s="1930">
        <v>44.63168784313725</v>
      </c>
      <c r="IK16" s="1931">
        <v>10.550169214445399</v>
      </c>
      <c r="IL16" s="1931">
        <v>19.736674509803922</v>
      </c>
      <c r="IM16" s="1931">
        <v>19.5232547963355</v>
      </c>
      <c r="IN16" s="1931">
        <v>36.581115294117652</v>
      </c>
      <c r="IO16" s="1931">
        <v>7.4427845918839939</v>
      </c>
      <c r="IP16" s="1931">
        <v>14.476949019607844</v>
      </c>
      <c r="IQ16" s="1931">
        <v>11.705680763433529</v>
      </c>
      <c r="IR16" s="1931">
        <v>68.913145098039209</v>
      </c>
      <c r="IS16" s="1931">
        <v>2.4486404267815982</v>
      </c>
      <c r="IT16" s="1931">
        <v>62.230313725490205</v>
      </c>
      <c r="IU16" s="1942">
        <v>134.38968475845232</v>
      </c>
      <c r="IV16" s="1930">
        <v>42.050541176470588</v>
      </c>
      <c r="IW16" s="1931">
        <v>0</v>
      </c>
      <c r="IX16" s="1931">
        <v>24.911333333333332</v>
      </c>
      <c r="IY16" s="1931">
        <v>21.667501705872752</v>
      </c>
      <c r="IZ16" s="1931">
        <v>33.027247058823527</v>
      </c>
      <c r="JA16" s="1931">
        <v>0</v>
      </c>
      <c r="JB16" s="1931">
        <v>18.384666666666668</v>
      </c>
      <c r="JC16" s="1931">
        <v>11.193741243549324</v>
      </c>
      <c r="JD16" s="1931">
        <v>0</v>
      </c>
      <c r="JE16" s="1931">
        <v>0</v>
      </c>
      <c r="JF16" s="1931">
        <v>77.640666666666675</v>
      </c>
      <c r="JG16" s="1942">
        <v>189.16592485059306</v>
      </c>
      <c r="JH16" s="1930">
        <v>39.920334117647059</v>
      </c>
      <c r="JI16" s="1931">
        <v>6.0823261179512711</v>
      </c>
      <c r="JJ16" s="1931">
        <v>21.61836862745098</v>
      </c>
      <c r="JK16" s="1931">
        <v>26.950365213055303</v>
      </c>
      <c r="JL16" s="1931">
        <v>33.704076862745097</v>
      </c>
      <c r="JM16" s="1931">
        <v>4.1754796140051331</v>
      </c>
      <c r="JN16" s="1931">
        <v>15.89793725490196</v>
      </c>
      <c r="JO16" s="1931">
        <v>17.923523904888622</v>
      </c>
      <c r="JP16" s="1931">
        <v>0</v>
      </c>
      <c r="JQ16" s="1931">
        <v>0</v>
      </c>
      <c r="JR16" s="1931">
        <v>67.834078431372546</v>
      </c>
      <c r="JS16" s="1942">
        <v>158.72972195907789</v>
      </c>
      <c r="JT16" s="1930">
        <v>48.095546666666664</v>
      </c>
      <c r="JU16" s="1931">
        <v>5.5313020755754456</v>
      </c>
      <c r="JV16" s="1931">
        <v>22.637619607843138</v>
      </c>
      <c r="JW16" s="1931">
        <v>27.338395747584997</v>
      </c>
      <c r="JX16" s="1931">
        <v>37.294072156862747</v>
      </c>
      <c r="JY16" s="1931">
        <v>3.7125511513193965</v>
      </c>
      <c r="JZ16" s="1931">
        <v>16.667639215686272</v>
      </c>
      <c r="KA16" s="1931">
        <v>17.842941479512628</v>
      </c>
      <c r="KB16" s="1931">
        <v>0</v>
      </c>
      <c r="KC16" s="1931">
        <v>0</v>
      </c>
      <c r="KD16" s="1931">
        <v>70.869450980392159</v>
      </c>
      <c r="KE16" s="1942">
        <v>163.85324743946143</v>
      </c>
      <c r="KF16" s="1930">
        <v>43.745014901960793</v>
      </c>
      <c r="KG16" s="1931">
        <v>0.79828918642184943</v>
      </c>
      <c r="KH16" s="1931">
        <v>23.029639215686274</v>
      </c>
      <c r="KI16" s="1931">
        <v>36.006186679358549</v>
      </c>
      <c r="KJ16" s="1931">
        <v>36.144690196078429</v>
      </c>
      <c r="KK16" s="1931">
        <v>0.36380778684229892</v>
      </c>
      <c r="KL16" s="1931">
        <v>16.96367843137255</v>
      </c>
      <c r="KM16" s="1931">
        <v>24.401030308710471</v>
      </c>
      <c r="KN16" s="1931">
        <v>0</v>
      </c>
      <c r="KO16" s="1931">
        <v>0</v>
      </c>
      <c r="KP16" s="1931">
        <v>72.03690196078432</v>
      </c>
      <c r="KQ16" s="1942">
        <v>201.25634170074278</v>
      </c>
      <c r="KR16" s="1930">
        <v>44.977722352941186</v>
      </c>
      <c r="KS16" s="1931">
        <v>8.3796398713914009</v>
      </c>
      <c r="KT16" s="1931">
        <v>20.755925490196081</v>
      </c>
      <c r="KU16" s="1931">
        <v>20.805442208983568</v>
      </c>
      <c r="KV16" s="1931">
        <v>34.982357647058826</v>
      </c>
      <c r="KW16" s="1931">
        <v>5.846054558499362</v>
      </c>
      <c r="KX16" s="1931">
        <v>15.246650980392157</v>
      </c>
      <c r="KY16" s="1931">
        <v>13.062402208303824</v>
      </c>
      <c r="KZ16" s="1931">
        <v>0</v>
      </c>
      <c r="LA16" s="1931">
        <v>0</v>
      </c>
      <c r="LB16" s="1931">
        <v>65.265686274509818</v>
      </c>
      <c r="LC16" s="1942">
        <v>138.3553579390971</v>
      </c>
      <c r="LD16" s="1930">
        <v>33.731247058823534</v>
      </c>
      <c r="LE16" s="1931">
        <v>0</v>
      </c>
      <c r="LF16" s="1931">
        <v>23.500062745098038</v>
      </c>
      <c r="LG16" s="1931">
        <v>31.572573327825005</v>
      </c>
      <c r="LH16" s="1931">
        <v>27.283019607843137</v>
      </c>
      <c r="LI16" s="1931">
        <v>0</v>
      </c>
      <c r="LJ16" s="1931">
        <v>17.318925490196079</v>
      </c>
      <c r="LK16" s="1931">
        <v>19.080220201060857</v>
      </c>
      <c r="LL16" s="1931">
        <v>0</v>
      </c>
      <c r="LM16" s="1931">
        <v>0</v>
      </c>
      <c r="LN16" s="1931">
        <v>73.437843137254916</v>
      </c>
      <c r="LO16" s="1942">
        <v>208.45008955217355</v>
      </c>
      <c r="LP16" s="1930">
        <v>44.661581176470598</v>
      </c>
      <c r="LQ16" s="1931">
        <v>3.6722688852215351</v>
      </c>
      <c r="LR16" s="1931">
        <v>23.735274509803922</v>
      </c>
      <c r="LS16" s="1931">
        <v>29.732175012980949</v>
      </c>
      <c r="LT16" s="1931">
        <v>36.605413333333338</v>
      </c>
      <c r="LU16" s="1931">
        <v>2.3328868741029036</v>
      </c>
      <c r="LV16" s="1931">
        <v>17.496549019607844</v>
      </c>
      <c r="LW16" s="1931">
        <v>19.569675052288119</v>
      </c>
      <c r="LX16" s="1931">
        <v>0</v>
      </c>
      <c r="LY16" s="1931">
        <v>0</v>
      </c>
      <c r="LZ16" s="1931">
        <v>74.138313725490207</v>
      </c>
      <c r="MA16" s="1942">
        <v>173.12411079155007</v>
      </c>
      <c r="MB16" s="1930">
        <v>37.683611764705887</v>
      </c>
      <c r="MC16" s="1931">
        <v>0</v>
      </c>
      <c r="MD16" s="1931">
        <v>31.183647058823528</v>
      </c>
      <c r="ME16" s="1931">
        <v>35.266041728069773</v>
      </c>
      <c r="MF16" s="1931">
        <v>28.753788235294117</v>
      </c>
      <c r="MG16" s="1931">
        <v>0</v>
      </c>
      <c r="MH16" s="1931">
        <v>23.121294117647061</v>
      </c>
      <c r="MI16" s="1931">
        <v>19.098632727882979</v>
      </c>
      <c r="MJ16" s="1931">
        <v>0</v>
      </c>
      <c r="MK16" s="1931">
        <v>0</v>
      </c>
      <c r="ML16" s="1931">
        <v>96.319882352941192</v>
      </c>
      <c r="MM16" s="1942">
        <v>262.68965312571419</v>
      </c>
      <c r="MN16" s="1930">
        <v>34.891270588235308</v>
      </c>
      <c r="MO16" s="1931">
        <v>0</v>
      </c>
      <c r="MP16" s="1931">
        <v>25.930584313725486</v>
      </c>
      <c r="MQ16" s="1931">
        <v>36.790300040938099</v>
      </c>
      <c r="MR16" s="1931">
        <v>26.65432941176471</v>
      </c>
      <c r="MS16" s="1931">
        <v>0</v>
      </c>
      <c r="MT16" s="1931">
        <v>19.154368627450978</v>
      </c>
      <c r="MU16" s="1931">
        <v>21.861657424025722</v>
      </c>
      <c r="MV16" s="1931">
        <v>0</v>
      </c>
      <c r="MW16" s="1931">
        <v>0</v>
      </c>
      <c r="MX16" s="1931">
        <v>80.676039215686274</v>
      </c>
      <c r="MY16" s="1942">
        <v>257.10448262633997</v>
      </c>
      <c r="MZ16" s="1930">
        <v>42.188544313725494</v>
      </c>
      <c r="NA16" s="1931">
        <v>2.0747597746571431</v>
      </c>
      <c r="NB16" s="1931">
        <v>24.676121568627451</v>
      </c>
      <c r="NC16" s="1931">
        <v>29.004247974393344</v>
      </c>
      <c r="ND16" s="1931">
        <v>32.820693333333331</v>
      </c>
      <c r="NE16" s="1931">
        <v>1.2755724927246526</v>
      </c>
      <c r="NF16" s="1931">
        <v>18.207043137254903</v>
      </c>
      <c r="NG16" s="1931">
        <v>18.333527332889712</v>
      </c>
      <c r="NH16" s="1931">
        <v>0</v>
      </c>
      <c r="NI16" s="1931">
        <v>0</v>
      </c>
      <c r="NJ16" s="1931">
        <v>76.940196078431384</v>
      </c>
      <c r="NK16" s="1942">
        <v>180.2011013836503</v>
      </c>
      <c r="NL16" s="1930">
        <v>41.668351372549026</v>
      </c>
      <c r="NM16" s="1931">
        <v>4.2861901852708515</v>
      </c>
      <c r="NN16" s="1931">
        <v>23.264850980392154</v>
      </c>
      <c r="NO16" s="1931">
        <v>31.905944754698815</v>
      </c>
      <c r="NP16" s="1931">
        <v>33.574765490196079</v>
      </c>
      <c r="NQ16" s="1931">
        <v>2.8256015384185105</v>
      </c>
      <c r="NR16" s="1931">
        <v>17.141301960784315</v>
      </c>
      <c r="NS16" s="1931">
        <v>21.331146220634025</v>
      </c>
      <c r="NT16" s="1931">
        <v>0</v>
      </c>
      <c r="NU16" s="1931">
        <v>0</v>
      </c>
      <c r="NV16" s="1931">
        <v>72.737372549019611</v>
      </c>
      <c r="NW16" s="1942">
        <v>176.27910294596171</v>
      </c>
      <c r="NX16" s="1930">
        <v>43.364839215686274</v>
      </c>
      <c r="NY16" s="1931">
        <v>0</v>
      </c>
      <c r="NZ16" s="1931">
        <v>26.793027450980389</v>
      </c>
      <c r="OA16" s="1931">
        <v>29.895637481084503</v>
      </c>
      <c r="OB16" s="1931">
        <v>34.51042352941176</v>
      </c>
      <c r="OC16" s="1931">
        <v>0</v>
      </c>
      <c r="OD16" s="1931">
        <v>19.805654901960786</v>
      </c>
      <c r="OE16" s="1931">
        <v>17.293499740175118</v>
      </c>
      <c r="OF16" s="1931">
        <v>0</v>
      </c>
      <c r="OG16" s="1931">
        <v>0</v>
      </c>
      <c r="OH16" s="1931">
        <v>83.244431372549002</v>
      </c>
      <c r="OI16" s="1932">
        <v>211.45973769062761</v>
      </c>
      <c r="OJ16" s="1930">
        <v>43.020313725490205</v>
      </c>
      <c r="OK16" s="1931">
        <v>7.2257565450162167</v>
      </c>
      <c r="OL16" s="1931">
        <v>22.088792156862745</v>
      </c>
      <c r="OM16" s="1931">
        <v>23.271590117983603</v>
      </c>
      <c r="ON16" s="1931">
        <v>33.836864313725492</v>
      </c>
      <c r="OO16" s="1931">
        <v>5.006631237421999</v>
      </c>
      <c r="OP16" s="1931">
        <v>16.253184313725491</v>
      </c>
      <c r="OQ16" s="1931">
        <v>14.274350722336465</v>
      </c>
      <c r="OR16" s="1931">
        <v>0</v>
      </c>
      <c r="OS16" s="1931">
        <v>0</v>
      </c>
      <c r="OT16" s="1931">
        <v>69.235019607843142</v>
      </c>
      <c r="OU16" s="1932">
        <v>150.34648885669085</v>
      </c>
      <c r="OV16" s="1930">
        <v>41.610145098039219</v>
      </c>
      <c r="OW16" s="1931">
        <v>0</v>
      </c>
      <c r="OX16" s="1931">
        <v>30.085992156862744</v>
      </c>
      <c r="OY16" s="1931">
        <v>35.478296586822196</v>
      </c>
      <c r="OZ16" s="1931">
        <v>32.747654901960793</v>
      </c>
      <c r="PA16" s="1931">
        <v>0</v>
      </c>
      <c r="PB16" s="1931">
        <v>22.292384313725492</v>
      </c>
      <c r="PC16" s="1931">
        <v>20.981591976297199</v>
      </c>
      <c r="PD16" s="1931">
        <v>0</v>
      </c>
      <c r="PE16" s="1931">
        <v>0</v>
      </c>
      <c r="PF16" s="1931">
        <v>93.051019607843131</v>
      </c>
      <c r="PG16" s="1932">
        <v>234.62989599439402</v>
      </c>
      <c r="PH16" s="1930">
        <v>46.237840784313732</v>
      </c>
      <c r="PI16" s="1931">
        <v>3.8676350984057408</v>
      </c>
      <c r="PJ16" s="1931">
        <v>23.500062745098038</v>
      </c>
      <c r="PK16" s="1931">
        <v>25.479160340917232</v>
      </c>
      <c r="PL16" s="1931">
        <v>38.79595450980392</v>
      </c>
      <c r="PM16" s="1931">
        <v>2.5339622224230753</v>
      </c>
      <c r="PN16" s="1931">
        <v>17.318925490196079</v>
      </c>
      <c r="PO16" s="1931">
        <v>16.184606597713753</v>
      </c>
      <c r="PP16" s="1931">
        <v>0</v>
      </c>
      <c r="PQ16" s="1931">
        <v>0</v>
      </c>
      <c r="PR16" s="1931">
        <v>73.437843137254916</v>
      </c>
      <c r="PS16" s="1932">
        <v>159.29471230283988</v>
      </c>
      <c r="PT16" s="1930">
        <v>45.180861176470586</v>
      </c>
      <c r="PU16" s="1931">
        <v>4.4187645415261292</v>
      </c>
      <c r="PV16" s="1931">
        <v>23.108043137254903</v>
      </c>
      <c r="PW16" s="1931">
        <v>29.983546791775957</v>
      </c>
      <c r="PX16" s="1931">
        <v>35.172296470588236</v>
      </c>
      <c r="PY16" s="1931">
        <v>2.8930769810233978</v>
      </c>
      <c r="PZ16" s="1931">
        <v>17.022886274509805</v>
      </c>
      <c r="QA16" s="1931">
        <v>19.765438069776902</v>
      </c>
      <c r="QB16" s="1931">
        <v>0</v>
      </c>
      <c r="QC16" s="1931">
        <v>0</v>
      </c>
      <c r="QD16" s="1931">
        <v>72.270392156862755</v>
      </c>
      <c r="QE16" s="1932">
        <v>173.16060592559788</v>
      </c>
      <c r="QF16" s="1930">
        <v>33.126066666666674</v>
      </c>
      <c r="QG16" s="1931">
        <v>0</v>
      </c>
      <c r="QH16" s="1931">
        <v>26.087392156862744</v>
      </c>
      <c r="QI16" s="1931">
        <v>30.873850477358097</v>
      </c>
      <c r="QJ16" s="1931">
        <v>28.327498039215691</v>
      </c>
      <c r="QK16" s="1931">
        <v>0</v>
      </c>
      <c r="QL16" s="1931">
        <v>19.272784313725492</v>
      </c>
      <c r="QM16" s="1931">
        <v>16.664526489477723</v>
      </c>
      <c r="QN16" s="1931">
        <v>0</v>
      </c>
      <c r="QO16" s="1931">
        <v>0</v>
      </c>
      <c r="QP16" s="1931">
        <v>81.143019607843158</v>
      </c>
      <c r="QQ16" s="1932">
        <v>243.56941961775019</v>
      </c>
      <c r="QR16" s="1930">
        <v>44.383868235294123</v>
      </c>
      <c r="QS16" s="1931">
        <v>5.1689332562326564</v>
      </c>
      <c r="QT16" s="1931">
        <v>23.421658823529413</v>
      </c>
      <c r="QU16" s="1931">
        <v>27.800362779276757</v>
      </c>
      <c r="QV16" s="1931">
        <v>35.894618039215693</v>
      </c>
      <c r="QW16" s="1931">
        <v>3.4536357462592298</v>
      </c>
      <c r="QX16" s="1931">
        <v>17.259717647058821</v>
      </c>
      <c r="QY16" s="1931">
        <v>17.965553052765966</v>
      </c>
      <c r="QZ16" s="1931">
        <v>0</v>
      </c>
      <c r="RA16" s="1931">
        <v>0</v>
      </c>
      <c r="RB16" s="1931">
        <v>73.204352941176467</v>
      </c>
      <c r="RC16" s="1932">
        <v>166.43614601686264</v>
      </c>
      <c r="RD16" s="1930">
        <v>43.890511372549021</v>
      </c>
      <c r="RE16" s="1931">
        <v>4.5705353286407115</v>
      </c>
      <c r="RF16" s="1931">
        <v>23.264850980392154</v>
      </c>
      <c r="RG16" s="1931">
        <v>27.008858712198027</v>
      </c>
      <c r="RH16" s="1931">
        <v>34.215742745098041</v>
      </c>
      <c r="RI16" s="1931">
        <v>3.0089743575012369</v>
      </c>
      <c r="RJ16" s="1931">
        <v>17.141301960784315</v>
      </c>
      <c r="RK16" s="1931">
        <v>17.354539749863328</v>
      </c>
      <c r="RL16" s="1931">
        <v>0</v>
      </c>
      <c r="RM16" s="1931">
        <v>0</v>
      </c>
      <c r="RN16" s="1931">
        <v>72.737372549019611</v>
      </c>
      <c r="RO16" s="1932">
        <v>165.1980871892124</v>
      </c>
    </row>
    <row r="17" spans="1:483">
      <c r="A17" s="633">
        <f>Eingabedaten!A19</f>
        <v>4.03</v>
      </c>
      <c r="B17" s="379" t="str">
        <f>Eingabedaten!C19</f>
        <v>Bibliothek</v>
      </c>
      <c r="C17" s="379"/>
      <c r="D17" s="1930">
        <v>20.674243137254905</v>
      </c>
      <c r="E17" s="1931">
        <v>0</v>
      </c>
      <c r="F17" s="1931">
        <v>13.744178431372548</v>
      </c>
      <c r="G17" s="1931">
        <v>17.717137688023705</v>
      </c>
      <c r="H17" s="1931">
        <v>18.37390980392157</v>
      </c>
      <c r="I17" s="1931">
        <v>0</v>
      </c>
      <c r="J17" s="1931">
        <v>10.734023529411765</v>
      </c>
      <c r="K17" s="1931">
        <v>7.936049239428951</v>
      </c>
      <c r="L17" s="1931">
        <v>0</v>
      </c>
      <c r="M17" s="1931">
        <v>0</v>
      </c>
      <c r="N17" s="1931">
        <v>47.217303921568629</v>
      </c>
      <c r="O17" s="1942">
        <v>123.76270291122583</v>
      </c>
      <c r="P17" s="1930">
        <v>27.741341840313734</v>
      </c>
      <c r="Q17" s="1931">
        <v>3.1635160804682845</v>
      </c>
      <c r="R17" s="1931">
        <v>11.676086274509803</v>
      </c>
      <c r="S17" s="1931">
        <v>15.622446853474836</v>
      </c>
      <c r="T17" s="1931">
        <v>24.177274039215689</v>
      </c>
      <c r="U17" s="1931">
        <v>2.6662437435984114</v>
      </c>
      <c r="V17" s="1931">
        <v>9.1170392156862761</v>
      </c>
      <c r="W17" s="1931">
        <v>8.6605479014797915</v>
      </c>
      <c r="X17" s="1931">
        <v>0</v>
      </c>
      <c r="Y17" s="1931">
        <v>0</v>
      </c>
      <c r="Z17" s="1931">
        <v>40.602284313725491</v>
      </c>
      <c r="AA17" s="1942">
        <v>89.275106645823584</v>
      </c>
      <c r="AB17" s="1930">
        <v>30.615997803921569</v>
      </c>
      <c r="AC17" s="1931">
        <v>1.7829909910268689</v>
      </c>
      <c r="AD17" s="1931">
        <v>11.720088235294117</v>
      </c>
      <c r="AE17" s="1931">
        <v>18.276928431279362</v>
      </c>
      <c r="AF17" s="1931">
        <v>26.731375843137258</v>
      </c>
      <c r="AG17" s="1931">
        <v>1.6863073094818408</v>
      </c>
      <c r="AH17" s="1931">
        <v>9.151443137254903</v>
      </c>
      <c r="AI17" s="1931">
        <v>10.614783741013678</v>
      </c>
      <c r="AJ17" s="1931">
        <v>0</v>
      </c>
      <c r="AK17" s="1931">
        <v>0</v>
      </c>
      <c r="AL17" s="1931">
        <v>40.743029411764709</v>
      </c>
      <c r="AM17" s="1942">
        <v>96.149043468160968</v>
      </c>
      <c r="AN17" s="1930">
        <v>29.530897882352942</v>
      </c>
      <c r="AO17" s="1931">
        <v>4.668874358292137</v>
      </c>
      <c r="AP17" s="1931">
        <v>12.11610588235294</v>
      </c>
      <c r="AQ17" s="1931">
        <v>13.922751900327334</v>
      </c>
      <c r="AR17" s="1931">
        <v>25.9031825882353</v>
      </c>
      <c r="AS17" s="1931">
        <v>3.735330020966261</v>
      </c>
      <c r="AT17" s="1931">
        <v>9.4610784313725489</v>
      </c>
      <c r="AU17" s="1931">
        <v>7.5217755529277142</v>
      </c>
      <c r="AV17" s="1931">
        <v>0</v>
      </c>
      <c r="AW17" s="1931">
        <v>0</v>
      </c>
      <c r="AX17" s="1931">
        <v>42.009735294117647</v>
      </c>
      <c r="AY17" s="1942">
        <v>82.566286148750791</v>
      </c>
      <c r="AZ17" s="1930">
        <v>28.47765976470588</v>
      </c>
      <c r="BA17" s="1931">
        <v>3.1273694963013221</v>
      </c>
      <c r="BB17" s="1931">
        <v>12.512123529411763</v>
      </c>
      <c r="BC17" s="1931">
        <v>16.604625583752867</v>
      </c>
      <c r="BD17" s="1931">
        <v>25.071186823529413</v>
      </c>
      <c r="BE17" s="1931">
        <v>2.6506573208764128</v>
      </c>
      <c r="BF17" s="1931">
        <v>9.7707137254901966</v>
      </c>
      <c r="BG17" s="1931">
        <v>9.0095935328206362</v>
      </c>
      <c r="BH17" s="1931">
        <v>0</v>
      </c>
      <c r="BI17" s="1931">
        <v>0</v>
      </c>
      <c r="BJ17" s="1931">
        <v>43.276441176470591</v>
      </c>
      <c r="BK17" s="1942">
        <v>94.39827154624119</v>
      </c>
      <c r="BL17" s="1930">
        <v>28.964621490196077</v>
      </c>
      <c r="BM17" s="1931">
        <v>3.4105285989852865</v>
      </c>
      <c r="BN17" s="1931">
        <v>12.380117647058825</v>
      </c>
      <c r="BO17" s="1931">
        <v>18.02896520436747</v>
      </c>
      <c r="BP17" s="1931">
        <v>25.445577568627449</v>
      </c>
      <c r="BQ17" s="1931">
        <v>2.8452561181960476</v>
      </c>
      <c r="BR17" s="1931">
        <v>9.667501960784314</v>
      </c>
      <c r="BS17" s="1931">
        <v>10.376645181370856</v>
      </c>
      <c r="BT17" s="1931">
        <v>0</v>
      </c>
      <c r="BU17" s="1931">
        <v>0</v>
      </c>
      <c r="BV17" s="1931">
        <v>42.854205882352943</v>
      </c>
      <c r="BW17" s="1942">
        <v>94.711456309035881</v>
      </c>
      <c r="BX17" s="1930">
        <v>29.085797254901959</v>
      </c>
      <c r="BY17" s="1931">
        <v>2.2742397655781961</v>
      </c>
      <c r="BZ17" s="1931">
        <v>12.424119607843135</v>
      </c>
      <c r="CA17" s="1931">
        <v>14.361773416368198</v>
      </c>
      <c r="CB17" s="1931">
        <v>25.512210980392158</v>
      </c>
      <c r="CC17" s="1931">
        <v>2.0387542400543612</v>
      </c>
      <c r="CD17" s="1931">
        <v>9.7019058823529427</v>
      </c>
      <c r="CE17" s="1931">
        <v>7.2988705921216654</v>
      </c>
      <c r="CF17" s="1931">
        <v>0</v>
      </c>
      <c r="CG17" s="1931">
        <v>0</v>
      </c>
      <c r="CH17" s="1931">
        <v>42.994950980392161</v>
      </c>
      <c r="CI17" s="1942">
        <v>89.444377185354185</v>
      </c>
      <c r="CJ17" s="1930">
        <v>16.715556862745103</v>
      </c>
      <c r="CK17" s="1931">
        <v>0</v>
      </c>
      <c r="CL17" s="1931">
        <v>15.020235294117647</v>
      </c>
      <c r="CM17" s="1931">
        <v>20.105873892715973</v>
      </c>
      <c r="CN17" s="1931">
        <v>14.453654901960789</v>
      </c>
      <c r="CO17" s="1931">
        <v>0</v>
      </c>
      <c r="CP17" s="1931">
        <v>11.731737254901962</v>
      </c>
      <c r="CQ17" s="1931">
        <v>9.0678166304116949</v>
      </c>
      <c r="CR17" s="1931">
        <v>0</v>
      </c>
      <c r="CS17" s="1931">
        <v>0</v>
      </c>
      <c r="CT17" s="1931">
        <v>51.298911764705885</v>
      </c>
      <c r="CU17" s="1942">
        <v>137.51158576079487</v>
      </c>
      <c r="CV17" s="1930">
        <v>27.422557725490194</v>
      </c>
      <c r="CW17" s="1931">
        <v>0</v>
      </c>
      <c r="CX17" s="1931">
        <v>13.52416862745098</v>
      </c>
      <c r="CY17" s="1931">
        <v>15.994755283932953</v>
      </c>
      <c r="CZ17" s="1931">
        <v>24.204658509803924</v>
      </c>
      <c r="DA17" s="1931">
        <v>0</v>
      </c>
      <c r="DB17" s="1931">
        <v>10.562003921568628</v>
      </c>
      <c r="DC17" s="1931">
        <v>7.2157160288317073</v>
      </c>
      <c r="DD17" s="1931">
        <v>0</v>
      </c>
      <c r="DE17" s="1931">
        <v>0</v>
      </c>
      <c r="DF17" s="1931">
        <v>46.513578431372551</v>
      </c>
      <c r="DG17" s="1942">
        <v>112.04831617825009</v>
      </c>
      <c r="DH17" s="1930">
        <v>26.451967372549021</v>
      </c>
      <c r="DI17" s="1931">
        <v>0</v>
      </c>
      <c r="DJ17" s="1931">
        <v>14.184198039215687</v>
      </c>
      <c r="DK17" s="1931">
        <v>23.203323025145824</v>
      </c>
      <c r="DL17" s="1931">
        <v>23.451617568627452</v>
      </c>
      <c r="DM17" s="1931">
        <v>0</v>
      </c>
      <c r="DN17" s="1931">
        <v>11.078062745098041</v>
      </c>
      <c r="DO17" s="1931">
        <v>12.870491956964402</v>
      </c>
      <c r="DP17" s="1931">
        <v>0</v>
      </c>
      <c r="DQ17" s="1931">
        <v>0</v>
      </c>
      <c r="DR17" s="1931">
        <v>48.624754901960792</v>
      </c>
      <c r="DS17" s="1942">
        <v>126.01605112888114</v>
      </c>
      <c r="DT17" s="1930">
        <v>28.017757568627452</v>
      </c>
      <c r="DU17" s="1931">
        <v>5.4022201175989872</v>
      </c>
      <c r="DV17" s="1931">
        <v>11.104060784313724</v>
      </c>
      <c r="DW17" s="1931">
        <v>13.406311443416399</v>
      </c>
      <c r="DX17" s="1931">
        <v>24.736045019607847</v>
      </c>
      <c r="DY17" s="1931">
        <v>4.2515041240402169</v>
      </c>
      <c r="DZ17" s="1931">
        <v>8.6697882352941189</v>
      </c>
      <c r="EA17" s="1931">
        <v>7.2242071057900894</v>
      </c>
      <c r="EB17" s="1931">
        <v>0</v>
      </c>
      <c r="EC17" s="1931">
        <v>0</v>
      </c>
      <c r="ED17" s="1931">
        <v>38.772598039215687</v>
      </c>
      <c r="EE17" s="1942">
        <v>80.249173522976704</v>
      </c>
      <c r="EF17" s="1930">
        <v>28.602168627450983</v>
      </c>
      <c r="EG17" s="1931">
        <v>1.0158391618296643</v>
      </c>
      <c r="EH17" s="1931">
        <v>12.864139215686274</v>
      </c>
      <c r="EI17" s="1931">
        <v>23.004914060838431</v>
      </c>
      <c r="EJ17" s="1931">
        <v>25.13356078431373</v>
      </c>
      <c r="EK17" s="1931">
        <v>1.0163813718212162</v>
      </c>
      <c r="EL17" s="1931">
        <v>10.045945098039216</v>
      </c>
      <c r="EM17" s="1931">
        <v>13.839084043792109</v>
      </c>
      <c r="EN17" s="1931">
        <v>0</v>
      </c>
      <c r="EO17" s="1931">
        <v>0</v>
      </c>
      <c r="EP17" s="1931">
        <v>44.402401960784317</v>
      </c>
      <c r="EQ17" s="1942">
        <v>110.07911105870782</v>
      </c>
      <c r="ER17" s="1930">
        <v>9.3615723607843133</v>
      </c>
      <c r="ES17" s="1931">
        <v>0</v>
      </c>
      <c r="ET17" s="1931">
        <v>16.032280392156864</v>
      </c>
      <c r="EU17" s="1931">
        <v>24.076541101283844</v>
      </c>
      <c r="EV17" s="1931">
        <v>8.4325372549019608</v>
      </c>
      <c r="EW17" s="1931">
        <v>0</v>
      </c>
      <c r="EX17" s="1931">
        <v>12.523027450980393</v>
      </c>
      <c r="EY17" s="1931">
        <v>11.156052516620871</v>
      </c>
      <c r="EZ17" s="1931">
        <v>0</v>
      </c>
      <c r="FA17" s="1931">
        <v>0</v>
      </c>
      <c r="FB17" s="1931">
        <v>54.536049019607844</v>
      </c>
      <c r="FC17" s="1942">
        <v>163.87341427043199</v>
      </c>
      <c r="FD17" s="1930">
        <v>27.083831294117651</v>
      </c>
      <c r="FE17" s="1931">
        <v>3.0025363079188883</v>
      </c>
      <c r="FF17" s="1931">
        <v>12.336115686274509</v>
      </c>
      <c r="FG17" s="1931">
        <v>18.162940403229896</v>
      </c>
      <c r="FH17" s="1931">
        <v>23.93615011764706</v>
      </c>
      <c r="FI17" s="1931">
        <v>2.5615074776251379</v>
      </c>
      <c r="FJ17" s="1931">
        <v>9.6330980392156871</v>
      </c>
      <c r="FK17" s="1931">
        <v>10.364756925689546</v>
      </c>
      <c r="FL17" s="1931">
        <v>0</v>
      </c>
      <c r="FM17" s="1931">
        <v>0</v>
      </c>
      <c r="FN17" s="1931">
        <v>42.713460784313725</v>
      </c>
      <c r="FO17" s="1942">
        <v>96.209217647618317</v>
      </c>
      <c r="FP17" s="1930">
        <v>25.570690980392154</v>
      </c>
      <c r="FQ17" s="1931">
        <v>1.7429245375774485</v>
      </c>
      <c r="FR17" s="1931">
        <v>12.336115686274509</v>
      </c>
      <c r="FS17" s="1931">
        <v>18.562015722239817</v>
      </c>
      <c r="FT17" s="1931">
        <v>22.76901254901961</v>
      </c>
      <c r="FU17" s="1931">
        <v>1.654460016945444</v>
      </c>
      <c r="FV17" s="1931">
        <v>9.6330980392156871</v>
      </c>
      <c r="FW17" s="1931">
        <v>10.242439232435721</v>
      </c>
      <c r="FX17" s="1931">
        <v>0</v>
      </c>
      <c r="FY17" s="1931">
        <v>0</v>
      </c>
      <c r="FZ17" s="1931">
        <v>42.713460784313725</v>
      </c>
      <c r="GA17" s="1942">
        <v>100.86618470217793</v>
      </c>
      <c r="GB17" s="1930">
        <v>25.828633568627456</v>
      </c>
      <c r="GC17" s="1931">
        <v>0</v>
      </c>
      <c r="GD17" s="1931">
        <v>13.436164705882351</v>
      </c>
      <c r="GE17" s="1931">
        <v>17.949523665422699</v>
      </c>
      <c r="GF17" s="1931">
        <v>22.993098666666668</v>
      </c>
      <c r="GG17" s="1931">
        <v>0.15357148725773662</v>
      </c>
      <c r="GH17" s="1931">
        <v>10.493196078431373</v>
      </c>
      <c r="GI17" s="1931">
        <v>8.6626754286217125</v>
      </c>
      <c r="GJ17" s="1931">
        <v>0</v>
      </c>
      <c r="GK17" s="1931">
        <v>0</v>
      </c>
      <c r="GL17" s="1931">
        <v>46.232088235294114</v>
      </c>
      <c r="GM17" s="1942">
        <v>113.02537306187899</v>
      </c>
      <c r="GN17" s="1930">
        <v>23.578459231372548</v>
      </c>
      <c r="GO17" s="1931">
        <v>0</v>
      </c>
      <c r="GP17" s="1931">
        <v>13.480166666666666</v>
      </c>
      <c r="GQ17" s="1931">
        <v>22.187679191230135</v>
      </c>
      <c r="GR17" s="1931">
        <v>19.294545098039212</v>
      </c>
      <c r="GS17" s="1931">
        <v>0</v>
      </c>
      <c r="GT17" s="1931">
        <v>10.527600000000001</v>
      </c>
      <c r="GU17" s="1931">
        <v>11.618853522182457</v>
      </c>
      <c r="GV17" s="1931">
        <v>0</v>
      </c>
      <c r="GW17" s="1931">
        <v>0</v>
      </c>
      <c r="GX17" s="1931">
        <v>46.372833333333332</v>
      </c>
      <c r="GY17" s="1942">
        <v>124.03581841955673</v>
      </c>
      <c r="GZ17" s="1930">
        <v>28.401678196078436</v>
      </c>
      <c r="HA17" s="1931">
        <v>7.1718706111965167</v>
      </c>
      <c r="HB17" s="1931">
        <v>9.8280039215686266</v>
      </c>
      <c r="HC17" s="1931">
        <v>9.2490780076354149</v>
      </c>
      <c r="HD17" s="1931">
        <v>24.983713098039217</v>
      </c>
      <c r="HE17" s="1931">
        <v>5.7805868709638064</v>
      </c>
      <c r="HF17" s="1931">
        <v>7.672074509803922</v>
      </c>
      <c r="HG17" s="1931">
        <v>4.2239646768549193</v>
      </c>
      <c r="HH17" s="1931">
        <v>41.374015686274504</v>
      </c>
      <c r="HI17" s="1931">
        <v>1.8230509921442519</v>
      </c>
      <c r="HJ17" s="1931">
        <v>34.690990196078438</v>
      </c>
      <c r="HK17" s="1942">
        <v>66.459242544939485</v>
      </c>
      <c r="HL17" s="1930">
        <v>28.580306117647059</v>
      </c>
      <c r="HM17" s="1931">
        <v>7.8165813031328586</v>
      </c>
      <c r="HN17" s="1931">
        <v>9.607994117647058</v>
      </c>
      <c r="HO17" s="1931">
        <v>8.591418294702649</v>
      </c>
      <c r="HP17" s="1931">
        <v>25.124584941176472</v>
      </c>
      <c r="HQ17" s="1931">
        <v>6.235994944955884</v>
      </c>
      <c r="HR17" s="1931">
        <v>7.5000549019607847</v>
      </c>
      <c r="HS17" s="1931">
        <v>3.7046395206844474</v>
      </c>
      <c r="HT17" s="1931">
        <v>41.949905882352951</v>
      </c>
      <c r="HU17" s="1931">
        <v>2.562513045912719</v>
      </c>
      <c r="HV17" s="1931">
        <v>33.987264705882353</v>
      </c>
      <c r="HW17" s="1942">
        <v>65.917013854368406</v>
      </c>
      <c r="HX17" s="1930">
        <v>29.786976549019613</v>
      </c>
      <c r="HY17" s="1931">
        <v>3.004455333105513</v>
      </c>
      <c r="HZ17" s="1931">
        <v>12.072103921568626</v>
      </c>
      <c r="IA17" s="1931">
        <v>17.548816963223622</v>
      </c>
      <c r="IB17" s="1931">
        <v>26.092736156862749</v>
      </c>
      <c r="IC17" s="1931">
        <v>2.5546687492956996</v>
      </c>
      <c r="ID17" s="1931">
        <v>9.426674509803922</v>
      </c>
      <c r="IE17" s="1931">
        <v>9.9787501576044981</v>
      </c>
      <c r="IF17" s="1931">
        <v>0</v>
      </c>
      <c r="IG17" s="1931">
        <v>0</v>
      </c>
      <c r="IH17" s="1931">
        <v>41.868990196078428</v>
      </c>
      <c r="II17" s="1942">
        <v>94.755613057001</v>
      </c>
      <c r="IJ17" s="1930">
        <v>29.190307529411768</v>
      </c>
      <c r="IK17" s="1931">
        <v>7.1536068672308435</v>
      </c>
      <c r="IL17" s="1931">
        <v>10.57603725490196</v>
      </c>
      <c r="IM17" s="1931">
        <v>11.921821408639117</v>
      </c>
      <c r="IN17" s="1931">
        <v>25.600141647058827</v>
      </c>
      <c r="IO17" s="1931">
        <v>5.7665214269386924</v>
      </c>
      <c r="IP17" s="1931">
        <v>8.2569411764705887</v>
      </c>
      <c r="IQ17" s="1931">
        <v>5.9561203115960302</v>
      </c>
      <c r="IR17" s="1931">
        <v>43.783458823529415</v>
      </c>
      <c r="IS17" s="1931">
        <v>1.7222174049199741</v>
      </c>
      <c r="IT17" s="1931">
        <v>37.083656862745102</v>
      </c>
      <c r="IU17" s="1942">
        <v>75.05081597903829</v>
      </c>
      <c r="IV17" s="1930">
        <v>25.733511764705877</v>
      </c>
      <c r="IW17" s="1931">
        <v>0</v>
      </c>
      <c r="IX17" s="1931">
        <v>13.480166666666666</v>
      </c>
      <c r="IY17" s="1931">
        <v>14.403844821652525</v>
      </c>
      <c r="IZ17" s="1931">
        <v>23.244188235294114</v>
      </c>
      <c r="JA17" s="1931">
        <v>2.1958057521629628E-2</v>
      </c>
      <c r="JB17" s="1931">
        <v>10.527600000000001</v>
      </c>
      <c r="JC17" s="1931">
        <v>6.0794102898580213</v>
      </c>
      <c r="JD17" s="1931">
        <v>0</v>
      </c>
      <c r="JE17" s="1931">
        <v>0</v>
      </c>
      <c r="JF17" s="1931">
        <v>46.372833333333332</v>
      </c>
      <c r="JG17" s="1942">
        <v>108.22745631668434</v>
      </c>
      <c r="JH17" s="1930">
        <v>26.881871686274511</v>
      </c>
      <c r="JI17" s="1931">
        <v>4.1575817296257389</v>
      </c>
      <c r="JJ17" s="1931">
        <v>11.632084313725487</v>
      </c>
      <c r="JK17" s="1931">
        <v>15.944010163744325</v>
      </c>
      <c r="JL17" s="1931">
        <v>23.825094431372545</v>
      </c>
      <c r="JM17" s="1931">
        <v>3.3680310156110362</v>
      </c>
      <c r="JN17" s="1931">
        <v>9.0826352941176474</v>
      </c>
      <c r="JO17" s="1931">
        <v>9.081547999669862</v>
      </c>
      <c r="JP17" s="1931">
        <v>0</v>
      </c>
      <c r="JQ17" s="1931">
        <v>0</v>
      </c>
      <c r="JR17" s="1931">
        <v>40.461539215686273</v>
      </c>
      <c r="JS17" s="1942">
        <v>88.199006375437264</v>
      </c>
      <c r="JT17" s="1930">
        <v>29.114720705882352</v>
      </c>
      <c r="JU17" s="1931">
        <v>3.6526771205857722</v>
      </c>
      <c r="JV17" s="1931">
        <v>12.204109803921567</v>
      </c>
      <c r="JW17" s="1931">
        <v>16.433600939391241</v>
      </c>
      <c r="JX17" s="1931">
        <v>25.585992470588234</v>
      </c>
      <c r="JY17" s="1931">
        <v>3.0217806821448803</v>
      </c>
      <c r="JZ17" s="1931">
        <v>9.5298862745098045</v>
      </c>
      <c r="KA17" s="1931">
        <v>9.2027731599789799</v>
      </c>
      <c r="KB17" s="1931">
        <v>0</v>
      </c>
      <c r="KC17" s="1931">
        <v>0</v>
      </c>
      <c r="KD17" s="1931">
        <v>42.291225490196084</v>
      </c>
      <c r="KE17" s="1942">
        <v>91.611174526673196</v>
      </c>
      <c r="KF17" s="1930">
        <v>28.46329607843137</v>
      </c>
      <c r="KG17" s="1931">
        <v>0.84556424370895533</v>
      </c>
      <c r="KH17" s="1931">
        <v>12.424119607843135</v>
      </c>
      <c r="KI17" s="1931">
        <v>21.546019899827698</v>
      </c>
      <c r="KJ17" s="1931">
        <v>25.740345098039214</v>
      </c>
      <c r="KK17" s="1931">
        <v>0.89161433099141951</v>
      </c>
      <c r="KL17" s="1931">
        <v>9.7019058823529427</v>
      </c>
      <c r="KM17" s="1931">
        <v>12.595183718055589</v>
      </c>
      <c r="KN17" s="1931">
        <v>0</v>
      </c>
      <c r="KO17" s="1931">
        <v>0</v>
      </c>
      <c r="KP17" s="1931">
        <v>42.994950980392161</v>
      </c>
      <c r="KQ17" s="1942">
        <v>112.32271312969389</v>
      </c>
      <c r="KR17" s="1930">
        <v>26.78824930447059</v>
      </c>
      <c r="KS17" s="1931">
        <v>5.4042832896553943</v>
      </c>
      <c r="KT17" s="1931">
        <v>11.14806274509804</v>
      </c>
      <c r="KU17" s="1931">
        <v>12.461944535210566</v>
      </c>
      <c r="KV17" s="1931">
        <v>23.028088156862744</v>
      </c>
      <c r="KW17" s="1931">
        <v>4.3468182485285327</v>
      </c>
      <c r="KX17" s="1931">
        <v>8.7041921568627458</v>
      </c>
      <c r="KY17" s="1931">
        <v>6.5583950321226281</v>
      </c>
      <c r="KZ17" s="1931">
        <v>0</v>
      </c>
      <c r="LA17" s="1931">
        <v>0</v>
      </c>
      <c r="LB17" s="1931">
        <v>38.913343137254905</v>
      </c>
      <c r="LC17" s="1942">
        <v>77.211099771766342</v>
      </c>
      <c r="LD17" s="1930">
        <v>21.172088235294119</v>
      </c>
      <c r="LE17" s="1931">
        <v>0</v>
      </c>
      <c r="LF17" s="1931">
        <v>12.688131372549019</v>
      </c>
      <c r="LG17" s="1931">
        <v>19.707569954103526</v>
      </c>
      <c r="LH17" s="1931">
        <v>18.674882352941179</v>
      </c>
      <c r="LI17" s="1931">
        <v>0.11266458112960701</v>
      </c>
      <c r="LJ17" s="1931">
        <v>9.9083294117647061</v>
      </c>
      <c r="LK17" s="1931">
        <v>10.012119772036954</v>
      </c>
      <c r="LL17" s="1931">
        <v>0</v>
      </c>
      <c r="LM17" s="1931">
        <v>0</v>
      </c>
      <c r="LN17" s="1931">
        <v>43.839421568627458</v>
      </c>
      <c r="LO17" s="1942">
        <v>116.7755200090926</v>
      </c>
      <c r="LP17" s="1930">
        <v>29.284818509803923</v>
      </c>
      <c r="LQ17" s="1931">
        <v>2.5518487553868994</v>
      </c>
      <c r="LR17" s="1931">
        <v>12.820137254901962</v>
      </c>
      <c r="LS17" s="1931">
        <v>17.787700789249499</v>
      </c>
      <c r="LT17" s="1931">
        <v>25.700850666666671</v>
      </c>
      <c r="LU17" s="1931">
        <v>2.2462255892215661</v>
      </c>
      <c r="LV17" s="1931">
        <v>10.01154117647059</v>
      </c>
      <c r="LW17" s="1931">
        <v>10.025701438084708</v>
      </c>
      <c r="LX17" s="1931">
        <v>0</v>
      </c>
      <c r="LY17" s="1931">
        <v>0</v>
      </c>
      <c r="LZ17" s="1931">
        <v>44.261656862745106</v>
      </c>
      <c r="MA17" s="1942">
        <v>96.607378473912803</v>
      </c>
      <c r="MB17" s="1930">
        <v>20.559706682352939</v>
      </c>
      <c r="MC17" s="1931">
        <v>0</v>
      </c>
      <c r="MD17" s="1931">
        <v>17.000323529411766</v>
      </c>
      <c r="ME17" s="1931">
        <v>23.84752867118009</v>
      </c>
      <c r="MF17" s="1931">
        <v>17.440039215686276</v>
      </c>
      <c r="MG17" s="1931">
        <v>0</v>
      </c>
      <c r="MH17" s="1931">
        <v>13.279913725490196</v>
      </c>
      <c r="MI17" s="1931">
        <v>11.006568037993162</v>
      </c>
      <c r="MJ17" s="1931">
        <v>0</v>
      </c>
      <c r="MK17" s="1931">
        <v>0</v>
      </c>
      <c r="ML17" s="1931">
        <v>57.632441176470593</v>
      </c>
      <c r="MM17" s="1942">
        <v>151.20586126402932</v>
      </c>
      <c r="MN17" s="1930">
        <v>18.958950494117655</v>
      </c>
      <c r="MO17" s="1931">
        <v>0</v>
      </c>
      <c r="MP17" s="1931">
        <v>14.052192156862743</v>
      </c>
      <c r="MQ17" s="1931">
        <v>23.579008428206901</v>
      </c>
      <c r="MR17" s="1931">
        <v>15.584364705882356</v>
      </c>
      <c r="MS17" s="1931">
        <v>0</v>
      </c>
      <c r="MT17" s="1931">
        <v>10.974850980392157</v>
      </c>
      <c r="MU17" s="1931">
        <v>11.796747091570824</v>
      </c>
      <c r="MV17" s="1931">
        <v>0</v>
      </c>
      <c r="MW17" s="1931">
        <v>0</v>
      </c>
      <c r="MX17" s="1931">
        <v>48.202519607843136</v>
      </c>
      <c r="MY17" s="1942">
        <v>145.71771117020498</v>
      </c>
      <c r="MZ17" s="1930">
        <v>25.524790196078431</v>
      </c>
      <c r="NA17" s="1931">
        <v>1.4837995378266018</v>
      </c>
      <c r="NB17" s="1931">
        <v>13.348160784313725</v>
      </c>
      <c r="NC17" s="1931">
        <v>17.71970792769994</v>
      </c>
      <c r="ND17" s="1931">
        <v>22.985839215686273</v>
      </c>
      <c r="NE17" s="1931">
        <v>1.3661003897037036</v>
      </c>
      <c r="NF17" s="1931">
        <v>10.424388235294119</v>
      </c>
      <c r="NG17" s="1931">
        <v>9.5077588278362537</v>
      </c>
      <c r="NH17" s="1931">
        <v>0</v>
      </c>
      <c r="NI17" s="1931">
        <v>0</v>
      </c>
      <c r="NJ17" s="1931">
        <v>45.950598039215691</v>
      </c>
      <c r="NK17" s="1942">
        <v>101.04206033688995</v>
      </c>
      <c r="NL17" s="1930">
        <v>26.68285043137255</v>
      </c>
      <c r="NM17" s="1931">
        <v>3.0381139485293658</v>
      </c>
      <c r="NN17" s="1931">
        <v>12.556125490196077</v>
      </c>
      <c r="NO17" s="1931">
        <v>18.978360571275005</v>
      </c>
      <c r="NP17" s="1931">
        <v>23.636454745098039</v>
      </c>
      <c r="NQ17" s="1931">
        <v>2.5823053914478624</v>
      </c>
      <c r="NR17" s="1931">
        <v>9.8051176470588253</v>
      </c>
      <c r="NS17" s="1931">
        <v>10.911252351096278</v>
      </c>
      <c r="NT17" s="1931">
        <v>0</v>
      </c>
      <c r="NU17" s="1931">
        <v>0</v>
      </c>
      <c r="NV17" s="1931">
        <v>43.41718627450981</v>
      </c>
      <c r="NW17" s="1942">
        <v>98.024957761838536</v>
      </c>
      <c r="NX17" s="1930">
        <v>27.149094117647056</v>
      </c>
      <c r="NY17" s="1931">
        <v>0</v>
      </c>
      <c r="NZ17" s="1931">
        <v>14.536213725490196</v>
      </c>
      <c r="OA17" s="1931">
        <v>19.380169751657281</v>
      </c>
      <c r="OB17" s="1931">
        <v>24.419211764705878</v>
      </c>
      <c r="OC17" s="1931">
        <v>1.6654349704681159E-2</v>
      </c>
      <c r="OD17" s="1931">
        <v>11.35329411764706</v>
      </c>
      <c r="OE17" s="1931">
        <v>9.4842582550736765</v>
      </c>
      <c r="OF17" s="1931">
        <v>0</v>
      </c>
      <c r="OG17" s="1931">
        <v>0</v>
      </c>
      <c r="OH17" s="1931">
        <v>49.750715686274503</v>
      </c>
      <c r="OI17" s="1932">
        <v>120.15918567897458</v>
      </c>
      <c r="OJ17" s="1930">
        <v>26.959322431372545</v>
      </c>
      <c r="OK17" s="1931">
        <v>4.7769871559636909</v>
      </c>
      <c r="OL17" s="1931">
        <v>11.896096078431372</v>
      </c>
      <c r="OM17" s="1931">
        <v>14.320742640566225</v>
      </c>
      <c r="ON17" s="1931">
        <v>23.873776156862746</v>
      </c>
      <c r="OO17" s="1931">
        <v>3.905007307294095</v>
      </c>
      <c r="OP17" s="1931">
        <v>9.2890588235294125</v>
      </c>
      <c r="OQ17" s="1931">
        <v>7.4479474867809845</v>
      </c>
      <c r="OR17" s="1931">
        <v>0</v>
      </c>
      <c r="OS17" s="1931">
        <v>0</v>
      </c>
      <c r="OT17" s="1931">
        <v>41.306009803921576</v>
      </c>
      <c r="OU17" s="1932">
        <v>84.316792742563734</v>
      </c>
      <c r="OV17" s="1930">
        <v>25.700396862745094</v>
      </c>
      <c r="OW17" s="1931">
        <v>0</v>
      </c>
      <c r="OX17" s="1931">
        <v>16.384296078431372</v>
      </c>
      <c r="OY17" s="1931">
        <v>22.99829033305771</v>
      </c>
      <c r="OZ17" s="1931">
        <v>22.861659607843141</v>
      </c>
      <c r="PA17" s="1931">
        <v>0</v>
      </c>
      <c r="PB17" s="1931">
        <v>12.798258823529414</v>
      </c>
      <c r="PC17" s="1931">
        <v>11.737386861799541</v>
      </c>
      <c r="PD17" s="1931">
        <v>0</v>
      </c>
      <c r="PE17" s="1931">
        <v>0</v>
      </c>
      <c r="PF17" s="1931">
        <v>55.66200980392157</v>
      </c>
      <c r="PG17" s="1932">
        <v>134.22025855503776</v>
      </c>
      <c r="PH17" s="1930">
        <v>31.050704392156867</v>
      </c>
      <c r="PI17" s="1931">
        <v>2.853081150154344</v>
      </c>
      <c r="PJ17" s="1931">
        <v>12.688131372549019</v>
      </c>
      <c r="PK17" s="1931">
        <v>15.349343093650456</v>
      </c>
      <c r="PL17" s="1931">
        <v>27.061801254901962</v>
      </c>
      <c r="PM17" s="1931">
        <v>2.4486175979021989</v>
      </c>
      <c r="PN17" s="1931">
        <v>9.9083294117647061</v>
      </c>
      <c r="PO17" s="1931">
        <v>8.2709231541804122</v>
      </c>
      <c r="PP17" s="1931">
        <v>0</v>
      </c>
      <c r="PQ17" s="1931">
        <v>0</v>
      </c>
      <c r="PR17" s="1931">
        <v>43.839421568627458</v>
      </c>
      <c r="PS17" s="1932">
        <v>88.719141624704207</v>
      </c>
      <c r="PT17" s="1930">
        <v>27.495206196078435</v>
      </c>
      <c r="PU17" s="1931">
        <v>3.0143492164433057</v>
      </c>
      <c r="PV17" s="1931">
        <v>12.468121568627451</v>
      </c>
      <c r="PW17" s="1931">
        <v>18.007128249932375</v>
      </c>
      <c r="PX17" s="1931">
        <v>24.296391686274514</v>
      </c>
      <c r="PY17" s="1931">
        <v>2.5709819019283882</v>
      </c>
      <c r="PZ17" s="1931">
        <v>9.7363098039215696</v>
      </c>
      <c r="QA17" s="1931">
        <v>10.193305035309539</v>
      </c>
      <c r="QB17" s="1931">
        <v>0</v>
      </c>
      <c r="QC17" s="1931">
        <v>0</v>
      </c>
      <c r="QD17" s="1931">
        <v>43.13569607843138</v>
      </c>
      <c r="QE17" s="1932">
        <v>96.73377380548159</v>
      </c>
      <c r="QF17" s="1930">
        <v>22.359033333333336</v>
      </c>
      <c r="QG17" s="1931">
        <v>0</v>
      </c>
      <c r="QH17" s="1931">
        <v>14.140196078431373</v>
      </c>
      <c r="QI17" s="1931">
        <v>20.409233649232842</v>
      </c>
      <c r="QJ17" s="1931">
        <v>19.959749019607848</v>
      </c>
      <c r="QK17" s="1931">
        <v>0</v>
      </c>
      <c r="QL17" s="1931">
        <v>11.043658823529412</v>
      </c>
      <c r="QM17" s="1931">
        <v>9.1112482303286768</v>
      </c>
      <c r="QN17" s="1931">
        <v>0</v>
      </c>
      <c r="QO17" s="1931">
        <v>0</v>
      </c>
      <c r="QP17" s="1931">
        <v>48.484009803921566</v>
      </c>
      <c r="QQ17" s="1932">
        <v>138.29473884312333</v>
      </c>
      <c r="QR17" s="1930">
        <v>28.647757568627451</v>
      </c>
      <c r="QS17" s="1931">
        <v>3.4712262851445144</v>
      </c>
      <c r="QT17" s="1931">
        <v>12.644129411764705</v>
      </c>
      <c r="QU17" s="1931">
        <v>16.773314133629345</v>
      </c>
      <c r="QV17" s="1931">
        <v>25.186045019607846</v>
      </c>
      <c r="QW17" s="1931">
        <v>2.8921896624230161</v>
      </c>
      <c r="QX17" s="1931">
        <v>9.8739254901960791</v>
      </c>
      <c r="QY17" s="1931">
        <v>9.2633373097177145</v>
      </c>
      <c r="QZ17" s="1931">
        <v>0</v>
      </c>
      <c r="RA17" s="1931">
        <v>0</v>
      </c>
      <c r="RB17" s="1931">
        <v>43.698676470588239</v>
      </c>
      <c r="RC17" s="1932">
        <v>93.001592260018583</v>
      </c>
      <c r="RD17" s="1930">
        <v>26.962655529411769</v>
      </c>
      <c r="RE17" s="1931">
        <v>3.1150122065978558</v>
      </c>
      <c r="RF17" s="1931">
        <v>12.556125490196077</v>
      </c>
      <c r="RG17" s="1931">
        <v>16.302303608778768</v>
      </c>
      <c r="RH17" s="1931">
        <v>23.869516705882358</v>
      </c>
      <c r="RI17" s="1931">
        <v>2.6413290890029235</v>
      </c>
      <c r="RJ17" s="1931">
        <v>9.8051176470588253</v>
      </c>
      <c r="RK17" s="1931">
        <v>8.9350103846598863</v>
      </c>
      <c r="RL17" s="1931">
        <v>0</v>
      </c>
      <c r="RM17" s="1931">
        <v>0</v>
      </c>
      <c r="RN17" s="1931">
        <v>43.41718627450981</v>
      </c>
      <c r="RO17" s="1932">
        <v>92.326270471455388</v>
      </c>
    </row>
    <row r="18" spans="1:483">
      <c r="A18" s="633">
        <f>Eingabedaten!A20</f>
        <v>4.04</v>
      </c>
      <c r="B18" s="379" t="str">
        <f>Eingabedaten!C20</f>
        <v>Hörsaal</v>
      </c>
      <c r="C18" s="379"/>
      <c r="D18" s="1930">
        <v>53.133435294117639</v>
      </c>
      <c r="E18" s="1931">
        <v>16.970776448167005</v>
      </c>
      <c r="F18" s="1931">
        <v>13.744178431372548</v>
      </c>
      <c r="G18" s="1931">
        <v>1.6884111290996071</v>
      </c>
      <c r="H18" s="1931">
        <v>40.227003921568631</v>
      </c>
      <c r="I18" s="1931">
        <v>7.6684772805677301</v>
      </c>
      <c r="J18" s="1931">
        <v>10.734023529411765</v>
      </c>
      <c r="K18" s="1931">
        <v>1.9171922135801964</v>
      </c>
      <c r="L18" s="1931">
        <v>0</v>
      </c>
      <c r="M18" s="1931">
        <v>0</v>
      </c>
      <c r="N18" s="1931">
        <v>40.574103921568629</v>
      </c>
      <c r="O18" s="1942">
        <v>75.133736212766706</v>
      </c>
      <c r="P18" s="1930">
        <v>66.117360392156868</v>
      </c>
      <c r="Q18" s="1931">
        <v>32.746530362264991</v>
      </c>
      <c r="R18" s="1931">
        <v>11.676086274509803</v>
      </c>
      <c r="S18" s="1931">
        <v>1.3073317498660593</v>
      </c>
      <c r="T18" s="1931">
        <v>51.530895686274505</v>
      </c>
      <c r="U18" s="1931">
        <v>18.431969473358443</v>
      </c>
      <c r="V18" s="1931">
        <v>9.1170392156862761</v>
      </c>
      <c r="W18" s="1931">
        <v>1.8867693049384606</v>
      </c>
      <c r="X18" s="1931">
        <v>88.701929411764709</v>
      </c>
      <c r="Y18" s="1931">
        <v>10.233246861318518</v>
      </c>
      <c r="Z18" s="1931">
        <v>34.861484313725484</v>
      </c>
      <c r="AA18" s="1942">
        <v>53.667740460739012</v>
      </c>
      <c r="AB18" s="1930">
        <v>65.252895686274513</v>
      </c>
      <c r="AC18" s="1931">
        <v>30.171050054008752</v>
      </c>
      <c r="AD18" s="1931">
        <v>11.720088235294117</v>
      </c>
      <c r="AE18" s="1931">
        <v>1.7641987495457834</v>
      </c>
      <c r="AF18" s="1931">
        <v>53.445378823529424</v>
      </c>
      <c r="AG18" s="1931">
        <v>16.807551352984955</v>
      </c>
      <c r="AH18" s="1931">
        <v>9.151443137254903</v>
      </c>
      <c r="AI18" s="1931">
        <v>2.643705075206531</v>
      </c>
      <c r="AJ18" s="1931">
        <v>88.692399999999992</v>
      </c>
      <c r="AK18" s="1931">
        <v>7.589376794357471</v>
      </c>
      <c r="AL18" s="1931">
        <v>34.983029411764704</v>
      </c>
      <c r="AM18" s="1942">
        <v>58.211123796502186</v>
      </c>
      <c r="AN18" s="1930">
        <v>69.354596470588248</v>
      </c>
      <c r="AO18" s="1931">
        <v>35.733582230682401</v>
      </c>
      <c r="AP18" s="1931">
        <v>12.11610588235294</v>
      </c>
      <c r="AQ18" s="1931">
        <v>0.93375292419394074</v>
      </c>
      <c r="AR18" s="1931">
        <v>54.063178823529412</v>
      </c>
      <c r="AS18" s="1931">
        <v>20.412981262457556</v>
      </c>
      <c r="AT18" s="1931">
        <v>9.4610784313725489</v>
      </c>
      <c r="AU18" s="1931">
        <v>1.379078929961717</v>
      </c>
      <c r="AV18" s="1931">
        <v>95.123835294117654</v>
      </c>
      <c r="AW18" s="1931">
        <v>13.057275302822143</v>
      </c>
      <c r="AX18" s="1931">
        <v>36.076935294117646</v>
      </c>
      <c r="AY18" s="1942">
        <v>48.772834802001931</v>
      </c>
      <c r="AZ18" s="1930">
        <v>66.837585098039213</v>
      </c>
      <c r="BA18" s="1931">
        <v>31.160319603528006</v>
      </c>
      <c r="BB18" s="1931">
        <v>12.512123529411763</v>
      </c>
      <c r="BC18" s="1931">
        <v>1.7331666445315372</v>
      </c>
      <c r="BD18" s="1931">
        <v>52.075338039215694</v>
      </c>
      <c r="BE18" s="1931">
        <v>17.345941839538945</v>
      </c>
      <c r="BF18" s="1931">
        <v>9.7707137254901966</v>
      </c>
      <c r="BG18" s="1931">
        <v>2.2841613947093382</v>
      </c>
      <c r="BH18" s="1931">
        <v>89.975905882352947</v>
      </c>
      <c r="BI18" s="1931">
        <v>9.0645569353813702</v>
      </c>
      <c r="BJ18" s="1931">
        <v>37.170841176470589</v>
      </c>
      <c r="BK18" s="1942">
        <v>59.334876590717791</v>
      </c>
      <c r="BL18" s="1930">
        <v>67.888633725490209</v>
      </c>
      <c r="BM18" s="1931">
        <v>32.127410519957508</v>
      </c>
      <c r="BN18" s="1931">
        <v>12.380117647058825</v>
      </c>
      <c r="BO18" s="1931">
        <v>1.9223978080456732</v>
      </c>
      <c r="BP18" s="1931">
        <v>52.966069019607843</v>
      </c>
      <c r="BQ18" s="1931">
        <v>18.127744268398736</v>
      </c>
      <c r="BR18" s="1931">
        <v>9.667501960784314</v>
      </c>
      <c r="BS18" s="1931">
        <v>2.7471594484586062</v>
      </c>
      <c r="BT18" s="1931">
        <v>92.621129411764713</v>
      </c>
      <c r="BU18" s="1931">
        <v>10.305033652350479</v>
      </c>
      <c r="BV18" s="1931">
        <v>36.806205882352941</v>
      </c>
      <c r="BW18" s="1942">
        <v>59.329705384624937</v>
      </c>
      <c r="BX18" s="1930">
        <v>67.064499607843146</v>
      </c>
      <c r="BY18" s="1931">
        <v>31.383899576461282</v>
      </c>
      <c r="BZ18" s="1931">
        <v>12.424119607843135</v>
      </c>
      <c r="CA18" s="1931">
        <v>1.148447726351238</v>
      </c>
      <c r="CB18" s="1931">
        <v>52.257417254901959</v>
      </c>
      <c r="CC18" s="1931">
        <v>17.444840403877375</v>
      </c>
      <c r="CD18" s="1931">
        <v>9.7019058823529427</v>
      </c>
      <c r="CE18" s="1931">
        <v>1.5156034021740539</v>
      </c>
      <c r="CF18" s="1931">
        <v>90.463458823529407</v>
      </c>
      <c r="CG18" s="1931">
        <v>8.121412667780513</v>
      </c>
      <c r="CH18" s="1931">
        <v>36.927750980392155</v>
      </c>
      <c r="CI18" s="1942">
        <v>53.709142609751964</v>
      </c>
      <c r="CJ18" s="1930">
        <v>48.606000000000002</v>
      </c>
      <c r="CK18" s="1931">
        <v>13.096256120506405</v>
      </c>
      <c r="CL18" s="1931">
        <v>15.020235294117647</v>
      </c>
      <c r="CM18" s="1931">
        <v>3.3456160276576123</v>
      </c>
      <c r="CN18" s="1931">
        <v>35.733352941176477</v>
      </c>
      <c r="CO18" s="1931">
        <v>5.3749459245403317</v>
      </c>
      <c r="CP18" s="1931">
        <v>11.731737254901962</v>
      </c>
      <c r="CQ18" s="1931">
        <v>3.2422343099383735</v>
      </c>
      <c r="CR18" s="1931">
        <v>0</v>
      </c>
      <c r="CS18" s="1931">
        <v>0</v>
      </c>
      <c r="CT18" s="1931">
        <v>44.098911764705882</v>
      </c>
      <c r="CU18" s="1942">
        <v>90.967161248851255</v>
      </c>
      <c r="CV18" s="1930">
        <v>64.318434509803922</v>
      </c>
      <c r="CW18" s="1931">
        <v>20.382607367161761</v>
      </c>
      <c r="CX18" s="1931">
        <v>13.52416862745098</v>
      </c>
      <c r="CY18" s="1931">
        <v>1.4884105293628356</v>
      </c>
      <c r="CZ18" s="1931">
        <v>50.035975686274512</v>
      </c>
      <c r="DA18" s="1931">
        <v>9.996188729600771</v>
      </c>
      <c r="DB18" s="1931">
        <v>10.562003921568628</v>
      </c>
      <c r="DC18" s="1931">
        <v>1.6977670361355961</v>
      </c>
      <c r="DD18" s="1931">
        <v>0</v>
      </c>
      <c r="DE18" s="1931">
        <v>0</v>
      </c>
      <c r="DF18" s="1931">
        <v>39.966378431372547</v>
      </c>
      <c r="DG18" s="1942">
        <v>68.887401999447704</v>
      </c>
      <c r="DH18" s="1930">
        <v>64.126156470588242</v>
      </c>
      <c r="DI18" s="1931">
        <v>18.986589904557245</v>
      </c>
      <c r="DJ18" s="1931">
        <v>14.184198039215687</v>
      </c>
      <c r="DK18" s="1931">
        <v>3.8625525758107639</v>
      </c>
      <c r="DL18" s="1931">
        <v>50.190843137254909</v>
      </c>
      <c r="DM18" s="1931">
        <v>9.2419565466926326</v>
      </c>
      <c r="DN18" s="1931">
        <v>11.078062745098041</v>
      </c>
      <c r="DO18" s="1931">
        <v>4.6703153009377569</v>
      </c>
      <c r="DP18" s="1931">
        <v>0</v>
      </c>
      <c r="DQ18" s="1931">
        <v>0</v>
      </c>
      <c r="DR18" s="1931">
        <v>41.789554901960784</v>
      </c>
      <c r="DS18" s="1942">
        <v>80.931155824958026</v>
      </c>
      <c r="DT18" s="1930">
        <v>69.009521568627449</v>
      </c>
      <c r="DU18" s="1931">
        <v>37.193412547277887</v>
      </c>
      <c r="DV18" s="1931">
        <v>11.104060784313724</v>
      </c>
      <c r="DW18" s="1931">
        <v>0.89976669903475992</v>
      </c>
      <c r="DX18" s="1931">
        <v>53.806698039215675</v>
      </c>
      <c r="DY18" s="1931">
        <v>21.521945994950702</v>
      </c>
      <c r="DZ18" s="1931">
        <v>8.6697882352941189</v>
      </c>
      <c r="EA18" s="1931">
        <v>1.3143166969196287</v>
      </c>
      <c r="EB18" s="1931">
        <v>94.549176470588236</v>
      </c>
      <c r="EC18" s="1931">
        <v>15.059516953293809</v>
      </c>
      <c r="ED18" s="1931">
        <v>33.281398039215688</v>
      </c>
      <c r="EE18" s="1942">
        <v>47.461590099595661</v>
      </c>
      <c r="EF18" s="1930">
        <v>67.147740392156848</v>
      </c>
      <c r="EG18" s="1931">
        <v>26.855523923715829</v>
      </c>
      <c r="EH18" s="1931">
        <v>12.864139215686274</v>
      </c>
      <c r="EI18" s="1931">
        <v>3.1553151365309318</v>
      </c>
      <c r="EJ18" s="1931">
        <v>52.356869803921569</v>
      </c>
      <c r="EK18" s="1931">
        <v>14.401136855028868</v>
      </c>
      <c r="EL18" s="1931">
        <v>10.045945098039216</v>
      </c>
      <c r="EM18" s="1931">
        <v>4.2784927367152772</v>
      </c>
      <c r="EN18" s="1931">
        <v>90.909152941176458</v>
      </c>
      <c r="EO18" s="1931">
        <v>4.7086725338584055</v>
      </c>
      <c r="EP18" s="1931">
        <v>38.14320196078431</v>
      </c>
      <c r="EQ18" s="1942">
        <v>70.514221677790701</v>
      </c>
      <c r="ER18" s="1930">
        <v>30.491823529411768</v>
      </c>
      <c r="ES18" s="1931">
        <v>5.2444212398268535</v>
      </c>
      <c r="ET18" s="1931">
        <v>16.032280392156864</v>
      </c>
      <c r="EU18" s="1931">
        <v>6.0106891347849132</v>
      </c>
      <c r="EV18" s="1931">
        <v>17.395647058823535</v>
      </c>
      <c r="EW18" s="1931">
        <v>1.2734509543074235</v>
      </c>
      <c r="EX18" s="1931">
        <v>12.523027450980393</v>
      </c>
      <c r="EY18" s="1931">
        <v>5.4688351494899097</v>
      </c>
      <c r="EZ18" s="1931">
        <v>0</v>
      </c>
      <c r="FA18" s="1931">
        <v>0</v>
      </c>
      <c r="FB18" s="1931">
        <v>46.894449019607841</v>
      </c>
      <c r="FC18" s="1942">
        <v>117.79450453798606</v>
      </c>
      <c r="FD18" s="1930">
        <v>65.353376078431381</v>
      </c>
      <c r="FE18" s="1931">
        <v>30.857619938698519</v>
      </c>
      <c r="FF18" s="1931">
        <v>12.336115686274509</v>
      </c>
      <c r="FG18" s="1931">
        <v>2.0252029099605924</v>
      </c>
      <c r="FH18" s="1931">
        <v>50.885205490196078</v>
      </c>
      <c r="FI18" s="1931">
        <v>17.272992118427339</v>
      </c>
      <c r="FJ18" s="1931">
        <v>9.6330980392156871</v>
      </c>
      <c r="FK18" s="1931">
        <v>2.8242555312767652</v>
      </c>
      <c r="FL18" s="1931">
        <v>86.793576470588235</v>
      </c>
      <c r="FM18" s="1931">
        <v>8.8843985608387968</v>
      </c>
      <c r="FN18" s="1931">
        <v>36.684660784313728</v>
      </c>
      <c r="FO18" s="1942">
        <v>60.923871279914422</v>
      </c>
      <c r="FP18" s="1930">
        <v>63.338798039215689</v>
      </c>
      <c r="FQ18" s="1931">
        <v>28.452947939166751</v>
      </c>
      <c r="FR18" s="1931">
        <v>12.336115686274509</v>
      </c>
      <c r="FS18" s="1931">
        <v>2.2226064104455951</v>
      </c>
      <c r="FT18" s="1931">
        <v>49.306239215686276</v>
      </c>
      <c r="FU18" s="1931">
        <v>15.527154588767386</v>
      </c>
      <c r="FV18" s="1931">
        <v>9.6330980392156871</v>
      </c>
      <c r="FW18" s="1931">
        <v>2.8954662074696764</v>
      </c>
      <c r="FX18" s="1931">
        <v>82.771882352941191</v>
      </c>
      <c r="FY18" s="1931">
        <v>6.2729264703101943</v>
      </c>
      <c r="FZ18" s="1931">
        <v>36.684660784313728</v>
      </c>
      <c r="GA18" s="1942">
        <v>63.991712619733931</v>
      </c>
      <c r="GB18" s="1930">
        <v>62.644086666666674</v>
      </c>
      <c r="GC18" s="1931">
        <v>20.786106881275057</v>
      </c>
      <c r="GD18" s="1931">
        <v>13.436164705882351</v>
      </c>
      <c r="GE18" s="1931">
        <v>1.958660127006167</v>
      </c>
      <c r="GF18" s="1931">
        <v>51.909694117647064</v>
      </c>
      <c r="GG18" s="1931">
        <v>10.304916379137833</v>
      </c>
      <c r="GH18" s="1931">
        <v>10.493196078431373</v>
      </c>
      <c r="GI18" s="1931">
        <v>2.2999827816766714</v>
      </c>
      <c r="GJ18" s="1931">
        <v>0</v>
      </c>
      <c r="GK18" s="1931">
        <v>0</v>
      </c>
      <c r="GL18" s="1931">
        <v>39.72328823529412</v>
      </c>
      <c r="GM18" s="1942">
        <v>71.832709500805507</v>
      </c>
      <c r="GN18" s="1930">
        <v>60.607958823529408</v>
      </c>
      <c r="GO18" s="1931">
        <v>18.125172543403902</v>
      </c>
      <c r="GP18" s="1931">
        <v>13.480166666666666</v>
      </c>
      <c r="GQ18" s="1931">
        <v>2.8720235497333673</v>
      </c>
      <c r="GR18" s="1931">
        <v>47.275635294117649</v>
      </c>
      <c r="GS18" s="1931">
        <v>8.7297198304134191</v>
      </c>
      <c r="GT18" s="1931">
        <v>10.527600000000001</v>
      </c>
      <c r="GU18" s="1931">
        <v>3.5475593799081406</v>
      </c>
      <c r="GV18" s="1931">
        <v>0</v>
      </c>
      <c r="GW18" s="1931">
        <v>0</v>
      </c>
      <c r="GX18" s="1931">
        <v>39.844833333333334</v>
      </c>
      <c r="GY18" s="1942">
        <v>80.536766740818152</v>
      </c>
      <c r="GZ18" s="1930">
        <v>65.892868235294117</v>
      </c>
      <c r="HA18" s="1931">
        <v>42.929788027347904</v>
      </c>
      <c r="HB18" s="1931">
        <v>9.8280039215686266</v>
      </c>
      <c r="HC18" s="1931">
        <v>0.26907363369431087</v>
      </c>
      <c r="HD18" s="1931">
        <v>51.320550588235285</v>
      </c>
      <c r="HE18" s="1931">
        <v>25.342798941337499</v>
      </c>
      <c r="HF18" s="1931">
        <v>7.672074509803922</v>
      </c>
      <c r="HG18" s="1931">
        <v>0.39787270568675392</v>
      </c>
      <c r="HH18" s="1931">
        <v>87.972752941176466</v>
      </c>
      <c r="HI18" s="1931">
        <v>21.751663844127492</v>
      </c>
      <c r="HJ18" s="1931">
        <v>29.756590196078431</v>
      </c>
      <c r="HK18" s="1942">
        <v>34.920534725949771</v>
      </c>
      <c r="HL18" s="1930">
        <v>67.599713333333341</v>
      </c>
      <c r="HM18" s="1931">
        <v>43.680207852976913</v>
      </c>
      <c r="HN18" s="1931">
        <v>9.607994117647058</v>
      </c>
      <c r="HO18" s="1931">
        <v>0.24138502088957944</v>
      </c>
      <c r="HP18" s="1931">
        <v>52.589719215686266</v>
      </c>
      <c r="HQ18" s="1931">
        <v>25.7075671472819</v>
      </c>
      <c r="HR18" s="1931">
        <v>7.5000549019607847</v>
      </c>
      <c r="HS18" s="1931">
        <v>0.3418583244461289</v>
      </c>
      <c r="HT18" s="1931">
        <v>90.819576470588231</v>
      </c>
      <c r="HU18" s="1931">
        <v>23.229379844318206</v>
      </c>
      <c r="HV18" s="1931">
        <v>29.148864705882353</v>
      </c>
      <c r="HW18" s="1942">
        <v>34.14296988016897</v>
      </c>
      <c r="HX18" s="1930">
        <v>68.319371764705878</v>
      </c>
      <c r="HY18" s="1931">
        <v>31.602314625853388</v>
      </c>
      <c r="HZ18" s="1931">
        <v>12.072103921568626</v>
      </c>
      <c r="IA18" s="1931">
        <v>1.8224315796447152</v>
      </c>
      <c r="IB18" s="1931">
        <v>53.293736470588229</v>
      </c>
      <c r="IC18" s="1931">
        <v>17.767668077807677</v>
      </c>
      <c r="ID18" s="1931">
        <v>9.426674509803922</v>
      </c>
      <c r="IE18" s="1931">
        <v>2.5731562342570289</v>
      </c>
      <c r="IF18" s="1931">
        <v>93.399858823529414</v>
      </c>
      <c r="IG18" s="1931">
        <v>9.783336931830469</v>
      </c>
      <c r="IH18" s="1931">
        <v>35.955390196078426</v>
      </c>
      <c r="II18" s="1942">
        <v>58.66243996960187</v>
      </c>
      <c r="IJ18" s="1930">
        <v>67.022879215686274</v>
      </c>
      <c r="IK18" s="1931">
        <v>41.610954509839772</v>
      </c>
      <c r="IL18" s="1931">
        <v>10.57603725490196</v>
      </c>
      <c r="IM18" s="1931">
        <v>0.76991045045422446</v>
      </c>
      <c r="IN18" s="1931">
        <v>52.207690980392165</v>
      </c>
      <c r="IO18" s="1931">
        <v>24.713054624829038</v>
      </c>
      <c r="IP18" s="1931">
        <v>8.2569411764705887</v>
      </c>
      <c r="IQ18" s="1931">
        <v>1.0444002560645924</v>
      </c>
      <c r="IR18" s="1931">
        <v>90.240611764705889</v>
      </c>
      <c r="IS18" s="1931">
        <v>21.836912926518579</v>
      </c>
      <c r="IT18" s="1931">
        <v>31.822856862745098</v>
      </c>
      <c r="IU18" s="1942">
        <v>43.504458339316308</v>
      </c>
      <c r="IV18" s="1930">
        <v>65.442435294117644</v>
      </c>
      <c r="IW18" s="1931">
        <v>19.912521998067163</v>
      </c>
      <c r="IX18" s="1931">
        <v>13.480166666666666</v>
      </c>
      <c r="IY18" s="1931">
        <v>1.3197025326039367</v>
      </c>
      <c r="IZ18" s="1931">
        <v>51.718650980392155</v>
      </c>
      <c r="JA18" s="1931">
        <v>9.8194305017413797</v>
      </c>
      <c r="JB18" s="1931">
        <v>10.527600000000001</v>
      </c>
      <c r="JC18" s="1931">
        <v>1.3990520432039573</v>
      </c>
      <c r="JD18" s="1931">
        <v>0</v>
      </c>
      <c r="JE18" s="1931">
        <v>0</v>
      </c>
      <c r="JF18" s="1931">
        <v>39.844833333333334</v>
      </c>
      <c r="JG18" s="1942">
        <v>68.391319054398849</v>
      </c>
      <c r="JH18" s="1930">
        <v>63.801750196078444</v>
      </c>
      <c r="JI18" s="1931">
        <v>34.273462874261604</v>
      </c>
      <c r="JJ18" s="1931">
        <v>11.632084313725487</v>
      </c>
      <c r="JK18" s="1931">
        <v>1.3587965836820364</v>
      </c>
      <c r="JL18" s="1931">
        <v>49.716909019607847</v>
      </c>
      <c r="JM18" s="1931">
        <v>19.603894038296797</v>
      </c>
      <c r="JN18" s="1931">
        <v>9.0826352941176474</v>
      </c>
      <c r="JO18" s="1931">
        <v>2.0229595540055865</v>
      </c>
      <c r="JP18" s="1931">
        <v>84.086799999999982</v>
      </c>
      <c r="JQ18" s="1931">
        <v>12.555013297114382</v>
      </c>
      <c r="JR18" s="1931">
        <v>34.73993921568627</v>
      </c>
      <c r="JS18" s="1942">
        <v>53.43693718884623</v>
      </c>
      <c r="JT18" s="1930">
        <v>68.076350196078423</v>
      </c>
      <c r="JU18" s="1931">
        <v>32.515851076503672</v>
      </c>
      <c r="JV18" s="1931">
        <v>12.204109803921567</v>
      </c>
      <c r="JW18" s="1931">
        <v>1.6964562616006789</v>
      </c>
      <c r="JX18" s="1931">
        <v>53.070156078431367</v>
      </c>
      <c r="JY18" s="1931">
        <v>18.264695534027258</v>
      </c>
      <c r="JZ18" s="1931">
        <v>9.5298862745098045</v>
      </c>
      <c r="KA18" s="1931">
        <v>2.3201260718174264</v>
      </c>
      <c r="KB18" s="1931">
        <v>92.644211764705872</v>
      </c>
      <c r="KC18" s="1931">
        <v>10.262182227723567</v>
      </c>
      <c r="KD18" s="1931">
        <v>36.320025490196073</v>
      </c>
      <c r="KE18" s="1942">
        <v>57.371911597954146</v>
      </c>
      <c r="KF18" s="1930">
        <v>63.677172156862753</v>
      </c>
      <c r="KG18" s="1931">
        <v>24.436636292277473</v>
      </c>
      <c r="KH18" s="1931">
        <v>12.424119607843135</v>
      </c>
      <c r="KI18" s="1931">
        <v>3.5552587053348024</v>
      </c>
      <c r="KJ18" s="1931">
        <v>49.487942745098032</v>
      </c>
      <c r="KK18" s="1931">
        <v>12.753561237705521</v>
      </c>
      <c r="KL18" s="1931">
        <v>9.7019058823529427</v>
      </c>
      <c r="KM18" s="1931">
        <v>4.5345896594761665</v>
      </c>
      <c r="KN18" s="1931">
        <v>82.765105882352941</v>
      </c>
      <c r="KO18" s="1931">
        <v>3.5702754492995026</v>
      </c>
      <c r="KP18" s="1931">
        <v>36.927750980392155</v>
      </c>
      <c r="KQ18" s="1942">
        <v>72.363954376551106</v>
      </c>
      <c r="KR18" s="1930">
        <v>65.260729019607851</v>
      </c>
      <c r="KS18" s="1931">
        <v>37.844877269068284</v>
      </c>
      <c r="KT18" s="1931">
        <v>11.14806274509804</v>
      </c>
      <c r="KU18" s="1931">
        <v>0.68386313485308925</v>
      </c>
      <c r="KV18" s="1931">
        <v>50.819029019607839</v>
      </c>
      <c r="KW18" s="1931">
        <v>21.870508962998652</v>
      </c>
      <c r="KX18" s="1931">
        <v>8.7041921568627458</v>
      </c>
      <c r="KY18" s="1931">
        <v>1.027486408729344</v>
      </c>
      <c r="KZ18" s="1931">
        <v>86.661223529411757</v>
      </c>
      <c r="LA18" s="1931">
        <v>15.336396684447937</v>
      </c>
      <c r="LB18" s="1931">
        <v>33.402943137254901</v>
      </c>
      <c r="LC18" s="1942">
        <v>44.549965692853924</v>
      </c>
      <c r="LD18" s="1930">
        <v>54.048423529411771</v>
      </c>
      <c r="LE18" s="1931">
        <v>21.24775856516192</v>
      </c>
      <c r="LF18" s="1931">
        <v>12.688131372549019</v>
      </c>
      <c r="LG18" s="1931">
        <v>2.4884317293121261</v>
      </c>
      <c r="LH18" s="1931">
        <v>40.700600000000001</v>
      </c>
      <c r="LI18" s="1931">
        <v>10.621840321795366</v>
      </c>
      <c r="LJ18" s="1931">
        <v>9.9083294117647061</v>
      </c>
      <c r="LK18" s="1931">
        <v>2.9330939463814745</v>
      </c>
      <c r="LL18" s="1931">
        <v>68.192729411764702</v>
      </c>
      <c r="LM18" s="1931">
        <v>0.54265926351088389</v>
      </c>
      <c r="LN18" s="1931">
        <v>37.657021568627449</v>
      </c>
      <c r="LO18" s="1942">
        <v>73.637783901459571</v>
      </c>
      <c r="LP18" s="1930">
        <v>68.009216470588242</v>
      </c>
      <c r="LQ18" s="1931">
        <v>29.854114676574905</v>
      </c>
      <c r="LR18" s="1931">
        <v>12.820137254901962</v>
      </c>
      <c r="LS18" s="1931">
        <v>1.8696040000181964</v>
      </c>
      <c r="LT18" s="1931">
        <v>53.012204705882361</v>
      </c>
      <c r="LU18" s="1931">
        <v>16.480715990122743</v>
      </c>
      <c r="LV18" s="1931">
        <v>10.01154117647059</v>
      </c>
      <c r="LW18" s="1931">
        <v>2.608287156784781</v>
      </c>
      <c r="LX18" s="1931">
        <v>92.466611764705902</v>
      </c>
      <c r="LY18" s="1931">
        <v>7.5159356321431208</v>
      </c>
      <c r="LZ18" s="1931">
        <v>38.021656862745097</v>
      </c>
      <c r="MA18" s="1942">
        <v>60.414754414047408</v>
      </c>
      <c r="MB18" s="1930">
        <v>55.041964705882357</v>
      </c>
      <c r="MC18" s="1931">
        <v>12.260269825697124</v>
      </c>
      <c r="MD18" s="1931">
        <v>17.000323529411766</v>
      </c>
      <c r="ME18" s="1931">
        <v>6.1347493635032784</v>
      </c>
      <c r="MF18" s="1931">
        <v>41.590239215686275</v>
      </c>
      <c r="MG18" s="1931">
        <v>4.6920682273255894</v>
      </c>
      <c r="MH18" s="1931">
        <v>13.279913725490196</v>
      </c>
      <c r="MI18" s="1931">
        <v>5.3139330078984885</v>
      </c>
      <c r="MJ18" s="1931">
        <v>0</v>
      </c>
      <c r="MK18" s="1931">
        <v>0</v>
      </c>
      <c r="ML18" s="1931">
        <v>49.568441176470586</v>
      </c>
      <c r="MM18" s="1942">
        <v>107.09014632839828</v>
      </c>
      <c r="MN18" s="1930">
        <v>51.920152941176482</v>
      </c>
      <c r="MO18" s="1931">
        <v>12.151436374826698</v>
      </c>
      <c r="MP18" s="1931">
        <v>14.052192156862743</v>
      </c>
      <c r="MQ18" s="1931">
        <v>3.9321048922869011</v>
      </c>
      <c r="MR18" s="1931">
        <v>38.640505882352954</v>
      </c>
      <c r="MS18" s="1931">
        <v>4.9716545236507228</v>
      </c>
      <c r="MT18" s="1931">
        <v>10.974850980392157</v>
      </c>
      <c r="MU18" s="1931">
        <v>4.2085858793737758</v>
      </c>
      <c r="MV18" s="1931">
        <v>0</v>
      </c>
      <c r="MW18" s="1931">
        <v>0</v>
      </c>
      <c r="MX18" s="1931">
        <v>41.424919607843137</v>
      </c>
      <c r="MY18" s="1942">
        <v>96.602897949082859</v>
      </c>
      <c r="MZ18" s="1930">
        <v>66.25864117647059</v>
      </c>
      <c r="NA18" s="1931">
        <v>26.995602724200275</v>
      </c>
      <c r="NB18" s="1931">
        <v>13.348160784313725</v>
      </c>
      <c r="NC18" s="1931">
        <v>1.9438892434672543</v>
      </c>
      <c r="ND18" s="1931">
        <v>52.751572549019599</v>
      </c>
      <c r="NE18" s="1931">
        <v>14.357757458616085</v>
      </c>
      <c r="NF18" s="1931">
        <v>10.424388235294119</v>
      </c>
      <c r="NG18" s="1931">
        <v>2.5421787703136207</v>
      </c>
      <c r="NH18" s="1931">
        <v>82.445419607843135</v>
      </c>
      <c r="NI18" s="1931">
        <v>4.4820401551818554</v>
      </c>
      <c r="NJ18" s="1931">
        <v>39.480198039215693</v>
      </c>
      <c r="NK18" s="1942">
        <v>63.87942401722043</v>
      </c>
      <c r="NL18" s="1930">
        <v>63.966092549019614</v>
      </c>
      <c r="NM18" s="1931">
        <v>31.045649970387643</v>
      </c>
      <c r="NN18" s="1931">
        <v>12.556125490196077</v>
      </c>
      <c r="NO18" s="1931">
        <v>2.236300323122876</v>
      </c>
      <c r="NP18" s="1931">
        <v>49.864292549019609</v>
      </c>
      <c r="NQ18" s="1931">
        <v>17.459570264563521</v>
      </c>
      <c r="NR18" s="1931">
        <v>9.8051176470588253</v>
      </c>
      <c r="NS18" s="1931">
        <v>3.0921750334288305</v>
      </c>
      <c r="NT18" s="1931">
        <v>84.566658823529423</v>
      </c>
      <c r="NU18" s="1931">
        <v>9.4389922875301799</v>
      </c>
      <c r="NV18" s="1931">
        <v>37.292386274509802</v>
      </c>
      <c r="NW18" s="1942">
        <v>62.263707558991051</v>
      </c>
      <c r="NX18" s="1930">
        <v>63.059000784313731</v>
      </c>
      <c r="NY18" s="1931">
        <v>20.122139008065705</v>
      </c>
      <c r="NZ18" s="1931">
        <v>14.536213725490196</v>
      </c>
      <c r="OA18" s="1931">
        <v>3.4933745074308451</v>
      </c>
      <c r="OB18" s="1931">
        <v>48.976400784313718</v>
      </c>
      <c r="OC18" s="1931">
        <v>10.027102038823573</v>
      </c>
      <c r="OD18" s="1931">
        <v>11.35329411764706</v>
      </c>
      <c r="OE18" s="1931">
        <v>3.5836008887821382</v>
      </c>
      <c r="OF18" s="1931">
        <v>0</v>
      </c>
      <c r="OG18" s="1931">
        <v>0</v>
      </c>
      <c r="OH18" s="1931">
        <v>42.761915686274506</v>
      </c>
      <c r="OI18" s="1932">
        <v>80.021119992896999</v>
      </c>
      <c r="OJ18" s="1930">
        <v>65.48764352941177</v>
      </c>
      <c r="OK18" s="1931">
        <v>36.603265320907219</v>
      </c>
      <c r="OL18" s="1931">
        <v>11.896096078431372</v>
      </c>
      <c r="OM18" s="1931">
        <v>1.4467109658225006</v>
      </c>
      <c r="ON18" s="1931">
        <v>51.001108235294119</v>
      </c>
      <c r="OO18" s="1931">
        <v>21.018361059748447</v>
      </c>
      <c r="OP18" s="1931">
        <v>9.2890588235294125</v>
      </c>
      <c r="OQ18" s="1931">
        <v>1.831492296260538</v>
      </c>
      <c r="OR18" s="1931">
        <v>87.148776470588246</v>
      </c>
      <c r="OS18" s="1931">
        <v>13.766597634352626</v>
      </c>
      <c r="OT18" s="1931">
        <v>35.469209803921565</v>
      </c>
      <c r="OU18" s="1932">
        <v>52.401336864342909</v>
      </c>
      <c r="OV18" s="1930">
        <v>62.42443921568627</v>
      </c>
      <c r="OW18" s="1931">
        <v>16.737631886168849</v>
      </c>
      <c r="OX18" s="1931">
        <v>16.384296078431372</v>
      </c>
      <c r="OY18" s="1931">
        <v>5.700649807110282</v>
      </c>
      <c r="OZ18" s="1931">
        <v>48.503145098039212</v>
      </c>
      <c r="PA18" s="1931">
        <v>8.0119145681237356</v>
      </c>
      <c r="PB18" s="1931">
        <v>12.798258823529414</v>
      </c>
      <c r="PC18" s="1931">
        <v>5.3944617633933625</v>
      </c>
      <c r="PD18" s="1931">
        <v>0</v>
      </c>
      <c r="PE18" s="1931">
        <v>0</v>
      </c>
      <c r="PF18" s="1931">
        <v>47.866809803921569</v>
      </c>
      <c r="PG18" s="1932">
        <v>93.349794160664871</v>
      </c>
      <c r="PH18" s="1930">
        <v>69.127681960784315</v>
      </c>
      <c r="PI18" s="1931">
        <v>32.814895688224219</v>
      </c>
      <c r="PJ18" s="1931">
        <v>12.688131372549019</v>
      </c>
      <c r="PK18" s="1931">
        <v>1.2954152807077643</v>
      </c>
      <c r="PL18" s="1931">
        <v>53.88109960784314</v>
      </c>
      <c r="PM18" s="1931">
        <v>18.467694656142484</v>
      </c>
      <c r="PN18" s="1931">
        <v>9.9083294117647061</v>
      </c>
      <c r="PO18" s="1931">
        <v>1.8078173093204355</v>
      </c>
      <c r="PP18" s="1931">
        <v>94.63628235294118</v>
      </c>
      <c r="PQ18" s="1931">
        <v>9.3407573120808038</v>
      </c>
      <c r="PR18" s="1931">
        <v>37.657021568627449</v>
      </c>
      <c r="PS18" s="1932">
        <v>53.655737285538819</v>
      </c>
      <c r="PT18" s="1930">
        <v>66.971852549019616</v>
      </c>
      <c r="PU18" s="1931">
        <v>30.671446266909793</v>
      </c>
      <c r="PV18" s="1931">
        <v>12.468121568627451</v>
      </c>
      <c r="PW18" s="1931">
        <v>2.1107407228721962</v>
      </c>
      <c r="PX18" s="1931">
        <v>52.191240784313727</v>
      </c>
      <c r="PY18" s="1931">
        <v>17.12927198022226</v>
      </c>
      <c r="PZ18" s="1931">
        <v>9.7363098039215696</v>
      </c>
      <c r="QA18" s="1931">
        <v>2.8611344447965088</v>
      </c>
      <c r="QB18" s="1931">
        <v>90.331105882352929</v>
      </c>
      <c r="QC18" s="1931">
        <v>8.7881087509639624</v>
      </c>
      <c r="QD18" s="1931">
        <v>37.049296078431368</v>
      </c>
      <c r="QE18" s="1932">
        <v>61.649060957550653</v>
      </c>
      <c r="QF18" s="1930">
        <v>55.017300000000006</v>
      </c>
      <c r="QG18" s="1931">
        <v>13.607093723331452</v>
      </c>
      <c r="QH18" s="1931">
        <v>14.140196078431373</v>
      </c>
      <c r="QI18" s="1931">
        <v>2.9007263263771077</v>
      </c>
      <c r="QJ18" s="1931">
        <v>42.202505882352938</v>
      </c>
      <c r="QK18" s="1931">
        <v>5.869937879824783</v>
      </c>
      <c r="QL18" s="1931">
        <v>11.043658823529412</v>
      </c>
      <c r="QM18" s="1931">
        <v>2.9282083267887971</v>
      </c>
      <c r="QN18" s="1931">
        <v>0</v>
      </c>
      <c r="QO18" s="1931">
        <v>0</v>
      </c>
      <c r="QP18" s="1931">
        <v>41.668009803921564</v>
      </c>
      <c r="QQ18" s="1932">
        <v>89.696227786664068</v>
      </c>
      <c r="QR18" s="1930">
        <v>67.462740392156846</v>
      </c>
      <c r="QS18" s="1931">
        <v>32.085738071644037</v>
      </c>
      <c r="QT18" s="1931">
        <v>12.644129411764705</v>
      </c>
      <c r="QU18" s="1931">
        <v>1.7160214298699736</v>
      </c>
      <c r="QV18" s="1931">
        <v>52.581869803921563</v>
      </c>
      <c r="QW18" s="1931">
        <v>18.058715112237973</v>
      </c>
      <c r="QX18" s="1931">
        <v>9.8739254901960791</v>
      </c>
      <c r="QY18" s="1931">
        <v>2.3329522679192141</v>
      </c>
      <c r="QZ18" s="1931">
        <v>91.359152941176447</v>
      </c>
      <c r="RA18" s="1931">
        <v>10.001141500239822</v>
      </c>
      <c r="RB18" s="1931">
        <v>37.535476470588236</v>
      </c>
      <c r="RC18" s="1932">
        <v>58.464043969803065</v>
      </c>
      <c r="RD18" s="1930">
        <v>65.781691764705883</v>
      </c>
      <c r="RE18" s="1931">
        <v>31.632011877622929</v>
      </c>
      <c r="RF18" s="1931">
        <v>12.556125490196077</v>
      </c>
      <c r="RG18" s="1931">
        <v>1.5668089762001363</v>
      </c>
      <c r="RH18" s="1931">
        <v>51.241138823529404</v>
      </c>
      <c r="RI18" s="1931">
        <v>17.670848559665853</v>
      </c>
      <c r="RJ18" s="1931">
        <v>9.8051176470588253</v>
      </c>
      <c r="RK18" s="1931">
        <v>2.1461301141673812</v>
      </c>
      <c r="RL18" s="1931">
        <v>87.813929411764704</v>
      </c>
      <c r="RM18" s="1931">
        <v>9.101661112835032</v>
      </c>
      <c r="RN18" s="1931">
        <v>37.292386274509802</v>
      </c>
      <c r="RO18" s="1932">
        <v>57.373023070717565</v>
      </c>
    </row>
    <row r="19" spans="1:483">
      <c r="A19" s="657">
        <f>Eingabedaten!A21</f>
        <v>4.05</v>
      </c>
      <c r="B19" s="387" t="str">
        <f>Eingabedaten!C21</f>
        <v>Schulfachraum (Spezialraum)</v>
      </c>
      <c r="C19" s="387"/>
      <c r="D19" s="1930">
        <v>35.21526050420168</v>
      </c>
      <c r="E19" s="1931">
        <v>0</v>
      </c>
      <c r="F19" s="1931">
        <v>21.152191596638659</v>
      </c>
      <c r="G19" s="1931">
        <v>22.658648293031423</v>
      </c>
      <c r="H19" s="1931">
        <v>28.643029915966384</v>
      </c>
      <c r="I19" s="1931">
        <v>0</v>
      </c>
      <c r="J19" s="1931">
        <v>15.862171428571429</v>
      </c>
      <c r="K19" s="1931">
        <v>10.811127588170351</v>
      </c>
      <c r="L19" s="1931">
        <v>0</v>
      </c>
      <c r="M19" s="1931">
        <v>0</v>
      </c>
      <c r="N19" s="1931">
        <v>58.77431260504202</v>
      </c>
      <c r="O19" s="1942">
        <v>147.43501492316156</v>
      </c>
      <c r="P19" s="1930">
        <v>47.22184363025211</v>
      </c>
      <c r="Q19" s="1931">
        <v>5.7008487658159837</v>
      </c>
      <c r="R19" s="1931">
        <v>18.062119327731097</v>
      </c>
      <c r="S19" s="1931">
        <v>21.31420058499539</v>
      </c>
      <c r="T19" s="1931">
        <v>37.221346823529416</v>
      </c>
      <c r="U19" s="1931">
        <v>3.8863717615222586</v>
      </c>
      <c r="V19" s="1931">
        <v>13.490685714285714</v>
      </c>
      <c r="W19" s="1931">
        <v>12.655651097797707</v>
      </c>
      <c r="X19" s="1931">
        <v>0</v>
      </c>
      <c r="Y19" s="1931">
        <v>0</v>
      </c>
      <c r="Z19" s="1931">
        <v>50.573721008403368</v>
      </c>
      <c r="AA19" s="1942">
        <v>109.43523810925099</v>
      </c>
      <c r="AB19" s="1930">
        <v>43.558413848739498</v>
      </c>
      <c r="AC19" s="1931">
        <v>3.454533567246354</v>
      </c>
      <c r="AD19" s="1931">
        <v>18.127865546218494</v>
      </c>
      <c r="AE19" s="1931">
        <v>25.305013556394421</v>
      </c>
      <c r="AF19" s="1931">
        <v>39.936854857142862</v>
      </c>
      <c r="AG19" s="1931">
        <v>2.2870215533647849</v>
      </c>
      <c r="AH19" s="1931">
        <v>13.541142857142859</v>
      </c>
      <c r="AI19" s="1931">
        <v>15.84479327667856</v>
      </c>
      <c r="AJ19" s="1931">
        <v>0</v>
      </c>
      <c r="AK19" s="1931">
        <v>0</v>
      </c>
      <c r="AL19" s="1931">
        <v>50.748201680672281</v>
      </c>
      <c r="AM19" s="1942">
        <v>119.64331074186946</v>
      </c>
      <c r="AN19" s="1930">
        <v>49.983717512605047</v>
      </c>
      <c r="AO19" s="1931">
        <v>8.1608368157883806</v>
      </c>
      <c r="AP19" s="1931">
        <v>18.719581512605046</v>
      </c>
      <c r="AQ19" s="1931">
        <v>18.847549334712866</v>
      </c>
      <c r="AR19" s="1931">
        <v>39.782091159663864</v>
      </c>
      <c r="AS19" s="1931">
        <v>5.6383314114675214</v>
      </c>
      <c r="AT19" s="1931">
        <v>13.995257142857145</v>
      </c>
      <c r="AU19" s="1931">
        <v>10.890264475584775</v>
      </c>
      <c r="AV19" s="1931">
        <v>76.049115966386552</v>
      </c>
      <c r="AW19" s="1931">
        <v>0.41193198509973011</v>
      </c>
      <c r="AX19" s="1931">
        <v>52.318527731092452</v>
      </c>
      <c r="AY19" s="1942">
        <v>100.76751540796961</v>
      </c>
      <c r="AZ19" s="1930">
        <v>46.93502131092437</v>
      </c>
      <c r="BA19" s="1931">
        <v>5.8389460602663581</v>
      </c>
      <c r="BB19" s="1931">
        <v>19.311297478991602</v>
      </c>
      <c r="BC19" s="1931">
        <v>22.479455793334658</v>
      </c>
      <c r="BD19" s="1931">
        <v>37.911906689075629</v>
      </c>
      <c r="BE19" s="1931">
        <v>3.9935950680692849</v>
      </c>
      <c r="BF19" s="1931">
        <v>14.44937142857143</v>
      </c>
      <c r="BG19" s="1931">
        <v>12.983451540525319</v>
      </c>
      <c r="BH19" s="1931">
        <v>0</v>
      </c>
      <c r="BI19" s="1931">
        <v>0</v>
      </c>
      <c r="BJ19" s="1931">
        <v>53.888853781512609</v>
      </c>
      <c r="BK19" s="1942">
        <v>115.53837437025378</v>
      </c>
      <c r="BL19" s="1930">
        <v>47.346306957983188</v>
      </c>
      <c r="BM19" s="1931">
        <v>6.1746414144964055</v>
      </c>
      <c r="BN19" s="1931">
        <v>19.114058823529415</v>
      </c>
      <c r="BO19" s="1931">
        <v>24.875965883584144</v>
      </c>
      <c r="BP19" s="1931">
        <v>38.305947966386562</v>
      </c>
      <c r="BQ19" s="1931">
        <v>4.2269547009930779</v>
      </c>
      <c r="BR19" s="1931">
        <v>14.298000000000002</v>
      </c>
      <c r="BS19" s="1931">
        <v>15.366101083119711</v>
      </c>
      <c r="BT19" s="1931">
        <v>0</v>
      </c>
      <c r="BU19" s="1931">
        <v>0</v>
      </c>
      <c r="BV19" s="1931">
        <v>53.365411764705897</v>
      </c>
      <c r="BW19" s="1942">
        <v>117.72968561769305</v>
      </c>
      <c r="BX19" s="1930">
        <v>47.125373042016811</v>
      </c>
      <c r="BY19" s="1931">
        <v>4.3270760338482379</v>
      </c>
      <c r="BZ19" s="1931">
        <v>19.179805042016813</v>
      </c>
      <c r="CA19" s="1931">
        <v>19.08508804983682</v>
      </c>
      <c r="CB19" s="1931">
        <v>38.062195899159661</v>
      </c>
      <c r="CC19" s="1931">
        <v>2.9115703578569549</v>
      </c>
      <c r="CD19" s="1931">
        <v>14.348457142857145</v>
      </c>
      <c r="CE19" s="1931">
        <v>10.340609745069717</v>
      </c>
      <c r="CF19" s="1931">
        <v>0</v>
      </c>
      <c r="CG19" s="1931">
        <v>0</v>
      </c>
      <c r="CH19" s="1931">
        <v>53.539892436974803</v>
      </c>
      <c r="CI19" s="1942">
        <v>108.22531175602393</v>
      </c>
      <c r="CJ19" s="1930">
        <v>32.367142857142852</v>
      </c>
      <c r="CK19" s="1931">
        <v>0</v>
      </c>
      <c r="CL19" s="1931">
        <v>23.058831932773117</v>
      </c>
      <c r="CM19" s="1931">
        <v>25.675748970815562</v>
      </c>
      <c r="CN19" s="1931">
        <v>25.407663865546219</v>
      </c>
      <c r="CO19" s="1931">
        <v>0</v>
      </c>
      <c r="CP19" s="1931">
        <v>17.325428571428574</v>
      </c>
      <c r="CQ19" s="1931">
        <v>12.127833262584891</v>
      </c>
      <c r="CR19" s="1931">
        <v>0</v>
      </c>
      <c r="CS19" s="1931">
        <v>0</v>
      </c>
      <c r="CT19" s="1931">
        <v>63.834252100840352</v>
      </c>
      <c r="CU19" s="1942">
        <v>161.65916643560291</v>
      </c>
      <c r="CV19" s="1930">
        <v>45.000212302521007</v>
      </c>
      <c r="CW19" s="1931">
        <v>0</v>
      </c>
      <c r="CX19" s="1931">
        <v>20.823460504201684</v>
      </c>
      <c r="CY19" s="1931">
        <v>20.499553660459881</v>
      </c>
      <c r="CZ19" s="1931">
        <v>36.358015999999992</v>
      </c>
      <c r="DA19" s="1931">
        <v>0</v>
      </c>
      <c r="DB19" s="1931">
        <v>15.609885714285717</v>
      </c>
      <c r="DC19" s="1931">
        <v>9.8730687033813265</v>
      </c>
      <c r="DD19" s="1931">
        <v>0</v>
      </c>
      <c r="DE19" s="1931">
        <v>0</v>
      </c>
      <c r="DF19" s="1931">
        <v>57.901909243697482</v>
      </c>
      <c r="DG19" s="1942">
        <v>132.83021606353867</v>
      </c>
      <c r="DH19" s="1930">
        <v>44.571270521008415</v>
      </c>
      <c r="DI19" s="1931">
        <v>0</v>
      </c>
      <c r="DJ19" s="1931">
        <v>21.809653781512615</v>
      </c>
      <c r="DK19" s="1931">
        <v>31.559685626538798</v>
      </c>
      <c r="DL19" s="1931">
        <v>36.20080672268908</v>
      </c>
      <c r="DM19" s="1931">
        <v>0</v>
      </c>
      <c r="DN19" s="1931">
        <v>16.36674285714286</v>
      </c>
      <c r="DO19" s="1931">
        <v>18.737430812997548</v>
      </c>
      <c r="DP19" s="1931">
        <v>0</v>
      </c>
      <c r="DQ19" s="1931">
        <v>0</v>
      </c>
      <c r="DR19" s="1931">
        <v>60.519119327731111</v>
      </c>
      <c r="DS19" s="1942">
        <v>153.97166082664609</v>
      </c>
      <c r="DT19" s="1930">
        <v>48.870539831932774</v>
      </c>
      <c r="DU19" s="1931">
        <v>9.2728207495862467</v>
      </c>
      <c r="DV19" s="1931">
        <v>17.207418487394964</v>
      </c>
      <c r="DW19" s="1931">
        <v>18.132084667281955</v>
      </c>
      <c r="DX19" s="1931">
        <v>39.423333109243693</v>
      </c>
      <c r="DY19" s="1931">
        <v>6.406850979084826</v>
      </c>
      <c r="DZ19" s="1931">
        <v>12.834742857142858</v>
      </c>
      <c r="EA19" s="1931">
        <v>10.43199108264079</v>
      </c>
      <c r="EB19" s="1931">
        <v>74.054857142857145</v>
      </c>
      <c r="EC19" s="1931">
        <v>2.1637840805906183</v>
      </c>
      <c r="ED19" s="1931">
        <v>48.305472268907572</v>
      </c>
      <c r="EE19" s="1942">
        <v>97.683385720876217</v>
      </c>
      <c r="EF19" s="1930">
        <v>46.870782386554623</v>
      </c>
      <c r="EG19" s="1931">
        <v>2.0844456367089759</v>
      </c>
      <c r="EH19" s="1931">
        <v>19.837267226890763</v>
      </c>
      <c r="EI19" s="1931">
        <v>32.140282791541971</v>
      </c>
      <c r="EJ19" s="1931">
        <v>37.908992806722694</v>
      </c>
      <c r="EK19" s="1931">
        <v>1.3545162963294841</v>
      </c>
      <c r="EL19" s="1931">
        <v>14.853028571428574</v>
      </c>
      <c r="EM19" s="1931">
        <v>20.617955913652469</v>
      </c>
      <c r="EN19" s="1931">
        <v>0</v>
      </c>
      <c r="EO19" s="1931">
        <v>0</v>
      </c>
      <c r="EP19" s="1931">
        <v>55.284699159663873</v>
      </c>
      <c r="EQ19" s="1942">
        <v>139.08223712434486</v>
      </c>
      <c r="ER19" s="1930">
        <v>22.370840336134457</v>
      </c>
      <c r="ES19" s="1931">
        <v>0</v>
      </c>
      <c r="ET19" s="1931">
        <v>24.570994957983199</v>
      </c>
      <c r="EU19" s="1931">
        <v>30.909827690002128</v>
      </c>
      <c r="EV19" s="1931">
        <v>15.527165042016808</v>
      </c>
      <c r="EW19" s="1931">
        <v>0</v>
      </c>
      <c r="EX19" s="1931">
        <v>18.485942857142859</v>
      </c>
      <c r="EY19" s="1931">
        <v>15.098199886828812</v>
      </c>
      <c r="EZ19" s="1931">
        <v>0</v>
      </c>
      <c r="FA19" s="1931">
        <v>0</v>
      </c>
      <c r="FB19" s="1931">
        <v>67.847307563025225</v>
      </c>
      <c r="FC19" s="1942">
        <v>190.32343119031108</v>
      </c>
      <c r="FD19" s="1930">
        <v>45.681852705882363</v>
      </c>
      <c r="FE19" s="1931">
        <v>5.6252732088635966</v>
      </c>
      <c r="FF19" s="1931">
        <v>19.048312605042021</v>
      </c>
      <c r="FG19" s="1931">
        <v>24.978778698199907</v>
      </c>
      <c r="FH19" s="1931">
        <v>36.923682285714293</v>
      </c>
      <c r="FI19" s="1931">
        <v>3.8409856262814972</v>
      </c>
      <c r="FJ19" s="1931">
        <v>14.247542857142857</v>
      </c>
      <c r="FK19" s="1931">
        <v>15.290219536399043</v>
      </c>
      <c r="FL19" s="1931">
        <v>0</v>
      </c>
      <c r="FM19" s="1931">
        <v>0</v>
      </c>
      <c r="FN19" s="1931">
        <v>53.190931092436983</v>
      </c>
      <c r="FO19" s="1942">
        <v>119.12446529139963</v>
      </c>
      <c r="FP19" s="1930">
        <v>43.618802352941181</v>
      </c>
      <c r="FQ19" s="1931">
        <v>3.5713846629607282</v>
      </c>
      <c r="FR19" s="1931">
        <v>19.048312605042021</v>
      </c>
      <c r="FS19" s="1931">
        <v>25.24491329899509</v>
      </c>
      <c r="FT19" s="1931">
        <v>35.349809075630247</v>
      </c>
      <c r="FU19" s="1931">
        <v>2.3799384606656915</v>
      </c>
      <c r="FV19" s="1931">
        <v>14.247542857142857</v>
      </c>
      <c r="FW19" s="1931">
        <v>14.898612722590103</v>
      </c>
      <c r="FX19" s="1931">
        <v>0</v>
      </c>
      <c r="FY19" s="1931">
        <v>0</v>
      </c>
      <c r="FZ19" s="1931">
        <v>53.190931092436983</v>
      </c>
      <c r="GA19" s="1942">
        <v>124.11419015267084</v>
      </c>
      <c r="GB19" s="1930">
        <v>42.825157714285716</v>
      </c>
      <c r="GC19" s="1931">
        <v>0.47864048728912145</v>
      </c>
      <c r="GD19" s="1931">
        <v>20.691968067226895</v>
      </c>
      <c r="GE19" s="1931">
        <v>23.411685867101909</v>
      </c>
      <c r="GF19" s="1931">
        <v>36.349183193277312</v>
      </c>
      <c r="GG19" s="1931">
        <v>0.24515495794730274</v>
      </c>
      <c r="GH19" s="1931">
        <v>15.508971428571432</v>
      </c>
      <c r="GI19" s="1931">
        <v>12.071074876796859</v>
      </c>
      <c r="GJ19" s="1931">
        <v>0</v>
      </c>
      <c r="GK19" s="1931">
        <v>0</v>
      </c>
      <c r="GL19" s="1931">
        <v>57.552947899159676</v>
      </c>
      <c r="GM19" s="1942">
        <v>135.88692053293269</v>
      </c>
      <c r="GN19" s="1930">
        <v>41.360815126050426</v>
      </c>
      <c r="GO19" s="1931">
        <v>0</v>
      </c>
      <c r="GP19" s="1931">
        <v>20.757714285714293</v>
      </c>
      <c r="GQ19" s="1931">
        <v>29.617408834781372</v>
      </c>
      <c r="GR19" s="1931">
        <v>33.651754621848745</v>
      </c>
      <c r="GS19" s="1931">
        <v>0</v>
      </c>
      <c r="GT19" s="1931">
        <v>15.559428571428574</v>
      </c>
      <c r="GU19" s="1931">
        <v>16.62807123768717</v>
      </c>
      <c r="GV19" s="1931">
        <v>0</v>
      </c>
      <c r="GW19" s="1931">
        <v>0</v>
      </c>
      <c r="GX19" s="1931">
        <v>57.72742857142859</v>
      </c>
      <c r="GY19" s="1942">
        <v>151.35040332420661</v>
      </c>
      <c r="GZ19" s="1930">
        <v>46.110084974789913</v>
      </c>
      <c r="HA19" s="1931">
        <v>12.39758255351186</v>
      </c>
      <c r="HB19" s="1931">
        <v>15.300778151260509</v>
      </c>
      <c r="HC19" s="1931">
        <v>11.973701375235729</v>
      </c>
      <c r="HD19" s="1931">
        <v>37.26537169747899</v>
      </c>
      <c r="HE19" s="1931">
        <v>8.5312565102039137</v>
      </c>
      <c r="HF19" s="1931">
        <v>11.371485714285715</v>
      </c>
      <c r="HG19" s="1931">
        <v>5.9491965432145317</v>
      </c>
      <c r="HH19" s="1931">
        <v>67.786272268907567</v>
      </c>
      <c r="HI19" s="1931">
        <v>5.6585423397617953</v>
      </c>
      <c r="HJ19" s="1931">
        <v>43.245532773109261</v>
      </c>
      <c r="HK19" s="1942">
        <v>79.092488916743065</v>
      </c>
      <c r="HL19" s="1930">
        <v>48.539493714285726</v>
      </c>
      <c r="HM19" s="1931">
        <v>13.40309634900156</v>
      </c>
      <c r="HN19" s="1931">
        <v>14.972047058823534</v>
      </c>
      <c r="HO19" s="1931">
        <v>10.980692932605487</v>
      </c>
      <c r="HP19" s="1931">
        <v>39.036472873949585</v>
      </c>
      <c r="HQ19" s="1931">
        <v>9.2452034823695097</v>
      </c>
      <c r="HR19" s="1931">
        <v>11.119200000000003</v>
      </c>
      <c r="HS19" s="1931">
        <v>5.190227012304713</v>
      </c>
      <c r="HT19" s="1931">
        <v>71.703986554621849</v>
      </c>
      <c r="HU19" s="1931">
        <v>6.7515062513043294</v>
      </c>
      <c r="HV19" s="1931">
        <v>42.373129411764715</v>
      </c>
      <c r="HW19" s="1942">
        <v>78.079901729147679</v>
      </c>
      <c r="HX19" s="1930">
        <v>47.886070453781514</v>
      </c>
      <c r="HY19" s="1931">
        <v>5.4680550123259897</v>
      </c>
      <c r="HZ19" s="1931">
        <v>18.653835294117652</v>
      </c>
      <c r="IA19" s="1931">
        <v>24.124466799743125</v>
      </c>
      <c r="IB19" s="1931">
        <v>38.705817008403358</v>
      </c>
      <c r="IC19" s="1931">
        <v>3.721801376017368</v>
      </c>
      <c r="ID19" s="1931">
        <v>13.944800000000001</v>
      </c>
      <c r="IE19" s="1931">
        <v>14.718596579622149</v>
      </c>
      <c r="IF19" s="1931">
        <v>0</v>
      </c>
      <c r="IG19" s="1931">
        <v>0</v>
      </c>
      <c r="IH19" s="1931">
        <v>52.144047058823539</v>
      </c>
      <c r="II19" s="1942">
        <v>117.16325305583851</v>
      </c>
      <c r="IJ19" s="1930">
        <v>47.252668369747902</v>
      </c>
      <c r="IK19" s="1931">
        <v>12.346332371433331</v>
      </c>
      <c r="IL19" s="1931">
        <v>16.418463865546222</v>
      </c>
      <c r="IM19" s="1931">
        <v>15.779167087046321</v>
      </c>
      <c r="IN19" s="1931">
        <v>38.138797445378152</v>
      </c>
      <c r="IO19" s="1931">
        <v>8.4937938037966969</v>
      </c>
      <c r="IP19" s="1931">
        <v>12.229257142857145</v>
      </c>
      <c r="IQ19" s="1931">
        <v>8.4090626696682573</v>
      </c>
      <c r="IR19" s="1931">
        <v>70.13394285714287</v>
      </c>
      <c r="IS19" s="1931">
        <v>5.5206218263608537</v>
      </c>
      <c r="IT19" s="1931">
        <v>46.211704201680682</v>
      </c>
      <c r="IU19" s="1942">
        <v>90.846369118157</v>
      </c>
      <c r="IV19" s="1930">
        <v>45.788117647058826</v>
      </c>
      <c r="IW19" s="1931">
        <v>0.16064478772678767</v>
      </c>
      <c r="IX19" s="1931">
        <v>20.757714285714293</v>
      </c>
      <c r="IY19" s="1931">
        <v>18.126940136703396</v>
      </c>
      <c r="IZ19" s="1931">
        <v>37.420793277310928</v>
      </c>
      <c r="JA19" s="1931">
        <v>6.5902948273727349E-2</v>
      </c>
      <c r="JB19" s="1931">
        <v>15.559428571428574</v>
      </c>
      <c r="JC19" s="1931">
        <v>8.0628667038797808</v>
      </c>
      <c r="JD19" s="1931">
        <v>0</v>
      </c>
      <c r="JE19" s="1931">
        <v>0</v>
      </c>
      <c r="JF19" s="1931">
        <v>57.72742857142859</v>
      </c>
      <c r="JG19" s="1942">
        <v>125.90805337237462</v>
      </c>
      <c r="JH19" s="1930">
        <v>43.617856336134452</v>
      </c>
      <c r="JI19" s="1931">
        <v>7.2434726528984328</v>
      </c>
      <c r="JJ19" s="1931">
        <v>17.996373109243702</v>
      </c>
      <c r="JK19" s="1931">
        <v>21.939110473267579</v>
      </c>
      <c r="JL19" s="1931">
        <v>35.406428100840344</v>
      </c>
      <c r="JM19" s="1931">
        <v>4.9813183576298927</v>
      </c>
      <c r="JN19" s="1931">
        <v>13.440228571428571</v>
      </c>
      <c r="JO19" s="1931">
        <v>13.405319026190865</v>
      </c>
      <c r="JP19" s="1931">
        <v>63.242258823529419</v>
      </c>
      <c r="JQ19" s="1931">
        <v>0.17096628921254187</v>
      </c>
      <c r="JR19" s="1931">
        <v>50.399240336134461</v>
      </c>
      <c r="JS19" s="1942">
        <v>108.88646269381714</v>
      </c>
      <c r="JT19" s="1930">
        <v>48.713602285714288</v>
      </c>
      <c r="JU19" s="1931">
        <v>6.6593828892373521</v>
      </c>
      <c r="JV19" s="1931">
        <v>18.851073949579835</v>
      </c>
      <c r="JW19" s="1931">
        <v>22.473601274511726</v>
      </c>
      <c r="JX19" s="1931">
        <v>38.727152806722678</v>
      </c>
      <c r="JY19" s="1931">
        <v>4.5761856170013084</v>
      </c>
      <c r="JZ19" s="1931">
        <v>14.096171428571431</v>
      </c>
      <c r="KA19" s="1931">
        <v>13.39681853101745</v>
      </c>
      <c r="KB19" s="1931">
        <v>0</v>
      </c>
      <c r="KC19" s="1931">
        <v>0</v>
      </c>
      <c r="KD19" s="1931">
        <v>52.667489075630257</v>
      </c>
      <c r="KE19" s="1942">
        <v>112.45125673014141</v>
      </c>
      <c r="KF19" s="1930">
        <v>44.794805983193285</v>
      </c>
      <c r="KG19" s="1931">
        <v>1.9032354802881102</v>
      </c>
      <c r="KH19" s="1931">
        <v>19.179805042016813</v>
      </c>
      <c r="KI19" s="1931">
        <v>29.826511506922575</v>
      </c>
      <c r="KJ19" s="1931">
        <v>36.146840605042009</v>
      </c>
      <c r="KK19" s="1931">
        <v>1.245768398708728</v>
      </c>
      <c r="KL19" s="1931">
        <v>14.348457142857145</v>
      </c>
      <c r="KM19" s="1931">
        <v>18.674911795588226</v>
      </c>
      <c r="KN19" s="1931">
        <v>0</v>
      </c>
      <c r="KO19" s="1931">
        <v>0</v>
      </c>
      <c r="KP19" s="1931">
        <v>53.539892436974803</v>
      </c>
      <c r="KQ19" s="1942">
        <v>138.95264241224413</v>
      </c>
      <c r="KR19" s="1930">
        <v>45.682083159663868</v>
      </c>
      <c r="KS19" s="1931">
        <v>9.5704085602843492</v>
      </c>
      <c r="KT19" s="1931">
        <v>17.273164705882358</v>
      </c>
      <c r="KU19" s="1931">
        <v>16.745668640345151</v>
      </c>
      <c r="KV19" s="1931">
        <v>36.810236907563031</v>
      </c>
      <c r="KW19" s="1931">
        <v>6.5427402853240348</v>
      </c>
      <c r="KX19" s="1931">
        <v>12.885200000000001</v>
      </c>
      <c r="KY19" s="1931">
        <v>9.4465714558438219</v>
      </c>
      <c r="KZ19" s="1931">
        <v>68.025976470588247</v>
      </c>
      <c r="LA19" s="1931">
        <v>2.2646244167250775</v>
      </c>
      <c r="LB19" s="1931">
        <v>48.479952941176485</v>
      </c>
      <c r="LC19" s="1942">
        <v>93.709262234193318</v>
      </c>
      <c r="LD19" s="1930">
        <v>37.485697478991597</v>
      </c>
      <c r="LE19" s="1931">
        <v>0.24097498175819076</v>
      </c>
      <c r="LF19" s="1931">
        <v>19.574282352941182</v>
      </c>
      <c r="LG19" s="1931">
        <v>26.104354782317767</v>
      </c>
      <c r="LH19" s="1931">
        <v>29.725606722689079</v>
      </c>
      <c r="LI19" s="1931">
        <v>0.11962951404815945</v>
      </c>
      <c r="LJ19" s="1931">
        <v>14.651200000000001</v>
      </c>
      <c r="LK19" s="1931">
        <v>14.17353785949688</v>
      </c>
      <c r="LL19" s="1931">
        <v>0</v>
      </c>
      <c r="LM19" s="1931">
        <v>0</v>
      </c>
      <c r="LN19" s="1931">
        <v>54.586776470588248</v>
      </c>
      <c r="LO19" s="1942">
        <v>142.02643898403616</v>
      </c>
      <c r="LP19" s="1930">
        <v>47.950309378151267</v>
      </c>
      <c r="LQ19" s="1931">
        <v>4.9824453196138441</v>
      </c>
      <c r="LR19" s="1931">
        <v>19.771521008403365</v>
      </c>
      <c r="LS19" s="1931">
        <v>24.370010712054508</v>
      </c>
      <c r="LT19" s="1931">
        <v>38.7087308907563</v>
      </c>
      <c r="LU19" s="1931">
        <v>3.3873901777067887</v>
      </c>
      <c r="LV19" s="1931">
        <v>14.802571428571431</v>
      </c>
      <c r="LW19" s="1931">
        <v>14.720012852595193</v>
      </c>
      <c r="LX19" s="1931">
        <v>0</v>
      </c>
      <c r="LY19" s="1931">
        <v>0</v>
      </c>
      <c r="LZ19" s="1931">
        <v>55.110218487394974</v>
      </c>
      <c r="MA19" s="1942">
        <v>118.96524460945585</v>
      </c>
      <c r="MB19" s="1930">
        <v>38.487025210084035</v>
      </c>
      <c r="MC19" s="1931">
        <v>0</v>
      </c>
      <c r="MD19" s="1931">
        <v>26.017411764705891</v>
      </c>
      <c r="ME19" s="1931">
        <v>30.594339698301816</v>
      </c>
      <c r="MF19" s="1931">
        <v>30.551146218487393</v>
      </c>
      <c r="MG19" s="1931">
        <v>0</v>
      </c>
      <c r="MH19" s="1931">
        <v>19.596000000000004</v>
      </c>
      <c r="MI19" s="1931">
        <v>14.532181466130783</v>
      </c>
      <c r="MJ19" s="1931">
        <v>0</v>
      </c>
      <c r="MK19" s="1931">
        <v>0</v>
      </c>
      <c r="ML19" s="1931">
        <v>71.685882352941192</v>
      </c>
      <c r="MM19" s="1942">
        <v>178.46719318701511</v>
      </c>
      <c r="MN19" s="1930">
        <v>35.942890756302525</v>
      </c>
      <c r="MO19" s="1931">
        <v>0</v>
      </c>
      <c r="MP19" s="1931">
        <v>21.612415126050426</v>
      </c>
      <c r="MQ19" s="1931">
        <v>31.010902834688395</v>
      </c>
      <c r="MR19" s="1931">
        <v>28.292685714285717</v>
      </c>
      <c r="MS19" s="1931">
        <v>0</v>
      </c>
      <c r="MT19" s="1931">
        <v>16.21537142857143</v>
      </c>
      <c r="MU19" s="1931">
        <v>16.470497138763765</v>
      </c>
      <c r="MV19" s="1931">
        <v>0</v>
      </c>
      <c r="MW19" s="1931">
        <v>0</v>
      </c>
      <c r="MX19" s="1931">
        <v>59.995677310924378</v>
      </c>
      <c r="MY19" s="1942">
        <v>175.69060408707259</v>
      </c>
      <c r="MZ19" s="1930">
        <v>45.432613445378145</v>
      </c>
      <c r="NA19" s="1931">
        <v>3.1253722770373509</v>
      </c>
      <c r="NB19" s="1931">
        <v>20.560475630252107</v>
      </c>
      <c r="NC19" s="1931">
        <v>23.889360878071916</v>
      </c>
      <c r="ND19" s="1931">
        <v>37.442625210084032</v>
      </c>
      <c r="NE19" s="1931">
        <v>2.0733903479214777</v>
      </c>
      <c r="NF19" s="1931">
        <v>15.408057142857144</v>
      </c>
      <c r="NG19" s="1931">
        <v>13.722282740111208</v>
      </c>
      <c r="NH19" s="1931">
        <v>0</v>
      </c>
      <c r="NI19" s="1931">
        <v>0</v>
      </c>
      <c r="NJ19" s="1931">
        <v>57.203986554621856</v>
      </c>
      <c r="NK19" s="1942">
        <v>123.30191341504978</v>
      </c>
      <c r="NL19" s="1930">
        <v>43.601619226890762</v>
      </c>
      <c r="NM19" s="1931">
        <v>5.596039019555529</v>
      </c>
      <c r="NN19" s="1931">
        <v>19.377043697478996</v>
      </c>
      <c r="NO19" s="1931">
        <v>26.164089319634833</v>
      </c>
      <c r="NP19" s="1931">
        <v>35.74265882352941</v>
      </c>
      <c r="NQ19" s="1931">
        <v>3.816233576517253</v>
      </c>
      <c r="NR19" s="1931">
        <v>14.499828571428573</v>
      </c>
      <c r="NS19" s="1931">
        <v>16.128070204439016</v>
      </c>
      <c r="NT19" s="1931">
        <v>0</v>
      </c>
      <c r="NU19" s="1931">
        <v>0</v>
      </c>
      <c r="NV19" s="1931">
        <v>54.063334453781522</v>
      </c>
      <c r="NW19" s="1942">
        <v>122.02555662982617</v>
      </c>
      <c r="NX19" s="1930">
        <v>44.440033613445387</v>
      </c>
      <c r="NY19" s="1931">
        <v>9.9449870431149473E-2</v>
      </c>
      <c r="NZ19" s="1931">
        <v>22.33562352941177</v>
      </c>
      <c r="OA19" s="1931">
        <v>25.351292194691077</v>
      </c>
      <c r="OB19" s="1931">
        <v>35.836374588235302</v>
      </c>
      <c r="OC19" s="1931">
        <v>2.2887433783971289E-2</v>
      </c>
      <c r="OD19" s="1931">
        <v>16.770400000000002</v>
      </c>
      <c r="OE19" s="1931">
        <v>13.073900074134819</v>
      </c>
      <c r="OF19" s="1931">
        <v>0</v>
      </c>
      <c r="OG19" s="1931">
        <v>0</v>
      </c>
      <c r="OH19" s="1931">
        <v>61.914964705882362</v>
      </c>
      <c r="OI19" s="1932">
        <v>143.23942952891804</v>
      </c>
      <c r="OJ19" s="1930">
        <v>45.713380907563021</v>
      </c>
      <c r="OK19" s="1931">
        <v>8.5403629244241124</v>
      </c>
      <c r="OL19" s="1931">
        <v>18.390850420168071</v>
      </c>
      <c r="OM19" s="1931">
        <v>19.149138942302471</v>
      </c>
      <c r="ON19" s="1931">
        <v>36.960526117647063</v>
      </c>
      <c r="OO19" s="1931">
        <v>5.8570101571419038</v>
      </c>
      <c r="OP19" s="1931">
        <v>13.74297142857143</v>
      </c>
      <c r="OQ19" s="1931">
        <v>10.543389619803522</v>
      </c>
      <c r="OR19" s="1931">
        <v>66.951273949579829</v>
      </c>
      <c r="OS19" s="1931">
        <v>0.72411824038417627</v>
      </c>
      <c r="OT19" s="1931">
        <v>51.446124369747906</v>
      </c>
      <c r="OU19" s="1932">
        <v>102.58031937625846</v>
      </c>
      <c r="OV19" s="1930">
        <v>43.541164369747897</v>
      </c>
      <c r="OW19" s="1931">
        <v>0</v>
      </c>
      <c r="OX19" s="1931">
        <v>25.096964705882364</v>
      </c>
      <c r="OY19" s="1931">
        <v>30.425849202850038</v>
      </c>
      <c r="OZ19" s="1931">
        <v>35.186925714285714</v>
      </c>
      <c r="PA19" s="1931">
        <v>0</v>
      </c>
      <c r="PB19" s="1931">
        <v>18.889600000000002</v>
      </c>
      <c r="PC19" s="1931">
        <v>16.068226552964667</v>
      </c>
      <c r="PD19" s="1931">
        <v>0</v>
      </c>
      <c r="PE19" s="1931">
        <v>0</v>
      </c>
      <c r="PF19" s="1931">
        <v>69.24315294117649</v>
      </c>
      <c r="PG19" s="1932">
        <v>159.46108364365077</v>
      </c>
      <c r="PH19" s="1930">
        <v>49.17242278991597</v>
      </c>
      <c r="PI19" s="1931">
        <v>5.2490920266187029</v>
      </c>
      <c r="PJ19" s="1931">
        <v>19.574282352941182</v>
      </c>
      <c r="PK19" s="1931">
        <v>20.754768262812387</v>
      </c>
      <c r="PL19" s="1931">
        <v>39.631801949579838</v>
      </c>
      <c r="PM19" s="1931">
        <v>3.5671381573570704</v>
      </c>
      <c r="PN19" s="1931">
        <v>14.651200000000001</v>
      </c>
      <c r="PO19" s="1931">
        <v>11.964742709384469</v>
      </c>
      <c r="PP19" s="1931">
        <v>0</v>
      </c>
      <c r="PQ19" s="1931">
        <v>0</v>
      </c>
      <c r="PR19" s="1931">
        <v>54.586776470588248</v>
      </c>
      <c r="PS19" s="1932">
        <v>108.74825989758979</v>
      </c>
      <c r="PT19" s="1930">
        <v>46.966549512605049</v>
      </c>
      <c r="PU19" s="1931">
        <v>5.665791716009954</v>
      </c>
      <c r="PV19" s="1931">
        <v>19.245551260504207</v>
      </c>
      <c r="PW19" s="1931">
        <v>24.697004177860801</v>
      </c>
      <c r="PX19" s="1931">
        <v>37.9487505210084</v>
      </c>
      <c r="PY19" s="1931">
        <v>3.8707968740942067</v>
      </c>
      <c r="PZ19" s="1931">
        <v>14.398914285714287</v>
      </c>
      <c r="QA19" s="1931">
        <v>14.950754782049584</v>
      </c>
      <c r="QB19" s="1931">
        <v>0</v>
      </c>
      <c r="QC19" s="1931">
        <v>0</v>
      </c>
      <c r="QD19" s="1931">
        <v>53.714373109243709</v>
      </c>
      <c r="QE19" s="1932">
        <v>119.3641726110454</v>
      </c>
      <c r="QF19" s="1930">
        <v>35.988142857142854</v>
      </c>
      <c r="QG19" s="1931">
        <v>0</v>
      </c>
      <c r="QH19" s="1931">
        <v>21.743907563025214</v>
      </c>
      <c r="QI19" s="1931">
        <v>26.008869659894511</v>
      </c>
      <c r="QJ19" s="1931">
        <v>29.152299159663873</v>
      </c>
      <c r="QK19" s="1931">
        <v>0</v>
      </c>
      <c r="QL19" s="1931">
        <v>16.316285714285716</v>
      </c>
      <c r="QM19" s="1931">
        <v>12.284779343943885</v>
      </c>
      <c r="QN19" s="1931">
        <v>0</v>
      </c>
      <c r="QO19" s="1931">
        <v>0</v>
      </c>
      <c r="QP19" s="1931">
        <v>60.344638655462198</v>
      </c>
      <c r="QQ19" s="1932">
        <v>164.95280024697215</v>
      </c>
      <c r="QR19" s="1930">
        <v>47.410782386554615</v>
      </c>
      <c r="QS19" s="1931">
        <v>6.3486512143051756</v>
      </c>
      <c r="QT19" s="1931">
        <v>19.508536134453784</v>
      </c>
      <c r="QU19" s="1931">
        <v>22.83067344453347</v>
      </c>
      <c r="QV19" s="1931">
        <v>38.294707092436973</v>
      </c>
      <c r="QW19" s="1931">
        <v>4.3542484441210849</v>
      </c>
      <c r="QX19" s="1931">
        <v>14.600742857142858</v>
      </c>
      <c r="QY19" s="1931">
        <v>13.459765382965411</v>
      </c>
      <c r="QZ19" s="1931">
        <v>0</v>
      </c>
      <c r="RA19" s="1931">
        <v>0</v>
      </c>
      <c r="RB19" s="1931">
        <v>54.412295798319334</v>
      </c>
      <c r="RC19" s="1932">
        <v>114.35420646527474</v>
      </c>
      <c r="RD19" s="1930">
        <v>45.919496739495791</v>
      </c>
      <c r="RE19" s="1931">
        <v>5.8079551317610028</v>
      </c>
      <c r="RF19" s="1931">
        <v>19.377043697478996</v>
      </c>
      <c r="RG19" s="1931">
        <v>22.144183297781986</v>
      </c>
      <c r="RH19" s="1931">
        <v>37.129237243697474</v>
      </c>
      <c r="RI19" s="1931">
        <v>3.9710379855684197</v>
      </c>
      <c r="RJ19" s="1931">
        <v>14.499828571428573</v>
      </c>
      <c r="RK19" s="1931">
        <v>12.954753106709633</v>
      </c>
      <c r="RL19" s="1931">
        <v>0</v>
      </c>
      <c r="RM19" s="1931">
        <v>0</v>
      </c>
      <c r="RN19" s="1931">
        <v>54.063334453781522</v>
      </c>
      <c r="RO19" s="1932">
        <v>113.14245678791383</v>
      </c>
    </row>
    <row r="20" spans="1:483">
      <c r="A20" s="1592">
        <f>Eingabedaten!A22</f>
        <v>5.01</v>
      </c>
      <c r="B20" s="386" t="str">
        <f>Eingabedaten!C22</f>
        <v>Lebensmittelverkauf</v>
      </c>
      <c r="C20" s="1939"/>
      <c r="D20" s="1930">
        <v>22.1874</v>
      </c>
      <c r="E20" s="1931">
        <v>14.555487127494516</v>
      </c>
      <c r="F20" s="1931">
        <v>9.1808000000000014</v>
      </c>
      <c r="G20" s="1931">
        <v>1.5148942997315926</v>
      </c>
      <c r="H20" s="1931">
        <v>17.11578190045249</v>
      </c>
      <c r="I20" s="1931">
        <v>15.873634214074103</v>
      </c>
      <c r="J20" s="1931">
        <v>6.9921882352941171</v>
      </c>
      <c r="K20" s="1931">
        <v>0.16692169178418709</v>
      </c>
      <c r="L20" s="1931">
        <v>0</v>
      </c>
      <c r="M20" s="1931">
        <v>0</v>
      </c>
      <c r="N20" s="1931">
        <v>39.231105882352935</v>
      </c>
      <c r="O20" s="1942">
        <v>119.18067669970358</v>
      </c>
      <c r="P20" s="1930">
        <v>26.757280000000002</v>
      </c>
      <c r="Q20" s="1931">
        <v>25.530321873298625</v>
      </c>
      <c r="R20" s="1931">
        <v>7.7520000000000016</v>
      </c>
      <c r="S20" s="1931">
        <v>0.39565508239254038</v>
      </c>
      <c r="T20" s="1931">
        <v>20.944897194570135</v>
      </c>
      <c r="U20" s="1931">
        <v>24.49467961296272</v>
      </c>
      <c r="V20" s="1931">
        <v>5.9039999999999999</v>
      </c>
      <c r="W20" s="1931">
        <v>2.6920721976479371E-2</v>
      </c>
      <c r="X20" s="1931">
        <v>35.817181512605039</v>
      </c>
      <c r="Y20" s="1931">
        <v>0.17102655403689146</v>
      </c>
      <c r="Z20" s="1931">
        <v>33.5336</v>
      </c>
      <c r="AA20" s="1942">
        <v>80.479798578837318</v>
      </c>
      <c r="AB20" s="1930">
        <v>28.100280000000001</v>
      </c>
      <c r="AC20" s="1931">
        <v>25.07881191623013</v>
      </c>
      <c r="AD20" s="1931">
        <v>7.7824000000000009</v>
      </c>
      <c r="AE20" s="1931">
        <v>0.39086926610953576</v>
      </c>
      <c r="AF20" s="1931">
        <v>21.961720723981902</v>
      </c>
      <c r="AG20" s="1931">
        <v>24.208460565429753</v>
      </c>
      <c r="AH20" s="1931">
        <v>5.9271529411764714</v>
      </c>
      <c r="AI20" s="1931">
        <v>2.6745763480586524E-2</v>
      </c>
      <c r="AJ20" s="1931">
        <v>0</v>
      </c>
      <c r="AK20" s="1931">
        <v>0</v>
      </c>
      <c r="AL20" s="1931">
        <v>33.654823529411765</v>
      </c>
      <c r="AM20" s="1942">
        <v>81.12495635241649</v>
      </c>
      <c r="AN20" s="1930">
        <v>27.724240000000002</v>
      </c>
      <c r="AO20" s="1931">
        <v>26.492234390531504</v>
      </c>
      <c r="AP20" s="1931">
        <v>8.0560000000000009</v>
      </c>
      <c r="AQ20" s="1931">
        <v>0.27967829749051754</v>
      </c>
      <c r="AR20" s="1931">
        <v>21.677010135746606</v>
      </c>
      <c r="AS20" s="1931">
        <v>25.387993759229509</v>
      </c>
      <c r="AT20" s="1931">
        <v>6.1355294117647059</v>
      </c>
      <c r="AU20" s="1931">
        <v>1.7260767746797672E-2</v>
      </c>
      <c r="AV20" s="1931">
        <v>38.524805042016808</v>
      </c>
      <c r="AW20" s="1931">
        <v>0.97693720879591261</v>
      </c>
      <c r="AX20" s="1931">
        <v>34.745835294117647</v>
      </c>
      <c r="AY20" s="1942">
        <v>77.048149491871172</v>
      </c>
      <c r="AZ20" s="1930">
        <v>27.240760000000002</v>
      </c>
      <c r="BA20" s="1931">
        <v>23.195230160546568</v>
      </c>
      <c r="BB20" s="1931">
        <v>8.329600000000001</v>
      </c>
      <c r="BC20" s="1931">
        <v>0.73906947236146636</v>
      </c>
      <c r="BD20" s="1931">
        <v>21.310953665158369</v>
      </c>
      <c r="BE20" s="1931">
        <v>22.446331189282095</v>
      </c>
      <c r="BF20" s="1931">
        <v>6.3439058823529413</v>
      </c>
      <c r="BG20" s="1931">
        <v>6.2374441923046406E-2</v>
      </c>
      <c r="BH20" s="1931">
        <v>0</v>
      </c>
      <c r="BI20" s="1931">
        <v>0</v>
      </c>
      <c r="BJ20" s="1931">
        <v>35.83684705882353</v>
      </c>
      <c r="BK20" s="1942">
        <v>89.237603115294377</v>
      </c>
      <c r="BL20" s="1930">
        <v>27.724240000000002</v>
      </c>
      <c r="BM20" s="1931">
        <v>24.603744917923287</v>
      </c>
      <c r="BN20" s="1931">
        <v>8.2384000000000022</v>
      </c>
      <c r="BO20" s="1931">
        <v>0.52912866466898345</v>
      </c>
      <c r="BP20" s="1931">
        <v>21.677010135746606</v>
      </c>
      <c r="BQ20" s="1931">
        <v>23.648570695829765</v>
      </c>
      <c r="BR20" s="1931">
        <v>6.2744470588235295</v>
      </c>
      <c r="BS20" s="1931">
        <v>3.9596642944920032E-2</v>
      </c>
      <c r="BT20" s="1931">
        <v>0</v>
      </c>
      <c r="BU20" s="1931">
        <v>0</v>
      </c>
      <c r="BV20" s="1931">
        <v>35.473176470588236</v>
      </c>
      <c r="BW20" s="1942">
        <v>84.181528005620734</v>
      </c>
      <c r="BX20" s="1930">
        <v>27.079599999999999</v>
      </c>
      <c r="BY20" s="1931">
        <v>24.572335529605475</v>
      </c>
      <c r="BZ20" s="1931">
        <v>8.2688000000000006</v>
      </c>
      <c r="CA20" s="1931">
        <v>0.56040295652493344</v>
      </c>
      <c r="CB20" s="1931">
        <v>21.443828959276015</v>
      </c>
      <c r="CC20" s="1931">
        <v>23.555355306654107</v>
      </c>
      <c r="CD20" s="1931">
        <v>6.2975999999999992</v>
      </c>
      <c r="CE20" s="1931">
        <v>4.2872964205344553E-2</v>
      </c>
      <c r="CF20" s="1931">
        <v>0</v>
      </c>
      <c r="CG20" s="1931">
        <v>0</v>
      </c>
      <c r="CH20" s="1931">
        <v>35.5944</v>
      </c>
      <c r="CI20" s="1942">
        <v>84.018507467550236</v>
      </c>
      <c r="CJ20" s="1930">
        <v>19.4194</v>
      </c>
      <c r="CK20" s="1931">
        <v>10.648332092272597</v>
      </c>
      <c r="CL20" s="1931">
        <v>10.062400000000002</v>
      </c>
      <c r="CM20" s="1931">
        <v>4.4704395866218567</v>
      </c>
      <c r="CN20" s="1931">
        <v>14.492723076923077</v>
      </c>
      <c r="CO20" s="1931">
        <v>11.973315597297745</v>
      </c>
      <c r="CP20" s="1931">
        <v>7.6636235294117654</v>
      </c>
      <c r="CQ20" s="1931">
        <v>0.86480739717745214</v>
      </c>
      <c r="CR20" s="1931">
        <v>0</v>
      </c>
      <c r="CS20" s="1931">
        <v>0</v>
      </c>
      <c r="CT20" s="1931">
        <v>42.746588235294126</v>
      </c>
      <c r="CU20" s="1942">
        <v>145.48954429737825</v>
      </c>
      <c r="CV20" s="1930">
        <v>26.112639999999999</v>
      </c>
      <c r="CW20" s="1931">
        <v>16.476367531805476</v>
      </c>
      <c r="CX20" s="1931">
        <v>9.0288000000000022</v>
      </c>
      <c r="CY20" s="1931">
        <v>1.4387219683523207</v>
      </c>
      <c r="CZ20" s="1931">
        <v>20.456821900452486</v>
      </c>
      <c r="DA20" s="1931">
        <v>17.194002529960983</v>
      </c>
      <c r="DB20" s="1931">
        <v>6.876423529411765</v>
      </c>
      <c r="DC20" s="1931">
        <v>0.1571486522434018</v>
      </c>
      <c r="DD20" s="1931">
        <v>0</v>
      </c>
      <c r="DE20" s="1931">
        <v>0</v>
      </c>
      <c r="DF20" s="1931">
        <v>38.624988235294119</v>
      </c>
      <c r="DG20" s="1942">
        <v>112.79279832523783</v>
      </c>
      <c r="DH20" s="1930">
        <v>26.477799999999998</v>
      </c>
      <c r="DI20" s="1931">
        <v>15.992466643034239</v>
      </c>
      <c r="DJ20" s="1931">
        <v>9.4847999999999999</v>
      </c>
      <c r="DK20" s="1931">
        <v>1.8108972297313652</v>
      </c>
      <c r="DL20" s="1931">
        <v>21.181523076923074</v>
      </c>
      <c r="DM20" s="1931">
        <v>16.642063640227338</v>
      </c>
      <c r="DN20" s="1931">
        <v>7.2237176470588231</v>
      </c>
      <c r="DO20" s="1931">
        <v>0.22260150676538526</v>
      </c>
      <c r="DP20" s="1931">
        <v>0</v>
      </c>
      <c r="DQ20" s="1931">
        <v>0</v>
      </c>
      <c r="DR20" s="1931">
        <v>40.443341176470582</v>
      </c>
      <c r="DS20" s="1942">
        <v>116.20655049869471</v>
      </c>
      <c r="DT20" s="1930">
        <v>28.207720000000002</v>
      </c>
      <c r="DU20" s="1931">
        <v>27.21366877845616</v>
      </c>
      <c r="DV20" s="1931">
        <v>7.3568000000000007</v>
      </c>
      <c r="DW20" s="1931">
        <v>0.27630093358004837</v>
      </c>
      <c r="DX20" s="1931">
        <v>22.043066606334843</v>
      </c>
      <c r="DY20" s="1931">
        <v>25.845705221463867</v>
      </c>
      <c r="DZ20" s="1931">
        <v>5.6030117647058821</v>
      </c>
      <c r="EA20" s="1931">
        <v>1.6944775021953067E-2</v>
      </c>
      <c r="EB20" s="1931">
        <v>39.87861680672269</v>
      </c>
      <c r="EC20" s="1931">
        <v>2.1560076815655891</v>
      </c>
      <c r="ED20" s="1931">
        <v>31.957694117647058</v>
      </c>
      <c r="EE20" s="1942">
        <v>76.150748814023331</v>
      </c>
      <c r="EF20" s="1930">
        <v>26.811</v>
      </c>
      <c r="EG20" s="1931">
        <v>22.409995452601368</v>
      </c>
      <c r="EH20" s="1931">
        <v>8.5728000000000009</v>
      </c>
      <c r="EI20" s="1931">
        <v>0.92624702820778404</v>
      </c>
      <c r="EJ20" s="1931">
        <v>20.98557013574661</v>
      </c>
      <c r="EK20" s="1931">
        <v>21.702998214060766</v>
      </c>
      <c r="EL20" s="1931">
        <v>6.5291294117647052</v>
      </c>
      <c r="EM20" s="1931">
        <v>8.598936566119024E-2</v>
      </c>
      <c r="EN20" s="1931">
        <v>0</v>
      </c>
      <c r="EO20" s="1931">
        <v>0</v>
      </c>
      <c r="EP20" s="1931">
        <v>36.806635294117648</v>
      </c>
      <c r="EQ20" s="1942">
        <v>91.829878273797078</v>
      </c>
      <c r="ER20" s="1930">
        <v>13.053000000000001</v>
      </c>
      <c r="ES20" s="1931">
        <v>3.711611856195888</v>
      </c>
      <c r="ET20" s="1931">
        <v>10.761600000000001</v>
      </c>
      <c r="EU20" s="1931">
        <v>9.5665871434487695</v>
      </c>
      <c r="EV20" s="1931">
        <v>8.45968778280543</v>
      </c>
      <c r="EW20" s="1931">
        <v>6.3419163073650324</v>
      </c>
      <c r="EX20" s="1931">
        <v>8.1961411764705883</v>
      </c>
      <c r="EY20" s="1931">
        <v>2.5548558719017724</v>
      </c>
      <c r="EZ20" s="1931">
        <v>0</v>
      </c>
      <c r="FA20" s="1931">
        <v>0</v>
      </c>
      <c r="FB20" s="1931">
        <v>45.534729411764701</v>
      </c>
      <c r="FC20" s="1942">
        <v>187.92807484084054</v>
      </c>
      <c r="FD20" s="1930">
        <v>26.477799999999998</v>
      </c>
      <c r="FE20" s="1931">
        <v>23.312033823353421</v>
      </c>
      <c r="FF20" s="1931">
        <v>8.208000000000002</v>
      </c>
      <c r="FG20" s="1931">
        <v>0.62153226313690879</v>
      </c>
      <c r="FH20" s="1931">
        <v>21.181523076923074</v>
      </c>
      <c r="FI20" s="1931">
        <v>22.702673509515172</v>
      </c>
      <c r="FJ20" s="1931">
        <v>6.2512941176470589</v>
      </c>
      <c r="FK20" s="1931">
        <v>4.9222259562890315E-2</v>
      </c>
      <c r="FL20" s="1931">
        <v>0</v>
      </c>
      <c r="FM20" s="1931">
        <v>0</v>
      </c>
      <c r="FN20" s="1931">
        <v>35.351952941176471</v>
      </c>
      <c r="FO20" s="1942">
        <v>87.935529456510437</v>
      </c>
      <c r="FP20" s="1930">
        <v>25.414279999999998</v>
      </c>
      <c r="FQ20" s="1931">
        <v>22.233317643313693</v>
      </c>
      <c r="FR20" s="1931">
        <v>8.208000000000002</v>
      </c>
      <c r="FS20" s="1931">
        <v>0.91016635048763728</v>
      </c>
      <c r="FT20" s="1931">
        <v>19.928073665158369</v>
      </c>
      <c r="FU20" s="1931">
        <v>21.62890393035703</v>
      </c>
      <c r="FV20" s="1931">
        <v>6.2512941176470589</v>
      </c>
      <c r="FW20" s="1931">
        <v>8.3731919297607024E-2</v>
      </c>
      <c r="FX20" s="1931">
        <v>0</v>
      </c>
      <c r="FY20" s="1931">
        <v>0</v>
      </c>
      <c r="FZ20" s="1931">
        <v>35.351952941176471</v>
      </c>
      <c r="GA20" s="1942">
        <v>92.459064650578568</v>
      </c>
      <c r="GB20" s="1930">
        <v>25.521720000000002</v>
      </c>
      <c r="GC20" s="1931">
        <v>15.935537126708216</v>
      </c>
      <c r="GD20" s="1931">
        <v>8.9680000000000017</v>
      </c>
      <c r="GE20" s="1931">
        <v>1.4702370097769129</v>
      </c>
      <c r="GF20" s="1931">
        <v>20.00941954751131</v>
      </c>
      <c r="GG20" s="1931">
        <v>16.893625684092434</v>
      </c>
      <c r="GH20" s="1931">
        <v>6.8301176470588238</v>
      </c>
      <c r="GI20" s="1931">
        <v>0.16224915060661532</v>
      </c>
      <c r="GJ20" s="1931">
        <v>0</v>
      </c>
      <c r="GK20" s="1931">
        <v>0</v>
      </c>
      <c r="GL20" s="1931">
        <v>38.382541176470589</v>
      </c>
      <c r="GM20" s="1942">
        <v>114.46703985109193</v>
      </c>
      <c r="GN20" s="1930">
        <v>23.017800000000001</v>
      </c>
      <c r="GO20" s="1931">
        <v>14.256116395090405</v>
      </c>
      <c r="GP20" s="1931">
        <v>8.998400000000002</v>
      </c>
      <c r="GQ20" s="1931">
        <v>1.4978993575967949</v>
      </c>
      <c r="GR20" s="1931">
        <v>17.902699547511311</v>
      </c>
      <c r="GS20" s="1931">
        <v>15.708117144832702</v>
      </c>
      <c r="GT20" s="1931">
        <v>6.8532705882352944</v>
      </c>
      <c r="GU20" s="1931">
        <v>0.16326996727476173</v>
      </c>
      <c r="GV20" s="1931">
        <v>0</v>
      </c>
      <c r="GW20" s="1931">
        <v>0</v>
      </c>
      <c r="GX20" s="1931">
        <v>38.503764705882354</v>
      </c>
      <c r="GY20" s="1942">
        <v>119.97536423138045</v>
      </c>
      <c r="GZ20" s="1930">
        <v>26.757280000000002</v>
      </c>
      <c r="HA20" s="1931">
        <v>32.542756022372593</v>
      </c>
      <c r="HB20" s="1931">
        <v>6.475200000000001</v>
      </c>
      <c r="HC20" s="1931">
        <v>9.1225008770589311E-2</v>
      </c>
      <c r="HD20" s="1931">
        <v>20.944897194570135</v>
      </c>
      <c r="HE20" s="1931">
        <v>29.491861021142753</v>
      </c>
      <c r="HF20" s="1931">
        <v>4.9315764705882348</v>
      </c>
      <c r="HG20" s="1931">
        <v>4.3645869486183542E-3</v>
      </c>
      <c r="HH20" s="1931">
        <v>35.817181512605039</v>
      </c>
      <c r="HI20" s="1931">
        <v>5.0424491102260998</v>
      </c>
      <c r="HJ20" s="1931">
        <v>28.442211764705888</v>
      </c>
      <c r="HK20" s="1942">
        <v>62.494690502787137</v>
      </c>
      <c r="HL20" s="1930">
        <v>26.864719999999998</v>
      </c>
      <c r="HM20" s="1931">
        <v>32.902982444642461</v>
      </c>
      <c r="HN20" s="1931">
        <v>6.3232000000000017</v>
      </c>
      <c r="HO20" s="1931">
        <v>9.0651247392135162E-2</v>
      </c>
      <c r="HP20" s="1931">
        <v>21.443828959276015</v>
      </c>
      <c r="HQ20" s="1931">
        <v>29.711156199523966</v>
      </c>
      <c r="HR20" s="1931">
        <v>4.8158117647058827</v>
      </c>
      <c r="HS20" s="1931">
        <v>4.3142703316629656E-3</v>
      </c>
      <c r="HT20" s="1931">
        <v>36.118028571428574</v>
      </c>
      <c r="HU20" s="1931">
        <v>5.6714817445821293</v>
      </c>
      <c r="HV20" s="1931">
        <v>27.836094117647065</v>
      </c>
      <c r="HW20" s="1942">
        <v>62.133056242681576</v>
      </c>
      <c r="HX20" s="1930">
        <v>27.724240000000002</v>
      </c>
      <c r="HY20" s="1931">
        <v>24.723493210884932</v>
      </c>
      <c r="HZ20" s="1931">
        <v>8.0256000000000007</v>
      </c>
      <c r="IA20" s="1931">
        <v>0.5384227732834399</v>
      </c>
      <c r="IB20" s="1931">
        <v>21.677010135746606</v>
      </c>
      <c r="IC20" s="1931">
        <v>23.719677306803511</v>
      </c>
      <c r="ID20" s="1931">
        <v>6.1123764705882353</v>
      </c>
      <c r="IE20" s="1931">
        <v>4.0400805478553181E-2</v>
      </c>
      <c r="IF20" s="1931">
        <v>38.524805042016808</v>
      </c>
      <c r="IG20" s="1931">
        <v>8.0328825362300113E-2</v>
      </c>
      <c r="IH20" s="1931">
        <v>34.624611764705882</v>
      </c>
      <c r="II20" s="1942">
        <v>83.997355021811913</v>
      </c>
      <c r="IJ20" s="1930">
        <v>27.187040000000003</v>
      </c>
      <c r="IK20" s="1931">
        <v>31.045335021276703</v>
      </c>
      <c r="IL20" s="1931">
        <v>6.9920000000000009</v>
      </c>
      <c r="IM20" s="1931">
        <v>0.34864005108434498</v>
      </c>
      <c r="IN20" s="1931">
        <v>21.270280723981902</v>
      </c>
      <c r="IO20" s="1931">
        <v>28.005195070700101</v>
      </c>
      <c r="IP20" s="1931">
        <v>5.3251764705882358</v>
      </c>
      <c r="IQ20" s="1931">
        <v>2.2681650291963625E-2</v>
      </c>
      <c r="IR20" s="1931">
        <v>37.02056974789916</v>
      </c>
      <c r="IS20" s="1931">
        <v>5.2150673680261246</v>
      </c>
      <c r="IT20" s="1931">
        <v>30.503011764705882</v>
      </c>
      <c r="IU20" s="1942">
        <v>69.768207794104868</v>
      </c>
      <c r="IV20" s="1930">
        <v>25.3706</v>
      </c>
      <c r="IW20" s="1931">
        <v>14.497576067783559</v>
      </c>
      <c r="IX20" s="1931">
        <v>8.998400000000002</v>
      </c>
      <c r="IY20" s="1931">
        <v>1.8221897911440426</v>
      </c>
      <c r="IZ20" s="1931">
        <v>20.132299547511312</v>
      </c>
      <c r="JA20" s="1931">
        <v>15.597179588006338</v>
      </c>
      <c r="JB20" s="1931">
        <v>6.8532705882352944</v>
      </c>
      <c r="JC20" s="1931">
        <v>0.21876766199203151</v>
      </c>
      <c r="JD20" s="1931">
        <v>0</v>
      </c>
      <c r="JE20" s="1931">
        <v>0</v>
      </c>
      <c r="JF20" s="1931">
        <v>38.503764705882354</v>
      </c>
      <c r="JG20" s="1942">
        <v>121.16638177082852</v>
      </c>
      <c r="JH20" s="1930">
        <v>26.166360000000001</v>
      </c>
      <c r="JI20" s="1931">
        <v>26.253719347993147</v>
      </c>
      <c r="JJ20" s="1931">
        <v>7.7216000000000005</v>
      </c>
      <c r="JK20" s="1931">
        <v>0.3398351161824727</v>
      </c>
      <c r="JL20" s="1931">
        <v>20.497494841628956</v>
      </c>
      <c r="JM20" s="1931">
        <v>25.064727569844678</v>
      </c>
      <c r="JN20" s="1931">
        <v>5.8808470588235293</v>
      </c>
      <c r="JO20" s="1931">
        <v>2.2196839033173314E-2</v>
      </c>
      <c r="JP20" s="1931">
        <v>34.16252268907563</v>
      </c>
      <c r="JQ20" s="1931">
        <v>1.4304258521688655</v>
      </c>
      <c r="JR20" s="1931">
        <v>33.412376470588235</v>
      </c>
      <c r="JS20" s="1942">
        <v>79.018353189063632</v>
      </c>
      <c r="JT20" s="1930">
        <v>27.616800000000001</v>
      </c>
      <c r="JU20" s="1931">
        <v>23.854827315220543</v>
      </c>
      <c r="JV20" s="1931">
        <v>8.1168000000000013</v>
      </c>
      <c r="JW20" s="1931">
        <v>0.60565756537767135</v>
      </c>
      <c r="JX20" s="1931">
        <v>21.595664253393664</v>
      </c>
      <c r="JY20" s="1931">
        <v>23.064779444389867</v>
      </c>
      <c r="JZ20" s="1931">
        <v>6.1818352941176471</v>
      </c>
      <c r="KA20" s="1931">
        <v>4.7400301881422857E-2</v>
      </c>
      <c r="KB20" s="1931">
        <v>0</v>
      </c>
      <c r="KC20" s="1931">
        <v>0</v>
      </c>
      <c r="KD20" s="1931">
        <v>34.988282352941177</v>
      </c>
      <c r="KE20" s="1942">
        <v>86.688371396693086</v>
      </c>
      <c r="KF20" s="1930">
        <v>26.754599999999996</v>
      </c>
      <c r="KG20" s="1931">
        <v>19.561925729720542</v>
      </c>
      <c r="KH20" s="1931">
        <v>8.2688000000000006</v>
      </c>
      <c r="KI20" s="1931">
        <v>1.266964750697233</v>
      </c>
      <c r="KJ20" s="1931">
        <v>21.443828959276015</v>
      </c>
      <c r="KK20" s="1931">
        <v>19.547276602868894</v>
      </c>
      <c r="KL20" s="1931">
        <v>6.2975999999999992</v>
      </c>
      <c r="KM20" s="1931">
        <v>0.13435123867135043</v>
      </c>
      <c r="KN20" s="1931">
        <v>0</v>
      </c>
      <c r="KO20" s="1931">
        <v>0</v>
      </c>
      <c r="KP20" s="1931">
        <v>35.5944</v>
      </c>
      <c r="KQ20" s="1942">
        <v>101.88871922979118</v>
      </c>
      <c r="KR20" s="1930">
        <v>27.025879999999997</v>
      </c>
      <c r="KS20" s="1931">
        <v>27.811996038954788</v>
      </c>
      <c r="KT20" s="1931">
        <v>7.3872000000000018</v>
      </c>
      <c r="KU20" s="1931">
        <v>0.19375805293010467</v>
      </c>
      <c r="KV20" s="1931">
        <v>21.148261900452489</v>
      </c>
      <c r="KW20" s="1931">
        <v>26.425911265627782</v>
      </c>
      <c r="KX20" s="1931">
        <v>5.6261647058823527</v>
      </c>
      <c r="KY20" s="1931">
        <v>1.100881354602031E-2</v>
      </c>
      <c r="KZ20" s="1931">
        <v>36.569299159663856</v>
      </c>
      <c r="LA20" s="1931">
        <v>2.1560076815655935</v>
      </c>
      <c r="LB20" s="1931">
        <v>32.07891764705883</v>
      </c>
      <c r="LC20" s="1942">
        <v>73.328176050404238</v>
      </c>
      <c r="LD20" s="1930">
        <v>22.048999999999999</v>
      </c>
      <c r="LE20" s="1931">
        <v>17.637533356179453</v>
      </c>
      <c r="LF20" s="1931">
        <v>8.4512000000000018</v>
      </c>
      <c r="LG20" s="1931">
        <v>1.6723802057007671</v>
      </c>
      <c r="LH20" s="1931">
        <v>16.984628959276016</v>
      </c>
      <c r="LI20" s="1931">
        <v>18.077939154260179</v>
      </c>
      <c r="LJ20" s="1931">
        <v>6.4365176470588237</v>
      </c>
      <c r="LK20" s="1931">
        <v>0.20482320463350287</v>
      </c>
      <c r="LL20" s="1931">
        <v>0</v>
      </c>
      <c r="LM20" s="1931">
        <v>0</v>
      </c>
      <c r="LN20" s="1931">
        <v>36.321741176470589</v>
      </c>
      <c r="LO20" s="1942">
        <v>109.42780596021937</v>
      </c>
      <c r="LP20" s="1930">
        <v>27.455639999999999</v>
      </c>
      <c r="LQ20" s="1931">
        <v>22.623971910516435</v>
      </c>
      <c r="LR20" s="1931">
        <v>8.5424000000000024</v>
      </c>
      <c r="LS20" s="1931">
        <v>0.59061275705450622</v>
      </c>
      <c r="LT20" s="1931">
        <v>21.473645429864256</v>
      </c>
      <c r="LU20" s="1931">
        <v>22.335787298272489</v>
      </c>
      <c r="LV20" s="1931">
        <v>6.5059764705882355</v>
      </c>
      <c r="LW20" s="1931">
        <v>4.5864004631854062E-2</v>
      </c>
      <c r="LX20" s="1931">
        <v>0</v>
      </c>
      <c r="LY20" s="1931">
        <v>0</v>
      </c>
      <c r="LZ20" s="1931">
        <v>36.685411764705883</v>
      </c>
      <c r="MA20" s="1942">
        <v>89.187823169601316</v>
      </c>
      <c r="MB20" s="1930">
        <v>21.356999999999999</v>
      </c>
      <c r="MC20" s="1931">
        <v>9.2614112893643803</v>
      </c>
      <c r="MD20" s="1931">
        <v>11.430400000000002</v>
      </c>
      <c r="ME20" s="1931">
        <v>8.6675350364131347</v>
      </c>
      <c r="MF20" s="1931">
        <v>16.328864253393665</v>
      </c>
      <c r="MG20" s="1931">
        <v>10.919239309317243</v>
      </c>
      <c r="MH20" s="1931">
        <v>8.7055058823529414</v>
      </c>
      <c r="MI20" s="1931">
        <v>2.6026110194684913</v>
      </c>
      <c r="MJ20" s="1931">
        <v>0</v>
      </c>
      <c r="MK20" s="1931">
        <v>0</v>
      </c>
      <c r="ML20" s="1931">
        <v>48.201647058823532</v>
      </c>
      <c r="MM20" s="1942">
        <v>164.09870135612215</v>
      </c>
      <c r="MN20" s="1930">
        <v>19.5578</v>
      </c>
      <c r="MO20" s="1931">
        <v>10.674833763665749</v>
      </c>
      <c r="MP20" s="1931">
        <v>9.3936000000000011</v>
      </c>
      <c r="MQ20" s="1931">
        <v>3.6677824957632184</v>
      </c>
      <c r="MR20" s="1931">
        <v>14.623876018099546</v>
      </c>
      <c r="MS20" s="1931">
        <v>12.099395386503289</v>
      </c>
      <c r="MT20" s="1931">
        <v>7.1542588235294122</v>
      </c>
      <c r="MU20" s="1931">
        <v>0.61422816275553338</v>
      </c>
      <c r="MV20" s="1931">
        <v>0</v>
      </c>
      <c r="MW20" s="1931">
        <v>0</v>
      </c>
      <c r="MX20" s="1931">
        <v>40.079670588235295</v>
      </c>
      <c r="MY20" s="1942">
        <v>142.55250982949426</v>
      </c>
      <c r="MZ20" s="1930">
        <v>25.3706</v>
      </c>
      <c r="NA20" s="1931">
        <v>20.223116790973965</v>
      </c>
      <c r="NB20" s="1931">
        <v>8.9072000000000013</v>
      </c>
      <c r="NC20" s="1931">
        <v>0.85371754029463742</v>
      </c>
      <c r="ND20" s="1931">
        <v>20.132299547511312</v>
      </c>
      <c r="NE20" s="1931">
        <v>20.481040067495158</v>
      </c>
      <c r="NF20" s="1931">
        <v>6.7838117647058827</v>
      </c>
      <c r="NG20" s="1931">
        <v>7.5915628877404204E-2</v>
      </c>
      <c r="NH20" s="1931">
        <v>0</v>
      </c>
      <c r="NI20" s="1931">
        <v>0</v>
      </c>
      <c r="NJ20" s="1931">
        <v>38.14009411764706</v>
      </c>
      <c r="NK20" s="1942">
        <v>97.249687714079954</v>
      </c>
      <c r="NL20" s="1930">
        <v>26.477799999999998</v>
      </c>
      <c r="NM20" s="1931">
        <v>23.972612521412323</v>
      </c>
      <c r="NN20" s="1931">
        <v>8.3600000000000012</v>
      </c>
      <c r="NO20" s="1931">
        <v>0.67595697397157961</v>
      </c>
      <c r="NP20" s="1931">
        <v>21.181523076923074</v>
      </c>
      <c r="NQ20" s="1931">
        <v>23.012196404342056</v>
      </c>
      <c r="NR20" s="1931">
        <v>6.3670588235294119</v>
      </c>
      <c r="NS20" s="1931">
        <v>5.5172438751055979E-2</v>
      </c>
      <c r="NT20" s="1931">
        <v>0</v>
      </c>
      <c r="NU20" s="1931">
        <v>0</v>
      </c>
      <c r="NV20" s="1931">
        <v>35.958070588235294</v>
      </c>
      <c r="NW20" s="1942">
        <v>86.948961940395748</v>
      </c>
      <c r="NX20" s="1930">
        <v>25.785800000000002</v>
      </c>
      <c r="NY20" s="1931">
        <v>15.511510384417804</v>
      </c>
      <c r="NZ20" s="1931">
        <v>9.7280000000000015</v>
      </c>
      <c r="OA20" s="1931">
        <v>3.4582138653701393</v>
      </c>
      <c r="OB20" s="1931">
        <v>20.525758371040723</v>
      </c>
      <c r="OC20" s="1931">
        <v>15.828010953529883</v>
      </c>
      <c r="OD20" s="1931">
        <v>7.4089411764705879</v>
      </c>
      <c r="OE20" s="1931">
        <v>0.62429668724496434</v>
      </c>
      <c r="OF20" s="1931">
        <v>0</v>
      </c>
      <c r="OG20" s="1931">
        <v>0</v>
      </c>
      <c r="OH20" s="1931">
        <v>41.413129411764707</v>
      </c>
      <c r="OI20" s="1932">
        <v>125.33339467927198</v>
      </c>
      <c r="OJ20" s="1930">
        <v>26.616200000000003</v>
      </c>
      <c r="OK20" s="1931">
        <v>26.644373615195889</v>
      </c>
      <c r="OL20" s="1931">
        <v>7.9040000000000017</v>
      </c>
      <c r="OM20" s="1931">
        <v>0.72338143120497933</v>
      </c>
      <c r="ON20" s="1931">
        <v>21.312676018099548</v>
      </c>
      <c r="OO20" s="1931">
        <v>24.589090071230384</v>
      </c>
      <c r="OP20" s="1931">
        <v>6.0197647058823538</v>
      </c>
      <c r="OQ20" s="1931">
        <v>6.1315129953690831E-2</v>
      </c>
      <c r="OR20" s="1931">
        <v>34.012099159663862</v>
      </c>
      <c r="OS20" s="1931">
        <v>1.3397281234942731</v>
      </c>
      <c r="OT20" s="1931">
        <v>34.139717647058824</v>
      </c>
      <c r="OU20" s="1932">
        <v>81.480618896556692</v>
      </c>
      <c r="OV20" s="1930">
        <v>25.785800000000002</v>
      </c>
      <c r="OW20" s="1931">
        <v>12.901955704075338</v>
      </c>
      <c r="OX20" s="1931">
        <v>11.004800000000003</v>
      </c>
      <c r="OY20" s="1931">
        <v>6.2092670023405176</v>
      </c>
      <c r="OZ20" s="1931">
        <v>20.525758371040723</v>
      </c>
      <c r="PA20" s="1931">
        <v>13.520721691823512</v>
      </c>
      <c r="PB20" s="1931">
        <v>8.3813647058823531</v>
      </c>
      <c r="PC20" s="1931">
        <v>1.6090012782582899</v>
      </c>
      <c r="PD20" s="1931">
        <v>0</v>
      </c>
      <c r="PE20" s="1931">
        <v>0</v>
      </c>
      <c r="PF20" s="1931">
        <v>46.504517647058833</v>
      </c>
      <c r="PG20" s="1932">
        <v>143.86122081991337</v>
      </c>
      <c r="PH20" s="1930">
        <v>28.26144</v>
      </c>
      <c r="PI20" s="1931">
        <v>25.472410813587668</v>
      </c>
      <c r="PJ20" s="1931">
        <v>8.4512000000000018</v>
      </c>
      <c r="PK20" s="1931">
        <v>0.47169956012206354</v>
      </c>
      <c r="PL20" s="1931">
        <v>22.083739547511314</v>
      </c>
      <c r="PM20" s="1931">
        <v>24.281359780041495</v>
      </c>
      <c r="PN20" s="1931">
        <v>6.4365176470588237</v>
      </c>
      <c r="PO20" s="1931">
        <v>3.4002150026485566E-2</v>
      </c>
      <c r="PP20" s="1931">
        <v>0</v>
      </c>
      <c r="PQ20" s="1931">
        <v>0</v>
      </c>
      <c r="PR20" s="1931">
        <v>36.321741176470589</v>
      </c>
      <c r="PS20" s="1932">
        <v>80.96200622911762</v>
      </c>
      <c r="PT20" s="1930">
        <v>26.434960000000004</v>
      </c>
      <c r="PU20" s="1931">
        <v>22.892914797987665</v>
      </c>
      <c r="PV20" s="1931">
        <v>8.2992000000000008</v>
      </c>
      <c r="PW20" s="1931">
        <v>0.73051332035996108</v>
      </c>
      <c r="PX20" s="1931">
        <v>20.788064253393664</v>
      </c>
      <c r="PY20" s="1931">
        <v>22.267668360028729</v>
      </c>
      <c r="PZ20" s="1931">
        <v>6.3207529411764707</v>
      </c>
      <c r="QA20" s="1931">
        <v>6.1415499649273904E-2</v>
      </c>
      <c r="QB20" s="1931">
        <v>0</v>
      </c>
      <c r="QC20" s="1931">
        <v>0</v>
      </c>
      <c r="QD20" s="1931">
        <v>35.715623529411772</v>
      </c>
      <c r="QE20" s="1932">
        <v>89.880330858896812</v>
      </c>
      <c r="QF20" s="1930">
        <v>23.156200000000002</v>
      </c>
      <c r="QG20" s="1931">
        <v>11.942006273612323</v>
      </c>
      <c r="QH20" s="1931">
        <v>9.4544000000000032</v>
      </c>
      <c r="QI20" s="1931">
        <v>3.6540214828872939</v>
      </c>
      <c r="QJ20" s="1931">
        <v>18.033852488687781</v>
      </c>
      <c r="QK20" s="1931">
        <v>13.197066347501345</v>
      </c>
      <c r="QL20" s="1931">
        <v>7.2005647058823534</v>
      </c>
      <c r="QM20" s="1931">
        <v>0.63533639587593782</v>
      </c>
      <c r="QN20" s="1931">
        <v>0</v>
      </c>
      <c r="QO20" s="1931">
        <v>0</v>
      </c>
      <c r="QP20" s="1931">
        <v>40.322117647058825</v>
      </c>
      <c r="QQ20" s="1932">
        <v>137.73686249634412</v>
      </c>
      <c r="QR20" s="1930">
        <v>27.133320000000001</v>
      </c>
      <c r="QS20" s="1931">
        <v>23.823417926902739</v>
      </c>
      <c r="QT20" s="1931">
        <v>8.4208000000000016</v>
      </c>
      <c r="QU20" s="1931">
        <v>0.64465117858894161</v>
      </c>
      <c r="QV20" s="1931">
        <v>21.229607782805431</v>
      </c>
      <c r="QW20" s="1931">
        <v>22.976941866128186</v>
      </c>
      <c r="QX20" s="1931">
        <v>6.4133647058823531</v>
      </c>
      <c r="QY20" s="1931">
        <v>5.170189624318268E-2</v>
      </c>
      <c r="QZ20" s="1931">
        <v>0</v>
      </c>
      <c r="RA20" s="1931">
        <v>0</v>
      </c>
      <c r="RB20" s="1931">
        <v>36.200517647058824</v>
      </c>
      <c r="RC20" s="1932">
        <v>87.037026608945624</v>
      </c>
      <c r="RD20" s="1930">
        <v>26.596120000000003</v>
      </c>
      <c r="RE20" s="1931">
        <v>23.643795487460274</v>
      </c>
      <c r="RF20" s="1931">
        <v>8.3600000000000012</v>
      </c>
      <c r="RG20" s="1931">
        <v>0.5825805913929244</v>
      </c>
      <c r="RH20" s="1931">
        <v>20.822878371040723</v>
      </c>
      <c r="RI20" s="1931">
        <v>22.9733566588522</v>
      </c>
      <c r="RJ20" s="1931">
        <v>6.3670588235294119</v>
      </c>
      <c r="RK20" s="1931">
        <v>4.4989952065780998E-2</v>
      </c>
      <c r="RL20" s="1931">
        <v>0</v>
      </c>
      <c r="RM20" s="1931">
        <v>0</v>
      </c>
      <c r="RN20" s="1931">
        <v>35.958070588235294</v>
      </c>
      <c r="RO20" s="1932">
        <v>86.712530981456084</v>
      </c>
    </row>
    <row r="21" spans="1:483">
      <c r="A21" s="633">
        <f>Eingabedaten!A23</f>
        <v>5.0199999999999996</v>
      </c>
      <c r="B21" s="379" t="str">
        <f>Eingabedaten!C23</f>
        <v>Fachgeschäft</v>
      </c>
      <c r="C21" s="1122"/>
      <c r="D21" s="1930">
        <v>22.1874</v>
      </c>
      <c r="E21" s="1931">
        <v>14.109898086398623</v>
      </c>
      <c r="F21" s="1931">
        <v>9.1808000000000014</v>
      </c>
      <c r="G21" s="1931">
        <v>1.6469494399583651</v>
      </c>
      <c r="H21" s="1931">
        <v>17.11578190045249</v>
      </c>
      <c r="I21" s="1931">
        <v>15.525908186676842</v>
      </c>
      <c r="J21" s="1931">
        <v>6.9921882352941171</v>
      </c>
      <c r="K21" s="1931">
        <v>0.18222891458473273</v>
      </c>
      <c r="L21" s="1931">
        <v>0</v>
      </c>
      <c r="M21" s="1931">
        <v>0</v>
      </c>
      <c r="N21" s="1931">
        <v>39.231105882352935</v>
      </c>
      <c r="O21" s="1942">
        <v>120.32023861571734</v>
      </c>
      <c r="P21" s="1930">
        <v>26.757280000000002</v>
      </c>
      <c r="Q21" s="1931">
        <v>24.957719133572592</v>
      </c>
      <c r="R21" s="1931">
        <v>7.7520000000000016</v>
      </c>
      <c r="S21" s="1931">
        <v>0.44050041735071049</v>
      </c>
      <c r="T21" s="1931">
        <v>20.944897194570135</v>
      </c>
      <c r="U21" s="1931">
        <v>24.114679612962732</v>
      </c>
      <c r="V21" s="1931">
        <v>5.9039999999999999</v>
      </c>
      <c r="W21" s="1931">
        <v>2.9759834248570292E-2</v>
      </c>
      <c r="X21" s="1931">
        <v>35.817181512605039</v>
      </c>
      <c r="Y21" s="1931">
        <v>7.4204636228671655E-2</v>
      </c>
      <c r="Z21" s="1931">
        <v>33.5336</v>
      </c>
      <c r="AA21" s="1942">
        <v>81.409272885899711</v>
      </c>
      <c r="AB21" s="1930">
        <v>28.100280000000001</v>
      </c>
      <c r="AC21" s="1931">
        <v>24.506209176504097</v>
      </c>
      <c r="AD21" s="1931">
        <v>7.7824000000000009</v>
      </c>
      <c r="AE21" s="1931">
        <v>0.43576093167762353</v>
      </c>
      <c r="AF21" s="1931">
        <v>21.961720723981902</v>
      </c>
      <c r="AG21" s="1931">
        <v>23.828460565429751</v>
      </c>
      <c r="AH21" s="1931">
        <v>5.9271529411764714</v>
      </c>
      <c r="AI21" s="1931">
        <v>2.9574797803098265E-2</v>
      </c>
      <c r="AJ21" s="1931">
        <v>0</v>
      </c>
      <c r="AK21" s="1931">
        <v>0</v>
      </c>
      <c r="AL21" s="1931">
        <v>33.654823529411765</v>
      </c>
      <c r="AM21" s="1942">
        <v>82.07338377203817</v>
      </c>
      <c r="AN21" s="1930">
        <v>27.724240000000002</v>
      </c>
      <c r="AO21" s="1931">
        <v>25.919631650805471</v>
      </c>
      <c r="AP21" s="1931">
        <v>8.0560000000000009</v>
      </c>
      <c r="AQ21" s="1931">
        <v>0.31357308814482227</v>
      </c>
      <c r="AR21" s="1931">
        <v>21.677010135746606</v>
      </c>
      <c r="AS21" s="1931">
        <v>25.007993759229517</v>
      </c>
      <c r="AT21" s="1931">
        <v>6.1355294117647059</v>
      </c>
      <c r="AU21" s="1931">
        <v>1.9127906435942619E-2</v>
      </c>
      <c r="AV21" s="1931">
        <v>38.524805042016808</v>
      </c>
      <c r="AW21" s="1931">
        <v>0.7832933731794729</v>
      </c>
      <c r="AX21" s="1931">
        <v>34.745835294117647</v>
      </c>
      <c r="AY21" s="1942">
        <v>77.962874352198924</v>
      </c>
      <c r="AZ21" s="1930">
        <v>27.240760000000002</v>
      </c>
      <c r="BA21" s="1931">
        <v>22.622627420820542</v>
      </c>
      <c r="BB21" s="1931">
        <v>8.329600000000001</v>
      </c>
      <c r="BC21" s="1931">
        <v>0.8118683043696191</v>
      </c>
      <c r="BD21" s="1931">
        <v>21.310953665158369</v>
      </c>
      <c r="BE21" s="1931">
        <v>22.066331189282096</v>
      </c>
      <c r="BF21" s="1931">
        <v>6.3439058823529413</v>
      </c>
      <c r="BG21" s="1931">
        <v>6.8562454307034379E-2</v>
      </c>
      <c r="BH21" s="1931">
        <v>0</v>
      </c>
      <c r="BI21" s="1931">
        <v>0</v>
      </c>
      <c r="BJ21" s="1931">
        <v>35.83684705882353</v>
      </c>
      <c r="BK21" s="1942">
        <v>90.200619930757483</v>
      </c>
      <c r="BL21" s="1930">
        <v>27.724240000000002</v>
      </c>
      <c r="BM21" s="1931">
        <v>24.031142178197253</v>
      </c>
      <c r="BN21" s="1931">
        <v>8.2384000000000022</v>
      </c>
      <c r="BO21" s="1931">
        <v>0.58585571448137197</v>
      </c>
      <c r="BP21" s="1931">
        <v>21.677010135746606</v>
      </c>
      <c r="BQ21" s="1931">
        <v>23.268570695829773</v>
      </c>
      <c r="BR21" s="1931">
        <v>6.2744470588235295</v>
      </c>
      <c r="BS21" s="1931">
        <v>4.3674318653164193E-2</v>
      </c>
      <c r="BT21" s="1931">
        <v>0</v>
      </c>
      <c r="BU21" s="1931">
        <v>0</v>
      </c>
      <c r="BV21" s="1931">
        <v>35.473176470588236</v>
      </c>
      <c r="BW21" s="1942">
        <v>85.117782501146522</v>
      </c>
      <c r="BX21" s="1930">
        <v>27.079599999999999</v>
      </c>
      <c r="BY21" s="1931">
        <v>23.999732789879438</v>
      </c>
      <c r="BZ21" s="1931">
        <v>8.2688000000000006</v>
      </c>
      <c r="CA21" s="1931">
        <v>0.61961695002032946</v>
      </c>
      <c r="CB21" s="1931">
        <v>21.443828959276015</v>
      </c>
      <c r="CC21" s="1931">
        <v>23.175355306654108</v>
      </c>
      <c r="CD21" s="1931">
        <v>6.2975999999999992</v>
      </c>
      <c r="CE21" s="1931">
        <v>4.7260482926684153E-2</v>
      </c>
      <c r="CF21" s="1931">
        <v>0</v>
      </c>
      <c r="CG21" s="1931">
        <v>0</v>
      </c>
      <c r="CH21" s="1931">
        <v>35.5944</v>
      </c>
      <c r="CI21" s="1942">
        <v>84.97350356010827</v>
      </c>
      <c r="CJ21" s="1930">
        <v>19.4194</v>
      </c>
      <c r="CK21" s="1931">
        <v>10.265208804601361</v>
      </c>
      <c r="CL21" s="1931">
        <v>10.062400000000002</v>
      </c>
      <c r="CM21" s="1931">
        <v>4.7191638113078005</v>
      </c>
      <c r="CN21" s="1931">
        <v>14.492723076923077</v>
      </c>
      <c r="CO21" s="1931">
        <v>11.712898350799874</v>
      </c>
      <c r="CP21" s="1931">
        <v>7.6636235294117654</v>
      </c>
      <c r="CQ21" s="1931">
        <v>0.92185206858626856</v>
      </c>
      <c r="CR21" s="1931">
        <v>0</v>
      </c>
      <c r="CS21" s="1931">
        <v>0</v>
      </c>
      <c r="CT21" s="1931">
        <v>42.746588235294126</v>
      </c>
      <c r="CU21" s="1942">
        <v>146.62952747318568</v>
      </c>
      <c r="CV21" s="1930">
        <v>26.112639999999999</v>
      </c>
      <c r="CW21" s="1931">
        <v>16.030778490709579</v>
      </c>
      <c r="CX21" s="1931">
        <v>9.0288000000000022</v>
      </c>
      <c r="CY21" s="1931">
        <v>1.5640164930927409</v>
      </c>
      <c r="CZ21" s="1931">
        <v>20.456821900452486</v>
      </c>
      <c r="DA21" s="1931">
        <v>16.839886653326122</v>
      </c>
      <c r="DB21" s="1931">
        <v>6.876423529411765</v>
      </c>
      <c r="DC21" s="1931">
        <v>0.17159215637203226</v>
      </c>
      <c r="DD21" s="1931">
        <v>0</v>
      </c>
      <c r="DE21" s="1931">
        <v>0</v>
      </c>
      <c r="DF21" s="1931">
        <v>38.624988235294119</v>
      </c>
      <c r="DG21" s="1942">
        <v>113.93022277833373</v>
      </c>
      <c r="DH21" s="1930">
        <v>26.477799999999998</v>
      </c>
      <c r="DI21" s="1931">
        <v>15.546877601938345</v>
      </c>
      <c r="DJ21" s="1931">
        <v>9.4847999999999999</v>
      </c>
      <c r="DK21" s="1931">
        <v>1.9527351484311006</v>
      </c>
      <c r="DL21" s="1931">
        <v>21.181523076923074</v>
      </c>
      <c r="DM21" s="1931">
        <v>16.317716821030853</v>
      </c>
      <c r="DN21" s="1931">
        <v>7.2237176470588231</v>
      </c>
      <c r="DO21" s="1931">
        <v>0.24189772645614566</v>
      </c>
      <c r="DP21" s="1931">
        <v>0</v>
      </c>
      <c r="DQ21" s="1931">
        <v>0</v>
      </c>
      <c r="DR21" s="1931">
        <v>40.443341176470582</v>
      </c>
      <c r="DS21" s="1942">
        <v>117.34529823228617</v>
      </c>
      <c r="DT21" s="1930">
        <v>28.207720000000002</v>
      </c>
      <c r="DU21" s="1931">
        <v>26.641066038730127</v>
      </c>
      <c r="DV21" s="1931">
        <v>7.3568000000000007</v>
      </c>
      <c r="DW21" s="1931">
        <v>0.30974587288771682</v>
      </c>
      <c r="DX21" s="1931">
        <v>22.043066606334843</v>
      </c>
      <c r="DY21" s="1931">
        <v>25.465705221463875</v>
      </c>
      <c r="DZ21" s="1931">
        <v>5.6030117647058821</v>
      </c>
      <c r="EA21" s="1931">
        <v>1.8777894671728253E-2</v>
      </c>
      <c r="EB21" s="1931">
        <v>39.87861680672269</v>
      </c>
      <c r="EC21" s="1931">
        <v>1.9623638459491493</v>
      </c>
      <c r="ED21" s="1931">
        <v>31.957694117647058</v>
      </c>
      <c r="EE21" s="1942">
        <v>77.045012366003604</v>
      </c>
      <c r="EF21" s="1930">
        <v>26.811</v>
      </c>
      <c r="EG21" s="1931">
        <v>21.837392712875335</v>
      </c>
      <c r="EH21" s="1931">
        <v>8.5728000000000009</v>
      </c>
      <c r="EI21" s="1931">
        <v>1.0116536770833233</v>
      </c>
      <c r="EJ21" s="1931">
        <v>20.98557013574661</v>
      </c>
      <c r="EK21" s="1931">
        <v>21.322998214060767</v>
      </c>
      <c r="EL21" s="1931">
        <v>6.5291294117647052</v>
      </c>
      <c r="EM21" s="1931">
        <v>9.4251169969688089E-2</v>
      </c>
      <c r="EN21" s="1931">
        <v>0</v>
      </c>
      <c r="EO21" s="1931">
        <v>0</v>
      </c>
      <c r="EP21" s="1931">
        <v>36.806635294117648</v>
      </c>
      <c r="EQ21" s="1942">
        <v>92.857932473447349</v>
      </c>
      <c r="ER21" s="1930">
        <v>13.053000000000001</v>
      </c>
      <c r="ES21" s="1931">
        <v>3.4575844589356111</v>
      </c>
      <c r="ET21" s="1931">
        <v>10.761600000000001</v>
      </c>
      <c r="EU21" s="1931">
        <v>9.9534656433831863</v>
      </c>
      <c r="EV21" s="1931">
        <v>8.45968778280543</v>
      </c>
      <c r="EW21" s="1931">
        <v>6.1503546635294191</v>
      </c>
      <c r="EX21" s="1931">
        <v>8.1961411764705883</v>
      </c>
      <c r="EY21" s="1931">
        <v>2.6799858886896928</v>
      </c>
      <c r="EZ21" s="1931">
        <v>0</v>
      </c>
      <c r="FA21" s="1931">
        <v>0</v>
      </c>
      <c r="FB21" s="1931">
        <v>45.534729411764701</v>
      </c>
      <c r="FC21" s="1942">
        <v>189.0680747660486</v>
      </c>
      <c r="FD21" s="1930">
        <v>26.477799999999998</v>
      </c>
      <c r="FE21" s="1931">
        <v>22.739431083627395</v>
      </c>
      <c r="FF21" s="1931">
        <v>8.208000000000002</v>
      </c>
      <c r="FG21" s="1931">
        <v>0.6858725927210868</v>
      </c>
      <c r="FH21" s="1931">
        <v>21.181523076923074</v>
      </c>
      <c r="FI21" s="1931">
        <v>22.322673509515177</v>
      </c>
      <c r="FJ21" s="1931">
        <v>6.2512941176470589</v>
      </c>
      <c r="FK21" s="1931">
        <v>5.4211847131490444E-2</v>
      </c>
      <c r="FL21" s="1931">
        <v>0</v>
      </c>
      <c r="FM21" s="1931">
        <v>0</v>
      </c>
      <c r="FN21" s="1931">
        <v>35.351952941176471</v>
      </c>
      <c r="FO21" s="1942">
        <v>88.900351342026099</v>
      </c>
      <c r="FP21" s="1930">
        <v>25.414279999999998</v>
      </c>
      <c r="FQ21" s="1931">
        <v>21.660714903587667</v>
      </c>
      <c r="FR21" s="1931">
        <v>8.208000000000002</v>
      </c>
      <c r="FS21" s="1931">
        <v>0.99436184523885385</v>
      </c>
      <c r="FT21" s="1931">
        <v>19.928073665158369</v>
      </c>
      <c r="FU21" s="1931">
        <v>21.248903930357031</v>
      </c>
      <c r="FV21" s="1931">
        <v>6.2512941176470589</v>
      </c>
      <c r="FW21" s="1931">
        <v>9.1791544980778239E-2</v>
      </c>
      <c r="FX21" s="1931">
        <v>0</v>
      </c>
      <c r="FY21" s="1931">
        <v>0</v>
      </c>
      <c r="FZ21" s="1931">
        <v>35.351952941176471</v>
      </c>
      <c r="GA21" s="1942">
        <v>93.462562953456668</v>
      </c>
      <c r="GB21" s="1930">
        <v>25.521720000000002</v>
      </c>
      <c r="GC21" s="1931">
        <v>15.489948085612324</v>
      </c>
      <c r="GD21" s="1931">
        <v>8.9680000000000017</v>
      </c>
      <c r="GE21" s="1931">
        <v>1.5955990553142474</v>
      </c>
      <c r="GF21" s="1931">
        <v>20.00941954751131</v>
      </c>
      <c r="GG21" s="1931">
        <v>16.54589965669518</v>
      </c>
      <c r="GH21" s="1931">
        <v>6.8301176470588238</v>
      </c>
      <c r="GI21" s="1931">
        <v>0.17701512561000277</v>
      </c>
      <c r="GJ21" s="1931">
        <v>0</v>
      </c>
      <c r="GK21" s="1931">
        <v>0</v>
      </c>
      <c r="GL21" s="1931">
        <v>38.382541176470589</v>
      </c>
      <c r="GM21" s="1942">
        <v>115.60539865091859</v>
      </c>
      <c r="GN21" s="1930">
        <v>23.017800000000001</v>
      </c>
      <c r="GO21" s="1931">
        <v>13.810527353994512</v>
      </c>
      <c r="GP21" s="1931">
        <v>8.998400000000002</v>
      </c>
      <c r="GQ21" s="1931">
        <v>1.6295867624932248</v>
      </c>
      <c r="GR21" s="1931">
        <v>17.902699547511311</v>
      </c>
      <c r="GS21" s="1931">
        <v>15.360391117435441</v>
      </c>
      <c r="GT21" s="1931">
        <v>6.8532705882352944</v>
      </c>
      <c r="GU21" s="1931">
        <v>0.1783096189773212</v>
      </c>
      <c r="GV21" s="1931">
        <v>0</v>
      </c>
      <c r="GW21" s="1931">
        <v>0</v>
      </c>
      <c r="GX21" s="1931">
        <v>38.503764705882354</v>
      </c>
      <c r="GY21" s="1942">
        <v>121.11487795953211</v>
      </c>
      <c r="GZ21" s="1930">
        <v>26.757280000000002</v>
      </c>
      <c r="HA21" s="1931">
        <v>31.847303967578068</v>
      </c>
      <c r="HB21" s="1931">
        <v>6.475200000000001</v>
      </c>
      <c r="HC21" s="1931">
        <v>0.10403094264302669</v>
      </c>
      <c r="HD21" s="1931">
        <v>20.944897194570135</v>
      </c>
      <c r="HE21" s="1931">
        <v>29.111861021142762</v>
      </c>
      <c r="HF21" s="1931">
        <v>4.9315764705882348</v>
      </c>
      <c r="HG21" s="1931">
        <v>4.861626285850326E-3</v>
      </c>
      <c r="HH21" s="1931">
        <v>35.817181512605039</v>
      </c>
      <c r="HI21" s="1931">
        <v>4.7551066444726722</v>
      </c>
      <c r="HJ21" s="1931">
        <v>28.442211764705888</v>
      </c>
      <c r="HK21" s="1942">
        <v>63.321619469689175</v>
      </c>
      <c r="HL21" s="1930">
        <v>26.864719999999998</v>
      </c>
      <c r="HM21" s="1931">
        <v>32.207530389847939</v>
      </c>
      <c r="HN21" s="1931">
        <v>6.3232000000000017</v>
      </c>
      <c r="HO21" s="1931">
        <v>0.10336899491609881</v>
      </c>
      <c r="HP21" s="1931">
        <v>21.443828959276015</v>
      </c>
      <c r="HQ21" s="1931">
        <v>29.331156199523974</v>
      </c>
      <c r="HR21" s="1931">
        <v>4.8158117647058827</v>
      </c>
      <c r="HS21" s="1931">
        <v>4.8055756017848566E-3</v>
      </c>
      <c r="HT21" s="1931">
        <v>36.118028571428574</v>
      </c>
      <c r="HU21" s="1931">
        <v>5.3841392788287026</v>
      </c>
      <c r="HV21" s="1931">
        <v>27.836094117647065</v>
      </c>
      <c r="HW21" s="1942">
        <v>62.947167129661906</v>
      </c>
      <c r="HX21" s="1930">
        <v>27.724240000000002</v>
      </c>
      <c r="HY21" s="1931">
        <v>24.150890471158895</v>
      </c>
      <c r="HZ21" s="1931">
        <v>8.0256000000000007</v>
      </c>
      <c r="IA21" s="1931">
        <v>0.59536548779174803</v>
      </c>
      <c r="IB21" s="1931">
        <v>21.677010135746606</v>
      </c>
      <c r="IC21" s="1931">
        <v>23.339677306803519</v>
      </c>
      <c r="ID21" s="1931">
        <v>6.1123764705882353</v>
      </c>
      <c r="IE21" s="1931">
        <v>4.4543928634189399E-2</v>
      </c>
      <c r="IF21" s="1931">
        <v>0</v>
      </c>
      <c r="IG21" s="1931">
        <v>0</v>
      </c>
      <c r="IH21" s="1931">
        <v>34.624611764705882</v>
      </c>
      <c r="II21" s="1942">
        <v>84.934131444744153</v>
      </c>
      <c r="IJ21" s="1930">
        <v>27.187040000000003</v>
      </c>
      <c r="IK21" s="1931">
        <v>30.4190265273315</v>
      </c>
      <c r="IL21" s="1931">
        <v>6.9920000000000009</v>
      </c>
      <c r="IM21" s="1931">
        <v>0.3879920796626618</v>
      </c>
      <c r="IN21" s="1931">
        <v>21.270280723981902</v>
      </c>
      <c r="IO21" s="1931">
        <v>27.625195070700105</v>
      </c>
      <c r="IP21" s="1931">
        <v>5.3251764705882358</v>
      </c>
      <c r="IQ21" s="1931">
        <v>2.5076313225886417E-2</v>
      </c>
      <c r="IR21" s="1931">
        <v>37.02056974789916</v>
      </c>
      <c r="IS21" s="1931">
        <v>4.9277249022726997</v>
      </c>
      <c r="IT21" s="1931">
        <v>30.503011764705882</v>
      </c>
      <c r="IU21" s="1942">
        <v>70.599125301230643</v>
      </c>
      <c r="IV21" s="1930">
        <v>25.3706</v>
      </c>
      <c r="IW21" s="1931">
        <v>14.051987026687662</v>
      </c>
      <c r="IX21" s="1931">
        <v>8.998400000000002</v>
      </c>
      <c r="IY21" s="1931">
        <v>1.9710356798857505</v>
      </c>
      <c r="IZ21" s="1931">
        <v>20.132299547511312</v>
      </c>
      <c r="JA21" s="1931">
        <v>15.278604245540585</v>
      </c>
      <c r="JB21" s="1931">
        <v>6.8532705882352944</v>
      </c>
      <c r="JC21" s="1931">
        <v>0.23806820323070427</v>
      </c>
      <c r="JD21" s="1931">
        <v>0</v>
      </c>
      <c r="JE21" s="1931">
        <v>0</v>
      </c>
      <c r="JF21" s="1931">
        <v>38.503764705882354</v>
      </c>
      <c r="JG21" s="1942">
        <v>122.30571214031673</v>
      </c>
      <c r="JH21" s="1930">
        <v>26.166360000000001</v>
      </c>
      <c r="JI21" s="1931">
        <v>25.681116608267111</v>
      </c>
      <c r="JJ21" s="1931">
        <v>7.7216000000000005</v>
      </c>
      <c r="JK21" s="1931">
        <v>0.37975528323348962</v>
      </c>
      <c r="JL21" s="1931">
        <v>20.497494841628956</v>
      </c>
      <c r="JM21" s="1931">
        <v>24.684727569844682</v>
      </c>
      <c r="JN21" s="1931">
        <v>5.8808470588235293</v>
      </c>
      <c r="JO21" s="1931">
        <v>2.456831722008896E-2</v>
      </c>
      <c r="JP21" s="1931">
        <v>34.16252268907563</v>
      </c>
      <c r="JQ21" s="1931">
        <v>1.2367820165524257</v>
      </c>
      <c r="JR21" s="1931">
        <v>33.412376470588235</v>
      </c>
      <c r="JS21" s="1942">
        <v>79.936370828289682</v>
      </c>
      <c r="JT21" s="1930">
        <v>27.616800000000001</v>
      </c>
      <c r="JU21" s="1931">
        <v>23.282224575494514</v>
      </c>
      <c r="JV21" s="1931">
        <v>8.1168000000000013</v>
      </c>
      <c r="JW21" s="1931">
        <v>0.66832360843399574</v>
      </c>
      <c r="JX21" s="1931">
        <v>21.595664253393664</v>
      </c>
      <c r="JY21" s="1931">
        <v>22.684779444389871</v>
      </c>
      <c r="JZ21" s="1931">
        <v>6.1818352941176471</v>
      </c>
      <c r="KA21" s="1931">
        <v>5.2210871343336435E-2</v>
      </c>
      <c r="KB21" s="1931">
        <v>0</v>
      </c>
      <c r="KC21" s="1931">
        <v>0</v>
      </c>
      <c r="KD21" s="1931">
        <v>34.988282352941177</v>
      </c>
      <c r="KE21" s="1942">
        <v>87.637194855548145</v>
      </c>
      <c r="KF21" s="1930">
        <v>26.754599999999996</v>
      </c>
      <c r="KG21" s="1931">
        <v>19.05178874341917</v>
      </c>
      <c r="KH21" s="1931">
        <v>8.2688000000000006</v>
      </c>
      <c r="KI21" s="1931">
        <v>1.3745720359229248</v>
      </c>
      <c r="KJ21" s="1931">
        <v>21.443828959276015</v>
      </c>
      <c r="KK21" s="1931">
        <v>19.199550575471637</v>
      </c>
      <c r="KL21" s="1931">
        <v>6.2975999999999992</v>
      </c>
      <c r="KM21" s="1931">
        <v>0.14666964247466482</v>
      </c>
      <c r="KN21" s="1931">
        <v>0</v>
      </c>
      <c r="KO21" s="1931">
        <v>0</v>
      </c>
      <c r="KP21" s="1931">
        <v>35.5944</v>
      </c>
      <c r="KQ21" s="1942">
        <v>102.97737935496974</v>
      </c>
      <c r="KR21" s="1930">
        <v>27.025879999999997</v>
      </c>
      <c r="KS21" s="1931">
        <v>27.174845354023276</v>
      </c>
      <c r="KT21" s="1931">
        <v>7.3872000000000018</v>
      </c>
      <c r="KU21" s="1931">
        <v>0.21873490310121252</v>
      </c>
      <c r="KV21" s="1931">
        <v>21.148261900452489</v>
      </c>
      <c r="KW21" s="1931">
        <v>26.04591126562779</v>
      </c>
      <c r="KX21" s="1931">
        <v>5.6261647058823527</v>
      </c>
      <c r="KY21" s="1931">
        <v>1.2225314329849584E-2</v>
      </c>
      <c r="KZ21" s="1931">
        <v>36.569299159663856</v>
      </c>
      <c r="LA21" s="1931">
        <v>1.9623638459491537</v>
      </c>
      <c r="LB21" s="1931">
        <v>32.07891764705883</v>
      </c>
      <c r="LC21" s="1942">
        <v>74.226236104531779</v>
      </c>
      <c r="LD21" s="1930">
        <v>22.048999999999999</v>
      </c>
      <c r="LE21" s="1931">
        <v>17.191944315083557</v>
      </c>
      <c r="LF21" s="1931">
        <v>8.4512000000000018</v>
      </c>
      <c r="LG21" s="1931">
        <v>1.8002048729166429</v>
      </c>
      <c r="LH21" s="1931">
        <v>16.984628959276016</v>
      </c>
      <c r="LI21" s="1931">
        <v>17.730213126862921</v>
      </c>
      <c r="LJ21" s="1931">
        <v>6.4365176470588237</v>
      </c>
      <c r="LK21" s="1931">
        <v>0.22244799389291209</v>
      </c>
      <c r="LL21" s="1931">
        <v>0</v>
      </c>
      <c r="LM21" s="1931">
        <v>0</v>
      </c>
      <c r="LN21" s="1931">
        <v>36.321741176470589</v>
      </c>
      <c r="LO21" s="1942">
        <v>110.56048981400828</v>
      </c>
      <c r="LP21" s="1930">
        <v>27.455639999999999</v>
      </c>
      <c r="LQ21" s="1931">
        <v>22.051369170790405</v>
      </c>
      <c r="LR21" s="1931">
        <v>8.5424000000000024</v>
      </c>
      <c r="LS21" s="1931">
        <v>0.65258852075234508</v>
      </c>
      <c r="LT21" s="1931">
        <v>21.473645429864256</v>
      </c>
      <c r="LU21" s="1931">
        <v>21.955787298272497</v>
      </c>
      <c r="LV21" s="1931">
        <v>6.5059764705882355</v>
      </c>
      <c r="LW21" s="1931">
        <v>5.0541506554129749E-2</v>
      </c>
      <c r="LX21" s="1931">
        <v>0</v>
      </c>
      <c r="LY21" s="1931">
        <v>0</v>
      </c>
      <c r="LZ21" s="1931">
        <v>36.685411764705883</v>
      </c>
      <c r="MA21" s="1942">
        <v>90.182709862252509</v>
      </c>
      <c r="MB21" s="1930">
        <v>21.356999999999999</v>
      </c>
      <c r="MC21" s="1931">
        <v>8.883376004727392</v>
      </c>
      <c r="MD21" s="1931">
        <v>11.430400000000002</v>
      </c>
      <c r="ME21" s="1931">
        <v>8.9732022658147379</v>
      </c>
      <c r="MF21" s="1931">
        <v>16.328864253393665</v>
      </c>
      <c r="MG21" s="1931">
        <v>10.6964447887693</v>
      </c>
      <c r="MH21" s="1931">
        <v>8.7055058823529414</v>
      </c>
      <c r="MI21" s="1931">
        <v>2.7069366968298385</v>
      </c>
      <c r="MJ21" s="1931">
        <v>0</v>
      </c>
      <c r="MK21" s="1931">
        <v>0</v>
      </c>
      <c r="ML21" s="1931">
        <v>48.201647058823532</v>
      </c>
      <c r="MM21" s="1942">
        <v>165.23869369101558</v>
      </c>
      <c r="MN21" s="1930">
        <v>19.5578</v>
      </c>
      <c r="MO21" s="1931">
        <v>10.291710475994513</v>
      </c>
      <c r="MP21" s="1931">
        <v>9.3936000000000011</v>
      </c>
      <c r="MQ21" s="1931">
        <v>3.900790143583452</v>
      </c>
      <c r="MR21" s="1931">
        <v>14.623876018099546</v>
      </c>
      <c r="MS21" s="1931">
        <v>11.813094016640283</v>
      </c>
      <c r="MT21" s="1931">
        <v>7.1542588235294122</v>
      </c>
      <c r="MU21" s="1931">
        <v>0.65946654790661086</v>
      </c>
      <c r="MV21" s="1931">
        <v>0</v>
      </c>
      <c r="MW21" s="1931">
        <v>0</v>
      </c>
      <c r="MX21" s="1931">
        <v>40.079670588235295</v>
      </c>
      <c r="MY21" s="1942">
        <v>143.69247893973414</v>
      </c>
      <c r="MZ21" s="1930">
        <v>25.3706</v>
      </c>
      <c r="NA21" s="1931">
        <v>19.655437925152047</v>
      </c>
      <c r="NB21" s="1931">
        <v>8.9072000000000013</v>
      </c>
      <c r="NC21" s="1931">
        <v>0.93632952043427042</v>
      </c>
      <c r="ND21" s="1931">
        <v>20.132299547511312</v>
      </c>
      <c r="NE21" s="1931">
        <v>20.101040067495163</v>
      </c>
      <c r="NF21" s="1931">
        <v>6.7838117647058827</v>
      </c>
      <c r="NG21" s="1931">
        <v>8.3358446198788946E-2</v>
      </c>
      <c r="NH21" s="1931">
        <v>0</v>
      </c>
      <c r="NI21" s="1931">
        <v>0</v>
      </c>
      <c r="NJ21" s="1931">
        <v>38.14009411764706</v>
      </c>
      <c r="NK21" s="1942">
        <v>98.339452216628032</v>
      </c>
      <c r="NL21" s="1930">
        <v>26.477799999999998</v>
      </c>
      <c r="NM21" s="1931">
        <v>23.40000978168629</v>
      </c>
      <c r="NN21" s="1931">
        <v>8.3600000000000012</v>
      </c>
      <c r="NO21" s="1931">
        <v>0.74415450745278611</v>
      </c>
      <c r="NP21" s="1931">
        <v>21.181523076923074</v>
      </c>
      <c r="NQ21" s="1931">
        <v>22.632196404342057</v>
      </c>
      <c r="NR21" s="1931">
        <v>6.3670588235294119</v>
      </c>
      <c r="NS21" s="1931">
        <v>6.070607014761463E-2</v>
      </c>
      <c r="NT21" s="1931">
        <v>0</v>
      </c>
      <c r="NU21" s="1931">
        <v>0</v>
      </c>
      <c r="NV21" s="1931">
        <v>35.958070588235294</v>
      </c>
      <c r="NW21" s="1942">
        <v>87.896042962296704</v>
      </c>
      <c r="NX21" s="1930">
        <v>25.785800000000002</v>
      </c>
      <c r="NY21" s="1931">
        <v>15.065921343321909</v>
      </c>
      <c r="NZ21" s="1931">
        <v>9.7280000000000015</v>
      </c>
      <c r="OA21" s="1931">
        <v>3.6572570461783296</v>
      </c>
      <c r="OB21" s="1931">
        <v>20.525758371040723</v>
      </c>
      <c r="OC21" s="1931">
        <v>15.541709583666876</v>
      </c>
      <c r="OD21" s="1931">
        <v>7.4089411764705879</v>
      </c>
      <c r="OE21" s="1931">
        <v>0.66738427168526093</v>
      </c>
      <c r="OF21" s="1931">
        <v>0</v>
      </c>
      <c r="OG21" s="1931">
        <v>0</v>
      </c>
      <c r="OH21" s="1931">
        <v>41.413129411764707</v>
      </c>
      <c r="OI21" s="1932">
        <v>126.47212230836962</v>
      </c>
      <c r="OJ21" s="1930">
        <v>26.616200000000003</v>
      </c>
      <c r="OK21" s="1931">
        <v>26.071770875469852</v>
      </c>
      <c r="OL21" s="1931">
        <v>7.9040000000000017</v>
      </c>
      <c r="OM21" s="1931">
        <v>0.79358660400441194</v>
      </c>
      <c r="ON21" s="1931">
        <v>21.312676018099548</v>
      </c>
      <c r="OO21" s="1931">
        <v>24.209090071230392</v>
      </c>
      <c r="OP21" s="1931">
        <v>6.0197647058823538</v>
      </c>
      <c r="OQ21" s="1931">
        <v>6.7364466417624891E-2</v>
      </c>
      <c r="OR21" s="1931">
        <v>34.012099159663862</v>
      </c>
      <c r="OS21" s="1931">
        <v>1.1460842878778335</v>
      </c>
      <c r="OT21" s="1931">
        <v>34.139717647058824</v>
      </c>
      <c r="OU21" s="1932">
        <v>82.365829285835403</v>
      </c>
      <c r="OV21" s="1930">
        <v>25.785800000000002</v>
      </c>
      <c r="OW21" s="1931">
        <v>12.518832416404104</v>
      </c>
      <c r="OX21" s="1931">
        <v>11.004800000000003</v>
      </c>
      <c r="OY21" s="1931">
        <v>6.4679403061674634</v>
      </c>
      <c r="OZ21" s="1931">
        <v>20.525758371040723</v>
      </c>
      <c r="PA21" s="1931">
        <v>13.265653198672833</v>
      </c>
      <c r="PB21" s="1931">
        <v>8.3813647058823531</v>
      </c>
      <c r="PC21" s="1931">
        <v>1.687379694910381</v>
      </c>
      <c r="PD21" s="1931">
        <v>0</v>
      </c>
      <c r="PE21" s="1931">
        <v>0</v>
      </c>
      <c r="PF21" s="1931">
        <v>46.504517647058833</v>
      </c>
      <c r="PG21" s="1932">
        <v>145.00097617351159</v>
      </c>
      <c r="PH21" s="1930">
        <v>28.26144</v>
      </c>
      <c r="PI21" s="1931">
        <v>24.899808073861635</v>
      </c>
      <c r="PJ21" s="1931">
        <v>8.4512000000000018</v>
      </c>
      <c r="PK21" s="1931">
        <v>0.52332093018047876</v>
      </c>
      <c r="PL21" s="1931">
        <v>22.083739547511314</v>
      </c>
      <c r="PM21" s="1931">
        <v>23.901359780041499</v>
      </c>
      <c r="PN21" s="1931">
        <v>6.4365176470588237</v>
      </c>
      <c r="PO21" s="1931">
        <v>3.7535887819483263E-2</v>
      </c>
      <c r="PP21" s="1931">
        <v>0</v>
      </c>
      <c r="PQ21" s="1931">
        <v>0</v>
      </c>
      <c r="PR21" s="1931">
        <v>36.321741176470589</v>
      </c>
      <c r="PS21" s="1932">
        <v>81.902848035592825</v>
      </c>
      <c r="PT21" s="1930">
        <v>26.434960000000004</v>
      </c>
      <c r="PU21" s="1931">
        <v>22.320312058261635</v>
      </c>
      <c r="PV21" s="1931">
        <v>8.2992000000000008</v>
      </c>
      <c r="PW21" s="1931">
        <v>0.80344803186888081</v>
      </c>
      <c r="PX21" s="1931">
        <v>20.788064253393664</v>
      </c>
      <c r="PY21" s="1931">
        <v>21.887668360028737</v>
      </c>
      <c r="PZ21" s="1931">
        <v>6.3207529411764707</v>
      </c>
      <c r="QA21" s="1931">
        <v>6.7535784401150753E-2</v>
      </c>
      <c r="QB21" s="1931">
        <v>0</v>
      </c>
      <c r="QC21" s="1931">
        <v>0</v>
      </c>
      <c r="QD21" s="1931">
        <v>35.715623529411772</v>
      </c>
      <c r="QE21" s="1932">
        <v>90.852287285657141</v>
      </c>
      <c r="QF21" s="1930">
        <v>23.156200000000002</v>
      </c>
      <c r="QG21" s="1931">
        <v>11.558882985941089</v>
      </c>
      <c r="QH21" s="1931">
        <v>9.4544000000000032</v>
      </c>
      <c r="QI21" s="1931">
        <v>3.8759834937181417</v>
      </c>
      <c r="QJ21" s="1931">
        <v>18.033852488687781</v>
      </c>
      <c r="QK21" s="1931">
        <v>12.910764977638333</v>
      </c>
      <c r="QL21" s="1931">
        <v>7.2005647058823534</v>
      </c>
      <c r="QM21" s="1931">
        <v>0.68070969832865791</v>
      </c>
      <c r="QN21" s="1931">
        <v>0</v>
      </c>
      <c r="QO21" s="1931">
        <v>0</v>
      </c>
      <c r="QP21" s="1931">
        <v>40.322117647058825</v>
      </c>
      <c r="QQ21" s="1932">
        <v>138.87679320036563</v>
      </c>
      <c r="QR21" s="1930">
        <v>27.133320000000001</v>
      </c>
      <c r="QS21" s="1931">
        <v>23.250815187176702</v>
      </c>
      <c r="QT21" s="1931">
        <v>8.4208000000000016</v>
      </c>
      <c r="QU21" s="1931">
        <v>0.71051509088079634</v>
      </c>
      <c r="QV21" s="1931">
        <v>21.229607782805431</v>
      </c>
      <c r="QW21" s="1931">
        <v>22.596941866128187</v>
      </c>
      <c r="QX21" s="1931">
        <v>6.4133647058823531</v>
      </c>
      <c r="QY21" s="1931">
        <v>5.6916096716567409E-2</v>
      </c>
      <c r="QZ21" s="1931">
        <v>0</v>
      </c>
      <c r="RA21" s="1931">
        <v>0</v>
      </c>
      <c r="RB21" s="1931">
        <v>36.200517647058824</v>
      </c>
      <c r="RC21" s="1932">
        <v>87.986147099267384</v>
      </c>
      <c r="RD21" s="1930">
        <v>26.596120000000003</v>
      </c>
      <c r="RE21" s="1931">
        <v>23.071192747734237</v>
      </c>
      <c r="RF21" s="1931">
        <v>8.3600000000000012</v>
      </c>
      <c r="RG21" s="1931">
        <v>0.64363818642413462</v>
      </c>
      <c r="RH21" s="1931">
        <v>20.822878371040723</v>
      </c>
      <c r="RI21" s="1931">
        <v>22.593356658852201</v>
      </c>
      <c r="RJ21" s="1931">
        <v>6.3670588235294119</v>
      </c>
      <c r="RK21" s="1931">
        <v>4.957922207061384E-2</v>
      </c>
      <c r="RL21" s="1931">
        <v>0</v>
      </c>
      <c r="RM21" s="1931">
        <v>0</v>
      </c>
      <c r="RN21" s="1931">
        <v>35.958070588235294</v>
      </c>
      <c r="RO21" s="1932">
        <v>87.674473937548285</v>
      </c>
    </row>
    <row r="22" spans="1:483">
      <c r="A22" s="634">
        <f>Eingabedaten!A24</f>
        <v>5.03</v>
      </c>
      <c r="B22" s="379" t="str">
        <f>Eingabedaten!C24</f>
        <v>Verkauf Möbel, Bau, Garten</v>
      </c>
      <c r="C22" s="379"/>
      <c r="D22" s="1930">
        <v>15.720266666666667</v>
      </c>
      <c r="E22" s="1931">
        <v>7.4740850435780803</v>
      </c>
      <c r="F22" s="1931">
        <v>9.1808000000000014</v>
      </c>
      <c r="G22" s="1931">
        <v>3.6277090076220606</v>
      </c>
      <c r="H22" s="1931">
        <v>11.483263951734541</v>
      </c>
      <c r="I22" s="1931">
        <v>5.9726801593636107</v>
      </c>
      <c r="J22" s="1931">
        <v>6.9921882352941171</v>
      </c>
      <c r="K22" s="1931">
        <v>2.2971154627843169</v>
      </c>
      <c r="L22" s="1931">
        <v>0</v>
      </c>
      <c r="M22" s="1931">
        <v>0</v>
      </c>
      <c r="N22" s="1931">
        <v>39.231105882352935</v>
      </c>
      <c r="O22" s="1942">
        <v>123.33592393608197</v>
      </c>
      <c r="P22" s="1930">
        <v>18.816095999999998</v>
      </c>
      <c r="Q22" s="1931">
        <v>14.987330282436526</v>
      </c>
      <c r="R22" s="1931">
        <v>7.7520000000000016</v>
      </c>
      <c r="S22" s="1931">
        <v>1.2976442953341136</v>
      </c>
      <c r="T22" s="1931">
        <v>13.970955245852187</v>
      </c>
      <c r="U22" s="1931">
        <v>11.294926693420473</v>
      </c>
      <c r="V22" s="1931">
        <v>5.9039999999999999</v>
      </c>
      <c r="W22" s="1931">
        <v>0.73397015945966981</v>
      </c>
      <c r="X22" s="1931">
        <v>0</v>
      </c>
      <c r="Y22" s="1931">
        <v>0</v>
      </c>
      <c r="Z22" s="1931">
        <v>33.5336</v>
      </c>
      <c r="AA22" s="1942">
        <v>85.813510713566345</v>
      </c>
      <c r="AB22" s="1930">
        <v>19.793695999999997</v>
      </c>
      <c r="AC22" s="1931">
        <v>14.658722375928765</v>
      </c>
      <c r="AD22" s="1931">
        <v>7.7824000000000009</v>
      </c>
      <c r="AE22" s="1931">
        <v>1.3013045103833916</v>
      </c>
      <c r="AF22" s="1931">
        <v>14.690045441930618</v>
      </c>
      <c r="AG22" s="1931">
        <v>11.023974682483507</v>
      </c>
      <c r="AH22" s="1931">
        <v>5.9271529411764714</v>
      </c>
      <c r="AI22" s="1931">
        <v>0.73909698708859983</v>
      </c>
      <c r="AJ22" s="1931">
        <v>0</v>
      </c>
      <c r="AK22" s="1931">
        <v>0</v>
      </c>
      <c r="AL22" s="1931">
        <v>33.654823529411765</v>
      </c>
      <c r="AM22" s="1942">
        <v>86.860411208046841</v>
      </c>
      <c r="AN22" s="1930">
        <v>19.519968000000002</v>
      </c>
      <c r="AO22" s="1931">
        <v>15.691465224168034</v>
      </c>
      <c r="AP22" s="1931">
        <v>8.0560000000000009</v>
      </c>
      <c r="AQ22" s="1931">
        <v>1.0090846929167756</v>
      </c>
      <c r="AR22" s="1931">
        <v>14.488700187028657</v>
      </c>
      <c r="AS22" s="1931">
        <v>11.7930345520211</v>
      </c>
      <c r="AT22" s="1931">
        <v>6.1355294117647059</v>
      </c>
      <c r="AU22" s="1931">
        <v>0.55036973835516623</v>
      </c>
      <c r="AV22" s="1931">
        <v>0</v>
      </c>
      <c r="AW22" s="1931">
        <v>0</v>
      </c>
      <c r="AX22" s="1931">
        <v>34.745835294117647</v>
      </c>
      <c r="AY22" s="1942">
        <v>82.347317491246073</v>
      </c>
      <c r="AZ22" s="1930">
        <v>19.168032</v>
      </c>
      <c r="BA22" s="1931">
        <v>13.54708404232694</v>
      </c>
      <c r="BB22" s="1931">
        <v>8.329600000000001</v>
      </c>
      <c r="BC22" s="1931">
        <v>2.0296773381410289</v>
      </c>
      <c r="BD22" s="1931">
        <v>14.229827716440424</v>
      </c>
      <c r="BE22" s="1931">
        <v>10.189466127252219</v>
      </c>
      <c r="BF22" s="1931">
        <v>6.3439058823529413</v>
      </c>
      <c r="BG22" s="1931">
        <v>1.2142409627593207</v>
      </c>
      <c r="BH22" s="1931">
        <v>0</v>
      </c>
      <c r="BI22" s="1931">
        <v>0</v>
      </c>
      <c r="BJ22" s="1931">
        <v>35.83684705882353</v>
      </c>
      <c r="BK22" s="1942">
        <v>94.535811273086381</v>
      </c>
      <c r="BL22" s="1930">
        <v>19.519968000000002</v>
      </c>
      <c r="BM22" s="1931">
        <v>14.48241637067397</v>
      </c>
      <c r="BN22" s="1931">
        <v>8.2384000000000022</v>
      </c>
      <c r="BO22" s="1931">
        <v>1.6103270942707479</v>
      </c>
      <c r="BP22" s="1931">
        <v>14.488700187028657</v>
      </c>
      <c r="BQ22" s="1931">
        <v>10.88905164030265</v>
      </c>
      <c r="BR22" s="1931">
        <v>6.2744470588235295</v>
      </c>
      <c r="BS22" s="1931">
        <v>0.9390678818588799</v>
      </c>
      <c r="BT22" s="1931">
        <v>0</v>
      </c>
      <c r="BU22" s="1931">
        <v>0</v>
      </c>
      <c r="BV22" s="1931">
        <v>35.473176470588236</v>
      </c>
      <c r="BW22" s="1942">
        <v>89.399852349271498</v>
      </c>
      <c r="BX22" s="1930">
        <v>19.050719999999998</v>
      </c>
      <c r="BY22" s="1931">
        <v>14.381433588321455</v>
      </c>
      <c r="BZ22" s="1931">
        <v>8.2688000000000006</v>
      </c>
      <c r="CA22" s="1931">
        <v>1.6711032507637043</v>
      </c>
      <c r="CB22" s="1931">
        <v>14.143536892911012</v>
      </c>
      <c r="CC22" s="1931">
        <v>10.821590119212219</v>
      </c>
      <c r="CD22" s="1931">
        <v>6.2975999999999992</v>
      </c>
      <c r="CE22" s="1931">
        <v>0.97704998495557704</v>
      </c>
      <c r="CF22" s="1931">
        <v>0</v>
      </c>
      <c r="CG22" s="1931">
        <v>0</v>
      </c>
      <c r="CH22" s="1931">
        <v>35.5944</v>
      </c>
      <c r="CI22" s="1942">
        <v>89.685069185900488</v>
      </c>
      <c r="CJ22" s="1930">
        <v>14.034933333333333</v>
      </c>
      <c r="CK22" s="1931">
        <v>4.6915257863780786</v>
      </c>
      <c r="CL22" s="1931">
        <v>10.062400000000002</v>
      </c>
      <c r="CM22" s="1931">
        <v>7.4779354159062912</v>
      </c>
      <c r="CN22" s="1931">
        <v>9.9428717948717953</v>
      </c>
      <c r="CO22" s="1931">
        <v>3.9487475724477954</v>
      </c>
      <c r="CP22" s="1931">
        <v>7.6636235294117654</v>
      </c>
      <c r="CQ22" s="1931">
        <v>4.8617051373007376</v>
      </c>
      <c r="CR22" s="1931">
        <v>0</v>
      </c>
      <c r="CS22" s="1931">
        <v>0</v>
      </c>
      <c r="CT22" s="1931">
        <v>42.746588235294126</v>
      </c>
      <c r="CU22" s="1942">
        <v>147.36311200155262</v>
      </c>
      <c r="CV22" s="1930">
        <v>18.346847999999998</v>
      </c>
      <c r="CW22" s="1931">
        <v>8.8952935460310467</v>
      </c>
      <c r="CX22" s="1931">
        <v>9.0288000000000022</v>
      </c>
      <c r="CY22" s="1931">
        <v>3.4345391168414752</v>
      </c>
      <c r="CZ22" s="1931">
        <v>13.62579195173454</v>
      </c>
      <c r="DA22" s="1931">
        <v>6.9221181242182537</v>
      </c>
      <c r="DB22" s="1931">
        <v>6.876423529411765</v>
      </c>
      <c r="DC22" s="1931">
        <v>2.1639346152802603</v>
      </c>
      <c r="DD22" s="1931">
        <v>0</v>
      </c>
      <c r="DE22" s="1931">
        <v>0</v>
      </c>
      <c r="DF22" s="1931">
        <v>38.624988235294119</v>
      </c>
      <c r="DG22" s="1942">
        <v>117.49481106110721</v>
      </c>
      <c r="DH22" s="1930">
        <v>18.33253333333333</v>
      </c>
      <c r="DI22" s="1931">
        <v>8.4375601145479422</v>
      </c>
      <c r="DJ22" s="1931">
        <v>9.4847999999999999</v>
      </c>
      <c r="DK22" s="1931">
        <v>3.9310462843822713</v>
      </c>
      <c r="DL22" s="1931">
        <v>13.870871794871794</v>
      </c>
      <c r="DM22" s="1931">
        <v>6.6163294261608154</v>
      </c>
      <c r="DN22" s="1931">
        <v>7.2237176470588231</v>
      </c>
      <c r="DO22" s="1931">
        <v>2.490416949087098</v>
      </c>
      <c r="DP22" s="1931">
        <v>0</v>
      </c>
      <c r="DQ22" s="1931">
        <v>0</v>
      </c>
      <c r="DR22" s="1931">
        <v>40.443341176470582</v>
      </c>
      <c r="DS22" s="1942">
        <v>120.61705450392705</v>
      </c>
      <c r="DT22" s="1930">
        <v>19.871904000000001</v>
      </c>
      <c r="DU22" s="1931">
        <v>16.250181438003651</v>
      </c>
      <c r="DV22" s="1931">
        <v>7.3568000000000007</v>
      </c>
      <c r="DW22" s="1931">
        <v>0.99540198593321927</v>
      </c>
      <c r="DX22" s="1931">
        <v>14.747572657616892</v>
      </c>
      <c r="DY22" s="1931">
        <v>12.199462568426551</v>
      </c>
      <c r="DZ22" s="1931">
        <v>5.6030117647058821</v>
      </c>
      <c r="EA22" s="1931">
        <v>0.54079812797358628</v>
      </c>
      <c r="EB22" s="1931">
        <v>0</v>
      </c>
      <c r="EC22" s="1931">
        <v>0</v>
      </c>
      <c r="ED22" s="1931">
        <v>31.957694117647058</v>
      </c>
      <c r="EE22" s="1942">
        <v>81.302976702462203</v>
      </c>
      <c r="EF22" s="1930">
        <v>18.8552</v>
      </c>
      <c r="EG22" s="1931">
        <v>13.038859219667579</v>
      </c>
      <c r="EH22" s="1931">
        <v>8.5728000000000009</v>
      </c>
      <c r="EI22" s="1931">
        <v>2.3587843352533895</v>
      </c>
      <c r="EJ22" s="1931">
        <v>13.999718853695326</v>
      </c>
      <c r="EK22" s="1931">
        <v>9.8499466686495705</v>
      </c>
      <c r="EL22" s="1931">
        <v>6.5291294117647052</v>
      </c>
      <c r="EM22" s="1931">
        <v>1.4311661449911408</v>
      </c>
      <c r="EN22" s="1931">
        <v>0</v>
      </c>
      <c r="EO22" s="1931">
        <v>0</v>
      </c>
      <c r="EP22" s="1931">
        <v>36.806635294117648</v>
      </c>
      <c r="EQ22" s="1942">
        <v>97.736469485643781</v>
      </c>
      <c r="ER22" s="1930">
        <v>10.158666666666665</v>
      </c>
      <c r="ES22" s="1931">
        <v>0.93563735294429007</v>
      </c>
      <c r="ET22" s="1931">
        <v>10.761600000000001</v>
      </c>
      <c r="EU22" s="1931">
        <v>13.479888239439665</v>
      </c>
      <c r="EV22" s="1931">
        <v>6.3999698340874804</v>
      </c>
      <c r="EW22" s="1931">
        <v>0.95514150613680293</v>
      </c>
      <c r="EX22" s="1931">
        <v>8.1961411764705883</v>
      </c>
      <c r="EY22" s="1931">
        <v>8.8951527708549865</v>
      </c>
      <c r="EZ22" s="1931">
        <v>0</v>
      </c>
      <c r="FA22" s="1931">
        <v>0</v>
      </c>
      <c r="FB22" s="1931">
        <v>45.534729411764701</v>
      </c>
      <c r="FC22" s="1942">
        <v>186.11884006808197</v>
      </c>
      <c r="FD22" s="1930">
        <v>18.581472000000002</v>
      </c>
      <c r="FE22" s="1931">
        <v>13.622407265229221</v>
      </c>
      <c r="FF22" s="1931">
        <v>8.208000000000002</v>
      </c>
      <c r="FG22" s="1931">
        <v>1.8094195187341282</v>
      </c>
      <c r="FH22" s="1931">
        <v>13.870871794871794</v>
      </c>
      <c r="FI22" s="1931">
        <v>10.239785786426228</v>
      </c>
      <c r="FJ22" s="1931">
        <v>6.2512941176470589</v>
      </c>
      <c r="FK22" s="1931">
        <v>1.0713011503928145</v>
      </c>
      <c r="FL22" s="1931">
        <v>0</v>
      </c>
      <c r="FM22" s="1931">
        <v>0</v>
      </c>
      <c r="FN22" s="1931">
        <v>35.351952941176471</v>
      </c>
      <c r="FO22" s="1942">
        <v>93.403981435839086</v>
      </c>
      <c r="FP22" s="1930">
        <v>17.838495999999999</v>
      </c>
      <c r="FQ22" s="1931">
        <v>12.91387233331324</v>
      </c>
      <c r="FR22" s="1931">
        <v>8.208000000000002</v>
      </c>
      <c r="FS22" s="1931">
        <v>2.3324911737198049</v>
      </c>
      <c r="FT22" s="1931">
        <v>13.251865049773755</v>
      </c>
      <c r="FU22" s="1931">
        <v>9.7664492122179745</v>
      </c>
      <c r="FV22" s="1931">
        <v>6.2512941176470589</v>
      </c>
      <c r="FW22" s="1931">
        <v>1.4143646565676513</v>
      </c>
      <c r="FX22" s="1931">
        <v>0</v>
      </c>
      <c r="FY22" s="1931">
        <v>0</v>
      </c>
      <c r="FZ22" s="1931">
        <v>35.351952941176471</v>
      </c>
      <c r="GA22" s="1942">
        <v>98.069678095320199</v>
      </c>
      <c r="GB22" s="1930">
        <v>17.916703999999999</v>
      </c>
      <c r="GC22" s="1931">
        <v>8.4640474017223717</v>
      </c>
      <c r="GD22" s="1931">
        <v>8.9680000000000017</v>
      </c>
      <c r="GE22" s="1931">
        <v>3.4618976806039337</v>
      </c>
      <c r="GF22" s="1931">
        <v>13.30939226546003</v>
      </c>
      <c r="GG22" s="1931">
        <v>6.6340242513648642</v>
      </c>
      <c r="GH22" s="1931">
        <v>6.8301176470588238</v>
      </c>
      <c r="GI22" s="1931">
        <v>2.1816028558601466</v>
      </c>
      <c r="GJ22" s="1931">
        <v>0</v>
      </c>
      <c r="GK22" s="1931">
        <v>0</v>
      </c>
      <c r="GL22" s="1931">
        <v>38.382541176470589</v>
      </c>
      <c r="GM22" s="1942">
        <v>119.02711830979293</v>
      </c>
      <c r="GN22" s="1930">
        <v>16.225866666666665</v>
      </c>
      <c r="GO22" s="1931">
        <v>7.2961235828748832</v>
      </c>
      <c r="GP22" s="1931">
        <v>8.998400000000002</v>
      </c>
      <c r="GQ22" s="1931">
        <v>3.6237532419936795</v>
      </c>
      <c r="GR22" s="1931">
        <v>11.945381598793363</v>
      </c>
      <c r="GS22" s="1931">
        <v>5.8537930525239208</v>
      </c>
      <c r="GT22" s="1931">
        <v>6.8532705882352944</v>
      </c>
      <c r="GU22" s="1931">
        <v>2.2962742739741167</v>
      </c>
      <c r="GV22" s="1931">
        <v>0</v>
      </c>
      <c r="GW22" s="1931">
        <v>0</v>
      </c>
      <c r="GX22" s="1931">
        <v>38.503764705882354</v>
      </c>
      <c r="GY22" s="1942">
        <v>124.06148081534381</v>
      </c>
      <c r="GZ22" s="1930">
        <v>18.816095999999998</v>
      </c>
      <c r="HA22" s="1931">
        <v>19.912837303879449</v>
      </c>
      <c r="HB22" s="1931">
        <v>6.475200000000001</v>
      </c>
      <c r="HC22" s="1931">
        <v>0.41916666862231156</v>
      </c>
      <c r="HD22" s="1931">
        <v>13.970955245852187</v>
      </c>
      <c r="HE22" s="1931">
        <v>14.766871112876233</v>
      </c>
      <c r="HF22" s="1931">
        <v>4.9315764705882348</v>
      </c>
      <c r="HG22" s="1931">
        <v>0.19154291334236248</v>
      </c>
      <c r="HH22" s="1931">
        <v>26.601629131652658</v>
      </c>
      <c r="HI22" s="1931">
        <v>2.281927140542793</v>
      </c>
      <c r="HJ22" s="1931">
        <v>28.442211764705888</v>
      </c>
      <c r="HK22" s="1942">
        <v>67.93730012288556</v>
      </c>
      <c r="HL22" s="1930">
        <v>18.894303999999998</v>
      </c>
      <c r="HM22" s="1931">
        <v>20.214130195488583</v>
      </c>
      <c r="HN22" s="1931">
        <v>6.3232000000000017</v>
      </c>
      <c r="HO22" s="1931">
        <v>0.41649246716185517</v>
      </c>
      <c r="HP22" s="1931">
        <v>14.028482461538461</v>
      </c>
      <c r="HQ22" s="1931">
        <v>14.968149749572268</v>
      </c>
      <c r="HR22" s="1931">
        <v>4.8158117647058827</v>
      </c>
      <c r="HS22" s="1931">
        <v>0.18939106086021307</v>
      </c>
      <c r="HT22" s="1931">
        <v>26.848342857142857</v>
      </c>
      <c r="HU22" s="1931">
        <v>2.6943159335466436</v>
      </c>
      <c r="HV22" s="1931">
        <v>27.836094117647065</v>
      </c>
      <c r="HW22" s="1942">
        <v>67.477805799969858</v>
      </c>
      <c r="HX22" s="1930">
        <v>19.519968000000002</v>
      </c>
      <c r="HY22" s="1931">
        <v>14.584226880750682</v>
      </c>
      <c r="HZ22" s="1931">
        <v>8.0256000000000007</v>
      </c>
      <c r="IA22" s="1931">
        <v>1.6146790076552284</v>
      </c>
      <c r="IB22" s="1931">
        <v>14.488700187028657</v>
      </c>
      <c r="IC22" s="1931">
        <v>10.939924262764281</v>
      </c>
      <c r="ID22" s="1931">
        <v>6.1123764705882353</v>
      </c>
      <c r="IE22" s="1931">
        <v>0.94027217444090638</v>
      </c>
      <c r="IF22" s="1931">
        <v>0</v>
      </c>
      <c r="IG22" s="1931">
        <v>0</v>
      </c>
      <c r="IH22" s="1931">
        <v>34.624611764705882</v>
      </c>
      <c r="II22" s="1942">
        <v>89.143594964185112</v>
      </c>
      <c r="IJ22" s="1930">
        <v>19.128927999999998</v>
      </c>
      <c r="IK22" s="1931">
        <v>19.311946289822831</v>
      </c>
      <c r="IL22" s="1931">
        <v>6.9920000000000009</v>
      </c>
      <c r="IM22" s="1931">
        <v>1.1401585328564645</v>
      </c>
      <c r="IN22" s="1931">
        <v>14.201064108597286</v>
      </c>
      <c r="IO22" s="1931">
        <v>14.327818262500818</v>
      </c>
      <c r="IP22" s="1931">
        <v>5.3251764705882358</v>
      </c>
      <c r="IQ22" s="1931">
        <v>0.62261197656936518</v>
      </c>
      <c r="IR22" s="1931">
        <v>27.588484033613447</v>
      </c>
      <c r="IS22" s="1931">
        <v>2.1994493819420247</v>
      </c>
      <c r="IT22" s="1931">
        <v>30.503011764705882</v>
      </c>
      <c r="IU22" s="1942">
        <v>74.524196458207925</v>
      </c>
      <c r="IV22" s="1930">
        <v>17.658399999999997</v>
      </c>
      <c r="IW22" s="1931">
        <v>7.5245764347543345</v>
      </c>
      <c r="IX22" s="1931">
        <v>8.998400000000002</v>
      </c>
      <c r="IY22" s="1931">
        <v>4.1021808032957336</v>
      </c>
      <c r="IZ22" s="1931">
        <v>13.254714932126696</v>
      </c>
      <c r="JA22" s="1931">
        <v>6.0064109199088254</v>
      </c>
      <c r="JB22" s="1931">
        <v>6.8532705882352944</v>
      </c>
      <c r="JC22" s="1931">
        <v>2.6126719781813135</v>
      </c>
      <c r="JD22" s="1931">
        <v>0</v>
      </c>
      <c r="JE22" s="1931">
        <v>0</v>
      </c>
      <c r="JF22" s="1931">
        <v>38.503764705882354</v>
      </c>
      <c r="JG22" s="1942">
        <v>125.14850689978263</v>
      </c>
      <c r="JH22" s="1930">
        <v>18.385952</v>
      </c>
      <c r="JI22" s="1931">
        <v>15.572533783446573</v>
      </c>
      <c r="JJ22" s="1931">
        <v>7.7216000000000005</v>
      </c>
      <c r="JK22" s="1931">
        <v>1.1703595898739412</v>
      </c>
      <c r="JL22" s="1931">
        <v>13.654555559577677</v>
      </c>
      <c r="JM22" s="1931">
        <v>11.685871737772386</v>
      </c>
      <c r="JN22" s="1931">
        <v>5.8808470588235293</v>
      </c>
      <c r="JO22" s="1931">
        <v>0.6542723885457995</v>
      </c>
      <c r="JP22" s="1931">
        <v>0</v>
      </c>
      <c r="JQ22" s="1931">
        <v>0</v>
      </c>
      <c r="JR22" s="1931">
        <v>33.412376470588235</v>
      </c>
      <c r="JS22" s="1942">
        <v>84.106608036705239</v>
      </c>
      <c r="JT22" s="1930">
        <v>19.441759999999999</v>
      </c>
      <c r="JU22" s="1931">
        <v>13.977502458911411</v>
      </c>
      <c r="JV22" s="1931">
        <v>8.1168000000000013</v>
      </c>
      <c r="JW22" s="1931">
        <v>1.7657107688300477</v>
      </c>
      <c r="JX22" s="1931">
        <v>14.431172971342383</v>
      </c>
      <c r="JY22" s="1931">
        <v>10.500318449101245</v>
      </c>
      <c r="JZ22" s="1931">
        <v>6.1818352941176471</v>
      </c>
      <c r="KA22" s="1931">
        <v>1.0406631410205824</v>
      </c>
      <c r="KB22" s="1931">
        <v>0</v>
      </c>
      <c r="KC22" s="1931">
        <v>0</v>
      </c>
      <c r="KD22" s="1931">
        <v>34.988282352941177</v>
      </c>
      <c r="KE22" s="1942">
        <v>91.891436957750699</v>
      </c>
      <c r="KF22" s="1930">
        <v>18.501066666666663</v>
      </c>
      <c r="KG22" s="1931">
        <v>10.990233102270315</v>
      </c>
      <c r="KH22" s="1931">
        <v>8.2688000000000006</v>
      </c>
      <c r="KI22" s="1931">
        <v>2.9680703392306964</v>
      </c>
      <c r="KJ22" s="1931">
        <v>14.024911010558068</v>
      </c>
      <c r="KK22" s="1931">
        <v>8.4813625317740655</v>
      </c>
      <c r="KL22" s="1931">
        <v>6.2975999999999992</v>
      </c>
      <c r="KM22" s="1931">
        <v>1.840993773135301</v>
      </c>
      <c r="KN22" s="1931">
        <v>0</v>
      </c>
      <c r="KO22" s="1931">
        <v>0</v>
      </c>
      <c r="KP22" s="1931">
        <v>35.5944</v>
      </c>
      <c r="KQ22" s="1942">
        <v>107.31469038218849</v>
      </c>
      <c r="KR22" s="1930">
        <v>19.011615999999997</v>
      </c>
      <c r="KS22" s="1931">
        <v>16.529953408783559</v>
      </c>
      <c r="KT22" s="1931">
        <v>7.3872000000000018</v>
      </c>
      <c r="KU22" s="1931">
        <v>0.76798655790198855</v>
      </c>
      <c r="KV22" s="1931">
        <v>14.114773285067873</v>
      </c>
      <c r="KW22" s="1931">
        <v>12.485897551417063</v>
      </c>
      <c r="KX22" s="1931">
        <v>5.6261647058823527</v>
      </c>
      <c r="KY22" s="1931">
        <v>0.40132044775781434</v>
      </c>
      <c r="KZ22" s="1931">
        <v>0</v>
      </c>
      <c r="LA22" s="1931">
        <v>0</v>
      </c>
      <c r="LB22" s="1931">
        <v>32.07891764705883</v>
      </c>
      <c r="LC22" s="1942">
        <v>78.758119153843467</v>
      </c>
      <c r="LD22" s="1930">
        <v>15.635999999999999</v>
      </c>
      <c r="LE22" s="1931">
        <v>9.5201886640894955</v>
      </c>
      <c r="LF22" s="1931">
        <v>8.4512000000000018</v>
      </c>
      <c r="LG22" s="1931">
        <v>3.5587037113634268</v>
      </c>
      <c r="LH22" s="1931">
        <v>11.406244343891402</v>
      </c>
      <c r="LI22" s="1931">
        <v>7.4992997329494626</v>
      </c>
      <c r="LJ22" s="1931">
        <v>6.4365176470588237</v>
      </c>
      <c r="LK22" s="1931">
        <v>2.2343594536474338</v>
      </c>
      <c r="LL22" s="1931">
        <v>0</v>
      </c>
      <c r="LM22" s="1931">
        <v>0</v>
      </c>
      <c r="LN22" s="1931">
        <v>36.321741176470589</v>
      </c>
      <c r="LO22" s="1942">
        <v>114.40403220147246</v>
      </c>
      <c r="LP22" s="1930">
        <v>19.324448</v>
      </c>
      <c r="LQ22" s="1931">
        <v>13.01651057111415</v>
      </c>
      <c r="LR22" s="1931">
        <v>8.5424000000000024</v>
      </c>
      <c r="LS22" s="1931">
        <v>1.7492068380640222</v>
      </c>
      <c r="LT22" s="1931">
        <v>14.344882147812973</v>
      </c>
      <c r="LU22" s="1931">
        <v>9.8350166598836548</v>
      </c>
      <c r="LV22" s="1931">
        <v>6.5059764705882355</v>
      </c>
      <c r="LW22" s="1931">
        <v>1.0322782483247823</v>
      </c>
      <c r="LX22" s="1931">
        <v>0</v>
      </c>
      <c r="LY22" s="1931">
        <v>0</v>
      </c>
      <c r="LZ22" s="1931">
        <v>36.685411764705883</v>
      </c>
      <c r="MA22" s="1942">
        <v>94.976388345098428</v>
      </c>
      <c r="MB22" s="1930">
        <v>15.214666666666664</v>
      </c>
      <c r="MC22" s="1931">
        <v>3.9324994632858417</v>
      </c>
      <c r="MD22" s="1931">
        <v>11.430400000000002</v>
      </c>
      <c r="ME22" s="1931">
        <v>11.577934410374651</v>
      </c>
      <c r="MF22" s="1931">
        <v>11.021146304675716</v>
      </c>
      <c r="MG22" s="1931">
        <v>3.4416802376943267</v>
      </c>
      <c r="MH22" s="1931">
        <v>8.7055058823529414</v>
      </c>
      <c r="MI22" s="1931">
        <v>7.59550031256948</v>
      </c>
      <c r="MJ22" s="1931">
        <v>0</v>
      </c>
      <c r="MK22" s="1931">
        <v>0</v>
      </c>
      <c r="ML22" s="1931">
        <v>48.201647058823532</v>
      </c>
      <c r="MM22" s="1942">
        <v>164.35737826500656</v>
      </c>
      <c r="MN22" s="1930">
        <v>14.119199999999998</v>
      </c>
      <c r="MO22" s="1931">
        <v>4.7908531132821901</v>
      </c>
      <c r="MP22" s="1931">
        <v>9.3936000000000011</v>
      </c>
      <c r="MQ22" s="1931">
        <v>6.6899908810919797</v>
      </c>
      <c r="MR22" s="1931">
        <v>10.019891402714931</v>
      </c>
      <c r="MS22" s="1931">
        <v>4.0151031669629722</v>
      </c>
      <c r="MT22" s="1931">
        <v>7.1542588235294122</v>
      </c>
      <c r="MU22" s="1931">
        <v>4.3416971358296665</v>
      </c>
      <c r="MV22" s="1931">
        <v>0</v>
      </c>
      <c r="MW22" s="1931">
        <v>0</v>
      </c>
      <c r="MX22" s="1931">
        <v>40.079670588235295</v>
      </c>
      <c r="MY22" s="1942">
        <v>144.68090970527936</v>
      </c>
      <c r="MZ22" s="1930">
        <v>17.658399999999997</v>
      </c>
      <c r="NA22" s="1931">
        <v>11.447966533753421</v>
      </c>
      <c r="NB22" s="1931">
        <v>8.9072000000000013</v>
      </c>
      <c r="NC22" s="1931">
        <v>2.2947775516056756</v>
      </c>
      <c r="ND22" s="1931">
        <v>13.254714932126696</v>
      </c>
      <c r="NE22" s="1931">
        <v>8.7871512298315011</v>
      </c>
      <c r="NF22" s="1931">
        <v>6.7838117647058827</v>
      </c>
      <c r="NG22" s="1931">
        <v>1.3965763931896975</v>
      </c>
      <c r="NH22" s="1931">
        <v>0</v>
      </c>
      <c r="NI22" s="1931">
        <v>0</v>
      </c>
      <c r="NJ22" s="1931">
        <v>38.14009411764706</v>
      </c>
      <c r="NK22" s="1942">
        <v>103.08693990663909</v>
      </c>
      <c r="NL22" s="1930">
        <v>18.33253333333333</v>
      </c>
      <c r="NM22" s="1931">
        <v>14.127321176991778</v>
      </c>
      <c r="NN22" s="1931">
        <v>8.3600000000000012</v>
      </c>
      <c r="NO22" s="1931">
        <v>1.9082940758659697</v>
      </c>
      <c r="NP22" s="1931">
        <v>13.870871794871794</v>
      </c>
      <c r="NQ22" s="1931">
        <v>10.583262942245213</v>
      </c>
      <c r="NR22" s="1931">
        <v>6.3670588235294119</v>
      </c>
      <c r="NS22" s="1931">
        <v>1.1340792235636803</v>
      </c>
      <c r="NT22" s="1931">
        <v>0</v>
      </c>
      <c r="NU22" s="1931">
        <v>0</v>
      </c>
      <c r="NV22" s="1931">
        <v>35.958070588235294</v>
      </c>
      <c r="NW22" s="1942">
        <v>92.121969549967133</v>
      </c>
      <c r="NX22" s="1930">
        <v>17.911200000000001</v>
      </c>
      <c r="NY22" s="1931">
        <v>8.106469024867577</v>
      </c>
      <c r="NZ22" s="1931">
        <v>9.7280000000000015</v>
      </c>
      <c r="OA22" s="1931">
        <v>5.9411054983490903</v>
      </c>
      <c r="OB22" s="1931">
        <v>13.485773755656107</v>
      </c>
      <c r="OC22" s="1931">
        <v>6.3951441111102305</v>
      </c>
      <c r="OD22" s="1931">
        <v>7.4089411764705879</v>
      </c>
      <c r="OE22" s="1931">
        <v>3.8258679669428299</v>
      </c>
      <c r="OF22" s="1931">
        <v>0</v>
      </c>
      <c r="OG22" s="1931">
        <v>0</v>
      </c>
      <c r="OH22" s="1931">
        <v>41.413129411764707</v>
      </c>
      <c r="OI22" s="1932">
        <v>128.95178881085107</v>
      </c>
      <c r="OJ22" s="1930">
        <v>18.416799999999999</v>
      </c>
      <c r="OK22" s="1931">
        <v>16.092913170405474</v>
      </c>
      <c r="OL22" s="1931">
        <v>7.9040000000000017</v>
      </c>
      <c r="OM22" s="1931">
        <v>1.9506481950298935</v>
      </c>
      <c r="ON22" s="1931">
        <v>13.947891402714934</v>
      </c>
      <c r="OO22" s="1931">
        <v>12.055251213906864</v>
      </c>
      <c r="OP22" s="1931">
        <v>6.0197647058823538</v>
      </c>
      <c r="OQ22" s="1931">
        <v>1.1553072809942606</v>
      </c>
      <c r="OR22" s="1931">
        <v>0</v>
      </c>
      <c r="OS22" s="1931">
        <v>0</v>
      </c>
      <c r="OT22" s="1931">
        <v>34.139717647058824</v>
      </c>
      <c r="OU22" s="1932">
        <v>86.144370617458577</v>
      </c>
      <c r="OV22" s="1930">
        <v>17.911200000000001</v>
      </c>
      <c r="OW22" s="1931">
        <v>6.5406695222429203</v>
      </c>
      <c r="OX22" s="1931">
        <v>11.004800000000003</v>
      </c>
      <c r="OY22" s="1931">
        <v>8.9456619859143611</v>
      </c>
      <c r="OZ22" s="1931">
        <v>13.485773755656107</v>
      </c>
      <c r="PA22" s="1931">
        <v>5.1840675570053225</v>
      </c>
      <c r="PB22" s="1931">
        <v>8.3813647058823531</v>
      </c>
      <c r="PC22" s="1931">
        <v>5.8335990688513775</v>
      </c>
      <c r="PD22" s="1931">
        <v>0</v>
      </c>
      <c r="PE22" s="1931">
        <v>0</v>
      </c>
      <c r="PF22" s="1931">
        <v>46.504517647058833</v>
      </c>
      <c r="PG22" s="1932">
        <v>145.87532851749285</v>
      </c>
      <c r="PH22" s="1930">
        <v>19.911007999999999</v>
      </c>
      <c r="PI22" s="1931">
        <v>14.9624984507105</v>
      </c>
      <c r="PJ22" s="1931">
        <v>8.4512000000000018</v>
      </c>
      <c r="PK22" s="1931">
        <v>1.4742698703868689</v>
      </c>
      <c r="PL22" s="1931">
        <v>14.77633626546003</v>
      </c>
      <c r="PM22" s="1931">
        <v>11.2954796567081</v>
      </c>
      <c r="PN22" s="1931">
        <v>6.4365176470588237</v>
      </c>
      <c r="PO22" s="1931">
        <v>0.84779442288695928</v>
      </c>
      <c r="PP22" s="1931">
        <v>0</v>
      </c>
      <c r="PQ22" s="1931">
        <v>0</v>
      </c>
      <c r="PR22" s="1931">
        <v>36.321741176470589</v>
      </c>
      <c r="PS22" s="1932">
        <v>86.576235413833729</v>
      </c>
      <c r="PT22" s="1930">
        <v>18.581472000000002</v>
      </c>
      <c r="PU22" s="1931">
        <v>13.394782141073971</v>
      </c>
      <c r="PV22" s="1931">
        <v>8.2992000000000008</v>
      </c>
      <c r="PW22" s="1931">
        <v>2.0332972974462757</v>
      </c>
      <c r="PX22" s="1931">
        <v>13.798373598793363</v>
      </c>
      <c r="PY22" s="1931">
        <v>10.087720882328952</v>
      </c>
      <c r="PZ22" s="1931">
        <v>6.3207529411764707</v>
      </c>
      <c r="QA22" s="1931">
        <v>1.219277931015766</v>
      </c>
      <c r="QB22" s="1931">
        <v>0</v>
      </c>
      <c r="QC22" s="1931">
        <v>0</v>
      </c>
      <c r="QD22" s="1931">
        <v>35.715623529411772</v>
      </c>
      <c r="QE22" s="1932">
        <v>95.300050443352049</v>
      </c>
      <c r="QF22" s="1930">
        <v>16.310133333333333</v>
      </c>
      <c r="QG22" s="1931">
        <v>5.7311518079744266</v>
      </c>
      <c r="QH22" s="1931">
        <v>9.4544000000000032</v>
      </c>
      <c r="QI22" s="1931">
        <v>6.4788474789022485</v>
      </c>
      <c r="QJ22" s="1931">
        <v>12.0224012066365</v>
      </c>
      <c r="QK22" s="1931">
        <v>4.6432694617066375</v>
      </c>
      <c r="QL22" s="1931">
        <v>7.2005647058823534</v>
      </c>
      <c r="QM22" s="1931">
        <v>4.1951175906473521</v>
      </c>
      <c r="QN22" s="1931">
        <v>0</v>
      </c>
      <c r="QO22" s="1931">
        <v>0</v>
      </c>
      <c r="QP22" s="1931">
        <v>40.322117647058825</v>
      </c>
      <c r="QQ22" s="1932">
        <v>140.28304094253377</v>
      </c>
      <c r="QR22" s="1930">
        <v>19.089824</v>
      </c>
      <c r="QS22" s="1931">
        <v>14.001506562913239</v>
      </c>
      <c r="QT22" s="1931">
        <v>8.4208000000000016</v>
      </c>
      <c r="QU22" s="1931">
        <v>1.8483394591389408</v>
      </c>
      <c r="QV22" s="1931">
        <v>14.172300500754147</v>
      </c>
      <c r="QW22" s="1931">
        <v>10.499212522525989</v>
      </c>
      <c r="QX22" s="1931">
        <v>6.4133647058823531</v>
      </c>
      <c r="QY22" s="1931">
        <v>1.0952613393214736</v>
      </c>
      <c r="QZ22" s="1931">
        <v>0</v>
      </c>
      <c r="RA22" s="1931">
        <v>0</v>
      </c>
      <c r="RB22" s="1931">
        <v>36.200517647058824</v>
      </c>
      <c r="RC22" s="1932">
        <v>92.262703348339301</v>
      </c>
      <c r="RD22" s="1930">
        <v>18.698784</v>
      </c>
      <c r="RE22" s="1931">
        <v>13.799540998208217</v>
      </c>
      <c r="RF22" s="1931">
        <v>8.3600000000000012</v>
      </c>
      <c r="RG22" s="1931">
        <v>1.7244472232910455</v>
      </c>
      <c r="RH22" s="1931">
        <v>13.884664422322775</v>
      </c>
      <c r="RI22" s="1931">
        <v>10.381431342261552</v>
      </c>
      <c r="RJ22" s="1931">
        <v>6.3670588235294119</v>
      </c>
      <c r="RK22" s="1931">
        <v>1.0143891674095527</v>
      </c>
      <c r="RL22" s="1931">
        <v>0</v>
      </c>
      <c r="RM22" s="1931">
        <v>0</v>
      </c>
      <c r="RN22" s="1931">
        <v>35.958070588235294</v>
      </c>
      <c r="RO22" s="1932">
        <v>92.225568513684308</v>
      </c>
    </row>
    <row r="23" spans="1:483">
      <c r="A23" s="1472">
        <f>Eingabedaten!A25</f>
        <v>6.01</v>
      </c>
      <c r="B23" s="386" t="str">
        <f>Eingabedaten!C25</f>
        <v>Restaurant</v>
      </c>
      <c r="C23" s="1946"/>
      <c r="D23" s="1930">
        <v>41.899643137254913</v>
      </c>
      <c r="E23" s="1931">
        <v>1.1112650423340318</v>
      </c>
      <c r="F23" s="1931">
        <v>15.612678431372551</v>
      </c>
      <c r="G23" s="1931">
        <v>21.352427038190953</v>
      </c>
      <c r="H23" s="1931">
        <v>39.631015686274516</v>
      </c>
      <c r="I23" s="1931">
        <v>1.5507778819499327</v>
      </c>
      <c r="J23" s="1931">
        <v>11.743435294117649</v>
      </c>
      <c r="K23" s="1931">
        <v>12.201373230638048</v>
      </c>
      <c r="L23" s="1931">
        <v>0</v>
      </c>
      <c r="M23" s="1931">
        <v>0</v>
      </c>
      <c r="N23" s="1931">
        <v>49.494898039215691</v>
      </c>
      <c r="O23" s="1942">
        <v>239.33820207988768</v>
      </c>
      <c r="P23" s="1930">
        <v>55.997165490196089</v>
      </c>
      <c r="Q23" s="1931">
        <v>11.433765826087997</v>
      </c>
      <c r="R23" s="1931">
        <v>13.286086274509806</v>
      </c>
      <c r="S23" s="1931">
        <v>16.291803665004426</v>
      </c>
      <c r="T23" s="1931">
        <v>52.15005568627452</v>
      </c>
      <c r="U23" s="1931">
        <v>10.506576614650269</v>
      </c>
      <c r="V23" s="1931">
        <v>9.9743921568627467</v>
      </c>
      <c r="W23" s="1931">
        <v>10.112544697656263</v>
      </c>
      <c r="X23" s="1931">
        <v>0</v>
      </c>
      <c r="Y23" s="1931">
        <v>0</v>
      </c>
      <c r="Z23" s="1931">
        <v>42.565807843137264</v>
      </c>
      <c r="AA23" s="1942">
        <v>167.77593562527093</v>
      </c>
      <c r="AB23" s="1930">
        <v>61.785429803921581</v>
      </c>
      <c r="AC23" s="1931">
        <v>9.396687231798234</v>
      </c>
      <c r="AD23" s="1931">
        <v>13.335588235294122</v>
      </c>
      <c r="AE23" s="1931">
        <v>18.432545749811556</v>
      </c>
      <c r="AF23" s="1931">
        <v>56.703139607843141</v>
      </c>
      <c r="AG23" s="1931">
        <v>9.0049046949382117</v>
      </c>
      <c r="AH23" s="1931">
        <v>10.012031372549023</v>
      </c>
      <c r="AI23" s="1931">
        <v>11.876175882963109</v>
      </c>
      <c r="AJ23" s="1931">
        <v>0</v>
      </c>
      <c r="AK23" s="1931">
        <v>0</v>
      </c>
      <c r="AL23" s="1931">
        <v>42.713235294117659</v>
      </c>
      <c r="AM23" s="1942">
        <v>175.89943021725566</v>
      </c>
      <c r="AN23" s="1930">
        <v>60.054985882352945</v>
      </c>
      <c r="AO23" s="1931">
        <v>13.8122927906714</v>
      </c>
      <c r="AP23" s="1931">
        <v>13.781105882352943</v>
      </c>
      <c r="AQ23" s="1931">
        <v>14.356361810542479</v>
      </c>
      <c r="AR23" s="1931">
        <v>55.359080000000006</v>
      </c>
      <c r="AS23" s="1931">
        <v>12.267594372195259</v>
      </c>
      <c r="AT23" s="1931">
        <v>10.350784313725493</v>
      </c>
      <c r="AU23" s="1931">
        <v>8.6993882393629036</v>
      </c>
      <c r="AV23" s="1931">
        <v>0</v>
      </c>
      <c r="AW23" s="1931">
        <v>0</v>
      </c>
      <c r="AX23" s="1931">
        <v>44.040082352941191</v>
      </c>
      <c r="AY23" s="1942">
        <v>157.30059301630595</v>
      </c>
      <c r="AZ23" s="1930">
        <v>58.033731764705877</v>
      </c>
      <c r="BA23" s="1931">
        <v>10.36736556244964</v>
      </c>
      <c r="BB23" s="1931">
        <v>14.226623529411766</v>
      </c>
      <c r="BC23" s="1931">
        <v>18.268469783859267</v>
      </c>
      <c r="BD23" s="1931">
        <v>53.753284705882351</v>
      </c>
      <c r="BE23" s="1931">
        <v>9.6053948177751689</v>
      </c>
      <c r="BF23" s="1931">
        <v>10.689537254901962</v>
      </c>
      <c r="BG23" s="1931">
        <v>11.307623266954179</v>
      </c>
      <c r="BH23" s="1931">
        <v>0</v>
      </c>
      <c r="BI23" s="1931">
        <v>0</v>
      </c>
      <c r="BJ23" s="1931">
        <v>45.366929411764715</v>
      </c>
      <c r="BK23" s="1942">
        <v>180.34538070638703</v>
      </c>
      <c r="BL23" s="1930">
        <v>58.843365490196071</v>
      </c>
      <c r="BM23" s="1931">
        <v>11.449997841530381</v>
      </c>
      <c r="BN23" s="1931">
        <v>14.078117647058825</v>
      </c>
      <c r="BO23" s="1931">
        <v>18.88754625970456</v>
      </c>
      <c r="BP23" s="1931">
        <v>54.385608627450978</v>
      </c>
      <c r="BQ23" s="1931">
        <v>10.479535549479706</v>
      </c>
      <c r="BR23" s="1931">
        <v>10.576619607843138</v>
      </c>
      <c r="BS23" s="1931">
        <v>12.116729473652839</v>
      </c>
      <c r="BT23" s="1931">
        <v>0</v>
      </c>
      <c r="BU23" s="1931">
        <v>0</v>
      </c>
      <c r="BV23" s="1931">
        <v>44.924647058823538</v>
      </c>
      <c r="BW23" s="1942">
        <v>176.23401364659753</v>
      </c>
      <c r="BX23" s="1930">
        <v>58.722537254901958</v>
      </c>
      <c r="BY23" s="1931">
        <v>9.9839536016954096</v>
      </c>
      <c r="BZ23" s="1931">
        <v>14.127619607843139</v>
      </c>
      <c r="CA23" s="1931">
        <v>15.697349940677443</v>
      </c>
      <c r="CB23" s="1931">
        <v>54.258792156862746</v>
      </c>
      <c r="CC23" s="1931">
        <v>9.397399256754488</v>
      </c>
      <c r="CD23" s="1931">
        <v>10.614258823529413</v>
      </c>
      <c r="CE23" s="1931">
        <v>9.3326909401413438</v>
      </c>
      <c r="CF23" s="1931">
        <v>0</v>
      </c>
      <c r="CG23" s="1931">
        <v>0</v>
      </c>
      <c r="CH23" s="1931">
        <v>45.072074509803926</v>
      </c>
      <c r="CI23" s="1942">
        <v>171.34673804547757</v>
      </c>
      <c r="CJ23" s="1930">
        <v>32.262956862745106</v>
      </c>
      <c r="CK23" s="1931">
        <v>0</v>
      </c>
      <c r="CL23" s="1931">
        <v>17.048235294117646</v>
      </c>
      <c r="CM23" s="1931">
        <v>27.018570458117857</v>
      </c>
      <c r="CN23" s="1931">
        <v>30.07805490196079</v>
      </c>
      <c r="CO23" s="1931">
        <v>0.1180342650173522</v>
      </c>
      <c r="CP23" s="1931">
        <v>12.834972549019611</v>
      </c>
      <c r="CQ23" s="1931">
        <v>15.625726068280896</v>
      </c>
      <c r="CR23" s="1931">
        <v>0</v>
      </c>
      <c r="CS23" s="1931">
        <v>0</v>
      </c>
      <c r="CT23" s="1931">
        <v>53.770294117647069</v>
      </c>
      <c r="CU23" s="1942">
        <v>276.82853947663114</v>
      </c>
      <c r="CV23" s="1930">
        <v>55.607273725490195</v>
      </c>
      <c r="CW23" s="1931">
        <v>2.6990860755524042</v>
      </c>
      <c r="CX23" s="1931">
        <v>15.365168627450982</v>
      </c>
      <c r="CY23" s="1931">
        <v>19.404937884766596</v>
      </c>
      <c r="CZ23" s="1931">
        <v>51.790540392156863</v>
      </c>
      <c r="DA23" s="1931">
        <v>3.045880476516353</v>
      </c>
      <c r="DB23" s="1931">
        <v>11.555239215686276</v>
      </c>
      <c r="DC23" s="1931">
        <v>11.01862456165196</v>
      </c>
      <c r="DD23" s="1931">
        <v>0</v>
      </c>
      <c r="DE23" s="1931">
        <v>0</v>
      </c>
      <c r="DF23" s="1931">
        <v>48.757760784313732</v>
      </c>
      <c r="DG23" s="1942">
        <v>221.50706210864297</v>
      </c>
      <c r="DH23" s="1930">
        <v>53.910671372549025</v>
      </c>
      <c r="DI23" s="1931">
        <v>1.9774870740297621</v>
      </c>
      <c r="DJ23" s="1931">
        <v>16.107698039215688</v>
      </c>
      <c r="DK23" s="1931">
        <v>26.433627407552876</v>
      </c>
      <c r="DL23" s="1931">
        <v>50.457149803921574</v>
      </c>
      <c r="DM23" s="1931">
        <v>2.3414760373200059</v>
      </c>
      <c r="DN23" s="1931">
        <v>12.119827450980395</v>
      </c>
      <c r="DO23" s="1931">
        <v>16.921735546411362</v>
      </c>
      <c r="DP23" s="1931">
        <v>0</v>
      </c>
      <c r="DQ23" s="1931">
        <v>0</v>
      </c>
      <c r="DR23" s="1931">
        <v>50.969172549019625</v>
      </c>
      <c r="DS23" s="1942">
        <v>238.85229191156333</v>
      </c>
      <c r="DT23" s="1930">
        <v>57.493161568627457</v>
      </c>
      <c r="DU23" s="1931">
        <v>15.444789119899438</v>
      </c>
      <c r="DV23" s="1931">
        <v>12.642560784313726</v>
      </c>
      <c r="DW23" s="1931">
        <v>13.898971311682832</v>
      </c>
      <c r="DX23" s="1931">
        <v>53.353659607843142</v>
      </c>
      <c r="DY23" s="1931">
        <v>13.526768067336274</v>
      </c>
      <c r="DZ23" s="1931">
        <v>9.4850823529411787</v>
      </c>
      <c r="EA23" s="1931">
        <v>8.3774703010038518</v>
      </c>
      <c r="EB23" s="1931">
        <v>0</v>
      </c>
      <c r="EC23" s="1931">
        <v>0</v>
      </c>
      <c r="ED23" s="1931">
        <v>40.649250980392161</v>
      </c>
      <c r="EE23" s="1942">
        <v>153.89507823890619</v>
      </c>
      <c r="EF23" s="1930">
        <v>57.835568627450982</v>
      </c>
      <c r="EG23" s="1931">
        <v>6.9804850786746213</v>
      </c>
      <c r="EH23" s="1931">
        <v>14.622639215686277</v>
      </c>
      <c r="EI23" s="1931">
        <v>23.806373219924659</v>
      </c>
      <c r="EJ23" s="1931">
        <v>53.557725490196091</v>
      </c>
      <c r="EK23" s="1931">
        <v>6.8472175709623837</v>
      </c>
      <c r="EL23" s="1931">
        <v>10.990650980392159</v>
      </c>
      <c r="EM23" s="1931">
        <v>15.797135377054348</v>
      </c>
      <c r="EN23" s="1931">
        <v>0</v>
      </c>
      <c r="EO23" s="1931">
        <v>0</v>
      </c>
      <c r="EP23" s="1931">
        <v>46.546349019607845</v>
      </c>
      <c r="EQ23" s="1942">
        <v>199.87303473891819</v>
      </c>
      <c r="ER23" s="1930">
        <v>10.409274509803923</v>
      </c>
      <c r="ES23" s="1931">
        <v>0</v>
      </c>
      <c r="ET23" s="1931">
        <v>18.186780392156862</v>
      </c>
      <c r="EU23" s="1931">
        <v>35.201938699576019</v>
      </c>
      <c r="EV23" s="1931">
        <v>7.9381568627450942</v>
      </c>
      <c r="EW23" s="1931">
        <v>0</v>
      </c>
      <c r="EX23" s="1931">
        <v>13.700674509803925</v>
      </c>
      <c r="EY23" s="1931">
        <v>20.439389587210645</v>
      </c>
      <c r="EZ23" s="1931">
        <v>0</v>
      </c>
      <c r="FA23" s="1931">
        <v>0</v>
      </c>
      <c r="FB23" s="1931">
        <v>57.161125490196085</v>
      </c>
      <c r="FC23" s="1942">
        <v>341.58736762503389</v>
      </c>
      <c r="FD23" s="1930">
        <v>54.945875294117656</v>
      </c>
      <c r="FE23" s="1931">
        <v>10.337354453478813</v>
      </c>
      <c r="FF23" s="1931">
        <v>14.028615686274511</v>
      </c>
      <c r="FG23" s="1931">
        <v>19.359207680637454</v>
      </c>
      <c r="FH23" s="1931">
        <v>51.264098823529409</v>
      </c>
      <c r="FI23" s="1931">
        <v>9.5916853837504572</v>
      </c>
      <c r="FJ23" s="1931">
        <v>10.538980392156866</v>
      </c>
      <c r="FK23" s="1931">
        <v>12.360388569601</v>
      </c>
      <c r="FL23" s="1931">
        <v>0</v>
      </c>
      <c r="FM23" s="1931">
        <v>0</v>
      </c>
      <c r="FN23" s="1931">
        <v>44.777219607843143</v>
      </c>
      <c r="FO23" s="1942">
        <v>180.95526188553555</v>
      </c>
      <c r="FP23" s="1930">
        <v>52.384050980392153</v>
      </c>
      <c r="FQ23" s="1931">
        <v>8.0179784628667274</v>
      </c>
      <c r="FR23" s="1931">
        <v>14.028615686274511</v>
      </c>
      <c r="FS23" s="1931">
        <v>20.267451065860282</v>
      </c>
      <c r="FT23" s="1931">
        <v>49.258678431372559</v>
      </c>
      <c r="FU23" s="1931">
        <v>7.8497371047501883</v>
      </c>
      <c r="FV23" s="1931">
        <v>10.538980392156866</v>
      </c>
      <c r="FW23" s="1931">
        <v>12.786860032250754</v>
      </c>
      <c r="FX23" s="1931">
        <v>0</v>
      </c>
      <c r="FY23" s="1931">
        <v>0</v>
      </c>
      <c r="FZ23" s="1931">
        <v>44.777219607843143</v>
      </c>
      <c r="GA23" s="1942">
        <v>190.49853414173094</v>
      </c>
      <c r="GB23" s="1930">
        <v>53.126001568627458</v>
      </c>
      <c r="GC23" s="1931">
        <v>3.0675938967449943</v>
      </c>
      <c r="GD23" s="1931">
        <v>15.266164705882355</v>
      </c>
      <c r="GE23" s="1931">
        <v>21.277849325477856</v>
      </c>
      <c r="GF23" s="1931">
        <v>49.86966431372548</v>
      </c>
      <c r="GG23" s="1931">
        <v>3.3087539506850323</v>
      </c>
      <c r="GH23" s="1931">
        <v>11.479960784313729</v>
      </c>
      <c r="GI23" s="1931">
        <v>12.549269218630783</v>
      </c>
      <c r="GJ23" s="1931">
        <v>0</v>
      </c>
      <c r="GK23" s="1931">
        <v>0</v>
      </c>
      <c r="GL23" s="1931">
        <v>48.462905882352949</v>
      </c>
      <c r="GM23" s="1942">
        <v>222.85565108038469</v>
      </c>
      <c r="GN23" s="1930">
        <v>44.43303137254901</v>
      </c>
      <c r="GO23" s="1931">
        <v>2.0159869763478917</v>
      </c>
      <c r="GP23" s="1931">
        <v>15.315666666666669</v>
      </c>
      <c r="GQ23" s="1931">
        <v>25.373107177329622</v>
      </c>
      <c r="GR23" s="1931">
        <v>42.241462745098033</v>
      </c>
      <c r="GS23" s="1931">
        <v>2.2009347076673644</v>
      </c>
      <c r="GT23" s="1931">
        <v>11.517600000000002</v>
      </c>
      <c r="GU23" s="1931">
        <v>15.715028960336252</v>
      </c>
      <c r="GV23" s="1931">
        <v>0</v>
      </c>
      <c r="GW23" s="1931">
        <v>0</v>
      </c>
      <c r="GX23" s="1931">
        <v>48.610333333333344</v>
      </c>
      <c r="GY23" s="1942">
        <v>239.68222231097843</v>
      </c>
      <c r="GZ23" s="1930">
        <v>57.554410196078436</v>
      </c>
      <c r="HA23" s="1931">
        <v>19.224359295748599</v>
      </c>
      <c r="HB23" s="1931">
        <v>11.20700392156863</v>
      </c>
      <c r="HC23" s="1931">
        <v>8.9060266659370466</v>
      </c>
      <c r="HD23" s="1931">
        <v>53.343394509803922</v>
      </c>
      <c r="HE23" s="1931">
        <v>16.517049641014491</v>
      </c>
      <c r="HF23" s="1931">
        <v>8.393545098039219</v>
      </c>
      <c r="HG23" s="1931">
        <v>4.846815979159028</v>
      </c>
      <c r="HH23" s="1931">
        <v>70.115850980392153</v>
      </c>
      <c r="HI23" s="1931">
        <v>2.9356822846993267</v>
      </c>
      <c r="HJ23" s="1931">
        <v>36.37385490196079</v>
      </c>
      <c r="HK23" s="1942">
        <v>127.76101305183113</v>
      </c>
      <c r="HL23" s="1930">
        <v>57.894374117647061</v>
      </c>
      <c r="HM23" s="1931">
        <v>20.067686103835623</v>
      </c>
      <c r="HN23" s="1931">
        <v>10.959494117647061</v>
      </c>
      <c r="HO23" s="1931">
        <v>8.3804216738713695</v>
      </c>
      <c r="HP23" s="1931">
        <v>53.61323294117647</v>
      </c>
      <c r="HQ23" s="1931">
        <v>17.158061294420346</v>
      </c>
      <c r="HR23" s="1931">
        <v>8.2053490196078442</v>
      </c>
      <c r="HS23" s="1931">
        <v>4.4515053523789483</v>
      </c>
      <c r="HT23" s="1931">
        <v>70.836305882352946</v>
      </c>
      <c r="HU23" s="1931">
        <v>4.0972704233724402</v>
      </c>
      <c r="HV23" s="1931">
        <v>35.63671764705883</v>
      </c>
      <c r="HW23" s="1942">
        <v>126.82268676018231</v>
      </c>
      <c r="HX23" s="1930">
        <v>60.391732549019608</v>
      </c>
      <c r="HY23" s="1931">
        <v>10.905280850206614</v>
      </c>
      <c r="HZ23" s="1931">
        <v>13.731603921568629</v>
      </c>
      <c r="IA23" s="1931">
        <v>18.467060053514377</v>
      </c>
      <c r="IB23" s="1931">
        <v>55.613116862745102</v>
      </c>
      <c r="IC23" s="1931">
        <v>10.098179056631468</v>
      </c>
      <c r="ID23" s="1931">
        <v>10.313145098039216</v>
      </c>
      <c r="IE23" s="1931">
        <v>11.746607215829879</v>
      </c>
      <c r="IF23" s="1931">
        <v>0</v>
      </c>
      <c r="IG23" s="1931">
        <v>0</v>
      </c>
      <c r="IH23" s="1931">
        <v>43.892654901960789</v>
      </c>
      <c r="II23" s="1942">
        <v>176.47710755523869</v>
      </c>
      <c r="IJ23" s="1930">
        <v>58.98838352941177</v>
      </c>
      <c r="IK23" s="1931">
        <v>19.24581877501306</v>
      </c>
      <c r="IL23" s="1931">
        <v>12.048537254901962</v>
      </c>
      <c r="IM23" s="1931">
        <v>12.534129641140003</v>
      </c>
      <c r="IN23" s="1931">
        <v>54.475689411764719</v>
      </c>
      <c r="IO23" s="1931">
        <v>16.540104912872135</v>
      </c>
      <c r="IP23" s="1931">
        <v>9.0334117647058836</v>
      </c>
      <c r="IQ23" s="1931">
        <v>7.3346124124643657</v>
      </c>
      <c r="IR23" s="1931">
        <v>73.103552941176474</v>
      </c>
      <c r="IS23" s="1931">
        <v>2.750423480494121</v>
      </c>
      <c r="IT23" s="1931">
        <v>38.880121568627459</v>
      </c>
      <c r="IU23" s="1942">
        <v>143.0592694974805</v>
      </c>
      <c r="IV23" s="1930">
        <v>53.488611764705873</v>
      </c>
      <c r="IW23" s="1931">
        <v>2.6135511829915665</v>
      </c>
      <c r="IX23" s="1931">
        <v>15.315666666666669</v>
      </c>
      <c r="IY23" s="1931">
        <v>18.680909448222842</v>
      </c>
      <c r="IZ23" s="1931">
        <v>50.978905882352933</v>
      </c>
      <c r="JA23" s="1931">
        <v>2.7189553940586562</v>
      </c>
      <c r="JB23" s="1931">
        <v>11.517600000000002</v>
      </c>
      <c r="JC23" s="1931">
        <v>10.224210292208332</v>
      </c>
      <c r="JD23" s="1931">
        <v>0</v>
      </c>
      <c r="JE23" s="1931">
        <v>0</v>
      </c>
      <c r="JF23" s="1931">
        <v>48.610333333333344</v>
      </c>
      <c r="JG23" s="1942">
        <v>224.05659606412917</v>
      </c>
      <c r="JH23" s="1930">
        <v>55.147255686274505</v>
      </c>
      <c r="JI23" s="1931">
        <v>13.192035719036264</v>
      </c>
      <c r="JJ23" s="1931">
        <v>13.236584313725491</v>
      </c>
      <c r="JK23" s="1931">
        <v>16.437910239795038</v>
      </c>
      <c r="JL23" s="1931">
        <v>51.475459607843128</v>
      </c>
      <c r="JM23" s="1931">
        <v>11.844061297675784</v>
      </c>
      <c r="JN23" s="1931">
        <v>9.9367529411764721</v>
      </c>
      <c r="JO23" s="1931">
        <v>10.34166210112847</v>
      </c>
      <c r="JP23" s="1931">
        <v>0</v>
      </c>
      <c r="JQ23" s="1931">
        <v>0</v>
      </c>
      <c r="JR23" s="1931">
        <v>42.41838039215687</v>
      </c>
      <c r="JS23" s="1942">
        <v>165.14721113470344</v>
      </c>
      <c r="JT23" s="1930">
        <v>59.39680470588236</v>
      </c>
      <c r="JU23" s="1931">
        <v>11.46057741503498</v>
      </c>
      <c r="JV23" s="1931">
        <v>13.88010980392157</v>
      </c>
      <c r="JW23" s="1931">
        <v>17.820504317276249</v>
      </c>
      <c r="JX23" s="1931">
        <v>54.848439999999997</v>
      </c>
      <c r="JY23" s="1931">
        <v>10.432749534380596</v>
      </c>
      <c r="JZ23" s="1931">
        <v>10.42606274509804</v>
      </c>
      <c r="KA23" s="1931">
        <v>11.162863738027088</v>
      </c>
      <c r="KB23" s="1931">
        <v>0</v>
      </c>
      <c r="KC23" s="1931">
        <v>0</v>
      </c>
      <c r="KD23" s="1931">
        <v>44.334937254901959</v>
      </c>
      <c r="KE23" s="1942">
        <v>175.00141463117777</v>
      </c>
      <c r="KF23" s="1930">
        <v>59.057396078431367</v>
      </c>
      <c r="KG23" s="1931">
        <v>5.9627965970776264</v>
      </c>
      <c r="KH23" s="1931">
        <v>14.127619607843139</v>
      </c>
      <c r="KI23" s="1931">
        <v>23.789351789961728</v>
      </c>
      <c r="KJ23" s="1931">
        <v>56.291415686274505</v>
      </c>
      <c r="KK23" s="1931">
        <v>5.6097081108445801</v>
      </c>
      <c r="KL23" s="1931">
        <v>10.614258823529413</v>
      </c>
      <c r="KM23" s="1931">
        <v>15.531417735815609</v>
      </c>
      <c r="KN23" s="1931">
        <v>0</v>
      </c>
      <c r="KO23" s="1931">
        <v>0</v>
      </c>
      <c r="KP23" s="1931">
        <v>45.072074509803926</v>
      </c>
      <c r="KQ23" s="1942">
        <v>210.9933384563397</v>
      </c>
      <c r="KR23" s="1930">
        <v>53.317730196078436</v>
      </c>
      <c r="KS23" s="1931">
        <v>15.72048614441451</v>
      </c>
      <c r="KT23" s="1931">
        <v>12.692062745098042</v>
      </c>
      <c r="KU23" s="1931">
        <v>12.633711407210432</v>
      </c>
      <c r="KV23" s="1931">
        <v>50.03362039215687</v>
      </c>
      <c r="KW23" s="1931">
        <v>13.735221785334129</v>
      </c>
      <c r="KX23" s="1931">
        <v>9.5227215686274533</v>
      </c>
      <c r="KY23" s="1931">
        <v>7.4744826137626283</v>
      </c>
      <c r="KZ23" s="1931">
        <v>0</v>
      </c>
      <c r="LA23" s="1931">
        <v>0</v>
      </c>
      <c r="LB23" s="1931">
        <v>40.796678431372555</v>
      </c>
      <c r="LC23" s="1942">
        <v>148.05848544527996</v>
      </c>
      <c r="LD23" s="1930">
        <v>42.11358823529411</v>
      </c>
      <c r="LE23" s="1931">
        <v>3.5346107798998667</v>
      </c>
      <c r="LF23" s="1931">
        <v>14.424631372549023</v>
      </c>
      <c r="LG23" s="1931">
        <v>22.618728632633523</v>
      </c>
      <c r="LH23" s="1931">
        <v>39.650352941176465</v>
      </c>
      <c r="LI23" s="1931">
        <v>3.7469695991180156</v>
      </c>
      <c r="LJ23" s="1931">
        <v>10.840094117647062</v>
      </c>
      <c r="LK23" s="1931">
        <v>13.783739956740103</v>
      </c>
      <c r="LL23" s="1931">
        <v>0</v>
      </c>
      <c r="LM23" s="1931">
        <v>0</v>
      </c>
      <c r="LN23" s="1931">
        <v>45.95663921568628</v>
      </c>
      <c r="LO23" s="1942">
        <v>223.19892212866097</v>
      </c>
      <c r="LP23" s="1930">
        <v>59.486234509803921</v>
      </c>
      <c r="LQ23" s="1931">
        <v>9.0505823093975835</v>
      </c>
      <c r="LR23" s="1931">
        <v>14.573137254901965</v>
      </c>
      <c r="LS23" s="1931">
        <v>18.965714827568288</v>
      </c>
      <c r="LT23" s="1931">
        <v>54.89881490196079</v>
      </c>
      <c r="LU23" s="1931">
        <v>8.5871846075259075</v>
      </c>
      <c r="LV23" s="1931">
        <v>10.953011764705884</v>
      </c>
      <c r="LW23" s="1931">
        <v>12.003432617730063</v>
      </c>
      <c r="LX23" s="1931">
        <v>0</v>
      </c>
      <c r="LY23" s="1931">
        <v>0</v>
      </c>
      <c r="LZ23" s="1931">
        <v>46.398921568627465</v>
      </c>
      <c r="MA23" s="1942">
        <v>182.51118703355269</v>
      </c>
      <c r="MB23" s="1930">
        <v>39.347725490196083</v>
      </c>
      <c r="MC23" s="1931">
        <v>0</v>
      </c>
      <c r="MD23" s="1931">
        <v>19.275823529411767</v>
      </c>
      <c r="ME23" s="1931">
        <v>33.89235113917163</v>
      </c>
      <c r="MF23" s="1931">
        <v>37.007333333333335</v>
      </c>
      <c r="MG23" s="1931">
        <v>0</v>
      </c>
      <c r="MH23" s="1931">
        <v>14.528737254901964</v>
      </c>
      <c r="MI23" s="1931">
        <v>20.140559022950807</v>
      </c>
      <c r="MJ23" s="1931">
        <v>0</v>
      </c>
      <c r="MK23" s="1931">
        <v>0</v>
      </c>
      <c r="ML23" s="1931">
        <v>60.40452941176472</v>
      </c>
      <c r="MM23" s="1942">
        <v>307.3320237009728</v>
      </c>
      <c r="MN23" s="1930">
        <v>32.660482352941166</v>
      </c>
      <c r="MO23" s="1931">
        <v>0</v>
      </c>
      <c r="MP23" s="1931">
        <v>15.959192156862745</v>
      </c>
      <c r="MQ23" s="1931">
        <v>29.659746765390793</v>
      </c>
      <c r="MR23" s="1931">
        <v>30.495482352941174</v>
      </c>
      <c r="MS23" s="1931">
        <v>0.17223004722739668</v>
      </c>
      <c r="MT23" s="1931">
        <v>12.00690980392157</v>
      </c>
      <c r="MU23" s="1931">
        <v>17.857304107430611</v>
      </c>
      <c r="MV23" s="1931">
        <v>0</v>
      </c>
      <c r="MW23" s="1931">
        <v>0</v>
      </c>
      <c r="MX23" s="1931">
        <v>50.52689019607844</v>
      </c>
      <c r="MY23" s="1942">
        <v>282.41225202679487</v>
      </c>
      <c r="MZ23" s="1930">
        <v>52.712090196078435</v>
      </c>
      <c r="NA23" s="1931">
        <v>6.8789730676658625</v>
      </c>
      <c r="NB23" s="1931">
        <v>15.167160784313729</v>
      </c>
      <c r="NC23" s="1931">
        <v>19.674899132512774</v>
      </c>
      <c r="ND23" s="1931">
        <v>50.157286274509801</v>
      </c>
      <c r="NE23" s="1931">
        <v>6.4237194591020543</v>
      </c>
      <c r="NF23" s="1931">
        <v>11.40468235294118</v>
      </c>
      <c r="NG23" s="1931">
        <v>12.161077862909023</v>
      </c>
      <c r="NH23" s="1931">
        <v>0</v>
      </c>
      <c r="NI23" s="1931">
        <v>0</v>
      </c>
      <c r="NJ23" s="1931">
        <v>48.168050980392159</v>
      </c>
      <c r="NK23" s="1942">
        <v>194.27616293415738</v>
      </c>
      <c r="NL23" s="1930">
        <v>54.383558431372549</v>
      </c>
      <c r="NM23" s="1931">
        <v>10.685908578693962</v>
      </c>
      <c r="NN23" s="1931">
        <v>14.276125490196081</v>
      </c>
      <c r="NO23" s="1931">
        <v>20.097192233309947</v>
      </c>
      <c r="NP23" s="1931">
        <v>50.835436862745091</v>
      </c>
      <c r="NQ23" s="1931">
        <v>9.8989223422140658</v>
      </c>
      <c r="NR23" s="1931">
        <v>10.727176470588237</v>
      </c>
      <c r="NS23" s="1931">
        <v>12.952217091793182</v>
      </c>
      <c r="NT23" s="1931">
        <v>0</v>
      </c>
      <c r="NU23" s="1931">
        <v>0</v>
      </c>
      <c r="NV23" s="1931">
        <v>45.514356862745103</v>
      </c>
      <c r="NW23" s="1942">
        <v>182.10465557857827</v>
      </c>
      <c r="NX23" s="1930">
        <v>55.75589411764706</v>
      </c>
      <c r="NY23" s="1931">
        <v>2.5693988387356437</v>
      </c>
      <c r="NZ23" s="1931">
        <v>16.503713725490197</v>
      </c>
      <c r="OA23" s="1931">
        <v>24.912477284297026</v>
      </c>
      <c r="OB23" s="1931">
        <v>52.998835294117647</v>
      </c>
      <c r="OC23" s="1931">
        <v>2.9186819196729461</v>
      </c>
      <c r="OD23" s="1931">
        <v>12.420941176470592</v>
      </c>
      <c r="OE23" s="1931">
        <v>14.985850178692912</v>
      </c>
      <c r="OF23" s="1931">
        <v>0</v>
      </c>
      <c r="OG23" s="1931">
        <v>0</v>
      </c>
      <c r="OH23" s="1931">
        <v>52.148592156862755</v>
      </c>
      <c r="OI23" s="1932">
        <v>240.53527642291328</v>
      </c>
      <c r="OJ23" s="1930">
        <v>55.14403843137255</v>
      </c>
      <c r="OK23" s="1931">
        <v>14.7853835214743</v>
      </c>
      <c r="OL23" s="1931">
        <v>13.533596078431374</v>
      </c>
      <c r="OM23" s="1931">
        <v>15.958675999616677</v>
      </c>
      <c r="ON23" s="1931">
        <v>51.459658039215689</v>
      </c>
      <c r="OO23" s="1931">
        <v>13.036383050844734</v>
      </c>
      <c r="OP23" s="1931">
        <v>10.16258823529412</v>
      </c>
      <c r="OQ23" s="1931">
        <v>9.6653968870913545</v>
      </c>
      <c r="OR23" s="1931">
        <v>0</v>
      </c>
      <c r="OS23" s="1931">
        <v>0</v>
      </c>
      <c r="OT23" s="1931">
        <v>43.302945098039231</v>
      </c>
      <c r="OU23" s="1932">
        <v>162.77258665570199</v>
      </c>
      <c r="OV23" s="1930">
        <v>52.513756862745097</v>
      </c>
      <c r="OW23" s="1931">
        <v>1.4487997395311314</v>
      </c>
      <c r="OX23" s="1931">
        <v>18.582796078431375</v>
      </c>
      <c r="OY23" s="1931">
        <v>30.512617409907769</v>
      </c>
      <c r="OZ23" s="1931">
        <v>49.351325490196089</v>
      </c>
      <c r="PA23" s="1931">
        <v>1.7643859842808505</v>
      </c>
      <c r="PB23" s="1931">
        <v>14.001788235294121</v>
      </c>
      <c r="PC23" s="1931">
        <v>18.886121330267219</v>
      </c>
      <c r="PD23" s="1931">
        <v>0</v>
      </c>
      <c r="PE23" s="1931">
        <v>0</v>
      </c>
      <c r="PF23" s="1931">
        <v>58.340545098039229</v>
      </c>
      <c r="PG23" s="1932">
        <v>271.71464801962503</v>
      </c>
      <c r="PH23" s="1930">
        <v>62.462140392156861</v>
      </c>
      <c r="PI23" s="1931">
        <v>11.217007286486384</v>
      </c>
      <c r="PJ23" s="1931">
        <v>14.424631372549023</v>
      </c>
      <c r="PK23" s="1931">
        <v>16.238358314263859</v>
      </c>
      <c r="PL23" s="1931">
        <v>57.227014901960786</v>
      </c>
      <c r="PM23" s="1931">
        <v>10.332368068746964</v>
      </c>
      <c r="PN23" s="1931">
        <v>10.840094117647062</v>
      </c>
      <c r="PO23" s="1931">
        <v>9.9653172219098352</v>
      </c>
      <c r="PP23" s="1931">
        <v>0</v>
      </c>
      <c r="PQ23" s="1931">
        <v>0</v>
      </c>
      <c r="PR23" s="1931">
        <v>45.95663921568628</v>
      </c>
      <c r="PS23" s="1932">
        <v>167.43797156091267</v>
      </c>
      <c r="PT23" s="1930">
        <v>56.163930196078446</v>
      </c>
      <c r="PU23" s="1931">
        <v>10.142344568098633</v>
      </c>
      <c r="PV23" s="1931">
        <v>14.177121568627454</v>
      </c>
      <c r="PW23" s="1931">
        <v>19.576065815638383</v>
      </c>
      <c r="PX23" s="1931">
        <v>52.269173333333342</v>
      </c>
      <c r="PY23" s="1931">
        <v>9.4290847180120743</v>
      </c>
      <c r="PZ23" s="1931">
        <v>10.651898039215689</v>
      </c>
      <c r="QA23" s="1931">
        <v>12.441078835229716</v>
      </c>
      <c r="QB23" s="1931">
        <v>0</v>
      </c>
      <c r="QC23" s="1931">
        <v>0</v>
      </c>
      <c r="QD23" s="1931">
        <v>45.219501960784321</v>
      </c>
      <c r="QE23" s="1932">
        <v>183.19640001531332</v>
      </c>
      <c r="QF23" s="1930">
        <v>45.571733333333334</v>
      </c>
      <c r="QG23" s="1931">
        <v>6.0251416322535514E-2</v>
      </c>
      <c r="QH23" s="1931">
        <v>16.058196078431376</v>
      </c>
      <c r="QI23" s="1931">
        <v>26.380239434412488</v>
      </c>
      <c r="QJ23" s="1931">
        <v>43.188301960784315</v>
      </c>
      <c r="QK23" s="1931">
        <v>0.60394536322524872</v>
      </c>
      <c r="QL23" s="1931">
        <v>12.082188235294122</v>
      </c>
      <c r="QM23" s="1931">
        <v>15.199340812056993</v>
      </c>
      <c r="QN23" s="1931">
        <v>0</v>
      </c>
      <c r="QO23" s="1931">
        <v>0</v>
      </c>
      <c r="QP23" s="1931">
        <v>50.821745098039223</v>
      </c>
      <c r="QQ23" s="1932">
        <v>270.63744837571591</v>
      </c>
      <c r="QR23" s="1930">
        <v>58.123161568627459</v>
      </c>
      <c r="QS23" s="1931">
        <v>11.243240525519424</v>
      </c>
      <c r="QT23" s="1931">
        <v>14.375129411764707</v>
      </c>
      <c r="QU23" s="1931">
        <v>18.170550215923509</v>
      </c>
      <c r="QV23" s="1931">
        <v>53.803659607843144</v>
      </c>
      <c r="QW23" s="1931">
        <v>10.281435771862736</v>
      </c>
      <c r="QX23" s="1931">
        <v>10.802454901960786</v>
      </c>
      <c r="QY23" s="1931">
        <v>11.347144974178185</v>
      </c>
      <c r="QZ23" s="1931">
        <v>0</v>
      </c>
      <c r="RA23" s="1931">
        <v>0</v>
      </c>
      <c r="RB23" s="1931">
        <v>45.809211764705886</v>
      </c>
      <c r="RC23" s="1932">
        <v>176.81884570247303</v>
      </c>
      <c r="RD23" s="1930">
        <v>55.066703529411768</v>
      </c>
      <c r="RE23" s="1931">
        <v>10.57499040333151</v>
      </c>
      <c r="RF23" s="1931">
        <v>14.276125490196081</v>
      </c>
      <c r="RG23" s="1931">
        <v>17.607994832464932</v>
      </c>
      <c r="RH23" s="1931">
        <v>51.390915294117654</v>
      </c>
      <c r="RI23" s="1931">
        <v>9.769152420313981</v>
      </c>
      <c r="RJ23" s="1931">
        <v>10.727176470588237</v>
      </c>
      <c r="RK23" s="1931">
        <v>10.918893514834393</v>
      </c>
      <c r="RL23" s="1931">
        <v>0</v>
      </c>
      <c r="RM23" s="1931">
        <v>0</v>
      </c>
      <c r="RN23" s="1931">
        <v>45.514356862745103</v>
      </c>
      <c r="RO23" s="1932">
        <v>175.95861732252044</v>
      </c>
    </row>
    <row r="24" spans="1:483">
      <c r="A24" s="634">
        <f>Eingabedaten!A26</f>
        <v>6.02</v>
      </c>
      <c r="B24" s="379" t="str">
        <f>Eingabedaten!C26</f>
        <v>Selbstbedienungsrestaurant</v>
      </c>
      <c r="C24" s="379"/>
      <c r="D24" s="1930">
        <v>41.539576470588237</v>
      </c>
      <c r="E24" s="1931">
        <v>0.48047792978909548</v>
      </c>
      <c r="F24" s="1931">
        <v>10.46484705882353</v>
      </c>
      <c r="G24" s="1931">
        <v>12.585432664436926</v>
      </c>
      <c r="H24" s="1931">
        <v>40.660576470588232</v>
      </c>
      <c r="I24" s="1931">
        <v>0.73055314884831046</v>
      </c>
      <c r="J24" s="1931">
        <v>8.2441411764705883</v>
      </c>
      <c r="K24" s="1931">
        <v>7.2110285424199185</v>
      </c>
      <c r="L24" s="1931">
        <v>0</v>
      </c>
      <c r="M24" s="1931">
        <v>0</v>
      </c>
      <c r="N24" s="1931">
        <v>33.196858823529418</v>
      </c>
      <c r="O24" s="1942">
        <v>134.6759880972192</v>
      </c>
      <c r="P24" s="1930">
        <v>57.224978823529419</v>
      </c>
      <c r="Q24" s="1931">
        <v>6.3811931425766346</v>
      </c>
      <c r="R24" s="1931">
        <v>8.8884117647058822</v>
      </c>
      <c r="S24" s="1931">
        <v>9.7538018140893303</v>
      </c>
      <c r="T24" s="1931">
        <v>54.739414117647058</v>
      </c>
      <c r="U24" s="1931">
        <v>5.8228077385841885</v>
      </c>
      <c r="V24" s="1931">
        <v>7.0022352941176473</v>
      </c>
      <c r="W24" s="1931">
        <v>6.165115892738398</v>
      </c>
      <c r="X24" s="1931">
        <v>0</v>
      </c>
      <c r="Y24" s="1931">
        <v>0</v>
      </c>
      <c r="Z24" s="1931">
        <v>28.49796470588236</v>
      </c>
      <c r="AA24" s="1942">
        <v>94.2201429844621</v>
      </c>
      <c r="AB24" s="1930">
        <v>60.816776470588245</v>
      </c>
      <c r="AC24" s="1931">
        <v>5.1608613935381182</v>
      </c>
      <c r="AD24" s="1931">
        <v>8.9219529411764729</v>
      </c>
      <c r="AE24" s="1931">
        <v>11.084894794132818</v>
      </c>
      <c r="AF24" s="1931">
        <v>57.694541176470587</v>
      </c>
      <c r="AG24" s="1931">
        <v>4.9205986605030718</v>
      </c>
      <c r="AH24" s="1931">
        <v>7.0286588235294136</v>
      </c>
      <c r="AI24" s="1931">
        <v>7.2679204008277001</v>
      </c>
      <c r="AJ24" s="1931">
        <v>0</v>
      </c>
      <c r="AK24" s="1931">
        <v>0</v>
      </c>
      <c r="AL24" s="1931">
        <v>28.597941176470599</v>
      </c>
      <c r="AM24" s="1942">
        <v>98.909792622900639</v>
      </c>
      <c r="AN24" s="1930">
        <v>58.268223529411763</v>
      </c>
      <c r="AO24" s="1931">
        <v>7.8057589145540724</v>
      </c>
      <c r="AP24" s="1931">
        <v>9.2238235294117672</v>
      </c>
      <c r="AQ24" s="1931">
        <v>8.5922335241165939</v>
      </c>
      <c r="AR24" s="1931">
        <v>55.600752941176474</v>
      </c>
      <c r="AS24" s="1931">
        <v>6.881024110134013</v>
      </c>
      <c r="AT24" s="1931">
        <v>7.2664705882352951</v>
      </c>
      <c r="AU24" s="1931">
        <v>5.2857571225717432</v>
      </c>
      <c r="AV24" s="1931">
        <v>0</v>
      </c>
      <c r="AW24" s="1931">
        <v>0</v>
      </c>
      <c r="AX24" s="1931">
        <v>29.497729411764716</v>
      </c>
      <c r="AY24" s="1942">
        <v>88.193092628999494</v>
      </c>
      <c r="AZ24" s="1930">
        <v>56.027712941176475</v>
      </c>
      <c r="BA24" s="1931">
        <v>5.747083592264306</v>
      </c>
      <c r="BB24" s="1931">
        <v>9.5256941176470598</v>
      </c>
      <c r="BC24" s="1931">
        <v>10.907271916446904</v>
      </c>
      <c r="BD24" s="1931">
        <v>53.754371764705887</v>
      </c>
      <c r="BE24" s="1931">
        <v>5.2784907126180336</v>
      </c>
      <c r="BF24" s="1931">
        <v>7.5042823529411766</v>
      </c>
      <c r="BG24" s="1931">
        <v>6.8804493529369157</v>
      </c>
      <c r="BH24" s="1931">
        <v>0</v>
      </c>
      <c r="BI24" s="1931">
        <v>0</v>
      </c>
      <c r="BJ24" s="1931">
        <v>30.397517647058827</v>
      </c>
      <c r="BK24" s="1942">
        <v>101.25367958338684</v>
      </c>
      <c r="BL24" s="1930">
        <v>56.613696470588231</v>
      </c>
      <c r="BM24" s="1931">
        <v>6.3925198499352174</v>
      </c>
      <c r="BN24" s="1931">
        <v>9.4250705882352968</v>
      </c>
      <c r="BO24" s="1931">
        <v>11.337405599020572</v>
      </c>
      <c r="BP24" s="1931">
        <v>54.279719999999998</v>
      </c>
      <c r="BQ24" s="1931">
        <v>5.8055836225594781</v>
      </c>
      <c r="BR24" s="1931">
        <v>7.4250117647058831</v>
      </c>
      <c r="BS24" s="1931">
        <v>7.4155346673585898</v>
      </c>
      <c r="BT24" s="1931">
        <v>0</v>
      </c>
      <c r="BU24" s="1931">
        <v>0</v>
      </c>
      <c r="BV24" s="1931">
        <v>30.097588235294126</v>
      </c>
      <c r="BW24" s="1942">
        <v>99.119985850799068</v>
      </c>
      <c r="BX24" s="1930">
        <v>56.564385882352944</v>
      </c>
      <c r="BY24" s="1931">
        <v>5.5143298616857397</v>
      </c>
      <c r="BZ24" s="1931">
        <v>9.4586117647058821</v>
      </c>
      <c r="CA24" s="1931">
        <v>9.3416545566527152</v>
      </c>
      <c r="CB24" s="1931">
        <v>54.169774117647059</v>
      </c>
      <c r="CC24" s="1931">
        <v>5.1553974022339331</v>
      </c>
      <c r="CD24" s="1931">
        <v>7.4514352941176476</v>
      </c>
      <c r="CE24" s="1931">
        <v>5.6233854707588673</v>
      </c>
      <c r="CF24" s="1931">
        <v>0</v>
      </c>
      <c r="CG24" s="1931">
        <v>0</v>
      </c>
      <c r="CH24" s="1931">
        <v>30.197564705882357</v>
      </c>
      <c r="CI24" s="1942">
        <v>96.049347224742149</v>
      </c>
      <c r="CJ24" s="1930">
        <v>29.07849411764705</v>
      </c>
      <c r="CK24" s="1931">
        <v>0</v>
      </c>
      <c r="CL24" s="1931">
        <v>11.437541176470589</v>
      </c>
      <c r="CM24" s="1931">
        <v>15.871287621023656</v>
      </c>
      <c r="CN24" s="1931">
        <v>28.370317647058815</v>
      </c>
      <c r="CO24" s="1931">
        <v>0</v>
      </c>
      <c r="CP24" s="1931">
        <v>9.0104235294117654</v>
      </c>
      <c r="CQ24" s="1931">
        <v>9.2576640057558457</v>
      </c>
      <c r="CR24" s="1931">
        <v>0</v>
      </c>
      <c r="CS24" s="1931">
        <v>0</v>
      </c>
      <c r="CT24" s="1931">
        <v>36.096176470588247</v>
      </c>
      <c r="CU24" s="1942">
        <v>155.73994982879123</v>
      </c>
      <c r="CV24" s="1930">
        <v>54.984468235294123</v>
      </c>
      <c r="CW24" s="1931">
        <v>1.4299435044160107</v>
      </c>
      <c r="CX24" s="1931">
        <v>10.297141176470589</v>
      </c>
      <c r="CY24" s="1931">
        <v>11.383108924641805</v>
      </c>
      <c r="CZ24" s="1931">
        <v>52.893032941176479</v>
      </c>
      <c r="DA24" s="1931">
        <v>1.5315377227163671</v>
      </c>
      <c r="DB24" s="1931">
        <v>8.1120235294117649</v>
      </c>
      <c r="DC24" s="1931">
        <v>6.4976731078773806</v>
      </c>
      <c r="DD24" s="1931">
        <v>0</v>
      </c>
      <c r="DE24" s="1931">
        <v>0</v>
      </c>
      <c r="DF24" s="1931">
        <v>32.69697647058824</v>
      </c>
      <c r="DG24" s="1942">
        <v>124.19362754167445</v>
      </c>
      <c r="DH24" s="1930">
        <v>58.173658823529408</v>
      </c>
      <c r="DI24" s="1931">
        <v>0.99827492162406817</v>
      </c>
      <c r="DJ24" s="1931">
        <v>10.800258823529415</v>
      </c>
      <c r="DK24" s="1931">
        <v>15.798583722697806</v>
      </c>
      <c r="DL24" s="1931">
        <v>57.052658823529413</v>
      </c>
      <c r="DM24" s="1931">
        <v>1.1312836811029445</v>
      </c>
      <c r="DN24" s="1931">
        <v>8.508376470588237</v>
      </c>
      <c r="DO24" s="1931">
        <v>10.247456126463266</v>
      </c>
      <c r="DP24" s="1931">
        <v>0</v>
      </c>
      <c r="DQ24" s="1931">
        <v>0</v>
      </c>
      <c r="DR24" s="1931">
        <v>34.196623529411774</v>
      </c>
      <c r="DS24" s="1942">
        <v>134.48715263875911</v>
      </c>
      <c r="DT24" s="1930">
        <v>55.213098823529407</v>
      </c>
      <c r="DU24" s="1931">
        <v>8.7814311019319966</v>
      </c>
      <c r="DV24" s="1931">
        <v>8.452376470588236</v>
      </c>
      <c r="DW24" s="1931">
        <v>8.3142231443769852</v>
      </c>
      <c r="DX24" s="1931">
        <v>53.06102823529411</v>
      </c>
      <c r="DY24" s="1931">
        <v>7.6389369027528709</v>
      </c>
      <c r="DZ24" s="1931">
        <v>6.6587294117647069</v>
      </c>
      <c r="EA24" s="1931">
        <v>5.0849837471996535</v>
      </c>
      <c r="EB24" s="1931">
        <v>0</v>
      </c>
      <c r="EC24" s="1931">
        <v>0</v>
      </c>
      <c r="ED24" s="1931">
        <v>27.1982705882353</v>
      </c>
      <c r="EE24" s="1942">
        <v>86.181043142117062</v>
      </c>
      <c r="EF24" s="1930">
        <v>54.11445411764705</v>
      </c>
      <c r="EG24" s="1931">
        <v>3.8287558348424415</v>
      </c>
      <c r="EH24" s="1931">
        <v>9.7940235294117652</v>
      </c>
      <c r="EI24" s="1931">
        <v>14.374902973525701</v>
      </c>
      <c r="EJ24" s="1931">
        <v>52.295877647058823</v>
      </c>
      <c r="EK24" s="1931">
        <v>3.6695157754816461</v>
      </c>
      <c r="EL24" s="1931">
        <v>7.7156705882352945</v>
      </c>
      <c r="EM24" s="1931">
        <v>9.7077784287257014</v>
      </c>
      <c r="EN24" s="1931">
        <v>0</v>
      </c>
      <c r="EO24" s="1931">
        <v>0</v>
      </c>
      <c r="EP24" s="1931">
        <v>31.197329411764713</v>
      </c>
      <c r="EQ24" s="1942">
        <v>112.4897299684592</v>
      </c>
      <c r="ER24" s="1930">
        <v>6.6252941176470603</v>
      </c>
      <c r="ES24" s="1931">
        <v>0</v>
      </c>
      <c r="ET24" s="1931">
        <v>12.208988235294118</v>
      </c>
      <c r="EU24" s="1931">
        <v>20.512120841611161</v>
      </c>
      <c r="EV24" s="1931">
        <v>4.4898823529411747</v>
      </c>
      <c r="EW24" s="1931">
        <v>0</v>
      </c>
      <c r="EX24" s="1931">
        <v>9.6181647058823536</v>
      </c>
      <c r="EY24" s="1931">
        <v>12.031544350078281</v>
      </c>
      <c r="EZ24" s="1931">
        <v>0</v>
      </c>
      <c r="FA24" s="1931">
        <v>0</v>
      </c>
      <c r="FB24" s="1931">
        <v>38.395635294117653</v>
      </c>
      <c r="FC24" s="1942">
        <v>192.29378515878125</v>
      </c>
      <c r="FD24" s="1930">
        <v>57.856011764705876</v>
      </c>
      <c r="FE24" s="1931">
        <v>5.7287594272631788</v>
      </c>
      <c r="FF24" s="1931">
        <v>9.3915294117647079</v>
      </c>
      <c r="FG24" s="1931">
        <v>11.60270376739218</v>
      </c>
      <c r="FH24" s="1931">
        <v>56.735011764705881</v>
      </c>
      <c r="FI24" s="1931">
        <v>5.2704649475876826</v>
      </c>
      <c r="FJ24" s="1931">
        <v>7.3985882352941186</v>
      </c>
      <c r="FK24" s="1931">
        <v>7.5517113387769399</v>
      </c>
      <c r="FL24" s="1931">
        <v>0</v>
      </c>
      <c r="FM24" s="1931">
        <v>0</v>
      </c>
      <c r="FN24" s="1931">
        <v>29.997611764705891</v>
      </c>
      <c r="FO24" s="1942">
        <v>101.68490631313335</v>
      </c>
      <c r="FP24" s="1930">
        <v>53.008011764705884</v>
      </c>
      <c r="FQ24" s="1931">
        <v>4.4266736990874058</v>
      </c>
      <c r="FR24" s="1931">
        <v>9.3915294117647079</v>
      </c>
      <c r="FS24" s="1931">
        <v>12.124396311247786</v>
      </c>
      <c r="FT24" s="1931">
        <v>51.958188235294116</v>
      </c>
      <c r="FU24" s="1931">
        <v>4.2230905770112637</v>
      </c>
      <c r="FV24" s="1931">
        <v>7.3985882352941186</v>
      </c>
      <c r="FW24" s="1931">
        <v>7.7848835697665937</v>
      </c>
      <c r="FX24" s="1931">
        <v>0</v>
      </c>
      <c r="FY24" s="1931">
        <v>0</v>
      </c>
      <c r="FZ24" s="1931">
        <v>29.997611764705891</v>
      </c>
      <c r="GA24" s="1942">
        <v>107.00640322021805</v>
      </c>
      <c r="GB24" s="1930">
        <v>53.086903529411778</v>
      </c>
      <c r="GC24" s="1931">
        <v>1.647319757818104</v>
      </c>
      <c r="GD24" s="1931">
        <v>10.230058823529413</v>
      </c>
      <c r="GE24" s="1931">
        <v>12.594353449357222</v>
      </c>
      <c r="GF24" s="1931">
        <v>51.298644705882353</v>
      </c>
      <c r="GG24" s="1931">
        <v>1.6884589487061592</v>
      </c>
      <c r="GH24" s="1931">
        <v>8.0591764705882358</v>
      </c>
      <c r="GI24" s="1931">
        <v>7.4952939903131313</v>
      </c>
      <c r="GJ24" s="1931">
        <v>0</v>
      </c>
      <c r="GK24" s="1931">
        <v>0</v>
      </c>
      <c r="GL24" s="1931">
        <v>32.49702352941177</v>
      </c>
      <c r="GM24" s="1942">
        <v>124.84465278820061</v>
      </c>
      <c r="GN24" s="1930">
        <v>40.014482352941172</v>
      </c>
      <c r="GO24" s="1931">
        <v>1.0231497379322052</v>
      </c>
      <c r="GP24" s="1931">
        <v>10.263600000000002</v>
      </c>
      <c r="GQ24" s="1931">
        <v>15.174196961215452</v>
      </c>
      <c r="GR24" s="1931">
        <v>39.142599999999995</v>
      </c>
      <c r="GS24" s="1931">
        <v>1.1207488304577657</v>
      </c>
      <c r="GT24" s="1931">
        <v>8.0856000000000012</v>
      </c>
      <c r="GU24" s="1931">
        <v>9.4971856039443594</v>
      </c>
      <c r="GV24" s="1931">
        <v>0</v>
      </c>
      <c r="GW24" s="1931">
        <v>0</v>
      </c>
      <c r="GX24" s="1931">
        <v>32.597000000000016</v>
      </c>
      <c r="GY24" s="1942">
        <v>134.70834492938531</v>
      </c>
      <c r="GZ24" s="1930">
        <v>57.502919999999996</v>
      </c>
      <c r="HA24" s="1931">
        <v>11.037233139816284</v>
      </c>
      <c r="HB24" s="1931">
        <v>7.479682352941178</v>
      </c>
      <c r="HC24" s="1931">
        <v>5.2373372585343763</v>
      </c>
      <c r="HD24" s="1931">
        <v>55.017355294117642</v>
      </c>
      <c r="HE24" s="1931">
        <v>9.4406232242054635</v>
      </c>
      <c r="HF24" s="1931">
        <v>5.8924470588235298</v>
      </c>
      <c r="HG24" s="1931">
        <v>2.7965095181299309</v>
      </c>
      <c r="HH24" s="1931">
        <v>68.068694117647055</v>
      </c>
      <c r="HI24" s="1931">
        <v>2.0729106946769438</v>
      </c>
      <c r="HJ24" s="1931">
        <v>24.298952941176477</v>
      </c>
      <c r="HK24" s="1942">
        <v>71.336028990425547</v>
      </c>
      <c r="HL24" s="1930">
        <v>55.397221176470588</v>
      </c>
      <c r="HM24" s="1931">
        <v>11.541641726575348</v>
      </c>
      <c r="HN24" s="1931">
        <v>7.3119764705882364</v>
      </c>
      <c r="HO24" s="1931">
        <v>4.8629544792611368</v>
      </c>
      <c r="HP24" s="1931">
        <v>53.15419764705883</v>
      </c>
      <c r="HQ24" s="1931">
        <v>9.8262296931713493</v>
      </c>
      <c r="HR24" s="1931">
        <v>5.7603294117647064</v>
      </c>
      <c r="HS24" s="1931">
        <v>2.519550993909029</v>
      </c>
      <c r="HT24" s="1931">
        <v>64.430894117647071</v>
      </c>
      <c r="HU24" s="1931">
        <v>2.7438499711958797</v>
      </c>
      <c r="HV24" s="1931">
        <v>23.799070588235303</v>
      </c>
      <c r="HW24" s="1942">
        <v>70.85266939292309</v>
      </c>
      <c r="HX24" s="1930">
        <v>58.461950588235297</v>
      </c>
      <c r="HY24" s="1931">
        <v>6.0653721555223248</v>
      </c>
      <c r="HZ24" s="1931">
        <v>9.1902823529411766</v>
      </c>
      <c r="IA24" s="1931">
        <v>11.071608357738938</v>
      </c>
      <c r="IB24" s="1931">
        <v>55.76416235294117</v>
      </c>
      <c r="IC24" s="1931">
        <v>5.5769696222350085</v>
      </c>
      <c r="ID24" s="1931">
        <v>7.2400470588235297</v>
      </c>
      <c r="IE24" s="1931">
        <v>7.1780730728680835</v>
      </c>
      <c r="IF24" s="1931">
        <v>0</v>
      </c>
      <c r="IG24" s="1931">
        <v>0</v>
      </c>
      <c r="IH24" s="1931">
        <v>29.397752941176478</v>
      </c>
      <c r="II24" s="1942">
        <v>99.231422800692911</v>
      </c>
      <c r="IJ24" s="1930">
        <v>57.969785882352944</v>
      </c>
      <c r="IK24" s="1931">
        <v>11.049791327756331</v>
      </c>
      <c r="IL24" s="1931">
        <v>8.0498823529411769</v>
      </c>
      <c r="IM24" s="1931">
        <v>7.486281214484908</v>
      </c>
      <c r="IN24" s="1931">
        <v>55.423585882352938</v>
      </c>
      <c r="IO24" s="1931">
        <v>9.4546562827045246</v>
      </c>
      <c r="IP24" s="1931">
        <v>6.3416470588235301</v>
      </c>
      <c r="IQ24" s="1931">
        <v>4.4030979633308025</v>
      </c>
      <c r="IR24" s="1931">
        <v>68.900717647058826</v>
      </c>
      <c r="IS24" s="1931">
        <v>1.9669581334908059</v>
      </c>
      <c r="IT24" s="1931">
        <v>25.998552941176477</v>
      </c>
      <c r="IU24" s="1942">
        <v>80.101495010126229</v>
      </c>
      <c r="IV24" s="1930">
        <v>46.086199999999991</v>
      </c>
      <c r="IW24" s="1931">
        <v>1.3810428528575884</v>
      </c>
      <c r="IX24" s="1931">
        <v>10.263600000000002</v>
      </c>
      <c r="IY24" s="1931">
        <v>10.877430598124644</v>
      </c>
      <c r="IZ24" s="1931">
        <v>45.128905882352932</v>
      </c>
      <c r="JA24" s="1931">
        <v>1.3866786157191147</v>
      </c>
      <c r="JB24" s="1931">
        <v>8.0856000000000012</v>
      </c>
      <c r="JC24" s="1931">
        <v>5.9756812588210551</v>
      </c>
      <c r="JD24" s="1931">
        <v>0</v>
      </c>
      <c r="JE24" s="1931">
        <v>0</v>
      </c>
      <c r="JF24" s="1931">
        <v>32.597000000000016</v>
      </c>
      <c r="JG24" s="1942">
        <v>125.19002046410185</v>
      </c>
      <c r="JH24" s="1930">
        <v>54.676425882352937</v>
      </c>
      <c r="JI24" s="1931">
        <v>7.4328031151587464</v>
      </c>
      <c r="JJ24" s="1931">
        <v>8.8548705882352952</v>
      </c>
      <c r="JK24" s="1931">
        <v>9.8628984013914351</v>
      </c>
      <c r="JL24" s="1931">
        <v>52.645625882352945</v>
      </c>
      <c r="JM24" s="1931">
        <v>6.6274089193437922</v>
      </c>
      <c r="JN24" s="1931">
        <v>6.9758117647058828</v>
      </c>
      <c r="JO24" s="1931">
        <v>6.3258935206352742</v>
      </c>
      <c r="JP24" s="1931">
        <v>0</v>
      </c>
      <c r="JQ24" s="1931">
        <v>0</v>
      </c>
      <c r="JR24" s="1931">
        <v>28.397988235294122</v>
      </c>
      <c r="JS24" s="1942">
        <v>92.758227806916267</v>
      </c>
      <c r="JT24" s="1930">
        <v>57.101058823529414</v>
      </c>
      <c r="JU24" s="1931">
        <v>6.4011005011919462</v>
      </c>
      <c r="JV24" s="1931">
        <v>9.2909058823529413</v>
      </c>
      <c r="JW24" s="1931">
        <v>10.661623640723707</v>
      </c>
      <c r="JX24" s="1931">
        <v>54.585176470588245</v>
      </c>
      <c r="JY24" s="1931">
        <v>5.7761061918616541</v>
      </c>
      <c r="JZ24" s="1931">
        <v>7.3193176470588242</v>
      </c>
      <c r="KA24" s="1931">
        <v>6.8204078567342608</v>
      </c>
      <c r="KB24" s="1931">
        <v>0</v>
      </c>
      <c r="KC24" s="1931">
        <v>0</v>
      </c>
      <c r="KD24" s="1931">
        <v>29.697682352941182</v>
      </c>
      <c r="KE24" s="1942">
        <v>98.228322569877975</v>
      </c>
      <c r="KF24" s="1930">
        <v>54.820152941176474</v>
      </c>
      <c r="KG24" s="1931">
        <v>3.2919232368949793</v>
      </c>
      <c r="KH24" s="1931">
        <v>9.4586117647058821</v>
      </c>
      <c r="KI24" s="1931">
        <v>14.198412905547306</v>
      </c>
      <c r="KJ24" s="1931">
        <v>53.741858823529412</v>
      </c>
      <c r="KK24" s="1931">
        <v>3.0750577990977805</v>
      </c>
      <c r="KL24" s="1931">
        <v>7.4514352941176476</v>
      </c>
      <c r="KM24" s="1931">
        <v>9.4287146978712038</v>
      </c>
      <c r="KN24" s="1931">
        <v>0</v>
      </c>
      <c r="KO24" s="1931">
        <v>0</v>
      </c>
      <c r="KP24" s="1931">
        <v>30.197564705882357</v>
      </c>
      <c r="KQ24" s="1942">
        <v>118.56935630239353</v>
      </c>
      <c r="KR24" s="1930">
        <v>55.60710588235294</v>
      </c>
      <c r="KS24" s="1931">
        <v>8.9463756696689813</v>
      </c>
      <c r="KT24" s="1931">
        <v>8.4859176470588249</v>
      </c>
      <c r="KU24" s="1931">
        <v>7.5336624502255756</v>
      </c>
      <c r="KV24" s="1931">
        <v>54.514576470588239</v>
      </c>
      <c r="KW24" s="1931">
        <v>7.7643073381415384</v>
      </c>
      <c r="KX24" s="1931">
        <v>6.6851529411764705</v>
      </c>
      <c r="KY24" s="1931">
        <v>4.5033488466581435</v>
      </c>
      <c r="KZ24" s="1931">
        <v>0</v>
      </c>
      <c r="LA24" s="1931">
        <v>0</v>
      </c>
      <c r="LB24" s="1931">
        <v>27.298247058823538</v>
      </c>
      <c r="LC24" s="1942">
        <v>82.819034010069245</v>
      </c>
      <c r="LD24" s="1930">
        <v>39.902529411764711</v>
      </c>
      <c r="LE24" s="1931">
        <v>1.840284322222296</v>
      </c>
      <c r="LF24" s="1931">
        <v>9.6598588235294134</v>
      </c>
      <c r="LG24" s="1931">
        <v>13.449048172771231</v>
      </c>
      <c r="LH24" s="1931">
        <v>39.04488235294118</v>
      </c>
      <c r="LI24" s="1931">
        <v>1.9540951178901509</v>
      </c>
      <c r="LJ24" s="1931">
        <v>7.6099764705882365</v>
      </c>
      <c r="LK24" s="1931">
        <v>8.2838496407499917</v>
      </c>
      <c r="LL24" s="1931">
        <v>0</v>
      </c>
      <c r="LM24" s="1931">
        <v>0</v>
      </c>
      <c r="LN24" s="1931">
        <v>30.797423529411773</v>
      </c>
      <c r="LO24" s="1942">
        <v>125.38361396331828</v>
      </c>
      <c r="LP24" s="1930">
        <v>57.960181176470591</v>
      </c>
      <c r="LQ24" s="1931">
        <v>5.0166112755734638</v>
      </c>
      <c r="LR24" s="1931">
        <v>9.7604823529411782</v>
      </c>
      <c r="LS24" s="1931">
        <v>11.361216272482931</v>
      </c>
      <c r="LT24" s="1931">
        <v>55.353345882352947</v>
      </c>
      <c r="LU24" s="1931">
        <v>4.6655558017031797</v>
      </c>
      <c r="LV24" s="1931">
        <v>7.68924705882353</v>
      </c>
      <c r="LW24" s="1931">
        <v>7.3270093185061587</v>
      </c>
      <c r="LX24" s="1931">
        <v>0</v>
      </c>
      <c r="LY24" s="1931">
        <v>0</v>
      </c>
      <c r="LZ24" s="1931">
        <v>31.097352941176478</v>
      </c>
      <c r="MA24" s="1942">
        <v>102.49581262255501</v>
      </c>
      <c r="MB24" s="1930">
        <v>34.125023529411756</v>
      </c>
      <c r="MC24" s="1931">
        <v>0</v>
      </c>
      <c r="MD24" s="1931">
        <v>12.94689411764706</v>
      </c>
      <c r="ME24" s="1931">
        <v>19.981935706255808</v>
      </c>
      <c r="MF24" s="1931">
        <v>33.345670588235286</v>
      </c>
      <c r="MG24" s="1931">
        <v>0</v>
      </c>
      <c r="MH24" s="1931">
        <v>10.199482352941178</v>
      </c>
      <c r="MI24" s="1931">
        <v>12.010054779864749</v>
      </c>
      <c r="MJ24" s="1931">
        <v>0</v>
      </c>
      <c r="MK24" s="1931">
        <v>0</v>
      </c>
      <c r="ML24" s="1931">
        <v>40.595117647058842</v>
      </c>
      <c r="MM24" s="1942">
        <v>173.0195701589991</v>
      </c>
      <c r="MN24" s="1930">
        <v>31.820141176470589</v>
      </c>
      <c r="MO24" s="1931">
        <v>0</v>
      </c>
      <c r="MP24" s="1931">
        <v>10.699635294117648</v>
      </c>
      <c r="MQ24" s="1931">
        <v>17.534335261319445</v>
      </c>
      <c r="MR24" s="1931">
        <v>31.076376470588233</v>
      </c>
      <c r="MS24" s="1931">
        <v>0</v>
      </c>
      <c r="MT24" s="1931">
        <v>8.4291058823529426</v>
      </c>
      <c r="MU24" s="1931">
        <v>10.661137742192865</v>
      </c>
      <c r="MV24" s="1931">
        <v>0</v>
      </c>
      <c r="MW24" s="1931">
        <v>0</v>
      </c>
      <c r="MX24" s="1931">
        <v>33.896694117647073</v>
      </c>
      <c r="MY24" s="1942">
        <v>159.26892733766175</v>
      </c>
      <c r="MZ24" s="1930">
        <v>47.723247058823524</v>
      </c>
      <c r="NA24" s="1931">
        <v>3.8416291192479206</v>
      </c>
      <c r="NB24" s="1931">
        <v>10.162976470588237</v>
      </c>
      <c r="NC24" s="1931">
        <v>11.726452491173713</v>
      </c>
      <c r="ND24" s="1931">
        <v>46.744599999999998</v>
      </c>
      <c r="NE24" s="1931">
        <v>3.4677048579213099</v>
      </c>
      <c r="NF24" s="1931">
        <v>8.0063294117647068</v>
      </c>
      <c r="NG24" s="1931">
        <v>7.3686276784265692</v>
      </c>
      <c r="NH24" s="1931">
        <v>0</v>
      </c>
      <c r="NI24" s="1931">
        <v>0</v>
      </c>
      <c r="NJ24" s="1931">
        <v>32.2970705882353</v>
      </c>
      <c r="NK24" s="1942">
        <v>108.92808395521683</v>
      </c>
      <c r="NL24" s="1930">
        <v>52.952091764705884</v>
      </c>
      <c r="NM24" s="1931">
        <v>5.9354976429730888</v>
      </c>
      <c r="NN24" s="1931">
        <v>9.5592352941176486</v>
      </c>
      <c r="NO24" s="1931">
        <v>12.069524182506537</v>
      </c>
      <c r="NP24" s="1931">
        <v>51.315421176470586</v>
      </c>
      <c r="NQ24" s="1931">
        <v>5.4563145304831968</v>
      </c>
      <c r="NR24" s="1931">
        <v>7.530705882352942</v>
      </c>
      <c r="NS24" s="1931">
        <v>7.9237124256902307</v>
      </c>
      <c r="NT24" s="1931">
        <v>0</v>
      </c>
      <c r="NU24" s="1931">
        <v>0</v>
      </c>
      <c r="NV24" s="1931">
        <v>30.497494117647065</v>
      </c>
      <c r="NW24" s="1942">
        <v>102.45537498141667</v>
      </c>
      <c r="NX24" s="1930">
        <v>48.374811764705882</v>
      </c>
      <c r="NY24" s="1931">
        <v>1.3534219804475978</v>
      </c>
      <c r="NZ24" s="1931">
        <v>11.068588235294119</v>
      </c>
      <c r="OA24" s="1931">
        <v>14.722220021424032</v>
      </c>
      <c r="OB24" s="1931">
        <v>47.389047058823536</v>
      </c>
      <c r="OC24" s="1931">
        <v>1.4542092807674001</v>
      </c>
      <c r="OD24" s="1931">
        <v>8.7197647058823531</v>
      </c>
      <c r="OE24" s="1931">
        <v>8.9752496954192971</v>
      </c>
      <c r="OF24" s="1931">
        <v>0</v>
      </c>
      <c r="OG24" s="1931">
        <v>0</v>
      </c>
      <c r="OH24" s="1931">
        <v>34.996435294117646</v>
      </c>
      <c r="OI24" s="1932">
        <v>134.8930646321119</v>
      </c>
      <c r="OJ24" s="1930">
        <v>53.577781176470587</v>
      </c>
      <c r="OK24" s="1931">
        <v>8.3865840943793746</v>
      </c>
      <c r="OL24" s="1931">
        <v>9.0561176470588247</v>
      </c>
      <c r="OM24" s="1931">
        <v>9.5440756776535363</v>
      </c>
      <c r="ON24" s="1931">
        <v>51.880475294117652</v>
      </c>
      <c r="OO24" s="1931">
        <v>7.3442045159100031</v>
      </c>
      <c r="OP24" s="1931">
        <v>7.1343529411764717</v>
      </c>
      <c r="OQ24" s="1931">
        <v>5.8620625344689117</v>
      </c>
      <c r="OR24" s="1931">
        <v>0</v>
      </c>
      <c r="OS24" s="1931">
        <v>0</v>
      </c>
      <c r="OT24" s="1931">
        <v>28.997847058823535</v>
      </c>
      <c r="OU24" s="1932">
        <v>91.219897059627144</v>
      </c>
      <c r="OV24" s="1930">
        <v>55.193776470588233</v>
      </c>
      <c r="OW24" s="1931">
        <v>0.6841282139637932</v>
      </c>
      <c r="OX24" s="1931">
        <v>12.477317647058825</v>
      </c>
      <c r="OY24" s="1931">
        <v>18.088484878124206</v>
      </c>
      <c r="OZ24" s="1931">
        <v>54.108364705882352</v>
      </c>
      <c r="PA24" s="1931">
        <v>0.85800690699389259</v>
      </c>
      <c r="PB24" s="1931">
        <v>9.8295529411764733</v>
      </c>
      <c r="PC24" s="1931">
        <v>11.397919458658276</v>
      </c>
      <c r="PD24" s="1931">
        <v>0</v>
      </c>
      <c r="PE24" s="1931">
        <v>0</v>
      </c>
      <c r="PF24" s="1931">
        <v>39.19544705882354</v>
      </c>
      <c r="PG24" s="1932">
        <v>152.65695324926983</v>
      </c>
      <c r="PH24" s="1930">
        <v>60.15618352941177</v>
      </c>
      <c r="PI24" s="1931">
        <v>6.2519343703181356</v>
      </c>
      <c r="PJ24" s="1931">
        <v>9.6598588235294134</v>
      </c>
      <c r="PK24" s="1931">
        <v>9.7220924119235619</v>
      </c>
      <c r="PL24" s="1931">
        <v>57.124901176470594</v>
      </c>
      <c r="PM24" s="1931">
        <v>5.71778123409426</v>
      </c>
      <c r="PN24" s="1931">
        <v>7.6099764705882365</v>
      </c>
      <c r="PO24" s="1931">
        <v>6.0595435821971835</v>
      </c>
      <c r="PP24" s="1931">
        <v>0</v>
      </c>
      <c r="PQ24" s="1931">
        <v>0</v>
      </c>
      <c r="PR24" s="1931">
        <v>30.797423529411773</v>
      </c>
      <c r="PS24" s="1932">
        <v>93.932321398726245</v>
      </c>
      <c r="PT24" s="1930">
        <v>53.990534117647059</v>
      </c>
      <c r="PU24" s="1931">
        <v>5.6127111998027441</v>
      </c>
      <c r="PV24" s="1931">
        <v>9.4921529411764727</v>
      </c>
      <c r="PW24" s="1931">
        <v>11.718717316723344</v>
      </c>
      <c r="PX24" s="1931">
        <v>52.141640000000002</v>
      </c>
      <c r="PY24" s="1931">
        <v>5.1723015850177116</v>
      </c>
      <c r="PZ24" s="1931">
        <v>7.477858823529413</v>
      </c>
      <c r="QA24" s="1931">
        <v>7.595372666084522</v>
      </c>
      <c r="QB24" s="1931">
        <v>0</v>
      </c>
      <c r="QC24" s="1931">
        <v>0</v>
      </c>
      <c r="QD24" s="1931">
        <v>30.297541176470595</v>
      </c>
      <c r="QE24" s="1932">
        <v>102.92831467177253</v>
      </c>
      <c r="QF24" s="1930">
        <v>41.635258823529405</v>
      </c>
      <c r="QG24" s="1931">
        <v>0</v>
      </c>
      <c r="QH24" s="1931">
        <v>10.766717647058826</v>
      </c>
      <c r="QI24" s="1931">
        <v>15.525137129536107</v>
      </c>
      <c r="QJ24" s="1931">
        <v>40.74914117647058</v>
      </c>
      <c r="QK24" s="1931">
        <v>0.16021874167560055</v>
      </c>
      <c r="QL24" s="1931">
        <v>8.4819529411764716</v>
      </c>
      <c r="QM24" s="1931">
        <v>8.9767377628996794</v>
      </c>
      <c r="QN24" s="1931">
        <v>0</v>
      </c>
      <c r="QO24" s="1931">
        <v>0</v>
      </c>
      <c r="QP24" s="1931">
        <v>34.096647058823542</v>
      </c>
      <c r="QQ24" s="1932">
        <v>152.46080616448535</v>
      </c>
      <c r="QR24" s="1930">
        <v>56.226242352941178</v>
      </c>
      <c r="QS24" s="1931">
        <v>6.2705370152174105</v>
      </c>
      <c r="QT24" s="1931">
        <v>9.6263176470588245</v>
      </c>
      <c r="QU24" s="1931">
        <v>10.875887075615193</v>
      </c>
      <c r="QV24" s="1931">
        <v>53.95290117647059</v>
      </c>
      <c r="QW24" s="1931">
        <v>5.6854195205299325</v>
      </c>
      <c r="QX24" s="1931">
        <v>7.5835529411764711</v>
      </c>
      <c r="QY24" s="1931">
        <v>6.9211122626801513</v>
      </c>
      <c r="QZ24" s="1931">
        <v>0</v>
      </c>
      <c r="RA24" s="1931">
        <v>0</v>
      </c>
      <c r="RB24" s="1931">
        <v>30.697447058823535</v>
      </c>
      <c r="RC24" s="1932">
        <v>99.29860703501005</v>
      </c>
      <c r="RD24" s="1930">
        <v>52.47081882352942</v>
      </c>
      <c r="RE24" s="1931">
        <v>5.871023497556167</v>
      </c>
      <c r="RF24" s="1931">
        <v>9.5592352941176486</v>
      </c>
      <c r="RG24" s="1931">
        <v>10.528582397238287</v>
      </c>
      <c r="RH24" s="1931">
        <v>50.803830588235293</v>
      </c>
      <c r="RI24" s="1931">
        <v>5.3771450649102706</v>
      </c>
      <c r="RJ24" s="1931">
        <v>7.530705882352942</v>
      </c>
      <c r="RK24" s="1931">
        <v>6.652144964056447</v>
      </c>
      <c r="RL24" s="1931">
        <v>0</v>
      </c>
      <c r="RM24" s="1931">
        <v>0</v>
      </c>
      <c r="RN24" s="1931">
        <v>30.497494117647065</v>
      </c>
      <c r="RO24" s="1932">
        <v>98.754495234891166</v>
      </c>
    </row>
    <row r="25" spans="1:483">
      <c r="A25" s="634">
        <f>Eingabedaten!A27</f>
        <v>6.03</v>
      </c>
      <c r="B25" s="379" t="str">
        <f>Eingabedaten!C27</f>
        <v>Küche zu Restaurant</v>
      </c>
      <c r="C25" s="379"/>
      <c r="D25" s="1930">
        <v>25.751909803921567</v>
      </c>
      <c r="E25" s="1931">
        <v>0</v>
      </c>
      <c r="F25" s="1931">
        <v>24.597717647058822</v>
      </c>
      <c r="G25" s="1931">
        <v>28.556554318621558</v>
      </c>
      <c r="H25" s="1931">
        <v>26.462164705882351</v>
      </c>
      <c r="I25" s="1931">
        <v>0</v>
      </c>
      <c r="J25" s="1931">
        <v>18.147835294117648</v>
      </c>
      <c r="K25" s="1931">
        <v>15.725391115818862</v>
      </c>
      <c r="L25" s="1931">
        <v>0</v>
      </c>
      <c r="M25" s="1931">
        <v>0</v>
      </c>
      <c r="N25" s="1931">
        <v>70.255505882352935</v>
      </c>
      <c r="O25" s="1942">
        <v>222.4985719931486</v>
      </c>
      <c r="P25" s="1930">
        <v>43.683064313725488</v>
      </c>
      <c r="Q25" s="1931">
        <v>10.327053642361893</v>
      </c>
      <c r="R25" s="1931">
        <v>20.912733333333332</v>
      </c>
      <c r="S25" s="1931">
        <v>25.17680519415504</v>
      </c>
      <c r="T25" s="1931">
        <v>42.677844705882343</v>
      </c>
      <c r="U25" s="1931">
        <v>8.4850753823486205</v>
      </c>
      <c r="V25" s="1931">
        <v>15.365066666666667</v>
      </c>
      <c r="W25" s="1931">
        <v>15.909356522960604</v>
      </c>
      <c r="X25" s="1931">
        <v>0</v>
      </c>
      <c r="Y25" s="1931">
        <v>0</v>
      </c>
      <c r="Z25" s="1931">
        <v>60.183866666666667</v>
      </c>
      <c r="AA25" s="1942">
        <v>160.88126244312784</v>
      </c>
      <c r="AB25" s="1930">
        <v>48.173843137254906</v>
      </c>
      <c r="AC25" s="1931">
        <v>7.5854646181968715</v>
      </c>
      <c r="AD25" s="1931">
        <v>20.991137254901965</v>
      </c>
      <c r="AE25" s="1931">
        <v>29.499811859934184</v>
      </c>
      <c r="AF25" s="1931">
        <v>46.440705882352944</v>
      </c>
      <c r="AG25" s="1931">
        <v>6.3209541473911521</v>
      </c>
      <c r="AH25" s="1931">
        <v>15.424274509803924</v>
      </c>
      <c r="AI25" s="1931">
        <v>19.505749386465993</v>
      </c>
      <c r="AJ25" s="1931">
        <v>0</v>
      </c>
      <c r="AK25" s="1931">
        <v>0</v>
      </c>
      <c r="AL25" s="1931">
        <v>60.398156862745104</v>
      </c>
      <c r="AM25" s="1942">
        <v>173.18539115805859</v>
      </c>
      <c r="AN25" s="1930">
        <v>45.022866666666665</v>
      </c>
      <c r="AO25" s="1931">
        <v>14.218922880898953</v>
      </c>
      <c r="AP25" s="1931">
        <v>21.696772549019606</v>
      </c>
      <c r="AQ25" s="1931">
        <v>22.176634228165327</v>
      </c>
      <c r="AR25" s="1931">
        <v>43.809670588235292</v>
      </c>
      <c r="AS25" s="1931">
        <v>11.476081369974194</v>
      </c>
      <c r="AT25" s="1931">
        <v>15.957145098039216</v>
      </c>
      <c r="AU25" s="1931">
        <v>13.679411794682386</v>
      </c>
      <c r="AV25" s="1931">
        <v>67.562078431372555</v>
      </c>
      <c r="AW25" s="1931">
        <v>1.007686407779512</v>
      </c>
      <c r="AX25" s="1931">
        <v>62.326768627450988</v>
      </c>
      <c r="AY25" s="1942">
        <v>148.82876303293975</v>
      </c>
      <c r="AZ25" s="1930">
        <v>42.186138039215692</v>
      </c>
      <c r="BA25" s="1931">
        <v>10.287125220460846</v>
      </c>
      <c r="BB25" s="1931">
        <v>22.402407843137254</v>
      </c>
      <c r="BC25" s="1931">
        <v>27.076674641279062</v>
      </c>
      <c r="BD25" s="1931">
        <v>41.423557647058828</v>
      </c>
      <c r="BE25" s="1931">
        <v>8.2171194731209365</v>
      </c>
      <c r="BF25" s="1931">
        <v>16.490015686274511</v>
      </c>
      <c r="BG25" s="1931">
        <v>16.857962377280774</v>
      </c>
      <c r="BH25" s="1931">
        <v>0</v>
      </c>
      <c r="BI25" s="1931">
        <v>0</v>
      </c>
      <c r="BJ25" s="1931">
        <v>64.255380392156866</v>
      </c>
      <c r="BK25" s="1942">
        <v>171.57680415025115</v>
      </c>
      <c r="BL25" s="1930">
        <v>43.426856470588234</v>
      </c>
      <c r="BM25" s="1931">
        <v>10.972015554948374</v>
      </c>
      <c r="BN25" s="1931">
        <v>22.167196078431374</v>
      </c>
      <c r="BO25" s="1931">
        <v>29.408769127441406</v>
      </c>
      <c r="BP25" s="1931">
        <v>42.594950588235285</v>
      </c>
      <c r="BQ25" s="1931">
        <v>8.9064774647367226</v>
      </c>
      <c r="BR25" s="1931">
        <v>16.312392156862746</v>
      </c>
      <c r="BS25" s="1931">
        <v>19.255570455171853</v>
      </c>
      <c r="BT25" s="1931">
        <v>0</v>
      </c>
      <c r="BU25" s="1931">
        <v>0</v>
      </c>
      <c r="BV25" s="1931">
        <v>63.612509803921569</v>
      </c>
      <c r="BW25" s="1942">
        <v>172.06664886915439</v>
      </c>
      <c r="BX25" s="1930">
        <v>42.549927843137269</v>
      </c>
      <c r="BY25" s="1931">
        <v>8.5728803395515794</v>
      </c>
      <c r="BZ25" s="1931">
        <v>22.2456</v>
      </c>
      <c r="CA25" s="1931">
        <v>22.997343715444757</v>
      </c>
      <c r="CB25" s="1931">
        <v>41.648696470588234</v>
      </c>
      <c r="CC25" s="1931">
        <v>7.1369036239276973</v>
      </c>
      <c r="CD25" s="1931">
        <v>16.371600000000001</v>
      </c>
      <c r="CE25" s="1931">
        <v>13.644842562649096</v>
      </c>
      <c r="CF25" s="1931">
        <v>0</v>
      </c>
      <c r="CG25" s="1931">
        <v>0</v>
      </c>
      <c r="CH25" s="1931">
        <v>63.826800000000006</v>
      </c>
      <c r="CI25" s="1942">
        <v>161.0525568729046</v>
      </c>
      <c r="CJ25" s="1930">
        <v>20.337254901960787</v>
      </c>
      <c r="CK25" s="1931">
        <v>0</v>
      </c>
      <c r="CL25" s="1931">
        <v>26.871431372549019</v>
      </c>
      <c r="CM25" s="1931">
        <v>33.5969379631577</v>
      </c>
      <c r="CN25" s="1931">
        <v>15.614729411764699</v>
      </c>
      <c r="CO25" s="1931">
        <v>0</v>
      </c>
      <c r="CP25" s="1931">
        <v>19.864862745098041</v>
      </c>
      <c r="CQ25" s="1931">
        <v>18.509554029781963</v>
      </c>
      <c r="CR25" s="1931">
        <v>0</v>
      </c>
      <c r="CS25" s="1931">
        <v>0</v>
      </c>
      <c r="CT25" s="1931">
        <v>76.46992156862747</v>
      </c>
      <c r="CU25" s="1942">
        <v>251.26149922907302</v>
      </c>
      <c r="CV25" s="1930">
        <v>44.459349019607849</v>
      </c>
      <c r="CW25" s="1931">
        <v>1.4387670060612774</v>
      </c>
      <c r="CX25" s="1931">
        <v>24.205698039215687</v>
      </c>
      <c r="CY25" s="1931">
        <v>25.842747429479722</v>
      </c>
      <c r="CZ25" s="1931">
        <v>44.152211764705889</v>
      </c>
      <c r="DA25" s="1931">
        <v>1.4128478923720491</v>
      </c>
      <c r="DB25" s="1931">
        <v>17.85179607843137</v>
      </c>
      <c r="DC25" s="1931">
        <v>14.23422142028862</v>
      </c>
      <c r="DD25" s="1931">
        <v>0</v>
      </c>
      <c r="DE25" s="1931">
        <v>0</v>
      </c>
      <c r="DF25" s="1931">
        <v>69.184054901960778</v>
      </c>
      <c r="DG25" s="1942">
        <v>202.29775876399725</v>
      </c>
      <c r="DH25" s="1930">
        <v>38.374717647058823</v>
      </c>
      <c r="DI25" s="1931">
        <v>0.33167951790913958</v>
      </c>
      <c r="DJ25" s="1931">
        <v>25.381756862745096</v>
      </c>
      <c r="DK25" s="1931">
        <v>38.494683525120244</v>
      </c>
      <c r="DL25" s="1931">
        <v>38.432305882352942</v>
      </c>
      <c r="DM25" s="1931">
        <v>0.58792817522566387</v>
      </c>
      <c r="DN25" s="1931">
        <v>18.739913725490197</v>
      </c>
      <c r="DO25" s="1931">
        <v>24.736411218380116</v>
      </c>
      <c r="DP25" s="1931">
        <v>0</v>
      </c>
      <c r="DQ25" s="1931">
        <v>0</v>
      </c>
      <c r="DR25" s="1931">
        <v>72.39840784313725</v>
      </c>
      <c r="DS25" s="1942">
        <v>228.74112733414358</v>
      </c>
      <c r="DT25" s="1930">
        <v>44.960517647058822</v>
      </c>
      <c r="DU25" s="1931">
        <v>16.487781553683803</v>
      </c>
      <c r="DV25" s="1931">
        <v>19.893482352941174</v>
      </c>
      <c r="DW25" s="1931">
        <v>21.35759077559079</v>
      </c>
      <c r="DX25" s="1931">
        <v>44.614988235294113</v>
      </c>
      <c r="DY25" s="1931">
        <v>13.197884469059611</v>
      </c>
      <c r="DZ25" s="1931">
        <v>14.595364705882352</v>
      </c>
      <c r="EA25" s="1931">
        <v>13.117238838435972</v>
      </c>
      <c r="EB25" s="1931">
        <v>62.507564705882359</v>
      </c>
      <c r="EC25" s="1931">
        <v>3.7989207748727201</v>
      </c>
      <c r="ED25" s="1931">
        <v>57.398094117647055</v>
      </c>
      <c r="EE25" s="1942">
        <v>144.83209972176834</v>
      </c>
      <c r="EF25" s="1930">
        <v>42.733501960784309</v>
      </c>
      <c r="EG25" s="1931">
        <v>5.7147022912215233</v>
      </c>
      <c r="EH25" s="1931">
        <v>23.029639215686274</v>
      </c>
      <c r="EI25" s="1931">
        <v>37.658893620844822</v>
      </c>
      <c r="EJ25" s="1931">
        <v>42.5991294117647</v>
      </c>
      <c r="EK25" s="1931">
        <v>4.8705643054215004</v>
      </c>
      <c r="EL25" s="1931">
        <v>16.96367843137255</v>
      </c>
      <c r="EM25" s="1931">
        <v>25.476992606980136</v>
      </c>
      <c r="EN25" s="1931">
        <v>0</v>
      </c>
      <c r="EO25" s="1931">
        <v>0</v>
      </c>
      <c r="EP25" s="1931">
        <v>65.96970196078432</v>
      </c>
      <c r="EQ25" s="1942">
        <v>200.54160563501145</v>
      </c>
      <c r="ER25" s="1930">
        <v>15.059992156862748</v>
      </c>
      <c r="ES25" s="1931">
        <v>0</v>
      </c>
      <c r="ET25" s="1931">
        <v>28.674721568627447</v>
      </c>
      <c r="EU25" s="1931">
        <v>41.515039581272205</v>
      </c>
      <c r="EV25" s="1931">
        <v>8.2844705882352958</v>
      </c>
      <c r="EW25" s="1931">
        <v>0</v>
      </c>
      <c r="EX25" s="1931">
        <v>21.2266431372549</v>
      </c>
      <c r="EY25" s="1931">
        <v>23.363626391823313</v>
      </c>
      <c r="EZ25" s="1931">
        <v>0</v>
      </c>
      <c r="FA25" s="1931">
        <v>0</v>
      </c>
      <c r="FB25" s="1931">
        <v>81.398596078431368</v>
      </c>
      <c r="FC25" s="1942">
        <v>304.72279454555434</v>
      </c>
      <c r="FD25" s="1930">
        <v>37.315894117647062</v>
      </c>
      <c r="FE25" s="1931">
        <v>10.037511727268582</v>
      </c>
      <c r="FF25" s="1931">
        <v>22.088792156862745</v>
      </c>
      <c r="FG25" s="1931">
        <v>29.715940552201676</v>
      </c>
      <c r="FH25" s="1931">
        <v>37.373482352941181</v>
      </c>
      <c r="FI25" s="1931">
        <v>8.038686447696012</v>
      </c>
      <c r="FJ25" s="1931">
        <v>16.253184313725491</v>
      </c>
      <c r="FK25" s="1931">
        <v>19.327907045337412</v>
      </c>
      <c r="FL25" s="1931">
        <v>0</v>
      </c>
      <c r="FM25" s="1931">
        <v>0</v>
      </c>
      <c r="FN25" s="1931">
        <v>63.398219607843139</v>
      </c>
      <c r="FO25" s="1942">
        <v>175.14334242547471</v>
      </c>
      <c r="FP25" s="1930">
        <v>33.751227450980394</v>
      </c>
      <c r="FQ25" s="1931">
        <v>7.5003819713166076</v>
      </c>
      <c r="FR25" s="1931">
        <v>22.088792156862745</v>
      </c>
      <c r="FS25" s="1931">
        <v>30.313072022122618</v>
      </c>
      <c r="FT25" s="1931">
        <v>34.000776470588235</v>
      </c>
      <c r="FU25" s="1931">
        <v>6.1673891286379909</v>
      </c>
      <c r="FV25" s="1931">
        <v>16.253184313725491</v>
      </c>
      <c r="FW25" s="1931">
        <v>19.260582266878117</v>
      </c>
      <c r="FX25" s="1931">
        <v>0</v>
      </c>
      <c r="FY25" s="1931">
        <v>0</v>
      </c>
      <c r="FZ25" s="1931">
        <v>63.398219607843139</v>
      </c>
      <c r="GA25" s="1942">
        <v>183.29767389107448</v>
      </c>
      <c r="GB25" s="1930">
        <v>39.438800000000008</v>
      </c>
      <c r="GC25" s="1931">
        <v>2.3707343847897207</v>
      </c>
      <c r="GD25" s="1931">
        <v>24.048890196078432</v>
      </c>
      <c r="GE25" s="1931">
        <v>29.158756986260009</v>
      </c>
      <c r="GF25" s="1931">
        <v>39.323623529411769</v>
      </c>
      <c r="GG25" s="1931">
        <v>2.057199539743793</v>
      </c>
      <c r="GH25" s="1931">
        <v>17.733380392156864</v>
      </c>
      <c r="GI25" s="1931">
        <v>16.866405751511117</v>
      </c>
      <c r="GJ25" s="1931">
        <v>0</v>
      </c>
      <c r="GK25" s="1931">
        <v>0</v>
      </c>
      <c r="GL25" s="1931">
        <v>68.755474509803918</v>
      </c>
      <c r="GM25" s="1942">
        <v>205.85928977523463</v>
      </c>
      <c r="GN25" s="1930">
        <v>27.849972549019611</v>
      </c>
      <c r="GO25" s="1931">
        <v>0.8708312805234818</v>
      </c>
      <c r="GP25" s="1931">
        <v>24.127294117647061</v>
      </c>
      <c r="GQ25" s="1931">
        <v>36.257600641281918</v>
      </c>
      <c r="GR25" s="1931">
        <v>22.657247058823529</v>
      </c>
      <c r="GS25" s="1931">
        <v>0.92609003473761509</v>
      </c>
      <c r="GT25" s="1931">
        <v>17.792588235294119</v>
      </c>
      <c r="GU25" s="1931">
        <v>22.352488987266714</v>
      </c>
      <c r="GV25" s="1931">
        <v>0</v>
      </c>
      <c r="GW25" s="1931">
        <v>0</v>
      </c>
      <c r="GX25" s="1931">
        <v>68.969764705882355</v>
      </c>
      <c r="GY25" s="1942">
        <v>226.62873863959803</v>
      </c>
      <c r="GZ25" s="1930">
        <v>44.609534901960785</v>
      </c>
      <c r="HA25" s="1931">
        <v>20.937899642620469</v>
      </c>
      <c r="HB25" s="1931">
        <v>17.619768627450981</v>
      </c>
      <c r="HC25" s="1931">
        <v>13.844606392277422</v>
      </c>
      <c r="HD25" s="1931">
        <v>43.60431529411764</v>
      </c>
      <c r="HE25" s="1931">
        <v>16.692362440898989</v>
      </c>
      <c r="HF25" s="1931">
        <v>12.878337254901961</v>
      </c>
      <c r="HG25" s="1931">
        <v>7.6009687382042088</v>
      </c>
      <c r="HH25" s="1931">
        <v>66.151772549019611</v>
      </c>
      <c r="HI25" s="1931">
        <v>9.2187376401104295</v>
      </c>
      <c r="HJ25" s="1931">
        <v>51.183678431372556</v>
      </c>
      <c r="HK25" s="1942">
        <v>117.46270808771226</v>
      </c>
      <c r="HL25" s="1930">
        <v>40.440778823529413</v>
      </c>
      <c r="HM25" s="1931">
        <v>22.211191536849313</v>
      </c>
      <c r="HN25" s="1931">
        <v>17.227749019607845</v>
      </c>
      <c r="HO25" s="1931">
        <v>12.817772522609358</v>
      </c>
      <c r="HP25" s="1931">
        <v>39.712861176470582</v>
      </c>
      <c r="HQ25" s="1931">
        <v>17.643846960207341</v>
      </c>
      <c r="HR25" s="1931">
        <v>12.582298039215686</v>
      </c>
      <c r="HS25" s="1931">
        <v>6.8127564487003136</v>
      </c>
      <c r="HT25" s="1931">
        <v>59.568423529411774</v>
      </c>
      <c r="HU25" s="1931">
        <v>10.717628686277498</v>
      </c>
      <c r="HV25" s="1931">
        <v>50.112227450980392</v>
      </c>
      <c r="HW25" s="1942">
        <v>116.20824875395071</v>
      </c>
      <c r="HX25" s="1930">
        <v>45.31234352941177</v>
      </c>
      <c r="HY25" s="1931">
        <v>10.015383943493887</v>
      </c>
      <c r="HZ25" s="1931">
        <v>21.61836862745098</v>
      </c>
      <c r="IA25" s="1931">
        <v>28.578070367703823</v>
      </c>
      <c r="IB25" s="1931">
        <v>44.064484705882364</v>
      </c>
      <c r="IC25" s="1931">
        <v>8.0904784019229794</v>
      </c>
      <c r="ID25" s="1931">
        <v>15.89793725490196</v>
      </c>
      <c r="IE25" s="1931">
        <v>18.522039779388997</v>
      </c>
      <c r="IF25" s="1931">
        <v>0</v>
      </c>
      <c r="IG25" s="1931">
        <v>0</v>
      </c>
      <c r="IH25" s="1931">
        <v>62.112478431372544</v>
      </c>
      <c r="II25" s="1942">
        <v>171.52582082682295</v>
      </c>
      <c r="IJ25" s="1930">
        <v>45.453194509803922</v>
      </c>
      <c r="IK25" s="1931">
        <v>20.898146256760352</v>
      </c>
      <c r="IL25" s="1931">
        <v>18.952635294117648</v>
      </c>
      <c r="IM25" s="1931">
        <v>18.73202268166434</v>
      </c>
      <c r="IN25" s="1931">
        <v>44.378649411764698</v>
      </c>
      <c r="IO25" s="1931">
        <v>16.672365227113602</v>
      </c>
      <c r="IP25" s="1931">
        <v>13.884870588235295</v>
      </c>
      <c r="IQ25" s="1931">
        <v>10.956069036524854</v>
      </c>
      <c r="IR25" s="1931">
        <v>67.539521568627464</v>
      </c>
      <c r="IS25" s="1931">
        <v>9.0206986920331005</v>
      </c>
      <c r="IT25" s="1931">
        <v>54.826611764705888</v>
      </c>
      <c r="IU25" s="1942">
        <v>134.69688521977602</v>
      </c>
      <c r="IV25" s="1930">
        <v>32.021858823529413</v>
      </c>
      <c r="IW25" s="1931">
        <v>1.8979044363642561</v>
      </c>
      <c r="IX25" s="1931">
        <v>24.127294117647061</v>
      </c>
      <c r="IY25" s="1931">
        <v>23.471360315749095</v>
      </c>
      <c r="IZ25" s="1931">
        <v>27.551552941176464</v>
      </c>
      <c r="JA25" s="1931">
        <v>1.6767851874284565</v>
      </c>
      <c r="JB25" s="1931">
        <v>17.792588235294119</v>
      </c>
      <c r="JC25" s="1931">
        <v>12.269535433223677</v>
      </c>
      <c r="JD25" s="1931">
        <v>0</v>
      </c>
      <c r="JE25" s="1931">
        <v>0</v>
      </c>
      <c r="JF25" s="1931">
        <v>68.969764705882355</v>
      </c>
      <c r="JG25" s="1942">
        <v>196.96094945389942</v>
      </c>
      <c r="JH25" s="1930">
        <v>43.693474509803913</v>
      </c>
      <c r="JI25" s="1931">
        <v>12.769694950154715</v>
      </c>
      <c r="JJ25" s="1931">
        <v>20.834329411764706</v>
      </c>
      <c r="JK25" s="1931">
        <v>25.793877449275797</v>
      </c>
      <c r="JL25" s="1931">
        <v>43.424729411764702</v>
      </c>
      <c r="JM25" s="1931">
        <v>10.46212022658929</v>
      </c>
      <c r="JN25" s="1931">
        <v>15.305858823529411</v>
      </c>
      <c r="JO25" s="1931">
        <v>16.636700556074768</v>
      </c>
      <c r="JP25" s="1931">
        <v>60.833988235294107</v>
      </c>
      <c r="JQ25" s="1931">
        <v>0.84481274806422801</v>
      </c>
      <c r="JR25" s="1931">
        <v>59.969576470588237</v>
      </c>
      <c r="JS25" s="1942">
        <v>159.46404460580456</v>
      </c>
      <c r="JT25" s="1930">
        <v>42.913717647058824</v>
      </c>
      <c r="JU25" s="1931">
        <v>11.324783993742075</v>
      </c>
      <c r="JV25" s="1931">
        <v>21.853580392156864</v>
      </c>
      <c r="JW25" s="1931">
        <v>26.88718680959116</v>
      </c>
      <c r="JX25" s="1931">
        <v>41.873835294117654</v>
      </c>
      <c r="JY25" s="1931">
        <v>9.1328817792763708</v>
      </c>
      <c r="JZ25" s="1931">
        <v>16.075560784313723</v>
      </c>
      <c r="KA25" s="1931">
        <v>17.086812094635057</v>
      </c>
      <c r="KB25" s="1931">
        <v>0</v>
      </c>
      <c r="KC25" s="1931">
        <v>0</v>
      </c>
      <c r="KD25" s="1931">
        <v>62.755349019607849</v>
      </c>
      <c r="KE25" s="1942">
        <v>166.65783317008933</v>
      </c>
      <c r="KF25" s="1930">
        <v>34.753564705882361</v>
      </c>
      <c r="KG25" s="1931">
        <v>4.8658283417656021</v>
      </c>
      <c r="KH25" s="1931">
        <v>22.2456</v>
      </c>
      <c r="KI25" s="1931">
        <v>35.892547072676237</v>
      </c>
      <c r="KJ25" s="1931">
        <v>34.926329411764712</v>
      </c>
      <c r="KK25" s="1931">
        <v>4.1674415493454857</v>
      </c>
      <c r="KL25" s="1931">
        <v>16.371600000000001</v>
      </c>
      <c r="KM25" s="1931">
        <v>23.867610672432196</v>
      </c>
      <c r="KN25" s="1931">
        <v>0</v>
      </c>
      <c r="KO25" s="1931">
        <v>0</v>
      </c>
      <c r="KP25" s="1931">
        <v>63.826800000000006</v>
      </c>
      <c r="KQ25" s="1942">
        <v>204.7730233073477</v>
      </c>
      <c r="KR25" s="1930">
        <v>34.857674509803928</v>
      </c>
      <c r="KS25" s="1931">
        <v>16.915844728297504</v>
      </c>
      <c r="KT25" s="1931">
        <v>19.971886274509806</v>
      </c>
      <c r="KU25" s="1931">
        <v>19.591537573949484</v>
      </c>
      <c r="KV25" s="1931">
        <v>34.992047058823537</v>
      </c>
      <c r="KW25" s="1931">
        <v>13.516172135669065</v>
      </c>
      <c r="KX25" s="1931">
        <v>14.654572549019608</v>
      </c>
      <c r="KY25" s="1931">
        <v>11.825165151686674</v>
      </c>
      <c r="KZ25" s="1931">
        <v>52.864627137254899</v>
      </c>
      <c r="LA25" s="1931">
        <v>3.9165678336962566</v>
      </c>
      <c r="LB25" s="1931">
        <v>57.612384313725492</v>
      </c>
      <c r="LC25" s="1942">
        <v>138.84258710779179</v>
      </c>
      <c r="LD25" s="1930">
        <v>25.225301960784314</v>
      </c>
      <c r="LE25" s="1931">
        <v>1.9804975963881075</v>
      </c>
      <c r="LF25" s="1931">
        <v>22.716023529411764</v>
      </c>
      <c r="LG25" s="1931">
        <v>32.042251948143829</v>
      </c>
      <c r="LH25" s="1931">
        <v>24.841529411764704</v>
      </c>
      <c r="LI25" s="1931">
        <v>1.846744856389511</v>
      </c>
      <c r="LJ25" s="1931">
        <v>16.72684705882353</v>
      </c>
      <c r="LK25" s="1931">
        <v>19.275608036581318</v>
      </c>
      <c r="LL25" s="1931">
        <v>0</v>
      </c>
      <c r="LM25" s="1931">
        <v>0</v>
      </c>
      <c r="LN25" s="1931">
        <v>65.112541176470586</v>
      </c>
      <c r="LO25" s="1942">
        <v>211.710392195471</v>
      </c>
      <c r="LP25" s="1930">
        <v>44.70861882352942</v>
      </c>
      <c r="LQ25" s="1931">
        <v>9.1571314005278897</v>
      </c>
      <c r="LR25" s="1931">
        <v>22.951235294117648</v>
      </c>
      <c r="LS25" s="1931">
        <v>29.002753711758942</v>
      </c>
      <c r="LT25" s="1931">
        <v>43.564748235294118</v>
      </c>
      <c r="LU25" s="1931">
        <v>7.3551871187062172</v>
      </c>
      <c r="LV25" s="1931">
        <v>16.904470588235295</v>
      </c>
      <c r="LW25" s="1931">
        <v>18.663425460025611</v>
      </c>
      <c r="LX25" s="1931">
        <v>0</v>
      </c>
      <c r="LY25" s="1931">
        <v>0</v>
      </c>
      <c r="LZ25" s="1931">
        <v>65.755411764705883</v>
      </c>
      <c r="MA25" s="1942">
        <v>175.38344138183791</v>
      </c>
      <c r="MB25" s="1930">
        <v>26.212917647058823</v>
      </c>
      <c r="MC25" s="1931">
        <v>0</v>
      </c>
      <c r="MD25" s="1931">
        <v>30.39960784313725</v>
      </c>
      <c r="ME25" s="1931">
        <v>40.797880347841094</v>
      </c>
      <c r="MF25" s="1931">
        <v>19.693388235294119</v>
      </c>
      <c r="MG25" s="1931">
        <v>0</v>
      </c>
      <c r="MH25" s="1931">
        <v>22.529215686274512</v>
      </c>
      <c r="MI25" s="1931">
        <v>22.839157888441751</v>
      </c>
      <c r="MJ25" s="1931">
        <v>0</v>
      </c>
      <c r="MK25" s="1931">
        <v>0</v>
      </c>
      <c r="ML25" s="1931">
        <v>86.112980392156871</v>
      </c>
      <c r="MM25" s="1942">
        <v>279.62405821839479</v>
      </c>
      <c r="MN25" s="1930">
        <v>23.967160784313734</v>
      </c>
      <c r="MO25" s="1931">
        <v>0</v>
      </c>
      <c r="MP25" s="1931">
        <v>25.146545098039212</v>
      </c>
      <c r="MQ25" s="1931">
        <v>39.362988908411559</v>
      </c>
      <c r="MR25" s="1931">
        <v>18.359905882352937</v>
      </c>
      <c r="MS25" s="1931">
        <v>0</v>
      </c>
      <c r="MT25" s="1931">
        <v>18.562290196078429</v>
      </c>
      <c r="MU25" s="1931">
        <v>23.278660976146053</v>
      </c>
      <c r="MV25" s="1931">
        <v>0</v>
      </c>
      <c r="MW25" s="1931">
        <v>0</v>
      </c>
      <c r="MX25" s="1931">
        <v>71.755537254901967</v>
      </c>
      <c r="MY25" s="1942">
        <v>266.42188959217845</v>
      </c>
      <c r="MZ25" s="1930">
        <v>31.15560392156863</v>
      </c>
      <c r="NA25" s="1931">
        <v>6.6981812829420715</v>
      </c>
      <c r="NB25" s="1931">
        <v>23.892082352941177</v>
      </c>
      <c r="NC25" s="1931">
        <v>28.901069827400125</v>
      </c>
      <c r="ND25" s="1931">
        <v>29.172188235294115</v>
      </c>
      <c r="NE25" s="1931">
        <v>5.4762650787572511</v>
      </c>
      <c r="NF25" s="1931">
        <v>17.614964705882354</v>
      </c>
      <c r="NG25" s="1931">
        <v>17.962362269045862</v>
      </c>
      <c r="NH25" s="1931">
        <v>0</v>
      </c>
      <c r="NI25" s="1931">
        <v>0</v>
      </c>
      <c r="NJ25" s="1931">
        <v>68.326894117647072</v>
      </c>
      <c r="NK25" s="1942">
        <v>183.76384614987228</v>
      </c>
      <c r="NL25" s="1930">
        <v>39.641760784313732</v>
      </c>
      <c r="NM25" s="1931">
        <v>10.094071142451179</v>
      </c>
      <c r="NN25" s="1931">
        <v>22.48081176470588</v>
      </c>
      <c r="NO25" s="1931">
        <v>31.043900005699633</v>
      </c>
      <c r="NP25" s="1931">
        <v>39.622564705882354</v>
      </c>
      <c r="NQ25" s="1931">
        <v>8.1977391768062926</v>
      </c>
      <c r="NR25" s="1931">
        <v>16.549223529411766</v>
      </c>
      <c r="NS25" s="1931">
        <v>20.355182435448203</v>
      </c>
      <c r="NT25" s="1931">
        <v>0</v>
      </c>
      <c r="NU25" s="1931">
        <v>0</v>
      </c>
      <c r="NV25" s="1931">
        <v>64.469670588235303</v>
      </c>
      <c r="NW25" s="1942">
        <v>178.35794728538485</v>
      </c>
      <c r="NX25" s="1930">
        <v>33.192909803921573</v>
      </c>
      <c r="NY25" s="1931">
        <v>1.5155030473209052</v>
      </c>
      <c r="NZ25" s="1931">
        <v>26.008988235294112</v>
      </c>
      <c r="OA25" s="1931">
        <v>32.498881289079129</v>
      </c>
      <c r="OB25" s="1931">
        <v>30.065341176470586</v>
      </c>
      <c r="OC25" s="1931">
        <v>1.4335164105197813</v>
      </c>
      <c r="OD25" s="1931">
        <v>19.213576470588237</v>
      </c>
      <c r="OE25" s="1931">
        <v>18.961640807336686</v>
      </c>
      <c r="OF25" s="1931">
        <v>0</v>
      </c>
      <c r="OG25" s="1931">
        <v>0</v>
      </c>
      <c r="OH25" s="1931">
        <v>74.112729411764718</v>
      </c>
      <c r="OI25" s="1932">
        <v>219.9809066037738</v>
      </c>
      <c r="OJ25" s="1930">
        <v>41.466458823529415</v>
      </c>
      <c r="OK25" s="1931">
        <v>15.376328859973245</v>
      </c>
      <c r="OL25" s="1931">
        <v>21.304752941176471</v>
      </c>
      <c r="OM25" s="1931">
        <v>23.18440870429567</v>
      </c>
      <c r="ON25" s="1931">
        <v>41.408870588235295</v>
      </c>
      <c r="OO25" s="1931">
        <v>12.382925696692967</v>
      </c>
      <c r="OP25" s="1931">
        <v>15.661105882352942</v>
      </c>
      <c r="OQ25" s="1931">
        <v>13.981823468632287</v>
      </c>
      <c r="OR25" s="1931">
        <v>57.866211764705888</v>
      </c>
      <c r="OS25" s="1931">
        <v>1.3925510277930602</v>
      </c>
      <c r="OT25" s="1931">
        <v>61.255317647058831</v>
      </c>
      <c r="OU25" s="1932">
        <v>153.19361687872478</v>
      </c>
      <c r="OV25" s="1930">
        <v>34.739443137254902</v>
      </c>
      <c r="OW25" s="1931">
        <v>0.30434050609655156</v>
      </c>
      <c r="OX25" s="1931">
        <v>29.30195294117647</v>
      </c>
      <c r="OY25" s="1931">
        <v>39.228248307905375</v>
      </c>
      <c r="OZ25" s="1931">
        <v>34.893011764705882</v>
      </c>
      <c r="PA25" s="1931">
        <v>0.35875025281938394</v>
      </c>
      <c r="PB25" s="1931">
        <v>21.700305882352943</v>
      </c>
      <c r="PC25" s="1931">
        <v>23.472316350731731</v>
      </c>
      <c r="PD25" s="1931">
        <v>0</v>
      </c>
      <c r="PE25" s="1931">
        <v>0</v>
      </c>
      <c r="PF25" s="1931">
        <v>83.112917647058836</v>
      </c>
      <c r="PG25" s="1932">
        <v>247.58222018871982</v>
      </c>
      <c r="PH25" s="1930">
        <v>47.040706666666679</v>
      </c>
      <c r="PI25" s="1931">
        <v>10.158176748865539</v>
      </c>
      <c r="PJ25" s="1931">
        <v>22.716023529411764</v>
      </c>
      <c r="PK25" s="1931">
        <v>24.658654244790522</v>
      </c>
      <c r="PL25" s="1931">
        <v>45.411557647058828</v>
      </c>
      <c r="PM25" s="1931">
        <v>8.3295695724520051</v>
      </c>
      <c r="PN25" s="1931">
        <v>16.72684705882353</v>
      </c>
      <c r="PO25" s="1931">
        <v>15.290945006140815</v>
      </c>
      <c r="PP25" s="1931">
        <v>0</v>
      </c>
      <c r="PQ25" s="1931">
        <v>0</v>
      </c>
      <c r="PR25" s="1931">
        <v>65.112541176470586</v>
      </c>
      <c r="PS25" s="1932">
        <v>160.13665956466437</v>
      </c>
      <c r="PT25" s="1930">
        <v>42.18996862745098</v>
      </c>
      <c r="PU25" s="1931">
        <v>10.064416325818787</v>
      </c>
      <c r="PV25" s="1931">
        <v>22.324003921568629</v>
      </c>
      <c r="PW25" s="1931">
        <v>29.591865187865082</v>
      </c>
      <c r="PX25" s="1931">
        <v>42.0364</v>
      </c>
      <c r="PY25" s="1931">
        <v>8.049368283115296</v>
      </c>
      <c r="PZ25" s="1931">
        <v>16.430807843137256</v>
      </c>
      <c r="QA25" s="1931">
        <v>19.094344896973954</v>
      </c>
      <c r="QB25" s="1931">
        <v>0</v>
      </c>
      <c r="QC25" s="1931">
        <v>0</v>
      </c>
      <c r="QD25" s="1931">
        <v>64.041090196078443</v>
      </c>
      <c r="QE25" s="1932">
        <v>176.28623068656574</v>
      </c>
      <c r="QF25" s="1930">
        <v>24.811317647058814</v>
      </c>
      <c r="QG25" s="1931">
        <v>0</v>
      </c>
      <c r="QH25" s="1931">
        <v>25.30335294117647</v>
      </c>
      <c r="QI25" s="1931">
        <v>33.607413147100253</v>
      </c>
      <c r="QJ25" s="1931">
        <v>25.502376470588228</v>
      </c>
      <c r="QK25" s="1931">
        <v>0</v>
      </c>
      <c r="QL25" s="1931">
        <v>18.680705882352942</v>
      </c>
      <c r="QM25" s="1931">
        <v>18.481261283470126</v>
      </c>
      <c r="QN25" s="1931">
        <v>0</v>
      </c>
      <c r="QO25" s="1931">
        <v>0</v>
      </c>
      <c r="QP25" s="1931">
        <v>72.184117647058827</v>
      </c>
      <c r="QQ25" s="1932">
        <v>251.65104687528969</v>
      </c>
      <c r="QR25" s="1930">
        <v>42.84790274509804</v>
      </c>
      <c r="QS25" s="1931">
        <v>11.035007797139512</v>
      </c>
      <c r="QT25" s="1931">
        <v>22.637619607843138</v>
      </c>
      <c r="QU25" s="1931">
        <v>27.331890298662255</v>
      </c>
      <c r="QV25" s="1931">
        <v>42.085322352941176</v>
      </c>
      <c r="QW25" s="1931">
        <v>8.904938400523454</v>
      </c>
      <c r="QX25" s="1931">
        <v>16.667639215686272</v>
      </c>
      <c r="QY25" s="1931">
        <v>17.263929995572237</v>
      </c>
      <c r="QZ25" s="1931">
        <v>0</v>
      </c>
      <c r="RA25" s="1931">
        <v>0</v>
      </c>
      <c r="RB25" s="1931">
        <v>64.898250980392163</v>
      </c>
      <c r="RC25" s="1932">
        <v>169.17358659651597</v>
      </c>
      <c r="RD25" s="1930">
        <v>37.90705098039215</v>
      </c>
      <c r="RE25" s="1931">
        <v>10.260824133875831</v>
      </c>
      <c r="RF25" s="1931">
        <v>22.48081176470588</v>
      </c>
      <c r="RG25" s="1931">
        <v>26.489435322074975</v>
      </c>
      <c r="RH25" s="1931">
        <v>37.868658823529408</v>
      </c>
      <c r="RI25" s="1931">
        <v>8.2024631770451908</v>
      </c>
      <c r="RJ25" s="1931">
        <v>16.549223529411766</v>
      </c>
      <c r="RK25" s="1931">
        <v>16.613126114158732</v>
      </c>
      <c r="RL25" s="1931">
        <v>0</v>
      </c>
      <c r="RM25" s="1931">
        <v>0</v>
      </c>
      <c r="RN25" s="1931">
        <v>64.469670588235303</v>
      </c>
      <c r="RO25" s="1932">
        <v>167.56970588239261</v>
      </c>
    </row>
    <row r="26" spans="1:483">
      <c r="A26" s="638">
        <f>Eingabedaten!A28</f>
        <v>6.04</v>
      </c>
      <c r="B26" s="387" t="str">
        <f>Eingabedaten!C28</f>
        <v>Küche zu Selbstbedienungsrest.</v>
      </c>
      <c r="C26" s="387"/>
      <c r="D26" s="1930">
        <v>17.164488235294119</v>
      </c>
      <c r="E26" s="1931">
        <v>0.16883668021226564</v>
      </c>
      <c r="F26" s="1931">
        <v>13.304158823529411</v>
      </c>
      <c r="G26" s="1931">
        <v>13.962081651012321</v>
      </c>
      <c r="H26" s="1931">
        <v>17.519615686274509</v>
      </c>
      <c r="I26" s="1931">
        <v>0.494410212127814</v>
      </c>
      <c r="J26" s="1931">
        <v>10.389984313725492</v>
      </c>
      <c r="K26" s="1931">
        <v>7.4405535982323023</v>
      </c>
      <c r="L26" s="1931">
        <v>0</v>
      </c>
      <c r="M26" s="1931">
        <v>0</v>
      </c>
      <c r="N26" s="1931">
        <v>39.358652941176473</v>
      </c>
      <c r="O26" s="1942">
        <v>119.90975060923691</v>
      </c>
      <c r="P26" s="1930">
        <v>34.313329411764713</v>
      </c>
      <c r="Q26" s="1931">
        <v>7.0940401765765753</v>
      </c>
      <c r="R26" s="1931">
        <v>11.236066666666666</v>
      </c>
      <c r="S26" s="1931">
        <v>12.191775112895147</v>
      </c>
      <c r="T26" s="1931">
        <v>34.159760784313733</v>
      </c>
      <c r="U26" s="1931">
        <v>6.3417717476712063</v>
      </c>
      <c r="V26" s="1931">
        <v>8.7729999999999997</v>
      </c>
      <c r="W26" s="1931">
        <v>7.4996347425940417</v>
      </c>
      <c r="X26" s="1931">
        <v>0</v>
      </c>
      <c r="Y26" s="1931">
        <v>0</v>
      </c>
      <c r="Z26" s="1931">
        <v>33.646033333333335</v>
      </c>
      <c r="AA26" s="1942">
        <v>85.668123866858309</v>
      </c>
      <c r="AB26" s="1930">
        <v>36.394921568627453</v>
      </c>
      <c r="AC26" s="1931">
        <v>5.3008524980429232</v>
      </c>
      <c r="AD26" s="1931">
        <v>11.28006862745098</v>
      </c>
      <c r="AE26" s="1931">
        <v>14.265751263370714</v>
      </c>
      <c r="AF26" s="1931">
        <v>35.141686274509809</v>
      </c>
      <c r="AG26" s="1931">
        <v>4.9941379905985981</v>
      </c>
      <c r="AH26" s="1931">
        <v>8.8074039215686284</v>
      </c>
      <c r="AI26" s="1931">
        <v>9.2030949016778933</v>
      </c>
      <c r="AJ26" s="1931">
        <v>0</v>
      </c>
      <c r="AK26" s="1931">
        <v>0</v>
      </c>
      <c r="AL26" s="1931">
        <v>33.767578431372549</v>
      </c>
      <c r="AM26" s="1942">
        <v>91.777765949301724</v>
      </c>
      <c r="AN26" s="1930">
        <v>34.157033333333331</v>
      </c>
      <c r="AO26" s="1931">
        <v>9.2074174170960514</v>
      </c>
      <c r="AP26" s="1931">
        <v>11.676086274509803</v>
      </c>
      <c r="AQ26" s="1931">
        <v>10.675880826283178</v>
      </c>
      <c r="AR26" s="1931">
        <v>33.279768627450977</v>
      </c>
      <c r="AS26" s="1931">
        <v>7.8976843430060617</v>
      </c>
      <c r="AT26" s="1931">
        <v>9.1170392156862761</v>
      </c>
      <c r="AU26" s="1931">
        <v>6.3470442190230889</v>
      </c>
      <c r="AV26" s="1931">
        <v>51.755705882352942</v>
      </c>
      <c r="AW26" s="1931">
        <v>1.3607124675921354</v>
      </c>
      <c r="AX26" s="1931">
        <v>34.861484313725484</v>
      </c>
      <c r="AY26" s="1942">
        <v>79.357059410225048</v>
      </c>
      <c r="AZ26" s="1930">
        <v>32.164589019607845</v>
      </c>
      <c r="BA26" s="1931">
        <v>6.6234151092532869</v>
      </c>
      <c r="BB26" s="1931">
        <v>12.072103921568626</v>
      </c>
      <c r="BC26" s="1931">
        <v>13.284519400954661</v>
      </c>
      <c r="BD26" s="1931">
        <v>31.613165490196074</v>
      </c>
      <c r="BE26" s="1931">
        <v>5.9014486928233705</v>
      </c>
      <c r="BF26" s="1931">
        <v>9.426674509803922</v>
      </c>
      <c r="BG26" s="1931">
        <v>8.104390802739978</v>
      </c>
      <c r="BH26" s="1931">
        <v>0</v>
      </c>
      <c r="BI26" s="1931">
        <v>0</v>
      </c>
      <c r="BJ26" s="1931">
        <v>35.955390196078426</v>
      </c>
      <c r="BK26" s="1942">
        <v>91.95709440317124</v>
      </c>
      <c r="BL26" s="1930">
        <v>32.873268235294113</v>
      </c>
      <c r="BM26" s="1931">
        <v>7.2753143672016085</v>
      </c>
      <c r="BN26" s="1931">
        <v>11.940098039215687</v>
      </c>
      <c r="BO26" s="1931">
        <v>14.351494904909528</v>
      </c>
      <c r="BP26" s="1931">
        <v>32.271715294117648</v>
      </c>
      <c r="BQ26" s="1931">
        <v>6.4423981814273645</v>
      </c>
      <c r="BR26" s="1931">
        <v>9.3234627450980412</v>
      </c>
      <c r="BS26" s="1931">
        <v>9.2153933977509066</v>
      </c>
      <c r="BT26" s="1931">
        <v>0</v>
      </c>
      <c r="BU26" s="1931">
        <v>0</v>
      </c>
      <c r="BV26" s="1931">
        <v>35.590754901960786</v>
      </c>
      <c r="BW26" s="1942">
        <v>91.756783158008972</v>
      </c>
      <c r="BX26" s="1930">
        <v>34.11480000000001</v>
      </c>
      <c r="BY26" s="1931">
        <v>5.9586197678597879</v>
      </c>
      <c r="BZ26" s="1931">
        <v>11.984099999999998</v>
      </c>
      <c r="CA26" s="1931">
        <v>11.155764401553746</v>
      </c>
      <c r="CB26" s="1931">
        <v>33.96123137254903</v>
      </c>
      <c r="CC26" s="1931">
        <v>5.475790510681728</v>
      </c>
      <c r="CD26" s="1931">
        <v>9.3578666666666663</v>
      </c>
      <c r="CE26" s="1931">
        <v>6.3967207313977008</v>
      </c>
      <c r="CF26" s="1931">
        <v>0</v>
      </c>
      <c r="CG26" s="1931">
        <v>0</v>
      </c>
      <c r="CH26" s="1931">
        <v>35.712299999999999</v>
      </c>
      <c r="CI26" s="1942">
        <v>86.107085736154374</v>
      </c>
      <c r="CJ26" s="1930">
        <v>10.042811764705887</v>
      </c>
      <c r="CK26" s="1931">
        <v>0</v>
      </c>
      <c r="CL26" s="1931">
        <v>14.58021568627451</v>
      </c>
      <c r="CM26" s="1931">
        <v>16.970523022372351</v>
      </c>
      <c r="CN26" s="1931">
        <v>8.3262980392156773</v>
      </c>
      <c r="CO26" s="1931">
        <v>0</v>
      </c>
      <c r="CP26" s="1931">
        <v>11.387698039215689</v>
      </c>
      <c r="CQ26" s="1931">
        <v>9.2490507761042995</v>
      </c>
      <c r="CR26" s="1931">
        <v>0</v>
      </c>
      <c r="CS26" s="1931">
        <v>0</v>
      </c>
      <c r="CT26" s="1931">
        <v>42.883460784313726</v>
      </c>
      <c r="CU26" s="1942">
        <v>137.52717193423592</v>
      </c>
      <c r="CV26" s="1930">
        <v>34.842741176470597</v>
      </c>
      <c r="CW26" s="1931">
        <v>1.4211621442068949</v>
      </c>
      <c r="CX26" s="1931">
        <v>13.084149019607842</v>
      </c>
      <c r="CY26" s="1931">
        <v>12.604577481544766</v>
      </c>
      <c r="CZ26" s="1931">
        <v>34.689172549019617</v>
      </c>
      <c r="DA26" s="1931">
        <v>1.447584732515494</v>
      </c>
      <c r="DB26" s="1931">
        <v>10.217964705882354</v>
      </c>
      <c r="DC26" s="1931">
        <v>6.7311677524096494</v>
      </c>
      <c r="DD26" s="1931">
        <v>0</v>
      </c>
      <c r="DE26" s="1931">
        <v>0</v>
      </c>
      <c r="DF26" s="1931">
        <v>38.750927450980392</v>
      </c>
      <c r="DG26" s="1942">
        <v>109.17170383687645</v>
      </c>
      <c r="DH26" s="1930">
        <v>28.816158823529406</v>
      </c>
      <c r="DI26" s="1931">
        <v>0.83376137037374876</v>
      </c>
      <c r="DJ26" s="1931">
        <v>13.744178431372548</v>
      </c>
      <c r="DK26" s="1931">
        <v>19.139707294480239</v>
      </c>
      <c r="DL26" s="1931">
        <v>28.844952941176466</v>
      </c>
      <c r="DM26" s="1931">
        <v>1.0045502184780701</v>
      </c>
      <c r="DN26" s="1931">
        <v>10.734023529411765</v>
      </c>
      <c r="DO26" s="1931">
        <v>12.128714206117035</v>
      </c>
      <c r="DP26" s="1931">
        <v>0</v>
      </c>
      <c r="DQ26" s="1931">
        <v>0</v>
      </c>
      <c r="DR26" s="1931">
        <v>40.574103921568629</v>
      </c>
      <c r="DS26" s="1942">
        <v>122.65860376299426</v>
      </c>
      <c r="DT26" s="1930">
        <v>35.40745882352941</v>
      </c>
      <c r="DU26" s="1931">
        <v>10.442189160228201</v>
      </c>
      <c r="DV26" s="1931">
        <v>10.664041176470587</v>
      </c>
      <c r="DW26" s="1931">
        <v>10.293471757789186</v>
      </c>
      <c r="DX26" s="1931">
        <v>35.234694117647059</v>
      </c>
      <c r="DY26" s="1931">
        <v>8.849200294831876</v>
      </c>
      <c r="DZ26" s="1931">
        <v>8.3257490196078443</v>
      </c>
      <c r="EA26" s="1931">
        <v>6.0801054227161311</v>
      </c>
      <c r="EB26" s="1931">
        <v>49.224182352941177</v>
      </c>
      <c r="EC26" s="1931">
        <v>2.9221194629165157</v>
      </c>
      <c r="ED26" s="1931">
        <v>32.065947058823525</v>
      </c>
      <c r="EE26" s="1942">
        <v>77.432457576339985</v>
      </c>
      <c r="EF26" s="1930">
        <v>32.566217647058821</v>
      </c>
      <c r="EG26" s="1931">
        <v>4.113992580609847</v>
      </c>
      <c r="EH26" s="1931">
        <v>12.424119607843135</v>
      </c>
      <c r="EI26" s="1931">
        <v>18.518987574721546</v>
      </c>
      <c r="EJ26" s="1931">
        <v>32.499031372549013</v>
      </c>
      <c r="EK26" s="1931">
        <v>3.7537837314123492</v>
      </c>
      <c r="EL26" s="1931">
        <v>9.7019058823529427</v>
      </c>
      <c r="EM26" s="1931">
        <v>12.280114596669801</v>
      </c>
      <c r="EN26" s="1931">
        <v>0</v>
      </c>
      <c r="EO26" s="1931">
        <v>0</v>
      </c>
      <c r="EP26" s="1931">
        <v>36.927750980392155</v>
      </c>
      <c r="EQ26" s="1942">
        <v>106.63627374541711</v>
      </c>
      <c r="ER26" s="1930">
        <v>6.2241294117647055</v>
      </c>
      <c r="ES26" s="1931">
        <v>0</v>
      </c>
      <c r="ET26" s="1931">
        <v>15.592260784313725</v>
      </c>
      <c r="EU26" s="1931">
        <v>21.32010439286713</v>
      </c>
      <c r="EV26" s="1931">
        <v>2.8037568627450953</v>
      </c>
      <c r="EW26" s="1931">
        <v>0</v>
      </c>
      <c r="EX26" s="1931">
        <v>12.178988235294119</v>
      </c>
      <c r="EY26" s="1931">
        <v>11.971181703380848</v>
      </c>
      <c r="EZ26" s="1931">
        <v>0</v>
      </c>
      <c r="FA26" s="1931">
        <v>0</v>
      </c>
      <c r="FB26" s="1931">
        <v>45.678998039215685</v>
      </c>
      <c r="FC26" s="1942">
        <v>169.98734266761525</v>
      </c>
      <c r="FD26" s="1930">
        <v>28.286747058823526</v>
      </c>
      <c r="FE26" s="1931">
        <v>6.5603955652459298</v>
      </c>
      <c r="FF26" s="1931">
        <v>11.896096078431372</v>
      </c>
      <c r="FG26" s="1931">
        <v>14.544931973091822</v>
      </c>
      <c r="FH26" s="1931">
        <v>28.315541176470585</v>
      </c>
      <c r="FI26" s="1931">
        <v>5.8622057590133148</v>
      </c>
      <c r="FJ26" s="1931">
        <v>9.2890588235294125</v>
      </c>
      <c r="FK26" s="1931">
        <v>9.2883633845738771</v>
      </c>
      <c r="FL26" s="1931">
        <v>0</v>
      </c>
      <c r="FM26" s="1931">
        <v>0</v>
      </c>
      <c r="FN26" s="1931">
        <v>35.469209803921565</v>
      </c>
      <c r="FO26" s="1942">
        <v>93.609520988345011</v>
      </c>
      <c r="FP26" s="1930">
        <v>24.933747058823524</v>
      </c>
      <c r="FQ26" s="1931">
        <v>5.0279930642555639</v>
      </c>
      <c r="FR26" s="1931">
        <v>11.896096078431372</v>
      </c>
      <c r="FS26" s="1931">
        <v>14.902404227650411</v>
      </c>
      <c r="FT26" s="1931">
        <v>25.058521568627445</v>
      </c>
      <c r="FU26" s="1931">
        <v>4.4178511834511172</v>
      </c>
      <c r="FV26" s="1931">
        <v>9.2890588235294125</v>
      </c>
      <c r="FW26" s="1931">
        <v>9.3011387987626915</v>
      </c>
      <c r="FX26" s="1931">
        <v>0</v>
      </c>
      <c r="FY26" s="1931">
        <v>0</v>
      </c>
      <c r="FZ26" s="1931">
        <v>35.469209803921565</v>
      </c>
      <c r="GA26" s="1942">
        <v>98.090518777896108</v>
      </c>
      <c r="GB26" s="1930">
        <v>30.761800000000008</v>
      </c>
      <c r="GC26" s="1931">
        <v>1.865985189972942</v>
      </c>
      <c r="GD26" s="1931">
        <v>12.996145098039214</v>
      </c>
      <c r="GE26" s="1931">
        <v>14.35995888377504</v>
      </c>
      <c r="GF26" s="1931">
        <v>30.704211764705889</v>
      </c>
      <c r="GG26" s="1931">
        <v>1.7600768225410284</v>
      </c>
      <c r="GH26" s="1931">
        <v>10.149156862745098</v>
      </c>
      <c r="GI26" s="1931">
        <v>8.1067902169206292</v>
      </c>
      <c r="GJ26" s="1931">
        <v>0</v>
      </c>
      <c r="GK26" s="1931">
        <v>0</v>
      </c>
      <c r="GL26" s="1931">
        <v>38.507837254901958</v>
      </c>
      <c r="GM26" s="1942">
        <v>111.20677803203154</v>
      </c>
      <c r="GN26" s="1930">
        <v>15.701905882352939</v>
      </c>
      <c r="GO26" s="1931">
        <v>1.0567838357649368</v>
      </c>
      <c r="GP26" s="1931">
        <v>13.040147058823528</v>
      </c>
      <c r="GQ26" s="1931">
        <v>17.986217337368757</v>
      </c>
      <c r="GR26" s="1931">
        <v>15.460090196078427</v>
      </c>
      <c r="GS26" s="1931">
        <v>1.1315909969707272</v>
      </c>
      <c r="GT26" s="1931">
        <v>10.183560784313727</v>
      </c>
      <c r="GU26" s="1931">
        <v>10.857134953448764</v>
      </c>
      <c r="GV26" s="1931">
        <v>0</v>
      </c>
      <c r="GW26" s="1931">
        <v>0</v>
      </c>
      <c r="GX26" s="1931">
        <v>38.629382352941178</v>
      </c>
      <c r="GY26" s="1942">
        <v>122.05754297484475</v>
      </c>
      <c r="GZ26" s="1930">
        <v>34.01331764705882</v>
      </c>
      <c r="HA26" s="1931">
        <v>12.980425729949506</v>
      </c>
      <c r="HB26" s="1931">
        <v>9.3879843137254895</v>
      </c>
      <c r="HC26" s="1931">
        <v>6.3280697986482135</v>
      </c>
      <c r="HD26" s="1931">
        <v>33.87894509803921</v>
      </c>
      <c r="HE26" s="1931">
        <v>10.879254843795705</v>
      </c>
      <c r="HF26" s="1931">
        <v>7.3280352941176474</v>
      </c>
      <c r="HG26" s="1931">
        <v>3.1605042377446479</v>
      </c>
      <c r="HH26" s="1931">
        <v>50.557752941176467</v>
      </c>
      <c r="HI26" s="1931">
        <v>6.1280740592517029</v>
      </c>
      <c r="HJ26" s="1931">
        <v>28.541139215686275</v>
      </c>
      <c r="HK26" s="1942">
        <v>62.361742139129049</v>
      </c>
      <c r="HL26" s="1930">
        <v>33.351552941176465</v>
      </c>
      <c r="HM26" s="1931">
        <v>13.658710362853881</v>
      </c>
      <c r="HN26" s="1931">
        <v>9.1679745098039209</v>
      </c>
      <c r="HO26" s="1931">
        <v>5.7751151553038023</v>
      </c>
      <c r="HP26" s="1931">
        <v>33.217180392156855</v>
      </c>
      <c r="HQ26" s="1931">
        <v>11.392598998274847</v>
      </c>
      <c r="HR26" s="1931">
        <v>7.1560156862745101</v>
      </c>
      <c r="HS26" s="1931">
        <v>2.7761174856439852</v>
      </c>
      <c r="HT26" s="1931">
        <v>46.717174509803918</v>
      </c>
      <c r="HU26" s="1931">
        <v>7.2238181211274304</v>
      </c>
      <c r="HV26" s="1931">
        <v>27.933413725490194</v>
      </c>
      <c r="HW26" s="1942">
        <v>61.768439756753715</v>
      </c>
      <c r="HX26" s="1930">
        <v>34.345931764705888</v>
      </c>
      <c r="HY26" s="1931">
        <v>6.6975889408413103</v>
      </c>
      <c r="HZ26" s="1931">
        <v>11.632084313725487</v>
      </c>
      <c r="IA26" s="1931">
        <v>13.930065559454196</v>
      </c>
      <c r="IB26" s="1931">
        <v>33.443602352941184</v>
      </c>
      <c r="IC26" s="1931">
        <v>6.0355081887937807</v>
      </c>
      <c r="ID26" s="1931">
        <v>9.0826352941176474</v>
      </c>
      <c r="IE26" s="1931">
        <v>8.8466622025638308</v>
      </c>
      <c r="IF26" s="1931">
        <v>0</v>
      </c>
      <c r="IG26" s="1931">
        <v>0</v>
      </c>
      <c r="IH26" s="1931">
        <v>34.73993921568627</v>
      </c>
      <c r="II26" s="1942">
        <v>91.404295053639615</v>
      </c>
      <c r="IJ26" s="1930">
        <v>34.195557254901964</v>
      </c>
      <c r="IK26" s="1931">
        <v>12.968876774177438</v>
      </c>
      <c r="IL26" s="1931">
        <v>10.136017647058823</v>
      </c>
      <c r="IM26" s="1931">
        <v>9.0086833289880275</v>
      </c>
      <c r="IN26" s="1931">
        <v>33.418551372549011</v>
      </c>
      <c r="IO26" s="1931">
        <v>10.876776615868005</v>
      </c>
      <c r="IP26" s="1931">
        <v>7.9129019607843141</v>
      </c>
      <c r="IQ26" s="1931">
        <v>5.0143584462188882</v>
      </c>
      <c r="IR26" s="1931">
        <v>51.415894117647063</v>
      </c>
      <c r="IS26" s="1931">
        <v>6.3112905555749172</v>
      </c>
      <c r="IT26" s="1931">
        <v>30.607405882352939</v>
      </c>
      <c r="IU26" s="1942">
        <v>72.003334855754716</v>
      </c>
      <c r="IV26" s="1930">
        <v>19.542494117647049</v>
      </c>
      <c r="IW26" s="1931">
        <v>1.5872489285638616</v>
      </c>
      <c r="IX26" s="1931">
        <v>13.040147058823528</v>
      </c>
      <c r="IY26" s="1931">
        <v>11.524992643040397</v>
      </c>
      <c r="IZ26" s="1931">
        <v>19.792043137254893</v>
      </c>
      <c r="JA26" s="1931">
        <v>1.5222259010482637</v>
      </c>
      <c r="JB26" s="1931">
        <v>10.183560784313727</v>
      </c>
      <c r="JC26" s="1931">
        <v>5.8188610964054392</v>
      </c>
      <c r="JD26" s="1931">
        <v>0</v>
      </c>
      <c r="JE26" s="1931">
        <v>0</v>
      </c>
      <c r="JF26" s="1931">
        <v>38.629382352941178</v>
      </c>
      <c r="JG26" s="1942">
        <v>107.30213328459037</v>
      </c>
      <c r="JH26" s="1930">
        <v>34.145670588235291</v>
      </c>
      <c r="JI26" s="1931">
        <v>8.503827575040825</v>
      </c>
      <c r="JJ26" s="1931">
        <v>11.192064705882352</v>
      </c>
      <c r="JK26" s="1931">
        <v>12.492198424117657</v>
      </c>
      <c r="JL26" s="1931">
        <v>34.011298039215681</v>
      </c>
      <c r="JM26" s="1931">
        <v>7.4096896460776911</v>
      </c>
      <c r="JN26" s="1931">
        <v>8.7385960784313728</v>
      </c>
      <c r="JO26" s="1931">
        <v>7.8542696617514016</v>
      </c>
      <c r="JP26" s="1931">
        <v>47.749527450980388</v>
      </c>
      <c r="JQ26" s="1931">
        <v>1.3430409499567149</v>
      </c>
      <c r="JR26" s="1931">
        <v>33.524488235294115</v>
      </c>
      <c r="JS26" s="1942">
        <v>84.90749516740992</v>
      </c>
      <c r="JT26" s="1930">
        <v>33.003017647058819</v>
      </c>
      <c r="JU26" s="1931">
        <v>7.5180352297336048</v>
      </c>
      <c r="JV26" s="1931">
        <v>11.764090196078429</v>
      </c>
      <c r="JW26" s="1931">
        <v>13.183972712877402</v>
      </c>
      <c r="JX26" s="1931">
        <v>32.878243137254898</v>
      </c>
      <c r="JY26" s="1931">
        <v>6.5751838287530422</v>
      </c>
      <c r="JZ26" s="1931">
        <v>9.1858470588235299</v>
      </c>
      <c r="KA26" s="1931">
        <v>8.2141107520680254</v>
      </c>
      <c r="KB26" s="1931">
        <v>0</v>
      </c>
      <c r="KC26" s="1931">
        <v>0</v>
      </c>
      <c r="KD26" s="1931">
        <v>35.104574509803925</v>
      </c>
      <c r="KE26" s="1942">
        <v>89.259416337311265</v>
      </c>
      <c r="KF26" s="1930">
        <v>26.063182352941183</v>
      </c>
      <c r="KG26" s="1931">
        <v>3.5935818481430744</v>
      </c>
      <c r="KH26" s="1931">
        <v>11.984099999999998</v>
      </c>
      <c r="KI26" s="1931">
        <v>17.715927979812388</v>
      </c>
      <c r="KJ26" s="1931">
        <v>26.149564705882359</v>
      </c>
      <c r="KK26" s="1931">
        <v>3.2912587514670291</v>
      </c>
      <c r="KL26" s="1931">
        <v>9.3578666666666663</v>
      </c>
      <c r="KM26" s="1931">
        <v>11.634229370791035</v>
      </c>
      <c r="KN26" s="1931">
        <v>0</v>
      </c>
      <c r="KO26" s="1931">
        <v>0</v>
      </c>
      <c r="KP26" s="1931">
        <v>35.712299999999999</v>
      </c>
      <c r="KQ26" s="1942">
        <v>109.8133802345983</v>
      </c>
      <c r="KR26" s="1930">
        <v>26.429370588235294</v>
      </c>
      <c r="KS26" s="1931">
        <v>10.668644093131402</v>
      </c>
      <c r="KT26" s="1931">
        <v>10.708043137254901</v>
      </c>
      <c r="KU26" s="1931">
        <v>9.3323732333853648</v>
      </c>
      <c r="KV26" s="1931">
        <v>26.496556862745098</v>
      </c>
      <c r="KW26" s="1931">
        <v>9.0195630541335614</v>
      </c>
      <c r="KX26" s="1931">
        <v>8.3601529411764712</v>
      </c>
      <c r="KY26" s="1931">
        <v>5.3695134178454769</v>
      </c>
      <c r="KZ26" s="1931">
        <v>38.588103921568631</v>
      </c>
      <c r="LA26" s="1931">
        <v>2.9809429923282837</v>
      </c>
      <c r="LB26" s="1931">
        <v>32.187492156862746</v>
      </c>
      <c r="LC26" s="1942">
        <v>74.143393426810562</v>
      </c>
      <c r="LD26" s="1930">
        <v>15.854176470588236</v>
      </c>
      <c r="LE26" s="1931">
        <v>1.7385808552862902</v>
      </c>
      <c r="LF26" s="1931">
        <v>12.248111764705882</v>
      </c>
      <c r="LG26" s="1931">
        <v>15.793993478362598</v>
      </c>
      <c r="LH26" s="1931">
        <v>16.238098039215686</v>
      </c>
      <c r="LI26" s="1931">
        <v>1.8525437689626425</v>
      </c>
      <c r="LJ26" s="1931">
        <v>9.5642901960784314</v>
      </c>
      <c r="LK26" s="1931">
        <v>9.3031424072359084</v>
      </c>
      <c r="LL26" s="1931">
        <v>0</v>
      </c>
      <c r="LM26" s="1931">
        <v>0</v>
      </c>
      <c r="LN26" s="1931">
        <v>36.441570588235294</v>
      </c>
      <c r="LO26" s="1942">
        <v>113.68091558494784</v>
      </c>
      <c r="LP26" s="1930">
        <v>33.911589411764716</v>
      </c>
      <c r="LQ26" s="1931">
        <v>5.8607364278621192</v>
      </c>
      <c r="LR26" s="1931">
        <v>12.380117647058825</v>
      </c>
      <c r="LS26" s="1931">
        <v>14.177558952589251</v>
      </c>
      <c r="LT26" s="1931">
        <v>33.084454117647056</v>
      </c>
      <c r="LU26" s="1931">
        <v>5.139829226318624</v>
      </c>
      <c r="LV26" s="1931">
        <v>9.667501960784314</v>
      </c>
      <c r="LW26" s="1931">
        <v>8.9411284307547305</v>
      </c>
      <c r="LX26" s="1931">
        <v>0</v>
      </c>
      <c r="LY26" s="1931">
        <v>0</v>
      </c>
      <c r="LZ26" s="1931">
        <v>36.806205882352941</v>
      </c>
      <c r="MA26" s="1942">
        <v>93.70884463355398</v>
      </c>
      <c r="MB26" s="1930">
        <v>13.8447</v>
      </c>
      <c r="MC26" s="1931">
        <v>0</v>
      </c>
      <c r="MD26" s="1931">
        <v>16.560303921568629</v>
      </c>
      <c r="ME26" s="1931">
        <v>21.167985461134545</v>
      </c>
      <c r="MF26" s="1931">
        <v>11.914199999999994</v>
      </c>
      <c r="MG26" s="1931">
        <v>0</v>
      </c>
      <c r="MH26" s="1931">
        <v>12.935874509803922</v>
      </c>
      <c r="MI26" s="1931">
        <v>11.89720316688158</v>
      </c>
      <c r="MJ26" s="1931">
        <v>0</v>
      </c>
      <c r="MK26" s="1931">
        <v>0</v>
      </c>
      <c r="ML26" s="1931">
        <v>48.352990196078437</v>
      </c>
      <c r="MM26" s="1942">
        <v>154.12361934299943</v>
      </c>
      <c r="MN26" s="1930">
        <v>12.383329411764711</v>
      </c>
      <c r="MO26" s="1931">
        <v>0</v>
      </c>
      <c r="MP26" s="1931">
        <v>13.612172549019606</v>
      </c>
      <c r="MQ26" s="1931">
        <v>19.707587056897957</v>
      </c>
      <c r="MR26" s="1931">
        <v>10.484219607843128</v>
      </c>
      <c r="MS26" s="1931">
        <v>0</v>
      </c>
      <c r="MT26" s="1931">
        <v>10.630811764705882</v>
      </c>
      <c r="MU26" s="1931">
        <v>11.523392900992585</v>
      </c>
      <c r="MV26" s="1931">
        <v>0</v>
      </c>
      <c r="MW26" s="1931">
        <v>0</v>
      </c>
      <c r="MX26" s="1931">
        <v>40.209468627450974</v>
      </c>
      <c r="MY26" s="1942">
        <v>144.97189593576451</v>
      </c>
      <c r="MZ26" s="1930">
        <v>20.852805882352936</v>
      </c>
      <c r="NA26" s="1931">
        <v>4.5097583187313104</v>
      </c>
      <c r="NB26" s="1931">
        <v>12.908141176470588</v>
      </c>
      <c r="NC26" s="1931">
        <v>14.17781250956828</v>
      </c>
      <c r="ND26" s="1931">
        <v>21.07356078431372</v>
      </c>
      <c r="NE26" s="1931">
        <v>3.9456705161729118</v>
      </c>
      <c r="NF26" s="1931">
        <v>10.080349019607844</v>
      </c>
      <c r="NG26" s="1931">
        <v>8.6359200827266189</v>
      </c>
      <c r="NH26" s="1931">
        <v>0</v>
      </c>
      <c r="NI26" s="1931">
        <v>0</v>
      </c>
      <c r="NJ26" s="1931">
        <v>38.264747058823531</v>
      </c>
      <c r="NK26" s="1942">
        <v>98.627868596747007</v>
      </c>
      <c r="NL26" s="1930">
        <v>30.077947058823533</v>
      </c>
      <c r="NM26" s="1931">
        <v>6.6749581869375776</v>
      </c>
      <c r="NN26" s="1931">
        <v>12.11610588235294</v>
      </c>
      <c r="NO26" s="1931">
        <v>15.215849186367004</v>
      </c>
      <c r="NP26" s="1931">
        <v>30.068349019607844</v>
      </c>
      <c r="NQ26" s="1931">
        <v>5.9768950141776118</v>
      </c>
      <c r="NR26" s="1931">
        <v>9.4610784313725489</v>
      </c>
      <c r="NS26" s="1931">
        <v>9.7957512475160602</v>
      </c>
      <c r="NT26" s="1931">
        <v>0</v>
      </c>
      <c r="NU26" s="1931">
        <v>0</v>
      </c>
      <c r="NV26" s="1931">
        <v>36.076935294117646</v>
      </c>
      <c r="NW26" s="1942">
        <v>95.196006251109267</v>
      </c>
      <c r="NX26" s="1930">
        <v>21.466047058823531</v>
      </c>
      <c r="NY26" s="1931">
        <v>1.4256731350796286</v>
      </c>
      <c r="NZ26" s="1931">
        <v>14.096194117647059</v>
      </c>
      <c r="OA26" s="1931">
        <v>16.425336380852283</v>
      </c>
      <c r="OB26" s="1931">
        <v>21.677203921568626</v>
      </c>
      <c r="OC26" s="1931">
        <v>1.4273443361251281</v>
      </c>
      <c r="OD26" s="1931">
        <v>11.009254901960785</v>
      </c>
      <c r="OE26" s="1931">
        <v>9.5175595069600014</v>
      </c>
      <c r="OF26" s="1931">
        <v>0</v>
      </c>
      <c r="OG26" s="1931">
        <v>0</v>
      </c>
      <c r="OH26" s="1931">
        <v>41.54646470588235</v>
      </c>
      <c r="OI26" s="1932">
        <v>119.53318468585819</v>
      </c>
      <c r="OJ26" s="1930">
        <v>31.304429411764708</v>
      </c>
      <c r="OK26" s="1931">
        <v>9.8655752103373082</v>
      </c>
      <c r="OL26" s="1931">
        <v>11.456076470588235</v>
      </c>
      <c r="OM26" s="1931">
        <v>11.409413048535274</v>
      </c>
      <c r="ON26" s="1931">
        <v>31.275635294117649</v>
      </c>
      <c r="OO26" s="1931">
        <v>8.4228583187855417</v>
      </c>
      <c r="OP26" s="1931">
        <v>8.9450196078431379</v>
      </c>
      <c r="OQ26" s="1931">
        <v>6.6827104740817882</v>
      </c>
      <c r="OR26" s="1931">
        <v>44.511505882352949</v>
      </c>
      <c r="OS26" s="1931">
        <v>1.5289281946602675</v>
      </c>
      <c r="OT26" s="1931">
        <v>34.253758823529409</v>
      </c>
      <c r="OU26" s="1932">
        <v>82.34396212043832</v>
      </c>
      <c r="OV26" s="1930">
        <v>26.213188235294112</v>
      </c>
      <c r="OW26" s="1931">
        <v>0.62379482663767383</v>
      </c>
      <c r="OX26" s="1931">
        <v>15.944276470588235</v>
      </c>
      <c r="OY26" s="1931">
        <v>20.253827464150863</v>
      </c>
      <c r="OZ26" s="1931">
        <v>26.289972549019602</v>
      </c>
      <c r="PA26" s="1931">
        <v>0.7988506005803615</v>
      </c>
      <c r="PB26" s="1931">
        <v>12.45421960784314</v>
      </c>
      <c r="PC26" s="1931">
        <v>12.14873143124011</v>
      </c>
      <c r="PD26" s="1931">
        <v>0</v>
      </c>
      <c r="PE26" s="1931">
        <v>0</v>
      </c>
      <c r="PF26" s="1931">
        <v>46.651358823529421</v>
      </c>
      <c r="PG26" s="1932">
        <v>135.4815506076188</v>
      </c>
      <c r="PH26" s="1930">
        <v>35.695873333333346</v>
      </c>
      <c r="PI26" s="1931">
        <v>6.9600732855092131</v>
      </c>
      <c r="PJ26" s="1931">
        <v>12.248111764705882</v>
      </c>
      <c r="PK26" s="1931">
        <v>11.971824321171841</v>
      </c>
      <c r="PL26" s="1931">
        <v>34.517832156862745</v>
      </c>
      <c r="PM26" s="1931">
        <v>6.2316062422131093</v>
      </c>
      <c r="PN26" s="1931">
        <v>9.5642901960784314</v>
      </c>
      <c r="PO26" s="1931">
        <v>7.2067571727948732</v>
      </c>
      <c r="PP26" s="1931">
        <v>0</v>
      </c>
      <c r="PQ26" s="1931">
        <v>0</v>
      </c>
      <c r="PR26" s="1931">
        <v>36.441570588235294</v>
      </c>
      <c r="PS26" s="1932">
        <v>85.405789540159404</v>
      </c>
      <c r="PT26" s="1930">
        <v>32.451517647058822</v>
      </c>
      <c r="PU26" s="1931">
        <v>6.4745392843508451</v>
      </c>
      <c r="PV26" s="1931">
        <v>12.028101960784314</v>
      </c>
      <c r="PW26" s="1931">
        <v>14.542305561497489</v>
      </c>
      <c r="PX26" s="1931">
        <v>32.374733333333332</v>
      </c>
      <c r="PY26" s="1931">
        <v>5.7766241745946569</v>
      </c>
      <c r="PZ26" s="1931">
        <v>9.392270588235295</v>
      </c>
      <c r="QA26" s="1931">
        <v>9.2273957888210116</v>
      </c>
      <c r="QB26" s="1931">
        <v>0</v>
      </c>
      <c r="QC26" s="1931">
        <v>0</v>
      </c>
      <c r="QD26" s="1931">
        <v>35.83384509803922</v>
      </c>
      <c r="QE26" s="1932">
        <v>94.399315609937446</v>
      </c>
      <c r="QF26" s="1930">
        <v>16.851258823529406</v>
      </c>
      <c r="QG26" s="1931">
        <v>0</v>
      </c>
      <c r="QH26" s="1931">
        <v>13.700176470588236</v>
      </c>
      <c r="QI26" s="1931">
        <v>16.76072377189417</v>
      </c>
      <c r="QJ26" s="1931">
        <v>17.196788235294111</v>
      </c>
      <c r="QK26" s="1931">
        <v>0</v>
      </c>
      <c r="QL26" s="1931">
        <v>10.69961960784314</v>
      </c>
      <c r="QM26" s="1931">
        <v>9.0381384587806721</v>
      </c>
      <c r="QN26" s="1931">
        <v>0</v>
      </c>
      <c r="QO26" s="1931">
        <v>0</v>
      </c>
      <c r="QP26" s="1931">
        <v>40.452558823529415</v>
      </c>
      <c r="QQ26" s="1932">
        <v>136.92786235124743</v>
      </c>
      <c r="QR26" s="1930">
        <v>32.495471372549027</v>
      </c>
      <c r="QS26" s="1931">
        <v>7.2839235617568603</v>
      </c>
      <c r="QT26" s="1931">
        <v>12.204109803921567</v>
      </c>
      <c r="QU26" s="1931">
        <v>13.393378463742581</v>
      </c>
      <c r="QV26" s="1931">
        <v>31.944047843137252</v>
      </c>
      <c r="QW26" s="1931">
        <v>6.4108940253606619</v>
      </c>
      <c r="QX26" s="1931">
        <v>9.5298862745098045</v>
      </c>
      <c r="QY26" s="1931">
        <v>8.2827549213946163</v>
      </c>
      <c r="QZ26" s="1931">
        <v>0</v>
      </c>
      <c r="RA26" s="1931">
        <v>0</v>
      </c>
      <c r="RB26" s="1931">
        <v>36.320025490196073</v>
      </c>
      <c r="RC26" s="1932">
        <v>90.587353635272095</v>
      </c>
      <c r="RD26" s="1930">
        <v>29.36765882352941</v>
      </c>
      <c r="RE26" s="1931">
        <v>6.7650230800620994</v>
      </c>
      <c r="RF26" s="1931">
        <v>12.11610588235294</v>
      </c>
      <c r="RG26" s="1931">
        <v>12.944734690411709</v>
      </c>
      <c r="RH26" s="1931">
        <v>29.34846274509804</v>
      </c>
      <c r="RI26" s="1931">
        <v>6.0141392957914954</v>
      </c>
      <c r="RJ26" s="1931">
        <v>9.4610784313725489</v>
      </c>
      <c r="RK26" s="1931">
        <v>7.9352710051231403</v>
      </c>
      <c r="RL26" s="1931">
        <v>0</v>
      </c>
      <c r="RM26" s="1931">
        <v>0</v>
      </c>
      <c r="RN26" s="1931">
        <v>36.076935294117646</v>
      </c>
      <c r="RO26" s="1932">
        <v>89.655548788541566</v>
      </c>
    </row>
    <row r="27" spans="1:483">
      <c r="A27" s="634">
        <f>Eingabedaten!A29</f>
        <v>7.01</v>
      </c>
      <c r="B27" s="379" t="str">
        <f>Eingabedaten!C29</f>
        <v>Vorstellungsraum</v>
      </c>
      <c r="C27" s="379"/>
      <c r="D27" s="1930">
        <v>20.00066666666666</v>
      </c>
      <c r="E27" s="1931">
        <v>4.7093993628931532</v>
      </c>
      <c r="F27" s="1931">
        <v>14.196000000000002</v>
      </c>
      <c r="G27" s="1931">
        <v>13.443166082252308</v>
      </c>
      <c r="H27" s="1931">
        <v>17.608410457516339</v>
      </c>
      <c r="I27" s="1931">
        <v>7.8800193285085562</v>
      </c>
      <c r="J27" s="1931">
        <v>11.228329411764708</v>
      </c>
      <c r="K27" s="1931">
        <v>6.1187832947588241</v>
      </c>
      <c r="L27" s="1931">
        <v>0</v>
      </c>
      <c r="M27" s="1931">
        <v>0</v>
      </c>
      <c r="N27" s="1931">
        <v>59.192435294117651</v>
      </c>
      <c r="O27" s="1942">
        <v>213.55357684090578</v>
      </c>
      <c r="P27" s="1930">
        <v>28.409434666666666</v>
      </c>
      <c r="Q27" s="1931">
        <v>14.350849863715075</v>
      </c>
      <c r="R27" s="1931">
        <v>12.057500000000001</v>
      </c>
      <c r="S27" s="1931">
        <v>6.7381516229429739</v>
      </c>
      <c r="T27" s="1931">
        <v>24.662317281045752</v>
      </c>
      <c r="U27" s="1931">
        <v>16.791110291459585</v>
      </c>
      <c r="V27" s="1931">
        <v>9.536882352941177</v>
      </c>
      <c r="W27" s="1931">
        <v>2.5185392504005684</v>
      </c>
      <c r="X27" s="1931">
        <v>0</v>
      </c>
      <c r="Y27" s="1931">
        <v>0</v>
      </c>
      <c r="Z27" s="1931">
        <v>50.924858823529419</v>
      </c>
      <c r="AA27" s="1942">
        <v>149.15038230904142</v>
      </c>
      <c r="AB27" s="1930">
        <v>38.870686666666657</v>
      </c>
      <c r="AC27" s="1931">
        <v>13.898049791992701</v>
      </c>
      <c r="AD27" s="1931">
        <v>12.103000000000002</v>
      </c>
      <c r="AE27" s="1931">
        <v>6.8084189102320529</v>
      </c>
      <c r="AF27" s="1931">
        <v>35.1519108496732</v>
      </c>
      <c r="AG27" s="1931">
        <v>16.392983880931876</v>
      </c>
      <c r="AH27" s="1931">
        <v>9.5728705882352951</v>
      </c>
      <c r="AI27" s="1931">
        <v>2.5427710461966164</v>
      </c>
      <c r="AJ27" s="1931">
        <v>0</v>
      </c>
      <c r="AK27" s="1931">
        <v>0</v>
      </c>
      <c r="AL27" s="1931">
        <v>51.100764705882362</v>
      </c>
      <c r="AM27" s="1942">
        <v>150.98604334650693</v>
      </c>
      <c r="AN27" s="1930">
        <v>39.42778666666667</v>
      </c>
      <c r="AO27" s="1931">
        <v>15.17583278370777</v>
      </c>
      <c r="AP27" s="1931">
        <v>12.512500000000003</v>
      </c>
      <c r="AQ27" s="1931">
        <v>5.8918198931268995</v>
      </c>
      <c r="AR27" s="1931">
        <v>35.584118692810463</v>
      </c>
      <c r="AS27" s="1931">
        <v>17.497107754964642</v>
      </c>
      <c r="AT27" s="1931">
        <v>9.8967647058823545</v>
      </c>
      <c r="AU27" s="1931">
        <v>2.0776047895737997</v>
      </c>
      <c r="AV27" s="1931">
        <v>0</v>
      </c>
      <c r="AW27" s="1931">
        <v>0</v>
      </c>
      <c r="AX27" s="1931">
        <v>52.683917647058834</v>
      </c>
      <c r="AY27" s="1942">
        <v>143.07514248507718</v>
      </c>
      <c r="AZ27" s="1930">
        <v>32.044333333333327</v>
      </c>
      <c r="BA27" s="1931">
        <v>12.612389789954344</v>
      </c>
      <c r="BB27" s="1931">
        <v>12.922000000000001</v>
      </c>
      <c r="BC27" s="1931">
        <v>8.7371774273857117</v>
      </c>
      <c r="BD27" s="1931">
        <v>29.195006535947712</v>
      </c>
      <c r="BE27" s="1931">
        <v>15.04617337881924</v>
      </c>
      <c r="BF27" s="1931">
        <v>10.220658823529412</v>
      </c>
      <c r="BG27" s="1931">
        <v>3.6075321282807384</v>
      </c>
      <c r="BH27" s="1931">
        <v>0</v>
      </c>
      <c r="BI27" s="1931">
        <v>0</v>
      </c>
      <c r="BJ27" s="1931">
        <v>54.267070588235299</v>
      </c>
      <c r="BK27" s="1942">
        <v>164.16024134945954</v>
      </c>
      <c r="BL27" s="1930">
        <v>33.730499999999999</v>
      </c>
      <c r="BM27" s="1931">
        <v>13.732784483915985</v>
      </c>
      <c r="BN27" s="1931">
        <v>12.785500000000003</v>
      </c>
      <c r="BO27" s="1931">
        <v>7.6574941988241987</v>
      </c>
      <c r="BP27" s="1931">
        <v>30.833614379084967</v>
      </c>
      <c r="BQ27" s="1931">
        <v>16.179379534729346</v>
      </c>
      <c r="BR27" s="1931">
        <v>10.112694117647061</v>
      </c>
      <c r="BS27" s="1931">
        <v>3.0040555144605441</v>
      </c>
      <c r="BT27" s="1931">
        <v>0</v>
      </c>
      <c r="BU27" s="1931">
        <v>0</v>
      </c>
      <c r="BV27" s="1931">
        <v>53.739352941176477</v>
      </c>
      <c r="BW27" s="1942">
        <v>155.33536687285215</v>
      </c>
      <c r="BX27" s="1930">
        <v>38.451766666666664</v>
      </c>
      <c r="BY27" s="1931">
        <v>13.528554184504113</v>
      </c>
      <c r="BZ27" s="1931">
        <v>12.831000000000001</v>
      </c>
      <c r="CA27" s="1931">
        <v>7.7081379795299059</v>
      </c>
      <c r="CB27" s="1931">
        <v>35.421716339869278</v>
      </c>
      <c r="CC27" s="1931">
        <v>16.057033383383303</v>
      </c>
      <c r="CD27" s="1931">
        <v>10.148682352941178</v>
      </c>
      <c r="CE27" s="1931">
        <v>3.059546114268286</v>
      </c>
      <c r="CF27" s="1931">
        <v>0</v>
      </c>
      <c r="CG27" s="1931">
        <v>0</v>
      </c>
      <c r="CH27" s="1931">
        <v>53.915258823529413</v>
      </c>
      <c r="CI27" s="1942">
        <v>155.83395155522166</v>
      </c>
      <c r="CJ27" s="1930">
        <v>17.011666666666663</v>
      </c>
      <c r="CK27" s="1931">
        <v>2.0266715940529707</v>
      </c>
      <c r="CL27" s="1931">
        <v>15.515500000000003</v>
      </c>
      <c r="CM27" s="1931">
        <v>21.090567648508095</v>
      </c>
      <c r="CN27" s="1931">
        <v>14.752575163398694</v>
      </c>
      <c r="CO27" s="1931">
        <v>4.706799768775725</v>
      </c>
      <c r="CP27" s="1931">
        <v>12.271988235294121</v>
      </c>
      <c r="CQ27" s="1931">
        <v>11.054426620186442</v>
      </c>
      <c r="CR27" s="1931">
        <v>0</v>
      </c>
      <c r="CS27" s="1931">
        <v>0</v>
      </c>
      <c r="CT27" s="1931">
        <v>64.293705882352938</v>
      </c>
      <c r="CU27" s="1942">
        <v>254.80572860879911</v>
      </c>
      <c r="CV27" s="1930">
        <v>26.619166666666665</v>
      </c>
      <c r="CW27" s="1931">
        <v>6.4424849550904186</v>
      </c>
      <c r="CX27" s="1931">
        <v>13.968500000000002</v>
      </c>
      <c r="CY27" s="1931">
        <v>12.73870722483621</v>
      </c>
      <c r="CZ27" s="1931">
        <v>23.932045751633986</v>
      </c>
      <c r="DA27" s="1931">
        <v>9.60189098310825</v>
      </c>
      <c r="DB27" s="1931">
        <v>11.048388235294119</v>
      </c>
      <c r="DC27" s="1931">
        <v>5.7758243607351556</v>
      </c>
      <c r="DD27" s="1931">
        <v>0</v>
      </c>
      <c r="DE27" s="1931">
        <v>0</v>
      </c>
      <c r="DF27" s="1931">
        <v>58.312905882352943</v>
      </c>
      <c r="DG27" s="1942">
        <v>203.52522777650492</v>
      </c>
      <c r="DH27" s="1930">
        <v>26.459134666666667</v>
      </c>
      <c r="DI27" s="1931">
        <v>5.9077240395251192</v>
      </c>
      <c r="DJ27" s="1931">
        <v>14.651000000000003</v>
      </c>
      <c r="DK27" s="1931">
        <v>13.631281339409398</v>
      </c>
      <c r="DL27" s="1931">
        <v>23.181811398692812</v>
      </c>
      <c r="DM27" s="1931">
        <v>9.0473219528265769</v>
      </c>
      <c r="DN27" s="1931">
        <v>11.588211764705886</v>
      </c>
      <c r="DO27" s="1931">
        <v>6.3779486373540308</v>
      </c>
      <c r="DP27" s="1931">
        <v>0</v>
      </c>
      <c r="DQ27" s="1931">
        <v>0</v>
      </c>
      <c r="DR27" s="1931">
        <v>60.951494117647059</v>
      </c>
      <c r="DS27" s="1942">
        <v>208.88565311634162</v>
      </c>
      <c r="DT27" s="1930">
        <v>41.149633333333327</v>
      </c>
      <c r="DU27" s="1931">
        <v>16.288350467346124</v>
      </c>
      <c r="DV27" s="1931">
        <v>11.466000000000001</v>
      </c>
      <c r="DW27" s="1931">
        <v>5.865021386278606</v>
      </c>
      <c r="DX27" s="1931">
        <v>38.043488888888888</v>
      </c>
      <c r="DY27" s="1931">
        <v>18.267286806061069</v>
      </c>
      <c r="DZ27" s="1931">
        <v>9.0690352941176471</v>
      </c>
      <c r="EA27" s="1931">
        <v>2.0563221667883811</v>
      </c>
      <c r="EB27" s="1931">
        <v>0</v>
      </c>
      <c r="EC27" s="1931">
        <v>0</v>
      </c>
      <c r="ED27" s="1931">
        <v>48.638082352941183</v>
      </c>
      <c r="EE27" s="1942">
        <v>141.12776855494388</v>
      </c>
      <c r="EF27" s="1930">
        <v>38.313586666666673</v>
      </c>
      <c r="EG27" s="1931">
        <v>11.706789646509595</v>
      </c>
      <c r="EH27" s="1931">
        <v>13.286000000000001</v>
      </c>
      <c r="EI27" s="1931">
        <v>9.4602712937124043</v>
      </c>
      <c r="EJ27" s="1931">
        <v>34.719703006535944</v>
      </c>
      <c r="EK27" s="1931">
        <v>14.430431272864544</v>
      </c>
      <c r="EL27" s="1931">
        <v>10.508564705882353</v>
      </c>
      <c r="EM27" s="1931">
        <v>4.0501431338556682</v>
      </c>
      <c r="EN27" s="1931">
        <v>0</v>
      </c>
      <c r="EO27" s="1931">
        <v>0</v>
      </c>
      <c r="EP27" s="1931">
        <v>55.674317647058828</v>
      </c>
      <c r="EQ27" s="1942">
        <v>169.62217261797275</v>
      </c>
      <c r="ER27" s="1930">
        <v>5.269166666666667</v>
      </c>
      <c r="ES27" s="1931">
        <v>0</v>
      </c>
      <c r="ET27" s="1931">
        <v>16.562000000000001</v>
      </c>
      <c r="EU27" s="1931">
        <v>34.352848049853122</v>
      </c>
      <c r="EV27" s="1931">
        <v>3.5332222222222258</v>
      </c>
      <c r="EW27" s="1931">
        <v>0.73757006636368516</v>
      </c>
      <c r="EX27" s="1931">
        <v>13.099717647058824</v>
      </c>
      <c r="EY27" s="1931">
        <v>19.203877886626255</v>
      </c>
      <c r="EZ27" s="1931">
        <v>0</v>
      </c>
      <c r="FA27" s="1931">
        <v>0</v>
      </c>
      <c r="FB27" s="1931">
        <v>68.33954117647059</v>
      </c>
      <c r="FC27" s="1942">
        <v>321.34532075193101</v>
      </c>
      <c r="FD27" s="1930">
        <v>27.551302666666665</v>
      </c>
      <c r="FE27" s="1931">
        <v>12.694350633797265</v>
      </c>
      <c r="FF27" s="1931">
        <v>12.740000000000002</v>
      </c>
      <c r="FG27" s="1931">
        <v>8.2964000149466752</v>
      </c>
      <c r="FH27" s="1931">
        <v>24.01089469281046</v>
      </c>
      <c r="FI27" s="1931">
        <v>15.137431573675718</v>
      </c>
      <c r="FJ27" s="1931">
        <v>10.076705882352943</v>
      </c>
      <c r="FK27" s="1931">
        <v>3.3262709533559347</v>
      </c>
      <c r="FL27" s="1931">
        <v>0</v>
      </c>
      <c r="FM27" s="1931">
        <v>0</v>
      </c>
      <c r="FN27" s="1931">
        <v>53.563447058823535</v>
      </c>
      <c r="FO27" s="1942">
        <v>162.21514564411825</v>
      </c>
      <c r="FP27" s="1930">
        <v>26.615158666666662</v>
      </c>
      <c r="FQ27" s="1931">
        <v>11.790094110743386</v>
      </c>
      <c r="FR27" s="1931">
        <v>12.740000000000002</v>
      </c>
      <c r="FS27" s="1931">
        <v>9.4719074795469371</v>
      </c>
      <c r="FT27" s="1931">
        <v>23.300251869281048</v>
      </c>
      <c r="FU27" s="1931">
        <v>14.279002839641157</v>
      </c>
      <c r="FV27" s="1931">
        <v>10.076705882352943</v>
      </c>
      <c r="FW27" s="1931">
        <v>4.0327370543241736</v>
      </c>
      <c r="FX27" s="1931">
        <v>0</v>
      </c>
      <c r="FY27" s="1931">
        <v>0</v>
      </c>
      <c r="FZ27" s="1931">
        <v>53.563447058823535</v>
      </c>
      <c r="GA27" s="1942">
        <v>170.20420395633076</v>
      </c>
      <c r="GB27" s="1930">
        <v>25.991062666666668</v>
      </c>
      <c r="GC27" s="1931">
        <v>5.858194797084936</v>
      </c>
      <c r="GD27" s="1931">
        <v>13.877500000000001</v>
      </c>
      <c r="GE27" s="1931">
        <v>12.842263397938151</v>
      </c>
      <c r="GF27" s="1931">
        <v>22.826489986928102</v>
      </c>
      <c r="GG27" s="1931">
        <v>9.0794127466222641</v>
      </c>
      <c r="GH27" s="1931">
        <v>10.976411764705883</v>
      </c>
      <c r="GI27" s="1931">
        <v>5.8227017338110345</v>
      </c>
      <c r="GJ27" s="1931">
        <v>0</v>
      </c>
      <c r="GK27" s="1931">
        <v>0</v>
      </c>
      <c r="GL27" s="1931">
        <v>57.961094117647065</v>
      </c>
      <c r="GM27" s="1942">
        <v>206.15593936105296</v>
      </c>
      <c r="GN27" s="1930">
        <v>24.270666666666664</v>
      </c>
      <c r="GO27" s="1931">
        <v>4.6704343715579935</v>
      </c>
      <c r="GP27" s="1931">
        <v>13.923000000000002</v>
      </c>
      <c r="GQ27" s="1931">
        <v>13.556379276324138</v>
      </c>
      <c r="GR27" s="1931">
        <v>21.688175163398693</v>
      </c>
      <c r="GS27" s="1931">
        <v>7.6644093076938011</v>
      </c>
      <c r="GT27" s="1931">
        <v>11.012400000000001</v>
      </c>
      <c r="GU27" s="1931">
        <v>6.1493294315994014</v>
      </c>
      <c r="GV27" s="1931">
        <v>0</v>
      </c>
      <c r="GW27" s="1931">
        <v>0</v>
      </c>
      <c r="GX27" s="1931">
        <v>58.137</v>
      </c>
      <c r="GY27" s="1942">
        <v>214.79928900361114</v>
      </c>
      <c r="GZ27" s="1930">
        <v>36.428366666666662</v>
      </c>
      <c r="HA27" s="1931">
        <v>20.607607872263028</v>
      </c>
      <c r="HB27" s="1931">
        <v>10.146500000000001</v>
      </c>
      <c r="HC27" s="1931">
        <v>3.5228832363273015</v>
      </c>
      <c r="HD27" s="1931">
        <v>33.455386928104573</v>
      </c>
      <c r="HE27" s="1931">
        <v>22.369012372068411</v>
      </c>
      <c r="HF27" s="1931">
        <v>8.0253764705882364</v>
      </c>
      <c r="HG27" s="1931">
        <v>1.0154653164177119</v>
      </c>
      <c r="HH27" s="1931">
        <v>40.304803361344533</v>
      </c>
      <c r="HI27" s="1931">
        <v>2.2557531010289198</v>
      </c>
      <c r="HJ27" s="1931">
        <v>43.536811764705888</v>
      </c>
      <c r="HK27" s="1942">
        <v>118.13634937053459</v>
      </c>
      <c r="HL27" s="1930">
        <v>38.114533333333334</v>
      </c>
      <c r="HM27" s="1931">
        <v>21.061751564376266</v>
      </c>
      <c r="HN27" s="1931">
        <v>9.9190000000000005</v>
      </c>
      <c r="HO27" s="1931">
        <v>3.4805103209842572</v>
      </c>
      <c r="HP27" s="1931">
        <v>35.093994771241832</v>
      </c>
      <c r="HQ27" s="1931">
        <v>22.734045151494332</v>
      </c>
      <c r="HR27" s="1931">
        <v>7.8454352941176477</v>
      </c>
      <c r="HS27" s="1931">
        <v>1.0025868469327481</v>
      </c>
      <c r="HT27" s="1931">
        <v>41.669666106442577</v>
      </c>
      <c r="HU27" s="1931">
        <v>2.971916936715195</v>
      </c>
      <c r="HV27" s="1931">
        <v>42.657282352941181</v>
      </c>
      <c r="HW27" s="1942">
        <v>117.32196336253369</v>
      </c>
      <c r="HX27" s="1930">
        <v>38.789000000000001</v>
      </c>
      <c r="HY27" s="1931">
        <v>13.898049791992701</v>
      </c>
      <c r="HZ27" s="1931">
        <v>12.467000000000002</v>
      </c>
      <c r="IA27" s="1931">
        <v>7.6527868617141541</v>
      </c>
      <c r="IB27" s="1931">
        <v>35.749437908496731</v>
      </c>
      <c r="IC27" s="1931">
        <v>16.302728523381511</v>
      </c>
      <c r="ID27" s="1931">
        <v>9.8607764705882364</v>
      </c>
      <c r="IE27" s="1931">
        <v>3.0031027736719635</v>
      </c>
      <c r="IF27" s="1931">
        <v>0</v>
      </c>
      <c r="IG27" s="1931">
        <v>0</v>
      </c>
      <c r="IH27" s="1931">
        <v>52.508011764705884</v>
      </c>
      <c r="II27" s="1942">
        <v>154.8835384756176</v>
      </c>
      <c r="IJ27" s="1930">
        <v>38.789000000000001</v>
      </c>
      <c r="IK27" s="1931">
        <v>20.357694479561655</v>
      </c>
      <c r="IL27" s="1931">
        <v>10.920000000000002</v>
      </c>
      <c r="IM27" s="1931">
        <v>5.7704762568850123</v>
      </c>
      <c r="IN27" s="1931">
        <v>35.749437908496731</v>
      </c>
      <c r="IO27" s="1931">
        <v>21.832615752484923</v>
      </c>
      <c r="IP27" s="1931">
        <v>8.637176470588237</v>
      </c>
      <c r="IQ27" s="1931">
        <v>2.1364274928049434</v>
      </c>
      <c r="IR27" s="1931">
        <v>42.488583753501409</v>
      </c>
      <c r="IS27" s="1931">
        <v>2.1125203338916676</v>
      </c>
      <c r="IT27" s="1931">
        <v>46.527211764705882</v>
      </c>
      <c r="IU27" s="1942">
        <v>129.40102244486542</v>
      </c>
      <c r="IV27" s="1930">
        <v>27.046166666666664</v>
      </c>
      <c r="IW27" s="1931">
        <v>4.9579691352036566</v>
      </c>
      <c r="IX27" s="1931">
        <v>13.923000000000002</v>
      </c>
      <c r="IY27" s="1931">
        <v>14.418603412347718</v>
      </c>
      <c r="IZ27" s="1931">
        <v>24.340022222222224</v>
      </c>
      <c r="JA27" s="1931">
        <v>7.9411924041815807</v>
      </c>
      <c r="JB27" s="1931">
        <v>11.012400000000001</v>
      </c>
      <c r="JC27" s="1931">
        <v>6.7383646588091173</v>
      </c>
      <c r="JD27" s="1931">
        <v>0</v>
      </c>
      <c r="JE27" s="1931">
        <v>0</v>
      </c>
      <c r="JF27" s="1931">
        <v>58.137</v>
      </c>
      <c r="JG27" s="1942">
        <v>216.66562297256274</v>
      </c>
      <c r="JH27" s="1930">
        <v>35.753900000000002</v>
      </c>
      <c r="JI27" s="1931">
        <v>15.341098091784479</v>
      </c>
      <c r="JJ27" s="1931">
        <v>12.012</v>
      </c>
      <c r="JK27" s="1931">
        <v>6.4429405952548526</v>
      </c>
      <c r="JL27" s="1931">
        <v>32.799943790849674</v>
      </c>
      <c r="JM27" s="1931">
        <v>17.500116266882991</v>
      </c>
      <c r="JN27" s="1931">
        <v>9.5008941176470589</v>
      </c>
      <c r="JO27" s="1931">
        <v>2.3461085773118882</v>
      </c>
      <c r="JP27" s="1931">
        <v>0</v>
      </c>
      <c r="JQ27" s="1931">
        <v>0</v>
      </c>
      <c r="JR27" s="1931">
        <v>50.748952941176469</v>
      </c>
      <c r="JS27" s="1942">
        <v>146.01568832863416</v>
      </c>
      <c r="JT27" s="1930">
        <v>40.475166666666659</v>
      </c>
      <c r="JU27" s="1931">
        <v>13.114719104116904</v>
      </c>
      <c r="JV27" s="1931">
        <v>12.6035</v>
      </c>
      <c r="JW27" s="1931">
        <v>8.102654048700213</v>
      </c>
      <c r="JX27" s="1931">
        <v>37.388045751633982</v>
      </c>
      <c r="JY27" s="1931">
        <v>15.567648777999111</v>
      </c>
      <c r="JZ27" s="1931">
        <v>9.9687411764705889</v>
      </c>
      <c r="KA27" s="1931">
        <v>3.2388598244294533</v>
      </c>
      <c r="KB27" s="1931">
        <v>0</v>
      </c>
      <c r="KC27" s="1931">
        <v>0</v>
      </c>
      <c r="KD27" s="1931">
        <v>53.035729411764706</v>
      </c>
      <c r="KE27" s="1942">
        <v>159.62225579039949</v>
      </c>
      <c r="KF27" s="1930">
        <v>26.619166666666665</v>
      </c>
      <c r="KG27" s="1931">
        <v>9.6080545959744352</v>
      </c>
      <c r="KH27" s="1931">
        <v>12.831000000000001</v>
      </c>
      <c r="KI27" s="1931">
        <v>11.171584665791586</v>
      </c>
      <c r="KJ27" s="1931">
        <v>23.932045751633986</v>
      </c>
      <c r="KK27" s="1931">
        <v>12.057839545784228</v>
      </c>
      <c r="KL27" s="1931">
        <v>10.148682352941178</v>
      </c>
      <c r="KM27" s="1931">
        <v>4.9722014548240345</v>
      </c>
      <c r="KN27" s="1931">
        <v>0</v>
      </c>
      <c r="KO27" s="1931">
        <v>0</v>
      </c>
      <c r="KP27" s="1931">
        <v>53.915258823529413</v>
      </c>
      <c r="KQ27" s="1942">
        <v>186.05342469558545</v>
      </c>
      <c r="KR27" s="1930">
        <v>39.463466666666662</v>
      </c>
      <c r="KS27" s="1931">
        <v>16.577228851382657</v>
      </c>
      <c r="KT27" s="1931">
        <v>11.511500000000002</v>
      </c>
      <c r="KU27" s="1931">
        <v>5.1190647357124277</v>
      </c>
      <c r="KV27" s="1931">
        <v>36.40488104575163</v>
      </c>
      <c r="KW27" s="1931">
        <v>18.512981946059277</v>
      </c>
      <c r="KX27" s="1931">
        <v>9.105023529411767</v>
      </c>
      <c r="KY27" s="1931">
        <v>1.6900300316944719</v>
      </c>
      <c r="KZ27" s="1931">
        <v>0</v>
      </c>
      <c r="LA27" s="1931">
        <v>0</v>
      </c>
      <c r="LB27" s="1931">
        <v>48.813988235294126</v>
      </c>
      <c r="LC27" s="1942">
        <v>136.75549224186554</v>
      </c>
      <c r="LD27" s="1930">
        <v>19.573666666666664</v>
      </c>
      <c r="LE27" s="1931">
        <v>7.5939676300639327</v>
      </c>
      <c r="LF27" s="1931">
        <v>13.104000000000003</v>
      </c>
      <c r="LG27" s="1931">
        <v>12.446172546905652</v>
      </c>
      <c r="LH27" s="1931">
        <v>17.200433986928104</v>
      </c>
      <c r="LI27" s="1931">
        <v>10.336970728490646</v>
      </c>
      <c r="LJ27" s="1931">
        <v>10.364611764705884</v>
      </c>
      <c r="LK27" s="1931">
        <v>5.7579696379229661</v>
      </c>
      <c r="LL27" s="1931">
        <v>0</v>
      </c>
      <c r="LM27" s="1931">
        <v>0</v>
      </c>
      <c r="LN27" s="1931">
        <v>54.970694117647071</v>
      </c>
      <c r="LO27" s="1942">
        <v>198.21918717821185</v>
      </c>
      <c r="LP27" s="1930">
        <v>39.463466666666662</v>
      </c>
      <c r="LQ27" s="1931">
        <v>11.788750490352516</v>
      </c>
      <c r="LR27" s="1931">
        <v>13.240500000000003</v>
      </c>
      <c r="LS27" s="1931">
        <v>8.1911707738913897</v>
      </c>
      <c r="LT27" s="1931">
        <v>36.40488104575163</v>
      </c>
      <c r="LU27" s="1931">
        <v>14.403354665599437</v>
      </c>
      <c r="LV27" s="1931">
        <v>10.472576470588237</v>
      </c>
      <c r="LW27" s="1931">
        <v>3.2515309509491419</v>
      </c>
      <c r="LX27" s="1931">
        <v>0</v>
      </c>
      <c r="LY27" s="1931">
        <v>0</v>
      </c>
      <c r="LZ27" s="1931">
        <v>55.498411764705892</v>
      </c>
      <c r="MA27" s="1942">
        <v>164.89789348792172</v>
      </c>
      <c r="MB27" s="1930">
        <v>20.427666666666667</v>
      </c>
      <c r="MC27" s="1931">
        <v>1.5595738497534257</v>
      </c>
      <c r="MD27" s="1931">
        <v>17.563000000000002</v>
      </c>
      <c r="ME27" s="1931">
        <v>28.368192667973176</v>
      </c>
      <c r="MF27" s="1931">
        <v>18.016386928104581</v>
      </c>
      <c r="MG27" s="1931">
        <v>3.9002762514746228</v>
      </c>
      <c r="MH27" s="1931">
        <v>13.891458823529414</v>
      </c>
      <c r="MI27" s="1931">
        <v>16.122969834177134</v>
      </c>
      <c r="MJ27" s="1931">
        <v>0</v>
      </c>
      <c r="MK27" s="1931">
        <v>0</v>
      </c>
      <c r="ML27" s="1931">
        <v>72.209470588235291</v>
      </c>
      <c r="MM27" s="1942">
        <v>283.98313268263433</v>
      </c>
      <c r="MN27" s="1930">
        <v>18.292666666666666</v>
      </c>
      <c r="MO27" s="1931">
        <v>2.4405066744401842</v>
      </c>
      <c r="MP27" s="1931">
        <v>14.514500000000002</v>
      </c>
      <c r="MQ27" s="1931">
        <v>20.012937791240585</v>
      </c>
      <c r="MR27" s="1931">
        <v>15.976504575163403</v>
      </c>
      <c r="MS27" s="1931">
        <v>5.0023944508951619</v>
      </c>
      <c r="MT27" s="1931">
        <v>11.480247058823529</v>
      </c>
      <c r="MU27" s="1931">
        <v>10.178699537610795</v>
      </c>
      <c r="MV27" s="1931">
        <v>0</v>
      </c>
      <c r="MW27" s="1931">
        <v>0</v>
      </c>
      <c r="MX27" s="1931">
        <v>60.42377647058823</v>
      </c>
      <c r="MY27" s="1942">
        <v>250.20066576213307</v>
      </c>
      <c r="MZ27" s="1930">
        <v>31.70709999999999</v>
      </c>
      <c r="NA27" s="1931">
        <v>9.9385852121278582</v>
      </c>
      <c r="NB27" s="1931">
        <v>13.786500000000004</v>
      </c>
      <c r="NC27" s="1931">
        <v>9.7488845954324699</v>
      </c>
      <c r="ND27" s="1931">
        <v>28.867284967320252</v>
      </c>
      <c r="NE27" s="1931">
        <v>12.522153218515538</v>
      </c>
      <c r="NF27" s="1931">
        <v>10.904435294117649</v>
      </c>
      <c r="NG27" s="1931">
        <v>4.0900606529431585</v>
      </c>
      <c r="NH27" s="1931">
        <v>0</v>
      </c>
      <c r="NI27" s="1931">
        <v>0</v>
      </c>
      <c r="NJ27" s="1931">
        <v>57.609282352941186</v>
      </c>
      <c r="NK27" s="1942">
        <v>178.79449921713586</v>
      </c>
      <c r="NL27" s="1930">
        <v>32.381566666666664</v>
      </c>
      <c r="NM27" s="1931">
        <v>13.312416013596351</v>
      </c>
      <c r="NN27" s="1931">
        <v>12.967500000000001</v>
      </c>
      <c r="NO27" s="1931">
        <v>8.403360665356022</v>
      </c>
      <c r="NP27" s="1931">
        <v>29.522728104575169</v>
      </c>
      <c r="NQ27" s="1931">
        <v>15.749162330405955</v>
      </c>
      <c r="NR27" s="1931">
        <v>10.256647058823532</v>
      </c>
      <c r="NS27" s="1931">
        <v>3.4280941682088355</v>
      </c>
      <c r="NT27" s="1931">
        <v>0</v>
      </c>
      <c r="NU27" s="1931">
        <v>0</v>
      </c>
      <c r="NV27" s="1931">
        <v>54.442976470588242</v>
      </c>
      <c r="NW27" s="1942">
        <v>160.01826365595755</v>
      </c>
      <c r="NX27" s="1930">
        <v>26.832666666666668</v>
      </c>
      <c r="NY27" s="1931">
        <v>5.7451459722301417</v>
      </c>
      <c r="NZ27" s="1931">
        <v>15.015000000000002</v>
      </c>
      <c r="OA27" s="1931">
        <v>17.312339192165609</v>
      </c>
      <c r="OB27" s="1931">
        <v>24.136033986928108</v>
      </c>
      <c r="OC27" s="1931">
        <v>8.7592653227870052</v>
      </c>
      <c r="OD27" s="1931">
        <v>11.876117647058825</v>
      </c>
      <c r="OE27" s="1931">
        <v>8.8688513455411311</v>
      </c>
      <c r="OF27" s="1931">
        <v>0</v>
      </c>
      <c r="OG27" s="1931">
        <v>0</v>
      </c>
      <c r="OH27" s="1931">
        <v>62.358741176470588</v>
      </c>
      <c r="OI27" s="1932">
        <v>223.1955359882833</v>
      </c>
      <c r="OJ27" s="1930">
        <v>38.114533333333334</v>
      </c>
      <c r="OK27" s="1931">
        <v>15.757138261231054</v>
      </c>
      <c r="OL27" s="1931">
        <v>12.285000000000002</v>
      </c>
      <c r="OM27" s="1931">
        <v>8.0840934165103917</v>
      </c>
      <c r="ON27" s="1931">
        <v>35.093994771241832</v>
      </c>
      <c r="OO27" s="1931">
        <v>18.014571804920053</v>
      </c>
      <c r="OP27" s="1931">
        <v>9.7168235294117657</v>
      </c>
      <c r="OQ27" s="1931">
        <v>3.3684824060660916</v>
      </c>
      <c r="OR27" s="1931">
        <v>0</v>
      </c>
      <c r="OS27" s="1931">
        <v>0</v>
      </c>
      <c r="OT27" s="1931">
        <v>51.804388235294127</v>
      </c>
      <c r="OU27" s="1932">
        <v>149.54664192049447</v>
      </c>
      <c r="OV27" s="1930">
        <v>26.192166666666665</v>
      </c>
      <c r="OW27" s="1931">
        <v>4.0864416532529724</v>
      </c>
      <c r="OX27" s="1931">
        <v>16.926000000000002</v>
      </c>
      <c r="OY27" s="1931">
        <v>23.08772434083636</v>
      </c>
      <c r="OZ27" s="1931">
        <v>23.524069281045755</v>
      </c>
      <c r="PA27" s="1931">
        <v>6.9471383106369471</v>
      </c>
      <c r="PB27" s="1931">
        <v>13.387623529411769</v>
      </c>
      <c r="PC27" s="1931">
        <v>12.704653605863953</v>
      </c>
      <c r="PD27" s="1931">
        <v>0</v>
      </c>
      <c r="PE27" s="1931">
        <v>0</v>
      </c>
      <c r="PF27" s="1931">
        <v>69.746788235294119</v>
      </c>
      <c r="PG27" s="1932">
        <v>252.25138991673035</v>
      </c>
      <c r="PH27" s="1930">
        <v>40.319146666666661</v>
      </c>
      <c r="PI27" s="1931">
        <v>14.270232640263021</v>
      </c>
      <c r="PJ27" s="1931">
        <v>13.104000000000003</v>
      </c>
      <c r="PK27" s="1931">
        <v>7.135422049065471</v>
      </c>
      <c r="PL27" s="1931">
        <v>36.275651241830069</v>
      </c>
      <c r="PM27" s="1931">
        <v>16.761025172276131</v>
      </c>
      <c r="PN27" s="1931">
        <v>10.364611764705884</v>
      </c>
      <c r="PO27" s="1931">
        <v>2.7590899115276453</v>
      </c>
      <c r="PP27" s="1931">
        <v>0</v>
      </c>
      <c r="PQ27" s="1931">
        <v>0</v>
      </c>
      <c r="PR27" s="1931">
        <v>54.970694117647071</v>
      </c>
      <c r="PS27" s="1932">
        <v>150.49608781260631</v>
      </c>
      <c r="PT27" s="1930">
        <v>29.346466666666661</v>
      </c>
      <c r="PU27" s="1931">
        <v>12.44712448187763</v>
      </c>
      <c r="PV27" s="1931">
        <v>12.876500000000002</v>
      </c>
      <c r="PW27" s="1931">
        <v>8.8532059221841557</v>
      </c>
      <c r="PX27" s="1931">
        <v>26.573233986928102</v>
      </c>
      <c r="PY27" s="1931">
        <v>14.861651314494058</v>
      </c>
      <c r="PZ27" s="1931">
        <v>10.184670588235296</v>
      </c>
      <c r="QA27" s="1931">
        <v>3.6462387943301899</v>
      </c>
      <c r="QB27" s="1931">
        <v>0</v>
      </c>
      <c r="QC27" s="1931">
        <v>0</v>
      </c>
      <c r="QD27" s="1931">
        <v>54.091164705882356</v>
      </c>
      <c r="QE27" s="1932">
        <v>165.46565428276642</v>
      </c>
      <c r="QF27" s="1930">
        <v>22.776166666666661</v>
      </c>
      <c r="QG27" s="1931">
        <v>3.1391892776913277</v>
      </c>
      <c r="QH27" s="1931">
        <v>14.605500000000003</v>
      </c>
      <c r="QI27" s="1931">
        <v>19.120438433412311</v>
      </c>
      <c r="QJ27" s="1931">
        <v>20.26025751633987</v>
      </c>
      <c r="QK27" s="1931">
        <v>5.9663634252563398</v>
      </c>
      <c r="QL27" s="1931">
        <v>11.552223529411766</v>
      </c>
      <c r="QM27" s="1931">
        <v>9.7765002843409459</v>
      </c>
      <c r="QN27" s="1931">
        <v>0</v>
      </c>
      <c r="QO27" s="1931">
        <v>0</v>
      </c>
      <c r="QP27" s="1931">
        <v>60.775588235294123</v>
      </c>
      <c r="QQ27" s="1932">
        <v>242.64998380968103</v>
      </c>
      <c r="QR27" s="1930">
        <v>36.428366666666662</v>
      </c>
      <c r="QS27" s="1931">
        <v>13.147150705519643</v>
      </c>
      <c r="QT27" s="1931">
        <v>13.058500000000002</v>
      </c>
      <c r="QU27" s="1931">
        <v>8.2965245019252105</v>
      </c>
      <c r="QV27" s="1931">
        <v>33.455386928104573</v>
      </c>
      <c r="QW27" s="1931">
        <v>15.596731059876452</v>
      </c>
      <c r="QX27" s="1931">
        <v>10.328623529411766</v>
      </c>
      <c r="QY27" s="1931">
        <v>3.3547279959791614</v>
      </c>
      <c r="QZ27" s="1931">
        <v>0</v>
      </c>
      <c r="RA27" s="1931">
        <v>0</v>
      </c>
      <c r="RB27" s="1931">
        <v>54.794788235294121</v>
      </c>
      <c r="RC27" s="1932">
        <v>160.25966851590465</v>
      </c>
      <c r="RD27" s="1930">
        <v>38.451766666666664</v>
      </c>
      <c r="RE27" s="1931">
        <v>12.785532108354348</v>
      </c>
      <c r="RF27" s="1931">
        <v>12.967500000000001</v>
      </c>
      <c r="RG27" s="1931">
        <v>8.016789706577752</v>
      </c>
      <c r="RH27" s="1931">
        <v>35.421716339869278</v>
      </c>
      <c r="RI27" s="1931">
        <v>15.352038757184358</v>
      </c>
      <c r="RJ27" s="1931">
        <v>10.256647058823532</v>
      </c>
      <c r="RK27" s="1931">
        <v>3.1866436452362614</v>
      </c>
      <c r="RL27" s="1931">
        <v>0</v>
      </c>
      <c r="RM27" s="1931">
        <v>0</v>
      </c>
      <c r="RN27" s="1931">
        <v>54.442976470588242</v>
      </c>
      <c r="RO27" s="1932">
        <v>160.19391156959381</v>
      </c>
    </row>
    <row r="28" spans="1:483">
      <c r="A28" s="634">
        <f>Eingabedaten!A30</f>
        <v>7.02</v>
      </c>
      <c r="B28" s="379" t="str">
        <f>Eingabedaten!C30</f>
        <v>Mehrzweckhalle</v>
      </c>
      <c r="C28" s="1122"/>
      <c r="D28" s="1930">
        <v>41.197262745098037</v>
      </c>
      <c r="E28" s="1931">
        <v>6.4776528988855144</v>
      </c>
      <c r="F28" s="1931">
        <v>22.827709803921572</v>
      </c>
      <c r="G28" s="1931">
        <v>12.498044267012551</v>
      </c>
      <c r="H28" s="1931">
        <v>35.128258823529407</v>
      </c>
      <c r="I28" s="1931">
        <v>7.0026874336338052</v>
      </c>
      <c r="J28" s="1931">
        <v>18.178419607843143</v>
      </c>
      <c r="K28" s="1931">
        <v>6.0889109720301331</v>
      </c>
      <c r="L28" s="1931">
        <v>0</v>
      </c>
      <c r="M28" s="1931">
        <v>0</v>
      </c>
      <c r="N28" s="1931">
        <v>66.589925490196094</v>
      </c>
      <c r="O28" s="1942">
        <v>168.10807634004118</v>
      </c>
      <c r="P28" s="1930">
        <v>55.279952549019612</v>
      </c>
      <c r="Q28" s="1931">
        <v>23.533239045125374</v>
      </c>
      <c r="R28" s="1931">
        <v>19.511260784313727</v>
      </c>
      <c r="S28" s="1931">
        <v>10.104525206494728</v>
      </c>
      <c r="T28" s="1931">
        <v>47.223915294117646</v>
      </c>
      <c r="U28" s="1931">
        <v>21.174390083397881</v>
      </c>
      <c r="V28" s="1931">
        <v>15.493521568627454</v>
      </c>
      <c r="W28" s="1931">
        <v>5.483279827631959</v>
      </c>
      <c r="X28" s="1931">
        <v>73.106007843137263</v>
      </c>
      <c r="Y28" s="1931">
        <v>1.2929514034989686</v>
      </c>
      <c r="Z28" s="1931">
        <v>57.328898039215701</v>
      </c>
      <c r="AA28" s="1942">
        <v>119.61446455099305</v>
      </c>
      <c r="AB28" s="1930">
        <v>54.104877254901965</v>
      </c>
      <c r="AC28" s="1931">
        <v>20.889621741869291</v>
      </c>
      <c r="AD28" s="1931">
        <v>19.581823529411771</v>
      </c>
      <c r="AE28" s="1931">
        <v>12.004139768582466</v>
      </c>
      <c r="AF28" s="1931">
        <v>49.700202352941183</v>
      </c>
      <c r="AG28" s="1931">
        <v>18.970701449346986</v>
      </c>
      <c r="AH28" s="1931">
        <v>15.550647058823534</v>
      </c>
      <c r="AI28" s="1931">
        <v>6.9325164108705284</v>
      </c>
      <c r="AJ28" s="1931">
        <v>0</v>
      </c>
      <c r="AK28" s="1931">
        <v>0</v>
      </c>
      <c r="AL28" s="1931">
        <v>57.52594117647061</v>
      </c>
      <c r="AM28" s="1942">
        <v>127.72305244462463</v>
      </c>
      <c r="AN28" s="1930">
        <v>59.034867058823536</v>
      </c>
      <c r="AO28" s="1931">
        <v>26.720996298991665</v>
      </c>
      <c r="AP28" s="1931">
        <v>20.216888235294121</v>
      </c>
      <c r="AQ28" s="1931">
        <v>8.4861063987849406</v>
      </c>
      <c r="AR28" s="1931">
        <v>50.128002352941174</v>
      </c>
      <c r="AS28" s="1931">
        <v>24.022214644012436</v>
      </c>
      <c r="AT28" s="1931">
        <v>16.064776470588239</v>
      </c>
      <c r="AU28" s="1931">
        <v>4.4198921511953229</v>
      </c>
      <c r="AV28" s="1931">
        <v>80.651129411764714</v>
      </c>
      <c r="AW28" s="1931">
        <v>4.1913667548978397</v>
      </c>
      <c r="AX28" s="1931">
        <v>59.299329411764724</v>
      </c>
      <c r="AY28" s="1942">
        <v>110.72853473709121</v>
      </c>
      <c r="AZ28" s="1930">
        <v>56.182283137254906</v>
      </c>
      <c r="BA28" s="1931">
        <v>22.663458823730853</v>
      </c>
      <c r="BB28" s="1931">
        <v>20.851952941176474</v>
      </c>
      <c r="BC28" s="1931">
        <v>11.638812849589888</v>
      </c>
      <c r="BD28" s="1931">
        <v>47.898710588235303</v>
      </c>
      <c r="BE28" s="1931">
        <v>19.95079762654445</v>
      </c>
      <c r="BF28" s="1931">
        <v>16.578905882352945</v>
      </c>
      <c r="BG28" s="1931">
        <v>6.3215974973047704</v>
      </c>
      <c r="BH28" s="1931">
        <v>74.692454901960801</v>
      </c>
      <c r="BI28" s="1931">
        <v>0.31321840866003747</v>
      </c>
      <c r="BJ28" s="1931">
        <v>61.072717647058838</v>
      </c>
      <c r="BK28" s="1942">
        <v>129.20106933799335</v>
      </c>
      <c r="BL28" s="1930">
        <v>57.159159215686273</v>
      </c>
      <c r="BM28" s="1931">
        <v>23.728597785952928</v>
      </c>
      <c r="BN28" s="1931">
        <v>20.640264705882359</v>
      </c>
      <c r="BO28" s="1931">
        <v>12.444532815136268</v>
      </c>
      <c r="BP28" s="1931">
        <v>48.737755294117648</v>
      </c>
      <c r="BQ28" s="1931">
        <v>20.830925492107262</v>
      </c>
      <c r="BR28" s="1931">
        <v>16.407529411764713</v>
      </c>
      <c r="BS28" s="1931">
        <v>7.1372889009869871</v>
      </c>
      <c r="BT28" s="1931">
        <v>77.47587450980393</v>
      </c>
      <c r="BU28" s="1931">
        <v>1.1805837963412971</v>
      </c>
      <c r="BV28" s="1931">
        <v>60.48158823529414</v>
      </c>
      <c r="BW28" s="1942">
        <v>128.43643348177457</v>
      </c>
      <c r="BX28" s="1930">
        <v>56.429307450980396</v>
      </c>
      <c r="BY28" s="1931">
        <v>21.832355396746159</v>
      </c>
      <c r="BZ28" s="1931">
        <v>20.710827450980393</v>
      </c>
      <c r="CA28" s="1931">
        <v>9.3305913650970922</v>
      </c>
      <c r="CB28" s="1931">
        <v>48.09533882352941</v>
      </c>
      <c r="CC28" s="1931">
        <v>19.769839373739277</v>
      </c>
      <c r="CD28" s="1931">
        <v>16.464654901960788</v>
      </c>
      <c r="CE28" s="1931">
        <v>4.7588696588991768</v>
      </c>
      <c r="CF28" s="1931">
        <v>0</v>
      </c>
      <c r="CG28" s="1931">
        <v>0</v>
      </c>
      <c r="CH28" s="1931">
        <v>60.678631372549027</v>
      </c>
      <c r="CI28" s="1942">
        <v>120.46653774034931</v>
      </c>
      <c r="CJ28" s="1930">
        <v>36.618000000000002</v>
      </c>
      <c r="CK28" s="1931">
        <v>3.9605773839894671</v>
      </c>
      <c r="CL28" s="1931">
        <v>24.874029411764713</v>
      </c>
      <c r="CM28" s="1931">
        <v>17.163150015946318</v>
      </c>
      <c r="CN28" s="1931">
        <v>30.596294117647059</v>
      </c>
      <c r="CO28" s="1931">
        <v>4.4808275401151398</v>
      </c>
      <c r="CP28" s="1931">
        <v>19.835058823529415</v>
      </c>
      <c r="CQ28" s="1931">
        <v>8.6829178124461173</v>
      </c>
      <c r="CR28" s="1931">
        <v>0</v>
      </c>
      <c r="CS28" s="1931">
        <v>0</v>
      </c>
      <c r="CT28" s="1931">
        <v>72.30417647058826</v>
      </c>
      <c r="CU28" s="1942">
        <v>195.39288370828291</v>
      </c>
      <c r="CV28" s="1930">
        <v>53.503344313725499</v>
      </c>
      <c r="CW28" s="1931">
        <v>10.23722781967348</v>
      </c>
      <c r="CX28" s="1931">
        <v>22.474896078431374</v>
      </c>
      <c r="CY28" s="1931">
        <v>11.294681602989417</v>
      </c>
      <c r="CZ28" s="1931">
        <v>45.742995294117648</v>
      </c>
      <c r="DA28" s="1931">
        <v>10.396956007241739</v>
      </c>
      <c r="DB28" s="1931">
        <v>17.89279215686275</v>
      </c>
      <c r="DC28" s="1931">
        <v>5.4677733739245538</v>
      </c>
      <c r="DD28" s="1931">
        <v>0</v>
      </c>
      <c r="DE28" s="1931">
        <v>0</v>
      </c>
      <c r="DF28" s="1931">
        <v>65.60470980392158</v>
      </c>
      <c r="DG28" s="1942">
        <v>153.66720474924387</v>
      </c>
      <c r="DH28" s="1930">
        <v>53.198827058823532</v>
      </c>
      <c r="DI28" s="1931">
        <v>8.7823053973859686</v>
      </c>
      <c r="DJ28" s="1931">
        <v>23.533337254901969</v>
      </c>
      <c r="DK28" s="1931">
        <v>18.340094154460051</v>
      </c>
      <c r="DL28" s="1931">
        <v>45.810647058823534</v>
      </c>
      <c r="DM28" s="1931">
        <v>9.2989650332178329</v>
      </c>
      <c r="DN28" s="1931">
        <v>18.749674509803924</v>
      </c>
      <c r="DO28" s="1931">
        <v>10.757100459050458</v>
      </c>
      <c r="DP28" s="1931">
        <v>0</v>
      </c>
      <c r="DQ28" s="1931">
        <v>0</v>
      </c>
      <c r="DR28" s="1931">
        <v>68.560356862745124</v>
      </c>
      <c r="DS28" s="1942">
        <v>172.52139653328993</v>
      </c>
      <c r="DT28" s="1930">
        <v>58.587090196078435</v>
      </c>
      <c r="DU28" s="1931">
        <v>28.871635231317846</v>
      </c>
      <c r="DV28" s="1931">
        <v>18.593945098039217</v>
      </c>
      <c r="DW28" s="1931">
        <v>8.176279964194844</v>
      </c>
      <c r="DX28" s="1931">
        <v>49.798070588235291</v>
      </c>
      <c r="DY28" s="1931">
        <v>25.655937694094636</v>
      </c>
      <c r="DZ28" s="1931">
        <v>14.750890196078435</v>
      </c>
      <c r="EA28" s="1931">
        <v>4.2334540387272659</v>
      </c>
      <c r="EB28" s="1931">
        <v>79.912313725490208</v>
      </c>
      <c r="EC28" s="1931">
        <v>6.5124438311014403</v>
      </c>
      <c r="ED28" s="1931">
        <v>54.76733725490196</v>
      </c>
      <c r="EE28" s="1942">
        <v>108.07669660066138</v>
      </c>
      <c r="EF28" s="1930">
        <v>56.404532549019606</v>
      </c>
      <c r="EG28" s="1931">
        <v>17.80626460047187</v>
      </c>
      <c r="EH28" s="1931">
        <v>21.416454901960783</v>
      </c>
      <c r="EI28" s="1931">
        <v>16.630708743443808</v>
      </c>
      <c r="EJ28" s="1931">
        <v>48.11800705882353</v>
      </c>
      <c r="EK28" s="1931">
        <v>16.38186390198549</v>
      </c>
      <c r="EL28" s="1931">
        <v>17.035909803921573</v>
      </c>
      <c r="EM28" s="1931">
        <v>10.040705874866395</v>
      </c>
      <c r="EN28" s="1931">
        <v>0</v>
      </c>
      <c r="EO28" s="1931">
        <v>0</v>
      </c>
      <c r="EP28" s="1931">
        <v>62.64906274509805</v>
      </c>
      <c r="EQ28" s="1942">
        <v>148.98679922966528</v>
      </c>
      <c r="ER28" s="1930">
        <v>18.797352941176481</v>
      </c>
      <c r="ES28" s="1931">
        <v>0</v>
      </c>
      <c r="ET28" s="1931">
        <v>26.496972549019613</v>
      </c>
      <c r="EU28" s="1931">
        <v>23.544619560957297</v>
      </c>
      <c r="EV28" s="1931">
        <v>12.462705882352942</v>
      </c>
      <c r="EW28" s="1931">
        <v>2.413115355259738E-2</v>
      </c>
      <c r="EX28" s="1931">
        <v>21.148945098039217</v>
      </c>
      <c r="EY28" s="1931">
        <v>12.562656908586195</v>
      </c>
      <c r="EZ28" s="1931">
        <v>0</v>
      </c>
      <c r="FA28" s="1931">
        <v>0</v>
      </c>
      <c r="FB28" s="1931">
        <v>76.836168627450988</v>
      </c>
      <c r="FC28" s="1942">
        <v>244.44885447838823</v>
      </c>
      <c r="FD28" s="1930">
        <v>54.563654509803925</v>
      </c>
      <c r="FE28" s="1931">
        <v>22.586916487330051</v>
      </c>
      <c r="FF28" s="1931">
        <v>20.569701960784318</v>
      </c>
      <c r="FG28" s="1931">
        <v>12.774228430810307</v>
      </c>
      <c r="FH28" s="1931">
        <v>46.611362352941178</v>
      </c>
      <c r="FI28" s="1931">
        <v>19.905130561818293</v>
      </c>
      <c r="FJ28" s="1931">
        <v>16.350403921568631</v>
      </c>
      <c r="FK28" s="1931">
        <v>7.2973101582517552</v>
      </c>
      <c r="FL28" s="1931">
        <v>71.091380392156864</v>
      </c>
      <c r="FM28" s="1931">
        <v>0.1793948792482721</v>
      </c>
      <c r="FN28" s="1931">
        <v>60.284545098039231</v>
      </c>
      <c r="FO28" s="1942">
        <v>131.34362530061378</v>
      </c>
      <c r="FP28" s="1930">
        <v>52.237837254901962</v>
      </c>
      <c r="FQ28" s="1931">
        <v>19.720716748430931</v>
      </c>
      <c r="FR28" s="1931">
        <v>20.569701960784318</v>
      </c>
      <c r="FS28" s="1931">
        <v>13.345672441696962</v>
      </c>
      <c r="FT28" s="1931">
        <v>44.808788235294124</v>
      </c>
      <c r="FU28" s="1931">
        <v>17.758483394539617</v>
      </c>
      <c r="FV28" s="1931">
        <v>16.350403921568631</v>
      </c>
      <c r="FW28" s="1931">
        <v>7.4945341556842093</v>
      </c>
      <c r="FX28" s="1931">
        <v>0</v>
      </c>
      <c r="FY28" s="1931">
        <v>0</v>
      </c>
      <c r="FZ28" s="1931">
        <v>60.284545098039231</v>
      </c>
      <c r="GA28" s="1942">
        <v>137.68476683626639</v>
      </c>
      <c r="GB28" s="1930">
        <v>51.406553333333335</v>
      </c>
      <c r="GC28" s="1931">
        <v>10.86928891025736</v>
      </c>
      <c r="GD28" s="1931">
        <v>22.333770588235296</v>
      </c>
      <c r="GE28" s="1931">
        <v>13.044450737055225</v>
      </c>
      <c r="GF28" s="1931">
        <v>47.211811764705892</v>
      </c>
      <c r="GG28" s="1931">
        <v>10.780661509708699</v>
      </c>
      <c r="GH28" s="1931">
        <v>17.778541176470593</v>
      </c>
      <c r="GI28" s="1931">
        <v>6.6798100826056164</v>
      </c>
      <c r="GJ28" s="1931">
        <v>0</v>
      </c>
      <c r="GK28" s="1931">
        <v>0</v>
      </c>
      <c r="GL28" s="1931">
        <v>65.210623529411777</v>
      </c>
      <c r="GM28" s="1942">
        <v>156.88283293895879</v>
      </c>
      <c r="GN28" s="1930">
        <v>49.274182352941182</v>
      </c>
      <c r="GO28" s="1931">
        <v>8.4167651617884989</v>
      </c>
      <c r="GP28" s="1931">
        <v>22.404333333333341</v>
      </c>
      <c r="GQ28" s="1931">
        <v>16.569576608311266</v>
      </c>
      <c r="GR28" s="1931">
        <v>42.608929411764706</v>
      </c>
      <c r="GS28" s="1931">
        <v>8.4491885876369839</v>
      </c>
      <c r="GT28" s="1931">
        <v>17.835666666666672</v>
      </c>
      <c r="GU28" s="1931">
        <v>9.1442413311221937</v>
      </c>
      <c r="GV28" s="1931">
        <v>0</v>
      </c>
      <c r="GW28" s="1931">
        <v>0</v>
      </c>
      <c r="GX28" s="1931">
        <v>65.407666666666685</v>
      </c>
      <c r="GY28" s="1942">
        <v>172.1929617618371</v>
      </c>
      <c r="GZ28" s="1930">
        <v>55.142303529411762</v>
      </c>
      <c r="HA28" s="1931">
        <v>34.882062652934941</v>
      </c>
      <c r="HB28" s="1931">
        <v>16.547625490196079</v>
      </c>
      <c r="HC28" s="1931">
        <v>4.3256658213964023</v>
      </c>
      <c r="HD28" s="1931">
        <v>47.233541176470588</v>
      </c>
      <c r="HE28" s="1931">
        <v>30.504491158937775</v>
      </c>
      <c r="HF28" s="1931">
        <v>13.094250980392161</v>
      </c>
      <c r="HG28" s="1931">
        <v>1.9213166268754944</v>
      </c>
      <c r="HH28" s="1931">
        <v>72.413694117647069</v>
      </c>
      <c r="HI28" s="1931">
        <v>12.3836723796698</v>
      </c>
      <c r="HJ28" s="1931">
        <v>49.053086274509809</v>
      </c>
      <c r="HK28" s="1942">
        <v>86.075987155164185</v>
      </c>
      <c r="HL28" s="1930">
        <v>57.355246666666673</v>
      </c>
      <c r="HM28" s="1931">
        <v>35.911286601865477</v>
      </c>
      <c r="HN28" s="1931">
        <v>16.194811764705882</v>
      </c>
      <c r="HO28" s="1931">
        <v>3.9743622438516972</v>
      </c>
      <c r="HP28" s="1931">
        <v>48.706268235294111</v>
      </c>
      <c r="HQ28" s="1931">
        <v>31.289553402026947</v>
      </c>
      <c r="HR28" s="1931">
        <v>12.808623529411769</v>
      </c>
      <c r="HS28" s="1931">
        <v>1.718589282296352</v>
      </c>
      <c r="HT28" s="1931">
        <v>76.070713725490194</v>
      </c>
      <c r="HU28" s="1931">
        <v>13.989793634015758</v>
      </c>
      <c r="HV28" s="1931">
        <v>48.067870588235301</v>
      </c>
      <c r="HW28" s="1942">
        <v>85.148219676290239</v>
      </c>
      <c r="HX28" s="1930">
        <v>57.691536470588225</v>
      </c>
      <c r="HY28" s="1931">
        <v>22.931467214258017</v>
      </c>
      <c r="HZ28" s="1931">
        <v>20.14632549019608</v>
      </c>
      <c r="IA28" s="1931">
        <v>12.024841220998669</v>
      </c>
      <c r="IB28" s="1931">
        <v>49.138207058823525</v>
      </c>
      <c r="IC28" s="1931">
        <v>20.375848508170517</v>
      </c>
      <c r="ID28" s="1931">
        <v>16.00765098039216</v>
      </c>
      <c r="IE28" s="1931">
        <v>6.810223022175002</v>
      </c>
      <c r="IF28" s="1931">
        <v>78.434682352941181</v>
      </c>
      <c r="IG28" s="1931">
        <v>0.96912054109660806</v>
      </c>
      <c r="IH28" s="1931">
        <v>59.102286274509815</v>
      </c>
      <c r="II28" s="1942">
        <v>127.83178191706087</v>
      </c>
      <c r="IJ28" s="1930">
        <v>56.441694901960787</v>
      </c>
      <c r="IK28" s="1931">
        <v>34.269294444351864</v>
      </c>
      <c r="IL28" s="1931">
        <v>17.747192156862749</v>
      </c>
      <c r="IM28" s="1931">
        <v>7.1680707699338928</v>
      </c>
      <c r="IN28" s="1931">
        <v>48.084004705882357</v>
      </c>
      <c r="IO28" s="1931">
        <v>30.039338563628345</v>
      </c>
      <c r="IP28" s="1931">
        <v>14.065384313725495</v>
      </c>
      <c r="IQ28" s="1931">
        <v>3.5507885691841166</v>
      </c>
      <c r="IR28" s="1931">
        <v>75.063043137254908</v>
      </c>
      <c r="IS28" s="1931">
        <v>12.659955448919867</v>
      </c>
      <c r="IT28" s="1931">
        <v>52.402819607843156</v>
      </c>
      <c r="IU28" s="1942">
        <v>100.17907361138406</v>
      </c>
      <c r="IV28" s="1930">
        <v>54.660262745098031</v>
      </c>
      <c r="IW28" s="1931">
        <v>9.9982612853891428</v>
      </c>
      <c r="IX28" s="1931">
        <v>22.404333333333341</v>
      </c>
      <c r="IY28" s="1931">
        <v>10.540041359039259</v>
      </c>
      <c r="IZ28" s="1931">
        <v>47.446964705882344</v>
      </c>
      <c r="JA28" s="1931">
        <v>10.003954867583802</v>
      </c>
      <c r="JB28" s="1931">
        <v>17.835666666666672</v>
      </c>
      <c r="JC28" s="1931">
        <v>4.8441041811553331</v>
      </c>
      <c r="JD28" s="1931">
        <v>0</v>
      </c>
      <c r="JE28" s="1931">
        <v>0</v>
      </c>
      <c r="JF28" s="1931">
        <v>65.407666666666685</v>
      </c>
      <c r="JG28" s="1942">
        <v>152.31847297612777</v>
      </c>
      <c r="JH28" s="1930">
        <v>52.603346274509811</v>
      </c>
      <c r="JI28" s="1931">
        <v>25.630304619941167</v>
      </c>
      <c r="JJ28" s="1931">
        <v>19.44069803921569</v>
      </c>
      <c r="JK28" s="1931">
        <v>10.337406161440464</v>
      </c>
      <c r="JL28" s="1931">
        <v>45.150595294117657</v>
      </c>
      <c r="JM28" s="1931">
        <v>22.889809609970946</v>
      </c>
      <c r="JN28" s="1931">
        <v>15.436396078431375</v>
      </c>
      <c r="JO28" s="1931">
        <v>5.7278172268495213</v>
      </c>
      <c r="JP28" s="1931">
        <v>67.696133333333336</v>
      </c>
      <c r="JQ28" s="1931">
        <v>4.2185909697272805</v>
      </c>
      <c r="JR28" s="1931">
        <v>57.131854901960793</v>
      </c>
      <c r="JS28" s="1942">
        <v>118.55636705078994</v>
      </c>
      <c r="JT28" s="1930">
        <v>57.527946274509802</v>
      </c>
      <c r="JU28" s="1931">
        <v>23.986228701450596</v>
      </c>
      <c r="JV28" s="1931">
        <v>20.358013725490199</v>
      </c>
      <c r="JW28" s="1931">
        <v>11.461538470925854</v>
      </c>
      <c r="JX28" s="1931">
        <v>48.970901176470583</v>
      </c>
      <c r="JY28" s="1931">
        <v>21.022491496117468</v>
      </c>
      <c r="JZ28" s="1931">
        <v>16.179027450980396</v>
      </c>
      <c r="KA28" s="1931">
        <v>6.3305970638190416</v>
      </c>
      <c r="KB28" s="1931">
        <v>77.705309803921551</v>
      </c>
      <c r="KC28" s="1931">
        <v>1.3845433850906985</v>
      </c>
      <c r="KD28" s="1931">
        <v>59.69341568627452</v>
      </c>
      <c r="KE28" s="1942">
        <v>125.34152011893988</v>
      </c>
      <c r="KF28" s="1930">
        <v>52.923529019607848</v>
      </c>
      <c r="KG28" s="1931">
        <v>15.503321206823845</v>
      </c>
      <c r="KH28" s="1931">
        <v>20.710827450980393</v>
      </c>
      <c r="KI28" s="1931">
        <v>16.784673320412406</v>
      </c>
      <c r="KJ28" s="1931">
        <v>45.238021176470589</v>
      </c>
      <c r="KK28" s="1931">
        <v>14.506290841945473</v>
      </c>
      <c r="KL28" s="1931">
        <v>16.464654901960788</v>
      </c>
      <c r="KM28" s="1931">
        <v>10.166172739449047</v>
      </c>
      <c r="KN28" s="1931">
        <v>0</v>
      </c>
      <c r="KO28" s="1931">
        <v>0</v>
      </c>
      <c r="KP28" s="1931">
        <v>60.678631372549027</v>
      </c>
      <c r="KQ28" s="1942">
        <v>154.1342378867669</v>
      </c>
      <c r="KR28" s="1930">
        <v>54.433948627450981</v>
      </c>
      <c r="KS28" s="1931">
        <v>29.475302309866599</v>
      </c>
      <c r="KT28" s="1931">
        <v>18.664507843137258</v>
      </c>
      <c r="KU28" s="1931">
        <v>7.129935320054142</v>
      </c>
      <c r="KV28" s="1931">
        <v>46.518715294117648</v>
      </c>
      <c r="KW28" s="1931">
        <v>26.169820698352627</v>
      </c>
      <c r="KX28" s="1931">
        <v>14.808015686274514</v>
      </c>
      <c r="KY28" s="1931">
        <v>3.5875899358349201</v>
      </c>
      <c r="KZ28" s="1931">
        <v>70.906086274509804</v>
      </c>
      <c r="LA28" s="1931">
        <v>6.5947967722779168</v>
      </c>
      <c r="LB28" s="1931">
        <v>54.964380392156869</v>
      </c>
      <c r="LC28" s="1942">
        <v>103.21284676737244</v>
      </c>
      <c r="LD28" s="1930">
        <v>42.729552941176465</v>
      </c>
      <c r="LE28" s="1931">
        <v>11.413177386671224</v>
      </c>
      <c r="LF28" s="1931">
        <v>21.134203921568631</v>
      </c>
      <c r="LG28" s="1931">
        <v>14.500761133834711</v>
      </c>
      <c r="LH28" s="1931">
        <v>36.0426</v>
      </c>
      <c r="LI28" s="1931">
        <v>11.36344736115162</v>
      </c>
      <c r="LJ28" s="1931">
        <v>16.807407843137259</v>
      </c>
      <c r="LK28" s="1931">
        <v>7.8027014627167111</v>
      </c>
      <c r="LL28" s="1931">
        <v>0</v>
      </c>
      <c r="LM28" s="1931">
        <v>0</v>
      </c>
      <c r="LN28" s="1931">
        <v>61.860890196078444</v>
      </c>
      <c r="LO28" s="1942">
        <v>159.69149309592879</v>
      </c>
      <c r="LP28" s="1930">
        <v>57.469287058823546</v>
      </c>
      <c r="LQ28" s="1931">
        <v>21.166928146424002</v>
      </c>
      <c r="LR28" s="1931">
        <v>21.34589215686275</v>
      </c>
      <c r="LS28" s="1931">
        <v>12.321307474610036</v>
      </c>
      <c r="LT28" s="1931">
        <v>48.918910588235299</v>
      </c>
      <c r="LU28" s="1931">
        <v>18.791343896082861</v>
      </c>
      <c r="LV28" s="1931">
        <v>16.978784313725495</v>
      </c>
      <c r="LW28" s="1931">
        <v>6.933149110779345</v>
      </c>
      <c r="LX28" s="1931">
        <v>0</v>
      </c>
      <c r="LY28" s="1931">
        <v>0</v>
      </c>
      <c r="LZ28" s="1931">
        <v>62.452019607843155</v>
      </c>
      <c r="MA28" s="1942">
        <v>131.39532609251032</v>
      </c>
      <c r="MB28" s="1930">
        <v>43.869203921568634</v>
      </c>
      <c r="MC28" s="1931">
        <v>3.4209436235006625</v>
      </c>
      <c r="MD28" s="1931">
        <v>28.04935294117648</v>
      </c>
      <c r="ME28" s="1931">
        <v>23.320356141505957</v>
      </c>
      <c r="MF28" s="1931">
        <v>37.036788235294111</v>
      </c>
      <c r="MG28" s="1931">
        <v>4.0273128691980009</v>
      </c>
      <c r="MH28" s="1931">
        <v>22.405705882352947</v>
      </c>
      <c r="MI28" s="1931">
        <v>12.385477205392665</v>
      </c>
      <c r="MJ28" s="1931">
        <v>0</v>
      </c>
      <c r="MK28" s="1931">
        <v>0</v>
      </c>
      <c r="ML28" s="1931">
        <v>81.17111764705885</v>
      </c>
      <c r="MM28" s="1942">
        <v>220.66227285715308</v>
      </c>
      <c r="MN28" s="1930">
        <v>40.503894117647071</v>
      </c>
      <c r="MO28" s="1931">
        <v>3.6780550374179888</v>
      </c>
      <c r="MP28" s="1931">
        <v>23.321649019607847</v>
      </c>
      <c r="MQ28" s="1931">
        <v>19.440002111212742</v>
      </c>
      <c r="MR28" s="1931">
        <v>33.912388235294131</v>
      </c>
      <c r="MS28" s="1931">
        <v>4.3244989471487143</v>
      </c>
      <c r="MT28" s="1931">
        <v>18.578298039215689</v>
      </c>
      <c r="MU28" s="1931">
        <v>10.494269583026473</v>
      </c>
      <c r="MV28" s="1931">
        <v>0</v>
      </c>
      <c r="MW28" s="1931">
        <v>0</v>
      </c>
      <c r="MX28" s="1931">
        <v>67.969227450980412</v>
      </c>
      <c r="MY28" s="1942">
        <v>204.92100125992761</v>
      </c>
      <c r="MZ28" s="1930">
        <v>55.174684313725479</v>
      </c>
      <c r="NA28" s="1931">
        <v>18.0478173005286</v>
      </c>
      <c r="NB28" s="1931">
        <v>22.192645098039218</v>
      </c>
      <c r="NC28" s="1931">
        <v>12.584609128982672</v>
      </c>
      <c r="ND28" s="1931">
        <v>48.264788235294112</v>
      </c>
      <c r="NE28" s="1931">
        <v>16.360107462307276</v>
      </c>
      <c r="NF28" s="1931">
        <v>17.664290196078436</v>
      </c>
      <c r="NG28" s="1931">
        <v>6.8790685407295342</v>
      </c>
      <c r="NH28" s="1931">
        <v>0</v>
      </c>
      <c r="NI28" s="1931">
        <v>0</v>
      </c>
      <c r="NJ28" s="1931">
        <v>64.816537254901974</v>
      </c>
      <c r="NK28" s="1942">
        <v>138.67468980424033</v>
      </c>
      <c r="NL28" s="1930">
        <v>52.727441568627462</v>
      </c>
      <c r="NM28" s="1931">
        <v>22.814526351694273</v>
      </c>
      <c r="NN28" s="1931">
        <v>20.922515686274515</v>
      </c>
      <c r="NO28" s="1931">
        <v>13.458355704206651</v>
      </c>
      <c r="NP28" s="1931">
        <v>45.276494117647061</v>
      </c>
      <c r="NQ28" s="1931">
        <v>20.135623381337496</v>
      </c>
      <c r="NR28" s="1931">
        <v>16.636031372549024</v>
      </c>
      <c r="NS28" s="1931">
        <v>7.7913723235584174</v>
      </c>
      <c r="NT28" s="1931">
        <v>68.170815686274508</v>
      </c>
      <c r="NU28" s="1931">
        <v>0.50043529049887858</v>
      </c>
      <c r="NV28" s="1931">
        <v>61.269760784313746</v>
      </c>
      <c r="NW28" s="1942">
        <v>133.39257785375543</v>
      </c>
      <c r="NX28" s="1930">
        <v>52.305385098039217</v>
      </c>
      <c r="NY28" s="1931">
        <v>10.328296319253333</v>
      </c>
      <c r="NZ28" s="1931">
        <v>24.097839215686278</v>
      </c>
      <c r="OA28" s="1931">
        <v>16.5766904244262</v>
      </c>
      <c r="OB28" s="1931">
        <v>44.725851764705872</v>
      </c>
      <c r="OC28" s="1931">
        <v>10.385379837597499</v>
      </c>
      <c r="OD28" s="1931">
        <v>19.206678431372552</v>
      </c>
      <c r="OE28" s="1931">
        <v>8.8820938035029489</v>
      </c>
      <c r="OF28" s="1931">
        <v>0</v>
      </c>
      <c r="OG28" s="1931">
        <v>0</v>
      </c>
      <c r="OH28" s="1931">
        <v>70.136701960784336</v>
      </c>
      <c r="OI28" s="1932">
        <v>169.78440515348822</v>
      </c>
      <c r="OJ28" s="1930">
        <v>54.680972941176471</v>
      </c>
      <c r="OK28" s="1931">
        <v>27.969282404853978</v>
      </c>
      <c r="OL28" s="1931">
        <v>19.864074509803928</v>
      </c>
      <c r="OM28" s="1931">
        <v>9.9393037271735167</v>
      </c>
      <c r="ON28" s="1931">
        <v>46.715343529411768</v>
      </c>
      <c r="OO28" s="1931">
        <v>24.924284082992298</v>
      </c>
      <c r="OP28" s="1931">
        <v>15.779149019607846</v>
      </c>
      <c r="OQ28" s="1931">
        <v>5.2321152109390905</v>
      </c>
      <c r="OR28" s="1931">
        <v>71.45724705882354</v>
      </c>
      <c r="OS28" s="1931">
        <v>4.4684402444084448</v>
      </c>
      <c r="OT28" s="1931">
        <v>58.314113725490209</v>
      </c>
      <c r="OU28" s="1932">
        <v>115.5943566304507</v>
      </c>
      <c r="OV28" s="1930">
        <v>51.487654901960788</v>
      </c>
      <c r="OW28" s="1931">
        <v>7.5192395547306408</v>
      </c>
      <c r="OX28" s="1931">
        <v>27.061474509803929</v>
      </c>
      <c r="OY28" s="1931">
        <v>21.743773931797087</v>
      </c>
      <c r="OZ28" s="1931">
        <v>44.121576470588238</v>
      </c>
      <c r="PA28" s="1931">
        <v>7.5251758954357122</v>
      </c>
      <c r="PB28" s="1931">
        <v>21.605949019607849</v>
      </c>
      <c r="PC28" s="1931">
        <v>12.141393642529895</v>
      </c>
      <c r="PD28" s="1931">
        <v>0</v>
      </c>
      <c r="PE28" s="1931">
        <v>0</v>
      </c>
      <c r="PF28" s="1931">
        <v>78.412513725490214</v>
      </c>
      <c r="PG28" s="1932">
        <v>193.59861078446062</v>
      </c>
      <c r="PH28" s="1930">
        <v>58.787842745098033</v>
      </c>
      <c r="PI28" s="1931">
        <v>23.316377055712156</v>
      </c>
      <c r="PJ28" s="1931">
        <v>21.134203921568631</v>
      </c>
      <c r="PK28" s="1931">
        <v>9.9876253387976348</v>
      </c>
      <c r="PL28" s="1931">
        <v>49.93137411764706</v>
      </c>
      <c r="PM28" s="1931">
        <v>21.221234541459932</v>
      </c>
      <c r="PN28" s="1931">
        <v>16.807407843137259</v>
      </c>
      <c r="PO28" s="1931">
        <v>5.3294270564579582</v>
      </c>
      <c r="PP28" s="1931">
        <v>80.099968627450977</v>
      </c>
      <c r="PQ28" s="1931">
        <v>0.25337646696946653</v>
      </c>
      <c r="PR28" s="1931">
        <v>61.860890196078444</v>
      </c>
      <c r="PS28" s="1932">
        <v>119.3138278463271</v>
      </c>
      <c r="PT28" s="1930">
        <v>56.299601568627459</v>
      </c>
      <c r="PU28" s="1931">
        <v>22.418049012172599</v>
      </c>
      <c r="PV28" s="1931">
        <v>20.781390196078434</v>
      </c>
      <c r="PW28" s="1931">
        <v>12.952809201203777</v>
      </c>
      <c r="PX28" s="1931">
        <v>48.00269176470588</v>
      </c>
      <c r="PY28" s="1931">
        <v>19.757345198716489</v>
      </c>
      <c r="PZ28" s="1931">
        <v>16.521780392156867</v>
      </c>
      <c r="QA28" s="1931">
        <v>7.3589375522674452</v>
      </c>
      <c r="QB28" s="1931">
        <v>75.058321568627449</v>
      </c>
      <c r="QC28" s="1931">
        <v>0.28233605571886145</v>
      </c>
      <c r="QD28" s="1931">
        <v>60.875674509803929</v>
      </c>
      <c r="QE28" s="1932">
        <v>132.65183593031745</v>
      </c>
      <c r="QF28" s="1930">
        <v>43.779935294117649</v>
      </c>
      <c r="QG28" s="1931">
        <v>4.6556280810215389</v>
      </c>
      <c r="QH28" s="1931">
        <v>23.462774509803928</v>
      </c>
      <c r="QI28" s="1931">
        <v>16.332946294564007</v>
      </c>
      <c r="QJ28" s="1931">
        <v>38.144011764705887</v>
      </c>
      <c r="QK28" s="1931">
        <v>5.0995381446614712</v>
      </c>
      <c r="QL28" s="1931">
        <v>18.692549019607846</v>
      </c>
      <c r="QM28" s="1931">
        <v>8.1826557780671632</v>
      </c>
      <c r="QN28" s="1931">
        <v>0</v>
      </c>
      <c r="QO28" s="1931">
        <v>0</v>
      </c>
      <c r="QP28" s="1931">
        <v>68.363313725490215</v>
      </c>
      <c r="QQ28" s="1932">
        <v>193.38935252171152</v>
      </c>
      <c r="QR28" s="1930">
        <v>56.845532549019609</v>
      </c>
      <c r="QS28" s="1931">
        <v>23.664410657783073</v>
      </c>
      <c r="QT28" s="1931">
        <v>21.06364117647059</v>
      </c>
      <c r="QU28" s="1931">
        <v>11.63982618083088</v>
      </c>
      <c r="QV28" s="1931">
        <v>48.433007058823527</v>
      </c>
      <c r="QW28" s="1931">
        <v>20.724523894685998</v>
      </c>
      <c r="QX28" s="1931">
        <v>16.750282352941181</v>
      </c>
      <c r="QY28" s="1931">
        <v>6.4003056786835639</v>
      </c>
      <c r="QZ28" s="1931">
        <v>76.234760784313721</v>
      </c>
      <c r="RA28" s="1931">
        <v>0.9549808950659866</v>
      </c>
      <c r="RB28" s="1931">
        <v>61.663847058823535</v>
      </c>
      <c r="RC28" s="1932">
        <v>127.17701886774088</v>
      </c>
      <c r="RD28" s="1930">
        <v>54.986656470588237</v>
      </c>
      <c r="RE28" s="1931">
        <v>22.885080033282183</v>
      </c>
      <c r="RF28" s="1931">
        <v>20.922515686274515</v>
      </c>
      <c r="RG28" s="1931">
        <v>11.119383032634344</v>
      </c>
      <c r="RH28" s="1931">
        <v>46.963962352941174</v>
      </c>
      <c r="RI28" s="1931">
        <v>20.184343785977124</v>
      </c>
      <c r="RJ28" s="1931">
        <v>16.636031372549024</v>
      </c>
      <c r="RK28" s="1931">
        <v>6.0441365560673175</v>
      </c>
      <c r="RL28" s="1931">
        <v>72.191341176470601</v>
      </c>
      <c r="RM28" s="1931">
        <v>0.26174782042474276</v>
      </c>
      <c r="RN28" s="1931">
        <v>61.269760784313746</v>
      </c>
      <c r="RO28" s="1932">
        <v>125.77974561637893</v>
      </c>
    </row>
    <row r="29" spans="1:483">
      <c r="A29" s="634">
        <f>Eingabedaten!A31</f>
        <v>7.03</v>
      </c>
      <c r="B29" s="379" t="str">
        <f>Eingabedaten!C31</f>
        <v>Ausstellungshalle</v>
      </c>
      <c r="C29" s="379"/>
      <c r="D29" s="1930">
        <v>44.197262745098037</v>
      </c>
      <c r="E29" s="1931">
        <v>18.509242222556477</v>
      </c>
      <c r="F29" s="1931">
        <v>22.827709803921572</v>
      </c>
      <c r="G29" s="1931">
        <v>5.9244550124508057</v>
      </c>
      <c r="H29" s="1931">
        <v>36.128258823529407</v>
      </c>
      <c r="I29" s="1931">
        <v>13.673101149235245</v>
      </c>
      <c r="J29" s="1931">
        <v>18.178419607843143</v>
      </c>
      <c r="K29" s="1931">
        <v>3.5682448710310837</v>
      </c>
      <c r="L29" s="1931">
        <v>0</v>
      </c>
      <c r="M29" s="1931">
        <v>0</v>
      </c>
      <c r="N29" s="1931">
        <v>66.589925490196094</v>
      </c>
      <c r="O29" s="1942">
        <v>136.32520450535307</v>
      </c>
      <c r="P29" s="1930">
        <v>58.279952549019612</v>
      </c>
      <c r="Q29" s="1931">
        <v>39.968065671255118</v>
      </c>
      <c r="R29" s="1931">
        <v>19.511260784313727</v>
      </c>
      <c r="S29" s="1931">
        <v>4.5018834470164588</v>
      </c>
      <c r="T29" s="1931">
        <v>48.223915294117646</v>
      </c>
      <c r="U29" s="1931">
        <v>30.197323873352214</v>
      </c>
      <c r="V29" s="1931">
        <v>15.493521568627454</v>
      </c>
      <c r="W29" s="1931">
        <v>3.088253402117596</v>
      </c>
      <c r="X29" s="1931">
        <v>82.106007843137263</v>
      </c>
      <c r="Y29" s="1931">
        <v>8.1817155496552907</v>
      </c>
      <c r="Z29" s="1931">
        <v>57.328898039215701</v>
      </c>
      <c r="AA29" s="1942">
        <v>96.779573810139325</v>
      </c>
      <c r="AB29" s="1930">
        <v>57.104877254901965</v>
      </c>
      <c r="AC29" s="1931">
        <v>36.807520086268646</v>
      </c>
      <c r="AD29" s="1931">
        <v>19.581823529411771</v>
      </c>
      <c r="AE29" s="1931">
        <v>5.5238683322608404</v>
      </c>
      <c r="AF29" s="1931">
        <v>50.700202352941183</v>
      </c>
      <c r="AG29" s="1931">
        <v>27.881178280138013</v>
      </c>
      <c r="AH29" s="1931">
        <v>15.550647058823534</v>
      </c>
      <c r="AI29" s="1931">
        <v>4.0142652573079234</v>
      </c>
      <c r="AJ29" s="1931">
        <v>82.211749019607865</v>
      </c>
      <c r="AK29" s="1931">
        <v>5.2040414644992454</v>
      </c>
      <c r="AL29" s="1931">
        <v>57.52594117647061</v>
      </c>
      <c r="AM29" s="1942">
        <v>103.75607045847245</v>
      </c>
      <c r="AN29" s="1930">
        <v>62.034867058823536</v>
      </c>
      <c r="AO29" s="1931">
        <v>43.97955854362997</v>
      </c>
      <c r="AP29" s="1931">
        <v>20.216888235294121</v>
      </c>
      <c r="AQ29" s="1931">
        <v>3.5794370990154274</v>
      </c>
      <c r="AR29" s="1931">
        <v>51.128002352941174</v>
      </c>
      <c r="AS29" s="1931">
        <v>33.045148433966773</v>
      </c>
      <c r="AT29" s="1931">
        <v>16.064776470588239</v>
      </c>
      <c r="AU29" s="1931">
        <v>2.3963228360410089</v>
      </c>
      <c r="AV29" s="1931">
        <v>89.651129411764714</v>
      </c>
      <c r="AW29" s="1931">
        <v>12.280094107387763</v>
      </c>
      <c r="AX29" s="1931">
        <v>59.299329411764724</v>
      </c>
      <c r="AY29" s="1942">
        <v>88.916044267624983</v>
      </c>
      <c r="AZ29" s="1930">
        <v>59.182283137254906</v>
      </c>
      <c r="BA29" s="1931">
        <v>37.941633473314745</v>
      </c>
      <c r="BB29" s="1931">
        <v>20.851952941176474</v>
      </c>
      <c r="BC29" s="1931">
        <v>5.5248231343734604</v>
      </c>
      <c r="BD29" s="1931">
        <v>48.898710588235303</v>
      </c>
      <c r="BE29" s="1931">
        <v>28.492978911539165</v>
      </c>
      <c r="BF29" s="1931">
        <v>16.578905882352945</v>
      </c>
      <c r="BG29" s="1931">
        <v>3.7112425046545736</v>
      </c>
      <c r="BH29" s="1931">
        <v>83.692454901960801</v>
      </c>
      <c r="BI29" s="1931">
        <v>6.821085622047443</v>
      </c>
      <c r="BJ29" s="1931">
        <v>61.072717647058838</v>
      </c>
      <c r="BK29" s="1942">
        <v>105.95018351557198</v>
      </c>
      <c r="BL29" s="1930">
        <v>60.159159215686273</v>
      </c>
      <c r="BM29" s="1931">
        <v>39.407606682321997</v>
      </c>
      <c r="BN29" s="1931">
        <v>20.640264705882359</v>
      </c>
      <c r="BO29" s="1931">
        <v>5.88924717492662</v>
      </c>
      <c r="BP29" s="1931">
        <v>49.737755294117648</v>
      </c>
      <c r="BQ29" s="1931">
        <v>29.706935697084418</v>
      </c>
      <c r="BR29" s="1931">
        <v>16.407529411764713</v>
      </c>
      <c r="BS29" s="1931">
        <v>4.2001742955883099</v>
      </c>
      <c r="BT29" s="1931">
        <v>86.47587450980393</v>
      </c>
      <c r="BU29" s="1931">
        <v>8.2218111874452457</v>
      </c>
      <c r="BV29" s="1931">
        <v>60.48158823529414</v>
      </c>
      <c r="BW29" s="1942">
        <v>105.34521608291688</v>
      </c>
      <c r="BX29" s="1930">
        <v>59.429307450980396</v>
      </c>
      <c r="BY29" s="1931">
        <v>38.07627959041772</v>
      </c>
      <c r="BZ29" s="1931">
        <v>20.710827450980393</v>
      </c>
      <c r="CA29" s="1931">
        <v>4.1637960813871535</v>
      </c>
      <c r="CB29" s="1931">
        <v>49.09533882352941</v>
      </c>
      <c r="CC29" s="1931">
        <v>28.737975708889689</v>
      </c>
      <c r="CD29" s="1931">
        <v>16.464654901960788</v>
      </c>
      <c r="CE29" s="1931">
        <v>2.6772440819736985</v>
      </c>
      <c r="CF29" s="1931">
        <v>84.243615686274509</v>
      </c>
      <c r="CG29" s="1931">
        <v>5.5624128179545131</v>
      </c>
      <c r="CH29" s="1931">
        <v>60.678631372549027</v>
      </c>
      <c r="CI29" s="1942">
        <v>97.359818851584265</v>
      </c>
      <c r="CJ29" s="1930">
        <v>39.618000000000002</v>
      </c>
      <c r="CK29" s="1931">
        <v>13.708687357839478</v>
      </c>
      <c r="CL29" s="1931">
        <v>24.874029411764713</v>
      </c>
      <c r="CM29" s="1931">
        <v>9.4395231201379008</v>
      </c>
      <c r="CN29" s="1931">
        <v>31.596294117647059</v>
      </c>
      <c r="CO29" s="1931">
        <v>9.896230836540683</v>
      </c>
      <c r="CP29" s="1931">
        <v>19.835058823529415</v>
      </c>
      <c r="CQ29" s="1931">
        <v>5.6193107987927364</v>
      </c>
      <c r="CR29" s="1931">
        <v>0</v>
      </c>
      <c r="CS29" s="1931">
        <v>0</v>
      </c>
      <c r="CT29" s="1931">
        <v>72.30417647058826</v>
      </c>
      <c r="CU29" s="1942">
        <v>162.53082706926205</v>
      </c>
      <c r="CV29" s="1930">
        <v>56.503344313725499</v>
      </c>
      <c r="CW29" s="1931">
        <v>23.087065986102171</v>
      </c>
      <c r="CX29" s="1931">
        <v>22.474896078431374</v>
      </c>
      <c r="CY29" s="1931">
        <v>5.3228173884201384</v>
      </c>
      <c r="CZ29" s="1931">
        <v>46.742995294117648</v>
      </c>
      <c r="DA29" s="1931">
        <v>17.196472940660573</v>
      </c>
      <c r="DB29" s="1931">
        <v>17.89279215686275</v>
      </c>
      <c r="DC29" s="1931">
        <v>3.1857440173046059</v>
      </c>
      <c r="DD29" s="1931">
        <v>0</v>
      </c>
      <c r="DE29" s="1931">
        <v>0</v>
      </c>
      <c r="DF29" s="1931">
        <v>65.60470980392158</v>
      </c>
      <c r="DG29" s="1942">
        <v>124.95747637676828</v>
      </c>
      <c r="DH29" s="1930">
        <v>56.198827058823532</v>
      </c>
      <c r="DI29" s="1931">
        <v>21.086674958622876</v>
      </c>
      <c r="DJ29" s="1931">
        <v>23.533337254901969</v>
      </c>
      <c r="DK29" s="1931">
        <v>9.930196606191787</v>
      </c>
      <c r="DL29" s="1931">
        <v>46.810647058823534</v>
      </c>
      <c r="DM29" s="1931">
        <v>15.74994106061509</v>
      </c>
      <c r="DN29" s="1931">
        <v>18.749674509803924</v>
      </c>
      <c r="DO29" s="1931">
        <v>6.9700945367484488</v>
      </c>
      <c r="DP29" s="1931">
        <v>0</v>
      </c>
      <c r="DQ29" s="1931">
        <v>0</v>
      </c>
      <c r="DR29" s="1931">
        <v>68.560356862745124</v>
      </c>
      <c r="DS29" s="1942">
        <v>142.73016369721228</v>
      </c>
      <c r="DT29" s="1930">
        <v>61.587090196078435</v>
      </c>
      <c r="DU29" s="1931">
        <v>46.115100192425295</v>
      </c>
      <c r="DV29" s="1931">
        <v>18.593945098039217</v>
      </c>
      <c r="DW29" s="1931">
        <v>3.4494502515928245</v>
      </c>
      <c r="DX29" s="1931">
        <v>50.798070588235291</v>
      </c>
      <c r="DY29" s="1931">
        <v>34.678871484048969</v>
      </c>
      <c r="DZ29" s="1931">
        <v>14.750890196078435</v>
      </c>
      <c r="EA29" s="1931">
        <v>2.2945144342114752</v>
      </c>
      <c r="EB29" s="1931">
        <v>88.912313725490208</v>
      </c>
      <c r="EC29" s="1931">
        <v>15.288377027330286</v>
      </c>
      <c r="ED29" s="1931">
        <v>54.76733725490196</v>
      </c>
      <c r="EE29" s="1942">
        <v>86.7597966857969</v>
      </c>
      <c r="EF29" s="1930">
        <v>59.404532549019606</v>
      </c>
      <c r="EG29" s="1931">
        <v>32.205873017530372</v>
      </c>
      <c r="EH29" s="1931">
        <v>21.416454901960783</v>
      </c>
      <c r="EI29" s="1931">
        <v>8.4781425983823588</v>
      </c>
      <c r="EJ29" s="1931">
        <v>49.11800705882353</v>
      </c>
      <c r="EK29" s="1931">
        <v>24.305356270856109</v>
      </c>
      <c r="EL29" s="1931">
        <v>17.035909803921573</v>
      </c>
      <c r="EM29" s="1931">
        <v>6.2394708918366746</v>
      </c>
      <c r="EN29" s="1931">
        <v>84.604760784313726</v>
      </c>
      <c r="EO29" s="1931">
        <v>2.0658835657944308</v>
      </c>
      <c r="EP29" s="1931">
        <v>62.64906274509805</v>
      </c>
      <c r="EQ29" s="1942">
        <v>123.24137199903768</v>
      </c>
      <c r="ER29" s="1930">
        <v>21.797352941176481</v>
      </c>
      <c r="ES29" s="1931">
        <v>4.198884783387423</v>
      </c>
      <c r="ET29" s="1931">
        <v>26.496972549019613</v>
      </c>
      <c r="EU29" s="1931">
        <v>14.4271113099791</v>
      </c>
      <c r="EV29" s="1931">
        <v>13.462705882352942</v>
      </c>
      <c r="EW29" s="1931">
        <v>2.6624332964733117</v>
      </c>
      <c r="EX29" s="1931">
        <v>21.148945098039217</v>
      </c>
      <c r="EY29" s="1931">
        <v>8.8749394606546836</v>
      </c>
      <c r="EZ29" s="1931">
        <v>0</v>
      </c>
      <c r="FA29" s="1931">
        <v>0</v>
      </c>
      <c r="FB29" s="1931">
        <v>76.836168627450988</v>
      </c>
      <c r="FC29" s="1942">
        <v>208.45703204817514</v>
      </c>
      <c r="FD29" s="1930">
        <v>57.563654509803925</v>
      </c>
      <c r="FE29" s="1931">
        <v>37.793308020651246</v>
      </c>
      <c r="FF29" s="1931">
        <v>20.569701960784318</v>
      </c>
      <c r="FG29" s="1931">
        <v>6.1262263415665954</v>
      </c>
      <c r="FH29" s="1931">
        <v>47.611362352941178</v>
      </c>
      <c r="FI29" s="1931">
        <v>28.400467388750958</v>
      </c>
      <c r="FJ29" s="1931">
        <v>16.350403921568631</v>
      </c>
      <c r="FK29" s="1931">
        <v>4.3314006814554107</v>
      </c>
      <c r="FL29" s="1931">
        <v>80.091380392156864</v>
      </c>
      <c r="FM29" s="1931">
        <v>6.432699602610974</v>
      </c>
      <c r="FN29" s="1931">
        <v>60.284545098039231</v>
      </c>
      <c r="FO29" s="1942">
        <v>108.04574782395765</v>
      </c>
      <c r="FP29" s="1930">
        <v>55.237837254901962</v>
      </c>
      <c r="FQ29" s="1931">
        <v>34.421735290954551</v>
      </c>
      <c r="FR29" s="1931">
        <v>20.569701960784318</v>
      </c>
      <c r="FS29" s="1931">
        <v>6.5767357893330862</v>
      </c>
      <c r="FT29" s="1931">
        <v>45.808788235294124</v>
      </c>
      <c r="FU29" s="1931">
        <v>25.865821415650757</v>
      </c>
      <c r="FV29" s="1931">
        <v>16.350403921568631</v>
      </c>
      <c r="FW29" s="1931">
        <v>4.5231445906780126</v>
      </c>
      <c r="FX29" s="1931">
        <v>75.380901960784328</v>
      </c>
      <c r="FY29" s="1931">
        <v>3.9769313100356323</v>
      </c>
      <c r="FZ29" s="1931">
        <v>60.284545098039231</v>
      </c>
      <c r="GA29" s="1942">
        <v>113.34992140548719</v>
      </c>
      <c r="GB29" s="1930">
        <v>54.406553333333335</v>
      </c>
      <c r="GC29" s="1931">
        <v>23.642174928726988</v>
      </c>
      <c r="GD29" s="1931">
        <v>22.333770588235296</v>
      </c>
      <c r="GE29" s="1931">
        <v>6.3580137353853265</v>
      </c>
      <c r="GF29" s="1931">
        <v>48.211811764705892</v>
      </c>
      <c r="GG29" s="1931">
        <v>17.516058950573409</v>
      </c>
      <c r="GH29" s="1931">
        <v>17.778541176470593</v>
      </c>
      <c r="GI29" s="1931">
        <v>3.9885787055465856</v>
      </c>
      <c r="GJ29" s="1931">
        <v>0</v>
      </c>
      <c r="GK29" s="1931">
        <v>0</v>
      </c>
      <c r="GL29" s="1931">
        <v>65.210623529411777</v>
      </c>
      <c r="GM29" s="1942">
        <v>128.84285365933266</v>
      </c>
      <c r="GN29" s="1930">
        <v>52.274182352941182</v>
      </c>
      <c r="GO29" s="1931">
        <v>20.113329862572922</v>
      </c>
      <c r="GP29" s="1931">
        <v>22.404333333333341</v>
      </c>
      <c r="GQ29" s="1931">
        <v>8.3878573052866212</v>
      </c>
      <c r="GR29" s="1931">
        <v>43.608929411764706</v>
      </c>
      <c r="GS29" s="1931">
        <v>14.900164615034239</v>
      </c>
      <c r="GT29" s="1931">
        <v>17.835666666666672</v>
      </c>
      <c r="GU29" s="1931">
        <v>5.6295021270067265</v>
      </c>
      <c r="GV29" s="1931">
        <v>0</v>
      </c>
      <c r="GW29" s="1931">
        <v>0</v>
      </c>
      <c r="GX29" s="1931">
        <v>65.407666666666685</v>
      </c>
      <c r="GY29" s="1942">
        <v>142.60257321246652</v>
      </c>
      <c r="GZ29" s="1930">
        <v>58.142303529411762</v>
      </c>
      <c r="HA29" s="1931">
        <v>53.891480522360681</v>
      </c>
      <c r="HB29" s="1931">
        <v>16.547625490196079</v>
      </c>
      <c r="HC29" s="1931">
        <v>1.5312186196727862</v>
      </c>
      <c r="HD29" s="1931">
        <v>48.233541176470588</v>
      </c>
      <c r="HE29" s="1931">
        <v>40.829651552978419</v>
      </c>
      <c r="HF29" s="1931">
        <v>13.094250980392161</v>
      </c>
      <c r="HG29" s="1931">
        <v>0.93081567343821037</v>
      </c>
      <c r="HH29" s="1931">
        <v>81.413694117647069</v>
      </c>
      <c r="HI29" s="1931">
        <v>22.209366915044495</v>
      </c>
      <c r="HJ29" s="1931">
        <v>49.053086274509809</v>
      </c>
      <c r="HK29" s="1942">
        <v>66.412964343858974</v>
      </c>
      <c r="HL29" s="1930">
        <v>60.355246666666673</v>
      </c>
      <c r="HM29" s="1931">
        <v>54.791633529526194</v>
      </c>
      <c r="HN29" s="1931">
        <v>16.194811764705882</v>
      </c>
      <c r="HO29" s="1931">
        <v>1.4048453508386805</v>
      </c>
      <c r="HP29" s="1931">
        <v>49.706268235294111</v>
      </c>
      <c r="HQ29" s="1931">
        <v>41.425834243347204</v>
      </c>
      <c r="HR29" s="1931">
        <v>12.808623529411769</v>
      </c>
      <c r="HS29" s="1931">
        <v>0.83221159585757709</v>
      </c>
      <c r="HT29" s="1931">
        <v>85.070713725490194</v>
      </c>
      <c r="HU29" s="1931">
        <v>24.428686669841699</v>
      </c>
      <c r="HV29" s="1931">
        <v>48.067870588235301</v>
      </c>
      <c r="HW29" s="1942">
        <v>65.397321072970101</v>
      </c>
      <c r="HX29" s="1930">
        <v>60.691536470588225</v>
      </c>
      <c r="HY29" s="1931">
        <v>38.69463414093908</v>
      </c>
      <c r="HZ29" s="1931">
        <v>20.14632549019608</v>
      </c>
      <c r="IA29" s="1931">
        <v>5.6577601383135452</v>
      </c>
      <c r="IB29" s="1931">
        <v>50.138207058823525</v>
      </c>
      <c r="IC29" s="1931">
        <v>29.215829301382971</v>
      </c>
      <c r="ID29" s="1931">
        <v>16.00765098039216</v>
      </c>
      <c r="IE29" s="1931">
        <v>3.9883353121487093</v>
      </c>
      <c r="IF29" s="1931">
        <v>87.434682352941181</v>
      </c>
      <c r="IG29" s="1931">
        <v>7.5240634634710366</v>
      </c>
      <c r="IH29" s="1931">
        <v>59.102286274509815</v>
      </c>
      <c r="II29" s="1942">
        <v>104.49113318990028</v>
      </c>
      <c r="IJ29" s="1930">
        <v>59.441694901960787</v>
      </c>
      <c r="IK29" s="1931">
        <v>52.682668427823685</v>
      </c>
      <c r="IL29" s="1931">
        <v>17.747192156862749</v>
      </c>
      <c r="IM29" s="1931">
        <v>3.0423130216810708</v>
      </c>
      <c r="IN29" s="1931">
        <v>49.084004705882357</v>
      </c>
      <c r="IO29" s="1931">
        <v>39.902138634511324</v>
      </c>
      <c r="IP29" s="1931">
        <v>14.065384313725495</v>
      </c>
      <c r="IQ29" s="1931">
        <v>1.9308548354710728</v>
      </c>
      <c r="IR29" s="1931">
        <v>84.063043137254908</v>
      </c>
      <c r="IS29" s="1931">
        <v>22.386644946636761</v>
      </c>
      <c r="IT29" s="1931">
        <v>52.402819607843156</v>
      </c>
      <c r="IU29" s="1942">
        <v>79.903679341082309</v>
      </c>
      <c r="IV29" s="1930">
        <v>57.660262745098031</v>
      </c>
      <c r="IW29" s="1931">
        <v>22.583288121449804</v>
      </c>
      <c r="IX29" s="1931">
        <v>22.404333333333341</v>
      </c>
      <c r="IY29" s="1931">
        <v>4.9737481254387212</v>
      </c>
      <c r="IZ29" s="1931">
        <v>48.446964705882344</v>
      </c>
      <c r="JA29" s="1931">
        <v>16.592139966862025</v>
      </c>
      <c r="JB29" s="1931">
        <v>17.835666666666672</v>
      </c>
      <c r="JC29" s="1931">
        <v>2.8207321769688467</v>
      </c>
      <c r="JD29" s="1931">
        <v>0</v>
      </c>
      <c r="JE29" s="1931">
        <v>0</v>
      </c>
      <c r="JF29" s="1931">
        <v>65.407666666666685</v>
      </c>
      <c r="JG29" s="1942">
        <v>124.55322954944648</v>
      </c>
      <c r="JH29" s="1930">
        <v>55.603346274509811</v>
      </c>
      <c r="JI29" s="1931">
        <v>42.223519054860425</v>
      </c>
      <c r="JJ29" s="1931">
        <v>19.44069803921569</v>
      </c>
      <c r="JK29" s="1931">
        <v>4.5998602892385065</v>
      </c>
      <c r="JL29" s="1931">
        <v>46.150595294117657</v>
      </c>
      <c r="JM29" s="1931">
        <v>31.912743399925276</v>
      </c>
      <c r="JN29" s="1931">
        <v>15.436396078431375</v>
      </c>
      <c r="JO29" s="1931">
        <v>3.226971091431877</v>
      </c>
      <c r="JP29" s="1931">
        <v>76.696133333333336</v>
      </c>
      <c r="JQ29" s="1931">
        <v>11.625958037753064</v>
      </c>
      <c r="JR29" s="1931">
        <v>57.131854901960793</v>
      </c>
      <c r="JS29" s="1942">
        <v>96.138456106721421</v>
      </c>
      <c r="JT29" s="1930">
        <v>60.527946274509802</v>
      </c>
      <c r="JU29" s="1931">
        <v>39.711853575741806</v>
      </c>
      <c r="JV29" s="1931">
        <v>20.358013725490199</v>
      </c>
      <c r="JW29" s="1931">
        <v>5.3937653818869373</v>
      </c>
      <c r="JX29" s="1931">
        <v>49.970901176470583</v>
      </c>
      <c r="JY29" s="1931">
        <v>29.834194579640158</v>
      </c>
      <c r="JZ29" s="1931">
        <v>16.179027450980396</v>
      </c>
      <c r="KA29" s="1931">
        <v>3.6977457054439618</v>
      </c>
      <c r="KB29" s="1931">
        <v>86.705309803921551</v>
      </c>
      <c r="KC29" s="1931">
        <v>8.078270814808663</v>
      </c>
      <c r="KD29" s="1931">
        <v>59.69341568627452</v>
      </c>
      <c r="KE29" s="1942">
        <v>102.63188953220123</v>
      </c>
      <c r="KF29" s="1930">
        <v>55.923529019607848</v>
      </c>
      <c r="KG29" s="1931">
        <v>28.482906579790651</v>
      </c>
      <c r="KH29" s="1931">
        <v>20.710827450980393</v>
      </c>
      <c r="KI29" s="1931">
        <v>9.0080453077364968</v>
      </c>
      <c r="KJ29" s="1931">
        <v>46.238021176470589</v>
      </c>
      <c r="KK29" s="1931">
        <v>21.280685825680845</v>
      </c>
      <c r="KL29" s="1931">
        <v>16.464654901960788</v>
      </c>
      <c r="KM29" s="1931">
        <v>6.5685061643464291</v>
      </c>
      <c r="KN29" s="1931">
        <v>75.765654901960801</v>
      </c>
      <c r="KO29" s="1931">
        <v>0.72123410719777681</v>
      </c>
      <c r="KP29" s="1931">
        <v>60.678631372549027</v>
      </c>
      <c r="KQ29" s="1942">
        <v>127.52368626963457</v>
      </c>
      <c r="KR29" s="1930">
        <v>57.433948627450981</v>
      </c>
      <c r="KS29" s="1931">
        <v>46.949765317826419</v>
      </c>
      <c r="KT29" s="1931">
        <v>18.664507843137258</v>
      </c>
      <c r="KU29" s="1931">
        <v>2.8686180803643238</v>
      </c>
      <c r="KV29" s="1931">
        <v>47.518715294117648</v>
      </c>
      <c r="KW29" s="1931">
        <v>35.310990203709679</v>
      </c>
      <c r="KX29" s="1931">
        <v>14.808015686274514</v>
      </c>
      <c r="KY29" s="1931">
        <v>1.8842770651052003</v>
      </c>
      <c r="KZ29" s="1931">
        <v>79.906086274509804</v>
      </c>
      <c r="LA29" s="1931">
        <v>15.204075566395563</v>
      </c>
      <c r="LB29" s="1931">
        <v>54.964380392156869</v>
      </c>
      <c r="LC29" s="1942">
        <v>82.156437201561147</v>
      </c>
      <c r="LD29" s="1930">
        <v>45.729552941176465</v>
      </c>
      <c r="LE29" s="1931">
        <v>23.799258316005314</v>
      </c>
      <c r="LF29" s="1931">
        <v>21.134203921568631</v>
      </c>
      <c r="LG29" s="1931">
        <v>7.3449515339797102</v>
      </c>
      <c r="LH29" s="1931">
        <v>37.0426</v>
      </c>
      <c r="LI29" s="1931">
        <v>17.814423388548878</v>
      </c>
      <c r="LJ29" s="1931">
        <v>16.807407843137259</v>
      </c>
      <c r="LK29" s="1931">
        <v>4.7902825966878995</v>
      </c>
      <c r="LL29" s="1931">
        <v>0</v>
      </c>
      <c r="LM29" s="1931">
        <v>0</v>
      </c>
      <c r="LN29" s="1931">
        <v>61.860890196078444</v>
      </c>
      <c r="LO29" s="1942">
        <v>131.18989954064298</v>
      </c>
      <c r="LP29" s="1930">
        <v>60.469287058823546</v>
      </c>
      <c r="LQ29" s="1931">
        <v>36.283433704519737</v>
      </c>
      <c r="LR29" s="1931">
        <v>21.34589215686275</v>
      </c>
      <c r="LS29" s="1931">
        <v>5.8237371970643972</v>
      </c>
      <c r="LT29" s="1931">
        <v>49.918910588235299</v>
      </c>
      <c r="LU29" s="1931">
        <v>27.213913341935481</v>
      </c>
      <c r="LV29" s="1931">
        <v>16.978784313725495</v>
      </c>
      <c r="LW29" s="1931">
        <v>4.0711999031776447</v>
      </c>
      <c r="LX29" s="1931">
        <v>86.522376470588242</v>
      </c>
      <c r="LY29" s="1931">
        <v>5.3095857018497599</v>
      </c>
      <c r="LZ29" s="1931">
        <v>62.452019607843155</v>
      </c>
      <c r="MA29" s="1942">
        <v>107.61309261757739</v>
      </c>
      <c r="MB29" s="1930">
        <v>46.869203921568634</v>
      </c>
      <c r="MC29" s="1931">
        <v>12.424098141014177</v>
      </c>
      <c r="MD29" s="1931">
        <v>28.04935294117648</v>
      </c>
      <c r="ME29" s="1931">
        <v>14.504701184387567</v>
      </c>
      <c r="MF29" s="1931">
        <v>38.036788235294111</v>
      </c>
      <c r="MG29" s="1931">
        <v>8.8432813399313641</v>
      </c>
      <c r="MH29" s="1931">
        <v>22.405705882352947</v>
      </c>
      <c r="MI29" s="1931">
        <v>8.7355920736006247</v>
      </c>
      <c r="MJ29" s="1931">
        <v>0</v>
      </c>
      <c r="MK29" s="1931">
        <v>0</v>
      </c>
      <c r="ML29" s="1931">
        <v>81.17111764705885</v>
      </c>
      <c r="MM29" s="1942">
        <v>187.61613485349551</v>
      </c>
      <c r="MN29" s="1930">
        <v>43.503894117647071</v>
      </c>
      <c r="MO29" s="1931">
        <v>12.412731363376944</v>
      </c>
      <c r="MP29" s="1931">
        <v>23.321649019607847</v>
      </c>
      <c r="MQ29" s="1931">
        <v>10.620704329430131</v>
      </c>
      <c r="MR29" s="1931">
        <v>34.912388235294131</v>
      </c>
      <c r="MS29" s="1931">
        <v>8.9882647689983806</v>
      </c>
      <c r="MT29" s="1931">
        <v>18.578298039215689</v>
      </c>
      <c r="MU29" s="1931">
        <v>6.7992174312599838</v>
      </c>
      <c r="MV29" s="1931">
        <v>0</v>
      </c>
      <c r="MW29" s="1931">
        <v>0</v>
      </c>
      <c r="MX29" s="1931">
        <v>67.969227450980412</v>
      </c>
      <c r="MY29" s="1942">
        <v>170.87470165170487</v>
      </c>
      <c r="MZ29" s="1930">
        <v>58.174684313725479</v>
      </c>
      <c r="NA29" s="1931">
        <v>32.140650548446409</v>
      </c>
      <c r="NB29" s="1931">
        <v>22.192645098039218</v>
      </c>
      <c r="NC29" s="1931">
        <v>6.0601744768554804</v>
      </c>
      <c r="ND29" s="1931">
        <v>49.264788235294112</v>
      </c>
      <c r="NE29" s="1931">
        <v>23.97500494285477</v>
      </c>
      <c r="NF29" s="1931">
        <v>17.664290196078436</v>
      </c>
      <c r="NG29" s="1931">
        <v>4.0861943828019971</v>
      </c>
      <c r="NH29" s="1931">
        <v>74.799694117647064</v>
      </c>
      <c r="NI29" s="1931">
        <v>1.8139241366496546</v>
      </c>
      <c r="NJ29" s="1931">
        <v>64.816537254901974</v>
      </c>
      <c r="NK29" s="1942">
        <v>113.85137247993111</v>
      </c>
      <c r="NL29" s="1930">
        <v>55.727441568627462</v>
      </c>
      <c r="NM29" s="1931">
        <v>38.123178774290238</v>
      </c>
      <c r="NN29" s="1931">
        <v>20.922515686274515</v>
      </c>
      <c r="NO29" s="1931">
        <v>6.5573779866638358</v>
      </c>
      <c r="NP29" s="1931">
        <v>46.276494117647061</v>
      </c>
      <c r="NQ29" s="1931">
        <v>28.726149682665806</v>
      </c>
      <c r="NR29" s="1931">
        <v>16.636031372549024</v>
      </c>
      <c r="NS29" s="1931">
        <v>4.6789187166439428</v>
      </c>
      <c r="NT29" s="1931">
        <v>77.170815686274523</v>
      </c>
      <c r="NU29" s="1931">
        <v>6.9718392486415972</v>
      </c>
      <c r="NV29" s="1931">
        <v>61.269760784313746</v>
      </c>
      <c r="NW29" s="1942">
        <v>109.94180630732765</v>
      </c>
      <c r="NX29" s="1930">
        <v>55.305385098039217</v>
      </c>
      <c r="NY29" s="1931">
        <v>22.58960453843142</v>
      </c>
      <c r="NZ29" s="1931">
        <v>24.097839215686278</v>
      </c>
      <c r="OA29" s="1931">
        <v>9.2620910786958799</v>
      </c>
      <c r="OB29" s="1931">
        <v>45.725851764705872</v>
      </c>
      <c r="OC29" s="1931">
        <v>16.836355864994758</v>
      </c>
      <c r="OD29" s="1931">
        <v>19.206678431372552</v>
      </c>
      <c r="OE29" s="1931">
        <v>5.8307939638213666</v>
      </c>
      <c r="OF29" s="1931">
        <v>0</v>
      </c>
      <c r="OG29" s="1931">
        <v>0</v>
      </c>
      <c r="OH29" s="1931">
        <v>70.136701960784336</v>
      </c>
      <c r="OI29" s="1932">
        <v>141.64345059175187</v>
      </c>
      <c r="OJ29" s="1930">
        <v>57.680972941176471</v>
      </c>
      <c r="OK29" s="1931">
        <v>45.263059928755666</v>
      </c>
      <c r="OL29" s="1931">
        <v>19.864074509803928</v>
      </c>
      <c r="OM29" s="1931">
        <v>4.7050260652053959</v>
      </c>
      <c r="ON29" s="1931">
        <v>47.715343529411768</v>
      </c>
      <c r="OO29" s="1931">
        <v>34.028246783248761</v>
      </c>
      <c r="OP29" s="1931">
        <v>15.779149019607846</v>
      </c>
      <c r="OQ29" s="1931">
        <v>3.0669165890673131</v>
      </c>
      <c r="OR29" s="1931">
        <v>80.45724705882354</v>
      </c>
      <c r="OS29" s="1931">
        <v>13.392388127212632</v>
      </c>
      <c r="OT29" s="1931">
        <v>58.314113725490209</v>
      </c>
      <c r="OU29" s="1932">
        <v>94.341716377513364</v>
      </c>
      <c r="OV29" s="1930">
        <v>54.487654901960788</v>
      </c>
      <c r="OW29" s="1931">
        <v>18.745953653085571</v>
      </c>
      <c r="OX29" s="1931">
        <v>27.061474509803929</v>
      </c>
      <c r="OY29" s="1931">
        <v>13.328764936746097</v>
      </c>
      <c r="OZ29" s="1931">
        <v>45.121576470588238</v>
      </c>
      <c r="PA29" s="1931">
        <v>13.824105683049682</v>
      </c>
      <c r="PB29" s="1931">
        <v>21.605949019607849</v>
      </c>
      <c r="PC29" s="1931">
        <v>8.4691482308450166</v>
      </c>
      <c r="PD29" s="1931">
        <v>0</v>
      </c>
      <c r="PE29" s="1931">
        <v>0</v>
      </c>
      <c r="PF29" s="1931">
        <v>78.412513725490214</v>
      </c>
      <c r="PG29" s="1932">
        <v>163.79477294658778</v>
      </c>
      <c r="PH29" s="1930">
        <v>61.787842745098033</v>
      </c>
      <c r="PI29" s="1931">
        <v>40.039848787517798</v>
      </c>
      <c r="PJ29" s="1931">
        <v>21.134203921568631</v>
      </c>
      <c r="PK29" s="1931">
        <v>4.4827956909976887</v>
      </c>
      <c r="PL29" s="1931">
        <v>50.93137411764706</v>
      </c>
      <c r="PM29" s="1931">
        <v>30.244168331414262</v>
      </c>
      <c r="PN29" s="1931">
        <v>16.807407843137259</v>
      </c>
      <c r="PO29" s="1931">
        <v>3.0149428323489214</v>
      </c>
      <c r="PP29" s="1931">
        <v>89.099968627450977</v>
      </c>
      <c r="PQ29" s="1931">
        <v>6.8357376876375593</v>
      </c>
      <c r="PR29" s="1931">
        <v>61.860890196078444</v>
      </c>
      <c r="PS29" s="1932">
        <v>96.689799140449708</v>
      </c>
      <c r="PT29" s="1930">
        <v>59.299601568627459</v>
      </c>
      <c r="PU29" s="1931">
        <v>37.527765998157278</v>
      </c>
      <c r="PV29" s="1931">
        <v>20.781390196078434</v>
      </c>
      <c r="PW29" s="1931">
        <v>6.3040509589064788</v>
      </c>
      <c r="PX29" s="1931">
        <v>49.00269176470588</v>
      </c>
      <c r="PY29" s="1931">
        <v>28.170193548437364</v>
      </c>
      <c r="PZ29" s="1931">
        <v>16.521780392156867</v>
      </c>
      <c r="QA29" s="1931">
        <v>4.4090075470520018</v>
      </c>
      <c r="QB29" s="1931">
        <v>84.058321568627449</v>
      </c>
      <c r="QC29" s="1931">
        <v>6.2221040343262555</v>
      </c>
      <c r="QD29" s="1931">
        <v>60.875674509803929</v>
      </c>
      <c r="QE29" s="1932">
        <v>109.31245131826054</v>
      </c>
      <c r="QF29" s="1930">
        <v>46.779935294117649</v>
      </c>
      <c r="QG29" s="1931">
        <v>14.605112655014015</v>
      </c>
      <c r="QH29" s="1931">
        <v>23.462774509803928</v>
      </c>
      <c r="QI29" s="1931">
        <v>8.6337656530393545</v>
      </c>
      <c r="QJ29" s="1931">
        <v>39.144011764705887</v>
      </c>
      <c r="QK29" s="1931">
        <v>10.721970309990054</v>
      </c>
      <c r="QL29" s="1931">
        <v>18.692549019607846</v>
      </c>
      <c r="QM29" s="1931">
        <v>5.1578245311597728</v>
      </c>
      <c r="QN29" s="1931">
        <v>0</v>
      </c>
      <c r="QO29" s="1931">
        <v>0</v>
      </c>
      <c r="QP29" s="1931">
        <v>68.363313725490215</v>
      </c>
      <c r="QQ29" s="1932">
        <v>160.06963089098875</v>
      </c>
      <c r="QR29" s="1930">
        <v>59.845532549019609</v>
      </c>
      <c r="QS29" s="1931">
        <v>39.306428916295722</v>
      </c>
      <c r="QT29" s="1931">
        <v>21.06364117647059</v>
      </c>
      <c r="QU29" s="1931">
        <v>5.4780611373586634</v>
      </c>
      <c r="QV29" s="1931">
        <v>49.433007058823527</v>
      </c>
      <c r="QW29" s="1931">
        <v>29.548887093709588</v>
      </c>
      <c r="QX29" s="1931">
        <v>16.750282352941181</v>
      </c>
      <c r="QY29" s="1931">
        <v>3.7384082028118981</v>
      </c>
      <c r="QZ29" s="1931">
        <v>85.234760784313721</v>
      </c>
      <c r="RA29" s="1931">
        <v>7.7124215504245672</v>
      </c>
      <c r="RB29" s="1931">
        <v>61.663847058823535</v>
      </c>
      <c r="RC29" s="1932">
        <v>104.30185154991599</v>
      </c>
      <c r="RD29" s="1930">
        <v>57.986656470588237</v>
      </c>
      <c r="RE29" s="1931">
        <v>38.560539438369531</v>
      </c>
      <c r="RF29" s="1931">
        <v>20.922515686274515</v>
      </c>
      <c r="RG29" s="1931">
        <v>5.1494107675259686</v>
      </c>
      <c r="RH29" s="1931">
        <v>47.963962352941174</v>
      </c>
      <c r="RI29" s="1931">
        <v>28.98008476437894</v>
      </c>
      <c r="RJ29" s="1931">
        <v>16.636031372549024</v>
      </c>
      <c r="RK29" s="1931">
        <v>3.4907321701253546</v>
      </c>
      <c r="RL29" s="1931">
        <v>81.191341176470601</v>
      </c>
      <c r="RM29" s="1931">
        <v>6.749026798518031</v>
      </c>
      <c r="RN29" s="1931">
        <v>61.269760784313746</v>
      </c>
      <c r="RO29" s="1932">
        <v>102.75881415268503</v>
      </c>
    </row>
    <row r="30" spans="1:483">
      <c r="A30" s="1301">
        <f>Eingabedaten!A32</f>
        <v>8.01</v>
      </c>
      <c r="B30" s="386" t="str">
        <f>Eingabedaten!C32</f>
        <v xml:space="preserve">Bettenzimmer </v>
      </c>
      <c r="C30" s="1946"/>
      <c r="D30" s="1933">
        <v>22.833888888888893</v>
      </c>
      <c r="E30" s="1544">
        <v>2.0160290482930963</v>
      </c>
      <c r="F30" s="1544">
        <v>18.395996732026145</v>
      </c>
      <c r="G30" s="1544">
        <v>9.6222657382384664</v>
      </c>
      <c r="H30" s="1544">
        <v>21.089379084967319</v>
      </c>
      <c r="I30" s="1544">
        <v>1.9420029950837994</v>
      </c>
      <c r="J30" s="1544">
        <v>14.151163398692814</v>
      </c>
      <c r="K30" s="1544">
        <v>4.2620629957183969</v>
      </c>
      <c r="L30" s="1544">
        <v>0</v>
      </c>
      <c r="M30" s="1544">
        <v>0</v>
      </c>
      <c r="N30" s="1544">
        <v>52.311395424836611</v>
      </c>
      <c r="O30" s="1943">
        <v>113.05927180599555</v>
      </c>
      <c r="P30" s="1933">
        <v>34.081190640522884</v>
      </c>
      <c r="Q30" s="1544">
        <v>13.57768474646446</v>
      </c>
      <c r="R30" s="1544">
        <v>15.75600980392157</v>
      </c>
      <c r="S30" s="1544">
        <v>10.250730431023101</v>
      </c>
      <c r="T30" s="1544">
        <v>26.180406849673204</v>
      </c>
      <c r="U30" s="1544">
        <v>11.376693497707429</v>
      </c>
      <c r="V30" s="1544">
        <v>12.085620915032681</v>
      </c>
      <c r="W30" s="1544">
        <v>5.6812391665436337</v>
      </c>
      <c r="X30" s="1544">
        <v>51.50883398692811</v>
      </c>
      <c r="Y30" s="1544">
        <v>0.58754398764396931</v>
      </c>
      <c r="Z30" s="1544">
        <v>45.193813725490202</v>
      </c>
      <c r="AA30" s="1943">
        <v>85.599184269109699</v>
      </c>
      <c r="AB30" s="1933">
        <v>29.063940130718958</v>
      </c>
      <c r="AC30" s="1544">
        <v>10.764225657146815</v>
      </c>
      <c r="AD30" s="1544">
        <v>15.812179738562094</v>
      </c>
      <c r="AE30" s="1544">
        <v>12.855953722341505</v>
      </c>
      <c r="AF30" s="1544">
        <v>26.969792418300653</v>
      </c>
      <c r="AG30" s="1544">
        <v>9.3236174399819429</v>
      </c>
      <c r="AH30" s="1544">
        <v>12.129568627450983</v>
      </c>
      <c r="AI30" s="1544">
        <v>7.8477772623238113</v>
      </c>
      <c r="AJ30" s="1544">
        <v>0</v>
      </c>
      <c r="AK30" s="1544">
        <v>0</v>
      </c>
      <c r="AL30" s="1544">
        <v>45.345251633986933</v>
      </c>
      <c r="AM30" s="1943">
        <v>94.219363135435088</v>
      </c>
      <c r="AN30" s="1933">
        <v>36.230155137254904</v>
      </c>
      <c r="AO30" s="1544">
        <v>16.767387572660539</v>
      </c>
      <c r="AP30" s="1544">
        <v>16.317709150326799</v>
      </c>
      <c r="AQ30" s="1544">
        <v>8.5476196813389134</v>
      </c>
      <c r="AR30" s="1544">
        <v>27.779659450980393</v>
      </c>
      <c r="AS30" s="1544">
        <v>13.712923819668212</v>
      </c>
      <c r="AT30" s="1544">
        <v>12.525098039215688</v>
      </c>
      <c r="AU30" s="1544">
        <v>4.4715939223781183</v>
      </c>
      <c r="AV30" s="1544">
        <v>55.745968627450978</v>
      </c>
      <c r="AW30" s="1544">
        <v>3.312651162111464</v>
      </c>
      <c r="AX30" s="1544">
        <v>46.708192810457518</v>
      </c>
      <c r="AY30" s="1943">
        <v>78.30722174470931</v>
      </c>
      <c r="AZ30" s="1933">
        <v>32.406388915032686</v>
      </c>
      <c r="BA30" s="1544">
        <v>13.540624786731126</v>
      </c>
      <c r="BB30" s="1544">
        <v>16.823238562091504</v>
      </c>
      <c r="BC30" s="1544">
        <v>11.05355620165072</v>
      </c>
      <c r="BD30" s="1544">
        <v>24.997893751633992</v>
      </c>
      <c r="BE30" s="1544">
        <v>11.220189143628998</v>
      </c>
      <c r="BF30" s="1544">
        <v>12.920627450980394</v>
      </c>
      <c r="BG30" s="1544">
        <v>6.030148742890912</v>
      </c>
      <c r="BH30" s="1544">
        <v>49.366371241830073</v>
      </c>
      <c r="BI30" s="1544">
        <v>0.33723570278122078</v>
      </c>
      <c r="BJ30" s="1544">
        <v>48.071133986928103</v>
      </c>
      <c r="BK30" s="1943">
        <v>91.009363461285474</v>
      </c>
      <c r="BL30" s="1933">
        <v>30.871689620915038</v>
      </c>
      <c r="BM30" s="1544">
        <v>14.086830306229166</v>
      </c>
      <c r="BN30" s="1544">
        <v>16.654728758169938</v>
      </c>
      <c r="BO30" s="1544">
        <v>12.85386465846976</v>
      </c>
      <c r="BP30" s="1544">
        <v>25.005003973856212</v>
      </c>
      <c r="BQ30" s="1544">
        <v>11.70434705280547</v>
      </c>
      <c r="BR30" s="1544">
        <v>12.788784313725493</v>
      </c>
      <c r="BS30" s="1544">
        <v>7.7120700147449508</v>
      </c>
      <c r="BT30" s="1544">
        <v>47.924277124183014</v>
      </c>
      <c r="BU30" s="1544">
        <v>0.72260996787926068</v>
      </c>
      <c r="BV30" s="1544">
        <v>47.616820261437915</v>
      </c>
      <c r="BW30" s="1943">
        <v>93.410402289224663</v>
      </c>
      <c r="BX30" s="1933">
        <v>29.942955346405235</v>
      </c>
      <c r="BY30" s="1544">
        <v>12.079677165711519</v>
      </c>
      <c r="BZ30" s="1544">
        <v>16.71089869281046</v>
      </c>
      <c r="CA30" s="1544">
        <v>8.5103996211732582</v>
      </c>
      <c r="CB30" s="1544">
        <v>24.121073673202616</v>
      </c>
      <c r="CC30" s="1544">
        <v>10.238069421276053</v>
      </c>
      <c r="CD30" s="1544">
        <v>12.832732026143793</v>
      </c>
      <c r="CE30" s="1544">
        <v>4.2141080202014747</v>
      </c>
      <c r="CF30" s="1544">
        <v>0</v>
      </c>
      <c r="CG30" s="1544">
        <v>0</v>
      </c>
      <c r="CH30" s="1544">
        <v>47.76825816993464</v>
      </c>
      <c r="CI30" s="1943">
        <v>83.885629526265333</v>
      </c>
      <c r="CJ30" s="1933">
        <v>23.229640522875822</v>
      </c>
      <c r="CK30" s="1544">
        <v>0.99945014758721307</v>
      </c>
      <c r="CL30" s="1544">
        <v>20.024924836601308</v>
      </c>
      <c r="CM30" s="1544">
        <v>12.132701937731857</v>
      </c>
      <c r="CN30" s="1544">
        <v>17.476633986928107</v>
      </c>
      <c r="CO30" s="1544">
        <v>1.0694257417504667</v>
      </c>
      <c r="CP30" s="1544">
        <v>15.425647058823532</v>
      </c>
      <c r="CQ30" s="1544">
        <v>5.5803573745583614</v>
      </c>
      <c r="CR30" s="1544">
        <v>0</v>
      </c>
      <c r="CS30" s="1544">
        <v>0</v>
      </c>
      <c r="CT30" s="1544">
        <v>56.703094771241837</v>
      </c>
      <c r="CU30" s="1943">
        <v>125.20723885760886</v>
      </c>
      <c r="CV30" s="1933">
        <v>29.712833150326802</v>
      </c>
      <c r="CW30" s="1544">
        <v>4.3539811935329569</v>
      </c>
      <c r="CX30" s="1544">
        <v>18.115147058823531</v>
      </c>
      <c r="CY30" s="1544">
        <v>8.7304577422467133</v>
      </c>
      <c r="CZ30" s="1544">
        <v>23.467195764705885</v>
      </c>
      <c r="DA30" s="1544">
        <v>3.8784843302129017</v>
      </c>
      <c r="DB30" s="1544">
        <v>13.931424836601309</v>
      </c>
      <c r="DC30" s="1544">
        <v>3.8694933649760004</v>
      </c>
      <c r="DD30" s="1544">
        <v>0</v>
      </c>
      <c r="DE30" s="1544">
        <v>0</v>
      </c>
      <c r="DF30" s="1544">
        <v>51.554205882352939</v>
      </c>
      <c r="DG30" s="1943">
        <v>102.05063781113293</v>
      </c>
      <c r="DH30" s="1933">
        <v>31.983817934640527</v>
      </c>
      <c r="DI30" s="1544">
        <v>3.2882408176270732</v>
      </c>
      <c r="DJ30" s="1544">
        <v>18.957696078431375</v>
      </c>
      <c r="DK30" s="1544">
        <v>16.932958531275066</v>
      </c>
      <c r="DL30" s="1544">
        <v>24.558318849673206</v>
      </c>
      <c r="DM30" s="1544">
        <v>3.0808650466050569</v>
      </c>
      <c r="DN30" s="1544">
        <v>14.59064052287582</v>
      </c>
      <c r="DO30" s="1544">
        <v>10.255637276056801</v>
      </c>
      <c r="DP30" s="1544">
        <v>0</v>
      </c>
      <c r="DQ30" s="1544">
        <v>0</v>
      </c>
      <c r="DR30" s="1544">
        <v>53.825774509803928</v>
      </c>
      <c r="DS30" s="1943">
        <v>121.39027058251143</v>
      </c>
      <c r="DT30" s="1933">
        <v>33.643946718954254</v>
      </c>
      <c r="DU30" s="1544">
        <v>18.326451615876227</v>
      </c>
      <c r="DV30" s="1544">
        <v>15.025800653594771</v>
      </c>
      <c r="DW30" s="1544">
        <v>8.1782016706091518</v>
      </c>
      <c r="DX30" s="1544">
        <v>25.936959006535947</v>
      </c>
      <c r="DY30" s="1544">
        <v>14.91334773398194</v>
      </c>
      <c r="DZ30" s="1544">
        <v>11.514300653594773</v>
      </c>
      <c r="EA30" s="1544">
        <v>4.2505554372334924</v>
      </c>
      <c r="EB30" s="1544">
        <v>52.13475555555555</v>
      </c>
      <c r="EC30" s="1544">
        <v>5.0817811141114655</v>
      </c>
      <c r="ED30" s="1544">
        <v>43.225120915032676</v>
      </c>
      <c r="EE30" s="1943">
        <v>75.686833673320493</v>
      </c>
      <c r="EF30" s="1933">
        <v>30.845698248366016</v>
      </c>
      <c r="EG30" s="1544">
        <v>8.5025010317344059</v>
      </c>
      <c r="EH30" s="1544">
        <v>17.272598039215687</v>
      </c>
      <c r="EI30" s="1544">
        <v>17.294922794042801</v>
      </c>
      <c r="EJ30" s="1544">
        <v>24.411793882352942</v>
      </c>
      <c r="EK30" s="1544">
        <v>7.4468815771191954</v>
      </c>
      <c r="EL30" s="1544">
        <v>13.2722091503268</v>
      </c>
      <c r="EM30" s="1544">
        <v>10.909945502637271</v>
      </c>
      <c r="EN30" s="1544">
        <v>0</v>
      </c>
      <c r="EO30" s="1544">
        <v>0</v>
      </c>
      <c r="EP30" s="1544">
        <v>49.282637254901957</v>
      </c>
      <c r="EQ30" s="1943">
        <v>111.45737884832025</v>
      </c>
      <c r="ER30" s="1933">
        <v>22.104836601307195</v>
      </c>
      <c r="ES30" s="1544">
        <v>0</v>
      </c>
      <c r="ET30" s="1544">
        <v>21.316833333333332</v>
      </c>
      <c r="EU30" s="1544">
        <v>16.095556012293915</v>
      </c>
      <c r="EV30" s="1544">
        <v>16.368464052287582</v>
      </c>
      <c r="EW30" s="1544">
        <v>0</v>
      </c>
      <c r="EX30" s="1544">
        <v>16.436444444444447</v>
      </c>
      <c r="EY30" s="1544">
        <v>8.3642961215481666</v>
      </c>
      <c r="EZ30" s="1544">
        <v>0</v>
      </c>
      <c r="FA30" s="1544">
        <v>0</v>
      </c>
      <c r="FB30" s="1544">
        <v>60.186166666666672</v>
      </c>
      <c r="FC30" s="1943">
        <v>148.61642892274074</v>
      </c>
      <c r="FD30" s="1933">
        <v>31.58536559477125</v>
      </c>
      <c r="FE30" s="1544">
        <v>13.394187831640931</v>
      </c>
      <c r="FF30" s="1544">
        <v>16.598558823529412</v>
      </c>
      <c r="FG30" s="1544">
        <v>12.93687180320681</v>
      </c>
      <c r="FH30" s="1544">
        <v>26.709477124183007</v>
      </c>
      <c r="FI30" s="1544">
        <v>11.122795687511355</v>
      </c>
      <c r="FJ30" s="1544">
        <v>12.744836601307192</v>
      </c>
      <c r="FK30" s="1544">
        <v>7.7061752145634781</v>
      </c>
      <c r="FL30" s="1544">
        <v>47.026295424836604</v>
      </c>
      <c r="FM30" s="1544">
        <v>0.17792197729102455</v>
      </c>
      <c r="FN30" s="1544">
        <v>47.465382352941184</v>
      </c>
      <c r="FO30" s="1943">
        <v>94.525618522339101</v>
      </c>
      <c r="FP30" s="1933">
        <v>29.853690143790857</v>
      </c>
      <c r="FQ30" s="1544">
        <v>10.592325282480147</v>
      </c>
      <c r="FR30" s="1544">
        <v>16.598558823529412</v>
      </c>
      <c r="FS30" s="1544">
        <v>12.828864159824343</v>
      </c>
      <c r="FT30" s="1544">
        <v>23.055164130718957</v>
      </c>
      <c r="FU30" s="1544">
        <v>9.0419810280211514</v>
      </c>
      <c r="FV30" s="1544">
        <v>12.744836601307192</v>
      </c>
      <c r="FW30" s="1544">
        <v>7.3407421481112989</v>
      </c>
      <c r="FX30" s="1544">
        <v>0</v>
      </c>
      <c r="FY30" s="1544">
        <v>0</v>
      </c>
      <c r="FZ30" s="1544">
        <v>47.465382352941184</v>
      </c>
      <c r="GA30" s="1943">
        <v>98.070720402218811</v>
      </c>
      <c r="GB30" s="1933">
        <v>29.612276862745102</v>
      </c>
      <c r="GC30" s="1544">
        <v>5.4270219372976598</v>
      </c>
      <c r="GD30" s="1544">
        <v>18.002807189542484</v>
      </c>
      <c r="GE30" s="1544">
        <v>10.755674923322132</v>
      </c>
      <c r="GF30" s="1544">
        <v>22.832221960784317</v>
      </c>
      <c r="GG30" s="1544">
        <v>4.6160064241344676</v>
      </c>
      <c r="GH30" s="1544">
        <v>13.843529411764708</v>
      </c>
      <c r="GI30" s="1544">
        <v>5.2783359046471308</v>
      </c>
      <c r="GJ30" s="1544">
        <v>0</v>
      </c>
      <c r="GK30" s="1544">
        <v>0</v>
      </c>
      <c r="GL30" s="1544">
        <v>51.251330065359483</v>
      </c>
      <c r="GM30" s="1943">
        <v>105.89922208546297</v>
      </c>
      <c r="GN30" s="1933">
        <v>29.803464052287584</v>
      </c>
      <c r="GO30" s="1544">
        <v>3.8341811901290335</v>
      </c>
      <c r="GP30" s="1544">
        <v>18.058977124183009</v>
      </c>
      <c r="GQ30" s="1544">
        <v>14.809753516175977</v>
      </c>
      <c r="GR30" s="1544">
        <v>22.913398692810457</v>
      </c>
      <c r="GS30" s="1544">
        <v>3.3951175293893701</v>
      </c>
      <c r="GT30" s="1544">
        <v>13.887477124183009</v>
      </c>
      <c r="GU30" s="1544">
        <v>8.2501097122163998</v>
      </c>
      <c r="GV30" s="1544">
        <v>0</v>
      </c>
      <c r="GW30" s="1544">
        <v>0</v>
      </c>
      <c r="GX30" s="1544">
        <v>51.402767973856214</v>
      </c>
      <c r="GY30" s="1943">
        <v>119.53440730461212</v>
      </c>
      <c r="GZ30" s="1933">
        <v>31.299515189542486</v>
      </c>
      <c r="HA30" s="1544">
        <v>21.03535232240236</v>
      </c>
      <c r="HB30" s="1544">
        <v>13.39687254901961</v>
      </c>
      <c r="HC30" s="1544">
        <v>3.9970940135660489</v>
      </c>
      <c r="HD30" s="1544">
        <v>25.607678222222223</v>
      </c>
      <c r="HE30" s="1544">
        <v>17.262895256013003</v>
      </c>
      <c r="HF30" s="1544">
        <v>10.239816993464055</v>
      </c>
      <c r="HG30" s="1544">
        <v>1.5748140563091617</v>
      </c>
      <c r="HH30" s="1544">
        <v>46.534567320261445</v>
      </c>
      <c r="HI30" s="1544">
        <v>9.2248725624449754</v>
      </c>
      <c r="HJ30" s="1544">
        <v>38.83342156862745</v>
      </c>
      <c r="HK30" s="1943">
        <v>59.21296535199604</v>
      </c>
      <c r="HL30" s="1933">
        <v>34.156510117647059</v>
      </c>
      <c r="HM30" s="1544">
        <v>21.923222120456618</v>
      </c>
      <c r="HN30" s="1544">
        <v>13.116022875816997</v>
      </c>
      <c r="HO30" s="1544">
        <v>3.4914015480200007</v>
      </c>
      <c r="HP30" s="1544">
        <v>26.188293647058824</v>
      </c>
      <c r="HQ30" s="1544">
        <v>17.947056654465015</v>
      </c>
      <c r="HR30" s="1544">
        <v>10.02007843137255</v>
      </c>
      <c r="HS30" s="1544">
        <v>1.3047838139690244</v>
      </c>
      <c r="HT30" s="1544">
        <v>50.782729411764706</v>
      </c>
      <c r="HU30" s="1544">
        <v>10.606593475386148</v>
      </c>
      <c r="HV30" s="1544">
        <v>38.076232026143785</v>
      </c>
      <c r="HW30" s="1943">
        <v>58.040617371031935</v>
      </c>
      <c r="HX30" s="1933">
        <v>33.782540026143799</v>
      </c>
      <c r="HY30" s="1544">
        <v>13.082550213884071</v>
      </c>
      <c r="HZ30" s="1544">
        <v>16.261539215686277</v>
      </c>
      <c r="IA30" s="1544">
        <v>12.281934614506223</v>
      </c>
      <c r="IB30" s="1544">
        <v>26.02677166013072</v>
      </c>
      <c r="IC30" s="1544">
        <v>10.994208498648605</v>
      </c>
      <c r="ID30" s="1544">
        <v>12.481150326797387</v>
      </c>
      <c r="IE30" s="1544">
        <v>7.2357978217252494</v>
      </c>
      <c r="IF30" s="1544">
        <v>52.166005228758173</v>
      </c>
      <c r="IG30" s="1544">
        <v>0.42223384050671359</v>
      </c>
      <c r="IH30" s="1544">
        <v>46.556754901960787</v>
      </c>
      <c r="II30" s="1943">
        <v>92.505067043980546</v>
      </c>
      <c r="IJ30" s="1933">
        <v>32.528409202614384</v>
      </c>
      <c r="IK30" s="1544">
        <v>20.939116999640934</v>
      </c>
      <c r="IL30" s="1544">
        <v>14.351761437908497</v>
      </c>
      <c r="IM30" s="1544">
        <v>6.612112549064757</v>
      </c>
      <c r="IN30" s="1544">
        <v>26.157571450980392</v>
      </c>
      <c r="IO30" s="1544">
        <v>17.107626354013</v>
      </c>
      <c r="IP30" s="1544">
        <v>10.986928104575165</v>
      </c>
      <c r="IQ30" s="1544">
        <v>3.1256069462611515</v>
      </c>
      <c r="IR30" s="1544">
        <v>48.873722875816988</v>
      </c>
      <c r="IS30" s="1544">
        <v>9.408249053739091</v>
      </c>
      <c r="IT30" s="1544">
        <v>41.407866013071896</v>
      </c>
      <c r="IU30" s="1943">
        <v>69.783785906597686</v>
      </c>
      <c r="IV30" s="1933">
        <v>30.907450980392159</v>
      </c>
      <c r="IW30" s="1544">
        <v>5.0264499504741336</v>
      </c>
      <c r="IX30" s="1544">
        <v>18.058977124183009</v>
      </c>
      <c r="IY30" s="1544">
        <v>7.3706583509307251</v>
      </c>
      <c r="IZ30" s="1544">
        <v>23.866666666666664</v>
      </c>
      <c r="JA30" s="1544">
        <v>4.2684692837423119</v>
      </c>
      <c r="JB30" s="1544">
        <v>13.887477124183009</v>
      </c>
      <c r="JC30" s="1544">
        <v>2.9180022975012765</v>
      </c>
      <c r="JD30" s="1544">
        <v>0</v>
      </c>
      <c r="JE30" s="1544">
        <v>0</v>
      </c>
      <c r="JF30" s="1544">
        <v>51.402767973856214</v>
      </c>
      <c r="JG30" s="1943">
        <v>96.358667009616298</v>
      </c>
      <c r="JH30" s="1933">
        <v>28.904246431372556</v>
      </c>
      <c r="JI30" s="1544">
        <v>15.490208741005638</v>
      </c>
      <c r="JJ30" s="1544">
        <v>15.699839869281046</v>
      </c>
      <c r="JK30" s="1544">
        <v>10.840036427386824</v>
      </c>
      <c r="JL30" s="1544">
        <v>23.358479006535948</v>
      </c>
      <c r="JM30" s="1544">
        <v>12.818841304609393</v>
      </c>
      <c r="JN30" s="1544">
        <v>12.04167320261438</v>
      </c>
      <c r="JO30" s="1544">
        <v>6.2532720557432757</v>
      </c>
      <c r="JP30" s="1544">
        <v>42.279050980392149</v>
      </c>
      <c r="JQ30" s="1544">
        <v>2.9627313095624461</v>
      </c>
      <c r="JR30" s="1544">
        <v>45.04237581699347</v>
      </c>
      <c r="JS30" s="1943">
        <v>85.605735702844484</v>
      </c>
      <c r="JT30" s="1933">
        <v>35.148518222222222</v>
      </c>
      <c r="JU30" s="1544">
        <v>14.782553270040932</v>
      </c>
      <c r="JV30" s="1544">
        <v>16.430049019607843</v>
      </c>
      <c r="JW30" s="1544">
        <v>11.298797466582512</v>
      </c>
      <c r="JX30" s="1544">
        <v>26.98869652287582</v>
      </c>
      <c r="JY30" s="1544">
        <v>12.150625235511351</v>
      </c>
      <c r="JZ30" s="1544">
        <v>12.612993464052288</v>
      </c>
      <c r="KA30" s="1544">
        <v>6.3786795683283097</v>
      </c>
      <c r="KB30" s="1544">
        <v>53.867291503267985</v>
      </c>
      <c r="KC30" s="1544">
        <v>1.1946495922291136</v>
      </c>
      <c r="KD30" s="1544">
        <v>47.011068627450975</v>
      </c>
      <c r="KE30" s="1943">
        <v>88.634517773157498</v>
      </c>
      <c r="KF30" s="1933">
        <v>32.42897108496733</v>
      </c>
      <c r="KG30" s="1544">
        <v>7.3455808955251136</v>
      </c>
      <c r="KH30" s="1544">
        <v>16.71089869281046</v>
      </c>
      <c r="KI30" s="1544">
        <v>16.485988715102106</v>
      </c>
      <c r="KJ30" s="1544">
        <v>24.812007424836601</v>
      </c>
      <c r="KK30" s="1544">
        <v>6.3782052745968993</v>
      </c>
      <c r="KL30" s="1544">
        <v>12.832732026143793</v>
      </c>
      <c r="KM30" s="1544">
        <v>10.521724579541214</v>
      </c>
      <c r="KN30" s="1544">
        <v>0</v>
      </c>
      <c r="KO30" s="1544">
        <v>0</v>
      </c>
      <c r="KP30" s="1544">
        <v>47.76825816993464</v>
      </c>
      <c r="KQ30" s="1943">
        <v>110.07823873991077</v>
      </c>
      <c r="KR30" s="1933">
        <v>32.852296627450983</v>
      </c>
      <c r="KS30" s="1544">
        <v>18.642109311609563</v>
      </c>
      <c r="KT30" s="1544">
        <v>15.081970588235297</v>
      </c>
      <c r="KU30" s="1544">
        <v>7.15093372531837</v>
      </c>
      <c r="KV30" s="1544">
        <v>25.270486431372554</v>
      </c>
      <c r="KW30" s="1544">
        <v>15.149565017864298</v>
      </c>
      <c r="KX30" s="1544">
        <v>11.558248366013075</v>
      </c>
      <c r="KY30" s="1544">
        <v>3.5706051729678583</v>
      </c>
      <c r="KZ30" s="1544">
        <v>49.169678431372553</v>
      </c>
      <c r="LA30" s="1544">
        <v>5.179820329797745</v>
      </c>
      <c r="LB30" s="1544">
        <v>43.376558823529415</v>
      </c>
      <c r="LC30" s="1943">
        <v>72.135310519895881</v>
      </c>
      <c r="LD30" s="1933">
        <v>25.269705882352945</v>
      </c>
      <c r="LE30" s="1544">
        <v>4.899782891932956</v>
      </c>
      <c r="LF30" s="1544">
        <v>17.047918300653599</v>
      </c>
      <c r="LG30" s="1544">
        <v>12.555843087513795</v>
      </c>
      <c r="LH30" s="1544">
        <v>20.340359477124185</v>
      </c>
      <c r="LI30" s="1544">
        <v>4.3369613478207425</v>
      </c>
      <c r="LJ30" s="1544">
        <v>13.096418300653596</v>
      </c>
      <c r="LK30" s="1544">
        <v>6.6450775139562026</v>
      </c>
      <c r="LL30" s="1544">
        <v>0</v>
      </c>
      <c r="LM30" s="1544">
        <v>0</v>
      </c>
      <c r="LN30" s="1544">
        <v>48.67688562091503</v>
      </c>
      <c r="LO30" s="1943">
        <v>111.18397891160711</v>
      </c>
      <c r="LP30" s="1933">
        <v>32.322405647058837</v>
      </c>
      <c r="LQ30" s="1544">
        <v>12.314912323531127</v>
      </c>
      <c r="LR30" s="1544">
        <v>17.216428104575165</v>
      </c>
      <c r="LS30" s="1544">
        <v>12.37689666766909</v>
      </c>
      <c r="LT30" s="1544">
        <v>25.383935267973861</v>
      </c>
      <c r="LU30" s="1544">
        <v>10.272282238648604</v>
      </c>
      <c r="LV30" s="1544">
        <v>13.2282614379085</v>
      </c>
      <c r="LW30" s="1544">
        <v>7.2069703831726573</v>
      </c>
      <c r="LX30" s="1544">
        <v>0</v>
      </c>
      <c r="LY30" s="1544">
        <v>0</v>
      </c>
      <c r="LZ30" s="1544">
        <v>49.131199346405232</v>
      </c>
      <c r="MA30" s="1943">
        <v>93.948487650687483</v>
      </c>
      <c r="MB30" s="1933">
        <v>28.692843137254908</v>
      </c>
      <c r="MC30" s="1544">
        <v>0.75334683224603394</v>
      </c>
      <c r="MD30" s="1544">
        <v>22.552571895424837</v>
      </c>
      <c r="ME30" s="1544">
        <v>15.814794957692072</v>
      </c>
      <c r="MF30" s="1544">
        <v>21.605392156862745</v>
      </c>
      <c r="MG30" s="1544">
        <v>0.85336405590733</v>
      </c>
      <c r="MH30" s="1544">
        <v>17.403294117647061</v>
      </c>
      <c r="MI30" s="1544">
        <v>7.5923419149218416</v>
      </c>
      <c r="MJ30" s="1544">
        <v>0</v>
      </c>
      <c r="MK30" s="1544">
        <v>0</v>
      </c>
      <c r="ML30" s="1544">
        <v>63.517800653594776</v>
      </c>
      <c r="MM30" s="1943">
        <v>140.38198620806736</v>
      </c>
      <c r="MN30" s="1933">
        <v>26.495392156862753</v>
      </c>
      <c r="MO30" s="1544">
        <v>0.66060906498328875</v>
      </c>
      <c r="MP30" s="1544">
        <v>18.789186274509802</v>
      </c>
      <c r="MQ30" s="1544">
        <v>15.54337180190638</v>
      </c>
      <c r="MR30" s="1544">
        <v>19.97401960784314</v>
      </c>
      <c r="MS30" s="1544">
        <v>0.85668629045634814</v>
      </c>
      <c r="MT30" s="1544">
        <v>14.458797385620915</v>
      </c>
      <c r="MU30" s="1544">
        <v>8.2025055831252836</v>
      </c>
      <c r="MV30" s="1544">
        <v>0</v>
      </c>
      <c r="MW30" s="1544">
        <v>0</v>
      </c>
      <c r="MX30" s="1544">
        <v>53.371460784313726</v>
      </c>
      <c r="MY30" s="1943">
        <v>137.72895214415664</v>
      </c>
      <c r="MZ30" s="1933">
        <v>31.131912261437911</v>
      </c>
      <c r="NA30" s="1544">
        <v>9.850356086025247</v>
      </c>
      <c r="NB30" s="1544">
        <v>17.89046732026144</v>
      </c>
      <c r="NC30" s="1544">
        <v>11.805739766264599</v>
      </c>
      <c r="ND30" s="1544">
        <v>23.885536836601304</v>
      </c>
      <c r="NE30" s="1544">
        <v>8.349255155001547</v>
      </c>
      <c r="NF30" s="1544">
        <v>13.755633986928107</v>
      </c>
      <c r="NG30" s="1544">
        <v>6.5410132649199149</v>
      </c>
      <c r="NH30" s="1544">
        <v>0</v>
      </c>
      <c r="NI30" s="1544">
        <v>0</v>
      </c>
      <c r="NJ30" s="1544">
        <v>50.948454248366012</v>
      </c>
      <c r="NK30" s="1943">
        <v>96.970013784514222</v>
      </c>
      <c r="NL30" s="1933">
        <v>30.378690143790855</v>
      </c>
      <c r="NM30" s="1544">
        <v>13.248021497209558</v>
      </c>
      <c r="NN30" s="1544">
        <v>16.879408496732026</v>
      </c>
      <c r="NO30" s="1544">
        <v>13.688420172803413</v>
      </c>
      <c r="NP30" s="1544">
        <v>23.430164130718957</v>
      </c>
      <c r="NQ30" s="1544">
        <v>11.072719191040767</v>
      </c>
      <c r="NR30" s="1544">
        <v>12.964575163398694</v>
      </c>
      <c r="NS30" s="1544">
        <v>8.2751853131871869</v>
      </c>
      <c r="NT30" s="1544">
        <v>44.302028758169939</v>
      </c>
      <c r="NU30" s="1544">
        <v>0.3307151638008301</v>
      </c>
      <c r="NV30" s="1544">
        <v>48.222571895424842</v>
      </c>
      <c r="NW30" s="1943">
        <v>97.066510749401587</v>
      </c>
      <c r="NX30" s="1933">
        <v>31.830032679738565</v>
      </c>
      <c r="NY30" s="1544">
        <v>4.6350545431172687</v>
      </c>
      <c r="NZ30" s="1544">
        <v>19.407055555555555</v>
      </c>
      <c r="OA30" s="1544">
        <v>12.826420561232407</v>
      </c>
      <c r="OB30" s="1544">
        <v>24.608006535947716</v>
      </c>
      <c r="OC30" s="1544">
        <v>4.0428748505266245</v>
      </c>
      <c r="OD30" s="1544">
        <v>14.942222222222226</v>
      </c>
      <c r="OE30" s="1544">
        <v>6.592638917131552</v>
      </c>
      <c r="OF30" s="1544">
        <v>0</v>
      </c>
      <c r="OG30" s="1544">
        <v>0</v>
      </c>
      <c r="OH30" s="1544">
        <v>55.037277777777781</v>
      </c>
      <c r="OI30" s="1934">
        <v>112.09335055779349</v>
      </c>
      <c r="OJ30" s="1933">
        <v>31.345461437908504</v>
      </c>
      <c r="OK30" s="1544">
        <v>17.469278700597794</v>
      </c>
      <c r="OL30" s="1544">
        <v>16.036859477124185</v>
      </c>
      <c r="OM30" s="1544">
        <v>8.9982558811990554</v>
      </c>
      <c r="ON30" s="1544">
        <v>24.414948601307188</v>
      </c>
      <c r="OO30" s="1544">
        <v>14.283011391354488</v>
      </c>
      <c r="OP30" s="1544">
        <v>12.305359477124185</v>
      </c>
      <c r="OQ30" s="1544">
        <v>4.6478576779932501</v>
      </c>
      <c r="OR30" s="1544">
        <v>46.43346405228759</v>
      </c>
      <c r="OS30" s="1544">
        <v>3.336636848699698</v>
      </c>
      <c r="OT30" s="1544">
        <v>45.95100326797386</v>
      </c>
      <c r="OU30" s="1934">
        <v>80.158614212137948</v>
      </c>
      <c r="OV30" s="1933">
        <v>30.49728758169935</v>
      </c>
      <c r="OW30" s="1544">
        <v>3.2305354650466791</v>
      </c>
      <c r="OX30" s="1544">
        <v>21.766192810457518</v>
      </c>
      <c r="OY30" s="1544">
        <v>16.544974265203113</v>
      </c>
      <c r="OZ30" s="1544">
        <v>23.594281045751636</v>
      </c>
      <c r="PA30" s="1544">
        <v>2.9311089857815276</v>
      </c>
      <c r="PB30" s="1544">
        <v>16.788026143790852</v>
      </c>
      <c r="PC30" s="1544">
        <v>8.7813969772413056</v>
      </c>
      <c r="PD30" s="1544">
        <v>0</v>
      </c>
      <c r="PE30" s="1544">
        <v>0</v>
      </c>
      <c r="PF30" s="1544">
        <v>61.397669934640533</v>
      </c>
      <c r="PG30" s="1934">
        <v>125.64504773124983</v>
      </c>
      <c r="PH30" s="1933">
        <v>32.129202300653603</v>
      </c>
      <c r="PI30" s="1544">
        <v>13.458256929225247</v>
      </c>
      <c r="PJ30" s="1544">
        <v>17.047918300653599</v>
      </c>
      <c r="PK30" s="1544">
        <v>9.7723744528916843</v>
      </c>
      <c r="PL30" s="1544">
        <v>26.255246692810459</v>
      </c>
      <c r="PM30" s="1544">
        <v>11.273317939393705</v>
      </c>
      <c r="PN30" s="1544">
        <v>13.096418300653596</v>
      </c>
      <c r="PO30" s="1544">
        <v>5.2520423623997745</v>
      </c>
      <c r="PP30" s="1544">
        <v>49.303871895424841</v>
      </c>
      <c r="PQ30" s="1544">
        <v>3.6597516742006654E-2</v>
      </c>
      <c r="PR30" s="1544">
        <v>48.67688562091503</v>
      </c>
      <c r="PS30" s="1934">
        <v>85.001472641935607</v>
      </c>
      <c r="PT30" s="1933">
        <v>32.861714980392165</v>
      </c>
      <c r="PU30" s="1544">
        <v>13.360007306589953</v>
      </c>
      <c r="PV30" s="1544">
        <v>16.767068627450982</v>
      </c>
      <c r="PW30" s="1544">
        <v>12.822272859365331</v>
      </c>
      <c r="PX30" s="1544">
        <v>25.318535372549025</v>
      </c>
      <c r="PY30" s="1544">
        <v>11.076649815511351</v>
      </c>
      <c r="PZ30" s="1544">
        <v>12.876679738562093</v>
      </c>
      <c r="QA30" s="1544">
        <v>7.549227522191484</v>
      </c>
      <c r="QB30" s="1544">
        <v>49.933466666666675</v>
      </c>
      <c r="QC30" s="1544">
        <v>0.30047099689886875</v>
      </c>
      <c r="QD30" s="1544">
        <v>47.919696078431372</v>
      </c>
      <c r="QE30" s="1934">
        <v>94.655476725751384</v>
      </c>
      <c r="QF30" s="1933">
        <v>22.690000000000005</v>
      </c>
      <c r="QG30" s="1544">
        <v>1.0863224176107422</v>
      </c>
      <c r="QH30" s="1544">
        <v>18.90152614379085</v>
      </c>
      <c r="QI30" s="1544">
        <v>11.794990072631938</v>
      </c>
      <c r="QJ30" s="1544">
        <v>20.089052287581701</v>
      </c>
      <c r="QK30" s="1544">
        <v>1.1973796233975254</v>
      </c>
      <c r="QL30" s="1544">
        <v>14.546692810457518</v>
      </c>
      <c r="QM30" s="1544">
        <v>5.3944626680262884</v>
      </c>
      <c r="QN30" s="1544">
        <v>0</v>
      </c>
      <c r="QO30" s="1544">
        <v>0</v>
      </c>
      <c r="QP30" s="1544">
        <v>53.674336601307196</v>
      </c>
      <c r="QQ30" s="1934">
        <v>127.97766877027749</v>
      </c>
      <c r="QR30" s="1933">
        <v>32.144266196078433</v>
      </c>
      <c r="QS30" s="1544">
        <v>14.371325585695837</v>
      </c>
      <c r="QT30" s="1544">
        <v>16.991748366013073</v>
      </c>
      <c r="QU30" s="1544">
        <v>11.365112550212256</v>
      </c>
      <c r="QV30" s="1544">
        <v>26.937517071895428</v>
      </c>
      <c r="QW30" s="1544">
        <v>11.860552411942725</v>
      </c>
      <c r="QX30" s="1544">
        <v>13.052470588235295</v>
      </c>
      <c r="QY30" s="1544">
        <v>6.3708719791713673</v>
      </c>
      <c r="QZ30" s="1544">
        <v>49.158650980392153</v>
      </c>
      <c r="RA30" s="1544">
        <v>0.75973160195460054</v>
      </c>
      <c r="RB30" s="1544">
        <v>48.525447712418298</v>
      </c>
      <c r="RC30" s="1934">
        <v>90.25901869270669</v>
      </c>
      <c r="RD30" s="1933">
        <v>31.910762143790855</v>
      </c>
      <c r="RE30" s="1544">
        <v>13.693829307923286</v>
      </c>
      <c r="RF30" s="1544">
        <v>16.879408496732026</v>
      </c>
      <c r="RG30" s="1544">
        <v>10.843158550297417</v>
      </c>
      <c r="RH30" s="1544">
        <v>24.607144366013074</v>
      </c>
      <c r="RI30" s="1544">
        <v>11.344029682374098</v>
      </c>
      <c r="RJ30" s="1544">
        <v>12.964575163398694</v>
      </c>
      <c r="RK30" s="1544">
        <v>5.980942292102406</v>
      </c>
      <c r="RL30" s="1544">
        <v>47.991369934640524</v>
      </c>
      <c r="RM30" s="1544">
        <v>0.27596119297729971</v>
      </c>
      <c r="RN30" s="1544">
        <v>48.222571895424842</v>
      </c>
      <c r="RO30" s="1934">
        <v>88.999439770117746</v>
      </c>
    </row>
    <row r="31" spans="1:483">
      <c r="A31" s="634">
        <f>Eingabedaten!A33</f>
        <v>8.02</v>
      </c>
      <c r="B31" s="379" t="str">
        <f>Eingabedaten!C33</f>
        <v xml:space="preserve">Stationszimmer </v>
      </c>
      <c r="C31" s="379"/>
      <c r="D31" s="1933">
        <v>42.989819607843152</v>
      </c>
      <c r="E31" s="1544">
        <v>45.92979455347384</v>
      </c>
      <c r="F31" s="1544">
        <v>17.904756862745096</v>
      </c>
      <c r="G31" s="1544">
        <v>1.272761392547441</v>
      </c>
      <c r="H31" s="1544">
        <v>35.660454901960783</v>
      </c>
      <c r="I31" s="1544">
        <v>28.671610813830856</v>
      </c>
      <c r="J31" s="1544">
        <v>14.435200000000002</v>
      </c>
      <c r="K31" s="1544">
        <v>1.0609321499056978</v>
      </c>
      <c r="L31" s="1544">
        <v>0</v>
      </c>
      <c r="M31" s="1544">
        <v>0</v>
      </c>
      <c r="N31" s="1544">
        <v>43.35543137254902</v>
      </c>
      <c r="O31" s="1943">
        <v>85.316273382849133</v>
      </c>
      <c r="P31" s="1933">
        <v>62.430528627450983</v>
      </c>
      <c r="Q31" s="1544">
        <v>75.076725317316971</v>
      </c>
      <c r="R31" s="1544">
        <v>15.253772549019608</v>
      </c>
      <c r="S31" s="1544">
        <v>1.0088051613512106</v>
      </c>
      <c r="T31" s="1544">
        <v>56.713618823529409</v>
      </c>
      <c r="U31" s="1544">
        <v>50.846771933237662</v>
      </c>
      <c r="V31" s="1544">
        <v>12.260666666666667</v>
      </c>
      <c r="W31" s="1544">
        <v>1.013492769383133</v>
      </c>
      <c r="X31" s="1544">
        <v>82.661819607843142</v>
      </c>
      <c r="Y31" s="1544">
        <v>18.644224632080082</v>
      </c>
      <c r="Z31" s="1544">
        <v>37.247274509803923</v>
      </c>
      <c r="AA31" s="1943">
        <v>63.778537530555475</v>
      </c>
      <c r="AB31" s="1933">
        <v>58.412699607843145</v>
      </c>
      <c r="AC31" s="1544">
        <v>69.77535909612331</v>
      </c>
      <c r="AD31" s="1544">
        <v>15.310176470588235</v>
      </c>
      <c r="AE31" s="1544">
        <v>1.3650082200012352</v>
      </c>
      <c r="AF31" s="1544">
        <v>48.542715294117649</v>
      </c>
      <c r="AG31" s="1544">
        <v>47.17942082018368</v>
      </c>
      <c r="AH31" s="1544">
        <v>12.306933333333335</v>
      </c>
      <c r="AI31" s="1544">
        <v>1.4666934491370487</v>
      </c>
      <c r="AJ31" s="1544">
        <v>87.542635294117645</v>
      </c>
      <c r="AK31" s="1544">
        <v>14.022345889749717</v>
      </c>
      <c r="AL31" s="1544">
        <v>37.377235294117654</v>
      </c>
      <c r="AM31" s="1943">
        <v>70.961037253870884</v>
      </c>
      <c r="AN31" s="1933">
        <v>70.882126274509815</v>
      </c>
      <c r="AO31" s="1544">
        <v>81.209596006824555</v>
      </c>
      <c r="AP31" s="1544">
        <v>15.817811764705883</v>
      </c>
      <c r="AQ31" s="1544">
        <v>0.73688520219851417</v>
      </c>
      <c r="AR31" s="1544">
        <v>57.358428235294127</v>
      </c>
      <c r="AS31" s="1544">
        <v>55.152791056444762</v>
      </c>
      <c r="AT31" s="1544">
        <v>12.723333333333334</v>
      </c>
      <c r="AU31" s="1544">
        <v>0.73059377666362812</v>
      </c>
      <c r="AV31" s="1544">
        <v>103.9010823529412</v>
      </c>
      <c r="AW31" s="1544">
        <v>23.624610717540204</v>
      </c>
      <c r="AX31" s="1544">
        <v>38.546882352941182</v>
      </c>
      <c r="AY31" s="1943">
        <v>57.219210665590779</v>
      </c>
      <c r="AZ31" s="1933">
        <v>67.51659921568627</v>
      </c>
      <c r="BA31" s="1544">
        <v>72.171650568612293</v>
      </c>
      <c r="BB31" s="1544">
        <v>16.325447058823528</v>
      </c>
      <c r="BC31" s="1544">
        <v>1.3089997101610069</v>
      </c>
      <c r="BD31" s="1544">
        <v>54.837454117647056</v>
      </c>
      <c r="BE31" s="1544">
        <v>48.690182052994864</v>
      </c>
      <c r="BF31" s="1544">
        <v>13.139733333333334</v>
      </c>
      <c r="BG31" s="1544">
        <v>1.2552188564231055</v>
      </c>
      <c r="BH31" s="1544">
        <v>97.222447058823519</v>
      </c>
      <c r="BI31" s="1544">
        <v>17.414201224918113</v>
      </c>
      <c r="BJ31" s="1544">
        <v>39.716529411764711</v>
      </c>
      <c r="BK31" s="1943">
        <v>70.414211506728336</v>
      </c>
      <c r="BL31" s="1933">
        <v>60.87624392156863</v>
      </c>
      <c r="BM31" s="1544">
        <v>73.414438464533305</v>
      </c>
      <c r="BN31" s="1544">
        <v>16.156235294117646</v>
      </c>
      <c r="BO31" s="1544">
        <v>1.4718111802852996</v>
      </c>
      <c r="BP31" s="1544">
        <v>50.211369411764714</v>
      </c>
      <c r="BQ31" s="1544">
        <v>49.781155207044016</v>
      </c>
      <c r="BR31" s="1544">
        <v>13.000933333333336</v>
      </c>
      <c r="BS31" s="1544">
        <v>1.5280931801367652</v>
      </c>
      <c r="BT31" s="1544">
        <v>89.606964705882376</v>
      </c>
      <c r="BU31" s="1544">
        <v>19.066446731277509</v>
      </c>
      <c r="BV31" s="1544">
        <v>39.326647058823532</v>
      </c>
      <c r="BW31" s="1943">
        <v>72.04735280732433</v>
      </c>
      <c r="BX31" s="1933">
        <v>56.178874509803919</v>
      </c>
      <c r="BY31" s="1544">
        <v>72.739719862232377</v>
      </c>
      <c r="BZ31" s="1544">
        <v>16.212639215686274</v>
      </c>
      <c r="CA31" s="1544">
        <v>0.88282053597350529</v>
      </c>
      <c r="CB31" s="1544">
        <v>46.700070588235299</v>
      </c>
      <c r="CC31" s="1544">
        <v>49.026095505131281</v>
      </c>
      <c r="CD31" s="1544">
        <v>13.0472</v>
      </c>
      <c r="CE31" s="1544">
        <v>0.81827498984943037</v>
      </c>
      <c r="CF31" s="1544">
        <v>80.40211764705883</v>
      </c>
      <c r="CG31" s="1544">
        <v>15.254692390449144</v>
      </c>
      <c r="CH31" s="1544">
        <v>39.456607843137256</v>
      </c>
      <c r="CI31" s="1943">
        <v>62.336981670681702</v>
      </c>
      <c r="CJ31" s="1933">
        <v>39.334768627450991</v>
      </c>
      <c r="CK31" s="1544">
        <v>39.298810719028609</v>
      </c>
      <c r="CL31" s="1544">
        <v>19.540470588235294</v>
      </c>
      <c r="CM31" s="1544">
        <v>2.4190688080392881</v>
      </c>
      <c r="CN31" s="1544">
        <v>29.766219607843141</v>
      </c>
      <c r="CO31" s="1544">
        <v>23.794257583403784</v>
      </c>
      <c r="CP31" s="1544">
        <v>15.776933333333336</v>
      </c>
      <c r="CQ31" s="1544">
        <v>1.8861692372798315</v>
      </c>
      <c r="CR31" s="1544">
        <v>0</v>
      </c>
      <c r="CS31" s="1544">
        <v>0</v>
      </c>
      <c r="CT31" s="1544">
        <v>47.124294117647061</v>
      </c>
      <c r="CU31" s="1943">
        <v>103.50757472136824</v>
      </c>
      <c r="CV31" s="1933">
        <v>53.635467450980386</v>
      </c>
      <c r="CW31" s="1544">
        <v>52.81123632825998</v>
      </c>
      <c r="CX31" s="1544">
        <v>17.62273725490196</v>
      </c>
      <c r="CY31" s="1544">
        <v>1.1238338738827736</v>
      </c>
      <c r="CZ31" s="1544">
        <v>44.649298823529413</v>
      </c>
      <c r="DA31" s="1544">
        <v>33.816459268631448</v>
      </c>
      <c r="DB31" s="1544">
        <v>14.203866666666668</v>
      </c>
      <c r="DC31" s="1544">
        <v>0.93473727411739593</v>
      </c>
      <c r="DD31" s="1544">
        <v>73.027199999999993</v>
      </c>
      <c r="DE31" s="1544">
        <v>1.0947422946729053</v>
      </c>
      <c r="DF31" s="1544">
        <v>42.705627450980401</v>
      </c>
      <c r="DG31" s="1943">
        <v>77.747836386588901</v>
      </c>
      <c r="DH31" s="1933">
        <v>53.69054792156863</v>
      </c>
      <c r="DI31" s="1544">
        <v>49.491771923595671</v>
      </c>
      <c r="DJ31" s="1544">
        <v>18.468796078431374</v>
      </c>
      <c r="DK31" s="1544">
        <v>2.9745764554003795</v>
      </c>
      <c r="DL31" s="1544">
        <v>43.425383529411761</v>
      </c>
      <c r="DM31" s="1544">
        <v>31.718801926578649</v>
      </c>
      <c r="DN31" s="1544">
        <v>14.897866666666669</v>
      </c>
      <c r="DO31" s="1544">
        <v>2.8933545402894785</v>
      </c>
      <c r="DP31" s="1544">
        <v>0</v>
      </c>
      <c r="DQ31" s="1544">
        <v>0</v>
      </c>
      <c r="DR31" s="1544">
        <v>44.655039215686273</v>
      </c>
      <c r="DS31" s="1943">
        <v>98.427591704992821</v>
      </c>
      <c r="DT31" s="1933">
        <v>69.467065098039214</v>
      </c>
      <c r="DU31" s="1544">
        <v>84.035690861535954</v>
      </c>
      <c r="DV31" s="1544">
        <v>14.52052156862745</v>
      </c>
      <c r="DW31" s="1544">
        <v>0.70700872344607324</v>
      </c>
      <c r="DX31" s="1544">
        <v>56.464696470588237</v>
      </c>
      <c r="DY31" s="1544">
        <v>57.218702457673601</v>
      </c>
      <c r="DZ31" s="1544">
        <v>11.6592</v>
      </c>
      <c r="EA31" s="1544">
        <v>0.69769099128264656</v>
      </c>
      <c r="EB31" s="1544">
        <v>103.75030588235295</v>
      </c>
      <c r="EC31" s="1544">
        <v>27.732518142654513</v>
      </c>
      <c r="ED31" s="1544">
        <v>35.557784313725492</v>
      </c>
      <c r="EE31" s="1943">
        <v>55.447414841577014</v>
      </c>
      <c r="EF31" s="1933">
        <v>55.435963137254902</v>
      </c>
      <c r="EG31" s="1544">
        <v>62.700901833849983</v>
      </c>
      <c r="EH31" s="1544">
        <v>16.776678431372549</v>
      </c>
      <c r="EI31" s="1544">
        <v>2.441988155662401</v>
      </c>
      <c r="EJ31" s="1544">
        <v>46.099529411764713</v>
      </c>
      <c r="EK31" s="1544">
        <v>42.026054797555695</v>
      </c>
      <c r="EL31" s="1544">
        <v>13.509866666666667</v>
      </c>
      <c r="EM31" s="1544">
        <v>2.5533350380426931</v>
      </c>
      <c r="EN31" s="1544">
        <v>78.291764705882343</v>
      </c>
      <c r="EO31" s="1544">
        <v>9.7609349057883872</v>
      </c>
      <c r="EP31" s="1544">
        <v>40.756215686274516</v>
      </c>
      <c r="EQ31" s="1943">
        <v>88.357062756499829</v>
      </c>
      <c r="ER31" s="1933">
        <v>31.424603921568629</v>
      </c>
      <c r="ES31" s="1544">
        <v>23.441170176797829</v>
      </c>
      <c r="ET31" s="1544">
        <v>20.837760784313723</v>
      </c>
      <c r="EU31" s="1544">
        <v>4.658797223505859</v>
      </c>
      <c r="EV31" s="1544">
        <v>20.745639215686275</v>
      </c>
      <c r="EW31" s="1544">
        <v>12.446405598017918</v>
      </c>
      <c r="EX31" s="1544">
        <v>16.84106666666667</v>
      </c>
      <c r="EY31" s="1544">
        <v>3.724170325898466</v>
      </c>
      <c r="EZ31" s="1544">
        <v>0</v>
      </c>
      <c r="FA31" s="1544">
        <v>0</v>
      </c>
      <c r="FB31" s="1544">
        <v>50.113392156862744</v>
      </c>
      <c r="FC31" s="1943">
        <v>132.06561757769447</v>
      </c>
      <c r="FD31" s="1933">
        <v>63.599740392156875</v>
      </c>
      <c r="FE31" s="1544">
        <v>71.566174442908178</v>
      </c>
      <c r="FF31" s="1544">
        <v>16.099831372549019</v>
      </c>
      <c r="FG31" s="1544">
        <v>1.5448436039333311</v>
      </c>
      <c r="FH31" s="1544">
        <v>51.844654117647067</v>
      </c>
      <c r="FI31" s="1544">
        <v>48.251196004239823</v>
      </c>
      <c r="FJ31" s="1544">
        <v>12.954666666666668</v>
      </c>
      <c r="FK31" s="1544">
        <v>1.5805696290125744</v>
      </c>
      <c r="FL31" s="1544">
        <v>88.509035294117666</v>
      </c>
      <c r="FM31" s="1544">
        <v>17.055693881788383</v>
      </c>
      <c r="FN31" s="1544">
        <v>39.196686274509808</v>
      </c>
      <c r="FO31" s="1943">
        <v>73.719460703361051</v>
      </c>
      <c r="FP31" s="1933">
        <v>57.734150588235302</v>
      </c>
      <c r="FQ31" s="1544">
        <v>67.02851278029317</v>
      </c>
      <c r="FR31" s="1544">
        <v>16.099831372549019</v>
      </c>
      <c r="FS31" s="1544">
        <v>1.6772748353582987</v>
      </c>
      <c r="FT31" s="1544">
        <v>47.40789176470588</v>
      </c>
      <c r="FU31" s="1544">
        <v>44.951068062181015</v>
      </c>
      <c r="FV31" s="1544">
        <v>12.954666666666668</v>
      </c>
      <c r="FW31" s="1544">
        <v>1.6347368324255591</v>
      </c>
      <c r="FX31" s="1544">
        <v>76.180282352941177</v>
      </c>
      <c r="FY31" s="1544">
        <v>12.608984855603055</v>
      </c>
      <c r="FZ31" s="1544">
        <v>39.196686274509808</v>
      </c>
      <c r="GA31" s="1943">
        <v>77.101210480379621</v>
      </c>
      <c r="GB31" s="1933">
        <v>59.613314509803928</v>
      </c>
      <c r="GC31" s="1544">
        <v>53.42835485901454</v>
      </c>
      <c r="GD31" s="1544">
        <v>17.509929411764706</v>
      </c>
      <c r="GE31" s="1544">
        <v>1.4627346380099204</v>
      </c>
      <c r="GF31" s="1544">
        <v>48.724145882352929</v>
      </c>
      <c r="GG31" s="1544">
        <v>34.302656377029891</v>
      </c>
      <c r="GH31" s="1544">
        <v>14.111333333333334</v>
      </c>
      <c r="GI31" s="1544">
        <v>1.2753549637186776</v>
      </c>
      <c r="GJ31" s="1544">
        <v>78.449082352941161</v>
      </c>
      <c r="GK31" s="1544">
        <v>2.1290452860347031</v>
      </c>
      <c r="GL31" s="1544">
        <v>42.445705882352939</v>
      </c>
      <c r="GM31" s="1943">
        <v>83.142504837062646</v>
      </c>
      <c r="GN31" s="1933">
        <v>53.994745098039218</v>
      </c>
      <c r="GO31" s="1544">
        <v>47.66829146772622</v>
      </c>
      <c r="GP31" s="1544">
        <v>17.566333333333333</v>
      </c>
      <c r="GQ31" s="1544">
        <v>2.1645944748789443</v>
      </c>
      <c r="GR31" s="1544">
        <v>43.49494117647059</v>
      </c>
      <c r="GS31" s="1544">
        <v>30.379303841812323</v>
      </c>
      <c r="GT31" s="1544">
        <v>14.157600000000002</v>
      </c>
      <c r="GU31" s="1544">
        <v>2.0244987130982146</v>
      </c>
      <c r="GV31" s="1544">
        <v>0</v>
      </c>
      <c r="GW31" s="1544">
        <v>0</v>
      </c>
      <c r="GX31" s="1544">
        <v>42.57566666666667</v>
      </c>
      <c r="GY31" s="1943">
        <v>96.362396048738148</v>
      </c>
      <c r="GZ31" s="1933">
        <v>60.519847843137264</v>
      </c>
      <c r="HA31" s="1544">
        <v>96.300044650885269</v>
      </c>
      <c r="HB31" s="1544">
        <v>12.884807843137256</v>
      </c>
      <c r="HC31" s="1544">
        <v>0.24733814938637524</v>
      </c>
      <c r="HD31" s="1544">
        <v>49.501698823529416</v>
      </c>
      <c r="HE31" s="1544">
        <v>65.475323074306502</v>
      </c>
      <c r="HF31" s="1544">
        <v>10.317466666666668</v>
      </c>
      <c r="HG31" s="1544">
        <v>0.22820325444248668</v>
      </c>
      <c r="HH31" s="1544">
        <v>81.822729411764712</v>
      </c>
      <c r="HI31" s="1544">
        <v>38.486598576382157</v>
      </c>
      <c r="HJ31" s="1544">
        <v>31.788921568627455</v>
      </c>
      <c r="HK31" s="1943">
        <v>38.815150009543721</v>
      </c>
      <c r="HL31" s="1933">
        <v>61.697169411764705</v>
      </c>
      <c r="HM31" s="1544">
        <v>97.75920651531041</v>
      </c>
      <c r="HN31" s="1544">
        <v>12.602788235294117</v>
      </c>
      <c r="HO31" s="1544">
        <v>0.22225147414843333</v>
      </c>
      <c r="HP31" s="1544">
        <v>50.277628235294124</v>
      </c>
      <c r="HQ31" s="1544">
        <v>66.58823593803335</v>
      </c>
      <c r="HR31" s="1544">
        <v>10.086133333333335</v>
      </c>
      <c r="HS31" s="1544">
        <v>0.20016197945634781</v>
      </c>
      <c r="HT31" s="1544">
        <v>82.465317647058825</v>
      </c>
      <c r="HU31" s="1544">
        <v>40.890161760362808</v>
      </c>
      <c r="HV31" s="1544">
        <v>31.139117647058825</v>
      </c>
      <c r="HW31" s="1943">
        <v>37.237508103785274</v>
      </c>
      <c r="HX31" s="1933">
        <v>63.028471372549021</v>
      </c>
      <c r="HY31" s="1544">
        <v>72.393698234819851</v>
      </c>
      <c r="HZ31" s="1544">
        <v>15.761407843137254</v>
      </c>
      <c r="IA31" s="1544">
        <v>1.3918862400662468</v>
      </c>
      <c r="IB31" s="1544">
        <v>51.488616470588234</v>
      </c>
      <c r="IC31" s="1544">
        <v>49.010213664948935</v>
      </c>
      <c r="ID31" s="1544">
        <v>12.677066666666667</v>
      </c>
      <c r="IE31" s="1544">
        <v>1.4258606263714428</v>
      </c>
      <c r="IF31" s="1544">
        <v>88.524376470588237</v>
      </c>
      <c r="IG31" s="1544">
        <v>17.96515229966429</v>
      </c>
      <c r="IH31" s="1544">
        <v>38.416921568627451</v>
      </c>
      <c r="II31" s="1943">
        <v>70.826804936270548</v>
      </c>
      <c r="IJ31" s="1933">
        <v>57.417742745098039</v>
      </c>
      <c r="IK31" s="1544">
        <v>91.184897765931964</v>
      </c>
      <c r="IL31" s="1544">
        <v>13.843674509803922</v>
      </c>
      <c r="IM31" s="1544">
        <v>0.60379299803652253</v>
      </c>
      <c r="IN31" s="1544">
        <v>47.311915294117654</v>
      </c>
      <c r="IO31" s="1544">
        <v>63.009864291379415</v>
      </c>
      <c r="IP31" s="1544">
        <v>11.104000000000001</v>
      </c>
      <c r="IQ31" s="1544">
        <v>0.56049827088405768</v>
      </c>
      <c r="IR31" s="1544">
        <v>80.992141176470582</v>
      </c>
      <c r="IS31" s="1544">
        <v>38.546722977884166</v>
      </c>
      <c r="IT31" s="1544">
        <v>33.998254901960792</v>
      </c>
      <c r="IU31" s="1943">
        <v>50.398775972011215</v>
      </c>
      <c r="IV31" s="1933">
        <v>52.92174117647059</v>
      </c>
      <c r="IW31" s="1544">
        <v>52.955998633837744</v>
      </c>
      <c r="IX31" s="1544">
        <v>17.566333333333333</v>
      </c>
      <c r="IY31" s="1544">
        <v>0.99848760944616366</v>
      </c>
      <c r="IZ31" s="1544">
        <v>43.171905882352938</v>
      </c>
      <c r="JA31" s="1544">
        <v>33.452190895766826</v>
      </c>
      <c r="JB31" s="1544">
        <v>14.157600000000002</v>
      </c>
      <c r="JC31" s="1544">
        <v>0.78021718701468623</v>
      </c>
      <c r="JD31" s="1544">
        <v>68.090635294117646</v>
      </c>
      <c r="JE31" s="1544">
        <v>0.8594159746406641</v>
      </c>
      <c r="JF31" s="1544">
        <v>42.57566666666667</v>
      </c>
      <c r="JG31" s="1943">
        <v>75.368384369439767</v>
      </c>
      <c r="JH31" s="1933">
        <v>54.483810196078437</v>
      </c>
      <c r="JI31" s="1544">
        <v>77.610667295099077</v>
      </c>
      <c r="JJ31" s="1544">
        <v>15.197368627450979</v>
      </c>
      <c r="JK31" s="1544">
        <v>1.0504976027513551</v>
      </c>
      <c r="JL31" s="1544">
        <v>45.112225882352938</v>
      </c>
      <c r="JM31" s="1544">
        <v>52.864913505546284</v>
      </c>
      <c r="JN31" s="1544">
        <v>12.214399999999999</v>
      </c>
      <c r="JO31" s="1544">
        <v>1.0892159472253145</v>
      </c>
      <c r="JP31" s="1544">
        <v>71.952658823529418</v>
      </c>
      <c r="JQ31" s="1544">
        <v>22.393910961698143</v>
      </c>
      <c r="JR31" s="1544">
        <v>37.117313725490199</v>
      </c>
      <c r="JS31" s="1943">
        <v>63.985720966521384</v>
      </c>
      <c r="JT31" s="1933">
        <v>68.795996078431372</v>
      </c>
      <c r="JU31" s="1544">
        <v>74.64072656463614</v>
      </c>
      <c r="JV31" s="1544">
        <v>15.930619607843138</v>
      </c>
      <c r="JW31" s="1544">
        <v>1.2874367363759098</v>
      </c>
      <c r="JX31" s="1544">
        <v>55.842329411764709</v>
      </c>
      <c r="JY31" s="1544">
        <v>50.495044190150381</v>
      </c>
      <c r="JZ31" s="1544">
        <v>12.815866666666668</v>
      </c>
      <c r="KA31" s="1544">
        <v>1.2735213948411177</v>
      </c>
      <c r="KB31" s="1544">
        <v>100.50517647058824</v>
      </c>
      <c r="KC31" s="1544">
        <v>19.366147350526504</v>
      </c>
      <c r="KD31" s="1544">
        <v>38.80680392156863</v>
      </c>
      <c r="KE31" s="1943">
        <v>68.434914670038509</v>
      </c>
      <c r="KF31" s="1933">
        <v>55.641925490196073</v>
      </c>
      <c r="KG31" s="1544">
        <v>59.615599619590192</v>
      </c>
      <c r="KH31" s="1544">
        <v>16.212639215686274</v>
      </c>
      <c r="KI31" s="1544">
        <v>2.7806044598818915</v>
      </c>
      <c r="KJ31" s="1544">
        <v>47.36814117647058</v>
      </c>
      <c r="KK31" s="1544">
        <v>39.553647460678178</v>
      </c>
      <c r="KL31" s="1544">
        <v>13.0472</v>
      </c>
      <c r="KM31" s="1544">
        <v>2.8667443198147016</v>
      </c>
      <c r="KN31" s="1544">
        <v>73.362933333333345</v>
      </c>
      <c r="KO31" s="1544">
        <v>7.3879525416479215</v>
      </c>
      <c r="KP31" s="1544">
        <v>39.456607843137256</v>
      </c>
      <c r="KQ31" s="1943">
        <v>88.525646871299685</v>
      </c>
      <c r="KR31" s="1933">
        <v>66.012574117647063</v>
      </c>
      <c r="KS31" s="1544">
        <v>85.998936586933198</v>
      </c>
      <c r="KT31" s="1544">
        <v>14.576925490196079</v>
      </c>
      <c r="KU31" s="1544">
        <v>0.5531877899829597</v>
      </c>
      <c r="KV31" s="1544">
        <v>53.711138823529403</v>
      </c>
      <c r="KW31" s="1544">
        <v>58.316905002629291</v>
      </c>
      <c r="KX31" s="1544">
        <v>11.705466666666668</v>
      </c>
      <c r="KY31" s="1544">
        <v>0.54444742719763761</v>
      </c>
      <c r="KZ31" s="1544">
        <v>94.242399999999989</v>
      </c>
      <c r="LA31" s="1544">
        <v>28.518451073342668</v>
      </c>
      <c r="LB31" s="1544">
        <v>35.687745098039223</v>
      </c>
      <c r="LC31" s="1943">
        <v>51.469149248490766</v>
      </c>
      <c r="LD31" s="1933">
        <v>44.074176470588242</v>
      </c>
      <c r="LE31" s="1544">
        <v>53.831501312407603</v>
      </c>
      <c r="LF31" s="1544">
        <v>16.55106274509804</v>
      </c>
      <c r="LG31" s="1544">
        <v>1.8535333521220594</v>
      </c>
      <c r="LH31" s="1544">
        <v>35.943882352941174</v>
      </c>
      <c r="LI31" s="1544">
        <v>34.959967278478345</v>
      </c>
      <c r="LJ31" s="1544">
        <v>13.324800000000002</v>
      </c>
      <c r="LK31" s="1544">
        <v>1.6668110477856102</v>
      </c>
      <c r="LL31" s="1544">
        <v>56.016988235294122</v>
      </c>
      <c r="LM31" s="1544">
        <v>2.5222168901475168</v>
      </c>
      <c r="LN31" s="1544">
        <v>40.236372549019613</v>
      </c>
      <c r="LO31" s="1943">
        <v>87.047168016827172</v>
      </c>
      <c r="LP31" s="1933">
        <v>65.476088627450991</v>
      </c>
      <c r="LQ31" s="1544">
        <v>70.060827922896252</v>
      </c>
      <c r="LR31" s="1544">
        <v>16.720274509803922</v>
      </c>
      <c r="LS31" s="1544">
        <v>1.4260341473578542</v>
      </c>
      <c r="LT31" s="1544">
        <v>53.418955294117644</v>
      </c>
      <c r="LU31" s="1544">
        <v>46.976138687837718</v>
      </c>
      <c r="LV31" s="1544">
        <v>13.463600000000003</v>
      </c>
      <c r="LW31" s="1544">
        <v>1.4422334817396749</v>
      </c>
      <c r="LX31" s="1544">
        <v>94.931011764705886</v>
      </c>
      <c r="LY31" s="1544">
        <v>15.037102188695718</v>
      </c>
      <c r="LZ31" s="1544">
        <v>40.626254901960792</v>
      </c>
      <c r="MA31" s="1943">
        <v>72.698092612366992</v>
      </c>
      <c r="MB31" s="1933">
        <v>46.984011764705883</v>
      </c>
      <c r="MC31" s="1544">
        <v>36.878749811614917</v>
      </c>
      <c r="MD31" s="1544">
        <v>22.078647058823531</v>
      </c>
      <c r="ME31" s="1544">
        <v>4.5444911157729617</v>
      </c>
      <c r="MF31" s="1544">
        <v>35.863952941176471</v>
      </c>
      <c r="MG31" s="1544">
        <v>21.688150222755112</v>
      </c>
      <c r="MH31" s="1544">
        <v>17.858933333333336</v>
      </c>
      <c r="MI31" s="1544">
        <v>3.3788669393422448</v>
      </c>
      <c r="MJ31" s="1544">
        <v>0</v>
      </c>
      <c r="MK31" s="1544">
        <v>0</v>
      </c>
      <c r="ML31" s="1544">
        <v>52.972529411764711</v>
      </c>
      <c r="MM31" s="1943">
        <v>124.39047732112689</v>
      </c>
      <c r="MN31" s="1933">
        <v>44.04887058823531</v>
      </c>
      <c r="MO31" s="1544">
        <v>35.986984277198907</v>
      </c>
      <c r="MP31" s="1544">
        <v>18.299584313725489</v>
      </c>
      <c r="MQ31" s="1544">
        <v>2.926927870571999</v>
      </c>
      <c r="MR31" s="1544">
        <v>33.594517647058829</v>
      </c>
      <c r="MS31" s="1544">
        <v>21.402479166964362</v>
      </c>
      <c r="MT31" s="1544">
        <v>14.759066666666667</v>
      </c>
      <c r="MU31" s="1544">
        <v>2.5063420311856017</v>
      </c>
      <c r="MV31" s="1544">
        <v>0</v>
      </c>
      <c r="MW31" s="1544">
        <v>0</v>
      </c>
      <c r="MX31" s="1544">
        <v>44.265156862745094</v>
      </c>
      <c r="MY31" s="1943">
        <v>112.74142120362397</v>
      </c>
      <c r="MZ31" s="1933">
        <v>63.854317647058821</v>
      </c>
      <c r="NA31" s="1544">
        <v>64.891454842831138</v>
      </c>
      <c r="NB31" s="1544">
        <v>17.397121568627451</v>
      </c>
      <c r="NC31" s="1544">
        <v>1.4698116596351736</v>
      </c>
      <c r="ND31" s="1544">
        <v>52.304258823529409</v>
      </c>
      <c r="NE31" s="1544">
        <v>43.022513303002924</v>
      </c>
      <c r="NF31" s="1544">
        <v>14.018800000000002</v>
      </c>
      <c r="NG31" s="1544">
        <v>1.4132807833161243</v>
      </c>
      <c r="NH31" s="1544">
        <v>78.902164705882342</v>
      </c>
      <c r="NI31" s="1544">
        <v>9.8185079797029715</v>
      </c>
      <c r="NJ31" s="1544">
        <v>42.185784313725492</v>
      </c>
      <c r="NK31" s="1943">
        <v>75.804126517624326</v>
      </c>
      <c r="NL31" s="1933">
        <v>53.936488627450984</v>
      </c>
      <c r="NM31" s="1544">
        <v>71.37133887485048</v>
      </c>
      <c r="NN31" s="1544">
        <v>16.381850980392155</v>
      </c>
      <c r="NO31" s="1544">
        <v>1.7073314286914061</v>
      </c>
      <c r="NP31" s="1544">
        <v>44.786296470588233</v>
      </c>
      <c r="NQ31" s="1544">
        <v>48.360836432898168</v>
      </c>
      <c r="NR31" s="1544">
        <v>13.186000000000002</v>
      </c>
      <c r="NS31" s="1544">
        <v>1.7549695253350401</v>
      </c>
      <c r="NT31" s="1544">
        <v>72.687121568627461</v>
      </c>
      <c r="NU31" s="1544">
        <v>17.665485291477349</v>
      </c>
      <c r="NV31" s="1544">
        <v>39.846490196078435</v>
      </c>
      <c r="NW31" s="1943">
        <v>76.010940179229465</v>
      </c>
      <c r="NX31" s="1933">
        <v>54.42643921568628</v>
      </c>
      <c r="NY31" s="1544">
        <v>52.45262386283629</v>
      </c>
      <c r="NZ31" s="1544">
        <v>18.920027450980392</v>
      </c>
      <c r="OA31" s="1544">
        <v>2.5814952121927388</v>
      </c>
      <c r="OB31" s="1544">
        <v>45.283129411764705</v>
      </c>
      <c r="OC31" s="1544">
        <v>33.451821776739799</v>
      </c>
      <c r="OD31" s="1544">
        <v>15.268000000000002</v>
      </c>
      <c r="OE31" s="1544">
        <v>2.1559871471311416</v>
      </c>
      <c r="OF31" s="1544">
        <v>69.993396078431374</v>
      </c>
      <c r="OG31" s="1544">
        <v>0.79442353038882707</v>
      </c>
      <c r="OH31" s="1544">
        <v>45.694725490196078</v>
      </c>
      <c r="OI31" s="1934">
        <v>93.543086616300471</v>
      </c>
      <c r="OJ31" s="1933">
        <v>58.664631372549024</v>
      </c>
      <c r="OK31" s="1544">
        <v>81.839130820883454</v>
      </c>
      <c r="OL31" s="1544">
        <v>15.535792156862744</v>
      </c>
      <c r="OM31" s="1544">
        <v>1.0848987429715</v>
      </c>
      <c r="ON31" s="1544">
        <v>48.215552941176469</v>
      </c>
      <c r="OO31" s="1544">
        <v>55.851364609244918</v>
      </c>
      <c r="OP31" s="1544">
        <v>12.492000000000001</v>
      </c>
      <c r="OQ31" s="1544">
        <v>1.008094441717452</v>
      </c>
      <c r="OR31" s="1544">
        <v>79.796000000000006</v>
      </c>
      <c r="OS31" s="1544">
        <v>25.851482879099308</v>
      </c>
      <c r="OT31" s="1544">
        <v>37.897078431372549</v>
      </c>
      <c r="OU31" s="1934">
        <v>61.714843219675402</v>
      </c>
      <c r="OV31" s="1933">
        <v>52.528945098039223</v>
      </c>
      <c r="OW31" s="1544">
        <v>46.765253031423889</v>
      </c>
      <c r="OX31" s="1544">
        <v>21.288992156862747</v>
      </c>
      <c r="OY31" s="1544">
        <v>4.2725482098094458</v>
      </c>
      <c r="OZ31" s="1544">
        <v>42.496282352941179</v>
      </c>
      <c r="PA31" s="1544">
        <v>29.252254939068571</v>
      </c>
      <c r="PB31" s="1544">
        <v>17.211200000000005</v>
      </c>
      <c r="PC31" s="1544">
        <v>3.4272885885010225</v>
      </c>
      <c r="PD31" s="1544">
        <v>0</v>
      </c>
      <c r="PE31" s="1544">
        <v>0</v>
      </c>
      <c r="PF31" s="1544">
        <v>51.153078431372549</v>
      </c>
      <c r="PG31" s="1934">
        <v>110.6034549127651</v>
      </c>
      <c r="PH31" s="1933">
        <v>61.94466431372549</v>
      </c>
      <c r="PI31" s="1544">
        <v>75.070308657614476</v>
      </c>
      <c r="PJ31" s="1544">
        <v>16.55106274509804</v>
      </c>
      <c r="PK31" s="1544">
        <v>0.99598641232323037</v>
      </c>
      <c r="PL31" s="1544">
        <v>50.870503529411764</v>
      </c>
      <c r="PM31" s="1544">
        <v>50.869952474619609</v>
      </c>
      <c r="PN31" s="1544">
        <v>13.324800000000002</v>
      </c>
      <c r="PO31" s="1544">
        <v>0.97478641584276171</v>
      </c>
      <c r="PP31" s="1544">
        <v>89.470399999999998</v>
      </c>
      <c r="PQ31" s="1544">
        <v>17.304359398636088</v>
      </c>
      <c r="PR31" s="1544">
        <v>40.236372549019613</v>
      </c>
      <c r="PS31" s="1934">
        <v>63.570172673961338</v>
      </c>
      <c r="PT31" s="1933">
        <v>66.802185882352944</v>
      </c>
      <c r="PU31" s="1544">
        <v>71.237294658669981</v>
      </c>
      <c r="PV31" s="1544">
        <v>16.269043137254901</v>
      </c>
      <c r="PW31" s="1544">
        <v>1.6030677660608501</v>
      </c>
      <c r="PX31" s="1544">
        <v>54.080103529411765</v>
      </c>
      <c r="PY31" s="1544">
        <v>48.061441589062554</v>
      </c>
      <c r="PZ31" s="1544">
        <v>13.093466666666668</v>
      </c>
      <c r="QA31" s="1544">
        <v>1.6113971115740333</v>
      </c>
      <c r="QB31" s="1544">
        <v>92.252517647058838</v>
      </c>
      <c r="QC31" s="1544">
        <v>16.975297431274285</v>
      </c>
      <c r="QD31" s="1544">
        <v>39.586568627450987</v>
      </c>
      <c r="QE31" s="1934">
        <v>74.340654056677337</v>
      </c>
      <c r="QF31" s="1933">
        <v>45.738733333333336</v>
      </c>
      <c r="QG31" s="1544">
        <v>39.742035313420985</v>
      </c>
      <c r="QH31" s="1544">
        <v>18.412392156862744</v>
      </c>
      <c r="QI31" s="1544">
        <v>2.109670568112374</v>
      </c>
      <c r="QJ31" s="1544">
        <v>37.876752941176477</v>
      </c>
      <c r="QK31" s="1544">
        <v>24.082289516353015</v>
      </c>
      <c r="QL31" s="1544">
        <v>14.851600000000001</v>
      </c>
      <c r="QM31" s="1544">
        <v>1.6717637464254635</v>
      </c>
      <c r="QN31" s="1544">
        <v>0</v>
      </c>
      <c r="QO31" s="1544">
        <v>0</v>
      </c>
      <c r="QP31" s="1544">
        <v>44.525078431372549</v>
      </c>
      <c r="QQ31" s="1934">
        <v>102.4573833721511</v>
      </c>
      <c r="QR31" s="1933">
        <v>63.836939607843135</v>
      </c>
      <c r="QS31" s="1544">
        <v>73.71383779171623</v>
      </c>
      <c r="QT31" s="1544">
        <v>16.494658823529409</v>
      </c>
      <c r="QU31" s="1544">
        <v>1.302226503780618</v>
      </c>
      <c r="QV31" s="1544">
        <v>52.183120000000002</v>
      </c>
      <c r="QW31" s="1544">
        <v>49.88104931318825</v>
      </c>
      <c r="QX31" s="1544">
        <v>13.278533333333334</v>
      </c>
      <c r="QY31" s="1544">
        <v>1.2797514392008051</v>
      </c>
      <c r="QZ31" s="1544">
        <v>91.550070588235315</v>
      </c>
      <c r="RA31" s="1544">
        <v>18.845875301514415</v>
      </c>
      <c r="RB31" s="1544">
        <v>40.106411764705882</v>
      </c>
      <c r="RC31" s="1934">
        <v>69.838649306032238</v>
      </c>
      <c r="RD31" s="1933">
        <v>64.635112156862746</v>
      </c>
      <c r="RE31" s="1544">
        <v>73.031712842168758</v>
      </c>
      <c r="RF31" s="1544">
        <v>16.381850980392155</v>
      </c>
      <c r="RG31" s="1544">
        <v>1.1928599041939563</v>
      </c>
      <c r="RH31" s="1544">
        <v>52.623214117647059</v>
      </c>
      <c r="RI31" s="1544">
        <v>49.281036093192292</v>
      </c>
      <c r="RJ31" s="1544">
        <v>13.186000000000002</v>
      </c>
      <c r="RK31" s="1544">
        <v>1.1676841081240208</v>
      </c>
      <c r="RL31" s="1544">
        <v>90.611717647058825</v>
      </c>
      <c r="RM31" s="1544">
        <v>17.434127401163078</v>
      </c>
      <c r="RN31" s="1544">
        <v>39.846490196078435</v>
      </c>
      <c r="RO31" s="1934">
        <v>68.162783189850344</v>
      </c>
    </row>
    <row r="32" spans="1:483">
      <c r="A32" s="638">
        <f>Eingabedaten!A34</f>
        <v>8.0299999999999994</v>
      </c>
      <c r="B32" s="387" t="str">
        <f>Eingabedaten!C34</f>
        <v>Behandlungsraum</v>
      </c>
      <c r="C32" s="387"/>
      <c r="D32" s="1933">
        <v>49.248737254901961</v>
      </c>
      <c r="E32" s="1544">
        <v>6.7369047839475655</v>
      </c>
      <c r="F32" s="1544">
        <v>22.317296078431379</v>
      </c>
      <c r="G32" s="1544">
        <v>8.1631808952744613</v>
      </c>
      <c r="H32" s="1544">
        <v>38.363403921568633</v>
      </c>
      <c r="I32" s="1544">
        <v>4.4802678969874856</v>
      </c>
      <c r="J32" s="1544">
        <v>17.095962745098042</v>
      </c>
      <c r="K32" s="1544">
        <v>3.2459639709428796</v>
      </c>
      <c r="L32" s="1544">
        <v>0</v>
      </c>
      <c r="M32" s="1544">
        <v>0</v>
      </c>
      <c r="N32" s="1544">
        <v>63.015774509803933</v>
      </c>
      <c r="O32" s="1943">
        <v>108.34522270004527</v>
      </c>
      <c r="P32" s="1933">
        <v>60.203768784313731</v>
      </c>
      <c r="Q32" s="1544">
        <v>24.371681634458177</v>
      </c>
      <c r="R32" s="1544">
        <v>19.149311764705885</v>
      </c>
      <c r="S32" s="1544">
        <v>8.3504535069651968</v>
      </c>
      <c r="T32" s="1544">
        <v>47.575621333333338</v>
      </c>
      <c r="U32" s="1544">
        <v>16.762215087340522</v>
      </c>
      <c r="V32" s="1544">
        <v>14.617311764705885</v>
      </c>
      <c r="W32" s="1544">
        <v>4.4865461844885361</v>
      </c>
      <c r="X32" s="1544">
        <v>87.283074509803924</v>
      </c>
      <c r="Y32" s="1544">
        <v>4.725850309493449</v>
      </c>
      <c r="Z32" s="1544">
        <v>54.474676470588243</v>
      </c>
      <c r="AA32" s="1943">
        <v>83.538905756952587</v>
      </c>
      <c r="AB32" s="1933">
        <v>57.23925082352941</v>
      </c>
      <c r="AC32" s="1544">
        <v>20.968583553429337</v>
      </c>
      <c r="AD32" s="1544">
        <v>19.216715686274512</v>
      </c>
      <c r="AE32" s="1544">
        <v>10.78085000912858</v>
      </c>
      <c r="AF32" s="1544">
        <v>50.658770823529416</v>
      </c>
      <c r="AG32" s="1544">
        <v>14.339368572276328</v>
      </c>
      <c r="AH32" s="1544">
        <v>14.670049019607847</v>
      </c>
      <c r="AI32" s="1544">
        <v>6.5307113280827007</v>
      </c>
      <c r="AJ32" s="1544">
        <v>84.487545098039206</v>
      </c>
      <c r="AK32" s="1544">
        <v>1.75618001775883</v>
      </c>
      <c r="AL32" s="1544">
        <v>54.656401960784322</v>
      </c>
      <c r="AM32" s="1943">
        <v>92.866210967675428</v>
      </c>
      <c r="AN32" s="1933">
        <v>63.758224941176472</v>
      </c>
      <c r="AO32" s="1544">
        <v>28.660850981125432</v>
      </c>
      <c r="AP32" s="1544">
        <v>19.82335098039216</v>
      </c>
      <c r="AQ32" s="1544">
        <v>6.7402259749001079</v>
      </c>
      <c r="AR32" s="1544">
        <v>50.296191999999998</v>
      </c>
      <c r="AS32" s="1544">
        <v>19.642888810020175</v>
      </c>
      <c r="AT32" s="1544">
        <v>15.144684313725492</v>
      </c>
      <c r="AU32" s="1544">
        <v>3.4307665942976722</v>
      </c>
      <c r="AV32" s="1544">
        <v>96.054729411764697</v>
      </c>
      <c r="AW32" s="1544">
        <v>8.7690328396025787</v>
      </c>
      <c r="AX32" s="1544">
        <v>56.291931372549023</v>
      </c>
      <c r="AY32" s="1943">
        <v>75.868184846117941</v>
      </c>
      <c r="AZ32" s="1933">
        <v>61.24603419607844</v>
      </c>
      <c r="BA32" s="1544">
        <v>24.246587839282835</v>
      </c>
      <c r="BB32" s="1544">
        <v>20.429986274509808</v>
      </c>
      <c r="BC32" s="1544">
        <v>9.3115858087280721</v>
      </c>
      <c r="BD32" s="1544">
        <v>48.344870274509809</v>
      </c>
      <c r="BE32" s="1544">
        <v>16.696611151525858</v>
      </c>
      <c r="BF32" s="1544">
        <v>15.61931960784314</v>
      </c>
      <c r="BG32" s="1544">
        <v>4.8021048068633325</v>
      </c>
      <c r="BH32" s="1544">
        <v>89.275733333333335</v>
      </c>
      <c r="BI32" s="1544">
        <v>4.4698742836562131</v>
      </c>
      <c r="BJ32" s="1544">
        <v>57.92746078431373</v>
      </c>
      <c r="BK32" s="1943">
        <v>89.266399118870794</v>
      </c>
      <c r="BL32" s="1933">
        <v>61.489939450980387</v>
      </c>
      <c r="BM32" s="1544">
        <v>24.960322371329244</v>
      </c>
      <c r="BN32" s="1544">
        <v>20.227774509803925</v>
      </c>
      <c r="BO32" s="1544">
        <v>10.907911374480163</v>
      </c>
      <c r="BP32" s="1544">
        <v>48.634698666666672</v>
      </c>
      <c r="BQ32" s="1544">
        <v>17.189251663330314</v>
      </c>
      <c r="BR32" s="1544">
        <v>15.461107843137258</v>
      </c>
      <c r="BS32" s="1544">
        <v>6.3724724237708763</v>
      </c>
      <c r="BT32" s="1544">
        <v>91.974807843137256</v>
      </c>
      <c r="BU32" s="1544">
        <v>4.9689563400967192</v>
      </c>
      <c r="BV32" s="1544">
        <v>57.382284313725499</v>
      </c>
      <c r="BW32" s="1943">
        <v>92.304641501798258</v>
      </c>
      <c r="BX32" s="1933">
        <v>61.434407215686278</v>
      </c>
      <c r="BY32" s="1544">
        <v>22.531528222322315</v>
      </c>
      <c r="BZ32" s="1544">
        <v>20.295178431372552</v>
      </c>
      <c r="CA32" s="1544">
        <v>6.9192718397623763</v>
      </c>
      <c r="CB32" s="1544">
        <v>48.495938196078427</v>
      </c>
      <c r="CC32" s="1544">
        <v>15.460352071149815</v>
      </c>
      <c r="CD32" s="1544">
        <v>15.513845098039219</v>
      </c>
      <c r="CE32" s="1544">
        <v>3.2310549391146566</v>
      </c>
      <c r="CF32" s="1544">
        <v>89.880643137254907</v>
      </c>
      <c r="CG32" s="1544">
        <v>2.5708624818877506</v>
      </c>
      <c r="CH32" s="1544">
        <v>57.564009803921572</v>
      </c>
      <c r="CI32" s="1943">
        <v>81.153553977808855</v>
      </c>
      <c r="CJ32" s="1933">
        <v>46.478000000000009</v>
      </c>
      <c r="CK32" s="1544">
        <v>4.9672914008726305</v>
      </c>
      <c r="CL32" s="1544">
        <v>24.272009803921573</v>
      </c>
      <c r="CM32" s="1544">
        <v>11.145614142763705</v>
      </c>
      <c r="CN32" s="1544">
        <v>35.596823529411765</v>
      </c>
      <c r="CO32" s="1544">
        <v>3.2630384742692469</v>
      </c>
      <c r="CP32" s="1544">
        <v>18.625343137254905</v>
      </c>
      <c r="CQ32" s="1544">
        <v>4.4024128381917542</v>
      </c>
      <c r="CR32" s="1544">
        <v>0</v>
      </c>
      <c r="CS32" s="1544">
        <v>0</v>
      </c>
      <c r="CT32" s="1544">
        <v>68.285813725490215</v>
      </c>
      <c r="CU32" s="1943">
        <v>121.44571394141829</v>
      </c>
      <c r="CV32" s="1933">
        <v>59.393205019607841</v>
      </c>
      <c r="CW32" s="1544">
        <v>11.155435569871711</v>
      </c>
      <c r="CX32" s="1544">
        <v>21.980276470588237</v>
      </c>
      <c r="CY32" s="1544">
        <v>7.3584477998403788</v>
      </c>
      <c r="CZ32" s="1544">
        <v>46.823231686274511</v>
      </c>
      <c r="DA32" s="1544">
        <v>7.4448383970547338</v>
      </c>
      <c r="DB32" s="1544">
        <v>16.832276470588237</v>
      </c>
      <c r="DC32" s="1544">
        <v>2.9224348797334003</v>
      </c>
      <c r="DD32" s="1544">
        <v>0</v>
      </c>
      <c r="DE32" s="1544">
        <v>0</v>
      </c>
      <c r="DF32" s="1544">
        <v>62.107147058823529</v>
      </c>
      <c r="DG32" s="1943">
        <v>97.977722175961787</v>
      </c>
      <c r="DH32" s="1933">
        <v>58.875920941176474</v>
      </c>
      <c r="DI32" s="1544">
        <v>9.4809212450249767</v>
      </c>
      <c r="DJ32" s="1544">
        <v>22.991335294117654</v>
      </c>
      <c r="DK32" s="1544">
        <v>15.478099995224476</v>
      </c>
      <c r="DL32" s="1544">
        <v>46.738313725490201</v>
      </c>
      <c r="DM32" s="1544">
        <v>6.2573416705642719</v>
      </c>
      <c r="DN32" s="1544">
        <v>17.623335294117652</v>
      </c>
      <c r="DO32" s="1544">
        <v>8.8719254583299847</v>
      </c>
      <c r="DP32" s="1544">
        <v>0</v>
      </c>
      <c r="DQ32" s="1544">
        <v>0</v>
      </c>
      <c r="DR32" s="1544">
        <v>64.833029411764727</v>
      </c>
      <c r="DS32" s="1943">
        <v>120.15600408106395</v>
      </c>
      <c r="DT32" s="1933">
        <v>63.200803137254908</v>
      </c>
      <c r="DU32" s="1544">
        <v>30.922047999333977</v>
      </c>
      <c r="DV32" s="1544">
        <v>18.273060784313728</v>
      </c>
      <c r="DW32" s="1544">
        <v>6.4496937111642731</v>
      </c>
      <c r="DX32" s="1544">
        <v>49.889775686274511</v>
      </c>
      <c r="DY32" s="1544">
        <v>21.241463634297379</v>
      </c>
      <c r="DZ32" s="1544">
        <v>13.931727450980395</v>
      </c>
      <c r="EA32" s="1544">
        <v>3.2597256649690785</v>
      </c>
      <c r="EB32" s="1544">
        <v>95.090509803921577</v>
      </c>
      <c r="EC32" s="1544">
        <v>11.364167698191892</v>
      </c>
      <c r="ED32" s="1544">
        <v>52.112245098039224</v>
      </c>
      <c r="EE32" s="1943">
        <v>73.177493244161653</v>
      </c>
      <c r="EF32" s="1933">
        <v>61.069976784313724</v>
      </c>
      <c r="EG32" s="1544">
        <v>17.991808777193874</v>
      </c>
      <c r="EH32" s="1544">
        <v>20.969217647058827</v>
      </c>
      <c r="EI32" s="1544">
        <v>15.19934954399729</v>
      </c>
      <c r="EJ32" s="1544">
        <v>48.268662274509801</v>
      </c>
      <c r="EK32" s="1544">
        <v>12.243450126972546</v>
      </c>
      <c r="EL32" s="1544">
        <v>16.041217647058826</v>
      </c>
      <c r="EM32" s="1544">
        <v>9.3867832838352783</v>
      </c>
      <c r="EN32" s="1544">
        <v>0</v>
      </c>
      <c r="EO32" s="1544">
        <v>0</v>
      </c>
      <c r="EP32" s="1544">
        <v>59.381264705882359</v>
      </c>
      <c r="EQ32" s="1943">
        <v>111.3417243546705</v>
      </c>
      <c r="ER32" s="1933">
        <v>37.181647058823543</v>
      </c>
      <c r="ES32" s="1544">
        <v>8.777215111528254E-2</v>
      </c>
      <c r="ET32" s="1544">
        <v>25.822300000000006</v>
      </c>
      <c r="EU32" s="1544">
        <v>15.874579533497993</v>
      </c>
      <c r="EV32" s="1544">
        <v>25.581647058823538</v>
      </c>
      <c r="EW32" s="1544">
        <v>0</v>
      </c>
      <c r="EX32" s="1544">
        <v>19.8383</v>
      </c>
      <c r="EY32" s="1544">
        <v>7.2218335366415607</v>
      </c>
      <c r="EZ32" s="1544">
        <v>0</v>
      </c>
      <c r="FA32" s="1544">
        <v>0</v>
      </c>
      <c r="FB32" s="1544">
        <v>72.465500000000006</v>
      </c>
      <c r="FC32" s="1943">
        <v>145.17308573979827</v>
      </c>
      <c r="FD32" s="1933">
        <v>60.003080156862751</v>
      </c>
      <c r="FE32" s="1544">
        <v>24.075330280143916</v>
      </c>
      <c r="FF32" s="1544">
        <v>20.160370588235295</v>
      </c>
      <c r="FG32" s="1544">
        <v>11.051042201146279</v>
      </c>
      <c r="FH32" s="1544">
        <v>47.349693490196074</v>
      </c>
      <c r="FI32" s="1544">
        <v>16.572968542210258</v>
      </c>
      <c r="FJ32" s="1544">
        <v>15.408370588235297</v>
      </c>
      <c r="FK32" s="1544">
        <v>6.3689912433711173</v>
      </c>
      <c r="FL32" s="1544">
        <v>85.317349019607832</v>
      </c>
      <c r="FM32" s="1544">
        <v>4.0159449089540962</v>
      </c>
      <c r="FN32" s="1544">
        <v>57.20055882352942</v>
      </c>
      <c r="FO32" s="1943">
        <v>93.470178793892146</v>
      </c>
      <c r="FP32" s="1933">
        <v>57.832116078431376</v>
      </c>
      <c r="FQ32" s="1544">
        <v>20.663814112456727</v>
      </c>
      <c r="FR32" s="1544">
        <v>20.160370588235295</v>
      </c>
      <c r="FS32" s="1544">
        <v>11.057585082156285</v>
      </c>
      <c r="FT32" s="1544">
        <v>45.683394509803918</v>
      </c>
      <c r="FU32" s="1544">
        <v>14.150688014900556</v>
      </c>
      <c r="FV32" s="1544">
        <v>15.408370588235297</v>
      </c>
      <c r="FW32" s="1544">
        <v>6.0015616751641288</v>
      </c>
      <c r="FX32" s="1544">
        <v>79.865333333333325</v>
      </c>
      <c r="FY32" s="1544">
        <v>1.4158746542820566</v>
      </c>
      <c r="FZ32" s="1544">
        <v>57.20055882352942</v>
      </c>
      <c r="GA32" s="1943">
        <v>96.880144681323259</v>
      </c>
      <c r="GB32" s="1933">
        <v>56.973605333333339</v>
      </c>
      <c r="GC32" s="1544">
        <v>12.524237627693312</v>
      </c>
      <c r="GD32" s="1544">
        <v>21.845468627450984</v>
      </c>
      <c r="GE32" s="1544">
        <v>9.2355095151211639</v>
      </c>
      <c r="GF32" s="1544">
        <v>46.621317647058824</v>
      </c>
      <c r="GG32" s="1544">
        <v>8.4324548681151672</v>
      </c>
      <c r="GH32" s="1544">
        <v>16.726801960784318</v>
      </c>
      <c r="GI32" s="1544">
        <v>4.1171562639692452</v>
      </c>
      <c r="GJ32" s="1544">
        <v>0</v>
      </c>
      <c r="GK32" s="1544">
        <v>0</v>
      </c>
      <c r="GL32" s="1544">
        <v>61.743696078431384</v>
      </c>
      <c r="GM32" s="1943">
        <v>103.06544596548939</v>
      </c>
      <c r="GN32" s="1933">
        <v>55.669317647058833</v>
      </c>
      <c r="GO32" s="1544">
        <v>9.6102220227667416</v>
      </c>
      <c r="GP32" s="1544">
        <v>21.91287254901961</v>
      </c>
      <c r="GQ32" s="1544">
        <v>13.042056729515238</v>
      </c>
      <c r="GR32" s="1544">
        <v>44.018258823529422</v>
      </c>
      <c r="GS32" s="1544">
        <v>6.4546410585481366</v>
      </c>
      <c r="GT32" s="1544">
        <v>16.779539215686277</v>
      </c>
      <c r="GU32" s="1544">
        <v>6.7567807868605838</v>
      </c>
      <c r="GV32" s="1544">
        <v>0</v>
      </c>
      <c r="GW32" s="1544">
        <v>0</v>
      </c>
      <c r="GX32" s="1544">
        <v>61.925421568627456</v>
      </c>
      <c r="GY32" s="1943">
        <v>117.98084022993415</v>
      </c>
      <c r="GZ32" s="1933">
        <v>60.418424470588242</v>
      </c>
      <c r="HA32" s="1544">
        <v>36.219435635781032</v>
      </c>
      <c r="HB32" s="1544">
        <v>16.318347058823534</v>
      </c>
      <c r="HC32" s="1544">
        <v>2.8321393970795024</v>
      </c>
      <c r="HD32" s="1544">
        <v>47.687657411764704</v>
      </c>
      <c r="HE32" s="1544">
        <v>24.95287926072875</v>
      </c>
      <c r="HF32" s="1544">
        <v>12.402347058823533</v>
      </c>
      <c r="HG32" s="1544">
        <v>1.1166344874904655</v>
      </c>
      <c r="HH32" s="1544">
        <v>86.750211764705881</v>
      </c>
      <c r="HI32" s="1544">
        <v>16.617835877531132</v>
      </c>
      <c r="HJ32" s="1544">
        <v>46.842205882352943</v>
      </c>
      <c r="HK32" s="1943">
        <v>55.65930119130423</v>
      </c>
      <c r="HL32" s="1933">
        <v>63.168474666666675</v>
      </c>
      <c r="HM32" s="1544">
        <v>37.346705708286116</v>
      </c>
      <c r="HN32" s="1544">
        <v>15.981327450980396</v>
      </c>
      <c r="HO32" s="1544">
        <v>2.4908707599249293</v>
      </c>
      <c r="HP32" s="1544">
        <v>49.693268392156867</v>
      </c>
      <c r="HQ32" s="1544">
        <v>25.750781446719621</v>
      </c>
      <c r="HR32" s="1544">
        <v>12.138660784313728</v>
      </c>
      <c r="HS32" s="1544">
        <v>0.92701360990803439</v>
      </c>
      <c r="HT32" s="1544">
        <v>91.518368627450997</v>
      </c>
      <c r="HU32" s="1544">
        <v>18.212450421243194</v>
      </c>
      <c r="HV32" s="1544">
        <v>45.93357843137256</v>
      </c>
      <c r="HW32" s="1943">
        <v>54.121121544933509</v>
      </c>
      <c r="HX32" s="1933">
        <v>62.085959529411767</v>
      </c>
      <c r="HY32" s="1544">
        <v>23.759653047484452</v>
      </c>
      <c r="HZ32" s="1544">
        <v>19.755947058823534</v>
      </c>
      <c r="IA32" s="1544">
        <v>10.365705298802213</v>
      </c>
      <c r="IB32" s="1544">
        <v>49.076943058823531</v>
      </c>
      <c r="IC32" s="1544">
        <v>16.330314936367653</v>
      </c>
      <c r="ID32" s="1544">
        <v>15.091947058823532</v>
      </c>
      <c r="IE32" s="1544">
        <v>5.9275085580738205</v>
      </c>
      <c r="IF32" s="1544">
        <v>93.162070588235267</v>
      </c>
      <c r="IG32" s="1544">
        <v>4.4650503836186157</v>
      </c>
      <c r="IH32" s="1544">
        <v>56.110205882352943</v>
      </c>
      <c r="II32" s="1943">
        <v>91.115432365993925</v>
      </c>
      <c r="IJ32" s="1933">
        <v>61.616622431372548</v>
      </c>
      <c r="IK32" s="1544">
        <v>35.532831394698363</v>
      </c>
      <c r="IL32" s="1544">
        <v>17.464213725490197</v>
      </c>
      <c r="IM32" s="1544">
        <v>5.2146999152276967</v>
      </c>
      <c r="IN32" s="1544">
        <v>48.749430901960793</v>
      </c>
      <c r="IO32" s="1544">
        <v>24.466459714591767</v>
      </c>
      <c r="IP32" s="1544">
        <v>13.298880392156866</v>
      </c>
      <c r="IQ32" s="1544">
        <v>2.3490438620979162</v>
      </c>
      <c r="IR32" s="1544">
        <v>89.805145098039219</v>
      </c>
      <c r="IS32" s="1544">
        <v>16.820475655190005</v>
      </c>
      <c r="IT32" s="1544">
        <v>49.931539215686279</v>
      </c>
      <c r="IU32" s="1943">
        <v>67.011506202736996</v>
      </c>
      <c r="IV32" s="1933">
        <v>60.400737254901962</v>
      </c>
      <c r="IW32" s="1544">
        <v>12.173606449218848</v>
      </c>
      <c r="IX32" s="1544">
        <v>21.91287254901961</v>
      </c>
      <c r="IY32" s="1544">
        <v>6.2388652521085941</v>
      </c>
      <c r="IZ32" s="1544">
        <v>48.016580392156861</v>
      </c>
      <c r="JA32" s="1544">
        <v>8.20180545729486</v>
      </c>
      <c r="JB32" s="1544">
        <v>16.779539215686277</v>
      </c>
      <c r="JC32" s="1544">
        <v>2.1746694837807312</v>
      </c>
      <c r="JD32" s="1544">
        <v>0</v>
      </c>
      <c r="JE32" s="1544">
        <v>0</v>
      </c>
      <c r="JF32" s="1544">
        <v>61.925421568627456</v>
      </c>
      <c r="JG32" s="1943">
        <v>92.347657849232618</v>
      </c>
      <c r="JH32" s="1933">
        <v>57.696196392156871</v>
      </c>
      <c r="JI32" s="1544">
        <v>26.713867982141011</v>
      </c>
      <c r="JJ32" s="1544">
        <v>19.081907843137259</v>
      </c>
      <c r="JK32" s="1544">
        <v>8.8628718972174259</v>
      </c>
      <c r="JL32" s="1544">
        <v>45.695701960784319</v>
      </c>
      <c r="JM32" s="1544">
        <v>18.421314135761691</v>
      </c>
      <c r="JN32" s="1544">
        <v>14.564574509803924</v>
      </c>
      <c r="JO32" s="1544">
        <v>5.0136599104849795</v>
      </c>
      <c r="JP32" s="1544">
        <v>81.0143843137255</v>
      </c>
      <c r="JQ32" s="1544">
        <v>7.4926262612055066</v>
      </c>
      <c r="JR32" s="1544">
        <v>54.292950980392163</v>
      </c>
      <c r="JS32" s="1943">
        <v>83.762403859324237</v>
      </c>
      <c r="JT32" s="1933">
        <v>62.263556392156865</v>
      </c>
      <c r="JU32" s="1544">
        <v>25.763775967086385</v>
      </c>
      <c r="JV32" s="1544">
        <v>19.958158823529416</v>
      </c>
      <c r="JW32" s="1544">
        <v>9.4927404417940018</v>
      </c>
      <c r="JX32" s="1544">
        <v>49.162508549019606</v>
      </c>
      <c r="JY32" s="1544">
        <v>17.772400698758197</v>
      </c>
      <c r="JZ32" s="1544">
        <v>15.250158823529414</v>
      </c>
      <c r="KA32" s="1544">
        <v>5.1316207412333963</v>
      </c>
      <c r="KB32" s="1544">
        <v>92.576266666666655</v>
      </c>
      <c r="KC32" s="1544">
        <v>5.5630505689315353</v>
      </c>
      <c r="KD32" s="1544">
        <v>56.655382352941174</v>
      </c>
      <c r="KE32" s="1943">
        <v>86.976683706280696</v>
      </c>
      <c r="KF32" s="1933">
        <v>59.305232313725504</v>
      </c>
      <c r="KG32" s="1544">
        <v>16.287226545154226</v>
      </c>
      <c r="KH32" s="1544">
        <v>20.295178431372552</v>
      </c>
      <c r="KI32" s="1544">
        <v>15.042761430330426</v>
      </c>
      <c r="KJ32" s="1544">
        <v>46.686073098039216</v>
      </c>
      <c r="KK32" s="1544">
        <v>11.059584020672249</v>
      </c>
      <c r="KL32" s="1544">
        <v>15.513845098039219</v>
      </c>
      <c r="KM32" s="1544">
        <v>9.3245993892787968</v>
      </c>
      <c r="KN32" s="1544">
        <v>0</v>
      </c>
      <c r="KO32" s="1544">
        <v>0</v>
      </c>
      <c r="KP32" s="1544">
        <v>57.564009803921572</v>
      </c>
      <c r="KQ32" s="1943">
        <v>109.13482240714551</v>
      </c>
      <c r="KR32" s="1933">
        <v>59.81778603921569</v>
      </c>
      <c r="KS32" s="1544">
        <v>31.628810068944777</v>
      </c>
      <c r="KT32" s="1544">
        <v>18.340464705882358</v>
      </c>
      <c r="KU32" s="1544">
        <v>5.4884924995493831</v>
      </c>
      <c r="KV32" s="1544">
        <v>47.21734054901961</v>
      </c>
      <c r="KW32" s="1544">
        <v>21.741008988396221</v>
      </c>
      <c r="KX32" s="1544">
        <v>13.984464705882356</v>
      </c>
      <c r="KY32" s="1544">
        <v>2.6830038412932318</v>
      </c>
      <c r="KZ32" s="1544">
        <v>85.05264313725489</v>
      </c>
      <c r="LA32" s="1544">
        <v>11.341389745444113</v>
      </c>
      <c r="LB32" s="1544">
        <v>52.293970588235304</v>
      </c>
      <c r="LC32" s="1943">
        <v>69.323475948087605</v>
      </c>
      <c r="LD32" s="1933">
        <v>51.976447058823538</v>
      </c>
      <c r="LE32" s="1544">
        <v>11.965559601602736</v>
      </c>
      <c r="LF32" s="1544">
        <v>20.699601960784317</v>
      </c>
      <c r="LG32" s="1544">
        <v>10.971840610472263</v>
      </c>
      <c r="LH32" s="1544">
        <v>40.199270588235301</v>
      </c>
      <c r="LI32" s="1544">
        <v>8.0050127701318221</v>
      </c>
      <c r="LJ32" s="1544">
        <v>15.830268627450982</v>
      </c>
      <c r="LK32" s="1544">
        <v>5.3436001447693044</v>
      </c>
      <c r="LL32" s="1544">
        <v>0</v>
      </c>
      <c r="LM32" s="1544">
        <v>0</v>
      </c>
      <c r="LN32" s="1544">
        <v>58.654362745098041</v>
      </c>
      <c r="LO32" s="1943">
        <v>108.67197526060045</v>
      </c>
      <c r="LP32" s="1933">
        <v>62.262016941176483</v>
      </c>
      <c r="LQ32" s="1544">
        <v>22.730845335702011</v>
      </c>
      <c r="LR32" s="1544">
        <v>20.9018137254902</v>
      </c>
      <c r="LS32" s="1544">
        <v>10.469787171478982</v>
      </c>
      <c r="LT32" s="1544">
        <v>49.153151058823532</v>
      </c>
      <c r="LU32" s="1544">
        <v>15.627160458833407</v>
      </c>
      <c r="LV32" s="1544">
        <v>15.988480392156866</v>
      </c>
      <c r="LW32" s="1544">
        <v>5.878045717281787</v>
      </c>
      <c r="LX32" s="1544">
        <v>92.406164705882361</v>
      </c>
      <c r="LY32" s="1544">
        <v>3.1178510507451267</v>
      </c>
      <c r="LZ32" s="1544">
        <v>59.199539215686286</v>
      </c>
      <c r="MA32" s="1943">
        <v>92.620888550881205</v>
      </c>
      <c r="MB32" s="1933">
        <v>53.065796078431376</v>
      </c>
      <c r="MC32" s="1544">
        <v>4.6642735522436212</v>
      </c>
      <c r="MD32" s="1544">
        <v>27.305186274509808</v>
      </c>
      <c r="ME32" s="1544">
        <v>15.456064784550179</v>
      </c>
      <c r="MF32" s="1544">
        <v>41.08987450980392</v>
      </c>
      <c r="MG32" s="1544">
        <v>3.0565410096659709</v>
      </c>
      <c r="MH32" s="1544">
        <v>20.998519607843143</v>
      </c>
      <c r="MI32" s="1544">
        <v>6.2144058947220913</v>
      </c>
      <c r="MJ32" s="1544">
        <v>0</v>
      </c>
      <c r="MK32" s="1544">
        <v>0</v>
      </c>
      <c r="ML32" s="1544">
        <v>76.463460784313739</v>
      </c>
      <c r="MM32" s="1943">
        <v>138.18988128245536</v>
      </c>
      <c r="MN32" s="1933">
        <v>50.413105882352951</v>
      </c>
      <c r="MO32" s="1544">
        <v>4.2510864060304021</v>
      </c>
      <c r="MP32" s="1544">
        <v>22.789123529411768</v>
      </c>
      <c r="MQ32" s="1544">
        <v>14.180628668656318</v>
      </c>
      <c r="MR32" s="1544">
        <v>38.745105882352959</v>
      </c>
      <c r="MS32" s="1544">
        <v>2.7448198605985543</v>
      </c>
      <c r="MT32" s="1544">
        <v>17.465123529411766</v>
      </c>
      <c r="MU32" s="1544">
        <v>6.7194255465507684</v>
      </c>
      <c r="MV32" s="1544">
        <v>0</v>
      </c>
      <c r="MW32" s="1544">
        <v>0</v>
      </c>
      <c r="MX32" s="1544">
        <v>64.287852941176482</v>
      </c>
      <c r="MY32" s="1943">
        <v>134.67946447750154</v>
      </c>
      <c r="MZ32" s="1933">
        <v>59.788815686274511</v>
      </c>
      <c r="NA32" s="1544">
        <v>19.672545626813857</v>
      </c>
      <c r="NB32" s="1544">
        <v>21.710660784313728</v>
      </c>
      <c r="NC32" s="1544">
        <v>10.07726531722046</v>
      </c>
      <c r="ND32" s="1544">
        <v>47.860737254901963</v>
      </c>
      <c r="NE32" s="1544">
        <v>13.472362813191184</v>
      </c>
      <c r="NF32" s="1544">
        <v>16.621327450980395</v>
      </c>
      <c r="NG32" s="1544">
        <v>5.279438137297535</v>
      </c>
      <c r="NH32" s="1544">
        <v>76.296643137254904</v>
      </c>
      <c r="NI32" s="1544">
        <v>0.1422047331732755</v>
      </c>
      <c r="NJ32" s="1544">
        <v>61.380245098039218</v>
      </c>
      <c r="NK32" s="1943">
        <v>95.311518839551184</v>
      </c>
      <c r="NL32" s="1933">
        <v>57.626697098039223</v>
      </c>
      <c r="NM32" s="1544">
        <v>23.933614646135862</v>
      </c>
      <c r="NN32" s="1544">
        <v>20.497390196078435</v>
      </c>
      <c r="NO32" s="1544">
        <v>11.795145753288313</v>
      </c>
      <c r="NP32" s="1544">
        <v>46.240070588235298</v>
      </c>
      <c r="NQ32" s="1544">
        <v>16.461820803687559</v>
      </c>
      <c r="NR32" s="1544">
        <v>15.672056862745102</v>
      </c>
      <c r="NS32" s="1544">
        <v>6.9064381588500598</v>
      </c>
      <c r="NT32" s="1544">
        <v>81.418807843137259</v>
      </c>
      <c r="NU32" s="1544">
        <v>4.1806976277550651</v>
      </c>
      <c r="NV32" s="1544">
        <v>58.10918627450981</v>
      </c>
      <c r="NW32" s="1943">
        <v>96.262763755030619</v>
      </c>
      <c r="NX32" s="1933">
        <v>58.997985568627456</v>
      </c>
      <c r="NY32" s="1544">
        <v>11.812287492998708</v>
      </c>
      <c r="NZ32" s="1544">
        <v>23.530566666666669</v>
      </c>
      <c r="OA32" s="1544">
        <v>11.850760768613805</v>
      </c>
      <c r="OB32" s="1544">
        <v>46.408805960784314</v>
      </c>
      <c r="OC32" s="1544">
        <v>7.9252132687920422</v>
      </c>
      <c r="OD32" s="1544">
        <v>18.045233333333336</v>
      </c>
      <c r="OE32" s="1544">
        <v>5.3888900646979581</v>
      </c>
      <c r="OF32" s="1544">
        <v>0</v>
      </c>
      <c r="OG32" s="1544">
        <v>0</v>
      </c>
      <c r="OH32" s="1544">
        <v>66.286833333333334</v>
      </c>
      <c r="OI32" s="1934">
        <v>109.92548867155092</v>
      </c>
      <c r="OJ32" s="1933">
        <v>60.006159058823535</v>
      </c>
      <c r="OK32" s="1544">
        <v>29.857668318170667</v>
      </c>
      <c r="OL32" s="1544">
        <v>19.486331372549024</v>
      </c>
      <c r="OM32" s="1544">
        <v>7.5750970218269149</v>
      </c>
      <c r="ON32" s="1544">
        <v>47.368408470588243</v>
      </c>
      <c r="OO32" s="1544">
        <v>20.574529362878611</v>
      </c>
      <c r="OP32" s="1544">
        <v>14.88099803921569</v>
      </c>
      <c r="OQ32" s="1544">
        <v>3.6709057345099536</v>
      </c>
      <c r="OR32" s="1544">
        <v>85.657552941176476</v>
      </c>
      <c r="OS32" s="1544">
        <v>9.368476878427181</v>
      </c>
      <c r="OT32" s="1544">
        <v>55.38330392156864</v>
      </c>
      <c r="OU32" s="1934">
        <v>78.126329292865393</v>
      </c>
      <c r="OV32" s="1933">
        <v>57.994318431372548</v>
      </c>
      <c r="OW32" s="1544">
        <v>8.4985721344131591</v>
      </c>
      <c r="OX32" s="1544">
        <v>26.361531372549027</v>
      </c>
      <c r="OY32" s="1544">
        <v>15.920346101338488</v>
      </c>
      <c r="OZ32" s="1544">
        <v>45.675385098039222</v>
      </c>
      <c r="PA32" s="1544">
        <v>5.7498995722692481</v>
      </c>
      <c r="PB32" s="1544">
        <v>20.260198039215691</v>
      </c>
      <c r="PC32" s="1544">
        <v>7.3264394487737565</v>
      </c>
      <c r="PD32" s="1544">
        <v>0</v>
      </c>
      <c r="PE32" s="1544">
        <v>0</v>
      </c>
      <c r="PF32" s="1544">
        <v>73.919303921568641</v>
      </c>
      <c r="PG32" s="1934">
        <v>124.37587161840247</v>
      </c>
      <c r="PH32" s="1933">
        <v>63.569851921568635</v>
      </c>
      <c r="PI32" s="1544">
        <v>24.217164673339884</v>
      </c>
      <c r="PJ32" s="1544">
        <v>20.699601960784317</v>
      </c>
      <c r="PK32" s="1544">
        <v>7.9867508359267259</v>
      </c>
      <c r="PL32" s="1544">
        <v>50.14512407843138</v>
      </c>
      <c r="PM32" s="1544">
        <v>16.65514606789008</v>
      </c>
      <c r="PN32" s="1544">
        <v>15.830268627450982</v>
      </c>
      <c r="PO32" s="1544">
        <v>4.124919771259183</v>
      </c>
      <c r="PP32" s="1544">
        <v>95.449819607843139</v>
      </c>
      <c r="PQ32" s="1544">
        <v>3.8110975906924773</v>
      </c>
      <c r="PR32" s="1544">
        <v>58.654362745098041</v>
      </c>
      <c r="PS32" s="1934">
        <v>82.855472700855373</v>
      </c>
      <c r="PT32" s="1933">
        <v>61.249113098039224</v>
      </c>
      <c r="PU32" s="1544">
        <v>24.0208400631589</v>
      </c>
      <c r="PV32" s="1544">
        <v>20.362582352941178</v>
      </c>
      <c r="PW32" s="1544">
        <v>11.026951489069623</v>
      </c>
      <c r="PX32" s="1544">
        <v>48.363585254901963</v>
      </c>
      <c r="PY32" s="1544">
        <v>16.538015872913448</v>
      </c>
      <c r="PZ32" s="1544">
        <v>15.566582352941179</v>
      </c>
      <c r="QA32" s="1544">
        <v>6.2355067757637581</v>
      </c>
      <c r="QB32" s="1544">
        <v>89.615937254901965</v>
      </c>
      <c r="QC32" s="1544">
        <v>3.9169096889616184</v>
      </c>
      <c r="QD32" s="1544">
        <v>57.745735294117651</v>
      </c>
      <c r="QE32" s="1934">
        <v>93.512933162490128</v>
      </c>
      <c r="QF32" s="1933">
        <v>49.874400000000001</v>
      </c>
      <c r="QG32" s="1544">
        <v>5.1198503184816522</v>
      </c>
      <c r="QH32" s="1544">
        <v>22.923931372549024</v>
      </c>
      <c r="QI32" s="1544">
        <v>10.607876979190207</v>
      </c>
      <c r="QJ32" s="1544">
        <v>39.204047058823527</v>
      </c>
      <c r="QK32" s="1544">
        <v>3.3541490155166303</v>
      </c>
      <c r="QL32" s="1544">
        <v>17.570598039215689</v>
      </c>
      <c r="QM32" s="1544">
        <v>4.2143769491798446</v>
      </c>
      <c r="QN32" s="1544">
        <v>0</v>
      </c>
      <c r="QO32" s="1544">
        <v>0</v>
      </c>
      <c r="QP32" s="1544">
        <v>64.65130392156864</v>
      </c>
      <c r="QQ32" s="1934">
        <v>123.83957784827133</v>
      </c>
      <c r="QR32" s="1933">
        <v>61.699976784313726</v>
      </c>
      <c r="QS32" s="1544">
        <v>25.272572752364866</v>
      </c>
      <c r="QT32" s="1544">
        <v>20.632198039215687</v>
      </c>
      <c r="QU32" s="1544">
        <v>9.5550584511381427</v>
      </c>
      <c r="QV32" s="1544">
        <v>48.718662274509803</v>
      </c>
      <c r="QW32" s="1544">
        <v>17.420872583898674</v>
      </c>
      <c r="QX32" s="1544">
        <v>15.777531372549022</v>
      </c>
      <c r="QY32" s="1544">
        <v>5.1166863312998814</v>
      </c>
      <c r="QZ32" s="1544">
        <v>90.931639215686261</v>
      </c>
      <c r="RA32" s="1544">
        <v>5.0502976648176476</v>
      </c>
      <c r="RB32" s="1544">
        <v>58.472637254901962</v>
      </c>
      <c r="RC32" s="1934">
        <v>88.71361258968507</v>
      </c>
      <c r="RD32" s="1933">
        <v>60.196071529411768</v>
      </c>
      <c r="RE32" s="1544">
        <v>24.439366838652052</v>
      </c>
      <c r="RF32" s="1544">
        <v>20.497390196078435</v>
      </c>
      <c r="RG32" s="1544">
        <v>9.0281909308479538</v>
      </c>
      <c r="RH32" s="1544">
        <v>47.528833882352934</v>
      </c>
      <c r="RI32" s="1544">
        <v>16.83167887407112</v>
      </c>
      <c r="RJ32" s="1544">
        <v>15.672056862745102</v>
      </c>
      <c r="RK32" s="1544">
        <v>4.7562271971402836</v>
      </c>
      <c r="RL32" s="1544">
        <v>86.432564705882356</v>
      </c>
      <c r="RM32" s="1544">
        <v>4.3669331071856234</v>
      </c>
      <c r="RN32" s="1544">
        <v>58.10918627450981</v>
      </c>
      <c r="RO32" s="1934">
        <v>87.203888871344631</v>
      </c>
    </row>
    <row r="33" spans="1:483">
      <c r="A33" s="1472">
        <f>Eingabedaten!A35</f>
        <v>9.01</v>
      </c>
      <c r="B33" s="386" t="str">
        <f>Eingabedaten!C35</f>
        <v>Produktion (grobe Arbeit)</v>
      </c>
      <c r="C33" s="1939"/>
      <c r="D33" s="1933">
        <v>13.187197385620916</v>
      </c>
      <c r="E33" s="1544">
        <v>0</v>
      </c>
      <c r="F33" s="1544">
        <v>20.710827450980393</v>
      </c>
      <c r="G33" s="1544">
        <v>15.152977499998231</v>
      </c>
      <c r="H33" s="1544">
        <v>12.079458823529414</v>
      </c>
      <c r="I33" s="1544">
        <v>0</v>
      </c>
      <c r="J33" s="1544">
        <v>16.464654901960788</v>
      </c>
      <c r="K33" s="1544">
        <v>7.1122614375179545</v>
      </c>
      <c r="L33" s="1544">
        <v>0</v>
      </c>
      <c r="M33" s="1544">
        <v>0</v>
      </c>
      <c r="N33" s="1544">
        <v>60.678631372549027</v>
      </c>
      <c r="O33" s="1943">
        <v>108.19918734239118</v>
      </c>
      <c r="P33" s="1933">
        <v>26.656461960784316</v>
      </c>
      <c r="Q33" s="1544">
        <v>4.9393342071205995</v>
      </c>
      <c r="R33" s="1544">
        <v>17.394378431372552</v>
      </c>
      <c r="S33" s="1544">
        <v>14.328160309983236</v>
      </c>
      <c r="T33" s="1544">
        <v>20.624055058823529</v>
      </c>
      <c r="U33" s="1544">
        <v>3.5377135707807312</v>
      </c>
      <c r="V33" s="1544">
        <v>13.779756862745103</v>
      </c>
      <c r="W33" s="1544">
        <v>8.4422659316648652</v>
      </c>
      <c r="X33" s="1544">
        <v>0</v>
      </c>
      <c r="Y33" s="1544">
        <v>0</v>
      </c>
      <c r="Z33" s="1544">
        <v>51.417603921568642</v>
      </c>
      <c r="AA33" s="1943">
        <v>80.250694074878894</v>
      </c>
      <c r="AB33" s="1933">
        <v>22.575631372549022</v>
      </c>
      <c r="AC33" s="1544">
        <v>3.0602481926055694</v>
      </c>
      <c r="AD33" s="1544">
        <v>17.464941176470592</v>
      </c>
      <c r="AE33" s="1544">
        <v>17.049833726708055</v>
      </c>
      <c r="AF33" s="1544">
        <v>21.15079163398693</v>
      </c>
      <c r="AG33" s="1544">
        <v>2.1953837421006357</v>
      </c>
      <c r="AH33" s="1544">
        <v>13.836882352941181</v>
      </c>
      <c r="AI33" s="1544">
        <v>10.720247185229026</v>
      </c>
      <c r="AJ33" s="1544">
        <v>0</v>
      </c>
      <c r="AK33" s="1544">
        <v>0</v>
      </c>
      <c r="AL33" s="1544">
        <v>51.61464705882355</v>
      </c>
      <c r="AM33" s="1943">
        <v>87.454573231187965</v>
      </c>
      <c r="AN33" s="1933">
        <v>28.773465098039221</v>
      </c>
      <c r="AO33" s="1544">
        <v>6.9930408997441278</v>
      </c>
      <c r="AP33" s="1544">
        <v>18.100005882352946</v>
      </c>
      <c r="AQ33" s="1544">
        <v>12.471521386885779</v>
      </c>
      <c r="AR33" s="1544">
        <v>22.135595346405228</v>
      </c>
      <c r="AS33" s="1544">
        <v>5.0047727963737998</v>
      </c>
      <c r="AT33" s="1544">
        <v>14.351011764705888</v>
      </c>
      <c r="AU33" s="1544">
        <v>7.0566167073705053</v>
      </c>
      <c r="AV33" s="1544">
        <v>45.599322875816988</v>
      </c>
      <c r="AW33" s="1544">
        <v>0.52304381133010736</v>
      </c>
      <c r="AX33" s="1544">
        <v>53.388035294117664</v>
      </c>
      <c r="AY33" s="1943">
        <v>73.574926362812278</v>
      </c>
      <c r="AZ33" s="1933">
        <v>25.316458431372553</v>
      </c>
      <c r="BA33" s="1544">
        <v>4.9779497929558945</v>
      </c>
      <c r="BB33" s="1544">
        <v>18.735070588235295</v>
      </c>
      <c r="BC33" s="1544">
        <v>15.410491566149203</v>
      </c>
      <c r="BD33" s="1544">
        <v>19.666780078431376</v>
      </c>
      <c r="BE33" s="1544">
        <v>3.5650873659233588</v>
      </c>
      <c r="BF33" s="1544">
        <v>14.865141176470592</v>
      </c>
      <c r="BG33" s="1544">
        <v>8.8449705820187408</v>
      </c>
      <c r="BH33" s="1544">
        <v>0</v>
      </c>
      <c r="BI33" s="1544">
        <v>0</v>
      </c>
      <c r="BJ33" s="1544">
        <v>55.161423529411778</v>
      </c>
      <c r="BK33" s="1943">
        <v>86.061842592488233</v>
      </c>
      <c r="BL33" s="1933">
        <v>24.628702745098046</v>
      </c>
      <c r="BM33" s="1544">
        <v>5.307602719588572</v>
      </c>
      <c r="BN33" s="1544">
        <v>18.523382352941184</v>
      </c>
      <c r="BO33" s="1544">
        <v>17.035317932019392</v>
      </c>
      <c r="BP33" s="1544">
        <v>19.734655686274518</v>
      </c>
      <c r="BQ33" s="1544">
        <v>3.8007099755945912</v>
      </c>
      <c r="BR33" s="1544">
        <v>14.693764705882357</v>
      </c>
      <c r="BS33" s="1544">
        <v>10.569468523954852</v>
      </c>
      <c r="BT33" s="1544">
        <v>0</v>
      </c>
      <c r="BU33" s="1544">
        <v>0</v>
      </c>
      <c r="BV33" s="1544">
        <v>54.570294117647073</v>
      </c>
      <c r="BW33" s="1943">
        <v>87.42636260065315</v>
      </c>
      <c r="BX33" s="1933">
        <v>24.567010980392158</v>
      </c>
      <c r="BY33" s="1544">
        <v>3.761554540280077</v>
      </c>
      <c r="BZ33" s="1544">
        <v>18.593945098039217</v>
      </c>
      <c r="CA33" s="1544">
        <v>12.713963519438748</v>
      </c>
      <c r="CB33" s="1544">
        <v>19.636665882352943</v>
      </c>
      <c r="CC33" s="1544">
        <v>2.6962851233117542</v>
      </c>
      <c r="CD33" s="1544">
        <v>14.750890196078435</v>
      </c>
      <c r="CE33" s="1544">
        <v>6.7458267025531482</v>
      </c>
      <c r="CF33" s="1544">
        <v>0</v>
      </c>
      <c r="CG33" s="1544">
        <v>0</v>
      </c>
      <c r="CH33" s="1544">
        <v>54.76733725490196</v>
      </c>
      <c r="CI33" s="1943">
        <v>79.316612792014681</v>
      </c>
      <c r="CJ33" s="1933">
        <v>11.495045751633993</v>
      </c>
      <c r="CK33" s="1544">
        <v>0</v>
      </c>
      <c r="CL33" s="1544">
        <v>22.757147058823534</v>
      </c>
      <c r="CM33" s="1544">
        <v>18.227276639038369</v>
      </c>
      <c r="CN33" s="1544">
        <v>8.8242784313725497</v>
      </c>
      <c r="CO33" s="1544">
        <v>0</v>
      </c>
      <c r="CP33" s="1544">
        <v>18.121294117647064</v>
      </c>
      <c r="CQ33" s="1544">
        <v>8.572119234128742</v>
      </c>
      <c r="CR33" s="1544">
        <v>0</v>
      </c>
      <c r="CS33" s="1544">
        <v>0</v>
      </c>
      <c r="CT33" s="1544">
        <v>66.3928823529412</v>
      </c>
      <c r="CU33" s="1943">
        <v>122.59288041831414</v>
      </c>
      <c r="CV33" s="1933">
        <v>22.938185620915036</v>
      </c>
      <c r="CW33" s="1544">
        <v>0</v>
      </c>
      <c r="CX33" s="1544">
        <v>20.358013725490199</v>
      </c>
      <c r="CY33" s="1544">
        <v>13.707791957135067</v>
      </c>
      <c r="CZ33" s="1544">
        <v>18.303060130718958</v>
      </c>
      <c r="DA33" s="1544">
        <v>0</v>
      </c>
      <c r="DB33" s="1544">
        <v>16.179027450980396</v>
      </c>
      <c r="DC33" s="1544">
        <v>6.487527057950822</v>
      </c>
      <c r="DD33" s="1544">
        <v>0</v>
      </c>
      <c r="DE33" s="1544">
        <v>0</v>
      </c>
      <c r="DF33" s="1544">
        <v>59.69341568627452</v>
      </c>
      <c r="DG33" s="1943">
        <v>98.155937637033276</v>
      </c>
      <c r="DH33" s="1933">
        <v>24.067386274509808</v>
      </c>
      <c r="DI33" s="1544">
        <v>0</v>
      </c>
      <c r="DJ33" s="1544">
        <v>21.416454901960783</v>
      </c>
      <c r="DK33" s="1544">
        <v>22.20333068406131</v>
      </c>
      <c r="DL33" s="1544">
        <v>18.744152941176473</v>
      </c>
      <c r="DM33" s="1544">
        <v>0</v>
      </c>
      <c r="DN33" s="1544">
        <v>17.035909803921573</v>
      </c>
      <c r="DO33" s="1544">
        <v>13.303898666740041</v>
      </c>
      <c r="DP33" s="1544">
        <v>0</v>
      </c>
      <c r="DQ33" s="1544">
        <v>0</v>
      </c>
      <c r="DR33" s="1544">
        <v>62.64906274509805</v>
      </c>
      <c r="DS33" s="1943">
        <v>114.85478094080565</v>
      </c>
      <c r="DT33" s="1933">
        <v>26.623326666666671</v>
      </c>
      <c r="DU33" s="1544">
        <v>7.951049102449244</v>
      </c>
      <c r="DV33" s="1544">
        <v>16.477062745098038</v>
      </c>
      <c r="DW33" s="1544">
        <v>11.906750192085557</v>
      </c>
      <c r="DX33" s="1544">
        <v>20.6134954248366</v>
      </c>
      <c r="DY33" s="1544">
        <v>5.6920806526996142</v>
      </c>
      <c r="DZ33" s="1544">
        <v>13.037125490196082</v>
      </c>
      <c r="EA33" s="1544">
        <v>6.7356214361386311</v>
      </c>
      <c r="EB33" s="1544">
        <v>42.603262745098043</v>
      </c>
      <c r="EC33" s="1544">
        <v>2.2148392688508056</v>
      </c>
      <c r="ED33" s="1544">
        <v>48.8560431372549</v>
      </c>
      <c r="EE33" s="1943">
        <v>71.329706825855212</v>
      </c>
      <c r="EF33" s="1933">
        <v>24.319516078431377</v>
      </c>
      <c r="EG33" s="1544">
        <v>1.8408825112500127</v>
      </c>
      <c r="EH33" s="1544">
        <v>19.299572549019608</v>
      </c>
      <c r="EI33" s="1544">
        <v>22.233801681495226</v>
      </c>
      <c r="EJ33" s="1544">
        <v>19.477858562091505</v>
      </c>
      <c r="EK33" s="1544">
        <v>1.3241254659515627</v>
      </c>
      <c r="EL33" s="1544">
        <v>15.322145098039218</v>
      </c>
      <c r="EM33" s="1544">
        <v>14.251319697795463</v>
      </c>
      <c r="EN33" s="1544">
        <v>0</v>
      </c>
      <c r="EO33" s="1544">
        <v>0</v>
      </c>
      <c r="EP33" s="1544">
        <v>56.737768627450983</v>
      </c>
      <c r="EQ33" s="1943">
        <v>103.48005582217969</v>
      </c>
      <c r="ER33" s="1933">
        <v>6.3178862745098083</v>
      </c>
      <c r="ES33" s="1544">
        <v>0</v>
      </c>
      <c r="ET33" s="1544">
        <v>24.380090196078434</v>
      </c>
      <c r="EU33" s="1544">
        <v>22.840114102593887</v>
      </c>
      <c r="EV33" s="1544">
        <v>5.2428614379084983</v>
      </c>
      <c r="EW33" s="1544">
        <v>0</v>
      </c>
      <c r="EX33" s="1544">
        <v>19.435180392156866</v>
      </c>
      <c r="EY33" s="1544">
        <v>11.252900392345589</v>
      </c>
      <c r="EZ33" s="1544">
        <v>0</v>
      </c>
      <c r="FA33" s="1544">
        <v>0</v>
      </c>
      <c r="FB33" s="1544">
        <v>70.924874509803942</v>
      </c>
      <c r="FC33" s="1943">
        <v>149.44920274604047</v>
      </c>
      <c r="FD33" s="1933">
        <v>25.293450326797391</v>
      </c>
      <c r="FE33" s="1544">
        <v>4.803329114847398</v>
      </c>
      <c r="FF33" s="1544">
        <v>18.452819607843143</v>
      </c>
      <c r="FG33" s="1544">
        <v>17.18451541171552</v>
      </c>
      <c r="FH33" s="1544">
        <v>19.788441830065363</v>
      </c>
      <c r="FI33" s="1544">
        <v>3.4403579690103854</v>
      </c>
      <c r="FJ33" s="1544">
        <v>14.636639215686277</v>
      </c>
      <c r="FK33" s="1544">
        <v>10.564449180112325</v>
      </c>
      <c r="FL33" s="1544">
        <v>0</v>
      </c>
      <c r="FM33" s="1544">
        <v>0</v>
      </c>
      <c r="FN33" s="1544">
        <v>54.373250980392172</v>
      </c>
      <c r="FO33" s="1943">
        <v>88.81267704934136</v>
      </c>
      <c r="FP33" s="1933">
        <v>22.668269934640527</v>
      </c>
      <c r="FQ33" s="1544">
        <v>3.0739993827728873</v>
      </c>
      <c r="FR33" s="1544">
        <v>18.452819607843143</v>
      </c>
      <c r="FS33" s="1544">
        <v>17.378024665870786</v>
      </c>
      <c r="FT33" s="1544">
        <v>17.786916339869283</v>
      </c>
      <c r="FU33" s="1544">
        <v>2.2049761051094996</v>
      </c>
      <c r="FV33" s="1544">
        <v>14.636639215686277</v>
      </c>
      <c r="FW33" s="1544">
        <v>10.277644688710685</v>
      </c>
      <c r="FX33" s="1544">
        <v>0</v>
      </c>
      <c r="FY33" s="1544">
        <v>0</v>
      </c>
      <c r="FZ33" s="1544">
        <v>54.373250980392172</v>
      </c>
      <c r="GA33" s="1943">
        <v>92.386140033527639</v>
      </c>
      <c r="GB33" s="1933">
        <v>21.445620261437909</v>
      </c>
      <c r="GC33" s="1544">
        <v>0.3367124656860761</v>
      </c>
      <c r="GD33" s="1544">
        <v>20.216888235294121</v>
      </c>
      <c r="GE33" s="1544">
        <v>15.950844072140333</v>
      </c>
      <c r="GF33" s="1544">
        <v>16.829330718954253</v>
      </c>
      <c r="GG33" s="1544">
        <v>0.24629982570068926</v>
      </c>
      <c r="GH33" s="1544">
        <v>16.064776470588239</v>
      </c>
      <c r="GI33" s="1544">
        <v>8.1647588279943477</v>
      </c>
      <c r="GJ33" s="1544">
        <v>0</v>
      </c>
      <c r="GK33" s="1544">
        <v>0</v>
      </c>
      <c r="GL33" s="1544">
        <v>59.299329411764724</v>
      </c>
      <c r="GM33" s="1943">
        <v>101.53893521069398</v>
      </c>
      <c r="GN33" s="1933">
        <v>18.865066666666667</v>
      </c>
      <c r="GO33" s="1544">
        <v>0</v>
      </c>
      <c r="GP33" s="1544">
        <v>20.287450980392162</v>
      </c>
      <c r="GQ33" s="1544">
        <v>20.510465811401211</v>
      </c>
      <c r="GR33" s="1544">
        <v>14.680619607843139</v>
      </c>
      <c r="GS33" s="1544">
        <v>0</v>
      </c>
      <c r="GT33" s="1544">
        <v>16.121901960784321</v>
      </c>
      <c r="GU33" s="1544">
        <v>11.547331456683105</v>
      </c>
      <c r="GV33" s="1544">
        <v>0</v>
      </c>
      <c r="GW33" s="1544">
        <v>0</v>
      </c>
      <c r="GX33" s="1544">
        <v>59.496372549019625</v>
      </c>
      <c r="GY33" s="1943">
        <v>113.74583028571</v>
      </c>
      <c r="GZ33" s="1933">
        <v>24.955788235294118</v>
      </c>
      <c r="HA33" s="1544">
        <v>10.729424277321691</v>
      </c>
      <c r="HB33" s="1544">
        <v>14.430743137254904</v>
      </c>
      <c r="HC33" s="1544">
        <v>5.4712929465811655</v>
      </c>
      <c r="HD33" s="1544">
        <v>20.196128104575166</v>
      </c>
      <c r="HE33" s="1544">
        <v>7.680243605946818</v>
      </c>
      <c r="HF33" s="1544">
        <v>11.380486274509808</v>
      </c>
      <c r="HG33" s="1544">
        <v>2.4869774630114478</v>
      </c>
      <c r="HH33" s="1544">
        <v>37.86085751633987</v>
      </c>
      <c r="HI33" s="1544">
        <v>5.4039373834913285</v>
      </c>
      <c r="HJ33" s="1544">
        <v>43.141792156862749</v>
      </c>
      <c r="HK33" s="1943">
        <v>54.687902410489578</v>
      </c>
      <c r="HL33" s="1933">
        <v>27.550759477124188</v>
      </c>
      <c r="HM33" s="1544">
        <v>11.587554629824963</v>
      </c>
      <c r="HN33" s="1544">
        <v>14.077929411764707</v>
      </c>
      <c r="HO33" s="1544">
        <v>4.489906073533243</v>
      </c>
      <c r="HP33" s="1544">
        <v>22.00254640522876</v>
      </c>
      <c r="HQ33" s="1544">
        <v>8.2932978996978246</v>
      </c>
      <c r="HR33" s="1544">
        <v>11.094858823529416</v>
      </c>
      <c r="HS33" s="1544">
        <v>1.8205457832391649</v>
      </c>
      <c r="HT33" s="1544">
        <v>41.260099346405227</v>
      </c>
      <c r="HU33" s="1544">
        <v>6.3523655006372985</v>
      </c>
      <c r="HV33" s="1544">
        <v>42.156576470588242</v>
      </c>
      <c r="HW33" s="1943">
        <v>53.099348071427116</v>
      </c>
      <c r="HX33" s="1933">
        <v>26.695191764705889</v>
      </c>
      <c r="HY33" s="1544">
        <v>4.7344350072957635</v>
      </c>
      <c r="HZ33" s="1544">
        <v>18.029443137254905</v>
      </c>
      <c r="IA33" s="1544">
        <v>16.469460838037769</v>
      </c>
      <c r="IB33" s="1544">
        <v>20.651157594771245</v>
      </c>
      <c r="IC33" s="1544">
        <v>3.3913153826920932</v>
      </c>
      <c r="ID33" s="1544">
        <v>14.293886274509807</v>
      </c>
      <c r="IE33" s="1544">
        <v>10.07500576485481</v>
      </c>
      <c r="IF33" s="1544">
        <v>0</v>
      </c>
      <c r="IG33" s="1544">
        <v>0</v>
      </c>
      <c r="IH33" s="1544">
        <v>53.190992156862748</v>
      </c>
      <c r="II33" s="1943">
        <v>86.61516213226605</v>
      </c>
      <c r="IJ33" s="1933">
        <v>26.670893464052288</v>
      </c>
      <c r="IK33" s="1544">
        <v>10.694962112528227</v>
      </c>
      <c r="IL33" s="1544">
        <v>15.630309803921573</v>
      </c>
      <c r="IM33" s="1544">
        <v>8.6856725824321561</v>
      </c>
      <c r="IN33" s="1544">
        <v>20.835528104575161</v>
      </c>
      <c r="IO33" s="1544">
        <v>7.6556485823440772</v>
      </c>
      <c r="IP33" s="1544">
        <v>12.351619607843141</v>
      </c>
      <c r="IQ33" s="1544">
        <v>4.529605423567415</v>
      </c>
      <c r="IR33" s="1544">
        <v>40.096373856209148</v>
      </c>
      <c r="IS33" s="1544">
        <v>5.2801341130033155</v>
      </c>
      <c r="IT33" s="1544">
        <v>46.491525490196089</v>
      </c>
      <c r="IU33" s="1943">
        <v>65.078815527000245</v>
      </c>
      <c r="IV33" s="1933">
        <v>20.463530718954249</v>
      </c>
      <c r="IW33" s="1544">
        <v>8.0162968285521316E-2</v>
      </c>
      <c r="IX33" s="1544">
        <v>20.287450980392162</v>
      </c>
      <c r="IY33" s="1544">
        <v>12.222274941153644</v>
      </c>
      <c r="IZ33" s="1544">
        <v>15.787722875816993</v>
      </c>
      <c r="JA33" s="1544">
        <v>6.0096562717790979E-2</v>
      </c>
      <c r="JB33" s="1544">
        <v>16.121901960784321</v>
      </c>
      <c r="JC33" s="1544">
        <v>5.2554646269241356</v>
      </c>
      <c r="JD33" s="1544">
        <v>0</v>
      </c>
      <c r="JE33" s="1544">
        <v>0</v>
      </c>
      <c r="JF33" s="1544">
        <v>59.496372549019625</v>
      </c>
      <c r="JG33" s="1943">
        <v>94.286396422702097</v>
      </c>
      <c r="JH33" s="1933">
        <v>22.136143137254908</v>
      </c>
      <c r="JI33" s="1544">
        <v>6.2590080162473987</v>
      </c>
      <c r="JJ33" s="1544">
        <v>17.323815686274514</v>
      </c>
      <c r="JK33" s="1544">
        <v>14.819161088105631</v>
      </c>
      <c r="JL33" s="1544">
        <v>17.885949019607846</v>
      </c>
      <c r="JM33" s="1544">
        <v>4.4805062340248911</v>
      </c>
      <c r="JN33" s="1544">
        <v>13.722631372549023</v>
      </c>
      <c r="JO33" s="1544">
        <v>9.0195887174087073</v>
      </c>
      <c r="JP33" s="1544">
        <v>33.710407843137254</v>
      </c>
      <c r="JQ33" s="1544">
        <v>0.31882419953215724</v>
      </c>
      <c r="JR33" s="1544">
        <v>51.220560784313733</v>
      </c>
      <c r="JS33" s="1943">
        <v>80.117565132972615</v>
      </c>
      <c r="JT33" s="1933">
        <v>27.775783529411765</v>
      </c>
      <c r="JU33" s="1544">
        <v>5.6776629883611207</v>
      </c>
      <c r="JV33" s="1544">
        <v>18.24113137254902</v>
      </c>
      <c r="JW33" s="1544">
        <v>15.463036426723253</v>
      </c>
      <c r="JX33" s="1544">
        <v>21.423138457516345</v>
      </c>
      <c r="JY33" s="1544">
        <v>4.0649660801900795</v>
      </c>
      <c r="JZ33" s="1544">
        <v>14.465262745098045</v>
      </c>
      <c r="KA33" s="1544">
        <v>9.1650934358285756</v>
      </c>
      <c r="KB33" s="1544">
        <v>0</v>
      </c>
      <c r="KC33" s="1544">
        <v>0</v>
      </c>
      <c r="KD33" s="1544">
        <v>53.78212156862746</v>
      </c>
      <c r="KE33" s="1943">
        <v>83.692961285007897</v>
      </c>
      <c r="KF33" s="1933">
        <v>23.075646405228767</v>
      </c>
      <c r="KG33" s="1544">
        <v>1.6466417106233309</v>
      </c>
      <c r="KH33" s="1544">
        <v>18.593945098039217</v>
      </c>
      <c r="KI33" s="1544">
        <v>20.960424064219605</v>
      </c>
      <c r="KJ33" s="1544">
        <v>17.888304575163403</v>
      </c>
      <c r="KK33" s="1544">
        <v>1.182375987603187</v>
      </c>
      <c r="KL33" s="1544">
        <v>14.750890196078435</v>
      </c>
      <c r="KM33" s="1544">
        <v>13.247199226908894</v>
      </c>
      <c r="KN33" s="1544">
        <v>0</v>
      </c>
      <c r="KO33" s="1544">
        <v>0</v>
      </c>
      <c r="KP33" s="1544">
        <v>54.76733725490196</v>
      </c>
      <c r="KQ33" s="1943">
        <v>103.72556731790134</v>
      </c>
      <c r="KR33" s="1933">
        <v>26.747863398692811</v>
      </c>
      <c r="KS33" s="1544">
        <v>8.1535998160680982</v>
      </c>
      <c r="KT33" s="1544">
        <v>16.547625490196079</v>
      </c>
      <c r="KU33" s="1544">
        <v>10.742940739282423</v>
      </c>
      <c r="KV33" s="1544">
        <v>20.86944052287582</v>
      </c>
      <c r="KW33" s="1544">
        <v>5.8396175007840467</v>
      </c>
      <c r="KX33" s="1544">
        <v>13.094250980392161</v>
      </c>
      <c r="KY33" s="1544">
        <v>5.9211170956867321</v>
      </c>
      <c r="KZ33" s="1544">
        <v>40.167147712418299</v>
      </c>
      <c r="LA33" s="1544">
        <v>2.2971922100272826</v>
      </c>
      <c r="LB33" s="1544">
        <v>49.053086274509809</v>
      </c>
      <c r="LC33" s="1943">
        <v>67.875756985180814</v>
      </c>
      <c r="LD33" s="1933">
        <v>15.131932026143792</v>
      </c>
      <c r="LE33" s="1544">
        <v>0.205395935795325</v>
      </c>
      <c r="LF33" s="1544">
        <v>19.017321568627452</v>
      </c>
      <c r="LG33" s="1544">
        <v>17.858232594027843</v>
      </c>
      <c r="LH33" s="1544">
        <v>11.435627450980393</v>
      </c>
      <c r="LI33" s="1544">
        <v>0.14970730372101343</v>
      </c>
      <c r="LJ33" s="1544">
        <v>15.093643137254904</v>
      </c>
      <c r="LK33" s="1544">
        <v>9.6795766910360328</v>
      </c>
      <c r="LL33" s="1544">
        <v>0</v>
      </c>
      <c r="LM33" s="1544">
        <v>0</v>
      </c>
      <c r="LN33" s="1544">
        <v>55.949596078431384</v>
      </c>
      <c r="LO33" s="1943">
        <v>105.53866649751492</v>
      </c>
      <c r="LP33" s="1933">
        <v>25.357295686274519</v>
      </c>
      <c r="LQ33" s="1544">
        <v>4.2302434351859599</v>
      </c>
      <c r="LR33" s="1544">
        <v>19.229009803921574</v>
      </c>
      <c r="LS33" s="1544">
        <v>16.68904689272431</v>
      </c>
      <c r="LT33" s="1544">
        <v>20.097286535947717</v>
      </c>
      <c r="LU33" s="1544">
        <v>3.03087562985406</v>
      </c>
      <c r="LV33" s="1544">
        <v>15.265019607843142</v>
      </c>
      <c r="LW33" s="1544">
        <v>10.094911231543966</v>
      </c>
      <c r="LX33" s="1544">
        <v>0</v>
      </c>
      <c r="LY33" s="1544">
        <v>0</v>
      </c>
      <c r="LZ33" s="1544">
        <v>56.540725490196095</v>
      </c>
      <c r="MA33" s="1943">
        <v>88.307098360993621</v>
      </c>
      <c r="MB33" s="1933">
        <v>16.441867320261444</v>
      </c>
      <c r="MC33" s="1544">
        <v>0</v>
      </c>
      <c r="MD33" s="1544">
        <v>25.932470588235297</v>
      </c>
      <c r="ME33" s="1544">
        <v>22.739081992144634</v>
      </c>
      <c r="MF33" s="1544">
        <v>12.686436601307189</v>
      </c>
      <c r="MG33" s="1544">
        <v>0</v>
      </c>
      <c r="MH33" s="1544">
        <v>20.691941176470593</v>
      </c>
      <c r="MI33" s="1544">
        <v>10.850977660141206</v>
      </c>
      <c r="MJ33" s="1544">
        <v>0</v>
      </c>
      <c r="MK33" s="1544">
        <v>0</v>
      </c>
      <c r="ML33" s="1544">
        <v>75.25982352941179</v>
      </c>
      <c r="MM33" s="1943">
        <v>138.59584618223246</v>
      </c>
      <c r="MN33" s="1933">
        <v>14.417175163398699</v>
      </c>
      <c r="MO33" s="1544">
        <v>0</v>
      </c>
      <c r="MP33" s="1544">
        <v>21.204766666666671</v>
      </c>
      <c r="MQ33" s="1544">
        <v>21.91070615026015</v>
      </c>
      <c r="MR33" s="1544">
        <v>11.208628758169942</v>
      </c>
      <c r="MS33" s="1544">
        <v>0</v>
      </c>
      <c r="MT33" s="1544">
        <v>16.864533333333338</v>
      </c>
      <c r="MU33" s="1544">
        <v>11.6516985800958</v>
      </c>
      <c r="MV33" s="1544">
        <v>0</v>
      </c>
      <c r="MW33" s="1544">
        <v>0</v>
      </c>
      <c r="MX33" s="1544">
        <v>62.057933333333352</v>
      </c>
      <c r="MY33" s="1943">
        <v>132.84522277906001</v>
      </c>
      <c r="MZ33" s="1933">
        <v>21.986116993464059</v>
      </c>
      <c r="NA33" s="1544">
        <v>2.6057810950944575</v>
      </c>
      <c r="NB33" s="1544">
        <v>20.075762745098039</v>
      </c>
      <c r="NC33" s="1544">
        <v>16.370599126041078</v>
      </c>
      <c r="ND33" s="1544">
        <v>17.110069281045753</v>
      </c>
      <c r="NE33" s="1544">
        <v>1.8702417890724321</v>
      </c>
      <c r="NF33" s="1544">
        <v>15.950525490196082</v>
      </c>
      <c r="NG33" s="1544">
        <v>9.3967544235310623</v>
      </c>
      <c r="NH33" s="1544">
        <v>0</v>
      </c>
      <c r="NI33" s="1544">
        <v>0</v>
      </c>
      <c r="NJ33" s="1544">
        <v>58.905243137254914</v>
      </c>
      <c r="NK33" s="1943">
        <v>91.827949393498827</v>
      </c>
      <c r="NL33" s="1933">
        <v>23.109269934640526</v>
      </c>
      <c r="NM33" s="1544">
        <v>4.8129009786748496</v>
      </c>
      <c r="NN33" s="1544">
        <v>18.805633333333336</v>
      </c>
      <c r="NO33" s="1544">
        <v>18.024435630989753</v>
      </c>
      <c r="NP33" s="1544">
        <v>18.110035294117655</v>
      </c>
      <c r="NQ33" s="1544">
        <v>3.4472891640498702</v>
      </c>
      <c r="NR33" s="1544">
        <v>14.922266666666669</v>
      </c>
      <c r="NS33" s="1544">
        <v>11.172287544983099</v>
      </c>
      <c r="NT33" s="1544">
        <v>0</v>
      </c>
      <c r="NU33" s="1544">
        <v>0</v>
      </c>
      <c r="NV33" s="1544">
        <v>55.358466666666686</v>
      </c>
      <c r="NW33" s="1943">
        <v>90.905201664901341</v>
      </c>
      <c r="NX33" s="1933">
        <v>21.426768627450986</v>
      </c>
      <c r="NY33" s="1544">
        <v>5.2250428043691954E-2</v>
      </c>
      <c r="NZ33" s="1544">
        <v>21.980956862745103</v>
      </c>
      <c r="OA33" s="1544">
        <v>18.154457767303025</v>
      </c>
      <c r="OB33" s="1544">
        <v>16.724992156862751</v>
      </c>
      <c r="OC33" s="1544">
        <v>4.021190775808018E-2</v>
      </c>
      <c r="OD33" s="1544">
        <v>17.492913725490201</v>
      </c>
      <c r="OE33" s="1544">
        <v>9.389281651354505</v>
      </c>
      <c r="OF33" s="1544">
        <v>0</v>
      </c>
      <c r="OG33" s="1544">
        <v>0</v>
      </c>
      <c r="OH33" s="1544">
        <v>64.225407843137276</v>
      </c>
      <c r="OI33" s="1934">
        <v>108.64582564192685</v>
      </c>
      <c r="OJ33" s="1933">
        <v>24.799287581699353</v>
      </c>
      <c r="OK33" s="1544">
        <v>7.3108598257120052</v>
      </c>
      <c r="OL33" s="1544">
        <v>17.747192156862749</v>
      </c>
      <c r="OM33" s="1544">
        <v>13.060327062917176</v>
      </c>
      <c r="ON33" s="1544">
        <v>19.731159477124187</v>
      </c>
      <c r="OO33" s="1544">
        <v>5.2347801892052104</v>
      </c>
      <c r="OP33" s="1544">
        <v>14.065384313725495</v>
      </c>
      <c r="OQ33" s="1544">
        <v>7.0525875343231226</v>
      </c>
      <c r="OR33" s="1544">
        <v>37.246326797385628</v>
      </c>
      <c r="OS33" s="1544">
        <v>0.79290132874348374</v>
      </c>
      <c r="OT33" s="1544">
        <v>52.402819607843156</v>
      </c>
      <c r="OU33" s="1934">
        <v>76.093008940550263</v>
      </c>
      <c r="OV33" s="1933">
        <v>20.569856209150331</v>
      </c>
      <c r="OW33" s="1544">
        <v>0</v>
      </c>
      <c r="OX33" s="1544">
        <v>24.944592156862754</v>
      </c>
      <c r="OY33" s="1544">
        <v>22.558290965876335</v>
      </c>
      <c r="OZ33" s="1544">
        <v>16.050601307189545</v>
      </c>
      <c r="PA33" s="1544">
        <v>0</v>
      </c>
      <c r="PB33" s="1544">
        <v>19.892184313725494</v>
      </c>
      <c r="PC33" s="1544">
        <v>11.937454203684755</v>
      </c>
      <c r="PD33" s="1544">
        <v>0</v>
      </c>
      <c r="PE33" s="1544">
        <v>0</v>
      </c>
      <c r="PF33" s="1544">
        <v>72.501219607843154</v>
      </c>
      <c r="PG33" s="1934">
        <v>122.91253391626162</v>
      </c>
      <c r="PH33" s="1933">
        <v>26.090346274509809</v>
      </c>
      <c r="PI33" s="1544">
        <v>4.5405885689009908</v>
      </c>
      <c r="PJ33" s="1544">
        <v>19.017321568627452</v>
      </c>
      <c r="PK33" s="1544">
        <v>13.927726709343911</v>
      </c>
      <c r="PL33" s="1544">
        <v>20.792167843137257</v>
      </c>
      <c r="PM33" s="1544">
        <v>3.2528113419539784</v>
      </c>
      <c r="PN33" s="1544">
        <v>15.093643137254904</v>
      </c>
      <c r="PO33" s="1544">
        <v>7.9378432550580982</v>
      </c>
      <c r="PP33" s="1544">
        <v>0</v>
      </c>
      <c r="PQ33" s="1544">
        <v>0</v>
      </c>
      <c r="PR33" s="1544">
        <v>55.949596078431384</v>
      </c>
      <c r="PS33" s="1934">
        <v>79.843642272833435</v>
      </c>
      <c r="PT33" s="1933">
        <v>25.676655686274515</v>
      </c>
      <c r="PU33" s="1544">
        <v>4.8289058956500144</v>
      </c>
      <c r="PV33" s="1544">
        <v>18.664507843137258</v>
      </c>
      <c r="PW33" s="1544">
        <v>17.099864448286432</v>
      </c>
      <c r="PX33" s="1544">
        <v>19.924107032679743</v>
      </c>
      <c r="PY33" s="1544">
        <v>3.4586059486413285</v>
      </c>
      <c r="PZ33" s="1544">
        <v>14.808015686274514</v>
      </c>
      <c r="QA33" s="1544">
        <v>10.380866178348004</v>
      </c>
      <c r="QB33" s="1544">
        <v>0</v>
      </c>
      <c r="QC33" s="1544">
        <v>0</v>
      </c>
      <c r="QD33" s="1544">
        <v>54.964380392156869</v>
      </c>
      <c r="QE33" s="1934">
        <v>89.22005632201126</v>
      </c>
      <c r="QF33" s="1933">
        <v>13.501479084967324</v>
      </c>
      <c r="QG33" s="1544">
        <v>0</v>
      </c>
      <c r="QH33" s="1544">
        <v>21.34589215686275</v>
      </c>
      <c r="QI33" s="1544">
        <v>18.011979231387436</v>
      </c>
      <c r="QJ33" s="1544">
        <v>11.244069281045753</v>
      </c>
      <c r="QK33" s="1544">
        <v>0</v>
      </c>
      <c r="QL33" s="1544">
        <v>16.978784313725495</v>
      </c>
      <c r="QM33" s="1544">
        <v>8.451579869298401</v>
      </c>
      <c r="QN33" s="1544">
        <v>0</v>
      </c>
      <c r="QO33" s="1544">
        <v>0</v>
      </c>
      <c r="QP33" s="1544">
        <v>62.452019607843155</v>
      </c>
      <c r="QQ33" s="1934">
        <v>123.8574030194347</v>
      </c>
      <c r="QR33" s="1933">
        <v>25.140828627450986</v>
      </c>
      <c r="QS33" s="1544">
        <v>5.4237776043702723</v>
      </c>
      <c r="QT33" s="1544">
        <v>18.946758823529414</v>
      </c>
      <c r="QU33" s="1544">
        <v>15.644899448429189</v>
      </c>
      <c r="QV33" s="1544">
        <v>19.792858562091507</v>
      </c>
      <c r="QW33" s="1544">
        <v>3.8836190362182821</v>
      </c>
      <c r="QX33" s="1544">
        <v>15.036517647058826</v>
      </c>
      <c r="QY33" s="1544">
        <v>9.1850714633404671</v>
      </c>
      <c r="QZ33" s="1544">
        <v>0</v>
      </c>
      <c r="RA33" s="1544">
        <v>0</v>
      </c>
      <c r="RB33" s="1544">
        <v>55.752552941176475</v>
      </c>
      <c r="RC33" s="1934">
        <v>85.153371838464196</v>
      </c>
      <c r="RD33" s="1933">
        <v>26.152069934640526</v>
      </c>
      <c r="RE33" s="1544">
        <v>4.956276018563738</v>
      </c>
      <c r="RF33" s="1544">
        <v>18.805633333333336</v>
      </c>
      <c r="RG33" s="1544">
        <v>15.094722786649299</v>
      </c>
      <c r="RH33" s="1544">
        <v>20.464939869281043</v>
      </c>
      <c r="RI33" s="1544">
        <v>3.5496163321360896</v>
      </c>
      <c r="RJ33" s="1544">
        <v>14.922266666666669</v>
      </c>
      <c r="RK33" s="1544">
        <v>8.7736270676034351</v>
      </c>
      <c r="RL33" s="1544">
        <v>0</v>
      </c>
      <c r="RM33" s="1544">
        <v>0</v>
      </c>
      <c r="RN33" s="1544">
        <v>55.358466666666686</v>
      </c>
      <c r="RO33" s="1934">
        <v>83.958276475684798</v>
      </c>
    </row>
    <row r="34" spans="1:483">
      <c r="A34" s="634">
        <f>Eingabedaten!A36</f>
        <v>9.02</v>
      </c>
      <c r="B34" s="379" t="str">
        <f>Eingabedaten!C36</f>
        <v>Produktion (feine Arbeit)</v>
      </c>
      <c r="C34" s="1122"/>
      <c r="D34" s="1933">
        <v>23.756729411764709</v>
      </c>
      <c r="E34" s="1544">
        <v>0</v>
      </c>
      <c r="F34" s="1544">
        <v>22.827709803921572</v>
      </c>
      <c r="G34" s="1544">
        <v>11.566477223776312</v>
      </c>
      <c r="H34" s="1544">
        <v>20.560745098039217</v>
      </c>
      <c r="I34" s="1544">
        <v>0</v>
      </c>
      <c r="J34" s="1544">
        <v>18.178419607843143</v>
      </c>
      <c r="K34" s="1544">
        <v>5.5051468859793413</v>
      </c>
      <c r="L34" s="1544">
        <v>0</v>
      </c>
      <c r="M34" s="1544">
        <v>0</v>
      </c>
      <c r="N34" s="1544">
        <v>66.589925490196094</v>
      </c>
      <c r="O34" s="1943">
        <v>98.675680779466987</v>
      </c>
      <c r="P34" s="1933">
        <v>32.109201098039222</v>
      </c>
      <c r="Q34" s="1544">
        <v>4.5833148448831569</v>
      </c>
      <c r="R34" s="1544">
        <v>19.511260784313727</v>
      </c>
      <c r="S34" s="1544">
        <v>12.000891709059671</v>
      </c>
      <c r="T34" s="1544">
        <v>25.573949333333339</v>
      </c>
      <c r="U34" s="1544">
        <v>3.2876237438527758</v>
      </c>
      <c r="V34" s="1544">
        <v>15.493521568627454</v>
      </c>
      <c r="W34" s="1544">
        <v>7.2889238577363482</v>
      </c>
      <c r="X34" s="1544">
        <v>0</v>
      </c>
      <c r="Y34" s="1544">
        <v>0</v>
      </c>
      <c r="Z34" s="1544">
        <v>57.328898039215701</v>
      </c>
      <c r="AA34" s="1943">
        <v>74.275357162852032</v>
      </c>
      <c r="AB34" s="1933">
        <v>27.961554509803925</v>
      </c>
      <c r="AC34" s="1544">
        <v>2.788138799809833</v>
      </c>
      <c r="AD34" s="1544">
        <v>19.581823529411771</v>
      </c>
      <c r="AE34" s="1544">
        <v>14.526408336567298</v>
      </c>
      <c r="AF34" s="1544">
        <v>26.706986352941179</v>
      </c>
      <c r="AG34" s="1544">
        <v>1.9912425310022093</v>
      </c>
      <c r="AH34" s="1544">
        <v>15.550647058823534</v>
      </c>
      <c r="AI34" s="1544">
        <v>9.4852204707316439</v>
      </c>
      <c r="AJ34" s="1544">
        <v>0</v>
      </c>
      <c r="AK34" s="1544">
        <v>0</v>
      </c>
      <c r="AL34" s="1544">
        <v>57.52594117647061</v>
      </c>
      <c r="AM34" s="1943">
        <v>81.429621614030779</v>
      </c>
      <c r="AN34" s="1933">
        <v>33.432869254901966</v>
      </c>
      <c r="AO34" s="1544">
        <v>6.5528835518436734</v>
      </c>
      <c r="AP34" s="1544">
        <v>20.216888235294121</v>
      </c>
      <c r="AQ34" s="1544">
        <v>10.346210860407442</v>
      </c>
      <c r="AR34" s="1544">
        <v>26.583536313725492</v>
      </c>
      <c r="AS34" s="1544">
        <v>4.7086094932472147</v>
      </c>
      <c r="AT34" s="1544">
        <v>16.064776470588239</v>
      </c>
      <c r="AU34" s="1544">
        <v>5.9935183150156579</v>
      </c>
      <c r="AV34" s="1544">
        <v>54.007717647058826</v>
      </c>
      <c r="AW34" s="1544">
        <v>0.39407288617990194</v>
      </c>
      <c r="AX34" s="1544">
        <v>59.299329411764724</v>
      </c>
      <c r="AY34" s="1943">
        <v>67.966585939415396</v>
      </c>
      <c r="AZ34" s="1933">
        <v>30.73578956862746</v>
      </c>
      <c r="BA34" s="1544">
        <v>4.7614763581595492</v>
      </c>
      <c r="BB34" s="1544">
        <v>20.851952941176474</v>
      </c>
      <c r="BC34" s="1544">
        <v>12.750138990133761</v>
      </c>
      <c r="BD34" s="1544">
        <v>25.123265254901959</v>
      </c>
      <c r="BE34" s="1544">
        <v>3.3914120848858129</v>
      </c>
      <c r="BF34" s="1544">
        <v>16.578905882352945</v>
      </c>
      <c r="BG34" s="1544">
        <v>7.5312901306505919</v>
      </c>
      <c r="BH34" s="1544">
        <v>0</v>
      </c>
      <c r="BI34" s="1544">
        <v>0</v>
      </c>
      <c r="BJ34" s="1544">
        <v>61.072717647058838</v>
      </c>
      <c r="BK34" s="1943">
        <v>79.25478453943694</v>
      </c>
      <c r="BL34" s="1933">
        <v>30.68114321568628</v>
      </c>
      <c r="BM34" s="1544">
        <v>4.9866978554327153</v>
      </c>
      <c r="BN34" s="1544">
        <v>20.640264705882359</v>
      </c>
      <c r="BO34" s="1544">
        <v>14.444235524096763</v>
      </c>
      <c r="BP34" s="1544">
        <v>25.200112627450984</v>
      </c>
      <c r="BQ34" s="1544">
        <v>3.5698486455083396</v>
      </c>
      <c r="BR34" s="1544">
        <v>16.407529411764713</v>
      </c>
      <c r="BS34" s="1544">
        <v>9.3040158728917142</v>
      </c>
      <c r="BT34" s="1544">
        <v>0</v>
      </c>
      <c r="BU34" s="1544">
        <v>0</v>
      </c>
      <c r="BV34" s="1544">
        <v>60.48158823529414</v>
      </c>
      <c r="BW34" s="1943">
        <v>81.07051983748562</v>
      </c>
      <c r="BX34" s="1933">
        <v>30.753083450980395</v>
      </c>
      <c r="BY34" s="1544">
        <v>3.5106506560660753</v>
      </c>
      <c r="BZ34" s="1544">
        <v>20.710827450980393</v>
      </c>
      <c r="CA34" s="1544">
        <v>10.265817649398446</v>
      </c>
      <c r="CB34" s="1544">
        <v>25.211008156862746</v>
      </c>
      <c r="CC34" s="1544">
        <v>2.503755926539811</v>
      </c>
      <c r="CD34" s="1544">
        <v>16.464654901960788</v>
      </c>
      <c r="CE34" s="1544">
        <v>5.556939824411991</v>
      </c>
      <c r="CF34" s="1544">
        <v>0</v>
      </c>
      <c r="CG34" s="1544">
        <v>0</v>
      </c>
      <c r="CH34" s="1544">
        <v>60.678631372549027</v>
      </c>
      <c r="CI34" s="1943">
        <v>72.966986755939459</v>
      </c>
      <c r="CJ34" s="1933">
        <v>22.642000000000003</v>
      </c>
      <c r="CK34" s="1544">
        <v>0</v>
      </c>
      <c r="CL34" s="1544">
        <v>24.874029411764713</v>
      </c>
      <c r="CM34" s="1544">
        <v>13.849626033417694</v>
      </c>
      <c r="CN34" s="1544">
        <v>18.62029411764706</v>
      </c>
      <c r="CO34" s="1544">
        <v>0</v>
      </c>
      <c r="CP34" s="1544">
        <v>19.835058823529415</v>
      </c>
      <c r="CQ34" s="1544">
        <v>6.6215966399300594</v>
      </c>
      <c r="CR34" s="1544">
        <v>0</v>
      </c>
      <c r="CS34" s="1544">
        <v>0</v>
      </c>
      <c r="CT34" s="1544">
        <v>72.30417647058826</v>
      </c>
      <c r="CU34" s="1943">
        <v>110.14147485910539</v>
      </c>
      <c r="CV34" s="1933">
        <v>29.564336313725491</v>
      </c>
      <c r="CW34" s="1544">
        <v>1.3376467837228468E-2</v>
      </c>
      <c r="CX34" s="1544">
        <v>22.474896078431374</v>
      </c>
      <c r="CY34" s="1544">
        <v>10.513342460853865</v>
      </c>
      <c r="CZ34" s="1544">
        <v>24.274173960784314</v>
      </c>
      <c r="DA34" s="1544">
        <v>0</v>
      </c>
      <c r="DB34" s="1544">
        <v>17.89279215686275</v>
      </c>
      <c r="DC34" s="1544">
        <v>5.0604846523908504</v>
      </c>
      <c r="DD34" s="1544">
        <v>0</v>
      </c>
      <c r="DE34" s="1544">
        <v>0</v>
      </c>
      <c r="DF34" s="1544">
        <v>65.60470980392158</v>
      </c>
      <c r="DG34" s="1943">
        <v>89.233630374229023</v>
      </c>
      <c r="DH34" s="1933">
        <v>30.046610745098043</v>
      </c>
      <c r="DI34" s="1544">
        <v>0</v>
      </c>
      <c r="DJ34" s="1544">
        <v>23.533337254901969</v>
      </c>
      <c r="DK34" s="1544">
        <v>18.394308293181592</v>
      </c>
      <c r="DL34" s="1544">
        <v>24.012310117647061</v>
      </c>
      <c r="DM34" s="1544">
        <v>0</v>
      </c>
      <c r="DN34" s="1544">
        <v>18.749674509803924</v>
      </c>
      <c r="DO34" s="1544">
        <v>11.50150302060165</v>
      </c>
      <c r="DP34" s="1544">
        <v>0</v>
      </c>
      <c r="DQ34" s="1544">
        <v>0</v>
      </c>
      <c r="DR34" s="1544">
        <v>68.560356862745124</v>
      </c>
      <c r="DS34" s="1943">
        <v>105.5820270227925</v>
      </c>
      <c r="DT34" s="1933">
        <v>31.909025803921573</v>
      </c>
      <c r="DU34" s="1544">
        <v>7.5445495638614046</v>
      </c>
      <c r="DV34" s="1544">
        <v>18.593945098039217</v>
      </c>
      <c r="DW34" s="1544">
        <v>9.8509681563317901</v>
      </c>
      <c r="DX34" s="1544">
        <v>26.042657254901961</v>
      </c>
      <c r="DY34" s="1544">
        <v>5.3660827670647313</v>
      </c>
      <c r="DZ34" s="1544">
        <v>14.750890196078435</v>
      </c>
      <c r="EA34" s="1544">
        <v>5.6995863651292984</v>
      </c>
      <c r="EB34" s="1544">
        <v>51.613647058823531</v>
      </c>
      <c r="EC34" s="1544">
        <v>1.877996432266331</v>
      </c>
      <c r="ED34" s="1544">
        <v>54.76733725490196</v>
      </c>
      <c r="EE34" s="1943">
        <v>65.730089449601508</v>
      </c>
      <c r="EF34" s="1933">
        <v>30.461044549019611</v>
      </c>
      <c r="EG34" s="1544">
        <v>1.7577985659194202</v>
      </c>
      <c r="EH34" s="1544">
        <v>21.416454901960783</v>
      </c>
      <c r="EI34" s="1544">
        <v>19.063221271439676</v>
      </c>
      <c r="EJ34" s="1544">
        <v>25.0159057254902</v>
      </c>
      <c r="EK34" s="1544">
        <v>1.2234935008386749</v>
      </c>
      <c r="EL34" s="1544">
        <v>17.035909803921573</v>
      </c>
      <c r="EM34" s="1544">
        <v>12.622720511207232</v>
      </c>
      <c r="EN34" s="1544">
        <v>0</v>
      </c>
      <c r="EO34" s="1544">
        <v>0</v>
      </c>
      <c r="EP34" s="1544">
        <v>62.64906274509805</v>
      </c>
      <c r="EQ34" s="1943">
        <v>96.477405419463878</v>
      </c>
      <c r="ER34" s="1933">
        <v>19.669352941176474</v>
      </c>
      <c r="ES34" s="1544">
        <v>0</v>
      </c>
      <c r="ET34" s="1544">
        <v>26.496972549019613</v>
      </c>
      <c r="EU34" s="1544">
        <v>17.424692698411064</v>
      </c>
      <c r="EV34" s="1544">
        <v>17.362725490196077</v>
      </c>
      <c r="EW34" s="1544">
        <v>0</v>
      </c>
      <c r="EX34" s="1544">
        <v>21.148945098039217</v>
      </c>
      <c r="EY34" s="1544">
        <v>8.9480448549249108</v>
      </c>
      <c r="EZ34" s="1544">
        <v>0</v>
      </c>
      <c r="FA34" s="1544">
        <v>0</v>
      </c>
      <c r="FB34" s="1544">
        <v>76.836168627450988</v>
      </c>
      <c r="FC34" s="1943">
        <v>131.99523249056901</v>
      </c>
      <c r="FD34" s="1933">
        <v>29.890161019607849</v>
      </c>
      <c r="FE34" s="1544">
        <v>4.5870836962723613</v>
      </c>
      <c r="FF34" s="1544">
        <v>20.569701960784318</v>
      </c>
      <c r="FG34" s="1544">
        <v>14.51019341001232</v>
      </c>
      <c r="FH34" s="1544">
        <v>24.543671686274514</v>
      </c>
      <c r="FI34" s="1544">
        <v>3.2668075483419425</v>
      </c>
      <c r="FJ34" s="1544">
        <v>16.350403921568631</v>
      </c>
      <c r="FK34" s="1544">
        <v>9.2650612077018444</v>
      </c>
      <c r="FL34" s="1544">
        <v>0</v>
      </c>
      <c r="FM34" s="1544">
        <v>0</v>
      </c>
      <c r="FN34" s="1544">
        <v>60.284545098039231</v>
      </c>
      <c r="FO34" s="1943">
        <v>82.138395712445302</v>
      </c>
      <c r="FP34" s="1933">
        <v>28.499277254901966</v>
      </c>
      <c r="FQ34" s="1544">
        <v>2.9555729231394037</v>
      </c>
      <c r="FR34" s="1544">
        <v>20.569701960784318</v>
      </c>
      <c r="FS34" s="1544">
        <v>14.459839666365207</v>
      </c>
      <c r="FT34" s="1544">
        <v>23.503294901960786</v>
      </c>
      <c r="FU34" s="1544">
        <v>2.0849907827858059</v>
      </c>
      <c r="FV34" s="1544">
        <v>16.350403921568631</v>
      </c>
      <c r="FW34" s="1544">
        <v>8.8589482381288995</v>
      </c>
      <c r="FX34" s="1544">
        <v>0</v>
      </c>
      <c r="FY34" s="1544">
        <v>0</v>
      </c>
      <c r="FZ34" s="1544">
        <v>60.284545098039231</v>
      </c>
      <c r="GA34" s="1943">
        <v>85.219612283473765</v>
      </c>
      <c r="GB34" s="1933">
        <v>27.93525733333334</v>
      </c>
      <c r="GC34" s="1544">
        <v>0.55839034316035296</v>
      </c>
      <c r="GD34" s="1544">
        <v>22.333770588235296</v>
      </c>
      <c r="GE34" s="1544">
        <v>12.5566702818333</v>
      </c>
      <c r="GF34" s="1544">
        <v>23.35741176470588</v>
      </c>
      <c r="GG34" s="1544">
        <v>0.33053270347212543</v>
      </c>
      <c r="GH34" s="1544">
        <v>17.778541176470593</v>
      </c>
      <c r="GI34" s="1544">
        <v>6.610643771374388</v>
      </c>
      <c r="GJ34" s="1544">
        <v>0</v>
      </c>
      <c r="GK34" s="1544">
        <v>0</v>
      </c>
      <c r="GL34" s="1544">
        <v>65.210623529411777</v>
      </c>
      <c r="GM34" s="1943">
        <v>92.53622124928755</v>
      </c>
      <c r="GN34" s="1933">
        <v>27.876376470588237</v>
      </c>
      <c r="GO34" s="1544">
        <v>0</v>
      </c>
      <c r="GP34" s="1544">
        <v>22.404333333333341</v>
      </c>
      <c r="GQ34" s="1544">
        <v>16.626360496373263</v>
      </c>
      <c r="GR34" s="1544">
        <v>22.466529411764707</v>
      </c>
      <c r="GS34" s="1544">
        <v>0</v>
      </c>
      <c r="GT34" s="1544">
        <v>17.835666666666672</v>
      </c>
      <c r="GU34" s="1544">
        <v>9.7569860437240656</v>
      </c>
      <c r="GV34" s="1544">
        <v>0</v>
      </c>
      <c r="GW34" s="1544">
        <v>0</v>
      </c>
      <c r="GX34" s="1544">
        <v>65.407666666666685</v>
      </c>
      <c r="GY34" s="1943">
        <v>104.24132913133158</v>
      </c>
      <c r="GZ34" s="1933">
        <v>30.134239529411769</v>
      </c>
      <c r="HA34" s="1544">
        <v>9.8870512271877544</v>
      </c>
      <c r="HB34" s="1544">
        <v>16.547625490196079</v>
      </c>
      <c r="HC34" s="1544">
        <v>4.1137841936372102</v>
      </c>
      <c r="HD34" s="1544">
        <v>24.980730509803923</v>
      </c>
      <c r="HE34" s="1544">
        <v>7.1272719516469678</v>
      </c>
      <c r="HF34" s="1544">
        <v>13.094250980392161</v>
      </c>
      <c r="HG34" s="1544">
        <v>1.8552220046173908</v>
      </c>
      <c r="HH34" s="1544">
        <v>47.33209411764706</v>
      </c>
      <c r="HI34" s="1544">
        <v>4.7210054349738249</v>
      </c>
      <c r="HJ34" s="1544">
        <v>49.053086274509809</v>
      </c>
      <c r="HK34" s="1943">
        <v>50.710411183864558</v>
      </c>
      <c r="HL34" s="1933">
        <v>32.061063058823535</v>
      </c>
      <c r="HM34" s="1544">
        <v>10.675636632191784</v>
      </c>
      <c r="HN34" s="1544">
        <v>16.194811764705882</v>
      </c>
      <c r="HO34" s="1544">
        <v>3.2230408986979753</v>
      </c>
      <c r="HP34" s="1544">
        <v>26.094150901960784</v>
      </c>
      <c r="HQ34" s="1544">
        <v>7.702243832821873</v>
      </c>
      <c r="HR34" s="1544">
        <v>12.808623529411769</v>
      </c>
      <c r="HS34" s="1544">
        <v>1.2605571175202714</v>
      </c>
      <c r="HT34" s="1544">
        <v>50.37044705882353</v>
      </c>
      <c r="HU34" s="1544">
        <v>5.611752033464291</v>
      </c>
      <c r="HV34" s="1544">
        <v>48.067870588235301</v>
      </c>
      <c r="HW34" s="1943">
        <v>49.158751757978727</v>
      </c>
      <c r="HX34" s="1933">
        <v>32.003162901960792</v>
      </c>
      <c r="HY34" s="1544">
        <v>4.4062336240580171</v>
      </c>
      <c r="HZ34" s="1544">
        <v>20.14632549019608</v>
      </c>
      <c r="IA34" s="1544">
        <v>13.905369978848308</v>
      </c>
      <c r="IB34" s="1544">
        <v>25.542072313725495</v>
      </c>
      <c r="IC34" s="1544">
        <v>3.1564585207945788</v>
      </c>
      <c r="ID34" s="1544">
        <v>16.00765098039216</v>
      </c>
      <c r="IE34" s="1544">
        <v>8.8215485365630499</v>
      </c>
      <c r="IF34" s="1544">
        <v>0</v>
      </c>
      <c r="IG34" s="1544">
        <v>0</v>
      </c>
      <c r="IH34" s="1544">
        <v>59.102286274509815</v>
      </c>
      <c r="II34" s="1943">
        <v>80.261517575341813</v>
      </c>
      <c r="IJ34" s="1933">
        <v>30.899102901960788</v>
      </c>
      <c r="IK34" s="1544">
        <v>9.8386800728944426</v>
      </c>
      <c r="IL34" s="1544">
        <v>17.747192156862749</v>
      </c>
      <c r="IM34" s="1544">
        <v>6.8613197007832554</v>
      </c>
      <c r="IN34" s="1544">
        <v>25.577501803921571</v>
      </c>
      <c r="IO34" s="1544">
        <v>7.0950604455290067</v>
      </c>
      <c r="IP34" s="1544">
        <v>14.065384313725495</v>
      </c>
      <c r="IQ34" s="1544">
        <v>3.6498900784842414</v>
      </c>
      <c r="IR34" s="1544">
        <v>48.991576470588242</v>
      </c>
      <c r="IS34" s="1544">
        <v>4.6087384682169121</v>
      </c>
      <c r="IT34" s="1544">
        <v>52.402819607843156</v>
      </c>
      <c r="IU34" s="1943">
        <v>60.097827685652383</v>
      </c>
      <c r="IV34" s="1933">
        <v>29.795729411764707</v>
      </c>
      <c r="IW34" s="1544">
        <v>0.33181221695567981</v>
      </c>
      <c r="IX34" s="1544">
        <v>22.404333333333341</v>
      </c>
      <c r="IY34" s="1544">
        <v>9.0913925361578478</v>
      </c>
      <c r="IZ34" s="1544">
        <v>24.582431372549021</v>
      </c>
      <c r="JA34" s="1544">
        <v>0.15680284546021697</v>
      </c>
      <c r="JB34" s="1544">
        <v>17.835666666666672</v>
      </c>
      <c r="JC34" s="1544">
        <v>3.8824678153367103</v>
      </c>
      <c r="JD34" s="1544">
        <v>0</v>
      </c>
      <c r="JE34" s="1544">
        <v>0</v>
      </c>
      <c r="JF34" s="1544">
        <v>65.407666666666685</v>
      </c>
      <c r="JG34" s="1943">
        <v>84.661915692957777</v>
      </c>
      <c r="JH34" s="1933">
        <v>28.330258274509809</v>
      </c>
      <c r="JI34" s="1544">
        <v>5.7903486406833222</v>
      </c>
      <c r="JJ34" s="1544">
        <v>19.44069803921569</v>
      </c>
      <c r="JK34" s="1544">
        <v>12.544681624726993</v>
      </c>
      <c r="JL34" s="1544">
        <v>23.601933333333331</v>
      </c>
      <c r="JM34" s="1544">
        <v>4.1687353847605575</v>
      </c>
      <c r="JN34" s="1544">
        <v>15.436396078431375</v>
      </c>
      <c r="JO34" s="1544">
        <v>7.8966500241033222</v>
      </c>
      <c r="JP34" s="1544">
        <v>43.975600000000007</v>
      </c>
      <c r="JQ34" s="1544">
        <v>0.19654799616432289</v>
      </c>
      <c r="JR34" s="1544">
        <v>57.131854901960793</v>
      </c>
      <c r="JS34" s="1943">
        <v>74.282770645084426</v>
      </c>
      <c r="JT34" s="1933">
        <v>31.794162666666669</v>
      </c>
      <c r="JU34" s="1544">
        <v>5.4053255793440771</v>
      </c>
      <c r="JV34" s="1544">
        <v>20.358013725490199</v>
      </c>
      <c r="JW34" s="1544">
        <v>12.954726156378712</v>
      </c>
      <c r="JX34" s="1544">
        <v>25.59658650980392</v>
      </c>
      <c r="JY34" s="1544">
        <v>3.8607000087225498</v>
      </c>
      <c r="JZ34" s="1544">
        <v>16.179027450980396</v>
      </c>
      <c r="KA34" s="1544">
        <v>7.914686346248061</v>
      </c>
      <c r="KB34" s="1544">
        <v>0</v>
      </c>
      <c r="KC34" s="1544">
        <v>0</v>
      </c>
      <c r="KD34" s="1544">
        <v>59.69341568627452</v>
      </c>
      <c r="KE34" s="1943">
        <v>77.148950662125245</v>
      </c>
      <c r="KF34" s="1933">
        <v>30.264570431372558</v>
      </c>
      <c r="KG34" s="1544">
        <v>1.5926479765350532</v>
      </c>
      <c r="KH34" s="1544">
        <v>20.710827450980393</v>
      </c>
      <c r="KI34" s="1544">
        <v>17.764035243424871</v>
      </c>
      <c r="KJ34" s="1544">
        <v>24.259183843137254</v>
      </c>
      <c r="KK34" s="1544">
        <v>1.1156526791303303</v>
      </c>
      <c r="KL34" s="1544">
        <v>16.464654901960788</v>
      </c>
      <c r="KM34" s="1544">
        <v>11.684565614962874</v>
      </c>
      <c r="KN34" s="1544">
        <v>0</v>
      </c>
      <c r="KO34" s="1544">
        <v>0</v>
      </c>
      <c r="KP34" s="1544">
        <v>60.678631372549027</v>
      </c>
      <c r="KQ34" s="1943">
        <v>95.644592738682846</v>
      </c>
      <c r="KR34" s="1933">
        <v>30.434925725490199</v>
      </c>
      <c r="KS34" s="1544">
        <v>7.813546501477842</v>
      </c>
      <c r="KT34" s="1544">
        <v>18.664507843137258</v>
      </c>
      <c r="KU34" s="1544">
        <v>8.8231893908139245</v>
      </c>
      <c r="KV34" s="1544">
        <v>24.451024627450984</v>
      </c>
      <c r="KW34" s="1544">
        <v>5.5617132396158571</v>
      </c>
      <c r="KX34" s="1544">
        <v>14.808015686274514</v>
      </c>
      <c r="KY34" s="1544">
        <v>4.9560624238471576</v>
      </c>
      <c r="KZ34" s="1544">
        <v>47.599364705882365</v>
      </c>
      <c r="LA34" s="1544">
        <v>1.9603493734428066</v>
      </c>
      <c r="LB34" s="1544">
        <v>54.964380392156869</v>
      </c>
      <c r="LC34" s="1943">
        <v>62.574440258758166</v>
      </c>
      <c r="LD34" s="1933">
        <v>25.783952941176473</v>
      </c>
      <c r="LE34" s="1544">
        <v>0.24908409735697054</v>
      </c>
      <c r="LF34" s="1544">
        <v>21.134203921568631</v>
      </c>
      <c r="LG34" s="1544">
        <v>14.33330948687636</v>
      </c>
      <c r="LH34" s="1544">
        <v>21.097000000000001</v>
      </c>
      <c r="LI34" s="1544">
        <v>0.15505236390619823</v>
      </c>
      <c r="LJ34" s="1544">
        <v>16.807407843137259</v>
      </c>
      <c r="LK34" s="1544">
        <v>8.0230871660991152</v>
      </c>
      <c r="LL34" s="1544">
        <v>0</v>
      </c>
      <c r="LM34" s="1544">
        <v>0</v>
      </c>
      <c r="LN34" s="1544">
        <v>61.860890196078444</v>
      </c>
      <c r="LO34" s="1943">
        <v>96.887565042270438</v>
      </c>
      <c r="LP34" s="1933">
        <v>31.258535058823536</v>
      </c>
      <c r="LQ34" s="1544">
        <v>4.1045204564705875</v>
      </c>
      <c r="LR34" s="1544">
        <v>21.34589215686275</v>
      </c>
      <c r="LS34" s="1544">
        <v>14.025407628094388</v>
      </c>
      <c r="LT34" s="1544">
        <v>25.599038588235295</v>
      </c>
      <c r="LU34" s="1544">
        <v>2.9068947757191022</v>
      </c>
      <c r="LV34" s="1544">
        <v>16.978784313725495</v>
      </c>
      <c r="LW34" s="1544">
        <v>8.7988263281997234</v>
      </c>
      <c r="LX34" s="1544">
        <v>0</v>
      </c>
      <c r="LY34" s="1544">
        <v>0</v>
      </c>
      <c r="LZ34" s="1544">
        <v>62.452019607843155</v>
      </c>
      <c r="MA34" s="1943">
        <v>81.599345723227856</v>
      </c>
      <c r="MB34" s="1933">
        <v>26.484288235294123</v>
      </c>
      <c r="MC34" s="1544">
        <v>0</v>
      </c>
      <c r="MD34" s="1544">
        <v>28.04935294117648</v>
      </c>
      <c r="ME34" s="1544">
        <v>17.336700615130436</v>
      </c>
      <c r="MF34" s="1544">
        <v>21.596254901960783</v>
      </c>
      <c r="MG34" s="1544">
        <v>0</v>
      </c>
      <c r="MH34" s="1544">
        <v>22.405705882352947</v>
      </c>
      <c r="MI34" s="1544">
        <v>8.3886566238832341</v>
      </c>
      <c r="MJ34" s="1544">
        <v>0</v>
      </c>
      <c r="MK34" s="1544">
        <v>0</v>
      </c>
      <c r="ML34" s="1544">
        <v>81.17111764705885</v>
      </c>
      <c r="MM34" s="1943">
        <v>123.97005689474456</v>
      </c>
      <c r="MN34" s="1933">
        <v>25.043094117647069</v>
      </c>
      <c r="MO34" s="1544">
        <v>0</v>
      </c>
      <c r="MP34" s="1544">
        <v>23.321649019607847</v>
      </c>
      <c r="MQ34" s="1544">
        <v>17.384107656281028</v>
      </c>
      <c r="MR34" s="1544">
        <v>20.451588235294125</v>
      </c>
      <c r="MS34" s="1544">
        <v>0</v>
      </c>
      <c r="MT34" s="1544">
        <v>18.578298039215689</v>
      </c>
      <c r="MU34" s="1544">
        <v>9.5607196097379479</v>
      </c>
      <c r="MV34" s="1544">
        <v>0</v>
      </c>
      <c r="MW34" s="1544">
        <v>0</v>
      </c>
      <c r="MX34" s="1544">
        <v>67.969227450980412</v>
      </c>
      <c r="MY34" s="1943">
        <v>120.66592073186474</v>
      </c>
      <c r="MZ34" s="1933">
        <v>29.072817647058823</v>
      </c>
      <c r="NA34" s="1544">
        <v>2.6829925533440786</v>
      </c>
      <c r="NB34" s="1544">
        <v>22.192645098039218</v>
      </c>
      <c r="NC34" s="1544">
        <v>13.477988739786744</v>
      </c>
      <c r="ND34" s="1544">
        <v>24.162921568627453</v>
      </c>
      <c r="NE34" s="1544">
        <v>1.8573866634382354</v>
      </c>
      <c r="NF34" s="1544">
        <v>17.664290196078436</v>
      </c>
      <c r="NG34" s="1544">
        <v>8.0086546705511292</v>
      </c>
      <c r="NH34" s="1544">
        <v>0</v>
      </c>
      <c r="NI34" s="1544">
        <v>0</v>
      </c>
      <c r="NJ34" s="1544">
        <v>64.816537254901974</v>
      </c>
      <c r="NK34" s="1943">
        <v>84.38615509111365</v>
      </c>
      <c r="NL34" s="1933">
        <v>28.742865960784318</v>
      </c>
      <c r="NM34" s="1544">
        <v>4.5337230830185344</v>
      </c>
      <c r="NN34" s="1544">
        <v>20.922515686274515</v>
      </c>
      <c r="NO34" s="1544">
        <v>15.248417249585131</v>
      </c>
      <c r="NP34" s="1544">
        <v>23.649294117647056</v>
      </c>
      <c r="NQ34" s="1544">
        <v>3.2392772815092821</v>
      </c>
      <c r="NR34" s="1544">
        <v>16.636031372549024</v>
      </c>
      <c r="NS34" s="1544">
        <v>9.8193596216230077</v>
      </c>
      <c r="NT34" s="1544">
        <v>0</v>
      </c>
      <c r="NU34" s="1544">
        <v>0</v>
      </c>
      <c r="NV34" s="1544">
        <v>61.269760784313746</v>
      </c>
      <c r="NW34" s="1943">
        <v>84.251456431687942</v>
      </c>
      <c r="NX34" s="1933">
        <v>29.799094117647062</v>
      </c>
      <c r="NY34" s="1544">
        <v>0.16662361821112012</v>
      </c>
      <c r="NZ34" s="1544">
        <v>24.097839215686278</v>
      </c>
      <c r="OA34" s="1544">
        <v>14.289522046583482</v>
      </c>
      <c r="OB34" s="1544">
        <v>24.128113098039215</v>
      </c>
      <c r="OC34" s="1544">
        <v>8.4263682364878648E-2</v>
      </c>
      <c r="OD34" s="1544">
        <v>19.206678431372552</v>
      </c>
      <c r="OE34" s="1544">
        <v>7.6124826222613384</v>
      </c>
      <c r="OF34" s="1544">
        <v>0</v>
      </c>
      <c r="OG34" s="1544">
        <v>0</v>
      </c>
      <c r="OH34" s="1544">
        <v>70.136701960784336</v>
      </c>
      <c r="OI34" s="1934">
        <v>98.309056662345881</v>
      </c>
      <c r="OJ34" s="1933">
        <v>29.873356941176475</v>
      </c>
      <c r="OK34" s="1544">
        <v>6.9157587367010462</v>
      </c>
      <c r="OL34" s="1544">
        <v>19.864074509803928</v>
      </c>
      <c r="OM34" s="1544">
        <v>10.601518487502569</v>
      </c>
      <c r="ON34" s="1544">
        <v>24.538767529411764</v>
      </c>
      <c r="OO34" s="1544">
        <v>4.9447111084784208</v>
      </c>
      <c r="OP34" s="1544">
        <v>15.779149019607846</v>
      </c>
      <c r="OQ34" s="1544">
        <v>5.8429910599269874</v>
      </c>
      <c r="OR34" s="1544">
        <v>46.746847058823533</v>
      </c>
      <c r="OS34" s="1544">
        <v>0.64755251791344803</v>
      </c>
      <c r="OT34" s="1544">
        <v>58.314113725490209</v>
      </c>
      <c r="OU34" s="1934">
        <v>69.822810916574269</v>
      </c>
      <c r="OV34" s="1933">
        <v>28.751334901960789</v>
      </c>
      <c r="OW34" s="1544">
        <v>0</v>
      </c>
      <c r="OX34" s="1544">
        <v>27.061474509803929</v>
      </c>
      <c r="OY34" s="1544">
        <v>17.923932034723332</v>
      </c>
      <c r="OZ34" s="1544">
        <v>23.632723137254903</v>
      </c>
      <c r="PA34" s="1544">
        <v>0</v>
      </c>
      <c r="PB34" s="1544">
        <v>21.605949019607849</v>
      </c>
      <c r="PC34" s="1544">
        <v>9.6983983640167573</v>
      </c>
      <c r="PD34" s="1544">
        <v>0</v>
      </c>
      <c r="PE34" s="1544">
        <v>0</v>
      </c>
      <c r="PF34" s="1544">
        <v>78.412513725490214</v>
      </c>
      <c r="PG34" s="1934">
        <v>110.55680940788486</v>
      </c>
      <c r="PH34" s="1933">
        <v>32.109378745098041</v>
      </c>
      <c r="PI34" s="1544">
        <v>4.2406611971055588</v>
      </c>
      <c r="PJ34" s="1544">
        <v>21.134203921568631</v>
      </c>
      <c r="PK34" s="1544">
        <v>11.522409337974917</v>
      </c>
      <c r="PL34" s="1544">
        <v>26.230403450980393</v>
      </c>
      <c r="PM34" s="1544">
        <v>3.0334371658251098</v>
      </c>
      <c r="PN34" s="1544">
        <v>16.807407843137259</v>
      </c>
      <c r="PO34" s="1544">
        <v>6.7532526036297273</v>
      </c>
      <c r="PP34" s="1544">
        <v>0</v>
      </c>
      <c r="PQ34" s="1544">
        <v>0</v>
      </c>
      <c r="PR34" s="1544">
        <v>61.860890196078444</v>
      </c>
      <c r="PS34" s="1934">
        <v>73.802068630546174</v>
      </c>
      <c r="PT34" s="1933">
        <v>30.623377568627454</v>
      </c>
      <c r="PU34" s="1544">
        <v>4.6267974827961336</v>
      </c>
      <c r="PV34" s="1544">
        <v>20.781390196078434</v>
      </c>
      <c r="PW34" s="1544">
        <v>14.377552554989364</v>
      </c>
      <c r="PX34" s="1544">
        <v>25.118361098039216</v>
      </c>
      <c r="PY34" s="1544">
        <v>3.2927968708572082</v>
      </c>
      <c r="PZ34" s="1544">
        <v>16.521780392156867</v>
      </c>
      <c r="QA34" s="1544">
        <v>9.0516400103770795</v>
      </c>
      <c r="QB34" s="1544">
        <v>0</v>
      </c>
      <c r="QC34" s="1544">
        <v>0</v>
      </c>
      <c r="QD34" s="1544">
        <v>60.875674509803929</v>
      </c>
      <c r="QE34" s="1934">
        <v>82.347796946080663</v>
      </c>
      <c r="QF34" s="1933">
        <v>23.782300000000006</v>
      </c>
      <c r="QG34" s="1544">
        <v>0</v>
      </c>
      <c r="QH34" s="1544">
        <v>23.462774509803928</v>
      </c>
      <c r="QI34" s="1544">
        <v>13.656538103241516</v>
      </c>
      <c r="QJ34" s="1544">
        <v>19.841588235294122</v>
      </c>
      <c r="QK34" s="1544">
        <v>0</v>
      </c>
      <c r="QL34" s="1544">
        <v>18.692549019607846</v>
      </c>
      <c r="QM34" s="1544">
        <v>6.5354736274089706</v>
      </c>
      <c r="QN34" s="1544">
        <v>0</v>
      </c>
      <c r="QO34" s="1544">
        <v>0</v>
      </c>
      <c r="QP34" s="1544">
        <v>68.363313725490215</v>
      </c>
      <c r="QQ34" s="1934">
        <v>112.21338168615451</v>
      </c>
      <c r="QR34" s="1933">
        <v>30.902044549019607</v>
      </c>
      <c r="QS34" s="1544">
        <v>5.1516682115745365</v>
      </c>
      <c r="QT34" s="1544">
        <v>21.06364117647059</v>
      </c>
      <c r="QU34" s="1544">
        <v>13.040345237267312</v>
      </c>
      <c r="QV34" s="1544">
        <v>25.330905725490197</v>
      </c>
      <c r="QW34" s="1544">
        <v>3.6794778251198541</v>
      </c>
      <c r="QX34" s="1544">
        <v>16.750282352941181</v>
      </c>
      <c r="QY34" s="1544">
        <v>7.9031688621594238</v>
      </c>
      <c r="QZ34" s="1544">
        <v>0</v>
      </c>
      <c r="RA34" s="1544">
        <v>0</v>
      </c>
      <c r="RB34" s="1544">
        <v>61.663847058823535</v>
      </c>
      <c r="RC34" s="1934">
        <v>78.538092594709966</v>
      </c>
      <c r="RD34" s="1933">
        <v>30.230337960784318</v>
      </c>
      <c r="RE34" s="1544">
        <v>4.732962097128123</v>
      </c>
      <c r="RF34" s="1544">
        <v>20.922515686274515</v>
      </c>
      <c r="RG34" s="1544">
        <v>12.552226055744933</v>
      </c>
      <c r="RH34" s="1544">
        <v>24.62405835294118</v>
      </c>
      <c r="RI34" s="1544">
        <v>3.3721952400254853</v>
      </c>
      <c r="RJ34" s="1544">
        <v>16.636031372549024</v>
      </c>
      <c r="RK34" s="1544">
        <v>7.5203829961795101</v>
      </c>
      <c r="RL34" s="1544">
        <v>0</v>
      </c>
      <c r="RM34" s="1544">
        <v>0</v>
      </c>
      <c r="RN34" s="1544">
        <v>61.269760784313746</v>
      </c>
      <c r="RO34" s="1934">
        <v>77.428060286991681</v>
      </c>
    </row>
    <row r="35" spans="1:483">
      <c r="A35" s="638">
        <f>Eingabedaten!A37</f>
        <v>9.0299999999999994</v>
      </c>
      <c r="B35" s="387" t="str">
        <f>Eingabedaten!C37</f>
        <v>Laborraum</v>
      </c>
      <c r="C35" s="387"/>
      <c r="D35" s="1933">
        <v>32.815547338935573</v>
      </c>
      <c r="E35" s="1544">
        <v>0</v>
      </c>
      <c r="F35" s="1544">
        <v>28.608922128851539</v>
      </c>
      <c r="G35" s="1544">
        <v>18.430197388212601</v>
      </c>
      <c r="H35" s="1544">
        <v>28.95838655462185</v>
      </c>
      <c r="I35" s="1544">
        <v>0</v>
      </c>
      <c r="J35" s="1544">
        <v>21.555561904761905</v>
      </c>
      <c r="K35" s="1544">
        <v>9.1858467513382323</v>
      </c>
      <c r="L35" s="1544">
        <v>0</v>
      </c>
      <c r="M35" s="1544">
        <v>0</v>
      </c>
      <c r="N35" s="1544">
        <v>78.771750140056014</v>
      </c>
      <c r="O35" s="1943">
        <v>142.74369121913568</v>
      </c>
      <c r="P35" s="1933">
        <v>45.946223507002806</v>
      </c>
      <c r="Q35" s="1544">
        <v>4.9133628207858493</v>
      </c>
      <c r="R35" s="1544">
        <v>24.488825770308125</v>
      </c>
      <c r="S35" s="1544">
        <v>19.765530692130721</v>
      </c>
      <c r="T35" s="1544">
        <v>35.501061378151263</v>
      </c>
      <c r="U35" s="1544">
        <v>2.9658963695252196</v>
      </c>
      <c r="V35" s="1544">
        <v>18.393580952380955</v>
      </c>
      <c r="W35" s="1544">
        <v>12.509058739932156</v>
      </c>
      <c r="X35" s="1544">
        <v>0</v>
      </c>
      <c r="Y35" s="1544">
        <v>0</v>
      </c>
      <c r="Z35" s="1544">
        <v>67.837628011204487</v>
      </c>
      <c r="AA35" s="1943">
        <v>109.60022860016001</v>
      </c>
      <c r="AB35" s="1933">
        <v>39.07029960784314</v>
      </c>
      <c r="AC35" s="1544">
        <v>2.2056633123419691</v>
      </c>
      <c r="AD35" s="1544">
        <v>24.576487394957987</v>
      </c>
      <c r="AE35" s="1544">
        <v>24.12253775015666</v>
      </c>
      <c r="AF35" s="1544">
        <v>36.573676638655463</v>
      </c>
      <c r="AG35" s="1544">
        <v>1.2187550117807955</v>
      </c>
      <c r="AH35" s="1544">
        <v>18.460857142857147</v>
      </c>
      <c r="AI35" s="1544">
        <v>16.246334953461101</v>
      </c>
      <c r="AJ35" s="1544">
        <v>0</v>
      </c>
      <c r="AK35" s="1544">
        <v>0</v>
      </c>
      <c r="AL35" s="1544">
        <v>68.070268907563033</v>
      </c>
      <c r="AM35" s="1943">
        <v>121.30261229520087</v>
      </c>
      <c r="AN35" s="1933">
        <v>47.777170375350153</v>
      </c>
      <c r="AO35" s="1544">
        <v>8.0265826874102295</v>
      </c>
      <c r="AP35" s="1544">
        <v>25.365442016806725</v>
      </c>
      <c r="AQ35" s="1544">
        <v>17.167338798954031</v>
      </c>
      <c r="AR35" s="1544">
        <v>36.885911663865549</v>
      </c>
      <c r="AS35" s="1544">
        <v>5.2097985222810035</v>
      </c>
      <c r="AT35" s="1544">
        <v>19.06634285714286</v>
      </c>
      <c r="AU35" s="1544">
        <v>10.476405744863742</v>
      </c>
      <c r="AV35" s="1544">
        <v>76.67886610644257</v>
      </c>
      <c r="AW35" s="1544">
        <v>2.2644699854147039E-2</v>
      </c>
      <c r="AX35" s="1544">
        <v>70.164036974789923</v>
      </c>
      <c r="AY35" s="1943">
        <v>100.11956717125135</v>
      </c>
      <c r="AZ35" s="1933">
        <v>43.651790969187687</v>
      </c>
      <c r="BA35" s="1544">
        <v>5.374077073558035</v>
      </c>
      <c r="BB35" s="1544">
        <v>26.154396638655463</v>
      </c>
      <c r="BC35" s="1544">
        <v>20.63232154612859</v>
      </c>
      <c r="BD35" s="1544">
        <v>33.874343798319337</v>
      </c>
      <c r="BE35" s="1544">
        <v>3.2615191979532137</v>
      </c>
      <c r="BF35" s="1544">
        <v>19.671828571428573</v>
      </c>
      <c r="BG35" s="1544">
        <v>12.654853387190093</v>
      </c>
      <c r="BH35" s="1544">
        <v>0</v>
      </c>
      <c r="BI35" s="1544">
        <v>0</v>
      </c>
      <c r="BJ35" s="1544">
        <v>72.257805042016813</v>
      </c>
      <c r="BK35" s="1943">
        <v>116.03090470961925</v>
      </c>
      <c r="BL35" s="1933">
        <v>42.064963943977595</v>
      </c>
      <c r="BM35" s="1544">
        <v>5.6146844195706986</v>
      </c>
      <c r="BN35" s="1544">
        <v>25.891411764705886</v>
      </c>
      <c r="BO35" s="1544">
        <v>23.672930812919411</v>
      </c>
      <c r="BP35" s="1544">
        <v>33.922315831932778</v>
      </c>
      <c r="BQ35" s="1544">
        <v>3.458421002273222</v>
      </c>
      <c r="BR35" s="1544">
        <v>19.470000000000006</v>
      </c>
      <c r="BS35" s="1544">
        <v>15.716587221287099</v>
      </c>
      <c r="BT35" s="1544">
        <v>0</v>
      </c>
      <c r="BU35" s="1544">
        <v>0</v>
      </c>
      <c r="BV35" s="1544">
        <v>71.559882352941187</v>
      </c>
      <c r="BW35" s="1943">
        <v>119.84023916036492</v>
      </c>
      <c r="BX35" s="1933">
        <v>42.39092938935574</v>
      </c>
      <c r="BY35" s="1544">
        <v>3.2900081109603612</v>
      </c>
      <c r="BZ35" s="1544">
        <v>25.979073389355744</v>
      </c>
      <c r="CA35" s="1544">
        <v>16.761547481952071</v>
      </c>
      <c r="CB35" s="1544">
        <v>33.567279865546219</v>
      </c>
      <c r="CC35" s="1544">
        <v>1.7889705585789004</v>
      </c>
      <c r="CD35" s="1544">
        <v>19.537276190476195</v>
      </c>
      <c r="CE35" s="1544">
        <v>9.5530004272506694</v>
      </c>
      <c r="CF35" s="1544">
        <v>0</v>
      </c>
      <c r="CG35" s="1544">
        <v>0</v>
      </c>
      <c r="CH35" s="1544">
        <v>71.79252324929972</v>
      </c>
      <c r="CI35" s="1943">
        <v>106.79588138740195</v>
      </c>
      <c r="CJ35" s="1933">
        <v>31.638857142857155</v>
      </c>
      <c r="CK35" s="1544">
        <v>0</v>
      </c>
      <c r="CL35" s="1544">
        <v>31.15110924369748</v>
      </c>
      <c r="CM35" s="1544">
        <v>21.194170637560674</v>
      </c>
      <c r="CN35" s="1544">
        <v>25.026218487394967</v>
      </c>
      <c r="CO35" s="1544">
        <v>0</v>
      </c>
      <c r="CP35" s="1544">
        <v>23.506571428571434</v>
      </c>
      <c r="CQ35" s="1544">
        <v>10.420445886869571</v>
      </c>
      <c r="CR35" s="1544">
        <v>0</v>
      </c>
      <c r="CS35" s="1544">
        <v>0</v>
      </c>
      <c r="CT35" s="1544">
        <v>85.51833613445379</v>
      </c>
      <c r="CU35" s="1943">
        <v>156.17354290449205</v>
      </c>
      <c r="CV35" s="1933">
        <v>40.901893736694682</v>
      </c>
      <c r="CW35" s="1544">
        <v>0</v>
      </c>
      <c r="CX35" s="1544">
        <v>28.170614005602239</v>
      </c>
      <c r="CY35" s="1544">
        <v>16.780124169027832</v>
      </c>
      <c r="CZ35" s="1544">
        <v>32.398272000000006</v>
      </c>
      <c r="DA35" s="1544">
        <v>0</v>
      </c>
      <c r="DB35" s="1544">
        <v>21.21918095238096</v>
      </c>
      <c r="DC35" s="1544">
        <v>8.4685074623496224</v>
      </c>
      <c r="DD35" s="1544">
        <v>0</v>
      </c>
      <c r="DE35" s="1544">
        <v>0</v>
      </c>
      <c r="DF35" s="1544">
        <v>77.608545658263296</v>
      </c>
      <c r="DG35" s="1943">
        <v>128.53779641343596</v>
      </c>
      <c r="DH35" s="1933">
        <v>43.047881053221296</v>
      </c>
      <c r="DI35" s="1544">
        <v>0</v>
      </c>
      <c r="DJ35" s="1544">
        <v>29.485538375350139</v>
      </c>
      <c r="DK35" s="1544">
        <v>29.482324720510139</v>
      </c>
      <c r="DL35" s="1544">
        <v>33.321351529411771</v>
      </c>
      <c r="DM35" s="1544">
        <v>0</v>
      </c>
      <c r="DN35" s="1544">
        <v>22.228323809523815</v>
      </c>
      <c r="DO35" s="1544">
        <v>18.87826944329516</v>
      </c>
      <c r="DP35" s="1544">
        <v>0</v>
      </c>
      <c r="DQ35" s="1544">
        <v>0</v>
      </c>
      <c r="DR35" s="1544">
        <v>81.098159103641478</v>
      </c>
      <c r="DS35" s="1943">
        <v>154.59460555370987</v>
      </c>
      <c r="DT35" s="1933">
        <v>45.358766700280114</v>
      </c>
      <c r="DU35" s="1544">
        <v>9.2384809552497611</v>
      </c>
      <c r="DV35" s="1544">
        <v>23.349224649859945</v>
      </c>
      <c r="DW35" s="1544">
        <v>16.369041734107803</v>
      </c>
      <c r="DX35" s="1544">
        <v>35.142263394957979</v>
      </c>
      <c r="DY35" s="1544">
        <v>6.1040331851459326</v>
      </c>
      <c r="DZ35" s="1544">
        <v>17.518990476190481</v>
      </c>
      <c r="EA35" s="1544">
        <v>9.9927056552676614</v>
      </c>
      <c r="EB35" s="1544">
        <v>72.835567507002793</v>
      </c>
      <c r="EC35" s="1544">
        <v>1.5472681268417106</v>
      </c>
      <c r="ED35" s="1544">
        <v>64.813296358543425</v>
      </c>
      <c r="EE35" s="1943">
        <v>96.583919071379427</v>
      </c>
      <c r="EF35" s="1933">
        <v>41.844627182072827</v>
      </c>
      <c r="EG35" s="1544">
        <v>1.1262642170909014</v>
      </c>
      <c r="EH35" s="1544">
        <v>26.85568963585434</v>
      </c>
      <c r="EI35" s="1544">
        <v>31.321120951675464</v>
      </c>
      <c r="EJ35" s="1544">
        <v>33.193281075630253</v>
      </c>
      <c r="EK35" s="1544">
        <v>0.41555431517161445</v>
      </c>
      <c r="EL35" s="1544">
        <v>20.210038095238097</v>
      </c>
      <c r="EM35" s="1544">
        <v>21.383740488671254</v>
      </c>
      <c r="EN35" s="1544">
        <v>0</v>
      </c>
      <c r="EO35" s="1544">
        <v>0</v>
      </c>
      <c r="EP35" s="1544">
        <v>74.118932212885156</v>
      </c>
      <c r="EQ35" s="1943">
        <v>143.71337030825882</v>
      </c>
      <c r="ER35" s="1933">
        <v>31.033756862745101</v>
      </c>
      <c r="ES35" s="1544">
        <v>0</v>
      </c>
      <c r="ET35" s="1544">
        <v>33.167326610644253</v>
      </c>
      <c r="EU35" s="1544">
        <v>26.208659438856557</v>
      </c>
      <c r="EV35" s="1544">
        <v>26.347092436974791</v>
      </c>
      <c r="EW35" s="1544">
        <v>0</v>
      </c>
      <c r="EX35" s="1544">
        <v>25.053923809523813</v>
      </c>
      <c r="EY35" s="1544">
        <v>13.768468160588887</v>
      </c>
      <c r="EZ35" s="1544">
        <v>0</v>
      </c>
      <c r="FA35" s="1544">
        <v>0</v>
      </c>
      <c r="FB35" s="1544">
        <v>90.869076750700287</v>
      </c>
      <c r="FC35" s="1943">
        <v>183.03639702482698</v>
      </c>
      <c r="FD35" s="1933">
        <v>42.514436929972007</v>
      </c>
      <c r="FE35" s="1544">
        <v>5.0896318738557218</v>
      </c>
      <c r="FF35" s="1544">
        <v>25.803750140056025</v>
      </c>
      <c r="FG35" s="1544">
        <v>23.678020240931488</v>
      </c>
      <c r="FH35" s="1544">
        <v>33.00518830252102</v>
      </c>
      <c r="FI35" s="1544">
        <v>3.0582893840984195</v>
      </c>
      <c r="FJ35" s="1544">
        <v>19.402723809523813</v>
      </c>
      <c r="FK35" s="1544">
        <v>15.581347066645709</v>
      </c>
      <c r="FL35" s="1544">
        <v>0</v>
      </c>
      <c r="FM35" s="1544">
        <v>0</v>
      </c>
      <c r="FN35" s="1544">
        <v>71.327241456582641</v>
      </c>
      <c r="FO35" s="1943">
        <v>121.00905889280406</v>
      </c>
      <c r="FP35" s="1933">
        <v>40.129814140056034</v>
      </c>
      <c r="FQ35" s="1544">
        <v>2.6505642885966019</v>
      </c>
      <c r="FR35" s="1544">
        <v>25.803750140056025</v>
      </c>
      <c r="FS35" s="1544">
        <v>23.427252548679679</v>
      </c>
      <c r="FT35" s="1544">
        <v>31.253235092436981</v>
      </c>
      <c r="FU35" s="1544">
        <v>1.5128141181271479</v>
      </c>
      <c r="FV35" s="1544">
        <v>19.402723809523813</v>
      </c>
      <c r="FW35" s="1544">
        <v>14.788652665905502</v>
      </c>
      <c r="FX35" s="1544">
        <v>0</v>
      </c>
      <c r="FY35" s="1544">
        <v>0</v>
      </c>
      <c r="FZ35" s="1544">
        <v>71.327241456582641</v>
      </c>
      <c r="GA35" s="1943">
        <v>125.26305376961081</v>
      </c>
      <c r="GB35" s="1933">
        <v>39.401242084033612</v>
      </c>
      <c r="GC35" s="1544">
        <v>4.4341729565250766E-2</v>
      </c>
      <c r="GD35" s="1544">
        <v>27.995290756302524</v>
      </c>
      <c r="GE35" s="1544">
        <v>20.027305885951883</v>
      </c>
      <c r="GF35" s="1544">
        <v>30.700392336134456</v>
      </c>
      <c r="GG35" s="1544">
        <v>0</v>
      </c>
      <c r="GH35" s="1544">
        <v>21.084628571428578</v>
      </c>
      <c r="GI35" s="1544">
        <v>10.952202278489878</v>
      </c>
      <c r="GJ35" s="1544">
        <v>0</v>
      </c>
      <c r="GK35" s="1544">
        <v>0</v>
      </c>
      <c r="GL35" s="1544">
        <v>77.143263865546217</v>
      </c>
      <c r="GM35" s="1943">
        <v>133.80100628971502</v>
      </c>
      <c r="GN35" s="1933">
        <v>39.96376022408964</v>
      </c>
      <c r="GO35" s="1544">
        <v>0</v>
      </c>
      <c r="GP35" s="1544">
        <v>28.082952380952381</v>
      </c>
      <c r="GQ35" s="1544">
        <v>26.668263649491671</v>
      </c>
      <c r="GR35" s="1544">
        <v>31.04860504201681</v>
      </c>
      <c r="GS35" s="1544">
        <v>0</v>
      </c>
      <c r="GT35" s="1544">
        <v>21.151904761904767</v>
      </c>
      <c r="GU35" s="1544">
        <v>16.10035481586177</v>
      </c>
      <c r="GV35" s="1544">
        <v>0</v>
      </c>
      <c r="GW35" s="1544">
        <v>0</v>
      </c>
      <c r="GX35" s="1544">
        <v>77.375904761904778</v>
      </c>
      <c r="GY35" s="1943">
        <v>151.84142693288959</v>
      </c>
      <c r="GZ35" s="1933">
        <v>42.121600717086835</v>
      </c>
      <c r="HA35" s="1544">
        <v>11.564136126462531</v>
      </c>
      <c r="HB35" s="1544">
        <v>20.807037535014008</v>
      </c>
      <c r="HC35" s="1544">
        <v>7.6607551405833991</v>
      </c>
      <c r="HD35" s="1544">
        <v>34.7405316302521</v>
      </c>
      <c r="HE35" s="1544">
        <v>7.6008568976252615</v>
      </c>
      <c r="HF35" s="1544">
        <v>15.567980952380957</v>
      </c>
      <c r="HG35" s="1544">
        <v>3.9420865857272926</v>
      </c>
      <c r="HH35" s="1544">
        <v>65.589100280112049</v>
      </c>
      <c r="HI35" s="1544">
        <v>5.4954922555996264</v>
      </c>
      <c r="HJ35" s="1544">
        <v>58.066710364145663</v>
      </c>
      <c r="HK35" s="1943">
        <v>74.968683606981031</v>
      </c>
      <c r="HL35" s="1933">
        <v>46.041390789915965</v>
      </c>
      <c r="HM35" s="1544">
        <v>12.766980859197652</v>
      </c>
      <c r="HN35" s="1544">
        <v>20.368729411764708</v>
      </c>
      <c r="HO35" s="1544">
        <v>6.2213407655408659</v>
      </c>
      <c r="HP35" s="1544">
        <v>35.528495327731093</v>
      </c>
      <c r="HQ35" s="1544">
        <v>8.5019165098926024</v>
      </c>
      <c r="HR35" s="1544">
        <v>15.231600000000004</v>
      </c>
      <c r="HS35" s="1544">
        <v>2.9086747928655909</v>
      </c>
      <c r="HT35" s="1544">
        <v>71.383018487394963</v>
      </c>
      <c r="HU35" s="1544">
        <v>6.8342018793001751</v>
      </c>
      <c r="HV35" s="1544">
        <v>56.903505882352945</v>
      </c>
      <c r="HW35" s="1943">
        <v>72.521846260413142</v>
      </c>
      <c r="HX35" s="1933">
        <v>45.547211921568632</v>
      </c>
      <c r="HY35" s="1544">
        <v>4.6581072806329749</v>
      </c>
      <c r="HZ35" s="1544">
        <v>25.277780392156863</v>
      </c>
      <c r="IA35" s="1544">
        <v>22.778609057995904</v>
      </c>
      <c r="IB35" s="1544">
        <v>35.268758588235301</v>
      </c>
      <c r="IC35" s="1544">
        <v>2.7769010960468545</v>
      </c>
      <c r="ID35" s="1544">
        <v>18.999066666666671</v>
      </c>
      <c r="IE35" s="1544">
        <v>14.923471459382892</v>
      </c>
      <c r="IF35" s="1544">
        <v>0</v>
      </c>
      <c r="IG35" s="1544">
        <v>0</v>
      </c>
      <c r="IH35" s="1544">
        <v>69.931396078431376</v>
      </c>
      <c r="II35" s="1943">
        <v>118.58836801404622</v>
      </c>
      <c r="IJ35" s="1933">
        <v>43.812630677871148</v>
      </c>
      <c r="IK35" s="1544">
        <v>11.468234484774262</v>
      </c>
      <c r="IL35" s="1544">
        <v>22.297285154061626</v>
      </c>
      <c r="IM35" s="1544">
        <v>11.688355648775138</v>
      </c>
      <c r="IN35" s="1544">
        <v>35.491347361344545</v>
      </c>
      <c r="IO35" s="1544">
        <v>7.6021554902643134</v>
      </c>
      <c r="IP35" s="1544">
        <v>16.711676190476194</v>
      </c>
      <c r="IQ35" s="1544">
        <v>6.6426834199252136</v>
      </c>
      <c r="IR35" s="1544">
        <v>68.684620728291321</v>
      </c>
      <c r="IS35" s="1544">
        <v>5.3353133560696042</v>
      </c>
      <c r="IT35" s="1544">
        <v>62.021605602240896</v>
      </c>
      <c r="IU35" s="1943">
        <v>88.35779175698832</v>
      </c>
      <c r="IV35" s="1933">
        <v>41.350104201680672</v>
      </c>
      <c r="IW35" s="1544">
        <v>0</v>
      </c>
      <c r="IX35" s="1544">
        <v>28.082952380952381</v>
      </c>
      <c r="IY35" s="1544">
        <v>14.275945400676648</v>
      </c>
      <c r="IZ35" s="1544">
        <v>32.806924369747904</v>
      </c>
      <c r="JA35" s="1544">
        <v>0</v>
      </c>
      <c r="JB35" s="1544">
        <v>21.151904761904767</v>
      </c>
      <c r="JC35" s="1544">
        <v>6.4779851364520109</v>
      </c>
      <c r="JD35" s="1544">
        <v>0</v>
      </c>
      <c r="JE35" s="1544">
        <v>0</v>
      </c>
      <c r="JF35" s="1544">
        <v>77.375904761904778</v>
      </c>
      <c r="JG35" s="1943">
        <v>120.20114144966354</v>
      </c>
      <c r="JH35" s="1933">
        <v>38.82853270588236</v>
      </c>
      <c r="JI35" s="1544">
        <v>6.7469385325523978</v>
      </c>
      <c r="JJ35" s="1544">
        <v>24.401164145658264</v>
      </c>
      <c r="JK35" s="1544">
        <v>20.710350436138381</v>
      </c>
      <c r="JL35" s="1544">
        <v>31.680842218487395</v>
      </c>
      <c r="JM35" s="1544">
        <v>4.3026008843825831</v>
      </c>
      <c r="JN35" s="1544">
        <v>18.326304761904765</v>
      </c>
      <c r="JO35" s="1544">
        <v>13.547668524125051</v>
      </c>
      <c r="JP35" s="1544">
        <v>0</v>
      </c>
      <c r="JQ35" s="1544">
        <v>0</v>
      </c>
      <c r="JR35" s="1544">
        <v>67.60498711484594</v>
      </c>
      <c r="JS35" s="1943">
        <v>109.78657097846538</v>
      </c>
      <c r="JT35" s="1933">
        <v>45.298115047619049</v>
      </c>
      <c r="JU35" s="1544">
        <v>6.3572686476837434</v>
      </c>
      <c r="JV35" s="1544">
        <v>25.540765266106444</v>
      </c>
      <c r="JW35" s="1544">
        <v>21.041297964150527</v>
      </c>
      <c r="JX35" s="1544">
        <v>35.050098016806729</v>
      </c>
      <c r="JY35" s="1544">
        <v>3.9771933402773469</v>
      </c>
      <c r="JZ35" s="1544">
        <v>19.200895238095242</v>
      </c>
      <c r="KA35" s="1544">
        <v>13.345541555303605</v>
      </c>
      <c r="KB35" s="1544">
        <v>0</v>
      </c>
      <c r="KC35" s="1544">
        <v>0</v>
      </c>
      <c r="KD35" s="1544">
        <v>70.629318767507002</v>
      </c>
      <c r="KE35" s="1943">
        <v>113.12412300394953</v>
      </c>
      <c r="KF35" s="1933">
        <v>43.646997602240901</v>
      </c>
      <c r="KG35" s="1544">
        <v>1.0948487370584401</v>
      </c>
      <c r="KH35" s="1544">
        <v>25.979073389355744</v>
      </c>
      <c r="KI35" s="1544">
        <v>28.765406619644128</v>
      </c>
      <c r="KJ35" s="1544">
        <v>33.692532168067231</v>
      </c>
      <c r="KK35" s="1544">
        <v>0.37108218883176292</v>
      </c>
      <c r="KL35" s="1544">
        <v>19.537276190476195</v>
      </c>
      <c r="KM35" s="1544">
        <v>19.40358089700948</v>
      </c>
      <c r="KN35" s="1544">
        <v>0</v>
      </c>
      <c r="KO35" s="1544">
        <v>0</v>
      </c>
      <c r="KP35" s="1544">
        <v>71.79252324929972</v>
      </c>
      <c r="KQ35" s="1943">
        <v>140.58048517049053</v>
      </c>
      <c r="KR35" s="1933">
        <v>43.403848694677876</v>
      </c>
      <c r="KS35" s="1544">
        <v>9.2698308465332921</v>
      </c>
      <c r="KT35" s="1544">
        <v>23.436886274509806</v>
      </c>
      <c r="KU35" s="1544">
        <v>14.844795991964023</v>
      </c>
      <c r="KV35" s="1544">
        <v>33.64048242016807</v>
      </c>
      <c r="KW35" s="1544">
        <v>6.1247858283255887</v>
      </c>
      <c r="KX35" s="1544">
        <v>17.58626666666667</v>
      </c>
      <c r="KY35" s="1544">
        <v>8.8599833064870133</v>
      </c>
      <c r="KZ35" s="1544">
        <v>67.517992156862761</v>
      </c>
      <c r="LA35" s="1544">
        <v>1.6817219083543231</v>
      </c>
      <c r="LB35" s="1544">
        <v>65.045937254901958</v>
      </c>
      <c r="LC35" s="1943">
        <v>92.085552380149707</v>
      </c>
      <c r="LD35" s="1933">
        <v>36.217196638655459</v>
      </c>
      <c r="LE35" s="1544">
        <v>0</v>
      </c>
      <c r="LF35" s="1544">
        <v>26.505043137254905</v>
      </c>
      <c r="LG35" s="1544">
        <v>23.001973476507384</v>
      </c>
      <c r="LH35" s="1544">
        <v>28.537075630252101</v>
      </c>
      <c r="LI35" s="1544">
        <v>0</v>
      </c>
      <c r="LJ35" s="1544">
        <v>19.940933333333337</v>
      </c>
      <c r="LK35" s="1544">
        <v>13.299250629585575</v>
      </c>
      <c r="LL35" s="1544">
        <v>0</v>
      </c>
      <c r="LM35" s="1544">
        <v>0</v>
      </c>
      <c r="LN35" s="1544">
        <v>73.188368627450984</v>
      </c>
      <c r="LO35" s="1943">
        <v>141.30700814078031</v>
      </c>
      <c r="LP35" s="1933">
        <v>43.540677915966398</v>
      </c>
      <c r="LQ35" s="1544">
        <v>4.4119464155665558</v>
      </c>
      <c r="LR35" s="1544">
        <v>26.768028011204485</v>
      </c>
      <c r="LS35" s="1544">
        <v>22.901804499592316</v>
      </c>
      <c r="LT35" s="1544">
        <v>34.427037042016813</v>
      </c>
      <c r="LU35" s="1544">
        <v>2.5525238719797825</v>
      </c>
      <c r="LV35" s="1544">
        <v>20.142761904761908</v>
      </c>
      <c r="LW35" s="1544">
        <v>14.837952732286299</v>
      </c>
      <c r="LX35" s="1544">
        <v>0</v>
      </c>
      <c r="LY35" s="1544">
        <v>0</v>
      </c>
      <c r="LZ35" s="1544">
        <v>73.886291316526609</v>
      </c>
      <c r="MA35" s="1943">
        <v>120.18705377152243</v>
      </c>
      <c r="MB35" s="1933">
        <v>38.839670588235307</v>
      </c>
      <c r="MC35" s="1544">
        <v>0</v>
      </c>
      <c r="MD35" s="1544">
        <v>35.095882352941175</v>
      </c>
      <c r="ME35" s="1544">
        <v>25.753372887337985</v>
      </c>
      <c r="MF35" s="1544">
        <v>29.744403361344546</v>
      </c>
      <c r="MG35" s="1544">
        <v>0</v>
      </c>
      <c r="MH35" s="1544">
        <v>26.534000000000006</v>
      </c>
      <c r="MI35" s="1544">
        <v>12.630350559187923</v>
      </c>
      <c r="MJ35" s="1544">
        <v>0</v>
      </c>
      <c r="MK35" s="1544">
        <v>0</v>
      </c>
      <c r="ML35" s="1544">
        <v>95.987176470588253</v>
      </c>
      <c r="MM35" s="1943">
        <v>174.45711095189137</v>
      </c>
      <c r="MN35" s="1933">
        <v>35.87390924369749</v>
      </c>
      <c r="MO35" s="1544">
        <v>0</v>
      </c>
      <c r="MP35" s="1544">
        <v>29.222553501400558</v>
      </c>
      <c r="MQ35" s="1544">
        <v>27.217272748837139</v>
      </c>
      <c r="MR35" s="1544">
        <v>27.74971428571429</v>
      </c>
      <c r="MS35" s="1544">
        <v>0</v>
      </c>
      <c r="MT35" s="1544">
        <v>22.02649523809524</v>
      </c>
      <c r="MU35" s="1544">
        <v>15.413582552722538</v>
      </c>
      <c r="MV35" s="1544">
        <v>0</v>
      </c>
      <c r="MW35" s="1544">
        <v>0</v>
      </c>
      <c r="MX35" s="1544">
        <v>80.400236414565825</v>
      </c>
      <c r="MY35" s="1943">
        <v>173.41080298564401</v>
      </c>
      <c r="MZ35" s="1933">
        <v>41.232879955182071</v>
      </c>
      <c r="NA35" s="1544">
        <v>2.5536722664702043</v>
      </c>
      <c r="NB35" s="1544">
        <v>27.819967507002804</v>
      </c>
      <c r="NC35" s="1544">
        <v>21.802884030073113</v>
      </c>
      <c r="ND35" s="1544">
        <v>31.968162420168071</v>
      </c>
      <c r="NE35" s="1544">
        <v>1.4130989955544526</v>
      </c>
      <c r="NF35" s="1544">
        <v>20.950076190476196</v>
      </c>
      <c r="NG35" s="1544">
        <v>13.406086019542514</v>
      </c>
      <c r="NH35" s="1544">
        <v>0</v>
      </c>
      <c r="NI35" s="1544">
        <v>0</v>
      </c>
      <c r="NJ35" s="1544">
        <v>76.677982072829138</v>
      </c>
      <c r="NK35" s="1943">
        <v>123.46994462480208</v>
      </c>
      <c r="NL35" s="1933">
        <v>40.849814140056033</v>
      </c>
      <c r="NM35" s="1544">
        <v>4.9259187564002165</v>
      </c>
      <c r="NN35" s="1544">
        <v>26.242058263305324</v>
      </c>
      <c r="NO35" s="1544">
        <v>24.897018676256131</v>
      </c>
      <c r="NP35" s="1544">
        <v>31.792136605042021</v>
      </c>
      <c r="NQ35" s="1544">
        <v>2.9564406970976926</v>
      </c>
      <c r="NR35" s="1544">
        <v>19.739104761904766</v>
      </c>
      <c r="NS35" s="1544">
        <v>16.492097711505277</v>
      </c>
      <c r="NT35" s="1544">
        <v>0</v>
      </c>
      <c r="NU35" s="1544">
        <v>0</v>
      </c>
      <c r="NV35" s="1544">
        <v>72.490445938375359</v>
      </c>
      <c r="NW35" s="1943">
        <v>124.48295958948769</v>
      </c>
      <c r="NX35" s="1933">
        <v>42.551511484593853</v>
      </c>
      <c r="NY35" s="1544">
        <v>0</v>
      </c>
      <c r="NZ35" s="1544">
        <v>30.186831372549015</v>
      </c>
      <c r="OA35" s="1544">
        <v>22.054310796467323</v>
      </c>
      <c r="OB35" s="1544">
        <v>33.137613445378157</v>
      </c>
      <c r="OC35" s="1544">
        <v>0</v>
      </c>
      <c r="OD35" s="1544">
        <v>22.766533333333339</v>
      </c>
      <c r="OE35" s="1544">
        <v>12.058457044295867</v>
      </c>
      <c r="OF35" s="1544">
        <v>0</v>
      </c>
      <c r="OG35" s="1544">
        <v>0</v>
      </c>
      <c r="OH35" s="1544">
        <v>82.959286274509807</v>
      </c>
      <c r="OI35" s="1934">
        <v>140.73713235737634</v>
      </c>
      <c r="OJ35" s="1933">
        <v>42.18298711484595</v>
      </c>
      <c r="OK35" s="1544">
        <v>8.0038057498548021</v>
      </c>
      <c r="OL35" s="1544">
        <v>24.927133893557425</v>
      </c>
      <c r="OM35" s="1544">
        <v>17.123225769147144</v>
      </c>
      <c r="ON35" s="1544">
        <v>33.147994352941183</v>
      </c>
      <c r="OO35" s="1544">
        <v>5.210149329096911</v>
      </c>
      <c r="OP35" s="1544">
        <v>18.729961904761907</v>
      </c>
      <c r="OQ35" s="1544">
        <v>9.8842942518401635</v>
      </c>
      <c r="OR35" s="1544">
        <v>65.482577030812337</v>
      </c>
      <c r="OS35" s="1544">
        <v>0.34403256688181016</v>
      </c>
      <c r="OT35" s="1544">
        <v>69.000832492997205</v>
      </c>
      <c r="OU35" s="1934">
        <v>101.91933710054195</v>
      </c>
      <c r="OV35" s="1933">
        <v>40.771632492997206</v>
      </c>
      <c r="OW35" s="1544">
        <v>0</v>
      </c>
      <c r="OX35" s="1544">
        <v>33.868619607843137</v>
      </c>
      <c r="OY35" s="1544">
        <v>27.175743340270699</v>
      </c>
      <c r="OZ35" s="1544">
        <v>31.80611764705883</v>
      </c>
      <c r="PA35" s="1544">
        <v>0</v>
      </c>
      <c r="PB35" s="1544">
        <v>25.592133333333344</v>
      </c>
      <c r="PC35" s="1544">
        <v>14.971172771930272</v>
      </c>
      <c r="PD35" s="1544">
        <v>0</v>
      </c>
      <c r="PE35" s="1544">
        <v>0</v>
      </c>
      <c r="PF35" s="1544">
        <v>92.730203921568631</v>
      </c>
      <c r="PG35" s="1934">
        <v>157.11137661524546</v>
      </c>
      <c r="PH35" s="1933">
        <v>44.344649053221296</v>
      </c>
      <c r="PI35" s="1544">
        <v>4.4221966351931243</v>
      </c>
      <c r="PJ35" s="1544">
        <v>26.505043137254905</v>
      </c>
      <c r="PK35" s="1544">
        <v>18.910847040077861</v>
      </c>
      <c r="PL35" s="1544">
        <v>35.598713546218491</v>
      </c>
      <c r="PM35" s="1544">
        <v>2.6016142620857892</v>
      </c>
      <c r="PN35" s="1544">
        <v>19.940933333333337</v>
      </c>
      <c r="PO35" s="1544">
        <v>11.580270962964182</v>
      </c>
      <c r="PP35" s="1544">
        <v>0</v>
      </c>
      <c r="PQ35" s="1544">
        <v>0</v>
      </c>
      <c r="PR35" s="1544">
        <v>73.188368627450984</v>
      </c>
      <c r="PS35" s="1934">
        <v>108.70565037060943</v>
      </c>
      <c r="PT35" s="1933">
        <v>42.896811742296919</v>
      </c>
      <c r="PU35" s="1544">
        <v>5.1716765511357954</v>
      </c>
      <c r="PV35" s="1544">
        <v>26.066735014005605</v>
      </c>
      <c r="PW35" s="1544">
        <v>23.319143653183826</v>
      </c>
      <c r="PX35" s="1544">
        <v>33.416019361344539</v>
      </c>
      <c r="PY35" s="1544">
        <v>3.1135031099750305</v>
      </c>
      <c r="PZ35" s="1544">
        <v>19.604552380952384</v>
      </c>
      <c r="QA35" s="1544">
        <v>15.144697663411513</v>
      </c>
      <c r="QB35" s="1544">
        <v>0</v>
      </c>
      <c r="QC35" s="1544">
        <v>0</v>
      </c>
      <c r="QD35" s="1544">
        <v>72.025164145658266</v>
      </c>
      <c r="QE35" s="1934">
        <v>120.95402835491127</v>
      </c>
      <c r="QF35" s="1933">
        <v>32.535657142857147</v>
      </c>
      <c r="QG35" s="1544">
        <v>0</v>
      </c>
      <c r="QH35" s="1544">
        <v>29.397876750700281</v>
      </c>
      <c r="QI35" s="1544">
        <v>21.238317820530256</v>
      </c>
      <c r="QJ35" s="1544">
        <v>27.566924369747902</v>
      </c>
      <c r="QK35" s="1544">
        <v>0</v>
      </c>
      <c r="QL35" s="1544">
        <v>22.161047619047626</v>
      </c>
      <c r="QM35" s="1544">
        <v>10.508501118398511</v>
      </c>
      <c r="QN35" s="1544">
        <v>0</v>
      </c>
      <c r="QO35" s="1544">
        <v>0</v>
      </c>
      <c r="QP35" s="1544">
        <v>80.865518207282918</v>
      </c>
      <c r="QQ35" s="1934">
        <v>160.6688936862754</v>
      </c>
      <c r="QR35" s="1933">
        <v>43.293933983193277</v>
      </c>
      <c r="QS35" s="1544">
        <v>5.9434116832755457</v>
      </c>
      <c r="QT35" s="1544">
        <v>26.417381512605044</v>
      </c>
      <c r="QU35" s="1544">
        <v>21.192242319614419</v>
      </c>
      <c r="QV35" s="1544">
        <v>33.707566789915965</v>
      </c>
      <c r="QW35" s="1544">
        <v>3.6815265516326345</v>
      </c>
      <c r="QX35" s="1544">
        <v>19.873657142857148</v>
      </c>
      <c r="QY35" s="1544">
        <v>13.322562269712652</v>
      </c>
      <c r="QZ35" s="1544">
        <v>0</v>
      </c>
      <c r="RA35" s="1544">
        <v>0</v>
      </c>
      <c r="RB35" s="1544">
        <v>72.955727731092438</v>
      </c>
      <c r="RC35" s="1934">
        <v>115.24965397427174</v>
      </c>
      <c r="RD35" s="1933">
        <v>42.965571854341732</v>
      </c>
      <c r="RE35" s="1544">
        <v>5.3191977705098026</v>
      </c>
      <c r="RF35" s="1544">
        <v>26.242058263305324</v>
      </c>
      <c r="RG35" s="1544">
        <v>20.439720165467186</v>
      </c>
      <c r="RH35" s="1544">
        <v>33.351753142857142</v>
      </c>
      <c r="RI35" s="1544">
        <v>3.2239598320844824</v>
      </c>
      <c r="RJ35" s="1544">
        <v>19.739104761904766</v>
      </c>
      <c r="RK35" s="1544">
        <v>12.730999335260602</v>
      </c>
      <c r="RL35" s="1544">
        <v>0</v>
      </c>
      <c r="RM35" s="1544">
        <v>0</v>
      </c>
      <c r="RN35" s="1544">
        <v>72.490445938375359</v>
      </c>
      <c r="RO35" s="1934">
        <v>113.61783360263072</v>
      </c>
    </row>
    <row r="36" spans="1:483">
      <c r="A36" s="634">
        <f>Eingabedaten!A38</f>
        <v>10.01</v>
      </c>
      <c r="B36" s="379" t="str">
        <f>Eingabedaten!C38</f>
        <v>Lagerhalle</v>
      </c>
      <c r="C36" s="1122"/>
      <c r="D36" s="1933">
        <v>0</v>
      </c>
      <c r="E36" s="1544">
        <v>0</v>
      </c>
      <c r="F36" s="1544">
        <v>20.710827450980393</v>
      </c>
      <c r="G36" s="1544">
        <v>8.7590170374790883</v>
      </c>
      <c r="H36" s="1544">
        <v>0</v>
      </c>
      <c r="I36" s="1544">
        <v>0</v>
      </c>
      <c r="J36" s="1544">
        <v>16.464654901960788</v>
      </c>
      <c r="K36" s="1544">
        <v>5.8242665310459332</v>
      </c>
      <c r="L36" s="1544">
        <v>0</v>
      </c>
      <c r="M36" s="1544">
        <v>0</v>
      </c>
      <c r="N36" s="1544">
        <v>74.835431372549039</v>
      </c>
      <c r="O36" s="1943">
        <v>90.750682805486534</v>
      </c>
      <c r="P36" s="1933">
        <v>0</v>
      </c>
      <c r="Q36" s="1544">
        <v>0</v>
      </c>
      <c r="R36" s="1544">
        <v>17.394378431372552</v>
      </c>
      <c r="S36" s="1544">
        <v>8.5655195150470185</v>
      </c>
      <c r="T36" s="1544">
        <v>0</v>
      </c>
      <c r="U36" s="1544">
        <v>0</v>
      </c>
      <c r="V36" s="1544">
        <v>13.779756862745103</v>
      </c>
      <c r="W36" s="1544">
        <v>7.493013371296847</v>
      </c>
      <c r="X36" s="1544">
        <v>0</v>
      </c>
      <c r="Y36" s="1544">
        <v>0</v>
      </c>
      <c r="Z36" s="1544">
        <v>63.468803921568636</v>
      </c>
      <c r="AA36" s="1943">
        <v>68.679440878024366</v>
      </c>
      <c r="AB36" s="1933">
        <v>0</v>
      </c>
      <c r="AC36" s="1544">
        <v>0</v>
      </c>
      <c r="AD36" s="1544">
        <v>17.464941176470592</v>
      </c>
      <c r="AE36" s="1544">
        <v>11.169959472041597</v>
      </c>
      <c r="AF36" s="1544">
        <v>0</v>
      </c>
      <c r="AG36" s="1544">
        <v>0</v>
      </c>
      <c r="AH36" s="1544">
        <v>13.836882352941181</v>
      </c>
      <c r="AI36" s="1544">
        <v>9.9783155229574731</v>
      </c>
      <c r="AJ36" s="1544">
        <v>0</v>
      </c>
      <c r="AK36" s="1544">
        <v>0</v>
      </c>
      <c r="AL36" s="1544">
        <v>63.71064705882354</v>
      </c>
      <c r="AM36" s="1943">
        <v>75.492374315329172</v>
      </c>
      <c r="AN36" s="1933">
        <v>0</v>
      </c>
      <c r="AO36" s="1544">
        <v>0</v>
      </c>
      <c r="AP36" s="1544">
        <v>18.100005882352946</v>
      </c>
      <c r="AQ36" s="1544">
        <v>6.6085019444314321</v>
      </c>
      <c r="AR36" s="1544">
        <v>0</v>
      </c>
      <c r="AS36" s="1544">
        <v>0</v>
      </c>
      <c r="AT36" s="1544">
        <v>14.351011764705888</v>
      </c>
      <c r="AU36" s="1544">
        <v>5.8622670321695161</v>
      </c>
      <c r="AV36" s="1544">
        <v>0</v>
      </c>
      <c r="AW36" s="1544">
        <v>0</v>
      </c>
      <c r="AX36" s="1544">
        <v>65.887235294117659</v>
      </c>
      <c r="AY36" s="1943">
        <v>62.37245295468513</v>
      </c>
      <c r="AZ36" s="1933">
        <v>0</v>
      </c>
      <c r="BA36" s="1544">
        <v>0</v>
      </c>
      <c r="BB36" s="1544">
        <v>18.735070588235295</v>
      </c>
      <c r="BC36" s="1544">
        <v>9.8264124381669813</v>
      </c>
      <c r="BD36" s="1544">
        <v>0</v>
      </c>
      <c r="BE36" s="1544">
        <v>0</v>
      </c>
      <c r="BF36" s="1544">
        <v>14.865141176470592</v>
      </c>
      <c r="BG36" s="1544">
        <v>7.9705789366163424</v>
      </c>
      <c r="BH36" s="1544">
        <v>0</v>
      </c>
      <c r="BI36" s="1544">
        <v>0</v>
      </c>
      <c r="BJ36" s="1544">
        <v>68.063823529411764</v>
      </c>
      <c r="BK36" s="1943">
        <v>73.683108668169425</v>
      </c>
      <c r="BL36" s="1933">
        <v>0</v>
      </c>
      <c r="BM36" s="1544">
        <v>0</v>
      </c>
      <c r="BN36" s="1544">
        <v>18.523382352941184</v>
      </c>
      <c r="BO36" s="1544">
        <v>11.048226141516833</v>
      </c>
      <c r="BP36" s="1544">
        <v>0</v>
      </c>
      <c r="BQ36" s="1544">
        <v>0</v>
      </c>
      <c r="BR36" s="1544">
        <v>14.693764705882357</v>
      </c>
      <c r="BS36" s="1544">
        <v>9.6652555983962039</v>
      </c>
      <c r="BT36" s="1544">
        <v>0</v>
      </c>
      <c r="BU36" s="1544">
        <v>0</v>
      </c>
      <c r="BV36" s="1544">
        <v>67.338294117647081</v>
      </c>
      <c r="BW36" s="1943">
        <v>75.468985322685299</v>
      </c>
      <c r="BX36" s="1933">
        <v>0</v>
      </c>
      <c r="BY36" s="1544">
        <v>0</v>
      </c>
      <c r="BZ36" s="1544">
        <v>18.593945098039217</v>
      </c>
      <c r="CA36" s="1544">
        <v>7.4271106521918737</v>
      </c>
      <c r="CB36" s="1544">
        <v>0</v>
      </c>
      <c r="CC36" s="1544">
        <v>0</v>
      </c>
      <c r="CD36" s="1544">
        <v>14.750890196078435</v>
      </c>
      <c r="CE36" s="1544">
        <v>5.9195472334014001</v>
      </c>
      <c r="CF36" s="1544">
        <v>0</v>
      </c>
      <c r="CG36" s="1544">
        <v>0</v>
      </c>
      <c r="CH36" s="1544">
        <v>67.580137254901985</v>
      </c>
      <c r="CI36" s="1943">
        <v>67.31170314313313</v>
      </c>
      <c r="CJ36" s="1933">
        <v>0</v>
      </c>
      <c r="CK36" s="1544">
        <v>0</v>
      </c>
      <c r="CL36" s="1544">
        <v>22.757147058823534</v>
      </c>
      <c r="CM36" s="1544">
        <v>11.070615710935618</v>
      </c>
      <c r="CN36" s="1544">
        <v>0</v>
      </c>
      <c r="CO36" s="1544">
        <v>0</v>
      </c>
      <c r="CP36" s="1544">
        <v>18.121294117647064</v>
      </c>
      <c r="CQ36" s="1544">
        <v>6.9118814697235109</v>
      </c>
      <c r="CR36" s="1544">
        <v>0</v>
      </c>
      <c r="CS36" s="1544">
        <v>0</v>
      </c>
      <c r="CT36" s="1544">
        <v>81.848882352941189</v>
      </c>
      <c r="CU36" s="1943">
        <v>102.29277245574761</v>
      </c>
      <c r="CV36" s="1933">
        <v>0</v>
      </c>
      <c r="CW36" s="1544">
        <v>0</v>
      </c>
      <c r="CX36" s="1544">
        <v>20.358013725490199</v>
      </c>
      <c r="CY36" s="1544">
        <v>7.9890988465166783</v>
      </c>
      <c r="CZ36" s="1544">
        <v>0</v>
      </c>
      <c r="DA36" s="1544">
        <v>0</v>
      </c>
      <c r="DB36" s="1544">
        <v>16.179027450980396</v>
      </c>
      <c r="DC36" s="1544">
        <v>5.3664071183032682</v>
      </c>
      <c r="DD36" s="1544">
        <v>0</v>
      </c>
      <c r="DE36" s="1544">
        <v>0</v>
      </c>
      <c r="DF36" s="1544">
        <v>73.62621568627452</v>
      </c>
      <c r="DG36" s="1943">
        <v>82.152806198371124</v>
      </c>
      <c r="DH36" s="1933">
        <v>0</v>
      </c>
      <c r="DI36" s="1544">
        <v>0</v>
      </c>
      <c r="DJ36" s="1544">
        <v>21.416454901960783</v>
      </c>
      <c r="DK36" s="1544">
        <v>15.236960799115691</v>
      </c>
      <c r="DL36" s="1544">
        <v>0</v>
      </c>
      <c r="DM36" s="1544">
        <v>0</v>
      </c>
      <c r="DN36" s="1544">
        <v>17.035909803921573</v>
      </c>
      <c r="DO36" s="1544">
        <v>11.95079155477282</v>
      </c>
      <c r="DP36" s="1544">
        <v>0</v>
      </c>
      <c r="DQ36" s="1544">
        <v>0</v>
      </c>
      <c r="DR36" s="1544">
        <v>77.253862745098047</v>
      </c>
      <c r="DS36" s="1943">
        <v>98.344264415224742</v>
      </c>
      <c r="DT36" s="1933">
        <v>0</v>
      </c>
      <c r="DU36" s="1544">
        <v>0</v>
      </c>
      <c r="DV36" s="1544">
        <v>16.477062745098038</v>
      </c>
      <c r="DW36" s="1544">
        <v>5.6799927711232412</v>
      </c>
      <c r="DX36" s="1544">
        <v>0</v>
      </c>
      <c r="DY36" s="1544">
        <v>0</v>
      </c>
      <c r="DZ36" s="1544">
        <v>13.037125490196082</v>
      </c>
      <c r="EA36" s="1544">
        <v>5.1212191615820704</v>
      </c>
      <c r="EB36" s="1544">
        <v>0</v>
      </c>
      <c r="EC36" s="1544">
        <v>0</v>
      </c>
      <c r="ED36" s="1544">
        <v>60.324843137254916</v>
      </c>
      <c r="EE36" s="1943">
        <v>58.735605565979498</v>
      </c>
      <c r="EF36" s="1933">
        <v>0</v>
      </c>
      <c r="EG36" s="1544">
        <v>0</v>
      </c>
      <c r="EH36" s="1544">
        <v>19.299572549019608</v>
      </c>
      <c r="EI36" s="1544">
        <v>15.617672927591132</v>
      </c>
      <c r="EJ36" s="1544">
        <v>0</v>
      </c>
      <c r="EK36" s="1544">
        <v>0</v>
      </c>
      <c r="EL36" s="1544">
        <v>15.322145098039218</v>
      </c>
      <c r="EM36" s="1544">
        <v>13.217045697201041</v>
      </c>
      <c r="EN36" s="1544">
        <v>0</v>
      </c>
      <c r="EO36" s="1544">
        <v>0</v>
      </c>
      <c r="EP36" s="1544">
        <v>69.998568627450993</v>
      </c>
      <c r="EQ36" s="1943">
        <v>90.040395759058043</v>
      </c>
      <c r="ER36" s="1933">
        <v>0</v>
      </c>
      <c r="ES36" s="1544">
        <v>0</v>
      </c>
      <c r="ET36" s="1544">
        <v>24.380090196078434</v>
      </c>
      <c r="EU36" s="1544">
        <v>14.492073421459578</v>
      </c>
      <c r="EV36" s="1544">
        <v>0</v>
      </c>
      <c r="EW36" s="1544">
        <v>0</v>
      </c>
      <c r="EX36" s="1544">
        <v>19.435180392156866</v>
      </c>
      <c r="EY36" s="1544">
        <v>9.1982605666492585</v>
      </c>
      <c r="EZ36" s="1544">
        <v>0</v>
      </c>
      <c r="FA36" s="1544">
        <v>0</v>
      </c>
      <c r="FB36" s="1544">
        <v>87.411274509803931</v>
      </c>
      <c r="FC36" s="1943">
        <v>123.38082037246356</v>
      </c>
      <c r="FD36" s="1933">
        <v>0</v>
      </c>
      <c r="FE36" s="1544">
        <v>0</v>
      </c>
      <c r="FF36" s="1544">
        <v>18.452819607843143</v>
      </c>
      <c r="FG36" s="1544">
        <v>11.523714509637328</v>
      </c>
      <c r="FH36" s="1544">
        <v>0</v>
      </c>
      <c r="FI36" s="1544">
        <v>0</v>
      </c>
      <c r="FJ36" s="1544">
        <v>14.636639215686277</v>
      </c>
      <c r="FK36" s="1544">
        <v>9.7482696977715833</v>
      </c>
      <c r="FL36" s="1544">
        <v>0</v>
      </c>
      <c r="FM36" s="1544">
        <v>0</v>
      </c>
      <c r="FN36" s="1544">
        <v>67.096450980392177</v>
      </c>
      <c r="FO36" s="1943">
        <v>76.542538610906092</v>
      </c>
      <c r="FP36" s="1933">
        <v>0</v>
      </c>
      <c r="FQ36" s="1544">
        <v>0</v>
      </c>
      <c r="FR36" s="1544">
        <v>18.452819607843143</v>
      </c>
      <c r="FS36" s="1544">
        <v>11.731590726247555</v>
      </c>
      <c r="FT36" s="1544">
        <v>0</v>
      </c>
      <c r="FU36" s="1544">
        <v>0</v>
      </c>
      <c r="FV36" s="1544">
        <v>14.636639215686277</v>
      </c>
      <c r="FW36" s="1544">
        <v>9.320951162096879</v>
      </c>
      <c r="FX36" s="1544">
        <v>0</v>
      </c>
      <c r="FY36" s="1544">
        <v>0</v>
      </c>
      <c r="FZ36" s="1544">
        <v>67.096450980392177</v>
      </c>
      <c r="GA36" s="1943">
        <v>79.40476763992838</v>
      </c>
      <c r="GB36" s="1933">
        <v>0</v>
      </c>
      <c r="GC36" s="1544">
        <v>0</v>
      </c>
      <c r="GD36" s="1544">
        <v>20.216888235294121</v>
      </c>
      <c r="GE36" s="1544">
        <v>9.831218504576837</v>
      </c>
      <c r="GF36" s="1544">
        <v>0</v>
      </c>
      <c r="GG36" s="1544">
        <v>0</v>
      </c>
      <c r="GH36" s="1544">
        <v>16.064776470588239</v>
      </c>
      <c r="GI36" s="1544">
        <v>6.9739341901240159</v>
      </c>
      <c r="GJ36" s="1544">
        <v>0</v>
      </c>
      <c r="GK36" s="1544">
        <v>0</v>
      </c>
      <c r="GL36" s="1544">
        <v>73.142529411764713</v>
      </c>
      <c r="GM36" s="1943">
        <v>85.671112927337262</v>
      </c>
      <c r="GN36" s="1933">
        <v>0</v>
      </c>
      <c r="GO36" s="1544">
        <v>0</v>
      </c>
      <c r="GP36" s="1544">
        <v>20.287450980392162</v>
      </c>
      <c r="GQ36" s="1544">
        <v>13.406496244317898</v>
      </c>
      <c r="GR36" s="1544">
        <v>0</v>
      </c>
      <c r="GS36" s="1544">
        <v>0</v>
      </c>
      <c r="GT36" s="1544">
        <v>16.121901960784321</v>
      </c>
      <c r="GU36" s="1544">
        <v>10.204445976314146</v>
      </c>
      <c r="GV36" s="1544">
        <v>0</v>
      </c>
      <c r="GW36" s="1544">
        <v>0</v>
      </c>
      <c r="GX36" s="1544">
        <v>73.384372549019616</v>
      </c>
      <c r="GY36" s="1943">
        <v>97.082163282942318</v>
      </c>
      <c r="GZ36" s="1933">
        <v>0</v>
      </c>
      <c r="HA36" s="1544">
        <v>0</v>
      </c>
      <c r="HB36" s="1544">
        <v>14.430743137254904</v>
      </c>
      <c r="HC36" s="1544">
        <v>0</v>
      </c>
      <c r="HD36" s="1544">
        <v>0</v>
      </c>
      <c r="HE36" s="1544">
        <v>0</v>
      </c>
      <c r="HF36" s="1544">
        <v>11.380486274509808</v>
      </c>
      <c r="HG36" s="1544">
        <v>0.63375287200284436</v>
      </c>
      <c r="HH36" s="1544">
        <v>0</v>
      </c>
      <c r="HI36" s="1544">
        <v>0</v>
      </c>
      <c r="HJ36" s="1544">
        <v>53.311392156862766</v>
      </c>
      <c r="HK36" s="1943">
        <v>41.072078445841051</v>
      </c>
      <c r="HL36" s="1933">
        <v>0</v>
      </c>
      <c r="HM36" s="1544">
        <v>0</v>
      </c>
      <c r="HN36" s="1544">
        <v>14.077929411764707</v>
      </c>
      <c r="HO36" s="1544">
        <v>0</v>
      </c>
      <c r="HP36" s="1544">
        <v>0</v>
      </c>
      <c r="HQ36" s="1544">
        <v>0</v>
      </c>
      <c r="HR36" s="1544">
        <v>11.094858823529416</v>
      </c>
      <c r="HS36" s="1544">
        <v>0</v>
      </c>
      <c r="HT36" s="1544">
        <v>0</v>
      </c>
      <c r="HU36" s="1544">
        <v>0</v>
      </c>
      <c r="HV36" s="1544">
        <v>52.102176470588255</v>
      </c>
      <c r="HW36" s="1943">
        <v>39.414408917286217</v>
      </c>
      <c r="HX36" s="1933">
        <v>0</v>
      </c>
      <c r="HY36" s="1544">
        <v>0</v>
      </c>
      <c r="HZ36" s="1544">
        <v>18.029443137254905</v>
      </c>
      <c r="IA36" s="1544">
        <v>10.455419499926666</v>
      </c>
      <c r="IB36" s="1544">
        <v>0</v>
      </c>
      <c r="IC36" s="1544">
        <v>0</v>
      </c>
      <c r="ID36" s="1544">
        <v>14.293886274509807</v>
      </c>
      <c r="IE36" s="1544">
        <v>9.1091533336377566</v>
      </c>
      <c r="IF36" s="1544">
        <v>0</v>
      </c>
      <c r="IG36" s="1544">
        <v>0</v>
      </c>
      <c r="IH36" s="1544">
        <v>65.645392156862755</v>
      </c>
      <c r="II36" s="1943">
        <v>74.617708736438686</v>
      </c>
      <c r="IJ36" s="1933">
        <v>0</v>
      </c>
      <c r="IK36" s="1544">
        <v>0</v>
      </c>
      <c r="IL36" s="1544">
        <v>15.630309803921573</v>
      </c>
      <c r="IM36" s="1544">
        <v>2.3064551076649944</v>
      </c>
      <c r="IN36" s="1544">
        <v>0</v>
      </c>
      <c r="IO36" s="1544">
        <v>0</v>
      </c>
      <c r="IP36" s="1544">
        <v>12.351619607843141</v>
      </c>
      <c r="IQ36" s="1544">
        <v>2.3984291909527933</v>
      </c>
      <c r="IR36" s="1544">
        <v>0</v>
      </c>
      <c r="IS36" s="1544">
        <v>0</v>
      </c>
      <c r="IT36" s="1544">
        <v>57.422725490196086</v>
      </c>
      <c r="IU36" s="1943">
        <v>50.487782320302685</v>
      </c>
      <c r="IV36" s="1933">
        <v>0</v>
      </c>
      <c r="IW36" s="1544">
        <v>0</v>
      </c>
      <c r="IX36" s="1544">
        <v>20.287450980392162</v>
      </c>
      <c r="IY36" s="1544">
        <v>6.7607813495918183</v>
      </c>
      <c r="IZ36" s="1544">
        <v>0</v>
      </c>
      <c r="JA36" s="1544">
        <v>0</v>
      </c>
      <c r="JB36" s="1544">
        <v>16.121901960784321</v>
      </c>
      <c r="JC36" s="1544">
        <v>4.1242915481605831</v>
      </c>
      <c r="JD36" s="1544">
        <v>0</v>
      </c>
      <c r="JE36" s="1544">
        <v>0</v>
      </c>
      <c r="JF36" s="1544">
        <v>73.384372549019616</v>
      </c>
      <c r="JG36" s="1943">
        <v>78.108132088328077</v>
      </c>
      <c r="JH36" s="1933">
        <v>0</v>
      </c>
      <c r="JI36" s="1544">
        <v>0</v>
      </c>
      <c r="JJ36" s="1544">
        <v>17.323815686274514</v>
      </c>
      <c r="JK36" s="1544">
        <v>8.4784533006936691</v>
      </c>
      <c r="JL36" s="1544">
        <v>0</v>
      </c>
      <c r="JM36" s="1544">
        <v>0</v>
      </c>
      <c r="JN36" s="1544">
        <v>13.722631372549023</v>
      </c>
      <c r="JO36" s="1544">
        <v>7.6630263737973552</v>
      </c>
      <c r="JP36" s="1544">
        <v>0</v>
      </c>
      <c r="JQ36" s="1544">
        <v>0</v>
      </c>
      <c r="JR36" s="1544">
        <v>63.226960784313732</v>
      </c>
      <c r="JS36" s="1943">
        <v>68.069025343904499</v>
      </c>
      <c r="JT36" s="1933">
        <v>0</v>
      </c>
      <c r="JU36" s="1544">
        <v>0</v>
      </c>
      <c r="JV36" s="1544">
        <v>18.24113137254902</v>
      </c>
      <c r="JW36" s="1544">
        <v>9.8368255365009318</v>
      </c>
      <c r="JX36" s="1544">
        <v>0</v>
      </c>
      <c r="JY36" s="1544">
        <v>0</v>
      </c>
      <c r="JZ36" s="1544">
        <v>14.465262745098045</v>
      </c>
      <c r="KA36" s="1544">
        <v>8.341077879037325</v>
      </c>
      <c r="KB36" s="1544">
        <v>0</v>
      </c>
      <c r="KC36" s="1544">
        <v>0</v>
      </c>
      <c r="KD36" s="1544">
        <v>66.370921568627466</v>
      </c>
      <c r="KE36" s="1943">
        <v>71.628924288460084</v>
      </c>
      <c r="KF36" s="1933">
        <v>0</v>
      </c>
      <c r="KG36" s="1544">
        <v>0</v>
      </c>
      <c r="KH36" s="1544">
        <v>18.593945098039217</v>
      </c>
      <c r="KI36" s="1544">
        <v>14.834395346503264</v>
      </c>
      <c r="KJ36" s="1544">
        <v>0</v>
      </c>
      <c r="KK36" s="1544">
        <v>0</v>
      </c>
      <c r="KL36" s="1544">
        <v>14.750890196078435</v>
      </c>
      <c r="KM36" s="1544">
        <v>12.1466318370093</v>
      </c>
      <c r="KN36" s="1544">
        <v>0</v>
      </c>
      <c r="KO36" s="1544">
        <v>0</v>
      </c>
      <c r="KP36" s="1544">
        <v>67.580137254901985</v>
      </c>
      <c r="KQ36" s="1943">
        <v>88.943592129142061</v>
      </c>
      <c r="KR36" s="1933">
        <v>0</v>
      </c>
      <c r="KS36" s="1544">
        <v>0</v>
      </c>
      <c r="KT36" s="1544">
        <v>16.547625490196079</v>
      </c>
      <c r="KU36" s="1544">
        <v>4.7123798084062285</v>
      </c>
      <c r="KV36" s="1544">
        <v>0</v>
      </c>
      <c r="KW36" s="1544">
        <v>0</v>
      </c>
      <c r="KX36" s="1544">
        <v>13.094250980392161</v>
      </c>
      <c r="KY36" s="1544">
        <v>4.3480252182611121</v>
      </c>
      <c r="KZ36" s="1544">
        <v>0</v>
      </c>
      <c r="LA36" s="1544">
        <v>0</v>
      </c>
      <c r="LB36" s="1544">
        <v>60.56668627450982</v>
      </c>
      <c r="LC36" s="1943">
        <v>55.586937404796856</v>
      </c>
      <c r="LD36" s="1933">
        <v>0</v>
      </c>
      <c r="LE36" s="1544">
        <v>0</v>
      </c>
      <c r="LF36" s="1544">
        <v>19.017321568627452</v>
      </c>
      <c r="LG36" s="1544">
        <v>11.400329952341906</v>
      </c>
      <c r="LH36" s="1544">
        <v>0</v>
      </c>
      <c r="LI36" s="1544">
        <v>0</v>
      </c>
      <c r="LJ36" s="1544">
        <v>15.093643137254904</v>
      </c>
      <c r="LK36" s="1544">
        <v>8.4114991125536811</v>
      </c>
      <c r="LL36" s="1544">
        <v>0</v>
      </c>
      <c r="LM36" s="1544">
        <v>0</v>
      </c>
      <c r="LN36" s="1544">
        <v>69.031196078431392</v>
      </c>
      <c r="LO36" s="1943">
        <v>89.804857559074279</v>
      </c>
      <c r="LP36" s="1933">
        <v>0</v>
      </c>
      <c r="LQ36" s="1544">
        <v>0</v>
      </c>
      <c r="LR36" s="1544">
        <v>19.229009803921574</v>
      </c>
      <c r="LS36" s="1544">
        <v>11.294292424767606</v>
      </c>
      <c r="LT36" s="1544">
        <v>0</v>
      </c>
      <c r="LU36" s="1544">
        <v>0</v>
      </c>
      <c r="LV36" s="1544">
        <v>15.265019607843142</v>
      </c>
      <c r="LW36" s="1544">
        <v>9.2784221747555016</v>
      </c>
      <c r="LX36" s="1544">
        <v>0</v>
      </c>
      <c r="LY36" s="1544">
        <v>0</v>
      </c>
      <c r="LZ36" s="1544">
        <v>69.756725490196089</v>
      </c>
      <c r="MA36" s="1943">
        <v>75.92509676077465</v>
      </c>
      <c r="MB36" s="1933">
        <v>0</v>
      </c>
      <c r="MC36" s="1544">
        <v>0</v>
      </c>
      <c r="MD36" s="1544">
        <v>25.932470588235297</v>
      </c>
      <c r="ME36" s="1544">
        <v>14.403678339422916</v>
      </c>
      <c r="MF36" s="1544">
        <v>0</v>
      </c>
      <c r="MG36" s="1544">
        <v>0</v>
      </c>
      <c r="MH36" s="1544">
        <v>20.691941176470593</v>
      </c>
      <c r="MI36" s="1544">
        <v>8.6575750099919802</v>
      </c>
      <c r="MJ36" s="1544">
        <v>0</v>
      </c>
      <c r="MK36" s="1544">
        <v>0</v>
      </c>
      <c r="ML36" s="1544">
        <v>92.73182352941177</v>
      </c>
      <c r="MM36" s="1943">
        <v>116.28057143955174</v>
      </c>
      <c r="MN36" s="1933">
        <v>0</v>
      </c>
      <c r="MO36" s="1544">
        <v>0</v>
      </c>
      <c r="MP36" s="1544">
        <v>21.204766666666671</v>
      </c>
      <c r="MQ36" s="1544">
        <v>14.111161982351238</v>
      </c>
      <c r="MR36" s="1544">
        <v>0</v>
      </c>
      <c r="MS36" s="1544">
        <v>0</v>
      </c>
      <c r="MT36" s="1544">
        <v>16.864533333333338</v>
      </c>
      <c r="MU36" s="1544">
        <v>9.9903263828043887</v>
      </c>
      <c r="MV36" s="1544">
        <v>0</v>
      </c>
      <c r="MW36" s="1544">
        <v>0</v>
      </c>
      <c r="MX36" s="1544">
        <v>76.528333333333336</v>
      </c>
      <c r="MY36" s="1943">
        <v>112.28483457328052</v>
      </c>
      <c r="MZ36" s="1933">
        <v>0</v>
      </c>
      <c r="NA36" s="1544">
        <v>0</v>
      </c>
      <c r="NB36" s="1544">
        <v>20.075762745098039</v>
      </c>
      <c r="NC36" s="1544">
        <v>10.811318652887985</v>
      </c>
      <c r="ND36" s="1544">
        <v>0</v>
      </c>
      <c r="NE36" s="1544">
        <v>0</v>
      </c>
      <c r="NF36" s="1544">
        <v>15.950525490196082</v>
      </c>
      <c r="NG36" s="1544">
        <v>8.442319701744319</v>
      </c>
      <c r="NH36" s="1544">
        <v>0</v>
      </c>
      <c r="NI36" s="1544">
        <v>0</v>
      </c>
      <c r="NJ36" s="1544">
        <v>72.658843137254934</v>
      </c>
      <c r="NK36" s="1943">
        <v>78.486640551546358</v>
      </c>
      <c r="NL36" s="1933">
        <v>0</v>
      </c>
      <c r="NM36" s="1544">
        <v>0</v>
      </c>
      <c r="NN36" s="1544">
        <v>18.805633333333336</v>
      </c>
      <c r="NO36" s="1544">
        <v>11.901486072169313</v>
      </c>
      <c r="NP36" s="1544">
        <v>0</v>
      </c>
      <c r="NQ36" s="1544">
        <v>0</v>
      </c>
      <c r="NR36" s="1544">
        <v>14.922266666666669</v>
      </c>
      <c r="NS36" s="1544">
        <v>10.272386953409523</v>
      </c>
      <c r="NT36" s="1544">
        <v>0</v>
      </c>
      <c r="NU36" s="1544">
        <v>0</v>
      </c>
      <c r="NV36" s="1544">
        <v>68.305666666666681</v>
      </c>
      <c r="NW36" s="1943">
        <v>78.592386909884524</v>
      </c>
      <c r="NX36" s="1933">
        <v>0</v>
      </c>
      <c r="NY36" s="1544">
        <v>0</v>
      </c>
      <c r="NZ36" s="1544">
        <v>21.980956862745103</v>
      </c>
      <c r="OA36" s="1544">
        <v>11.707003249750716</v>
      </c>
      <c r="OB36" s="1544">
        <v>0</v>
      </c>
      <c r="OC36" s="1544">
        <v>0</v>
      </c>
      <c r="OD36" s="1544">
        <v>17.492913725490201</v>
      </c>
      <c r="OE36" s="1544">
        <v>7.9325397501707684</v>
      </c>
      <c r="OF36" s="1544">
        <v>0</v>
      </c>
      <c r="OG36" s="1544">
        <v>0</v>
      </c>
      <c r="OH36" s="1544">
        <v>79.188607843137277</v>
      </c>
      <c r="OI36" s="1934">
        <v>91.595082409333756</v>
      </c>
      <c r="OJ36" s="1933">
        <v>0</v>
      </c>
      <c r="OK36" s="1544">
        <v>0</v>
      </c>
      <c r="OL36" s="1544">
        <v>17.747192156862749</v>
      </c>
      <c r="OM36" s="1544">
        <v>6.785983259285171</v>
      </c>
      <c r="ON36" s="1544">
        <v>0</v>
      </c>
      <c r="OO36" s="1544">
        <v>0</v>
      </c>
      <c r="OP36" s="1544">
        <v>14.065384313725495</v>
      </c>
      <c r="OQ36" s="1544">
        <v>5.4943508983003051</v>
      </c>
      <c r="OR36" s="1544">
        <v>0</v>
      </c>
      <c r="OS36" s="1544">
        <v>0</v>
      </c>
      <c r="OT36" s="1544">
        <v>64.67801960784314</v>
      </c>
      <c r="OU36" s="1934">
        <v>63.974151589143425</v>
      </c>
      <c r="OV36" s="1933">
        <v>0</v>
      </c>
      <c r="OW36" s="1544">
        <v>0</v>
      </c>
      <c r="OX36" s="1544">
        <v>24.944592156862754</v>
      </c>
      <c r="OY36" s="1544">
        <v>15.075160029934253</v>
      </c>
      <c r="OZ36" s="1544">
        <v>0</v>
      </c>
      <c r="PA36" s="1544">
        <v>0</v>
      </c>
      <c r="PB36" s="1544">
        <v>19.892184313725494</v>
      </c>
      <c r="PC36" s="1544">
        <v>10.029076345148288</v>
      </c>
      <c r="PD36" s="1544">
        <v>0</v>
      </c>
      <c r="PE36" s="1544">
        <v>0</v>
      </c>
      <c r="PF36" s="1544">
        <v>89.346019607843147</v>
      </c>
      <c r="PG36" s="1934">
        <v>103.54863308735482</v>
      </c>
      <c r="PH36" s="1933">
        <v>0</v>
      </c>
      <c r="PI36" s="1544">
        <v>0</v>
      </c>
      <c r="PJ36" s="1544">
        <v>19.017321568627452</v>
      </c>
      <c r="PK36" s="1544">
        <v>8.3727556625584256</v>
      </c>
      <c r="PL36" s="1544">
        <v>0</v>
      </c>
      <c r="PM36" s="1544">
        <v>0</v>
      </c>
      <c r="PN36" s="1544">
        <v>15.093643137254904</v>
      </c>
      <c r="PO36" s="1544">
        <v>7.113155595094975</v>
      </c>
      <c r="PP36" s="1544">
        <v>0</v>
      </c>
      <c r="PQ36" s="1544">
        <v>0</v>
      </c>
      <c r="PR36" s="1544">
        <v>69.031196078431392</v>
      </c>
      <c r="PS36" s="1934">
        <v>68.207750892197197</v>
      </c>
      <c r="PT36" s="1933">
        <v>0</v>
      </c>
      <c r="PU36" s="1544">
        <v>0</v>
      </c>
      <c r="PV36" s="1544">
        <v>18.664507843137258</v>
      </c>
      <c r="PW36" s="1544">
        <v>11.521172593208766</v>
      </c>
      <c r="PX36" s="1544">
        <v>0</v>
      </c>
      <c r="PY36" s="1544">
        <v>0</v>
      </c>
      <c r="PZ36" s="1544">
        <v>14.808015686274514</v>
      </c>
      <c r="QA36" s="1544">
        <v>9.5215535159432356</v>
      </c>
      <c r="QB36" s="1544">
        <v>0</v>
      </c>
      <c r="QC36" s="1544">
        <v>0</v>
      </c>
      <c r="QD36" s="1544">
        <v>67.821980392156888</v>
      </c>
      <c r="QE36" s="1934">
        <v>76.764817474758047</v>
      </c>
      <c r="QF36" s="1933">
        <v>0</v>
      </c>
      <c r="QG36" s="1544">
        <v>0</v>
      </c>
      <c r="QH36" s="1544">
        <v>21.34589215686275</v>
      </c>
      <c r="QI36" s="1544">
        <v>10.696711527616527</v>
      </c>
      <c r="QJ36" s="1544">
        <v>0</v>
      </c>
      <c r="QK36" s="1544">
        <v>0</v>
      </c>
      <c r="QL36" s="1544">
        <v>16.978784313725495</v>
      </c>
      <c r="QM36" s="1544">
        <v>6.8349677203420987</v>
      </c>
      <c r="QN36" s="1544">
        <v>0</v>
      </c>
      <c r="QO36" s="1544">
        <v>0</v>
      </c>
      <c r="QP36" s="1544">
        <v>77.012019607843143</v>
      </c>
      <c r="QQ36" s="1934">
        <v>104.01055965946549</v>
      </c>
      <c r="QR36" s="1933">
        <v>0</v>
      </c>
      <c r="QS36" s="1544">
        <v>0</v>
      </c>
      <c r="QT36" s="1544">
        <v>18.946758823529414</v>
      </c>
      <c r="QU36" s="1544">
        <v>9.9236059934570289</v>
      </c>
      <c r="QV36" s="1544">
        <v>0</v>
      </c>
      <c r="QW36" s="1544">
        <v>0</v>
      </c>
      <c r="QX36" s="1544">
        <v>15.036517647058826</v>
      </c>
      <c r="QY36" s="1544">
        <v>8.3240008569955215</v>
      </c>
      <c r="QZ36" s="1544">
        <v>0</v>
      </c>
      <c r="RA36" s="1544">
        <v>0</v>
      </c>
      <c r="RB36" s="1544">
        <v>68.789352941176489</v>
      </c>
      <c r="RC36" s="1934">
        <v>72.99580439228869</v>
      </c>
      <c r="RD36" s="1933">
        <v>0</v>
      </c>
      <c r="RE36" s="1544">
        <v>0</v>
      </c>
      <c r="RF36" s="1544">
        <v>18.805633333333336</v>
      </c>
      <c r="RG36" s="1544">
        <v>9.6329444067037233</v>
      </c>
      <c r="RH36" s="1544">
        <v>0</v>
      </c>
      <c r="RI36" s="1544">
        <v>0</v>
      </c>
      <c r="RJ36" s="1544">
        <v>14.922266666666669</v>
      </c>
      <c r="RK36" s="1544">
        <v>7.9670791010373421</v>
      </c>
      <c r="RL36" s="1544">
        <v>0</v>
      </c>
      <c r="RM36" s="1544">
        <v>0</v>
      </c>
      <c r="RN36" s="1544">
        <v>68.305666666666681</v>
      </c>
      <c r="RO36" s="1934">
        <v>71.863972588285904</v>
      </c>
    </row>
    <row r="37" spans="1:483">
      <c r="A37" s="1472">
        <f>Eingabedaten!A39</f>
        <v>11.01</v>
      </c>
      <c r="B37" s="386" t="str">
        <f>Eingabedaten!C39</f>
        <v>Turnhalle</v>
      </c>
      <c r="C37" s="1946"/>
      <c r="D37" s="1933">
        <v>0</v>
      </c>
      <c r="E37" s="1544">
        <v>0</v>
      </c>
      <c r="F37" s="1544">
        <v>19.968760784313723</v>
      </c>
      <c r="G37" s="1544">
        <v>35.654076438986742</v>
      </c>
      <c r="H37" s="1544">
        <v>0</v>
      </c>
      <c r="I37" s="1544">
        <v>0</v>
      </c>
      <c r="J37" s="1544">
        <v>16.056556862745101</v>
      </c>
      <c r="K37" s="1544">
        <v>26.677288123734982</v>
      </c>
      <c r="L37" s="1544">
        <v>0</v>
      </c>
      <c r="M37" s="1544">
        <v>0</v>
      </c>
      <c r="N37" s="1544">
        <v>71.087647058823535</v>
      </c>
      <c r="O37" s="1943">
        <v>102.11630730995886</v>
      </c>
      <c r="P37" s="1933">
        <v>0</v>
      </c>
      <c r="Q37" s="1544">
        <v>0</v>
      </c>
      <c r="R37" s="1544">
        <v>16.772945098039216</v>
      </c>
      <c r="S37" s="1544">
        <v>26.839708660248711</v>
      </c>
      <c r="T37" s="1544">
        <v>0</v>
      </c>
      <c r="U37" s="1544">
        <v>0</v>
      </c>
      <c r="V37" s="1544">
        <v>13.442619607843138</v>
      </c>
      <c r="W37" s="1544">
        <v>22.378808777574822</v>
      </c>
      <c r="X37" s="1544">
        <v>0</v>
      </c>
      <c r="Y37" s="1544">
        <v>0</v>
      </c>
      <c r="Z37" s="1544">
        <v>60.288705882352943</v>
      </c>
      <c r="AA37" s="1943">
        <v>76.039792365086853</v>
      </c>
      <c r="AB37" s="1933">
        <v>0</v>
      </c>
      <c r="AC37" s="1544">
        <v>0</v>
      </c>
      <c r="AD37" s="1544">
        <v>16.84094117647059</v>
      </c>
      <c r="AE37" s="1544">
        <v>31.235665480817008</v>
      </c>
      <c r="AF37" s="1544">
        <v>0</v>
      </c>
      <c r="AG37" s="1544">
        <v>0</v>
      </c>
      <c r="AH37" s="1544">
        <v>13.498235294117649</v>
      </c>
      <c r="AI37" s="1544">
        <v>26.658325903679241</v>
      </c>
      <c r="AJ37" s="1544">
        <v>0</v>
      </c>
      <c r="AK37" s="1544">
        <v>0</v>
      </c>
      <c r="AL37" s="1544">
        <v>60.518470588235303</v>
      </c>
      <c r="AM37" s="1943">
        <v>83.00606033348646</v>
      </c>
      <c r="AN37" s="1933">
        <v>0</v>
      </c>
      <c r="AO37" s="1544">
        <v>0</v>
      </c>
      <c r="AP37" s="1544">
        <v>17.45290588235294</v>
      </c>
      <c r="AQ37" s="1544">
        <v>23.200230934235606</v>
      </c>
      <c r="AR37" s="1544">
        <v>0</v>
      </c>
      <c r="AS37" s="1544">
        <v>0</v>
      </c>
      <c r="AT37" s="1544">
        <v>13.998776470588236</v>
      </c>
      <c r="AU37" s="1544">
        <v>19.376994509905533</v>
      </c>
      <c r="AV37" s="1544">
        <v>0</v>
      </c>
      <c r="AW37" s="1544">
        <v>0</v>
      </c>
      <c r="AX37" s="1544">
        <v>62.586352941176472</v>
      </c>
      <c r="AY37" s="1943">
        <v>68.808721350123719</v>
      </c>
      <c r="AZ37" s="1933">
        <v>0</v>
      </c>
      <c r="BA37" s="1544">
        <v>0</v>
      </c>
      <c r="BB37" s="1544">
        <v>18.064870588235294</v>
      </c>
      <c r="BC37" s="1544">
        <v>30.247061651239921</v>
      </c>
      <c r="BD37" s="1544">
        <v>0</v>
      </c>
      <c r="BE37" s="1544">
        <v>0</v>
      </c>
      <c r="BF37" s="1544">
        <v>14.499317647058824</v>
      </c>
      <c r="BG37" s="1544">
        <v>24.489170545234551</v>
      </c>
      <c r="BH37" s="1544">
        <v>0</v>
      </c>
      <c r="BI37" s="1544">
        <v>0</v>
      </c>
      <c r="BJ37" s="1544">
        <v>64.654235294117655</v>
      </c>
      <c r="BK37" s="1943">
        <v>81.698163438498383</v>
      </c>
      <c r="BL37" s="1933">
        <v>0</v>
      </c>
      <c r="BM37" s="1544">
        <v>0</v>
      </c>
      <c r="BN37" s="1544">
        <v>17.860882352941175</v>
      </c>
      <c r="BO37" s="1544">
        <v>31.096823722424549</v>
      </c>
      <c r="BP37" s="1544">
        <v>0</v>
      </c>
      <c r="BQ37" s="1544">
        <v>0</v>
      </c>
      <c r="BR37" s="1544">
        <v>14.332470588235298</v>
      </c>
      <c r="BS37" s="1544">
        <v>26.052309143221283</v>
      </c>
      <c r="BT37" s="1544">
        <v>0</v>
      </c>
      <c r="BU37" s="1544">
        <v>0</v>
      </c>
      <c r="BV37" s="1544">
        <v>63.964941176470603</v>
      </c>
      <c r="BW37" s="1943">
        <v>83.09654802214699</v>
      </c>
      <c r="BX37" s="1933">
        <v>0</v>
      </c>
      <c r="BY37" s="1544">
        <v>0</v>
      </c>
      <c r="BZ37" s="1544">
        <v>17.928878431372549</v>
      </c>
      <c r="CA37" s="1544">
        <v>26.374627559473321</v>
      </c>
      <c r="CB37" s="1544">
        <v>0</v>
      </c>
      <c r="CC37" s="1544">
        <v>0</v>
      </c>
      <c r="CD37" s="1544">
        <v>14.388086274509805</v>
      </c>
      <c r="CE37" s="1544">
        <v>21.215086397356796</v>
      </c>
      <c r="CF37" s="1544">
        <v>0</v>
      </c>
      <c r="CG37" s="1544">
        <v>0</v>
      </c>
      <c r="CH37" s="1544">
        <v>64.194705882352949</v>
      </c>
      <c r="CI37" s="1943">
        <v>75.015922778898343</v>
      </c>
      <c r="CJ37" s="1933">
        <v>0</v>
      </c>
      <c r="CK37" s="1544">
        <v>0</v>
      </c>
      <c r="CL37" s="1544">
        <v>21.940647058823526</v>
      </c>
      <c r="CM37" s="1544">
        <v>42.296776741789003</v>
      </c>
      <c r="CN37" s="1544">
        <v>0</v>
      </c>
      <c r="CO37" s="1544">
        <v>0</v>
      </c>
      <c r="CP37" s="1544">
        <v>17.669411764705885</v>
      </c>
      <c r="CQ37" s="1544">
        <v>30.175449108878979</v>
      </c>
      <c r="CR37" s="1544">
        <v>0</v>
      </c>
      <c r="CS37" s="1544">
        <v>0</v>
      </c>
      <c r="CT37" s="1544">
        <v>77.750823529411775</v>
      </c>
      <c r="CU37" s="1943">
        <v>116.27346947526286</v>
      </c>
      <c r="CV37" s="1933">
        <v>0</v>
      </c>
      <c r="CW37" s="1544">
        <v>0</v>
      </c>
      <c r="CX37" s="1544">
        <v>19.628780392156862</v>
      </c>
      <c r="CY37" s="1544">
        <v>32.41537917102054</v>
      </c>
      <c r="CZ37" s="1544">
        <v>0</v>
      </c>
      <c r="DA37" s="1544">
        <v>0</v>
      </c>
      <c r="DB37" s="1544">
        <v>15.778478431372552</v>
      </c>
      <c r="DC37" s="1544">
        <v>24.134772708200149</v>
      </c>
      <c r="DD37" s="1544">
        <v>0</v>
      </c>
      <c r="DE37" s="1544">
        <v>0</v>
      </c>
      <c r="DF37" s="1544">
        <v>69.938823529411764</v>
      </c>
      <c r="DG37" s="1943">
        <v>92.739837137505702</v>
      </c>
      <c r="DH37" s="1933">
        <v>0</v>
      </c>
      <c r="DI37" s="1544">
        <v>0</v>
      </c>
      <c r="DJ37" s="1544">
        <v>20.648721568627451</v>
      </c>
      <c r="DK37" s="1544">
        <v>43.114325047559284</v>
      </c>
      <c r="DL37" s="1544">
        <v>0</v>
      </c>
      <c r="DM37" s="1544">
        <v>0</v>
      </c>
      <c r="DN37" s="1544">
        <v>16.612713725490199</v>
      </c>
      <c r="DO37" s="1544">
        <v>34.197167737244328</v>
      </c>
      <c r="DP37" s="1544">
        <v>0</v>
      </c>
      <c r="DQ37" s="1544">
        <v>0</v>
      </c>
      <c r="DR37" s="1544">
        <v>73.385294117647064</v>
      </c>
      <c r="DS37" s="1943">
        <v>109.22428873279971</v>
      </c>
      <c r="DT37" s="1933">
        <v>0</v>
      </c>
      <c r="DU37" s="1544">
        <v>0</v>
      </c>
      <c r="DV37" s="1544">
        <v>15.888996078431372</v>
      </c>
      <c r="DW37" s="1544">
        <v>21.402411425795755</v>
      </c>
      <c r="DX37" s="1544">
        <v>0</v>
      </c>
      <c r="DY37" s="1544">
        <v>0</v>
      </c>
      <c r="DZ37" s="1544">
        <v>12.719615686274512</v>
      </c>
      <c r="EA37" s="1544">
        <v>17.875691727258225</v>
      </c>
      <c r="EB37" s="1544">
        <v>0</v>
      </c>
      <c r="EC37" s="1544">
        <v>0</v>
      </c>
      <c r="ED37" s="1544">
        <v>57.301764705882356</v>
      </c>
      <c r="EE37" s="1943">
        <v>65.094943484787009</v>
      </c>
      <c r="EF37" s="1933">
        <v>0</v>
      </c>
      <c r="EG37" s="1544">
        <v>0</v>
      </c>
      <c r="EH37" s="1544">
        <v>18.608839215686274</v>
      </c>
      <c r="EI37" s="1544">
        <v>40.215085319120007</v>
      </c>
      <c r="EJ37" s="1544">
        <v>0</v>
      </c>
      <c r="EK37" s="1544">
        <v>0</v>
      </c>
      <c r="EL37" s="1544">
        <v>14.944243137254903</v>
      </c>
      <c r="EM37" s="1544">
        <v>33.724684768921932</v>
      </c>
      <c r="EN37" s="1544">
        <v>0</v>
      </c>
      <c r="EO37" s="1544">
        <v>0</v>
      </c>
      <c r="EP37" s="1544">
        <v>66.492352941176478</v>
      </c>
      <c r="EQ37" s="1943">
        <v>98.550363509998974</v>
      </c>
      <c r="ER37" s="1933">
        <v>0</v>
      </c>
      <c r="ES37" s="1544">
        <v>0</v>
      </c>
      <c r="ET37" s="1544">
        <v>23.504556862745094</v>
      </c>
      <c r="EU37" s="1544">
        <v>52.661942789186561</v>
      </c>
      <c r="EV37" s="1544">
        <v>0</v>
      </c>
      <c r="EW37" s="1544">
        <v>0</v>
      </c>
      <c r="EX37" s="1544">
        <v>18.948572549019609</v>
      </c>
      <c r="EY37" s="1544">
        <v>36.193157424755704</v>
      </c>
      <c r="EZ37" s="1544">
        <v>0</v>
      </c>
      <c r="FA37" s="1544">
        <v>0</v>
      </c>
      <c r="FB37" s="1544">
        <v>83.035411764705884</v>
      </c>
      <c r="FC37" s="1943">
        <v>142.36158488521539</v>
      </c>
      <c r="FD37" s="1933">
        <v>0</v>
      </c>
      <c r="FE37" s="1544">
        <v>0</v>
      </c>
      <c r="FF37" s="1544">
        <v>17.792886274509804</v>
      </c>
      <c r="FG37" s="1544">
        <v>32.319679897552334</v>
      </c>
      <c r="FH37" s="1544">
        <v>0</v>
      </c>
      <c r="FI37" s="1544">
        <v>0</v>
      </c>
      <c r="FJ37" s="1544">
        <v>14.276854901960785</v>
      </c>
      <c r="FK37" s="1544">
        <v>26.752859222499065</v>
      </c>
      <c r="FL37" s="1544">
        <v>0</v>
      </c>
      <c r="FM37" s="1544">
        <v>0</v>
      </c>
      <c r="FN37" s="1544">
        <v>63.735176470588243</v>
      </c>
      <c r="FO37" s="1943">
        <v>84.451933962405377</v>
      </c>
      <c r="FP37" s="1933">
        <v>0</v>
      </c>
      <c r="FQ37" s="1544">
        <v>0</v>
      </c>
      <c r="FR37" s="1544">
        <v>17.792886274509804</v>
      </c>
      <c r="FS37" s="1544">
        <v>34.04731601047132</v>
      </c>
      <c r="FT37" s="1544">
        <v>0</v>
      </c>
      <c r="FU37" s="1544">
        <v>0</v>
      </c>
      <c r="FV37" s="1544">
        <v>14.276854901960785</v>
      </c>
      <c r="FW37" s="1544">
        <v>27.416086084012392</v>
      </c>
      <c r="FX37" s="1544">
        <v>0</v>
      </c>
      <c r="FY37" s="1544">
        <v>0</v>
      </c>
      <c r="FZ37" s="1544">
        <v>63.735176470588243</v>
      </c>
      <c r="GA37" s="1943">
        <v>87.829202370811117</v>
      </c>
      <c r="GB37" s="1933">
        <v>0</v>
      </c>
      <c r="GC37" s="1544">
        <v>0</v>
      </c>
      <c r="GD37" s="1544">
        <v>19.492788235294118</v>
      </c>
      <c r="GE37" s="1544">
        <v>35.29436602639985</v>
      </c>
      <c r="GF37" s="1544">
        <v>0</v>
      </c>
      <c r="GG37" s="1544">
        <v>0</v>
      </c>
      <c r="GH37" s="1544">
        <v>15.667247058823531</v>
      </c>
      <c r="GI37" s="1544">
        <v>26.817681199251215</v>
      </c>
      <c r="GJ37" s="1544">
        <v>0</v>
      </c>
      <c r="GK37" s="1544">
        <v>0</v>
      </c>
      <c r="GL37" s="1544">
        <v>69.479294117647072</v>
      </c>
      <c r="GM37" s="1943">
        <v>96.265878200181362</v>
      </c>
      <c r="GN37" s="1933">
        <v>0</v>
      </c>
      <c r="GO37" s="1544">
        <v>0</v>
      </c>
      <c r="GP37" s="1544">
        <v>19.560784313725492</v>
      </c>
      <c r="GQ37" s="1544">
        <v>41.87450821017071</v>
      </c>
      <c r="GR37" s="1544">
        <v>0</v>
      </c>
      <c r="GS37" s="1544">
        <v>0</v>
      </c>
      <c r="GT37" s="1544">
        <v>15.722862745098041</v>
      </c>
      <c r="GU37" s="1544">
        <v>32.793708283694073</v>
      </c>
      <c r="GV37" s="1544">
        <v>0</v>
      </c>
      <c r="GW37" s="1544">
        <v>0</v>
      </c>
      <c r="GX37" s="1544">
        <v>69.709058823529432</v>
      </c>
      <c r="GY37" s="1943">
        <v>108.16570849205422</v>
      </c>
      <c r="GZ37" s="1933">
        <v>0</v>
      </c>
      <c r="HA37" s="1544">
        <v>0</v>
      </c>
      <c r="HB37" s="1544">
        <v>13.917109803921569</v>
      </c>
      <c r="HC37" s="1544">
        <v>10.969469480361431</v>
      </c>
      <c r="HD37" s="1544">
        <v>0</v>
      </c>
      <c r="HE37" s="1544">
        <v>0</v>
      </c>
      <c r="HF37" s="1544">
        <v>11.106760784313728</v>
      </c>
      <c r="HG37" s="1544">
        <v>9.7900227278863934</v>
      </c>
      <c r="HH37" s="1544">
        <v>0</v>
      </c>
      <c r="HI37" s="1544">
        <v>0</v>
      </c>
      <c r="HJ37" s="1544">
        <v>50.638588235294122</v>
      </c>
      <c r="HK37" s="1943">
        <v>46.091838547722688</v>
      </c>
      <c r="HL37" s="1933">
        <v>0</v>
      </c>
      <c r="HM37" s="1544">
        <v>0</v>
      </c>
      <c r="HN37" s="1544">
        <v>13.577129411764705</v>
      </c>
      <c r="HO37" s="1544">
        <v>9.5598944744726371</v>
      </c>
      <c r="HP37" s="1544">
        <v>0</v>
      </c>
      <c r="HQ37" s="1544">
        <v>0</v>
      </c>
      <c r="HR37" s="1544">
        <v>10.828682352941179</v>
      </c>
      <c r="HS37" s="1544">
        <v>8.5236378767734404</v>
      </c>
      <c r="HT37" s="1544">
        <v>0</v>
      </c>
      <c r="HU37" s="1544">
        <v>0</v>
      </c>
      <c r="HV37" s="1544">
        <v>49.489764705882358</v>
      </c>
      <c r="HW37" s="1943">
        <v>44.259355578561198</v>
      </c>
      <c r="HX37" s="1933">
        <v>0</v>
      </c>
      <c r="HY37" s="1544">
        <v>0</v>
      </c>
      <c r="HZ37" s="1544">
        <v>17.384909803921566</v>
      </c>
      <c r="IA37" s="1544">
        <v>30.277268610979519</v>
      </c>
      <c r="IB37" s="1544">
        <v>0</v>
      </c>
      <c r="IC37" s="1544">
        <v>0</v>
      </c>
      <c r="ID37" s="1544">
        <v>13.943160784313728</v>
      </c>
      <c r="IE37" s="1544">
        <v>25.274323570682693</v>
      </c>
      <c r="IF37" s="1544">
        <v>0</v>
      </c>
      <c r="IG37" s="1544">
        <v>0</v>
      </c>
      <c r="IH37" s="1544">
        <v>62.356588235294119</v>
      </c>
      <c r="II37" s="1943">
        <v>82.25675178494896</v>
      </c>
      <c r="IJ37" s="1933">
        <v>0</v>
      </c>
      <c r="IK37" s="1544">
        <v>0</v>
      </c>
      <c r="IL37" s="1544">
        <v>15.073043137254901</v>
      </c>
      <c r="IM37" s="1544">
        <v>15.890649358766938</v>
      </c>
      <c r="IN37" s="1544">
        <v>0</v>
      </c>
      <c r="IO37" s="1544">
        <v>0</v>
      </c>
      <c r="IP37" s="1544">
        <v>12.052227450980393</v>
      </c>
      <c r="IQ37" s="1544">
        <v>13.494147151052236</v>
      </c>
      <c r="IR37" s="1544">
        <v>0</v>
      </c>
      <c r="IS37" s="1544">
        <v>0</v>
      </c>
      <c r="IT37" s="1544">
        <v>54.544588235294128</v>
      </c>
      <c r="IU37" s="1943">
        <v>55.863513604811736</v>
      </c>
      <c r="IV37" s="1933">
        <v>0</v>
      </c>
      <c r="IW37" s="1544">
        <v>0</v>
      </c>
      <c r="IX37" s="1544">
        <v>19.560784313725492</v>
      </c>
      <c r="IY37" s="1544">
        <v>30.643680180059651</v>
      </c>
      <c r="IZ37" s="1544">
        <v>0</v>
      </c>
      <c r="JA37" s="1544">
        <v>0</v>
      </c>
      <c r="JB37" s="1544">
        <v>15.722862745098041</v>
      </c>
      <c r="JC37" s="1544">
        <v>21.877309105565615</v>
      </c>
      <c r="JD37" s="1544">
        <v>0</v>
      </c>
      <c r="JE37" s="1544">
        <v>0</v>
      </c>
      <c r="JF37" s="1544">
        <v>69.709058823529432</v>
      </c>
      <c r="JG37" s="1943">
        <v>89.244676360043727</v>
      </c>
      <c r="JH37" s="1933">
        <v>0</v>
      </c>
      <c r="JI37" s="1544">
        <v>0</v>
      </c>
      <c r="JJ37" s="1544">
        <v>16.704949019607842</v>
      </c>
      <c r="JK37" s="1544">
        <v>26.100803506378391</v>
      </c>
      <c r="JL37" s="1544">
        <v>0</v>
      </c>
      <c r="JM37" s="1544">
        <v>0</v>
      </c>
      <c r="JN37" s="1544">
        <v>13.387003921568628</v>
      </c>
      <c r="JO37" s="1544">
        <v>22.039318638682385</v>
      </c>
      <c r="JP37" s="1544">
        <v>0</v>
      </c>
      <c r="JQ37" s="1544">
        <v>0</v>
      </c>
      <c r="JR37" s="1544">
        <v>60.05894117647059</v>
      </c>
      <c r="JS37" s="1943">
        <v>74.569614087993656</v>
      </c>
      <c r="JT37" s="1933">
        <v>0</v>
      </c>
      <c r="JU37" s="1544">
        <v>0</v>
      </c>
      <c r="JV37" s="1544">
        <v>17.588898039215685</v>
      </c>
      <c r="JW37" s="1544">
        <v>29.202720386736626</v>
      </c>
      <c r="JX37" s="1544">
        <v>0</v>
      </c>
      <c r="JY37" s="1544">
        <v>0</v>
      </c>
      <c r="JZ37" s="1544">
        <v>14.110007843137256</v>
      </c>
      <c r="KA37" s="1544">
        <v>23.91169624058076</v>
      </c>
      <c r="KB37" s="1544">
        <v>0</v>
      </c>
      <c r="KC37" s="1544">
        <v>0</v>
      </c>
      <c r="KD37" s="1544">
        <v>63.045882352941177</v>
      </c>
      <c r="KE37" s="1943">
        <v>79.44959328278533</v>
      </c>
      <c r="KF37" s="1933">
        <v>0</v>
      </c>
      <c r="KG37" s="1544">
        <v>0</v>
      </c>
      <c r="KH37" s="1544">
        <v>17.928878431372549</v>
      </c>
      <c r="KI37" s="1544">
        <v>39.250480967378074</v>
      </c>
      <c r="KJ37" s="1544">
        <v>0</v>
      </c>
      <c r="KK37" s="1544">
        <v>0</v>
      </c>
      <c r="KL37" s="1544">
        <v>14.388086274509805</v>
      </c>
      <c r="KM37" s="1544">
        <v>31.745023248307128</v>
      </c>
      <c r="KN37" s="1544">
        <v>0</v>
      </c>
      <c r="KO37" s="1544">
        <v>0</v>
      </c>
      <c r="KP37" s="1544">
        <v>64.194705882352949</v>
      </c>
      <c r="KQ37" s="1943">
        <v>98.643786404436341</v>
      </c>
      <c r="KR37" s="1933">
        <v>0</v>
      </c>
      <c r="KS37" s="1544">
        <v>0</v>
      </c>
      <c r="KT37" s="1544">
        <v>15.956992156862745</v>
      </c>
      <c r="KU37" s="1544">
        <v>19.650473101623447</v>
      </c>
      <c r="KV37" s="1544">
        <v>0</v>
      </c>
      <c r="KW37" s="1544">
        <v>0</v>
      </c>
      <c r="KX37" s="1544">
        <v>12.775231372549023</v>
      </c>
      <c r="KY37" s="1544">
        <v>16.529738218476247</v>
      </c>
      <c r="KZ37" s="1544">
        <v>0</v>
      </c>
      <c r="LA37" s="1544">
        <v>0</v>
      </c>
      <c r="LB37" s="1544">
        <v>57.531529411764708</v>
      </c>
      <c r="LC37" s="1943">
        <v>61.726934476592291</v>
      </c>
      <c r="LD37" s="1933">
        <v>0</v>
      </c>
      <c r="LE37" s="1544">
        <v>0</v>
      </c>
      <c r="LF37" s="1544">
        <v>18.336854901960784</v>
      </c>
      <c r="LG37" s="1544">
        <v>37.571146512071564</v>
      </c>
      <c r="LH37" s="1544">
        <v>0</v>
      </c>
      <c r="LI37" s="1544">
        <v>0</v>
      </c>
      <c r="LJ37" s="1544">
        <v>14.721780392156866</v>
      </c>
      <c r="LK37" s="1544">
        <v>29.269057946553804</v>
      </c>
      <c r="LL37" s="1544">
        <v>0</v>
      </c>
      <c r="LM37" s="1544">
        <v>0</v>
      </c>
      <c r="LN37" s="1544">
        <v>65.573294117647066</v>
      </c>
      <c r="LO37" s="1943">
        <v>100.05566878007284</v>
      </c>
      <c r="LP37" s="1933">
        <v>0</v>
      </c>
      <c r="LQ37" s="1544">
        <v>0</v>
      </c>
      <c r="LR37" s="1544">
        <v>18.540843137254903</v>
      </c>
      <c r="LS37" s="1544">
        <v>32.205573087310896</v>
      </c>
      <c r="LT37" s="1544">
        <v>0</v>
      </c>
      <c r="LU37" s="1544">
        <v>0</v>
      </c>
      <c r="LV37" s="1544">
        <v>14.888627450980394</v>
      </c>
      <c r="LW37" s="1544">
        <v>26.2798518291908</v>
      </c>
      <c r="LX37" s="1544">
        <v>0</v>
      </c>
      <c r="LY37" s="1544">
        <v>0</v>
      </c>
      <c r="LZ37" s="1544">
        <v>66.262588235294132</v>
      </c>
      <c r="MA37" s="1943">
        <v>83.918485557940897</v>
      </c>
      <c r="MB37" s="1933">
        <v>0</v>
      </c>
      <c r="MC37" s="1544">
        <v>0</v>
      </c>
      <c r="MD37" s="1544">
        <v>25.000470588235292</v>
      </c>
      <c r="ME37" s="1544">
        <v>50.655584356343162</v>
      </c>
      <c r="MF37" s="1544">
        <v>0</v>
      </c>
      <c r="MG37" s="1544">
        <v>0</v>
      </c>
      <c r="MH37" s="1544">
        <v>20.172117647058826</v>
      </c>
      <c r="MI37" s="1544">
        <v>35.467194673382117</v>
      </c>
      <c r="MJ37" s="1544">
        <v>0</v>
      </c>
      <c r="MK37" s="1544">
        <v>0</v>
      </c>
      <c r="ML37" s="1544">
        <v>88.090235294117647</v>
      </c>
      <c r="MM37" s="1943">
        <v>131.98221293763618</v>
      </c>
      <c r="MN37" s="1933">
        <v>0</v>
      </c>
      <c r="MO37" s="1544">
        <v>0</v>
      </c>
      <c r="MP37" s="1544">
        <v>20.444733333333332</v>
      </c>
      <c r="MQ37" s="1544">
        <v>47.324335179596268</v>
      </c>
      <c r="MR37" s="1544">
        <v>0</v>
      </c>
      <c r="MS37" s="1544">
        <v>0</v>
      </c>
      <c r="MT37" s="1544">
        <v>16.445866666666667</v>
      </c>
      <c r="MU37" s="1544">
        <v>35.257100228698796</v>
      </c>
      <c r="MV37" s="1544">
        <v>0</v>
      </c>
      <c r="MW37" s="1544">
        <v>0</v>
      </c>
      <c r="MX37" s="1544">
        <v>72.695999999999998</v>
      </c>
      <c r="MY37" s="1943">
        <v>126.06911118352052</v>
      </c>
      <c r="MZ37" s="1933">
        <v>0</v>
      </c>
      <c r="NA37" s="1544">
        <v>0</v>
      </c>
      <c r="NB37" s="1544">
        <v>19.356796078431373</v>
      </c>
      <c r="NC37" s="1544">
        <v>33.110475729078104</v>
      </c>
      <c r="ND37" s="1544">
        <v>0</v>
      </c>
      <c r="NE37" s="1544">
        <v>0</v>
      </c>
      <c r="NF37" s="1544">
        <v>15.556015686274513</v>
      </c>
      <c r="NG37" s="1544">
        <v>26.27816053674173</v>
      </c>
      <c r="NH37" s="1544">
        <v>0</v>
      </c>
      <c r="NI37" s="1544">
        <v>0</v>
      </c>
      <c r="NJ37" s="1544">
        <v>69.019764705882352</v>
      </c>
      <c r="NK37" s="1943">
        <v>87.23732528814287</v>
      </c>
      <c r="NL37" s="1933">
        <v>0</v>
      </c>
      <c r="NM37" s="1544">
        <v>0</v>
      </c>
      <c r="NN37" s="1544">
        <v>18.132866666666665</v>
      </c>
      <c r="NO37" s="1544">
        <v>33.081488906420709</v>
      </c>
      <c r="NP37" s="1544">
        <v>0</v>
      </c>
      <c r="NQ37" s="1544">
        <v>0</v>
      </c>
      <c r="NR37" s="1544">
        <v>14.554933333333334</v>
      </c>
      <c r="NS37" s="1544">
        <v>27.576973914126391</v>
      </c>
      <c r="NT37" s="1544">
        <v>0</v>
      </c>
      <c r="NU37" s="1544">
        <v>0</v>
      </c>
      <c r="NV37" s="1544">
        <v>64.884000000000015</v>
      </c>
      <c r="NW37" s="1943">
        <v>86.477486890793386</v>
      </c>
      <c r="NX37" s="1933">
        <v>0</v>
      </c>
      <c r="NY37" s="1544">
        <v>0</v>
      </c>
      <c r="NZ37" s="1544">
        <v>21.192690196078431</v>
      </c>
      <c r="OA37" s="1544">
        <v>39.150171867152373</v>
      </c>
      <c r="OB37" s="1544">
        <v>0</v>
      </c>
      <c r="OC37" s="1544">
        <v>0</v>
      </c>
      <c r="OD37" s="1544">
        <v>17.057639215686276</v>
      </c>
      <c r="OE37" s="1544">
        <v>28.819583497194948</v>
      </c>
      <c r="OF37" s="1544">
        <v>0</v>
      </c>
      <c r="OG37" s="1544">
        <v>0</v>
      </c>
      <c r="OH37" s="1544">
        <v>75.223411764705901</v>
      </c>
      <c r="OI37" s="1934">
        <v>103.23932950740577</v>
      </c>
      <c r="OJ37" s="1933">
        <v>0</v>
      </c>
      <c r="OK37" s="1544">
        <v>0</v>
      </c>
      <c r="OL37" s="1544">
        <v>17.112925490196076</v>
      </c>
      <c r="OM37" s="1544">
        <v>24.440678665687759</v>
      </c>
      <c r="ON37" s="1544">
        <v>0</v>
      </c>
      <c r="OO37" s="1544">
        <v>0</v>
      </c>
      <c r="OP37" s="1544">
        <v>13.720698039215687</v>
      </c>
      <c r="OQ37" s="1544">
        <v>19.663823247976289</v>
      </c>
      <c r="OR37" s="1544">
        <v>0</v>
      </c>
      <c r="OS37" s="1544">
        <v>0</v>
      </c>
      <c r="OT37" s="1544">
        <v>61.437529411764714</v>
      </c>
      <c r="OU37" s="1934">
        <v>70.859431781206681</v>
      </c>
      <c r="OV37" s="1933">
        <v>0</v>
      </c>
      <c r="OW37" s="1544">
        <v>0</v>
      </c>
      <c r="OX37" s="1544">
        <v>24.048525490196084</v>
      </c>
      <c r="OY37" s="1544">
        <v>46.18909999217567</v>
      </c>
      <c r="OZ37" s="1544">
        <v>0</v>
      </c>
      <c r="PA37" s="1544">
        <v>0</v>
      </c>
      <c r="PB37" s="1544">
        <v>19.393498039215689</v>
      </c>
      <c r="PC37" s="1544">
        <v>33.834196293074818</v>
      </c>
      <c r="PD37" s="1544">
        <v>0</v>
      </c>
      <c r="PE37" s="1544">
        <v>0</v>
      </c>
      <c r="PF37" s="1544">
        <v>84.873529411764736</v>
      </c>
      <c r="PG37" s="1934">
        <v>117.15011762521812</v>
      </c>
      <c r="PH37" s="1933">
        <v>0</v>
      </c>
      <c r="PI37" s="1544">
        <v>0</v>
      </c>
      <c r="PJ37" s="1544">
        <v>18.336854901960784</v>
      </c>
      <c r="PK37" s="1544">
        <v>27.03800643680362</v>
      </c>
      <c r="PL37" s="1544">
        <v>0</v>
      </c>
      <c r="PM37" s="1544">
        <v>0</v>
      </c>
      <c r="PN37" s="1544">
        <v>14.721780392156866</v>
      </c>
      <c r="PO37" s="1544">
        <v>22.297249004678726</v>
      </c>
      <c r="PP37" s="1544">
        <v>0</v>
      </c>
      <c r="PQ37" s="1544">
        <v>0</v>
      </c>
      <c r="PR37" s="1544">
        <v>65.573294117647066</v>
      </c>
      <c r="PS37" s="1934">
        <v>75.630830378594979</v>
      </c>
      <c r="PT37" s="1933">
        <v>0</v>
      </c>
      <c r="PU37" s="1544">
        <v>0</v>
      </c>
      <c r="PV37" s="1544">
        <v>17.996874509803924</v>
      </c>
      <c r="PW37" s="1544">
        <v>32.530170144070908</v>
      </c>
      <c r="PX37" s="1544">
        <v>0</v>
      </c>
      <c r="PY37" s="1544">
        <v>0</v>
      </c>
      <c r="PZ37" s="1544">
        <v>14.443701960784317</v>
      </c>
      <c r="QA37" s="1544">
        <v>26.530923158446384</v>
      </c>
      <c r="QB37" s="1544">
        <v>0</v>
      </c>
      <c r="QC37" s="1544">
        <v>0</v>
      </c>
      <c r="QD37" s="1544">
        <v>64.424470588235295</v>
      </c>
      <c r="QE37" s="1934">
        <v>84.834015828790825</v>
      </c>
      <c r="QF37" s="1933">
        <v>0</v>
      </c>
      <c r="QG37" s="1544">
        <v>0</v>
      </c>
      <c r="QH37" s="1544">
        <v>20.580725490196077</v>
      </c>
      <c r="QI37" s="1544">
        <v>42.293032395236686</v>
      </c>
      <c r="QJ37" s="1544">
        <v>0</v>
      </c>
      <c r="QK37" s="1544">
        <v>0</v>
      </c>
      <c r="QL37" s="1544">
        <v>16.557098039215688</v>
      </c>
      <c r="QM37" s="1544">
        <v>30.71744357442531</v>
      </c>
      <c r="QN37" s="1544">
        <v>0</v>
      </c>
      <c r="QO37" s="1544">
        <v>0</v>
      </c>
      <c r="QP37" s="1544">
        <v>73.155529411764718</v>
      </c>
      <c r="QQ37" s="1934">
        <v>117.25514569609452</v>
      </c>
      <c r="QR37" s="1933">
        <v>0</v>
      </c>
      <c r="QS37" s="1544">
        <v>0</v>
      </c>
      <c r="QT37" s="1544">
        <v>18.26885882352941</v>
      </c>
      <c r="QU37" s="1544">
        <v>29.917856093307979</v>
      </c>
      <c r="QV37" s="1544">
        <v>0</v>
      </c>
      <c r="QW37" s="1544">
        <v>0</v>
      </c>
      <c r="QX37" s="1544">
        <v>14.666164705882354</v>
      </c>
      <c r="QY37" s="1544">
        <v>24.471731638104117</v>
      </c>
      <c r="QZ37" s="1544">
        <v>0</v>
      </c>
      <c r="RA37" s="1544">
        <v>0</v>
      </c>
      <c r="RB37" s="1544">
        <v>65.343529411764706</v>
      </c>
      <c r="RC37" s="1934">
        <v>80.8635370336291</v>
      </c>
      <c r="RD37" s="1933">
        <v>0</v>
      </c>
      <c r="RE37" s="1544">
        <v>0</v>
      </c>
      <c r="RF37" s="1544">
        <v>18.132866666666665</v>
      </c>
      <c r="RG37" s="1544">
        <v>29.411197237886949</v>
      </c>
      <c r="RH37" s="1544">
        <v>0</v>
      </c>
      <c r="RI37" s="1544">
        <v>0</v>
      </c>
      <c r="RJ37" s="1544">
        <v>14.554933333333334</v>
      </c>
      <c r="RK37" s="1544">
        <v>24.031142924194953</v>
      </c>
      <c r="RL37" s="1544">
        <v>0</v>
      </c>
      <c r="RM37" s="1544">
        <v>0</v>
      </c>
      <c r="RN37" s="1544">
        <v>64.884000000000015</v>
      </c>
      <c r="RO37" s="1934">
        <v>79.66891557091931</v>
      </c>
    </row>
    <row r="38" spans="1:483">
      <c r="A38" s="634">
        <f>Eingabedaten!A40</f>
        <v>11.02</v>
      </c>
      <c r="B38" s="379" t="str">
        <f>Eingabedaten!C40</f>
        <v>Fitnessraum</v>
      </c>
      <c r="C38" s="379"/>
      <c r="D38" s="1933">
        <v>14.770768627450979</v>
      </c>
      <c r="E38" s="1544">
        <v>0</v>
      </c>
      <c r="F38" s="1544">
        <v>12.424119607843135</v>
      </c>
      <c r="G38" s="1544">
        <v>13.831253425407903</v>
      </c>
      <c r="H38" s="1544">
        <v>12.121827450980394</v>
      </c>
      <c r="I38" s="1544">
        <v>0</v>
      </c>
      <c r="J38" s="1544">
        <v>9.7019058823529427</v>
      </c>
      <c r="K38" s="1544">
        <v>11.069592917733491</v>
      </c>
      <c r="L38" s="1544">
        <v>0</v>
      </c>
      <c r="M38" s="1544">
        <v>0</v>
      </c>
      <c r="N38" s="1544">
        <v>36.927750980392155</v>
      </c>
      <c r="O38" s="1943">
        <v>105.40543945189357</v>
      </c>
      <c r="P38" s="1933">
        <v>28.611120784313734</v>
      </c>
      <c r="Q38" s="1544">
        <v>4.0156114986086502</v>
      </c>
      <c r="R38" s="1544">
        <v>10.356027450980392</v>
      </c>
      <c r="S38" s="1544">
        <v>10.285724288573379</v>
      </c>
      <c r="T38" s="1544">
        <v>22.342093333333334</v>
      </c>
      <c r="U38" s="1544">
        <v>1.419049073337695</v>
      </c>
      <c r="V38" s="1544">
        <v>8.0849215686274505</v>
      </c>
      <c r="W38" s="1544">
        <v>9.5420149241101502</v>
      </c>
      <c r="X38" s="1544">
        <v>0</v>
      </c>
      <c r="Y38" s="1544">
        <v>0</v>
      </c>
      <c r="Z38" s="1544">
        <v>31.215131372549017</v>
      </c>
      <c r="AA38" s="1943">
        <v>74.789734171622612</v>
      </c>
      <c r="AB38" s="1933">
        <v>25.960996078431378</v>
      </c>
      <c r="AC38" s="1544">
        <v>2.495110998274082</v>
      </c>
      <c r="AD38" s="1544">
        <v>10.400029411764706</v>
      </c>
      <c r="AE38" s="1544">
        <v>12.530987098350984</v>
      </c>
      <c r="AF38" s="1544">
        <v>21.722498823529413</v>
      </c>
      <c r="AG38" s="1544">
        <v>0.63706650032883338</v>
      </c>
      <c r="AH38" s="1544">
        <v>8.1193254901960792</v>
      </c>
      <c r="AI38" s="1544">
        <v>11.745255769520272</v>
      </c>
      <c r="AJ38" s="1544">
        <v>0</v>
      </c>
      <c r="AK38" s="1544">
        <v>0</v>
      </c>
      <c r="AL38" s="1544">
        <v>31.336676470588234</v>
      </c>
      <c r="AM38" s="1943">
        <v>80.137603730686322</v>
      </c>
      <c r="AN38" s="1933">
        <v>30.546118039215688</v>
      </c>
      <c r="AO38" s="1544">
        <v>5.6613255552900359</v>
      </c>
      <c r="AP38" s="1544">
        <v>10.796047058823529</v>
      </c>
      <c r="AQ38" s="1544">
        <v>8.2592747663593489</v>
      </c>
      <c r="AR38" s="1544">
        <v>23.874327843137255</v>
      </c>
      <c r="AS38" s="1544">
        <v>2.5031669417363123</v>
      </c>
      <c r="AT38" s="1544">
        <v>8.4289607843137269</v>
      </c>
      <c r="AU38" s="1544">
        <v>7.8090569411930684</v>
      </c>
      <c r="AV38" s="1544">
        <v>0</v>
      </c>
      <c r="AW38" s="1544">
        <v>0</v>
      </c>
      <c r="AX38" s="1544">
        <v>32.43058235294118</v>
      </c>
      <c r="AY38" s="1943">
        <v>67.788747976629267</v>
      </c>
      <c r="AZ38" s="1933">
        <v>27.786352549019615</v>
      </c>
      <c r="BA38" s="1544">
        <v>3.7466797202389448</v>
      </c>
      <c r="BB38" s="1544">
        <v>11.192064705882352</v>
      </c>
      <c r="BC38" s="1544">
        <v>12.327955323083508</v>
      </c>
      <c r="BD38" s="1544">
        <v>21.776672156862748</v>
      </c>
      <c r="BE38" s="1544">
        <v>1.2957075667655755</v>
      </c>
      <c r="BF38" s="1544">
        <v>8.7385960784313728</v>
      </c>
      <c r="BG38" s="1544">
        <v>10.950354588375818</v>
      </c>
      <c r="BH38" s="1544">
        <v>0</v>
      </c>
      <c r="BI38" s="1544">
        <v>0</v>
      </c>
      <c r="BJ38" s="1544">
        <v>33.524488235294115</v>
      </c>
      <c r="BK38" s="1943">
        <v>81.839597929199428</v>
      </c>
      <c r="BL38" s="1933">
        <v>27.405871372549022</v>
      </c>
      <c r="BM38" s="1544">
        <v>4.2040473506105807</v>
      </c>
      <c r="BN38" s="1544">
        <v>11.060058823529411</v>
      </c>
      <c r="BO38" s="1544">
        <v>12.691041494847664</v>
      </c>
      <c r="BP38" s="1544">
        <v>21.575996862745104</v>
      </c>
      <c r="BQ38" s="1544">
        <v>1.4600430809509095</v>
      </c>
      <c r="BR38" s="1544">
        <v>8.635384313725492</v>
      </c>
      <c r="BS38" s="1544">
        <v>11.68374273184881</v>
      </c>
      <c r="BT38" s="1544">
        <v>0</v>
      </c>
      <c r="BU38" s="1544">
        <v>0</v>
      </c>
      <c r="BV38" s="1544">
        <v>33.159852941176467</v>
      </c>
      <c r="BW38" s="1943">
        <v>81.411689855914403</v>
      </c>
      <c r="BX38" s="1933">
        <v>26.128179607843141</v>
      </c>
      <c r="BY38" s="1544">
        <v>2.9509855521377379</v>
      </c>
      <c r="BZ38" s="1544">
        <v>11.104060784313724</v>
      </c>
      <c r="CA38" s="1544">
        <v>10.055290265947878</v>
      </c>
      <c r="CB38" s="1544">
        <v>20.568563921568629</v>
      </c>
      <c r="CC38" s="1544">
        <v>0.825900241332861</v>
      </c>
      <c r="CD38" s="1544">
        <v>8.6697882352941189</v>
      </c>
      <c r="CE38" s="1544">
        <v>8.9213914145232049</v>
      </c>
      <c r="CF38" s="1544">
        <v>0</v>
      </c>
      <c r="CG38" s="1544">
        <v>0</v>
      </c>
      <c r="CH38" s="1544">
        <v>33.281398039215688</v>
      </c>
      <c r="CI38" s="1943">
        <v>75.442680544256916</v>
      </c>
      <c r="CJ38" s="1933">
        <v>11.784184313725493</v>
      </c>
      <c r="CK38" s="1544">
        <v>0</v>
      </c>
      <c r="CL38" s="1544">
        <v>13.700176470588236</v>
      </c>
      <c r="CM38" s="1544">
        <v>17.999944791861939</v>
      </c>
      <c r="CN38" s="1544">
        <v>7.6448509803921576</v>
      </c>
      <c r="CO38" s="1544">
        <v>0</v>
      </c>
      <c r="CP38" s="1544">
        <v>10.69961960784314</v>
      </c>
      <c r="CQ38" s="1544">
        <v>13.726555708318394</v>
      </c>
      <c r="CR38" s="1544">
        <v>0</v>
      </c>
      <c r="CS38" s="1544">
        <v>0</v>
      </c>
      <c r="CT38" s="1544">
        <v>40.452558823529415</v>
      </c>
      <c r="CU38" s="1943">
        <v>124.81719044571005</v>
      </c>
      <c r="CV38" s="1933">
        <v>24.008865490196079</v>
      </c>
      <c r="CW38" s="1544">
        <v>0</v>
      </c>
      <c r="CX38" s="1544">
        <v>12.204109803921567</v>
      </c>
      <c r="CY38" s="1544">
        <v>12.490116544002232</v>
      </c>
      <c r="CZ38" s="1544">
        <v>18.794079215686274</v>
      </c>
      <c r="DA38" s="1544">
        <v>0</v>
      </c>
      <c r="DB38" s="1544">
        <v>9.5298862745098045</v>
      </c>
      <c r="DC38" s="1544">
        <v>9.9819646806650297</v>
      </c>
      <c r="DD38" s="1544">
        <v>0</v>
      </c>
      <c r="DE38" s="1544">
        <v>0</v>
      </c>
      <c r="DF38" s="1544">
        <v>36.320025490196073</v>
      </c>
      <c r="DG38" s="1943">
        <v>96.556479117295368</v>
      </c>
      <c r="DH38" s="1933">
        <v>25.731681960784314</v>
      </c>
      <c r="DI38" s="1544">
        <v>0</v>
      </c>
      <c r="DJ38" s="1544">
        <v>12.864139215686274</v>
      </c>
      <c r="DK38" s="1544">
        <v>18.923165188192268</v>
      </c>
      <c r="DL38" s="1544">
        <v>20.072060392156864</v>
      </c>
      <c r="DM38" s="1544">
        <v>0</v>
      </c>
      <c r="DN38" s="1544">
        <v>10.045945098039216</v>
      </c>
      <c r="DO38" s="1544">
        <v>16.095648828853832</v>
      </c>
      <c r="DP38" s="1544">
        <v>0</v>
      </c>
      <c r="DQ38" s="1544">
        <v>0</v>
      </c>
      <c r="DR38" s="1544">
        <v>38.14320196078431</v>
      </c>
      <c r="DS38" s="1943">
        <v>109.47635026974821</v>
      </c>
      <c r="DT38" s="1933">
        <v>29.249338431372546</v>
      </c>
      <c r="DU38" s="1544">
        <v>6.5936037599694881</v>
      </c>
      <c r="DV38" s="1544">
        <v>9.7840019607843125</v>
      </c>
      <c r="DW38" s="1544">
        <v>7.254782033422071</v>
      </c>
      <c r="DX38" s="1544">
        <v>22.916458039215687</v>
      </c>
      <c r="DY38" s="1544">
        <v>3.2353881363809545</v>
      </c>
      <c r="DZ38" s="1544">
        <v>7.6376705882352951</v>
      </c>
      <c r="EA38" s="1544">
        <v>6.9622525628607006</v>
      </c>
      <c r="EB38" s="1544">
        <v>0</v>
      </c>
      <c r="EC38" s="1544">
        <v>0</v>
      </c>
      <c r="ED38" s="1544">
        <v>29.635045098039214</v>
      </c>
      <c r="EE38" s="1943">
        <v>64.534456816976302</v>
      </c>
      <c r="EF38" s="1933">
        <v>26.489712549019615</v>
      </c>
      <c r="EG38" s="1544">
        <v>1.4332003997006721</v>
      </c>
      <c r="EH38" s="1544">
        <v>11.544080392156861</v>
      </c>
      <c r="EI38" s="1544">
        <v>17.513154370359391</v>
      </c>
      <c r="EJ38" s="1544">
        <v>20.803102745098037</v>
      </c>
      <c r="EK38" s="1544">
        <v>1.9225649647090687E-2</v>
      </c>
      <c r="EL38" s="1544">
        <v>9.0138274509803935</v>
      </c>
      <c r="EM38" s="1544">
        <v>15.753639073489044</v>
      </c>
      <c r="EN38" s="1544">
        <v>0</v>
      </c>
      <c r="EO38" s="1544">
        <v>0</v>
      </c>
      <c r="EP38" s="1544">
        <v>34.496849019607843</v>
      </c>
      <c r="EQ38" s="1943">
        <v>94.733619771841319</v>
      </c>
      <c r="ER38" s="1933">
        <v>0.38325490196078515</v>
      </c>
      <c r="ES38" s="1544">
        <v>0</v>
      </c>
      <c r="ET38" s="1544">
        <v>14.712221568627449</v>
      </c>
      <c r="EU38" s="1544">
        <v>23.644305743324601</v>
      </c>
      <c r="EV38" s="1544">
        <v>0</v>
      </c>
      <c r="EW38" s="1544">
        <v>0</v>
      </c>
      <c r="EX38" s="1544">
        <v>11.49090980392157</v>
      </c>
      <c r="EY38" s="1544">
        <v>17.531314654191895</v>
      </c>
      <c r="EZ38" s="1544">
        <v>0</v>
      </c>
      <c r="FA38" s="1544">
        <v>0</v>
      </c>
      <c r="FB38" s="1544">
        <v>43.248096078431374</v>
      </c>
      <c r="FC38" s="1943">
        <v>160.31497312423582</v>
      </c>
      <c r="FD38" s="1933">
        <v>26.453212156862751</v>
      </c>
      <c r="FE38" s="1544">
        <v>3.6214661638921291</v>
      </c>
      <c r="FF38" s="1544">
        <v>11.016056862745097</v>
      </c>
      <c r="FG38" s="1544">
        <v>13.445746595338772</v>
      </c>
      <c r="FH38" s="1544">
        <v>20.713833725490201</v>
      </c>
      <c r="FI38" s="1544">
        <v>1.1772795980806445</v>
      </c>
      <c r="FJ38" s="1544">
        <v>8.6009803921568633</v>
      </c>
      <c r="FK38" s="1544">
        <v>12.175158367729573</v>
      </c>
      <c r="FL38" s="1544">
        <v>0</v>
      </c>
      <c r="FM38" s="1544">
        <v>0</v>
      </c>
      <c r="FN38" s="1544">
        <v>33.038307843137254</v>
      </c>
      <c r="FO38" s="1943">
        <v>83.371260256551139</v>
      </c>
      <c r="FP38" s="1933">
        <v>24.693755686274514</v>
      </c>
      <c r="FQ38" s="1544">
        <v>2.2192428099279082</v>
      </c>
      <c r="FR38" s="1544">
        <v>11.016056862745097</v>
      </c>
      <c r="FS38" s="1544">
        <v>14.331023693871098</v>
      </c>
      <c r="FT38" s="1544">
        <v>19.362283137254906</v>
      </c>
      <c r="FU38" s="1544">
        <v>0.48275140932802557</v>
      </c>
      <c r="FV38" s="1544">
        <v>8.6009803921568633</v>
      </c>
      <c r="FW38" s="1544">
        <v>12.417289937880128</v>
      </c>
      <c r="FX38" s="1544">
        <v>0</v>
      </c>
      <c r="FY38" s="1544">
        <v>0</v>
      </c>
      <c r="FZ38" s="1544">
        <v>33.038307843137254</v>
      </c>
      <c r="GA38" s="1943">
        <v>87.207683558295599</v>
      </c>
      <c r="GB38" s="1933">
        <v>23.897549411764711</v>
      </c>
      <c r="GC38" s="1544">
        <v>0</v>
      </c>
      <c r="GD38" s="1544">
        <v>12.11610588235294</v>
      </c>
      <c r="GE38" s="1544">
        <v>14.214230061842331</v>
      </c>
      <c r="GF38" s="1544">
        <v>19.917694117647059</v>
      </c>
      <c r="GG38" s="1544">
        <v>0</v>
      </c>
      <c r="GH38" s="1544">
        <v>9.4610784313725489</v>
      </c>
      <c r="GI38" s="1544">
        <v>11.604468157388583</v>
      </c>
      <c r="GJ38" s="1544">
        <v>0</v>
      </c>
      <c r="GK38" s="1544">
        <v>0</v>
      </c>
      <c r="GL38" s="1544">
        <v>36.076935294117646</v>
      </c>
      <c r="GM38" s="1943">
        <v>99.313441974292459</v>
      </c>
      <c r="GN38" s="1933">
        <v>23.011278431372546</v>
      </c>
      <c r="GO38" s="1544">
        <v>0</v>
      </c>
      <c r="GP38" s="1544">
        <v>12.160107843137256</v>
      </c>
      <c r="GQ38" s="1544">
        <v>17.691231036875447</v>
      </c>
      <c r="GR38" s="1544">
        <v>18.108180392156857</v>
      </c>
      <c r="GS38" s="1544">
        <v>0</v>
      </c>
      <c r="GT38" s="1544">
        <v>9.4954823529411776</v>
      </c>
      <c r="GU38" s="1544">
        <v>14.879987870759031</v>
      </c>
      <c r="GV38" s="1544">
        <v>0</v>
      </c>
      <c r="GW38" s="1544">
        <v>0</v>
      </c>
      <c r="GX38" s="1544">
        <v>36.198480392156867</v>
      </c>
      <c r="GY38" s="1943">
        <v>109.62050713216361</v>
      </c>
      <c r="GZ38" s="1933">
        <v>26.221664313725491</v>
      </c>
      <c r="HA38" s="1544">
        <v>9.0064788687896904</v>
      </c>
      <c r="HB38" s="1544">
        <v>8.5079450980392153</v>
      </c>
      <c r="HC38" s="1544">
        <v>1.0614674521707796</v>
      </c>
      <c r="HD38" s="1544">
        <v>20.540542745098037</v>
      </c>
      <c r="HE38" s="1544">
        <v>4.7689652622794236</v>
      </c>
      <c r="HF38" s="1544">
        <v>6.6399568627450982</v>
      </c>
      <c r="HG38" s="1544">
        <v>1.8376947459892421</v>
      </c>
      <c r="HH38" s="1544">
        <v>38.648062745098045</v>
      </c>
      <c r="HI38" s="1544">
        <v>1.5512890874768301</v>
      </c>
      <c r="HJ38" s="1544">
        <v>26.110237254901961</v>
      </c>
      <c r="HK38" s="1943">
        <v>44.975287169440854</v>
      </c>
      <c r="HL38" s="1933">
        <v>28.055936470588236</v>
      </c>
      <c r="HM38" s="1544">
        <v>9.7672017898630159</v>
      </c>
      <c r="HN38" s="1544">
        <v>8.2879352941176467</v>
      </c>
      <c r="HO38" s="1544">
        <v>0.23802478269119445</v>
      </c>
      <c r="HP38" s="1544">
        <v>21.866536470588237</v>
      </c>
      <c r="HQ38" s="1544">
        <v>5.2019192006919939</v>
      </c>
      <c r="HR38" s="1544">
        <v>6.4679372549019609</v>
      </c>
      <c r="HS38" s="1544">
        <v>1.0602419367537377</v>
      </c>
      <c r="HT38" s="1544">
        <v>41.414164705882349</v>
      </c>
      <c r="HU38" s="1544">
        <v>2.4160766899210953</v>
      </c>
      <c r="HV38" s="1544">
        <v>25.502511764705879</v>
      </c>
      <c r="HW38" s="1943">
        <v>43.433476527522878</v>
      </c>
      <c r="HX38" s="1933">
        <v>29.212419215686278</v>
      </c>
      <c r="HY38" s="1544">
        <v>3.8101458595910831</v>
      </c>
      <c r="HZ38" s="1544">
        <v>10.752045098039215</v>
      </c>
      <c r="IA38" s="1544">
        <v>12.192201295707639</v>
      </c>
      <c r="IB38" s="1544">
        <v>22.874287843137253</v>
      </c>
      <c r="IC38" s="1544">
        <v>1.3439578418501859</v>
      </c>
      <c r="ID38" s="1544">
        <v>8.3945568627450982</v>
      </c>
      <c r="IE38" s="1544">
        <v>11.204862918117643</v>
      </c>
      <c r="IF38" s="1544">
        <v>0</v>
      </c>
      <c r="IG38" s="1544">
        <v>0</v>
      </c>
      <c r="IH38" s="1544">
        <v>32.309037254901959</v>
      </c>
      <c r="II38" s="1943">
        <v>80.646150983545283</v>
      </c>
      <c r="IJ38" s="1933">
        <v>27.379263921568629</v>
      </c>
      <c r="IK38" s="1544">
        <v>9.0114175706514104</v>
      </c>
      <c r="IL38" s="1544">
        <v>9.2559784313725491</v>
      </c>
      <c r="IM38" s="1544">
        <v>3.9613867086623831</v>
      </c>
      <c r="IN38" s="1544">
        <v>21.422697254901959</v>
      </c>
      <c r="IO38" s="1544">
        <v>4.8290378478410663</v>
      </c>
      <c r="IP38" s="1544">
        <v>7.2248235294117649</v>
      </c>
      <c r="IQ38" s="1544">
        <v>4.1926274648644055</v>
      </c>
      <c r="IR38" s="1544">
        <v>40.811772549019601</v>
      </c>
      <c r="IS38" s="1544">
        <v>1.4253903905173912</v>
      </c>
      <c r="IT38" s="1544">
        <v>28.176503921568628</v>
      </c>
      <c r="IU38" s="1943">
        <v>54.991188322585387</v>
      </c>
      <c r="IV38" s="1933">
        <v>25.292070588235294</v>
      </c>
      <c r="IW38" s="1544">
        <v>0</v>
      </c>
      <c r="IX38" s="1544">
        <v>12.160107843137256</v>
      </c>
      <c r="IY38" s="1544">
        <v>11.729124112480015</v>
      </c>
      <c r="IZ38" s="1544">
        <v>20.280423529411763</v>
      </c>
      <c r="JA38" s="1544">
        <v>0</v>
      </c>
      <c r="JB38" s="1544">
        <v>9.4954823529411776</v>
      </c>
      <c r="JC38" s="1544">
        <v>9.0134524897512556</v>
      </c>
      <c r="JD38" s="1544">
        <v>0</v>
      </c>
      <c r="JE38" s="1544">
        <v>0</v>
      </c>
      <c r="JF38" s="1544">
        <v>36.198480392156867</v>
      </c>
      <c r="JG38" s="1943">
        <v>96.009448839697995</v>
      </c>
      <c r="JH38" s="1933">
        <v>24.184127058823528</v>
      </c>
      <c r="JI38" s="1544">
        <v>5.1975789221715827</v>
      </c>
      <c r="JJ38" s="1544">
        <v>10.312025490196078</v>
      </c>
      <c r="JK38" s="1544">
        <v>9.809595968908587</v>
      </c>
      <c r="JL38" s="1544">
        <v>19.006162352941178</v>
      </c>
      <c r="JM38" s="1544">
        <v>2.1877673847258374</v>
      </c>
      <c r="JN38" s="1544">
        <v>8.0505176470588236</v>
      </c>
      <c r="JO38" s="1544">
        <v>9.3077761251983127</v>
      </c>
      <c r="JP38" s="1544">
        <v>0</v>
      </c>
      <c r="JQ38" s="1544">
        <v>0</v>
      </c>
      <c r="JR38" s="1544">
        <v>31.0935862745098</v>
      </c>
      <c r="JS38" s="1943">
        <v>72.678915917741222</v>
      </c>
      <c r="JT38" s="1933">
        <v>28.906893333333336</v>
      </c>
      <c r="JU38" s="1544">
        <v>4.3651774957973686</v>
      </c>
      <c r="JV38" s="1544">
        <v>10.884050980392155</v>
      </c>
      <c r="JW38" s="1544">
        <v>11.894437418661742</v>
      </c>
      <c r="JX38" s="1544">
        <v>22.632356078431371</v>
      </c>
      <c r="JY38" s="1544">
        <v>1.5937297631314113</v>
      </c>
      <c r="JZ38" s="1544">
        <v>8.4977686274509807</v>
      </c>
      <c r="KA38" s="1544">
        <v>10.742933190745847</v>
      </c>
      <c r="KB38" s="1544">
        <v>0</v>
      </c>
      <c r="KC38" s="1544">
        <v>0</v>
      </c>
      <c r="KD38" s="1544">
        <v>32.673672549019606</v>
      </c>
      <c r="KE38" s="1943">
        <v>79.371168741684215</v>
      </c>
      <c r="KF38" s="1933">
        <v>25.158247450980394</v>
      </c>
      <c r="KG38" s="1544">
        <v>1.1096371919333874</v>
      </c>
      <c r="KH38" s="1544">
        <v>11.104060784313724</v>
      </c>
      <c r="KI38" s="1544">
        <v>17.224348877837532</v>
      </c>
      <c r="KJ38" s="1544">
        <v>19.551869019607846</v>
      </c>
      <c r="KK38" s="1544">
        <v>0</v>
      </c>
      <c r="KL38" s="1544">
        <v>8.6697882352941189</v>
      </c>
      <c r="KM38" s="1544">
        <v>15.030598462733405</v>
      </c>
      <c r="KN38" s="1544">
        <v>0</v>
      </c>
      <c r="KO38" s="1544">
        <v>0</v>
      </c>
      <c r="KP38" s="1544">
        <v>33.281398039215688</v>
      </c>
      <c r="KQ38" s="1943">
        <v>97.975987489414536</v>
      </c>
      <c r="KR38" s="1933">
        <v>26.842329803921569</v>
      </c>
      <c r="KS38" s="1544">
        <v>6.5842558930943893</v>
      </c>
      <c r="KT38" s="1544">
        <v>9.8280039215686266</v>
      </c>
      <c r="KU38" s="1544">
        <v>6.1847324871207752</v>
      </c>
      <c r="KV38" s="1544">
        <v>20.991774901960788</v>
      </c>
      <c r="KW38" s="1544">
        <v>3.2249075594752346</v>
      </c>
      <c r="KX38" s="1544">
        <v>7.672074509803922</v>
      </c>
      <c r="KY38" s="1544">
        <v>6.0728152186674951</v>
      </c>
      <c r="KZ38" s="1544">
        <v>0</v>
      </c>
      <c r="LA38" s="1544">
        <v>0</v>
      </c>
      <c r="LB38" s="1544">
        <v>29.756590196078431</v>
      </c>
      <c r="LC38" s="1943">
        <v>61.068193922417763</v>
      </c>
      <c r="LD38" s="1933">
        <v>15.840423529411769</v>
      </c>
      <c r="LE38" s="1544">
        <v>0</v>
      </c>
      <c r="LF38" s="1544">
        <v>11.368072549019608</v>
      </c>
      <c r="LG38" s="1544">
        <v>15.499669398914019</v>
      </c>
      <c r="LH38" s="1544">
        <v>11.492599999999999</v>
      </c>
      <c r="LI38" s="1544">
        <v>0</v>
      </c>
      <c r="LJ38" s="1544">
        <v>8.8762117647058822</v>
      </c>
      <c r="LK38" s="1544">
        <v>12.927723602761416</v>
      </c>
      <c r="LL38" s="1544">
        <v>0</v>
      </c>
      <c r="LM38" s="1544">
        <v>0</v>
      </c>
      <c r="LN38" s="1544">
        <v>34.010668627450983</v>
      </c>
      <c r="LO38" s="1943">
        <v>101.14777892977745</v>
      </c>
      <c r="LP38" s="1933">
        <v>28.036150588235305</v>
      </c>
      <c r="LQ38" s="1544">
        <v>3.0197725294998641</v>
      </c>
      <c r="LR38" s="1544">
        <v>11.500078431372549</v>
      </c>
      <c r="LS38" s="1544">
        <v>13.363847592650414</v>
      </c>
      <c r="LT38" s="1544">
        <v>21.994597647058821</v>
      </c>
      <c r="LU38" s="1544">
        <v>0.9181367584625949</v>
      </c>
      <c r="LV38" s="1544">
        <v>8.9794235294117666</v>
      </c>
      <c r="LW38" s="1544">
        <v>11.833419022672697</v>
      </c>
      <c r="LX38" s="1544">
        <v>0</v>
      </c>
      <c r="LY38" s="1544">
        <v>0</v>
      </c>
      <c r="LZ38" s="1544">
        <v>34.37530392156863</v>
      </c>
      <c r="MA38" s="1943">
        <v>82.975626420421619</v>
      </c>
      <c r="MB38" s="1933">
        <v>17.287405882352939</v>
      </c>
      <c r="MC38" s="1544">
        <v>0</v>
      </c>
      <c r="MD38" s="1544">
        <v>15.680264705882353</v>
      </c>
      <c r="ME38" s="1544">
        <v>23.395408913761948</v>
      </c>
      <c r="MF38" s="1544">
        <v>12.322494117647059</v>
      </c>
      <c r="MG38" s="1544">
        <v>0</v>
      </c>
      <c r="MH38" s="1544">
        <v>12.247796078431373</v>
      </c>
      <c r="MI38" s="1544">
        <v>17.452869309716906</v>
      </c>
      <c r="MJ38" s="1544">
        <v>0</v>
      </c>
      <c r="MK38" s="1544">
        <v>0</v>
      </c>
      <c r="ML38" s="1544">
        <v>45.922088235294119</v>
      </c>
      <c r="MM38" s="1943">
        <v>143.31407594393738</v>
      </c>
      <c r="MN38" s="1933">
        <v>15.362035294117652</v>
      </c>
      <c r="MO38" s="1544">
        <v>0</v>
      </c>
      <c r="MP38" s="1544">
        <v>12.732133333333332</v>
      </c>
      <c r="MQ38" s="1544">
        <v>20.27559715790812</v>
      </c>
      <c r="MR38" s="1544">
        <v>10.743564705882356</v>
      </c>
      <c r="MS38" s="1544">
        <v>0</v>
      </c>
      <c r="MT38" s="1544">
        <v>9.942733333333333</v>
      </c>
      <c r="MU38" s="1544">
        <v>16.239607615702706</v>
      </c>
      <c r="MV38" s="1544">
        <v>0</v>
      </c>
      <c r="MW38" s="1544">
        <v>0</v>
      </c>
      <c r="MX38" s="1544">
        <v>37.778566666666663</v>
      </c>
      <c r="MY38" s="1943">
        <v>131.33140421694901</v>
      </c>
      <c r="MZ38" s="1933">
        <v>25.18930784313725</v>
      </c>
      <c r="NA38" s="1544">
        <v>1.7478724860510337</v>
      </c>
      <c r="NB38" s="1544">
        <v>12.028101960784314</v>
      </c>
      <c r="NC38" s="1544">
        <v>13.657704844159207</v>
      </c>
      <c r="ND38" s="1544">
        <v>20.682239215686277</v>
      </c>
      <c r="NE38" s="1544">
        <v>7.5312678881611639E-2</v>
      </c>
      <c r="NF38" s="1544">
        <v>9.392270588235295</v>
      </c>
      <c r="NG38" s="1544">
        <v>11.715646034280654</v>
      </c>
      <c r="NH38" s="1544">
        <v>0</v>
      </c>
      <c r="NI38" s="1544">
        <v>0</v>
      </c>
      <c r="NJ38" s="1544">
        <v>35.83384509803922</v>
      </c>
      <c r="NK38" s="1943">
        <v>87.607175487783806</v>
      </c>
      <c r="NL38" s="1933">
        <v>25.008755686274512</v>
      </c>
      <c r="NM38" s="1544">
        <v>3.7620253626724689</v>
      </c>
      <c r="NN38" s="1544">
        <v>11.236066666666666</v>
      </c>
      <c r="NO38" s="1544">
        <v>13.784029755973906</v>
      </c>
      <c r="NP38" s="1544">
        <v>19.587283137254904</v>
      </c>
      <c r="NQ38" s="1544">
        <v>1.2481415278372932</v>
      </c>
      <c r="NR38" s="1544">
        <v>8.7729999999999997</v>
      </c>
      <c r="NS38" s="1544">
        <v>12.557467417973513</v>
      </c>
      <c r="NT38" s="1544">
        <v>0</v>
      </c>
      <c r="NU38" s="1544">
        <v>0</v>
      </c>
      <c r="NV38" s="1544">
        <v>33.646033333333335</v>
      </c>
      <c r="NW38" s="1943">
        <v>84.77338404601899</v>
      </c>
      <c r="NX38" s="1933">
        <v>26.654819607843141</v>
      </c>
      <c r="NY38" s="1544">
        <v>0</v>
      </c>
      <c r="NZ38" s="1544">
        <v>13.216154901960783</v>
      </c>
      <c r="OA38" s="1544">
        <v>17.158850409262563</v>
      </c>
      <c r="OB38" s="1544">
        <v>21.525368627450987</v>
      </c>
      <c r="OC38" s="1544">
        <v>0</v>
      </c>
      <c r="OD38" s="1544">
        <v>10.321176470588236</v>
      </c>
      <c r="OE38" s="1544">
        <v>13.517643452287521</v>
      </c>
      <c r="OF38" s="1544">
        <v>0</v>
      </c>
      <c r="OG38" s="1544">
        <v>0</v>
      </c>
      <c r="OH38" s="1544">
        <v>39.115562745098039</v>
      </c>
      <c r="OI38" s="1934">
        <v>108.53831274298986</v>
      </c>
      <c r="OJ38" s="1933">
        <v>26.129156862745102</v>
      </c>
      <c r="OK38" s="1544">
        <v>5.8850702141341928</v>
      </c>
      <c r="OL38" s="1544">
        <v>10.57603725490196</v>
      </c>
      <c r="OM38" s="1544">
        <v>9.2961184896567683</v>
      </c>
      <c r="ON38" s="1544">
        <v>20.458666666666673</v>
      </c>
      <c r="OO38" s="1544">
        <v>2.7015269837927174</v>
      </c>
      <c r="OP38" s="1544">
        <v>8.2569411764705887</v>
      </c>
      <c r="OQ38" s="1544">
        <v>8.2748335686045742</v>
      </c>
      <c r="OR38" s="1544">
        <v>0</v>
      </c>
      <c r="OS38" s="1544">
        <v>0</v>
      </c>
      <c r="OT38" s="1544">
        <v>31.822856862745098</v>
      </c>
      <c r="OU38" s="1934">
        <v>71.200711740635612</v>
      </c>
      <c r="OV38" s="1933">
        <v>25.248272549019614</v>
      </c>
      <c r="OW38" s="1544">
        <v>0</v>
      </c>
      <c r="OX38" s="1544">
        <v>15.064237254901961</v>
      </c>
      <c r="OY38" s="1544">
        <v>21.735989569188447</v>
      </c>
      <c r="OZ38" s="1544">
        <v>20.317027450980397</v>
      </c>
      <c r="PA38" s="1544">
        <v>0</v>
      </c>
      <c r="PB38" s="1544">
        <v>11.76614117647059</v>
      </c>
      <c r="PC38" s="1544">
        <v>16.987336667710263</v>
      </c>
      <c r="PD38" s="1544">
        <v>0</v>
      </c>
      <c r="PE38" s="1544">
        <v>0</v>
      </c>
      <c r="PF38" s="1544">
        <v>44.220456862745095</v>
      </c>
      <c r="PG38" s="1934">
        <v>125.17000715923699</v>
      </c>
      <c r="PH38" s="1933">
        <v>27.878161960784315</v>
      </c>
      <c r="PI38" s="1544">
        <v>3.6116060490563524</v>
      </c>
      <c r="PJ38" s="1544">
        <v>11.368072549019608</v>
      </c>
      <c r="PK38" s="1544">
        <v>10.46745271037878</v>
      </c>
      <c r="PL38" s="1544">
        <v>21.937046274509807</v>
      </c>
      <c r="PM38" s="1544">
        <v>1.1606871435810475</v>
      </c>
      <c r="PN38" s="1544">
        <v>8.8762117647058822</v>
      </c>
      <c r="PO38" s="1544">
        <v>9.534967595172203</v>
      </c>
      <c r="PP38" s="1544">
        <v>0</v>
      </c>
      <c r="PQ38" s="1544">
        <v>0</v>
      </c>
      <c r="PR38" s="1544">
        <v>34.010668627450983</v>
      </c>
      <c r="PS38" s="1934">
        <v>74.938080794388455</v>
      </c>
      <c r="PT38" s="1933">
        <v>27.277003137254908</v>
      </c>
      <c r="PU38" s="1544">
        <v>3.6096962586247643</v>
      </c>
      <c r="PV38" s="1544">
        <v>11.14806274509804</v>
      </c>
      <c r="PW38" s="1544">
        <v>13.686501816766906</v>
      </c>
      <c r="PX38" s="1544">
        <v>21.38915215686275</v>
      </c>
      <c r="PY38" s="1544">
        <v>1.1426295430637228</v>
      </c>
      <c r="PZ38" s="1544">
        <v>8.7041921568627458</v>
      </c>
      <c r="QA38" s="1544">
        <v>12.169026080872516</v>
      </c>
      <c r="QB38" s="1544">
        <v>0</v>
      </c>
      <c r="QC38" s="1544">
        <v>0</v>
      </c>
      <c r="QD38" s="1544">
        <v>33.402943137254901</v>
      </c>
      <c r="QE38" s="1934">
        <v>84.295385140065576</v>
      </c>
      <c r="QF38" s="1933">
        <v>16.113300000000006</v>
      </c>
      <c r="QG38" s="1544">
        <v>0</v>
      </c>
      <c r="QH38" s="1544">
        <v>12.820137254901962</v>
      </c>
      <c r="QI38" s="1544">
        <v>17.376993864228663</v>
      </c>
      <c r="QJ38" s="1544">
        <v>12.298505882352945</v>
      </c>
      <c r="QK38" s="1544">
        <v>0</v>
      </c>
      <c r="QL38" s="1544">
        <v>10.01154117647059</v>
      </c>
      <c r="QM38" s="1544">
        <v>13.44393099932724</v>
      </c>
      <c r="QN38" s="1544">
        <v>0</v>
      </c>
      <c r="QO38" s="1544">
        <v>0</v>
      </c>
      <c r="QP38" s="1544">
        <v>38.021656862745097</v>
      </c>
      <c r="QQ38" s="1934">
        <v>123.21926219145533</v>
      </c>
      <c r="QR38" s="1933">
        <v>27.749154117647063</v>
      </c>
      <c r="QS38" s="1544">
        <v>4.1833462923917271</v>
      </c>
      <c r="QT38" s="1544">
        <v>11.324070588235292</v>
      </c>
      <c r="QU38" s="1544">
        <v>12.144176466870512</v>
      </c>
      <c r="QV38" s="1544">
        <v>21.765901176470592</v>
      </c>
      <c r="QW38" s="1544">
        <v>1.4605959120935383</v>
      </c>
      <c r="QX38" s="1544">
        <v>8.8418078431372553</v>
      </c>
      <c r="QY38" s="1544">
        <v>10.921861884959275</v>
      </c>
      <c r="QZ38" s="1544">
        <v>0</v>
      </c>
      <c r="RA38" s="1544">
        <v>0</v>
      </c>
      <c r="RB38" s="1544">
        <v>33.889123529411762</v>
      </c>
      <c r="RC38" s="1934">
        <v>80.611676538734429</v>
      </c>
      <c r="RD38" s="1933">
        <v>27.008675686274511</v>
      </c>
      <c r="RE38" s="1544">
        <v>3.7457334694669875</v>
      </c>
      <c r="RF38" s="1544">
        <v>11.236066666666666</v>
      </c>
      <c r="RG38" s="1544">
        <v>11.86218645716934</v>
      </c>
      <c r="RH38" s="1544">
        <v>21.157991372549017</v>
      </c>
      <c r="RI38" s="1544">
        <v>1.2699722726479281</v>
      </c>
      <c r="RJ38" s="1544">
        <v>8.7729999999999997</v>
      </c>
      <c r="RK38" s="1544">
        <v>10.668333904630339</v>
      </c>
      <c r="RL38" s="1544">
        <v>0</v>
      </c>
      <c r="RM38" s="1544">
        <v>0</v>
      </c>
      <c r="RN38" s="1544">
        <v>33.646033333333335</v>
      </c>
      <c r="RO38" s="1934">
        <v>79.46091601919322</v>
      </c>
    </row>
    <row r="39" spans="1:483">
      <c r="A39" s="638">
        <f>Eingabedaten!A41</f>
        <v>11.03</v>
      </c>
      <c r="B39" s="387" t="str">
        <f>Eingabedaten!C41</f>
        <v>Schwimmhalle</v>
      </c>
      <c r="C39" s="1093"/>
      <c r="D39" s="1933">
        <v>0</v>
      </c>
      <c r="E39" s="1544">
        <v>0</v>
      </c>
      <c r="F39" s="1544">
        <v>24.944592156862754</v>
      </c>
      <c r="G39" s="1544">
        <v>53.243316058155962</v>
      </c>
      <c r="H39" s="1544">
        <v>0</v>
      </c>
      <c r="I39" s="1544">
        <v>0</v>
      </c>
      <c r="J39" s="1544">
        <v>19.892184313725494</v>
      </c>
      <c r="K39" s="1544">
        <v>29.772945858698023</v>
      </c>
      <c r="L39" s="1544">
        <v>0</v>
      </c>
      <c r="M39" s="1544">
        <v>0</v>
      </c>
      <c r="N39" s="1544">
        <v>72.501219607843154</v>
      </c>
      <c r="O39" s="1943">
        <v>255.3554944196205</v>
      </c>
      <c r="P39" s="1933">
        <v>0</v>
      </c>
      <c r="Q39" s="1544">
        <v>0</v>
      </c>
      <c r="R39" s="1544">
        <v>21.628143137254906</v>
      </c>
      <c r="S39" s="1544">
        <v>42.72927943426896</v>
      </c>
      <c r="T39" s="1544">
        <v>0</v>
      </c>
      <c r="U39" s="1544">
        <v>0</v>
      </c>
      <c r="V39" s="1544">
        <v>17.207286274509809</v>
      </c>
      <c r="W39" s="1544">
        <v>26.87317045775184</v>
      </c>
      <c r="X39" s="1544">
        <v>0</v>
      </c>
      <c r="Y39" s="1544">
        <v>0</v>
      </c>
      <c r="Z39" s="1544">
        <v>63.240192156862761</v>
      </c>
      <c r="AA39" s="1943">
        <v>195.01836762964697</v>
      </c>
      <c r="AB39" s="1933">
        <v>0</v>
      </c>
      <c r="AC39" s="1544">
        <v>0</v>
      </c>
      <c r="AD39" s="1544">
        <v>21.698705882352947</v>
      </c>
      <c r="AE39" s="1544">
        <v>48.201337898368699</v>
      </c>
      <c r="AF39" s="1544">
        <v>0</v>
      </c>
      <c r="AG39" s="1544">
        <v>0</v>
      </c>
      <c r="AH39" s="1544">
        <v>17.264411764705887</v>
      </c>
      <c r="AI39" s="1544">
        <v>31.556861999291094</v>
      </c>
      <c r="AJ39" s="1544">
        <v>0</v>
      </c>
      <c r="AK39" s="1544">
        <v>0</v>
      </c>
      <c r="AL39" s="1544">
        <v>63.437235294117663</v>
      </c>
      <c r="AM39" s="1943">
        <v>211.01987780269309</v>
      </c>
      <c r="AN39" s="1933">
        <v>0</v>
      </c>
      <c r="AO39" s="1544">
        <v>0</v>
      </c>
      <c r="AP39" s="1544">
        <v>22.333770588235296</v>
      </c>
      <c r="AQ39" s="1544">
        <v>38.892430584034358</v>
      </c>
      <c r="AR39" s="1544">
        <v>0</v>
      </c>
      <c r="AS39" s="1544">
        <v>0</v>
      </c>
      <c r="AT39" s="1544">
        <v>17.778541176470593</v>
      </c>
      <c r="AU39" s="1544">
        <v>24.147992341439814</v>
      </c>
      <c r="AV39" s="1544">
        <v>0</v>
      </c>
      <c r="AW39" s="1544">
        <v>0</v>
      </c>
      <c r="AX39" s="1544">
        <v>65.210623529411777</v>
      </c>
      <c r="AY39" s="1943">
        <v>179.92474162862467</v>
      </c>
      <c r="AZ39" s="1933">
        <v>0</v>
      </c>
      <c r="BA39" s="1544">
        <v>0</v>
      </c>
      <c r="BB39" s="1544">
        <v>22.96883529411765</v>
      </c>
      <c r="BC39" s="1544">
        <v>44.439412631731173</v>
      </c>
      <c r="BD39" s="1544">
        <v>0</v>
      </c>
      <c r="BE39" s="1544">
        <v>0</v>
      </c>
      <c r="BF39" s="1544">
        <v>18.292670588235296</v>
      </c>
      <c r="BG39" s="1544">
        <v>27.434203583745955</v>
      </c>
      <c r="BH39" s="1544">
        <v>0</v>
      </c>
      <c r="BI39" s="1544">
        <v>0</v>
      </c>
      <c r="BJ39" s="1544">
        <v>66.984011764705897</v>
      </c>
      <c r="BK39" s="1943">
        <v>200.29563839075934</v>
      </c>
      <c r="BL39" s="1933">
        <v>0</v>
      </c>
      <c r="BM39" s="1544">
        <v>0</v>
      </c>
      <c r="BN39" s="1544">
        <v>22.757147058823534</v>
      </c>
      <c r="BO39" s="1544">
        <v>46.816411947272044</v>
      </c>
      <c r="BP39" s="1544">
        <v>0</v>
      </c>
      <c r="BQ39" s="1544">
        <v>0</v>
      </c>
      <c r="BR39" s="1544">
        <v>18.121294117647064</v>
      </c>
      <c r="BS39" s="1544">
        <v>30.209824376254701</v>
      </c>
      <c r="BT39" s="1544">
        <v>0</v>
      </c>
      <c r="BU39" s="1544">
        <v>0</v>
      </c>
      <c r="BV39" s="1544">
        <v>66.3928823529412</v>
      </c>
      <c r="BW39" s="1943">
        <v>200.65900462576249</v>
      </c>
      <c r="BX39" s="1933">
        <v>0</v>
      </c>
      <c r="BY39" s="1544">
        <v>0</v>
      </c>
      <c r="BZ39" s="1544">
        <v>22.827709803921572</v>
      </c>
      <c r="CA39" s="1544">
        <v>40.954769766563821</v>
      </c>
      <c r="CB39" s="1544">
        <v>0</v>
      </c>
      <c r="CC39" s="1544">
        <v>0</v>
      </c>
      <c r="CD39" s="1544">
        <v>18.178419607843143</v>
      </c>
      <c r="CE39" s="1544">
        <v>24.580167789154732</v>
      </c>
      <c r="CF39" s="1544">
        <v>0</v>
      </c>
      <c r="CG39" s="1544">
        <v>0</v>
      </c>
      <c r="CH39" s="1544">
        <v>66.589925490196094</v>
      </c>
      <c r="CI39" s="1943">
        <v>198.2172225763899</v>
      </c>
      <c r="CJ39" s="1933">
        <v>0</v>
      </c>
      <c r="CK39" s="1544">
        <v>0</v>
      </c>
      <c r="CL39" s="1544">
        <v>26.990911764705888</v>
      </c>
      <c r="CM39" s="1544">
        <v>55.781305876113485</v>
      </c>
      <c r="CN39" s="1544">
        <v>0</v>
      </c>
      <c r="CO39" s="1544">
        <v>0</v>
      </c>
      <c r="CP39" s="1544">
        <v>21.54882352941177</v>
      </c>
      <c r="CQ39" s="1544">
        <v>29.902785860011889</v>
      </c>
      <c r="CR39" s="1544">
        <v>0</v>
      </c>
      <c r="CS39" s="1544">
        <v>0</v>
      </c>
      <c r="CT39" s="1544">
        <v>78.21547058823532</v>
      </c>
      <c r="CU39" s="1943">
        <v>273.19672191054502</v>
      </c>
      <c r="CV39" s="1933">
        <v>0</v>
      </c>
      <c r="CW39" s="1544">
        <v>0</v>
      </c>
      <c r="CX39" s="1544">
        <v>24.591778431372553</v>
      </c>
      <c r="CY39" s="1544">
        <v>47.583323625271227</v>
      </c>
      <c r="CZ39" s="1544">
        <v>0</v>
      </c>
      <c r="DA39" s="1544">
        <v>0</v>
      </c>
      <c r="DB39" s="1544">
        <v>19.606556862745101</v>
      </c>
      <c r="DC39" s="1544">
        <v>26.478538865298347</v>
      </c>
      <c r="DD39" s="1544">
        <v>0</v>
      </c>
      <c r="DE39" s="1544">
        <v>0</v>
      </c>
      <c r="DF39" s="1544">
        <v>71.516003921568654</v>
      </c>
      <c r="DG39" s="1943">
        <v>238.17352065044992</v>
      </c>
      <c r="DH39" s="1933">
        <v>0</v>
      </c>
      <c r="DI39" s="1544">
        <v>0</v>
      </c>
      <c r="DJ39" s="1544">
        <v>25.650219607843145</v>
      </c>
      <c r="DK39" s="1544">
        <v>59.264437840170629</v>
      </c>
      <c r="DL39" s="1544">
        <v>0</v>
      </c>
      <c r="DM39" s="1544">
        <v>0</v>
      </c>
      <c r="DN39" s="1544">
        <v>20.463439215686279</v>
      </c>
      <c r="DO39" s="1544">
        <v>36.822375158155758</v>
      </c>
      <c r="DP39" s="1544">
        <v>0</v>
      </c>
      <c r="DQ39" s="1544">
        <v>0</v>
      </c>
      <c r="DR39" s="1544">
        <v>74.471650980392184</v>
      </c>
      <c r="DS39" s="1943">
        <v>258.38078068939257</v>
      </c>
      <c r="DT39" s="1933">
        <v>0</v>
      </c>
      <c r="DU39" s="1544">
        <v>0</v>
      </c>
      <c r="DV39" s="1544">
        <v>20.710827450980393</v>
      </c>
      <c r="DW39" s="1544">
        <v>37.356380360619859</v>
      </c>
      <c r="DX39" s="1544">
        <v>0</v>
      </c>
      <c r="DY39" s="1544">
        <v>0</v>
      </c>
      <c r="DZ39" s="1544">
        <v>16.464654901960788</v>
      </c>
      <c r="EA39" s="1544">
        <v>23.012153765536947</v>
      </c>
      <c r="EB39" s="1544">
        <v>0</v>
      </c>
      <c r="EC39" s="1544">
        <v>0</v>
      </c>
      <c r="ED39" s="1544">
        <v>60.678631372549027</v>
      </c>
      <c r="EE39" s="1943">
        <v>174.79340860400731</v>
      </c>
      <c r="EF39" s="1933">
        <v>0</v>
      </c>
      <c r="EG39" s="1544">
        <v>0</v>
      </c>
      <c r="EH39" s="1544">
        <v>23.533337254901969</v>
      </c>
      <c r="EI39" s="1544">
        <v>56.937793960939111</v>
      </c>
      <c r="EJ39" s="1544">
        <v>0</v>
      </c>
      <c r="EK39" s="1544">
        <v>0</v>
      </c>
      <c r="EL39" s="1544">
        <v>18.749674509803924</v>
      </c>
      <c r="EM39" s="1544">
        <v>38.114530670045795</v>
      </c>
      <c r="EN39" s="1544">
        <v>0</v>
      </c>
      <c r="EO39" s="1544">
        <v>0</v>
      </c>
      <c r="EP39" s="1544">
        <v>68.560356862745124</v>
      </c>
      <c r="EQ39" s="1943">
        <v>232.39148907983827</v>
      </c>
      <c r="ER39" s="1933">
        <v>0</v>
      </c>
      <c r="ES39" s="1544">
        <v>0</v>
      </c>
      <c r="ET39" s="1544">
        <v>28.613854901960785</v>
      </c>
      <c r="EU39" s="1544">
        <v>62.518008282346464</v>
      </c>
      <c r="EV39" s="1544">
        <v>0</v>
      </c>
      <c r="EW39" s="1544">
        <v>0</v>
      </c>
      <c r="EX39" s="1544">
        <v>22.862709803921572</v>
      </c>
      <c r="EY39" s="1544">
        <v>32.85055410495147</v>
      </c>
      <c r="EZ39" s="1544">
        <v>0</v>
      </c>
      <c r="FA39" s="1544">
        <v>0</v>
      </c>
      <c r="FB39" s="1544">
        <v>82.747462745098062</v>
      </c>
      <c r="FC39" s="1943">
        <v>307.97145310211818</v>
      </c>
      <c r="FD39" s="1933">
        <v>0</v>
      </c>
      <c r="FE39" s="1544">
        <v>0</v>
      </c>
      <c r="FF39" s="1544">
        <v>22.686584313725497</v>
      </c>
      <c r="FG39" s="1544">
        <v>46.950229700203685</v>
      </c>
      <c r="FH39" s="1544">
        <v>0</v>
      </c>
      <c r="FI39" s="1544">
        <v>0</v>
      </c>
      <c r="FJ39" s="1544">
        <v>18.064168627450986</v>
      </c>
      <c r="FK39" s="1544">
        <v>30.020616192022246</v>
      </c>
      <c r="FL39" s="1544">
        <v>0</v>
      </c>
      <c r="FM39" s="1544">
        <v>0</v>
      </c>
      <c r="FN39" s="1544">
        <v>66.195839215686291</v>
      </c>
      <c r="FO39" s="1943">
        <v>203.25544769335716</v>
      </c>
      <c r="FP39" s="1933">
        <v>0</v>
      </c>
      <c r="FQ39" s="1544">
        <v>0</v>
      </c>
      <c r="FR39" s="1544">
        <v>22.686584313725497</v>
      </c>
      <c r="FS39" s="1544">
        <v>48.367818073004855</v>
      </c>
      <c r="FT39" s="1544">
        <v>0</v>
      </c>
      <c r="FU39" s="1544">
        <v>0</v>
      </c>
      <c r="FV39" s="1544">
        <v>18.064168627450986</v>
      </c>
      <c r="FW39" s="1544">
        <v>30.416024531506348</v>
      </c>
      <c r="FX39" s="1544">
        <v>0</v>
      </c>
      <c r="FY39" s="1544">
        <v>0</v>
      </c>
      <c r="FZ39" s="1544">
        <v>66.195839215686291</v>
      </c>
      <c r="GA39" s="1943">
        <v>215.02616515941082</v>
      </c>
      <c r="GB39" s="1933">
        <v>0</v>
      </c>
      <c r="GC39" s="1544">
        <v>0</v>
      </c>
      <c r="GD39" s="1544">
        <v>24.450652941176475</v>
      </c>
      <c r="GE39" s="1544">
        <v>49.836220385846879</v>
      </c>
      <c r="GF39" s="1544">
        <v>0</v>
      </c>
      <c r="GG39" s="1544">
        <v>0</v>
      </c>
      <c r="GH39" s="1544">
        <v>19.492305882352944</v>
      </c>
      <c r="GI39" s="1544">
        <v>28.873436911084848</v>
      </c>
      <c r="GJ39" s="1544">
        <v>0</v>
      </c>
      <c r="GK39" s="1544">
        <v>0</v>
      </c>
      <c r="GL39" s="1544">
        <v>71.121917647058837</v>
      </c>
      <c r="GM39" s="1943">
        <v>237.03286119987095</v>
      </c>
      <c r="GN39" s="1933">
        <v>0</v>
      </c>
      <c r="GO39" s="1544">
        <v>0</v>
      </c>
      <c r="GP39" s="1544">
        <v>24.521215686274516</v>
      </c>
      <c r="GQ39" s="1544">
        <v>57.446201957030731</v>
      </c>
      <c r="GR39" s="1544">
        <v>0</v>
      </c>
      <c r="GS39" s="1544">
        <v>0</v>
      </c>
      <c r="GT39" s="1544">
        <v>19.549431372549023</v>
      </c>
      <c r="GU39" s="1544">
        <v>35.057651368191166</v>
      </c>
      <c r="GV39" s="1544">
        <v>0</v>
      </c>
      <c r="GW39" s="1544">
        <v>0</v>
      </c>
      <c r="GX39" s="1544">
        <v>71.318960784313745</v>
      </c>
      <c r="GY39" s="1943">
        <v>254.24642500932589</v>
      </c>
      <c r="GZ39" s="1933">
        <v>0</v>
      </c>
      <c r="HA39" s="1544">
        <v>0</v>
      </c>
      <c r="HB39" s="1544">
        <v>18.664507843137258</v>
      </c>
      <c r="HC39" s="1544">
        <v>29.639602379503042</v>
      </c>
      <c r="HD39" s="1544">
        <v>0</v>
      </c>
      <c r="HE39" s="1544">
        <v>0</v>
      </c>
      <c r="HF39" s="1544">
        <v>14.808015686274514</v>
      </c>
      <c r="HG39" s="1544">
        <v>17.613101714571169</v>
      </c>
      <c r="HH39" s="1544">
        <v>0</v>
      </c>
      <c r="HI39" s="1544">
        <v>0</v>
      </c>
      <c r="HJ39" s="1544">
        <v>54.964380392156869</v>
      </c>
      <c r="HK39" s="1943">
        <v>153.47367326697039</v>
      </c>
      <c r="HL39" s="1933">
        <v>0</v>
      </c>
      <c r="HM39" s="1544">
        <v>0</v>
      </c>
      <c r="HN39" s="1544">
        <v>18.311694117647061</v>
      </c>
      <c r="HO39" s="1544">
        <v>28.853786513643097</v>
      </c>
      <c r="HP39" s="1544">
        <v>0</v>
      </c>
      <c r="HQ39" s="1544">
        <v>0</v>
      </c>
      <c r="HR39" s="1544">
        <v>14.522388235294121</v>
      </c>
      <c r="HS39" s="1544">
        <v>16.746511112179313</v>
      </c>
      <c r="HT39" s="1544">
        <v>0</v>
      </c>
      <c r="HU39" s="1544">
        <v>0</v>
      </c>
      <c r="HV39" s="1544">
        <v>53.979164705882354</v>
      </c>
      <c r="HW39" s="1943">
        <v>151.77592513799408</v>
      </c>
      <c r="HX39" s="1933">
        <v>0</v>
      </c>
      <c r="HY39" s="1544">
        <v>0</v>
      </c>
      <c r="HZ39" s="1544">
        <v>22.263207843137259</v>
      </c>
      <c r="IA39" s="1544">
        <v>46.314050413958782</v>
      </c>
      <c r="IB39" s="1544">
        <v>0</v>
      </c>
      <c r="IC39" s="1544">
        <v>0</v>
      </c>
      <c r="ID39" s="1544">
        <v>17.721415686274515</v>
      </c>
      <c r="IE39" s="1544">
        <v>29.610262377577939</v>
      </c>
      <c r="IF39" s="1544">
        <v>0</v>
      </c>
      <c r="IG39" s="1544">
        <v>0</v>
      </c>
      <c r="IH39" s="1544">
        <v>65.013580392156882</v>
      </c>
      <c r="II39" s="1943">
        <v>203.03437176002214</v>
      </c>
      <c r="IJ39" s="1933">
        <v>0</v>
      </c>
      <c r="IK39" s="1544">
        <v>0</v>
      </c>
      <c r="IL39" s="1544">
        <v>19.864074509803928</v>
      </c>
      <c r="IM39" s="1544">
        <v>34.435315085259425</v>
      </c>
      <c r="IN39" s="1544">
        <v>0</v>
      </c>
      <c r="IO39" s="1544">
        <v>0</v>
      </c>
      <c r="IP39" s="1544">
        <v>15.779149019607846</v>
      </c>
      <c r="IQ39" s="1544">
        <v>20.768896896683557</v>
      </c>
      <c r="IR39" s="1544">
        <v>0</v>
      </c>
      <c r="IS39" s="1544">
        <v>0</v>
      </c>
      <c r="IT39" s="1544">
        <v>58.314113725490209</v>
      </c>
      <c r="IU39" s="1943">
        <v>165.41621531203822</v>
      </c>
      <c r="IV39" s="1933">
        <v>0</v>
      </c>
      <c r="IW39" s="1544">
        <v>0</v>
      </c>
      <c r="IX39" s="1544">
        <v>24.521215686274516</v>
      </c>
      <c r="IY39" s="1544">
        <v>43.093561895029275</v>
      </c>
      <c r="IZ39" s="1544">
        <v>0</v>
      </c>
      <c r="JA39" s="1544">
        <v>0</v>
      </c>
      <c r="JB39" s="1544">
        <v>19.549431372549023</v>
      </c>
      <c r="JC39" s="1544">
        <v>22.77530272863364</v>
      </c>
      <c r="JD39" s="1544">
        <v>0</v>
      </c>
      <c r="JE39" s="1544">
        <v>0</v>
      </c>
      <c r="JF39" s="1544">
        <v>71.318960784313745</v>
      </c>
      <c r="JG39" s="1943">
        <v>230.1700737885707</v>
      </c>
      <c r="JH39" s="1933">
        <v>0</v>
      </c>
      <c r="JI39" s="1544">
        <v>0</v>
      </c>
      <c r="JJ39" s="1544">
        <v>21.557580392156865</v>
      </c>
      <c r="JK39" s="1544">
        <v>42.917222493525728</v>
      </c>
      <c r="JL39" s="1544">
        <v>0</v>
      </c>
      <c r="JM39" s="1544">
        <v>0</v>
      </c>
      <c r="JN39" s="1544">
        <v>17.15016078431373</v>
      </c>
      <c r="JO39" s="1544">
        <v>27.357198972820591</v>
      </c>
      <c r="JP39" s="1544">
        <v>0</v>
      </c>
      <c r="JQ39" s="1544">
        <v>0</v>
      </c>
      <c r="JR39" s="1544">
        <v>63.04314901960786</v>
      </c>
      <c r="JS39" s="1943">
        <v>190.34456798331001</v>
      </c>
      <c r="JT39" s="1933">
        <v>0</v>
      </c>
      <c r="JU39" s="1544">
        <v>0</v>
      </c>
      <c r="JV39" s="1544">
        <v>22.474896078431374</v>
      </c>
      <c r="JW39" s="1544">
        <v>43.500685424043702</v>
      </c>
      <c r="JX39" s="1544">
        <v>0</v>
      </c>
      <c r="JY39" s="1544">
        <v>0</v>
      </c>
      <c r="JZ39" s="1544">
        <v>17.89279215686275</v>
      </c>
      <c r="KA39" s="1544">
        <v>27.172826097451352</v>
      </c>
      <c r="KB39" s="1544">
        <v>0</v>
      </c>
      <c r="KC39" s="1544">
        <v>0</v>
      </c>
      <c r="KD39" s="1544">
        <v>65.60470980392158</v>
      </c>
      <c r="KE39" s="1943">
        <v>194.57902300522673</v>
      </c>
      <c r="KF39" s="1933">
        <v>0</v>
      </c>
      <c r="KG39" s="1544">
        <v>0</v>
      </c>
      <c r="KH39" s="1544">
        <v>22.827709803921572</v>
      </c>
      <c r="KI39" s="1544">
        <v>54.293884362962345</v>
      </c>
      <c r="KJ39" s="1544">
        <v>0</v>
      </c>
      <c r="KK39" s="1544">
        <v>0</v>
      </c>
      <c r="KL39" s="1544">
        <v>18.178419607843143</v>
      </c>
      <c r="KM39" s="1544">
        <v>34.50515603802198</v>
      </c>
      <c r="KN39" s="1544">
        <v>0</v>
      </c>
      <c r="KO39" s="1544">
        <v>0</v>
      </c>
      <c r="KP39" s="1544">
        <v>66.589925490196094</v>
      </c>
      <c r="KQ39" s="1943">
        <v>234.76563064225803</v>
      </c>
      <c r="KR39" s="1933">
        <v>0</v>
      </c>
      <c r="KS39" s="1544">
        <v>0</v>
      </c>
      <c r="KT39" s="1544">
        <v>20.781390196078434</v>
      </c>
      <c r="KU39" s="1544">
        <v>35.725970536103183</v>
      </c>
      <c r="KV39" s="1544">
        <v>0</v>
      </c>
      <c r="KW39" s="1544">
        <v>0</v>
      </c>
      <c r="KX39" s="1544">
        <v>16.521780392156867</v>
      </c>
      <c r="KY39" s="1544">
        <v>21.901186527634977</v>
      </c>
      <c r="KZ39" s="1544">
        <v>0</v>
      </c>
      <c r="LA39" s="1544">
        <v>0</v>
      </c>
      <c r="LB39" s="1544">
        <v>60.875674509803929</v>
      </c>
      <c r="LC39" s="1943">
        <v>170.11121293741121</v>
      </c>
      <c r="LD39" s="1933">
        <v>0</v>
      </c>
      <c r="LE39" s="1544">
        <v>0</v>
      </c>
      <c r="LF39" s="1544">
        <v>23.251086274509806</v>
      </c>
      <c r="LG39" s="1544">
        <v>53.672214155463408</v>
      </c>
      <c r="LH39" s="1544">
        <v>0</v>
      </c>
      <c r="LI39" s="1544">
        <v>0</v>
      </c>
      <c r="LJ39" s="1544">
        <v>18.52117254901961</v>
      </c>
      <c r="LK39" s="1544">
        <v>32.190565685779617</v>
      </c>
      <c r="LL39" s="1544">
        <v>0</v>
      </c>
      <c r="LM39" s="1544">
        <v>0</v>
      </c>
      <c r="LN39" s="1544">
        <v>67.772184313725504</v>
      </c>
      <c r="LO39" s="1943">
        <v>244.72322153180446</v>
      </c>
      <c r="LP39" s="1933">
        <v>0</v>
      </c>
      <c r="LQ39" s="1544">
        <v>0</v>
      </c>
      <c r="LR39" s="1544">
        <v>23.462774509803928</v>
      </c>
      <c r="LS39" s="1544">
        <v>46.599753738089774</v>
      </c>
      <c r="LT39" s="1544">
        <v>0</v>
      </c>
      <c r="LU39" s="1544">
        <v>0</v>
      </c>
      <c r="LV39" s="1544">
        <v>18.692549019607846</v>
      </c>
      <c r="LW39" s="1544">
        <v>29.575777298197181</v>
      </c>
      <c r="LX39" s="1544">
        <v>0</v>
      </c>
      <c r="LY39" s="1544">
        <v>0</v>
      </c>
      <c r="LZ39" s="1544">
        <v>68.363313725490215</v>
      </c>
      <c r="MA39" s="1943">
        <v>205.04223922614941</v>
      </c>
      <c r="MB39" s="1933">
        <v>0</v>
      </c>
      <c r="MC39" s="1544">
        <v>0</v>
      </c>
      <c r="MD39" s="1544">
        <v>30.166235294117651</v>
      </c>
      <c r="ME39" s="1544">
        <v>61.226069090538843</v>
      </c>
      <c r="MF39" s="1544">
        <v>0</v>
      </c>
      <c r="MG39" s="1544">
        <v>0</v>
      </c>
      <c r="MH39" s="1544">
        <v>24.119470588235298</v>
      </c>
      <c r="MI39" s="1544">
        <v>32.69934830062347</v>
      </c>
      <c r="MJ39" s="1544">
        <v>0</v>
      </c>
      <c r="MK39" s="1544">
        <v>0</v>
      </c>
      <c r="ML39" s="1544">
        <v>87.08241176470591</v>
      </c>
      <c r="MM39" s="1943">
        <v>291.36011996005192</v>
      </c>
      <c r="MN39" s="1933">
        <v>0</v>
      </c>
      <c r="MO39" s="1544">
        <v>0</v>
      </c>
      <c r="MP39" s="1544">
        <v>25.438531372549022</v>
      </c>
      <c r="MQ39" s="1544">
        <v>63.654104537210962</v>
      </c>
      <c r="MR39" s="1544">
        <v>0</v>
      </c>
      <c r="MS39" s="1544">
        <v>0</v>
      </c>
      <c r="MT39" s="1544">
        <v>20.29206274509804</v>
      </c>
      <c r="MU39" s="1544">
        <v>36.368950104402558</v>
      </c>
      <c r="MV39" s="1544">
        <v>0</v>
      </c>
      <c r="MW39" s="1544">
        <v>0</v>
      </c>
      <c r="MX39" s="1544">
        <v>73.880521568627472</v>
      </c>
      <c r="MY39" s="1943">
        <v>284.9269492473025</v>
      </c>
      <c r="MZ39" s="1933">
        <v>0</v>
      </c>
      <c r="NA39" s="1544">
        <v>0</v>
      </c>
      <c r="NB39" s="1544">
        <v>24.309527450980394</v>
      </c>
      <c r="NC39" s="1544">
        <v>47.175042234301564</v>
      </c>
      <c r="ND39" s="1544">
        <v>0</v>
      </c>
      <c r="NE39" s="1544">
        <v>0</v>
      </c>
      <c r="NF39" s="1544">
        <v>19.378054901960788</v>
      </c>
      <c r="NG39" s="1544">
        <v>29.020099834423696</v>
      </c>
      <c r="NH39" s="1544">
        <v>0</v>
      </c>
      <c r="NI39" s="1544">
        <v>0</v>
      </c>
      <c r="NJ39" s="1544">
        <v>70.727831372549034</v>
      </c>
      <c r="NK39" s="1943">
        <v>214.52366933562044</v>
      </c>
      <c r="NL39" s="1933">
        <v>0</v>
      </c>
      <c r="NM39" s="1544">
        <v>0</v>
      </c>
      <c r="NN39" s="1544">
        <v>23.039398039215691</v>
      </c>
      <c r="NO39" s="1544">
        <v>48.575847097950572</v>
      </c>
      <c r="NP39" s="1544">
        <v>0</v>
      </c>
      <c r="NQ39" s="1544">
        <v>0</v>
      </c>
      <c r="NR39" s="1544">
        <v>18.349796078431375</v>
      </c>
      <c r="NS39" s="1544">
        <v>31.381190437385268</v>
      </c>
      <c r="NT39" s="1544">
        <v>0</v>
      </c>
      <c r="NU39" s="1544">
        <v>0</v>
      </c>
      <c r="NV39" s="1544">
        <v>67.181054901960806</v>
      </c>
      <c r="NW39" s="1943">
        <v>206.50478953349818</v>
      </c>
      <c r="NX39" s="1933">
        <v>0</v>
      </c>
      <c r="NY39" s="1544">
        <v>0</v>
      </c>
      <c r="NZ39" s="1544">
        <v>26.214721568627457</v>
      </c>
      <c r="OA39" s="1544">
        <v>51.397758873673212</v>
      </c>
      <c r="OB39" s="1544">
        <v>0</v>
      </c>
      <c r="OC39" s="1544">
        <v>0</v>
      </c>
      <c r="OD39" s="1544">
        <v>20.920443137254907</v>
      </c>
      <c r="OE39" s="1544">
        <v>28.975473402046362</v>
      </c>
      <c r="OF39" s="1544">
        <v>0</v>
      </c>
      <c r="OG39" s="1544">
        <v>0</v>
      </c>
      <c r="OH39" s="1544">
        <v>76.047996078431396</v>
      </c>
      <c r="OI39" s="1934">
        <v>248.06162459126136</v>
      </c>
      <c r="OJ39" s="1933">
        <v>0</v>
      </c>
      <c r="OK39" s="1544">
        <v>0</v>
      </c>
      <c r="OL39" s="1544">
        <v>21.980956862745103</v>
      </c>
      <c r="OM39" s="1544">
        <v>38.830706892107813</v>
      </c>
      <c r="ON39" s="1544">
        <v>0</v>
      </c>
      <c r="OO39" s="1544">
        <v>0</v>
      </c>
      <c r="OP39" s="1544">
        <v>17.492913725490201</v>
      </c>
      <c r="OQ39" s="1544">
        <v>23.472042566555057</v>
      </c>
      <c r="OR39" s="1544">
        <v>0</v>
      </c>
      <c r="OS39" s="1544">
        <v>0</v>
      </c>
      <c r="OT39" s="1544">
        <v>64.225407843137276</v>
      </c>
      <c r="OU39" s="1934">
        <v>181.00978981009513</v>
      </c>
      <c r="OV39" s="1933">
        <v>0</v>
      </c>
      <c r="OW39" s="1544">
        <v>0</v>
      </c>
      <c r="OX39" s="1544">
        <v>29.178356862745105</v>
      </c>
      <c r="OY39" s="1544">
        <v>56.684062691437227</v>
      </c>
      <c r="OZ39" s="1544">
        <v>0</v>
      </c>
      <c r="PA39" s="1544">
        <v>0</v>
      </c>
      <c r="PB39" s="1544">
        <v>23.319713725490203</v>
      </c>
      <c r="PC39" s="1544">
        <v>32.346977097944162</v>
      </c>
      <c r="PD39" s="1544">
        <v>0</v>
      </c>
      <c r="PE39" s="1544">
        <v>0</v>
      </c>
      <c r="PF39" s="1544">
        <v>84.323807843137274</v>
      </c>
      <c r="PG39" s="1934">
        <v>267.81183263697676</v>
      </c>
      <c r="PH39" s="1933">
        <v>0</v>
      </c>
      <c r="PI39" s="1544">
        <v>0</v>
      </c>
      <c r="PJ39" s="1544">
        <v>23.251086274509806</v>
      </c>
      <c r="PK39" s="1544">
        <v>42.214685042857241</v>
      </c>
      <c r="PL39" s="1544">
        <v>0</v>
      </c>
      <c r="PM39" s="1544">
        <v>0</v>
      </c>
      <c r="PN39" s="1544">
        <v>18.52117254901961</v>
      </c>
      <c r="PO39" s="1544">
        <v>26.295231327207844</v>
      </c>
      <c r="PP39" s="1544">
        <v>0</v>
      </c>
      <c r="PQ39" s="1544">
        <v>0</v>
      </c>
      <c r="PR39" s="1544">
        <v>67.772184313725504</v>
      </c>
      <c r="PS39" s="1934">
        <v>194.56986020758438</v>
      </c>
      <c r="PT39" s="1933">
        <v>0</v>
      </c>
      <c r="PU39" s="1544">
        <v>0</v>
      </c>
      <c r="PV39" s="1544">
        <v>22.898272549019609</v>
      </c>
      <c r="PW39" s="1544">
        <v>46.634647727182298</v>
      </c>
      <c r="PX39" s="1544">
        <v>0</v>
      </c>
      <c r="PY39" s="1544">
        <v>0</v>
      </c>
      <c r="PZ39" s="1544">
        <v>18.235545098039218</v>
      </c>
      <c r="QA39" s="1544">
        <v>29.478614636529635</v>
      </c>
      <c r="QB39" s="1544">
        <v>0</v>
      </c>
      <c r="QC39" s="1544">
        <v>0</v>
      </c>
      <c r="QD39" s="1544">
        <v>66.786968627450989</v>
      </c>
      <c r="QE39" s="1934">
        <v>203.74686178087055</v>
      </c>
      <c r="QF39" s="1933">
        <v>0</v>
      </c>
      <c r="QG39" s="1544">
        <v>0</v>
      </c>
      <c r="QH39" s="1544">
        <v>25.579656862745104</v>
      </c>
      <c r="QI39" s="1544">
        <v>58.488368196205784</v>
      </c>
      <c r="QJ39" s="1544">
        <v>0</v>
      </c>
      <c r="QK39" s="1544">
        <v>0</v>
      </c>
      <c r="QL39" s="1544">
        <v>20.4063137254902</v>
      </c>
      <c r="QM39" s="1544">
        <v>32.006780028540049</v>
      </c>
      <c r="QN39" s="1544">
        <v>0</v>
      </c>
      <c r="QO39" s="1544">
        <v>0</v>
      </c>
      <c r="QP39" s="1544">
        <v>74.274607843137275</v>
      </c>
      <c r="QQ39" s="1934">
        <v>274.77252405167013</v>
      </c>
      <c r="QR39" s="1933">
        <v>0</v>
      </c>
      <c r="QS39" s="1544">
        <v>0</v>
      </c>
      <c r="QT39" s="1544">
        <v>23.180523529411765</v>
      </c>
      <c r="QU39" s="1544">
        <v>44.366409613410482</v>
      </c>
      <c r="QV39" s="1544">
        <v>0</v>
      </c>
      <c r="QW39" s="1544">
        <v>0</v>
      </c>
      <c r="QX39" s="1544">
        <v>18.464047058823532</v>
      </c>
      <c r="QY39" s="1544">
        <v>27.752206199277765</v>
      </c>
      <c r="QZ39" s="1544">
        <v>0</v>
      </c>
      <c r="RA39" s="1544">
        <v>0</v>
      </c>
      <c r="RB39" s="1544">
        <v>67.575141176470595</v>
      </c>
      <c r="RC39" s="1934">
        <v>197.21022819031208</v>
      </c>
      <c r="RD39" s="1933">
        <v>0</v>
      </c>
      <c r="RE39" s="1544">
        <v>0</v>
      </c>
      <c r="RF39" s="1544">
        <v>23.039398039215691</v>
      </c>
      <c r="RG39" s="1544">
        <v>43.74080469575118</v>
      </c>
      <c r="RH39" s="1544">
        <v>0</v>
      </c>
      <c r="RI39" s="1544">
        <v>0</v>
      </c>
      <c r="RJ39" s="1544">
        <v>18.349796078431375</v>
      </c>
      <c r="RK39" s="1544">
        <v>27.214400829162148</v>
      </c>
      <c r="RL39" s="1544">
        <v>0</v>
      </c>
      <c r="RM39" s="1544">
        <v>0</v>
      </c>
      <c r="RN39" s="1544">
        <v>67.181054901960806</v>
      </c>
      <c r="RO39" s="1934">
        <v>197.4876605048342</v>
      </c>
    </row>
    <row r="40" spans="1:483">
      <c r="A40" s="1472">
        <f>Eingabedaten!A42</f>
        <v>12.01</v>
      </c>
      <c r="B40" s="386" t="str">
        <f>Eingabedaten!C42</f>
        <v>Verkehrsfläche</v>
      </c>
      <c r="C40" s="1939"/>
      <c r="D40" s="1933">
        <v>0</v>
      </c>
      <c r="E40" s="1544">
        <v>0</v>
      </c>
      <c r="F40" s="1544">
        <v>21.366235294117647</v>
      </c>
      <c r="G40" s="1544">
        <v>11.356656543686787</v>
      </c>
      <c r="H40" s="1544">
        <v>0</v>
      </c>
      <c r="I40" s="1544">
        <v>0</v>
      </c>
      <c r="J40" s="1544">
        <v>17.672176470588237</v>
      </c>
      <c r="K40" s="1544">
        <v>6.0733072940497417</v>
      </c>
      <c r="L40" s="1544">
        <v>0</v>
      </c>
      <c r="M40" s="1544">
        <v>0</v>
      </c>
      <c r="N40" s="1544">
        <v>36.580058823529413</v>
      </c>
      <c r="O40" s="1943">
        <v>12.420036567667507</v>
      </c>
      <c r="P40" s="1933">
        <v>0</v>
      </c>
      <c r="Q40" s="1544">
        <v>0</v>
      </c>
      <c r="R40" s="1544">
        <v>18.207558823529414</v>
      </c>
      <c r="S40" s="1544">
        <v>17.86016880441537</v>
      </c>
      <c r="T40" s="1544">
        <v>0</v>
      </c>
      <c r="U40" s="1544">
        <v>0</v>
      </c>
      <c r="V40" s="1544">
        <v>15.015294117647061</v>
      </c>
      <c r="W40" s="1544">
        <v>12.588823545747665</v>
      </c>
      <c r="X40" s="1544">
        <v>0</v>
      </c>
      <c r="Y40" s="1544">
        <v>0</v>
      </c>
      <c r="Z40" s="1544">
        <v>31.354764705882353</v>
      </c>
      <c r="AA40" s="1943">
        <v>20.9425096313491</v>
      </c>
      <c r="AB40" s="1933">
        <v>0</v>
      </c>
      <c r="AC40" s="1544">
        <v>0</v>
      </c>
      <c r="AD40" s="1544">
        <v>18.274764705882355</v>
      </c>
      <c r="AE40" s="1544">
        <v>23.177847480461683</v>
      </c>
      <c r="AF40" s="1544">
        <v>0</v>
      </c>
      <c r="AG40" s="1544">
        <v>0</v>
      </c>
      <c r="AH40" s="1544">
        <v>15.071823529411766</v>
      </c>
      <c r="AI40" s="1544">
        <v>17.297164327760949</v>
      </c>
      <c r="AJ40" s="1544">
        <v>0</v>
      </c>
      <c r="AK40" s="1544">
        <v>0</v>
      </c>
      <c r="AL40" s="1544">
        <v>31.465941176470594</v>
      </c>
      <c r="AM40" s="1943">
        <v>27.456286642521732</v>
      </c>
      <c r="AN40" s="1933">
        <v>0</v>
      </c>
      <c r="AO40" s="1544">
        <v>0</v>
      </c>
      <c r="AP40" s="1544">
        <v>18.879617647058826</v>
      </c>
      <c r="AQ40" s="1544">
        <v>15.281726074619979</v>
      </c>
      <c r="AR40" s="1544">
        <v>0</v>
      </c>
      <c r="AS40" s="1544">
        <v>0</v>
      </c>
      <c r="AT40" s="1544">
        <v>15.580588235294121</v>
      </c>
      <c r="AU40" s="1544">
        <v>10.359618286858408</v>
      </c>
      <c r="AV40" s="1544">
        <v>0</v>
      </c>
      <c r="AW40" s="1544">
        <v>0</v>
      </c>
      <c r="AX40" s="1544">
        <v>32.466529411764711</v>
      </c>
      <c r="AY40" s="1943">
        <v>17.701898614687742</v>
      </c>
      <c r="AZ40" s="1933">
        <v>0</v>
      </c>
      <c r="BA40" s="1544">
        <v>0</v>
      </c>
      <c r="BB40" s="1544">
        <v>19.484470588235293</v>
      </c>
      <c r="BC40" s="1544">
        <v>17.334569731748363</v>
      </c>
      <c r="BD40" s="1544">
        <v>0</v>
      </c>
      <c r="BE40" s="1544">
        <v>0</v>
      </c>
      <c r="BF40" s="1544">
        <v>16.089352941176472</v>
      </c>
      <c r="BG40" s="1544">
        <v>11.815206541162636</v>
      </c>
      <c r="BH40" s="1544">
        <v>0</v>
      </c>
      <c r="BI40" s="1544">
        <v>0</v>
      </c>
      <c r="BJ40" s="1544">
        <v>33.467117647058828</v>
      </c>
      <c r="BK40" s="1943">
        <v>20.169319607943557</v>
      </c>
      <c r="BL40" s="1933">
        <v>0</v>
      </c>
      <c r="BM40" s="1544">
        <v>0</v>
      </c>
      <c r="BN40" s="1544">
        <v>19.282852941176476</v>
      </c>
      <c r="BO40" s="1544">
        <v>21.896062185902629</v>
      </c>
      <c r="BP40" s="1544">
        <v>0</v>
      </c>
      <c r="BQ40" s="1544">
        <v>0</v>
      </c>
      <c r="BR40" s="1544">
        <v>15.919764705882356</v>
      </c>
      <c r="BS40" s="1544">
        <v>16.264406221292631</v>
      </c>
      <c r="BT40" s="1544">
        <v>0</v>
      </c>
      <c r="BU40" s="1544">
        <v>0</v>
      </c>
      <c r="BV40" s="1544">
        <v>33.13358823529412</v>
      </c>
      <c r="BW40" s="1943">
        <v>26.033309047372981</v>
      </c>
      <c r="BX40" s="1933">
        <v>0</v>
      </c>
      <c r="BY40" s="1544">
        <v>0</v>
      </c>
      <c r="BZ40" s="1544">
        <v>19.350058823529412</v>
      </c>
      <c r="CA40" s="1544">
        <v>13.234538736952118</v>
      </c>
      <c r="CB40" s="1544">
        <v>0</v>
      </c>
      <c r="CC40" s="1544">
        <v>0</v>
      </c>
      <c r="CD40" s="1544">
        <v>15.976294117647059</v>
      </c>
      <c r="CE40" s="1544">
        <v>8.4433904433047715</v>
      </c>
      <c r="CF40" s="1544">
        <v>0</v>
      </c>
      <c r="CG40" s="1544">
        <v>0</v>
      </c>
      <c r="CH40" s="1544">
        <v>33.244764705882353</v>
      </c>
      <c r="CI40" s="1943">
        <v>15.086319699362225</v>
      </c>
      <c r="CJ40" s="1933">
        <v>0</v>
      </c>
      <c r="CK40" s="1544">
        <v>0</v>
      </c>
      <c r="CL40" s="1544">
        <v>23.315205882352949</v>
      </c>
      <c r="CM40" s="1544">
        <v>11.595559860706247</v>
      </c>
      <c r="CN40" s="1544">
        <v>0</v>
      </c>
      <c r="CO40" s="1544">
        <v>0</v>
      </c>
      <c r="CP40" s="1544">
        <v>19.311529411764706</v>
      </c>
      <c r="CQ40" s="1544">
        <v>5.9820991652361561</v>
      </c>
      <c r="CR40" s="1544">
        <v>0</v>
      </c>
      <c r="CS40" s="1544">
        <v>0</v>
      </c>
      <c r="CT40" s="1544">
        <v>39.804176470588239</v>
      </c>
      <c r="CU40" s="1943">
        <v>12.686267764868548</v>
      </c>
      <c r="CV40" s="1933">
        <v>0</v>
      </c>
      <c r="CW40" s="1544">
        <v>0</v>
      </c>
      <c r="CX40" s="1544">
        <v>21.030205882352941</v>
      </c>
      <c r="CY40" s="1544">
        <v>10.708361261359956</v>
      </c>
      <c r="CZ40" s="1544">
        <v>0</v>
      </c>
      <c r="DA40" s="1544">
        <v>0</v>
      </c>
      <c r="DB40" s="1544">
        <v>17.389529411764709</v>
      </c>
      <c r="DC40" s="1544">
        <v>5.891174361675735</v>
      </c>
      <c r="DD40" s="1544">
        <v>0</v>
      </c>
      <c r="DE40" s="1544">
        <v>0</v>
      </c>
      <c r="DF40" s="1544">
        <v>36.024176470588237</v>
      </c>
      <c r="DG40" s="1943">
        <v>11.825571775432255</v>
      </c>
      <c r="DH40" s="1933">
        <v>0</v>
      </c>
      <c r="DI40" s="1544">
        <v>0</v>
      </c>
      <c r="DJ40" s="1544">
        <v>22.038294117647066</v>
      </c>
      <c r="DK40" s="1544">
        <v>24.719594324886394</v>
      </c>
      <c r="DL40" s="1544">
        <v>0</v>
      </c>
      <c r="DM40" s="1544">
        <v>0</v>
      </c>
      <c r="DN40" s="1544">
        <v>18.237470588235297</v>
      </c>
      <c r="DO40" s="1544">
        <v>17.735738126645362</v>
      </c>
      <c r="DP40" s="1544">
        <v>0</v>
      </c>
      <c r="DQ40" s="1544">
        <v>0</v>
      </c>
      <c r="DR40" s="1544">
        <v>37.691823529411764</v>
      </c>
      <c r="DS40" s="1943">
        <v>29.109073310669263</v>
      </c>
      <c r="DT40" s="1933">
        <v>0</v>
      </c>
      <c r="DU40" s="1544">
        <v>0</v>
      </c>
      <c r="DV40" s="1544">
        <v>17.333882352941178</v>
      </c>
      <c r="DW40" s="1544">
        <v>14.586451922852307</v>
      </c>
      <c r="DX40" s="1544">
        <v>0</v>
      </c>
      <c r="DY40" s="1544">
        <v>0</v>
      </c>
      <c r="DZ40" s="1544">
        <v>14.280411764705883</v>
      </c>
      <c r="EA40" s="1544">
        <v>9.836130990607014</v>
      </c>
      <c r="EB40" s="1544">
        <v>0</v>
      </c>
      <c r="EC40" s="1544">
        <v>0</v>
      </c>
      <c r="ED40" s="1544">
        <v>29.909470588235294</v>
      </c>
      <c r="EE40" s="1943">
        <v>16.852546277899716</v>
      </c>
      <c r="EF40" s="1933">
        <v>0</v>
      </c>
      <c r="EG40" s="1544">
        <v>0</v>
      </c>
      <c r="EH40" s="1544">
        <v>20.022117647058824</v>
      </c>
      <c r="EI40" s="1544">
        <v>30.468233731000357</v>
      </c>
      <c r="EJ40" s="1544">
        <v>0</v>
      </c>
      <c r="EK40" s="1544">
        <v>0</v>
      </c>
      <c r="EL40" s="1544">
        <v>16.541588235294121</v>
      </c>
      <c r="EM40" s="1544">
        <v>22.694609389338055</v>
      </c>
      <c r="EN40" s="1544">
        <v>0</v>
      </c>
      <c r="EO40" s="1544">
        <v>0</v>
      </c>
      <c r="EP40" s="1544">
        <v>34.356529411764711</v>
      </c>
      <c r="EQ40" s="1943">
        <v>36.201653334449617</v>
      </c>
      <c r="ER40" s="1933">
        <v>0</v>
      </c>
      <c r="ES40" s="1544">
        <v>0</v>
      </c>
      <c r="ET40" s="1544">
        <v>24.860941176470593</v>
      </c>
      <c r="EU40" s="1544">
        <v>14.797793722830173</v>
      </c>
      <c r="EV40" s="1544">
        <v>0</v>
      </c>
      <c r="EW40" s="1544">
        <v>0</v>
      </c>
      <c r="EX40" s="1544">
        <v>20.61170588235294</v>
      </c>
      <c r="EY40" s="1544">
        <v>8.9605394122076056</v>
      </c>
      <c r="EZ40" s="1544">
        <v>0</v>
      </c>
      <c r="FA40" s="1544">
        <v>0</v>
      </c>
      <c r="FB40" s="1544">
        <v>42.361235294117648</v>
      </c>
      <c r="FC40" s="1943">
        <v>16.800988948778802</v>
      </c>
      <c r="FD40" s="1933">
        <v>0</v>
      </c>
      <c r="FE40" s="1544">
        <v>0</v>
      </c>
      <c r="FF40" s="1544">
        <v>19.215647058823532</v>
      </c>
      <c r="FG40" s="1544">
        <v>21.539885817573865</v>
      </c>
      <c r="FH40" s="1544">
        <v>0</v>
      </c>
      <c r="FI40" s="1544">
        <v>0</v>
      </c>
      <c r="FJ40" s="1544">
        <v>15.863235294117649</v>
      </c>
      <c r="FK40" s="1544">
        <v>15.869053113673768</v>
      </c>
      <c r="FL40" s="1544">
        <v>0</v>
      </c>
      <c r="FM40" s="1544">
        <v>0</v>
      </c>
      <c r="FN40" s="1544">
        <v>33.022411764705886</v>
      </c>
      <c r="FO40" s="1943">
        <v>25.573325493318265</v>
      </c>
      <c r="FP40" s="1933">
        <v>0</v>
      </c>
      <c r="FQ40" s="1544">
        <v>0</v>
      </c>
      <c r="FR40" s="1544">
        <v>19.215647058823532</v>
      </c>
      <c r="FS40" s="1544">
        <v>20.07935551199288</v>
      </c>
      <c r="FT40" s="1544">
        <v>0</v>
      </c>
      <c r="FU40" s="1544">
        <v>0</v>
      </c>
      <c r="FV40" s="1544">
        <v>15.863235294117649</v>
      </c>
      <c r="FW40" s="1544">
        <v>14.148933480042363</v>
      </c>
      <c r="FX40" s="1544">
        <v>0</v>
      </c>
      <c r="FY40" s="1544">
        <v>0</v>
      </c>
      <c r="FZ40" s="1544">
        <v>33.022411764705886</v>
      </c>
      <c r="GA40" s="1943">
        <v>23.556850054019474</v>
      </c>
      <c r="GB40" s="1933">
        <v>0</v>
      </c>
      <c r="GC40" s="1544">
        <v>0</v>
      </c>
      <c r="GD40" s="1544">
        <v>20.895794117647064</v>
      </c>
      <c r="GE40" s="1544">
        <v>13.991305497521886</v>
      </c>
      <c r="GF40" s="1544">
        <v>0</v>
      </c>
      <c r="GG40" s="1544">
        <v>0</v>
      </c>
      <c r="GH40" s="1544">
        <v>17.276470588235295</v>
      </c>
      <c r="GI40" s="1544">
        <v>8.5894860149652406</v>
      </c>
      <c r="GJ40" s="1544">
        <v>0</v>
      </c>
      <c r="GK40" s="1544">
        <v>0</v>
      </c>
      <c r="GL40" s="1544">
        <v>35.801823529411763</v>
      </c>
      <c r="GM40" s="1943">
        <v>15.831307815279558</v>
      </c>
      <c r="GN40" s="1933">
        <v>0</v>
      </c>
      <c r="GO40" s="1544">
        <v>0</v>
      </c>
      <c r="GP40" s="1544">
        <v>20.963000000000005</v>
      </c>
      <c r="GQ40" s="1544">
        <v>20.913805484126556</v>
      </c>
      <c r="GR40" s="1544">
        <v>0</v>
      </c>
      <c r="GS40" s="1544">
        <v>0</v>
      </c>
      <c r="GT40" s="1544">
        <v>17.333000000000002</v>
      </c>
      <c r="GU40" s="1544">
        <v>14.37534669946314</v>
      </c>
      <c r="GV40" s="1544">
        <v>0</v>
      </c>
      <c r="GW40" s="1544">
        <v>0</v>
      </c>
      <c r="GX40" s="1544">
        <v>35.912999999999997</v>
      </c>
      <c r="GY40" s="1943">
        <v>24.362275494012767</v>
      </c>
      <c r="GZ40" s="1933">
        <v>0</v>
      </c>
      <c r="HA40" s="1544">
        <v>0</v>
      </c>
      <c r="HB40" s="1544">
        <v>15.384911764705885</v>
      </c>
      <c r="HC40" s="1544">
        <v>7.9067988648827665</v>
      </c>
      <c r="HD40" s="1544">
        <v>0</v>
      </c>
      <c r="HE40" s="1544">
        <v>0</v>
      </c>
      <c r="HF40" s="1544">
        <v>12.641058823529415</v>
      </c>
      <c r="HG40" s="1544">
        <v>4.3311075941679498</v>
      </c>
      <c r="HH40" s="1544">
        <v>0</v>
      </c>
      <c r="HI40" s="1544">
        <v>0</v>
      </c>
      <c r="HJ40" s="1544">
        <v>26.685352941176475</v>
      </c>
      <c r="HK40" s="1943">
        <v>8.1382459617091456</v>
      </c>
      <c r="HL40" s="1933">
        <v>0</v>
      </c>
      <c r="HM40" s="1544">
        <v>0</v>
      </c>
      <c r="HN40" s="1544">
        <v>15.048882352941179</v>
      </c>
      <c r="HO40" s="1544">
        <v>6.5280376896402803</v>
      </c>
      <c r="HP40" s="1544">
        <v>0</v>
      </c>
      <c r="HQ40" s="1544">
        <v>0</v>
      </c>
      <c r="HR40" s="1544">
        <v>12.358411764705885</v>
      </c>
      <c r="HS40" s="1544">
        <v>3.2557757442887687</v>
      </c>
      <c r="HT40" s="1544">
        <v>0</v>
      </c>
      <c r="HU40" s="1544">
        <v>0</v>
      </c>
      <c r="HV40" s="1544">
        <v>26.1294705882353</v>
      </c>
      <c r="HW40" s="1943">
        <v>6.184154482552449</v>
      </c>
      <c r="HX40" s="1933">
        <v>0</v>
      </c>
      <c r="HY40" s="1544">
        <v>0</v>
      </c>
      <c r="HZ40" s="1544">
        <v>18.812411764705885</v>
      </c>
      <c r="IA40" s="1544">
        <v>20.823420435024715</v>
      </c>
      <c r="IB40" s="1544">
        <v>0</v>
      </c>
      <c r="IC40" s="1544">
        <v>0</v>
      </c>
      <c r="ID40" s="1544">
        <v>15.524058823529412</v>
      </c>
      <c r="IE40" s="1544">
        <v>15.255952573839547</v>
      </c>
      <c r="IF40" s="1544">
        <v>0</v>
      </c>
      <c r="IG40" s="1544">
        <v>0</v>
      </c>
      <c r="IH40" s="1544">
        <v>32.35535294117647</v>
      </c>
      <c r="II40" s="1943">
        <v>24.67276672568611</v>
      </c>
      <c r="IJ40" s="1933">
        <v>0</v>
      </c>
      <c r="IK40" s="1544">
        <v>0</v>
      </c>
      <c r="IL40" s="1544">
        <v>16.527411764705885</v>
      </c>
      <c r="IM40" s="1544">
        <v>10.862571111379419</v>
      </c>
      <c r="IN40" s="1544">
        <v>0</v>
      </c>
      <c r="IO40" s="1544">
        <v>0</v>
      </c>
      <c r="IP40" s="1544">
        <v>13.602058823529413</v>
      </c>
      <c r="IQ40" s="1544">
        <v>6.6158943471364804</v>
      </c>
      <c r="IR40" s="1544">
        <v>0</v>
      </c>
      <c r="IS40" s="1544">
        <v>0</v>
      </c>
      <c r="IT40" s="1544">
        <v>28.575352941176476</v>
      </c>
      <c r="IU40" s="1943">
        <v>11.7927083917497</v>
      </c>
      <c r="IV40" s="1933">
        <v>0</v>
      </c>
      <c r="IW40" s="1544">
        <v>0</v>
      </c>
      <c r="IX40" s="1544">
        <v>20.963000000000005</v>
      </c>
      <c r="IY40" s="1544">
        <v>7.7038329459276742</v>
      </c>
      <c r="IZ40" s="1544">
        <v>0</v>
      </c>
      <c r="JA40" s="1544">
        <v>0</v>
      </c>
      <c r="JB40" s="1544">
        <v>17.333000000000002</v>
      </c>
      <c r="JC40" s="1544">
        <v>3.461384228989838</v>
      </c>
      <c r="JD40" s="1544">
        <v>0</v>
      </c>
      <c r="JE40" s="1544">
        <v>0</v>
      </c>
      <c r="JF40" s="1544">
        <v>35.912999999999997</v>
      </c>
      <c r="JG40" s="1943">
        <v>8.1254264772343632</v>
      </c>
      <c r="JH40" s="1933">
        <v>0</v>
      </c>
      <c r="JI40" s="1544">
        <v>0</v>
      </c>
      <c r="JJ40" s="1544">
        <v>18.14035294117647</v>
      </c>
      <c r="JK40" s="1544">
        <v>19.394629589987186</v>
      </c>
      <c r="JL40" s="1544">
        <v>0</v>
      </c>
      <c r="JM40" s="1544">
        <v>0</v>
      </c>
      <c r="JN40" s="1544">
        <v>14.958764705882354</v>
      </c>
      <c r="JO40" s="1544">
        <v>14.155906347450333</v>
      </c>
      <c r="JP40" s="1544">
        <v>0</v>
      </c>
      <c r="JQ40" s="1544">
        <v>0</v>
      </c>
      <c r="JR40" s="1544">
        <v>31.243588235294119</v>
      </c>
      <c r="JS40" s="1943">
        <v>22.953503611303454</v>
      </c>
      <c r="JT40" s="1933">
        <v>0</v>
      </c>
      <c r="JU40" s="1544">
        <v>0</v>
      </c>
      <c r="JV40" s="1544">
        <v>19.01402941176471</v>
      </c>
      <c r="JW40" s="1544">
        <v>18.524091482418072</v>
      </c>
      <c r="JX40" s="1544">
        <v>0</v>
      </c>
      <c r="JY40" s="1544">
        <v>0</v>
      </c>
      <c r="JZ40" s="1544">
        <v>15.693647058823531</v>
      </c>
      <c r="KA40" s="1544">
        <v>13.062612771109514</v>
      </c>
      <c r="KB40" s="1544">
        <v>0</v>
      </c>
      <c r="KC40" s="1544">
        <v>0</v>
      </c>
      <c r="KD40" s="1544">
        <v>32.688882352941178</v>
      </c>
      <c r="KE40" s="1943">
        <v>21.746975700619448</v>
      </c>
      <c r="KF40" s="1933">
        <v>0</v>
      </c>
      <c r="KG40" s="1544">
        <v>0</v>
      </c>
      <c r="KH40" s="1544">
        <v>19.350058823529412</v>
      </c>
      <c r="KI40" s="1544">
        <v>26.323089970403554</v>
      </c>
      <c r="KJ40" s="1544">
        <v>0</v>
      </c>
      <c r="KK40" s="1544">
        <v>0</v>
      </c>
      <c r="KL40" s="1544">
        <v>15.976294117647059</v>
      </c>
      <c r="KM40" s="1544">
        <v>19.622820582882106</v>
      </c>
      <c r="KN40" s="1544">
        <v>0</v>
      </c>
      <c r="KO40" s="1544">
        <v>0</v>
      </c>
      <c r="KP40" s="1544">
        <v>33.244764705882353</v>
      </c>
      <c r="KQ40" s="1943">
        <v>31.304236610370069</v>
      </c>
      <c r="KR40" s="1933">
        <v>0</v>
      </c>
      <c r="KS40" s="1544">
        <v>0</v>
      </c>
      <c r="KT40" s="1544">
        <v>17.401088235294122</v>
      </c>
      <c r="KU40" s="1544">
        <v>13.263967628502643</v>
      </c>
      <c r="KV40" s="1544">
        <v>0</v>
      </c>
      <c r="KW40" s="1544">
        <v>0</v>
      </c>
      <c r="KX40" s="1544">
        <v>14.336941176470591</v>
      </c>
      <c r="KY40" s="1544">
        <v>8.6934381008699102</v>
      </c>
      <c r="KZ40" s="1544">
        <v>0</v>
      </c>
      <c r="LA40" s="1544">
        <v>0</v>
      </c>
      <c r="LB40" s="1544">
        <v>30.020647058823535</v>
      </c>
      <c r="LC40" s="1943">
        <v>15.189452811149703</v>
      </c>
      <c r="LD40" s="1933">
        <v>0</v>
      </c>
      <c r="LE40" s="1544">
        <v>0</v>
      </c>
      <c r="LF40" s="1544">
        <v>19.753294117647059</v>
      </c>
      <c r="LG40" s="1544">
        <v>17.318575169248611</v>
      </c>
      <c r="LH40" s="1544">
        <v>0</v>
      </c>
      <c r="LI40" s="1544">
        <v>0</v>
      </c>
      <c r="LJ40" s="1544">
        <v>16.315470588235296</v>
      </c>
      <c r="LK40" s="1544">
        <v>11.192301483938513</v>
      </c>
      <c r="LL40" s="1544">
        <v>0</v>
      </c>
      <c r="LM40" s="1544">
        <v>0</v>
      </c>
      <c r="LN40" s="1544">
        <v>33.911823529411762</v>
      </c>
      <c r="LO40" s="1943">
        <v>19.774402169819922</v>
      </c>
      <c r="LP40" s="1933">
        <v>0</v>
      </c>
      <c r="LQ40" s="1544">
        <v>0</v>
      </c>
      <c r="LR40" s="1544">
        <v>19.954911764705884</v>
      </c>
      <c r="LS40" s="1544">
        <v>20.570585352382675</v>
      </c>
      <c r="LT40" s="1544">
        <v>0</v>
      </c>
      <c r="LU40" s="1544">
        <v>0</v>
      </c>
      <c r="LV40" s="1544">
        <v>16.485058823529414</v>
      </c>
      <c r="LW40" s="1544">
        <v>14.931934082953155</v>
      </c>
      <c r="LX40" s="1544">
        <v>0</v>
      </c>
      <c r="LY40" s="1544">
        <v>0</v>
      </c>
      <c r="LZ40" s="1544">
        <v>34.245352941176478</v>
      </c>
      <c r="MA40" s="1943">
        <v>24.326845175902928</v>
      </c>
      <c r="MB40" s="1933">
        <v>0</v>
      </c>
      <c r="MC40" s="1544">
        <v>0</v>
      </c>
      <c r="MD40" s="1544">
        <v>26.339470588235301</v>
      </c>
      <c r="ME40" s="1544">
        <v>12.860338659554403</v>
      </c>
      <c r="MF40" s="1544">
        <v>0</v>
      </c>
      <c r="MG40" s="1544">
        <v>0</v>
      </c>
      <c r="MH40" s="1544">
        <v>21.85535294117647</v>
      </c>
      <c r="MI40" s="1544">
        <v>6.4097521109064441</v>
      </c>
      <c r="MJ40" s="1544">
        <v>0</v>
      </c>
      <c r="MK40" s="1544">
        <v>0</v>
      </c>
      <c r="ML40" s="1544">
        <v>44.807117647058824</v>
      </c>
      <c r="MM40" s="1943">
        <v>14.030062971075976</v>
      </c>
      <c r="MN40" s="1933">
        <v>0</v>
      </c>
      <c r="MO40" s="1544">
        <v>0</v>
      </c>
      <c r="MP40" s="1544">
        <v>21.836676470588237</v>
      </c>
      <c r="MQ40" s="1544">
        <v>19.121612599882539</v>
      </c>
      <c r="MR40" s="1544">
        <v>0</v>
      </c>
      <c r="MS40" s="1544">
        <v>0</v>
      </c>
      <c r="MT40" s="1544">
        <v>18.067882352941179</v>
      </c>
      <c r="MU40" s="1544">
        <v>12.005841052112112</v>
      </c>
      <c r="MV40" s="1544">
        <v>0</v>
      </c>
      <c r="MW40" s="1544">
        <v>0</v>
      </c>
      <c r="MX40" s="1544">
        <v>37.358294117647056</v>
      </c>
      <c r="MY40" s="1943">
        <v>21.790316416631097</v>
      </c>
      <c r="MZ40" s="1933">
        <v>0</v>
      </c>
      <c r="NA40" s="1544">
        <v>0</v>
      </c>
      <c r="NB40" s="1544">
        <v>20.76138235294118</v>
      </c>
      <c r="NC40" s="1544">
        <v>18.107889758296253</v>
      </c>
      <c r="ND40" s="1544">
        <v>0</v>
      </c>
      <c r="NE40" s="1544">
        <v>0</v>
      </c>
      <c r="NF40" s="1544">
        <v>17.163411764705884</v>
      </c>
      <c r="NG40" s="1544">
        <v>12.502618426505508</v>
      </c>
      <c r="NH40" s="1544">
        <v>0</v>
      </c>
      <c r="NI40" s="1544">
        <v>0</v>
      </c>
      <c r="NJ40" s="1544">
        <v>35.579470588235296</v>
      </c>
      <c r="NK40" s="1943">
        <v>21.11970083946775</v>
      </c>
      <c r="NL40" s="1933">
        <v>0</v>
      </c>
      <c r="NM40" s="1544">
        <v>0</v>
      </c>
      <c r="NN40" s="1544">
        <v>19.551676470588237</v>
      </c>
      <c r="NO40" s="1544">
        <v>22.686592696846013</v>
      </c>
      <c r="NP40" s="1544">
        <v>0</v>
      </c>
      <c r="NQ40" s="1544">
        <v>0</v>
      </c>
      <c r="NR40" s="1544">
        <v>16.145882352941179</v>
      </c>
      <c r="NS40" s="1544">
        <v>16.83024694350031</v>
      </c>
      <c r="NT40" s="1544">
        <v>0</v>
      </c>
      <c r="NU40" s="1544">
        <v>0</v>
      </c>
      <c r="NV40" s="1544">
        <v>33.578294117647062</v>
      </c>
      <c r="NW40" s="1943">
        <v>26.95257755532143</v>
      </c>
      <c r="NX40" s="1933">
        <v>0</v>
      </c>
      <c r="NY40" s="1544">
        <v>0</v>
      </c>
      <c r="NZ40" s="1544">
        <v>22.575941176470593</v>
      </c>
      <c r="OA40" s="1544">
        <v>14.258447546387687</v>
      </c>
      <c r="OB40" s="1544">
        <v>0</v>
      </c>
      <c r="OC40" s="1544">
        <v>0</v>
      </c>
      <c r="OD40" s="1544">
        <v>18.689705882352939</v>
      </c>
      <c r="OE40" s="1544">
        <v>8.7184563772055075</v>
      </c>
      <c r="OF40" s="1544">
        <v>0</v>
      </c>
      <c r="OG40" s="1544">
        <v>0</v>
      </c>
      <c r="OH40" s="1544">
        <v>38.581235294117647</v>
      </c>
      <c r="OI40" s="1934">
        <v>16.239963464310332</v>
      </c>
      <c r="OJ40" s="1933">
        <v>0</v>
      </c>
      <c r="OK40" s="1544">
        <v>0</v>
      </c>
      <c r="OL40" s="1544">
        <v>18.54358823529412</v>
      </c>
      <c r="OM40" s="1544">
        <v>13.343205715000259</v>
      </c>
      <c r="ON40" s="1544">
        <v>0</v>
      </c>
      <c r="OO40" s="1544">
        <v>0</v>
      </c>
      <c r="OP40" s="1544">
        <v>15.297941176470589</v>
      </c>
      <c r="OQ40" s="1544">
        <v>8.5922664745966539</v>
      </c>
      <c r="OR40" s="1544">
        <v>0</v>
      </c>
      <c r="OS40" s="1544">
        <v>0</v>
      </c>
      <c r="OT40" s="1544">
        <v>31.910647058823532</v>
      </c>
      <c r="OU40" s="1934">
        <v>15.260102971351317</v>
      </c>
      <c r="OV40" s="1933">
        <v>0</v>
      </c>
      <c r="OW40" s="1544">
        <v>0</v>
      </c>
      <c r="OX40" s="1544">
        <v>25.398588235294124</v>
      </c>
      <c r="OY40" s="1544">
        <v>16.865909999519666</v>
      </c>
      <c r="OZ40" s="1544">
        <v>0</v>
      </c>
      <c r="PA40" s="1544">
        <v>0</v>
      </c>
      <c r="PB40" s="1544">
        <v>21.063941176470589</v>
      </c>
      <c r="PC40" s="1544">
        <v>10.233539502072762</v>
      </c>
      <c r="PD40" s="1544">
        <v>0</v>
      </c>
      <c r="PE40" s="1544">
        <v>0</v>
      </c>
      <c r="PF40" s="1544">
        <v>43.250647058823532</v>
      </c>
      <c r="PG40" s="1934">
        <v>19.148381213031104</v>
      </c>
      <c r="PH40" s="1933">
        <v>0</v>
      </c>
      <c r="PI40" s="1544">
        <v>0</v>
      </c>
      <c r="PJ40" s="1544">
        <v>19.753294117647059</v>
      </c>
      <c r="PK40" s="1544">
        <v>16.29774511055636</v>
      </c>
      <c r="PL40" s="1544">
        <v>0</v>
      </c>
      <c r="PM40" s="1544">
        <v>0</v>
      </c>
      <c r="PN40" s="1544">
        <v>16.315470588235296</v>
      </c>
      <c r="PO40" s="1544">
        <v>11.167368138324431</v>
      </c>
      <c r="PP40" s="1544">
        <v>0</v>
      </c>
      <c r="PQ40" s="1544">
        <v>0</v>
      </c>
      <c r="PR40" s="1544">
        <v>33.911823529411762</v>
      </c>
      <c r="PS40" s="1934">
        <v>18.935743379732813</v>
      </c>
      <c r="PT40" s="1933">
        <v>0</v>
      </c>
      <c r="PU40" s="1544">
        <v>0</v>
      </c>
      <c r="PV40" s="1544">
        <v>19.417264705882356</v>
      </c>
      <c r="PW40" s="1544">
        <v>20.729186583951854</v>
      </c>
      <c r="PX40" s="1544">
        <v>0</v>
      </c>
      <c r="PY40" s="1544">
        <v>0</v>
      </c>
      <c r="PZ40" s="1544">
        <v>16.032823529411768</v>
      </c>
      <c r="QA40" s="1544">
        <v>15.054588307269475</v>
      </c>
      <c r="QB40" s="1544">
        <v>0</v>
      </c>
      <c r="QC40" s="1544">
        <v>0</v>
      </c>
      <c r="QD40" s="1544">
        <v>33.355941176470594</v>
      </c>
      <c r="QE40" s="1934">
        <v>24.534509888038134</v>
      </c>
      <c r="QF40" s="1933">
        <v>0</v>
      </c>
      <c r="QG40" s="1544">
        <v>0</v>
      </c>
      <c r="QH40" s="1544">
        <v>21.971088235294125</v>
      </c>
      <c r="QI40" s="1544">
        <v>12.196718076887406</v>
      </c>
      <c r="QJ40" s="1544">
        <v>0</v>
      </c>
      <c r="QK40" s="1544">
        <v>0</v>
      </c>
      <c r="QL40" s="1544">
        <v>18.18094117647059</v>
      </c>
      <c r="QM40" s="1544">
        <v>6.395562614750494</v>
      </c>
      <c r="QN40" s="1544">
        <v>0</v>
      </c>
      <c r="QO40" s="1544">
        <v>0</v>
      </c>
      <c r="QP40" s="1544">
        <v>37.58064705882353</v>
      </c>
      <c r="QQ40" s="1934">
        <v>13.314942522197839</v>
      </c>
      <c r="QR40" s="1933">
        <v>0</v>
      </c>
      <c r="QS40" s="1544">
        <v>0</v>
      </c>
      <c r="QT40" s="1544">
        <v>19.686088235294118</v>
      </c>
      <c r="QU40" s="1544">
        <v>18.390667195422782</v>
      </c>
      <c r="QV40" s="1544">
        <v>0</v>
      </c>
      <c r="QW40" s="1544">
        <v>0</v>
      </c>
      <c r="QX40" s="1544">
        <v>16.258941176470589</v>
      </c>
      <c r="QY40" s="1544">
        <v>12.903897791157066</v>
      </c>
      <c r="QZ40" s="1544">
        <v>0</v>
      </c>
      <c r="RA40" s="1544">
        <v>0</v>
      </c>
      <c r="RB40" s="1544">
        <v>33.800647058823529</v>
      </c>
      <c r="RC40" s="1934">
        <v>21.553308133571079</v>
      </c>
      <c r="RD40" s="1933">
        <v>0</v>
      </c>
      <c r="RE40" s="1544">
        <v>0</v>
      </c>
      <c r="RF40" s="1544">
        <v>19.551676470588237</v>
      </c>
      <c r="RG40" s="1544">
        <v>17.681625271928997</v>
      </c>
      <c r="RH40" s="1544">
        <v>0</v>
      </c>
      <c r="RI40" s="1544">
        <v>0</v>
      </c>
      <c r="RJ40" s="1544">
        <v>16.145882352941179</v>
      </c>
      <c r="RK40" s="1544">
        <v>12.279819926368052</v>
      </c>
      <c r="RL40" s="1544">
        <v>0</v>
      </c>
      <c r="RM40" s="1544">
        <v>0</v>
      </c>
      <c r="RN40" s="1544">
        <v>33.578294117647062</v>
      </c>
      <c r="RO40" s="1934">
        <v>20.66006602052056</v>
      </c>
    </row>
    <row r="41" spans="1:483">
      <c r="A41" s="634">
        <f>Eingabedaten!A43</f>
        <v>12.02</v>
      </c>
      <c r="B41" s="379" t="str">
        <f>Eingabedaten!C43</f>
        <v>Verkehrsfläche 24 h</v>
      </c>
      <c r="C41" s="379"/>
      <c r="D41" s="1933">
        <v>31.648400000000006</v>
      </c>
      <c r="E41" s="1544">
        <v>0</v>
      </c>
      <c r="F41" s="1544">
        <v>21.366235294117647</v>
      </c>
      <c r="G41" s="1544">
        <v>8.1564012509705854</v>
      </c>
      <c r="H41" s="1544">
        <v>28.492858352941177</v>
      </c>
      <c r="I41" s="1544">
        <v>0</v>
      </c>
      <c r="J41" s="1544">
        <v>17.672176470588237</v>
      </c>
      <c r="K41" s="1544">
        <v>5.603576851643508</v>
      </c>
      <c r="L41" s="1544">
        <v>0</v>
      </c>
      <c r="M41" s="1544">
        <v>0</v>
      </c>
      <c r="N41" s="1544">
        <v>36.580058823529413</v>
      </c>
      <c r="O41" s="1943">
        <v>11.833594591661871</v>
      </c>
      <c r="P41" s="1933">
        <v>45.452562352941193</v>
      </c>
      <c r="Q41" s="1544">
        <v>6.5655843669370579</v>
      </c>
      <c r="R41" s="1544">
        <v>18.207558823529414</v>
      </c>
      <c r="S41" s="1544">
        <v>14.100309686261248</v>
      </c>
      <c r="T41" s="1544">
        <v>32.905991171764711</v>
      </c>
      <c r="U41" s="1544">
        <v>1.5147068378643254</v>
      </c>
      <c r="V41" s="1544">
        <v>15.015294117647061</v>
      </c>
      <c r="W41" s="1544">
        <v>11.920667427264378</v>
      </c>
      <c r="X41" s="1544">
        <v>64.264588235294127</v>
      </c>
      <c r="Y41" s="1544">
        <v>6.0775938194526518</v>
      </c>
      <c r="Z41" s="1544">
        <v>31.354764705882353</v>
      </c>
      <c r="AA41" s="1943">
        <v>20.219324309714555</v>
      </c>
      <c r="AB41" s="1933">
        <v>36.078988235294126</v>
      </c>
      <c r="AC41" s="1544">
        <v>3.2774824770237658</v>
      </c>
      <c r="AD41" s="1544">
        <v>18.274764705882355</v>
      </c>
      <c r="AE41" s="1544">
        <v>18.873971114667693</v>
      </c>
      <c r="AF41" s="1544">
        <v>34.073878211764715</v>
      </c>
      <c r="AG41" s="1544">
        <v>2.1314365463455727E-2</v>
      </c>
      <c r="AH41" s="1544">
        <v>15.071823529411766</v>
      </c>
      <c r="AI41" s="1544">
        <v>16.562917478846536</v>
      </c>
      <c r="AJ41" s="1544">
        <v>50.811176470588244</v>
      </c>
      <c r="AK41" s="1544">
        <v>1.6783210068420364</v>
      </c>
      <c r="AL41" s="1544">
        <v>31.465941176470594</v>
      </c>
      <c r="AM41" s="1943">
        <v>26.63315248533646</v>
      </c>
      <c r="AN41" s="1933">
        <v>48.52147764705883</v>
      </c>
      <c r="AO41" s="1544">
        <v>10.821160798065646</v>
      </c>
      <c r="AP41" s="1544">
        <v>18.879617647058826</v>
      </c>
      <c r="AQ41" s="1544">
        <v>11.662443356762665</v>
      </c>
      <c r="AR41" s="1544">
        <v>35.194296225882361</v>
      </c>
      <c r="AS41" s="1544">
        <v>4.1392066928837545</v>
      </c>
      <c r="AT41" s="1544">
        <v>15.580588235294121</v>
      </c>
      <c r="AU41" s="1544">
        <v>9.7347368896786808</v>
      </c>
      <c r="AV41" s="1544">
        <v>68.502705882352956</v>
      </c>
      <c r="AW41" s="1544">
        <v>11.31931882396419</v>
      </c>
      <c r="AX41" s="1544">
        <v>32.466529411764711</v>
      </c>
      <c r="AY41" s="1943">
        <v>17.002754784635492</v>
      </c>
      <c r="AZ41" s="1933">
        <v>42.266657647058835</v>
      </c>
      <c r="BA41" s="1544">
        <v>7.8765079502717894</v>
      </c>
      <c r="BB41" s="1544">
        <v>19.484470588235293</v>
      </c>
      <c r="BC41" s="1544">
        <v>13.680096209116597</v>
      </c>
      <c r="BD41" s="1544">
        <v>30.650964103529422</v>
      </c>
      <c r="BE41" s="1544">
        <v>2.2910457371448341</v>
      </c>
      <c r="BF41" s="1544">
        <v>16.089352941176472</v>
      </c>
      <c r="BG41" s="1544">
        <v>11.191762395256006</v>
      </c>
      <c r="BH41" s="1544">
        <v>59.682000000000023</v>
      </c>
      <c r="BI41" s="1544">
        <v>8.13588711353162</v>
      </c>
      <c r="BJ41" s="1544">
        <v>33.467117647058828</v>
      </c>
      <c r="BK41" s="1943">
        <v>19.474686254663471</v>
      </c>
      <c r="BL41" s="1933">
        <v>38.990414117647077</v>
      </c>
      <c r="BM41" s="1544">
        <v>7.8669830814435686</v>
      </c>
      <c r="BN41" s="1544">
        <v>19.282852941176476</v>
      </c>
      <c r="BO41" s="1544">
        <v>17.99707320131327</v>
      </c>
      <c r="BP41" s="1544">
        <v>31.633622607058832</v>
      </c>
      <c r="BQ41" s="1544">
        <v>2.2184888445012669</v>
      </c>
      <c r="BR41" s="1544">
        <v>15.919764705882356</v>
      </c>
      <c r="BS41" s="1544">
        <v>15.566753407449777</v>
      </c>
      <c r="BT41" s="1544">
        <v>54.907764705882371</v>
      </c>
      <c r="BU41" s="1544">
        <v>7.6931370570438435</v>
      </c>
      <c r="BV41" s="1544">
        <v>33.13358823529412</v>
      </c>
      <c r="BW41" s="1943">
        <v>25.292244043548916</v>
      </c>
      <c r="BX41" s="1933">
        <v>38.003738823529417</v>
      </c>
      <c r="BY41" s="1544">
        <v>4.9669163664174789</v>
      </c>
      <c r="BZ41" s="1544">
        <v>19.350058823529412</v>
      </c>
      <c r="CA41" s="1544">
        <v>9.9382464995618491</v>
      </c>
      <c r="CB41" s="1544">
        <v>29.95821240470589</v>
      </c>
      <c r="CC41" s="1544">
        <v>0.64868767611949507</v>
      </c>
      <c r="CD41" s="1544">
        <v>15.976294117647059</v>
      </c>
      <c r="CE41" s="1544">
        <v>7.8967543553181105</v>
      </c>
      <c r="CF41" s="1544">
        <v>53.623411764705892</v>
      </c>
      <c r="CG41" s="1544">
        <v>3.9335477358018314</v>
      </c>
      <c r="CH41" s="1544">
        <v>33.244764705882353</v>
      </c>
      <c r="CI41" s="1943">
        <v>14.463760512867756</v>
      </c>
      <c r="CJ41" s="1933">
        <v>33.627752941176482</v>
      </c>
      <c r="CK41" s="1544">
        <v>0</v>
      </c>
      <c r="CL41" s="1544">
        <v>23.315205882352949</v>
      </c>
      <c r="CM41" s="1544">
        <v>8.6875843784400608</v>
      </c>
      <c r="CN41" s="1544">
        <v>23.800484235294121</v>
      </c>
      <c r="CO41" s="1544">
        <v>0</v>
      </c>
      <c r="CP41" s="1544">
        <v>19.311529411764706</v>
      </c>
      <c r="CQ41" s="1544">
        <v>5.5653800603633901</v>
      </c>
      <c r="CR41" s="1544">
        <v>0</v>
      </c>
      <c r="CS41" s="1544">
        <v>0</v>
      </c>
      <c r="CT41" s="1544">
        <v>39.804176470588239</v>
      </c>
      <c r="CU41" s="1943">
        <v>12.168979306473002</v>
      </c>
      <c r="CV41" s="1933">
        <v>39.473396470588241</v>
      </c>
      <c r="CW41" s="1544">
        <v>0.35070326942802471</v>
      </c>
      <c r="CX41" s="1544">
        <v>21.030205882352941</v>
      </c>
      <c r="CY41" s="1544">
        <v>7.7391201425392193</v>
      </c>
      <c r="CZ41" s="1544">
        <v>29.202910475294118</v>
      </c>
      <c r="DA41" s="1544">
        <v>0</v>
      </c>
      <c r="DB41" s="1544">
        <v>17.389529411764709</v>
      </c>
      <c r="DC41" s="1544">
        <v>5.4228223271599258</v>
      </c>
      <c r="DD41" s="1544">
        <v>0</v>
      </c>
      <c r="DE41" s="1544">
        <v>0</v>
      </c>
      <c r="DF41" s="1544">
        <v>36.024176470588237</v>
      </c>
      <c r="DG41" s="1943">
        <v>11.27583795031355</v>
      </c>
      <c r="DH41" s="1933">
        <v>43.218645882352952</v>
      </c>
      <c r="DI41" s="1544">
        <v>0</v>
      </c>
      <c r="DJ41" s="1544">
        <v>22.038294117647066</v>
      </c>
      <c r="DK41" s="1544">
        <v>20.4459741384564</v>
      </c>
      <c r="DL41" s="1544">
        <v>31.124764197647067</v>
      </c>
      <c r="DM41" s="1544">
        <v>0</v>
      </c>
      <c r="DN41" s="1544">
        <v>18.237470588235297</v>
      </c>
      <c r="DO41" s="1544">
        <v>17.045074768949888</v>
      </c>
      <c r="DP41" s="1544">
        <v>0</v>
      </c>
      <c r="DQ41" s="1544">
        <v>0</v>
      </c>
      <c r="DR41" s="1544">
        <v>37.691823529411764</v>
      </c>
      <c r="DS41" s="1943">
        <v>28.306306776491105</v>
      </c>
      <c r="DT41" s="1933">
        <v>43.809215294117649</v>
      </c>
      <c r="DU41" s="1544">
        <v>12.568564143172285</v>
      </c>
      <c r="DV41" s="1544">
        <v>17.333882352941178</v>
      </c>
      <c r="DW41" s="1544">
        <v>11.073862002819356</v>
      </c>
      <c r="DX41" s="1544">
        <v>31.835267595294116</v>
      </c>
      <c r="DY41" s="1544">
        <v>4.9349245412662439</v>
      </c>
      <c r="DZ41" s="1544">
        <v>14.280411764705883</v>
      </c>
      <c r="EA41" s="1544">
        <v>9.2388713566556699</v>
      </c>
      <c r="EB41" s="1544">
        <v>61.7604705882353</v>
      </c>
      <c r="EC41" s="1544">
        <v>12.979860268637845</v>
      </c>
      <c r="ED41" s="1544">
        <v>29.909470588235294</v>
      </c>
      <c r="EE41" s="1943">
        <v>16.175544697030773</v>
      </c>
      <c r="EF41" s="1933">
        <v>39.799937647058833</v>
      </c>
      <c r="EG41" s="1544">
        <v>2.3282125865908867</v>
      </c>
      <c r="EH41" s="1544">
        <v>20.022117647058824</v>
      </c>
      <c r="EI41" s="1544">
        <v>24.849612825532592</v>
      </c>
      <c r="EJ41" s="1544">
        <v>31.28269756235294</v>
      </c>
      <c r="EK41" s="1544">
        <v>0</v>
      </c>
      <c r="EL41" s="1544">
        <v>16.541588235294121</v>
      </c>
      <c r="EM41" s="1544">
        <v>21.685767641527807</v>
      </c>
      <c r="EN41" s="1544">
        <v>56.220705882352945</v>
      </c>
      <c r="EO41" s="1544">
        <v>0.80401215963064487</v>
      </c>
      <c r="EP41" s="1544">
        <v>34.356529411764711</v>
      </c>
      <c r="EQ41" s="1943">
        <v>35.107019991428267</v>
      </c>
      <c r="ER41" s="1933">
        <v>39.965305882352951</v>
      </c>
      <c r="ES41" s="1544">
        <v>0</v>
      </c>
      <c r="ET41" s="1544">
        <v>24.860941176470593</v>
      </c>
      <c r="EU41" s="1544">
        <v>12.124029665120343</v>
      </c>
      <c r="EV41" s="1544">
        <v>30.737909176470591</v>
      </c>
      <c r="EW41" s="1544">
        <v>0</v>
      </c>
      <c r="EX41" s="1544">
        <v>20.61170588235294</v>
      </c>
      <c r="EY41" s="1544">
        <v>8.5991273192056141</v>
      </c>
      <c r="EZ41" s="1544">
        <v>0</v>
      </c>
      <c r="FA41" s="1544">
        <v>0</v>
      </c>
      <c r="FB41" s="1544">
        <v>42.361235294117648</v>
      </c>
      <c r="FC41" s="1943">
        <v>16.342054616934469</v>
      </c>
      <c r="FD41" s="1933">
        <v>41.58803647058825</v>
      </c>
      <c r="FE41" s="1544">
        <v>7.6584553124379298</v>
      </c>
      <c r="FF41" s="1544">
        <v>19.215647058823532</v>
      </c>
      <c r="FG41" s="1544">
        <v>17.687002576866298</v>
      </c>
      <c r="FH41" s="1544">
        <v>36.79846776470589</v>
      </c>
      <c r="FI41" s="1544">
        <v>2.025029293165248</v>
      </c>
      <c r="FJ41" s="1544">
        <v>15.863235294117649</v>
      </c>
      <c r="FK41" s="1544">
        <v>15.181417537319344</v>
      </c>
      <c r="FL41" s="1544">
        <v>58.858588235294128</v>
      </c>
      <c r="FM41" s="1544">
        <v>7.6045040864265978</v>
      </c>
      <c r="FN41" s="1544">
        <v>33.022411764705886</v>
      </c>
      <c r="FO41" s="1943">
        <v>24.840838546157954</v>
      </c>
      <c r="FP41" s="1933">
        <v>39.156067058823538</v>
      </c>
      <c r="FQ41" s="1544">
        <v>4.6595482611307757</v>
      </c>
      <c r="FR41" s="1544">
        <v>19.215647058823532</v>
      </c>
      <c r="FS41" s="1544">
        <v>16.211714478851452</v>
      </c>
      <c r="FT41" s="1544">
        <v>28.250414381176476</v>
      </c>
      <c r="FU41" s="1544">
        <v>0.53266851437466611</v>
      </c>
      <c r="FV41" s="1544">
        <v>15.863235294117649</v>
      </c>
      <c r="FW41" s="1544">
        <v>13.479927706306032</v>
      </c>
      <c r="FX41" s="1544">
        <v>55.509529411764717</v>
      </c>
      <c r="FY41" s="1544">
        <v>3.6705972230776864</v>
      </c>
      <c r="FZ41" s="1544">
        <v>33.022411764705886</v>
      </c>
      <c r="GA41" s="1943">
        <v>22.827131981788902</v>
      </c>
      <c r="GB41" s="1933">
        <v>39.34948235294118</v>
      </c>
      <c r="GC41" s="1544">
        <v>2.0759532172573376</v>
      </c>
      <c r="GD41" s="1544">
        <v>20.895794117647064</v>
      </c>
      <c r="GE41" s="1544">
        <v>10.673500285307309</v>
      </c>
      <c r="GF41" s="1544">
        <v>28.312964611764709</v>
      </c>
      <c r="GG41" s="1544">
        <v>0</v>
      </c>
      <c r="GH41" s="1544">
        <v>17.276470588235295</v>
      </c>
      <c r="GI41" s="1544">
        <v>8.0603639682956363</v>
      </c>
      <c r="GJ41" s="1544">
        <v>55.900588235294116</v>
      </c>
      <c r="GK41" s="1544">
        <v>1.3542783486867824</v>
      </c>
      <c r="GL41" s="1544">
        <v>35.801823529411763</v>
      </c>
      <c r="GM41" s="1943">
        <v>15.221368330953437</v>
      </c>
      <c r="GN41" s="1933">
        <v>40.899435294117652</v>
      </c>
      <c r="GO41" s="1544">
        <v>0.79821332854565263</v>
      </c>
      <c r="GP41" s="1544">
        <v>20.963000000000005</v>
      </c>
      <c r="GQ41" s="1544">
        <v>16.915477829274781</v>
      </c>
      <c r="GR41" s="1544">
        <v>29.241299764705886</v>
      </c>
      <c r="GS41" s="1544">
        <v>0</v>
      </c>
      <c r="GT41" s="1544">
        <v>17.333000000000002</v>
      </c>
      <c r="GU41" s="1544">
        <v>13.710516361359348</v>
      </c>
      <c r="GV41" s="1544">
        <v>58.319294117647061</v>
      </c>
      <c r="GW41" s="1544">
        <v>0.12462329687575904</v>
      </c>
      <c r="GX41" s="1544">
        <v>35.912999999999997</v>
      </c>
      <c r="GY41" s="1943">
        <v>23.624261399343116</v>
      </c>
      <c r="GZ41" s="1933">
        <v>41.130592941176481</v>
      </c>
      <c r="HA41" s="1544">
        <v>14.10542036165673</v>
      </c>
      <c r="HB41" s="1544">
        <v>15.384911764705885</v>
      </c>
      <c r="HC41" s="1544">
        <v>5.0225208717557095</v>
      </c>
      <c r="HD41" s="1544">
        <v>32.507597101176472</v>
      </c>
      <c r="HE41" s="1544">
        <v>5.8390878213307076</v>
      </c>
      <c r="HF41" s="1544">
        <v>12.641058823529415</v>
      </c>
      <c r="HG41" s="1544">
        <v>3.8595523393559676</v>
      </c>
      <c r="HH41" s="1544">
        <v>58.215529411764713</v>
      </c>
      <c r="HI41" s="1544">
        <v>14.326738458511954</v>
      </c>
      <c r="HJ41" s="1544">
        <v>26.685352941176475</v>
      </c>
      <c r="HK41" s="1943">
        <v>7.5731074342695672</v>
      </c>
      <c r="HL41" s="1933">
        <v>46.159009411764714</v>
      </c>
      <c r="HM41" s="1544">
        <v>15.332189990684936</v>
      </c>
      <c r="HN41" s="1544">
        <v>15.048882352941179</v>
      </c>
      <c r="HO41" s="1544">
        <v>3.978569763589729</v>
      </c>
      <c r="HP41" s="1544">
        <v>33.341865712941178</v>
      </c>
      <c r="HQ41" s="1544">
        <v>6.5620350416476567</v>
      </c>
      <c r="HR41" s="1544">
        <v>12.358411764705885</v>
      </c>
      <c r="HS41" s="1544">
        <v>2.8660799661975953</v>
      </c>
      <c r="HT41" s="1544">
        <v>65.378117647058829</v>
      </c>
      <c r="HU41" s="1544">
        <v>15.986797019661569</v>
      </c>
      <c r="HV41" s="1544">
        <v>26.1294705882353</v>
      </c>
      <c r="HW41" s="1943">
        <v>5.6850904512815372</v>
      </c>
      <c r="HX41" s="1933">
        <v>44.172857647058834</v>
      </c>
      <c r="HY41" s="1544">
        <v>6.3713471035610745</v>
      </c>
      <c r="HZ41" s="1544">
        <v>18.812411764705885</v>
      </c>
      <c r="IA41" s="1544">
        <v>16.972151284670055</v>
      </c>
      <c r="IB41" s="1544">
        <v>32.301749628235299</v>
      </c>
      <c r="IC41" s="1544">
        <v>1.4555108405417365</v>
      </c>
      <c r="ID41" s="1544">
        <v>15.524058823529412</v>
      </c>
      <c r="IE41" s="1544">
        <v>14.569536202490882</v>
      </c>
      <c r="IF41" s="1544">
        <v>62.300823529411772</v>
      </c>
      <c r="IG41" s="1544">
        <v>5.8370998067575135</v>
      </c>
      <c r="IH41" s="1544">
        <v>32.35535294117647</v>
      </c>
      <c r="II41" s="1943">
        <v>23.938894583367372</v>
      </c>
      <c r="IJ41" s="1933">
        <v>42.942991764705887</v>
      </c>
      <c r="IK41" s="1544">
        <v>13.909156640403546</v>
      </c>
      <c r="IL41" s="1544">
        <v>16.527411764705885</v>
      </c>
      <c r="IM41" s="1544">
        <v>7.7975484035475437</v>
      </c>
      <c r="IN41" s="1544">
        <v>33.413069251764703</v>
      </c>
      <c r="IO41" s="1544">
        <v>5.8612638984792431</v>
      </c>
      <c r="IP41" s="1544">
        <v>13.602058823529413</v>
      </c>
      <c r="IQ41" s="1544">
        <v>6.1161512014310704</v>
      </c>
      <c r="IR41" s="1544">
        <v>60.731647058823533</v>
      </c>
      <c r="IS41" s="1544">
        <v>14.027867817800701</v>
      </c>
      <c r="IT41" s="1544">
        <v>28.575352941176476</v>
      </c>
      <c r="IU41" s="1943">
        <v>11.207416549264678</v>
      </c>
      <c r="IV41" s="1933">
        <v>41.873011764705893</v>
      </c>
      <c r="IW41" s="1544">
        <v>2.0610759858246226</v>
      </c>
      <c r="IX41" s="1544">
        <v>20.963000000000005</v>
      </c>
      <c r="IY41" s="1544">
        <v>5.1786316226069298</v>
      </c>
      <c r="IZ41" s="1544">
        <v>29.991546352941175</v>
      </c>
      <c r="JA41" s="1544">
        <v>0</v>
      </c>
      <c r="JB41" s="1544">
        <v>17.333000000000002</v>
      </c>
      <c r="JC41" s="1544">
        <v>3.1192407982996841</v>
      </c>
      <c r="JD41" s="1544">
        <v>59.493176470588232</v>
      </c>
      <c r="JE41" s="1544">
        <v>1.427010534365001</v>
      </c>
      <c r="JF41" s="1544">
        <v>35.912999999999997</v>
      </c>
      <c r="JG41" s="1943">
        <v>7.6590098064898182</v>
      </c>
      <c r="JH41" s="1933">
        <v>37.389981176470599</v>
      </c>
      <c r="JI41" s="1544">
        <v>8.5311131350351896</v>
      </c>
      <c r="JJ41" s="1544">
        <v>18.14035294117647</v>
      </c>
      <c r="JK41" s="1544">
        <v>15.601293546939159</v>
      </c>
      <c r="JL41" s="1544">
        <v>29.091555971764706</v>
      </c>
      <c r="JM41" s="1544">
        <v>2.8581739550379326</v>
      </c>
      <c r="JN41" s="1544">
        <v>14.958764705882354</v>
      </c>
      <c r="JO41" s="1544">
        <v>13.471556200554215</v>
      </c>
      <c r="JP41" s="1544">
        <v>52.976117647058828</v>
      </c>
      <c r="JQ41" s="1544">
        <v>8.5513974446280514</v>
      </c>
      <c r="JR41" s="1544">
        <v>31.243588235294119</v>
      </c>
      <c r="JS41" s="1943">
        <v>22.222827167568486</v>
      </c>
      <c r="JT41" s="1933">
        <v>46.802880000000002</v>
      </c>
      <c r="JU41" s="1544">
        <v>9.2545258213281816</v>
      </c>
      <c r="JV41" s="1544">
        <v>19.01402941176471</v>
      </c>
      <c r="JW41" s="1544">
        <v>14.821920065610293</v>
      </c>
      <c r="JX41" s="1544">
        <v>33.939234277647067</v>
      </c>
      <c r="JY41" s="1544">
        <v>3.0533098062611388</v>
      </c>
      <c r="JZ41" s="1544">
        <v>15.693647058823531</v>
      </c>
      <c r="KA41" s="1544">
        <v>12.417141575891751</v>
      </c>
      <c r="KB41" s="1544">
        <v>66.089294117647071</v>
      </c>
      <c r="KC41" s="1544">
        <v>9.5011993424975092</v>
      </c>
      <c r="KD41" s="1544">
        <v>32.688882352941178</v>
      </c>
      <c r="KE41" s="1943">
        <v>21.039265903241127</v>
      </c>
      <c r="KF41" s="1933">
        <v>44.819142352941199</v>
      </c>
      <c r="KG41" s="1544">
        <v>2.6295483943987841</v>
      </c>
      <c r="KH41" s="1544">
        <v>19.350058823529412</v>
      </c>
      <c r="KI41" s="1544">
        <v>21.901889389452897</v>
      </c>
      <c r="KJ41" s="1544">
        <v>32.171753261176477</v>
      </c>
      <c r="KK41" s="1544">
        <v>0</v>
      </c>
      <c r="KL41" s="1544">
        <v>15.976294117647059</v>
      </c>
      <c r="KM41" s="1544">
        <v>18.887185579512835</v>
      </c>
      <c r="KN41" s="1544">
        <v>63.787411764705901</v>
      </c>
      <c r="KO41" s="1544">
        <v>1.5316522363064411</v>
      </c>
      <c r="KP41" s="1544">
        <v>33.244764705882353</v>
      </c>
      <c r="KQ41" s="1943">
        <v>30.452436603355558</v>
      </c>
      <c r="KR41" s="1933">
        <v>43.640163529411772</v>
      </c>
      <c r="KS41" s="1544">
        <v>13.006828389287357</v>
      </c>
      <c r="KT41" s="1544">
        <v>17.401088235294122</v>
      </c>
      <c r="KU41" s="1544">
        <v>9.7810098289598777</v>
      </c>
      <c r="KV41" s="1544">
        <v>31.563309232941183</v>
      </c>
      <c r="KW41" s="1544">
        <v>4.9838429865845351</v>
      </c>
      <c r="KX41" s="1544">
        <v>14.336941176470591</v>
      </c>
      <c r="KY41" s="1544">
        <v>8.1064590498317521</v>
      </c>
      <c r="KZ41" s="1544">
        <v>61.748470588235307</v>
      </c>
      <c r="LA41" s="1544">
        <v>13.425223863793722</v>
      </c>
      <c r="LB41" s="1544">
        <v>30.020647058823535</v>
      </c>
      <c r="LC41" s="1943">
        <v>14.512836103115403</v>
      </c>
      <c r="LD41" s="1933">
        <v>35.526070588235299</v>
      </c>
      <c r="LE41" s="1544">
        <v>0.52633791966621968</v>
      </c>
      <c r="LF41" s="1544">
        <v>19.753294117647059</v>
      </c>
      <c r="LG41" s="1544">
        <v>13.486798144786345</v>
      </c>
      <c r="LH41" s="1544">
        <v>27.506736470588237</v>
      </c>
      <c r="LI41" s="1544">
        <v>0</v>
      </c>
      <c r="LJ41" s="1544">
        <v>16.315470588235296</v>
      </c>
      <c r="LK41" s="1544">
        <v>10.605319720276881</v>
      </c>
      <c r="LL41" s="1544">
        <v>0</v>
      </c>
      <c r="LM41" s="1544">
        <v>0</v>
      </c>
      <c r="LN41" s="1544">
        <v>33.911823529411762</v>
      </c>
      <c r="LO41" s="1943">
        <v>19.063330616651619</v>
      </c>
      <c r="LP41" s="1933">
        <v>41.8300517647059</v>
      </c>
      <c r="LQ41" s="1544">
        <v>7.0729957400490644</v>
      </c>
      <c r="LR41" s="1544">
        <v>19.954911764705884</v>
      </c>
      <c r="LS41" s="1544">
        <v>16.727537280187107</v>
      </c>
      <c r="LT41" s="1544">
        <v>31.936188461176474</v>
      </c>
      <c r="LU41" s="1544">
        <v>1.6727468646384347</v>
      </c>
      <c r="LV41" s="1544">
        <v>16.485058823529414</v>
      </c>
      <c r="LW41" s="1544">
        <v>14.2458444960672</v>
      </c>
      <c r="LX41" s="1544">
        <v>59.006117647058836</v>
      </c>
      <c r="LY41" s="1544">
        <v>7.108677619850182</v>
      </c>
      <c r="LZ41" s="1544">
        <v>34.245352941176478</v>
      </c>
      <c r="MA41" s="1943">
        <v>23.595741483506931</v>
      </c>
      <c r="MB41" s="1933">
        <v>42.067817647058838</v>
      </c>
      <c r="MC41" s="1544">
        <v>0</v>
      </c>
      <c r="MD41" s="1544">
        <v>26.339470588235301</v>
      </c>
      <c r="ME41" s="1544">
        <v>9.99747444818051</v>
      </c>
      <c r="MF41" s="1544">
        <v>29.904499764705889</v>
      </c>
      <c r="MG41" s="1544">
        <v>0</v>
      </c>
      <c r="MH41" s="1544">
        <v>21.85535294117647</v>
      </c>
      <c r="MI41" s="1544">
        <v>6.0286230946630637</v>
      </c>
      <c r="MJ41" s="1544">
        <v>0</v>
      </c>
      <c r="MK41" s="1544">
        <v>0</v>
      </c>
      <c r="ML41" s="1544">
        <v>44.807117647058824</v>
      </c>
      <c r="MM41" s="1943">
        <v>13.5409947055325</v>
      </c>
      <c r="MN41" s="1933">
        <v>38.492505882352951</v>
      </c>
      <c r="MO41" s="1544">
        <v>0</v>
      </c>
      <c r="MP41" s="1544">
        <v>21.836676470588237</v>
      </c>
      <c r="MQ41" s="1544">
        <v>15.03971573502027</v>
      </c>
      <c r="MR41" s="1544">
        <v>27.330142588235301</v>
      </c>
      <c r="MS41" s="1544">
        <v>0</v>
      </c>
      <c r="MT41" s="1544">
        <v>18.067882352941179</v>
      </c>
      <c r="MU41" s="1544">
        <v>11.36847643288908</v>
      </c>
      <c r="MV41" s="1544">
        <v>0</v>
      </c>
      <c r="MW41" s="1544">
        <v>0</v>
      </c>
      <c r="MX41" s="1544">
        <v>37.358294117647056</v>
      </c>
      <c r="MY41" s="1943">
        <v>21.039329847596441</v>
      </c>
      <c r="MZ41" s="1933">
        <v>42.48443647058825</v>
      </c>
      <c r="NA41" s="1544">
        <v>5.37807780616349</v>
      </c>
      <c r="NB41" s="1544">
        <v>20.76138235294118</v>
      </c>
      <c r="NC41" s="1544">
        <v>14.452606931475662</v>
      </c>
      <c r="ND41" s="1544">
        <v>30.50410620235294</v>
      </c>
      <c r="NE41" s="1544">
        <v>0.80505159729489484</v>
      </c>
      <c r="NF41" s="1544">
        <v>17.163411764705884</v>
      </c>
      <c r="NG41" s="1544">
        <v>11.890593899989904</v>
      </c>
      <c r="NH41" s="1544">
        <v>60.452117647058827</v>
      </c>
      <c r="NI41" s="1544">
        <v>4.9571952610857455</v>
      </c>
      <c r="NJ41" s="1544">
        <v>35.579470588235296</v>
      </c>
      <c r="NK41" s="1943">
        <v>20.430843036723758</v>
      </c>
      <c r="NL41" s="1933">
        <v>40.101067058823531</v>
      </c>
      <c r="NM41" s="1544">
        <v>6.9982399753871602</v>
      </c>
      <c r="NN41" s="1544">
        <v>19.551676470588237</v>
      </c>
      <c r="NO41" s="1544">
        <v>18.728310316170543</v>
      </c>
      <c r="NP41" s="1544">
        <v>29.757457581176471</v>
      </c>
      <c r="NQ41" s="1544">
        <v>1.6918913609428463</v>
      </c>
      <c r="NR41" s="1544">
        <v>16.145882352941179</v>
      </c>
      <c r="NS41" s="1544">
        <v>16.134258014175018</v>
      </c>
      <c r="NT41" s="1544">
        <v>56.859529411764711</v>
      </c>
      <c r="NU41" s="1544">
        <v>6.7588666262364274</v>
      </c>
      <c r="NV41" s="1544">
        <v>33.578294117647062</v>
      </c>
      <c r="NW41" s="1943">
        <v>26.205376511579168</v>
      </c>
      <c r="NX41" s="1933">
        <v>43.026858823529416</v>
      </c>
      <c r="NY41" s="1544">
        <v>1.0014165184157597</v>
      </c>
      <c r="NZ41" s="1544">
        <v>22.575941176470593</v>
      </c>
      <c r="OA41" s="1544">
        <v>11.318112070981803</v>
      </c>
      <c r="OB41" s="1544">
        <v>30.843140235294122</v>
      </c>
      <c r="OC41" s="1544">
        <v>0</v>
      </c>
      <c r="OD41" s="1544">
        <v>18.689705882352939</v>
      </c>
      <c r="OE41" s="1544">
        <v>8.2486958231375134</v>
      </c>
      <c r="OF41" s="1544">
        <v>61.033058823529423</v>
      </c>
      <c r="OG41" s="1544">
        <v>0.37084931303906704</v>
      </c>
      <c r="OH41" s="1544">
        <v>38.581235294117647</v>
      </c>
      <c r="OI41" s="1934">
        <v>15.708029186582609</v>
      </c>
      <c r="OJ41" s="1933">
        <v>41.327470588235308</v>
      </c>
      <c r="OK41" s="1544">
        <v>11.244089156653024</v>
      </c>
      <c r="OL41" s="1544">
        <v>18.54358823529412</v>
      </c>
      <c r="OM41" s="1544">
        <v>10.199748831252823</v>
      </c>
      <c r="ON41" s="1544">
        <v>31.457047378823535</v>
      </c>
      <c r="OO41" s="1544">
        <v>3.9199703685603593</v>
      </c>
      <c r="OP41" s="1544">
        <v>15.297941176470589</v>
      </c>
      <c r="OQ41" s="1544">
        <v>8.0825969378795151</v>
      </c>
      <c r="OR41" s="1544">
        <v>58.517647058823542</v>
      </c>
      <c r="OS41" s="1544">
        <v>11.414808609466204</v>
      </c>
      <c r="OT41" s="1544">
        <v>31.910647058823532</v>
      </c>
      <c r="OU41" s="1934">
        <v>14.668798762854204</v>
      </c>
      <c r="OV41" s="1933">
        <v>41.008017647058836</v>
      </c>
      <c r="OW41" s="1544">
        <v>0.37608588582641228</v>
      </c>
      <c r="OX41" s="1544">
        <v>25.398588235294124</v>
      </c>
      <c r="OY41" s="1544">
        <v>13.665026699380409</v>
      </c>
      <c r="OZ41" s="1544">
        <v>29.380547764705891</v>
      </c>
      <c r="PA41" s="1544">
        <v>0</v>
      </c>
      <c r="PB41" s="1544">
        <v>21.063941176470589</v>
      </c>
      <c r="PC41" s="1544">
        <v>9.7532204129170719</v>
      </c>
      <c r="PD41" s="1544">
        <v>0</v>
      </c>
      <c r="PE41" s="1544">
        <v>0</v>
      </c>
      <c r="PF41" s="1544">
        <v>43.250647058823532</v>
      </c>
      <c r="PG41" s="1934">
        <v>18.590789126188358</v>
      </c>
      <c r="PH41" s="1933">
        <v>41.539372941176481</v>
      </c>
      <c r="PI41" s="1544">
        <v>6.5745482074206842</v>
      </c>
      <c r="PJ41" s="1544">
        <v>19.753294117647059</v>
      </c>
      <c r="PK41" s="1544">
        <v>12.70459926002458</v>
      </c>
      <c r="PL41" s="1544">
        <v>32.914199397647067</v>
      </c>
      <c r="PM41" s="1544">
        <v>1.2378541400142056</v>
      </c>
      <c r="PN41" s="1544">
        <v>16.315470588235296</v>
      </c>
      <c r="PO41" s="1544">
        <v>10.559234762404287</v>
      </c>
      <c r="PP41" s="1544">
        <v>58.601294117647072</v>
      </c>
      <c r="PQ41" s="1544">
        <v>5.636780916322917</v>
      </c>
      <c r="PR41" s="1544">
        <v>33.911823529411762</v>
      </c>
      <c r="PS41" s="1934">
        <v>18.250908495854503</v>
      </c>
      <c r="PT41" s="1933">
        <v>43.143331764705891</v>
      </c>
      <c r="PU41" s="1544">
        <v>7.785298537511899</v>
      </c>
      <c r="PV41" s="1544">
        <v>19.417264705882356</v>
      </c>
      <c r="PW41" s="1544">
        <v>16.962071623822954</v>
      </c>
      <c r="PX41" s="1544">
        <v>31.270286851764713</v>
      </c>
      <c r="PY41" s="1544">
        <v>2.142303884077954</v>
      </c>
      <c r="PZ41" s="1544">
        <v>16.032823529411768</v>
      </c>
      <c r="QA41" s="1544">
        <v>14.392613269066581</v>
      </c>
      <c r="QB41" s="1544">
        <v>60.944823529411778</v>
      </c>
      <c r="QC41" s="1544">
        <v>7.8793446412093022</v>
      </c>
      <c r="QD41" s="1544">
        <v>33.355941176470594</v>
      </c>
      <c r="QE41" s="1934">
        <v>23.818189990046907</v>
      </c>
      <c r="QF41" s="1933">
        <v>29.742300000000004</v>
      </c>
      <c r="QG41" s="1544">
        <v>0</v>
      </c>
      <c r="QH41" s="1544">
        <v>21.971088235294125</v>
      </c>
      <c r="QI41" s="1544">
        <v>8.9979201222594867</v>
      </c>
      <c r="QJ41" s="1544">
        <v>26.571565647058829</v>
      </c>
      <c r="QK41" s="1544">
        <v>0</v>
      </c>
      <c r="QL41" s="1544">
        <v>18.18094117647059</v>
      </c>
      <c r="QM41" s="1544">
        <v>5.9422057141136442</v>
      </c>
      <c r="QN41" s="1544">
        <v>0</v>
      </c>
      <c r="QO41" s="1544">
        <v>0</v>
      </c>
      <c r="QP41" s="1544">
        <v>37.58064705882353</v>
      </c>
      <c r="QQ41" s="1934">
        <v>12.738738798108685</v>
      </c>
      <c r="QR41" s="1933">
        <v>41.680662352941184</v>
      </c>
      <c r="QS41" s="1544">
        <v>8.718556217722055</v>
      </c>
      <c r="QT41" s="1544">
        <v>19.686088235294118</v>
      </c>
      <c r="QU41" s="1544">
        <v>14.695322156542765</v>
      </c>
      <c r="QV41" s="1544">
        <v>35.238649675294127</v>
      </c>
      <c r="QW41" s="1544">
        <v>2.6659698328697865</v>
      </c>
      <c r="QX41" s="1544">
        <v>16.258941176470589</v>
      </c>
      <c r="QY41" s="1544">
        <v>12.266324239320067</v>
      </c>
      <c r="QZ41" s="1544">
        <v>58.823999999999998</v>
      </c>
      <c r="RA41" s="1544">
        <v>8.7271692565689563</v>
      </c>
      <c r="RB41" s="1544">
        <v>33.800647058823529</v>
      </c>
      <c r="RC41" s="1934">
        <v>20.849399733448866</v>
      </c>
      <c r="RD41" s="1933">
        <v>41.831227058823536</v>
      </c>
      <c r="RE41" s="1544">
        <v>7.8931048002870812</v>
      </c>
      <c r="RF41" s="1544">
        <v>19.551676470588237</v>
      </c>
      <c r="RG41" s="1544">
        <v>14.006695748053533</v>
      </c>
      <c r="RH41" s="1544">
        <v>30.28495785411765</v>
      </c>
      <c r="RI41" s="1544">
        <v>2.2200684682971303</v>
      </c>
      <c r="RJ41" s="1544">
        <v>16.145882352941179</v>
      </c>
      <c r="RK41" s="1544">
        <v>11.647262414573472</v>
      </c>
      <c r="RL41" s="1544">
        <v>59.143411764705888</v>
      </c>
      <c r="RM41" s="1544">
        <v>7.9744367502117166</v>
      </c>
      <c r="RN41" s="1544">
        <v>33.578294117647062</v>
      </c>
      <c r="RO41" s="1934">
        <v>19.958937658470898</v>
      </c>
    </row>
    <row r="42" spans="1:483">
      <c r="A42" s="634">
        <f>Eingabedaten!A44</f>
        <v>12.03</v>
      </c>
      <c r="B42" s="379" t="str">
        <f>Eingabedaten!C44</f>
        <v>Treppenhaus</v>
      </c>
      <c r="C42" s="379"/>
      <c r="D42" s="1933">
        <v>0</v>
      </c>
      <c r="E42" s="1544">
        <v>0</v>
      </c>
      <c r="F42" s="1544">
        <v>19.350058823529412</v>
      </c>
      <c r="G42" s="1544">
        <v>7.5190069332289919</v>
      </c>
      <c r="H42" s="1544">
        <v>0</v>
      </c>
      <c r="I42" s="1544">
        <v>0</v>
      </c>
      <c r="J42" s="1544">
        <v>15.976294117647059</v>
      </c>
      <c r="K42" s="1544">
        <v>3.7339761578383563</v>
      </c>
      <c r="L42" s="1544">
        <v>0</v>
      </c>
      <c r="M42" s="1544">
        <v>0</v>
      </c>
      <c r="N42" s="1544">
        <v>33.244764705882353</v>
      </c>
      <c r="O42" s="1943">
        <v>8.5094153211844574</v>
      </c>
      <c r="P42" s="1933">
        <v>0</v>
      </c>
      <c r="Q42" s="1544">
        <v>0</v>
      </c>
      <c r="R42" s="1544">
        <v>16.191382352941179</v>
      </c>
      <c r="S42" s="1544">
        <v>13.61258564300396</v>
      </c>
      <c r="T42" s="1544">
        <v>0</v>
      </c>
      <c r="U42" s="1544">
        <v>0</v>
      </c>
      <c r="V42" s="1544">
        <v>13.319411764705885</v>
      </c>
      <c r="W42" s="1544">
        <v>9.4708051614598077</v>
      </c>
      <c r="X42" s="1544">
        <v>0</v>
      </c>
      <c r="Y42" s="1544">
        <v>0</v>
      </c>
      <c r="Z42" s="1544">
        <v>28.019470588235301</v>
      </c>
      <c r="AA42" s="1943">
        <v>16.342723871022493</v>
      </c>
      <c r="AB42" s="1933">
        <v>0</v>
      </c>
      <c r="AC42" s="1544">
        <v>0</v>
      </c>
      <c r="AD42" s="1544">
        <v>16.25858823529412</v>
      </c>
      <c r="AE42" s="1544">
        <v>18.319466965732861</v>
      </c>
      <c r="AF42" s="1544">
        <v>0</v>
      </c>
      <c r="AG42" s="1544">
        <v>0</v>
      </c>
      <c r="AH42" s="1544">
        <v>13.37594117647059</v>
      </c>
      <c r="AI42" s="1544">
        <v>13.903576686797027</v>
      </c>
      <c r="AJ42" s="1544">
        <v>0</v>
      </c>
      <c r="AK42" s="1544">
        <v>0</v>
      </c>
      <c r="AL42" s="1544">
        <v>28.130647058823534</v>
      </c>
      <c r="AM42" s="1943">
        <v>22.367114028508052</v>
      </c>
      <c r="AN42" s="1933">
        <v>0</v>
      </c>
      <c r="AO42" s="1544">
        <v>0</v>
      </c>
      <c r="AP42" s="1544">
        <v>16.863441176470591</v>
      </c>
      <c r="AQ42" s="1544">
        <v>11.18848234209401</v>
      </c>
      <c r="AR42" s="1544">
        <v>0</v>
      </c>
      <c r="AS42" s="1544">
        <v>0</v>
      </c>
      <c r="AT42" s="1544">
        <v>13.884705882352943</v>
      </c>
      <c r="AU42" s="1544">
        <v>7.4769341316088589</v>
      </c>
      <c r="AV42" s="1544">
        <v>0</v>
      </c>
      <c r="AW42" s="1544">
        <v>0</v>
      </c>
      <c r="AX42" s="1544">
        <v>29.131235294117651</v>
      </c>
      <c r="AY42" s="1943">
        <v>12.993375918292735</v>
      </c>
      <c r="AZ42" s="1933">
        <v>0</v>
      </c>
      <c r="BA42" s="1544">
        <v>0</v>
      </c>
      <c r="BB42" s="1544">
        <v>17.468294117647059</v>
      </c>
      <c r="BC42" s="1544">
        <v>13.130841845711245</v>
      </c>
      <c r="BD42" s="1544">
        <v>0</v>
      </c>
      <c r="BE42" s="1544">
        <v>0</v>
      </c>
      <c r="BF42" s="1544">
        <v>14.393470588235294</v>
      </c>
      <c r="BG42" s="1544">
        <v>8.8368894681863317</v>
      </c>
      <c r="BH42" s="1544">
        <v>0</v>
      </c>
      <c r="BI42" s="1544">
        <v>0</v>
      </c>
      <c r="BJ42" s="1544">
        <v>30.131823529411765</v>
      </c>
      <c r="BK42" s="1943">
        <v>15.681480201850862</v>
      </c>
      <c r="BL42" s="1933">
        <v>0</v>
      </c>
      <c r="BM42" s="1544">
        <v>0</v>
      </c>
      <c r="BN42" s="1544">
        <v>17.266676470588237</v>
      </c>
      <c r="BO42" s="1544">
        <v>17.482260450660082</v>
      </c>
      <c r="BP42" s="1544">
        <v>0</v>
      </c>
      <c r="BQ42" s="1544">
        <v>0</v>
      </c>
      <c r="BR42" s="1544">
        <v>14.22388235294118</v>
      </c>
      <c r="BS42" s="1544">
        <v>12.968273465179665</v>
      </c>
      <c r="BT42" s="1544">
        <v>0</v>
      </c>
      <c r="BU42" s="1544">
        <v>0</v>
      </c>
      <c r="BV42" s="1544">
        <v>29.79829411764706</v>
      </c>
      <c r="BW42" s="1943">
        <v>21.297173636134513</v>
      </c>
      <c r="BX42" s="1933">
        <v>0</v>
      </c>
      <c r="BY42" s="1544">
        <v>0</v>
      </c>
      <c r="BZ42" s="1544">
        <v>17.333882352941178</v>
      </c>
      <c r="CA42" s="1544">
        <v>9.4377788202419737</v>
      </c>
      <c r="CB42" s="1544">
        <v>0</v>
      </c>
      <c r="CC42" s="1544">
        <v>0</v>
      </c>
      <c r="CD42" s="1544">
        <v>14.280411764705883</v>
      </c>
      <c r="CE42" s="1544">
        <v>5.8554838365292223</v>
      </c>
      <c r="CF42" s="1544">
        <v>0</v>
      </c>
      <c r="CG42" s="1544">
        <v>0</v>
      </c>
      <c r="CH42" s="1544">
        <v>29.909470588235294</v>
      </c>
      <c r="CI42" s="1943">
        <v>11.092741489381201</v>
      </c>
      <c r="CJ42" s="1933">
        <v>0</v>
      </c>
      <c r="CK42" s="1544">
        <v>0</v>
      </c>
      <c r="CL42" s="1544">
        <v>21.29902941176471</v>
      </c>
      <c r="CM42" s="1544">
        <v>7.9953619154610873</v>
      </c>
      <c r="CN42" s="1544">
        <v>0</v>
      </c>
      <c r="CO42" s="1544">
        <v>0</v>
      </c>
      <c r="CP42" s="1544">
        <v>17.615647058823534</v>
      </c>
      <c r="CQ42" s="1544">
        <v>3.7473657308167052</v>
      </c>
      <c r="CR42" s="1544">
        <v>0</v>
      </c>
      <c r="CS42" s="1544">
        <v>0</v>
      </c>
      <c r="CT42" s="1544">
        <v>36.468882352941179</v>
      </c>
      <c r="CU42" s="1943">
        <v>9.0601440690746031</v>
      </c>
      <c r="CV42" s="1933">
        <v>0</v>
      </c>
      <c r="CW42" s="1544">
        <v>0</v>
      </c>
      <c r="CX42" s="1544">
        <v>19.01402941176471</v>
      </c>
      <c r="CY42" s="1544">
        <v>7.1941207423295293</v>
      </c>
      <c r="CZ42" s="1544">
        <v>0</v>
      </c>
      <c r="DA42" s="1544">
        <v>0</v>
      </c>
      <c r="DB42" s="1544">
        <v>15.693647058823531</v>
      </c>
      <c r="DC42" s="1544">
        <v>3.57714875537014</v>
      </c>
      <c r="DD42" s="1544">
        <v>0</v>
      </c>
      <c r="DE42" s="1544">
        <v>0</v>
      </c>
      <c r="DF42" s="1544">
        <v>32.688882352941178</v>
      </c>
      <c r="DG42" s="1943">
        <v>8.1851549034522897</v>
      </c>
      <c r="DH42" s="1933">
        <v>0</v>
      </c>
      <c r="DI42" s="1544">
        <v>0</v>
      </c>
      <c r="DJ42" s="1544">
        <v>20.022117647058824</v>
      </c>
      <c r="DK42" s="1544">
        <v>19.701686956835001</v>
      </c>
      <c r="DL42" s="1544">
        <v>0</v>
      </c>
      <c r="DM42" s="1544">
        <v>0</v>
      </c>
      <c r="DN42" s="1544">
        <v>16.541588235294121</v>
      </c>
      <c r="DO42" s="1544">
        <v>14.356659622186783</v>
      </c>
      <c r="DP42" s="1544">
        <v>0</v>
      </c>
      <c r="DQ42" s="1544">
        <v>0</v>
      </c>
      <c r="DR42" s="1544">
        <v>34.356529411764711</v>
      </c>
      <c r="DS42" s="1943">
        <v>23.913541000028626</v>
      </c>
      <c r="DT42" s="1933">
        <v>0</v>
      </c>
      <c r="DU42" s="1544">
        <v>0</v>
      </c>
      <c r="DV42" s="1544">
        <v>15.317705882352943</v>
      </c>
      <c r="DW42" s="1544">
        <v>10.510435216041843</v>
      </c>
      <c r="DX42" s="1544">
        <v>0</v>
      </c>
      <c r="DY42" s="1544">
        <v>0</v>
      </c>
      <c r="DZ42" s="1544">
        <v>12.584529411764706</v>
      </c>
      <c r="EA42" s="1544">
        <v>6.8850391602192236</v>
      </c>
      <c r="EB42" s="1544">
        <v>0</v>
      </c>
      <c r="EC42" s="1544">
        <v>0</v>
      </c>
      <c r="ED42" s="1544">
        <v>26.574176470588238</v>
      </c>
      <c r="EE42" s="1943">
        <v>11.508588745225374</v>
      </c>
      <c r="EF42" s="1933">
        <v>0</v>
      </c>
      <c r="EG42" s="1544">
        <v>0</v>
      </c>
      <c r="EH42" s="1544">
        <v>18.005941176470589</v>
      </c>
      <c r="EI42" s="1544">
        <v>24.125657326487598</v>
      </c>
      <c r="EJ42" s="1544">
        <v>0</v>
      </c>
      <c r="EK42" s="1544">
        <v>0</v>
      </c>
      <c r="EL42" s="1544">
        <v>14.845705882352942</v>
      </c>
      <c r="EM42" s="1544">
        <v>18.057278728867345</v>
      </c>
      <c r="EN42" s="1544">
        <v>0</v>
      </c>
      <c r="EO42" s="1544">
        <v>0</v>
      </c>
      <c r="EP42" s="1544">
        <v>31.021235294117648</v>
      </c>
      <c r="EQ42" s="1943">
        <v>29.311371902169117</v>
      </c>
      <c r="ER42" s="1933">
        <v>0</v>
      </c>
      <c r="ES42" s="1544">
        <v>0</v>
      </c>
      <c r="ET42" s="1544">
        <v>22.844764705882358</v>
      </c>
      <c r="EU42" s="1544">
        <v>11.376496875396676</v>
      </c>
      <c r="EV42" s="1544">
        <v>0</v>
      </c>
      <c r="EW42" s="1544">
        <v>0</v>
      </c>
      <c r="EX42" s="1544">
        <v>18.915823529411764</v>
      </c>
      <c r="EY42" s="1544">
        <v>6.8905140823075328</v>
      </c>
      <c r="EZ42" s="1544">
        <v>0</v>
      </c>
      <c r="FA42" s="1544">
        <v>0</v>
      </c>
      <c r="FB42" s="1544">
        <v>39.025941176470589</v>
      </c>
      <c r="FC42" s="1943">
        <v>13.435166329862483</v>
      </c>
      <c r="FD42" s="1933">
        <v>0</v>
      </c>
      <c r="FE42" s="1544">
        <v>0</v>
      </c>
      <c r="FF42" s="1544">
        <v>17.199470588235297</v>
      </c>
      <c r="FG42" s="1544">
        <v>17.162085079272185</v>
      </c>
      <c r="FH42" s="1544">
        <v>0</v>
      </c>
      <c r="FI42" s="1544">
        <v>0</v>
      </c>
      <c r="FJ42" s="1544">
        <v>14.167352941176471</v>
      </c>
      <c r="FK42" s="1544">
        <v>12.603039478389984</v>
      </c>
      <c r="FL42" s="1544">
        <v>0</v>
      </c>
      <c r="FM42" s="1544">
        <v>0</v>
      </c>
      <c r="FN42" s="1544">
        <v>29.687117647058827</v>
      </c>
      <c r="FO42" s="1943">
        <v>20.87041926617545</v>
      </c>
      <c r="FP42" s="1933">
        <v>0</v>
      </c>
      <c r="FQ42" s="1544">
        <v>0</v>
      </c>
      <c r="FR42" s="1544">
        <v>17.199470588235297</v>
      </c>
      <c r="FS42" s="1544">
        <v>15.634081940909876</v>
      </c>
      <c r="FT42" s="1544">
        <v>0</v>
      </c>
      <c r="FU42" s="1544">
        <v>0</v>
      </c>
      <c r="FV42" s="1544">
        <v>14.167352941176471</v>
      </c>
      <c r="FW42" s="1544">
        <v>10.9308251128507</v>
      </c>
      <c r="FX42" s="1544">
        <v>0</v>
      </c>
      <c r="FY42" s="1544">
        <v>0</v>
      </c>
      <c r="FZ42" s="1544">
        <v>29.687117647058827</v>
      </c>
      <c r="GA42" s="1943">
        <v>18.841291767684094</v>
      </c>
      <c r="GB42" s="1933">
        <v>0</v>
      </c>
      <c r="GC42" s="1544">
        <v>0</v>
      </c>
      <c r="GD42" s="1544">
        <v>18.879617647058826</v>
      </c>
      <c r="GE42" s="1544">
        <v>10.074079484328363</v>
      </c>
      <c r="GF42" s="1544">
        <v>0</v>
      </c>
      <c r="GG42" s="1544">
        <v>0</v>
      </c>
      <c r="GH42" s="1544">
        <v>15.580588235294121</v>
      </c>
      <c r="GI42" s="1544">
        <v>5.9720188314681177</v>
      </c>
      <c r="GJ42" s="1544">
        <v>0</v>
      </c>
      <c r="GK42" s="1544">
        <v>0</v>
      </c>
      <c r="GL42" s="1544">
        <v>32.466529411764711</v>
      </c>
      <c r="GM42" s="1943">
        <v>11.79186969823018</v>
      </c>
      <c r="GN42" s="1933">
        <v>0</v>
      </c>
      <c r="GO42" s="1544">
        <v>0</v>
      </c>
      <c r="GP42" s="1544">
        <v>18.946823529411766</v>
      </c>
      <c r="GQ42" s="1544">
        <v>16.233716537334633</v>
      </c>
      <c r="GR42" s="1544">
        <v>0</v>
      </c>
      <c r="GS42" s="1544">
        <v>0</v>
      </c>
      <c r="GT42" s="1544">
        <v>15.637117647058826</v>
      </c>
      <c r="GU42" s="1544">
        <v>11.096042865392874</v>
      </c>
      <c r="GV42" s="1544">
        <v>0</v>
      </c>
      <c r="GW42" s="1544">
        <v>0</v>
      </c>
      <c r="GX42" s="1544">
        <v>32.577705882352944</v>
      </c>
      <c r="GY42" s="1943">
        <v>19.501843736480726</v>
      </c>
      <c r="GZ42" s="1933">
        <v>0</v>
      </c>
      <c r="HA42" s="1544">
        <v>0</v>
      </c>
      <c r="HB42" s="1544">
        <v>13.36873529411765</v>
      </c>
      <c r="HC42" s="1544">
        <v>3.1029121236294555</v>
      </c>
      <c r="HD42" s="1544">
        <v>0</v>
      </c>
      <c r="HE42" s="1544">
        <v>0</v>
      </c>
      <c r="HF42" s="1544">
        <v>10.945176470588237</v>
      </c>
      <c r="HG42" s="1544">
        <v>0.86036182593408561</v>
      </c>
      <c r="HH42" s="1544">
        <v>0</v>
      </c>
      <c r="HI42" s="1544">
        <v>0</v>
      </c>
      <c r="HJ42" s="1544">
        <v>23.350058823529416</v>
      </c>
      <c r="HK42" s="1943">
        <v>2.2546105950679913</v>
      </c>
      <c r="HL42" s="1933">
        <v>0</v>
      </c>
      <c r="HM42" s="1544">
        <v>0</v>
      </c>
      <c r="HN42" s="1544">
        <v>13.032705882352943</v>
      </c>
      <c r="HO42" s="1544">
        <v>1.8351933586293043</v>
      </c>
      <c r="HP42" s="1544">
        <v>0</v>
      </c>
      <c r="HQ42" s="1544">
        <v>0</v>
      </c>
      <c r="HR42" s="1544">
        <v>10.662529411764709</v>
      </c>
      <c r="HS42" s="1544">
        <v>4.5453675577100672E-3</v>
      </c>
      <c r="HT42" s="1544">
        <v>0</v>
      </c>
      <c r="HU42" s="1544">
        <v>0</v>
      </c>
      <c r="HV42" s="1544">
        <v>22.794176470588241</v>
      </c>
      <c r="HW42" s="1943">
        <v>0.69388615411436561</v>
      </c>
      <c r="HX42" s="1933">
        <v>0</v>
      </c>
      <c r="HY42" s="1544">
        <v>0</v>
      </c>
      <c r="HZ42" s="1544">
        <v>16.796235294117647</v>
      </c>
      <c r="IA42" s="1544">
        <v>16.458318593640389</v>
      </c>
      <c r="IB42" s="1544">
        <v>0</v>
      </c>
      <c r="IC42" s="1544">
        <v>0</v>
      </c>
      <c r="ID42" s="1544">
        <v>13.828176470588236</v>
      </c>
      <c r="IE42" s="1544">
        <v>12.014989846198963</v>
      </c>
      <c r="IF42" s="1544">
        <v>0</v>
      </c>
      <c r="IG42" s="1544">
        <v>0</v>
      </c>
      <c r="IH42" s="1544">
        <v>29.020058823529411</v>
      </c>
      <c r="II42" s="1943">
        <v>19.978690839027163</v>
      </c>
      <c r="IJ42" s="1933">
        <v>0</v>
      </c>
      <c r="IK42" s="1544">
        <v>0</v>
      </c>
      <c r="IL42" s="1544">
        <v>14.511235294117649</v>
      </c>
      <c r="IM42" s="1544">
        <v>5.8595929283415416</v>
      </c>
      <c r="IN42" s="1544">
        <v>0</v>
      </c>
      <c r="IO42" s="1544">
        <v>0</v>
      </c>
      <c r="IP42" s="1544">
        <v>11.906176470588235</v>
      </c>
      <c r="IQ42" s="1544">
        <v>2.9562612373071424</v>
      </c>
      <c r="IR42" s="1544">
        <v>0</v>
      </c>
      <c r="IS42" s="1544">
        <v>0</v>
      </c>
      <c r="IT42" s="1544">
        <v>25.240058823529417</v>
      </c>
      <c r="IU42" s="1943">
        <v>5.5651005670687974</v>
      </c>
      <c r="IV42" s="1933">
        <v>0</v>
      </c>
      <c r="IW42" s="1544">
        <v>0</v>
      </c>
      <c r="IX42" s="1544">
        <v>18.946823529411766</v>
      </c>
      <c r="IY42" s="1544">
        <v>4.6348965932934387</v>
      </c>
      <c r="IZ42" s="1544">
        <v>0</v>
      </c>
      <c r="JA42" s="1544">
        <v>0</v>
      </c>
      <c r="JB42" s="1544">
        <v>15.637117647058826</v>
      </c>
      <c r="JC42" s="1544">
        <v>1.7451591580283121</v>
      </c>
      <c r="JD42" s="1544">
        <v>0</v>
      </c>
      <c r="JE42" s="1544">
        <v>0</v>
      </c>
      <c r="JF42" s="1544">
        <v>32.577705882352944</v>
      </c>
      <c r="JG42" s="1943">
        <v>4.989682216623617</v>
      </c>
      <c r="JH42" s="1933">
        <v>0</v>
      </c>
      <c r="JI42" s="1544">
        <v>0</v>
      </c>
      <c r="JJ42" s="1544">
        <v>16.124176470588239</v>
      </c>
      <c r="JK42" s="1544">
        <v>15.131121233396479</v>
      </c>
      <c r="JL42" s="1544">
        <v>0</v>
      </c>
      <c r="JM42" s="1544">
        <v>0</v>
      </c>
      <c r="JN42" s="1544">
        <v>13.262882352941176</v>
      </c>
      <c r="JO42" s="1544">
        <v>10.972273498382354</v>
      </c>
      <c r="JP42" s="1544">
        <v>0</v>
      </c>
      <c r="JQ42" s="1544">
        <v>0</v>
      </c>
      <c r="JR42" s="1544">
        <v>27.90829411764706</v>
      </c>
      <c r="JS42" s="1943">
        <v>17.716034633811688</v>
      </c>
      <c r="JT42" s="1933">
        <v>0</v>
      </c>
      <c r="JU42" s="1544">
        <v>0</v>
      </c>
      <c r="JV42" s="1544">
        <v>16.997852941176472</v>
      </c>
      <c r="JW42" s="1544">
        <v>14.297291965456159</v>
      </c>
      <c r="JX42" s="1544">
        <v>0</v>
      </c>
      <c r="JY42" s="1544">
        <v>0</v>
      </c>
      <c r="JZ42" s="1544">
        <v>13.997764705882355</v>
      </c>
      <c r="KA42" s="1544">
        <v>10.003724581723189</v>
      </c>
      <c r="KB42" s="1544">
        <v>0</v>
      </c>
      <c r="KC42" s="1544">
        <v>0</v>
      </c>
      <c r="KD42" s="1544">
        <v>29.353588235294119</v>
      </c>
      <c r="KE42" s="1943">
        <v>17.19820266341581</v>
      </c>
      <c r="KF42" s="1933">
        <v>0</v>
      </c>
      <c r="KG42" s="1544">
        <v>0</v>
      </c>
      <c r="KH42" s="1544">
        <v>17.333882352941178</v>
      </c>
      <c r="KI42" s="1544">
        <v>21.20355140606415</v>
      </c>
      <c r="KJ42" s="1544">
        <v>0</v>
      </c>
      <c r="KK42" s="1544">
        <v>0</v>
      </c>
      <c r="KL42" s="1544">
        <v>14.280411764705883</v>
      </c>
      <c r="KM42" s="1544">
        <v>16.160188061388183</v>
      </c>
      <c r="KN42" s="1544">
        <v>0</v>
      </c>
      <c r="KO42" s="1544">
        <v>0</v>
      </c>
      <c r="KP42" s="1544">
        <v>29.909470588235294</v>
      </c>
      <c r="KQ42" s="1943">
        <v>25.887941492024797</v>
      </c>
      <c r="KR42" s="1933">
        <v>0</v>
      </c>
      <c r="KS42" s="1544">
        <v>0</v>
      </c>
      <c r="KT42" s="1544">
        <v>15.384911764705885</v>
      </c>
      <c r="KU42" s="1544">
        <v>9.2266774847755055</v>
      </c>
      <c r="KV42" s="1544">
        <v>0</v>
      </c>
      <c r="KW42" s="1544">
        <v>0</v>
      </c>
      <c r="KX42" s="1544">
        <v>12.641058823529415</v>
      </c>
      <c r="KY42" s="1544">
        <v>5.8298856458824302</v>
      </c>
      <c r="KZ42" s="1544">
        <v>0</v>
      </c>
      <c r="LA42" s="1544">
        <v>0</v>
      </c>
      <c r="LB42" s="1544">
        <v>26.685352941176475</v>
      </c>
      <c r="LC42" s="1943">
        <v>9.8863646969249821</v>
      </c>
      <c r="LD42" s="1933">
        <v>0</v>
      </c>
      <c r="LE42" s="1544">
        <v>0</v>
      </c>
      <c r="LF42" s="1544">
        <v>17.737117647058824</v>
      </c>
      <c r="LG42" s="1544">
        <v>12.795882608770349</v>
      </c>
      <c r="LH42" s="1544">
        <v>0</v>
      </c>
      <c r="LI42" s="1544">
        <v>0</v>
      </c>
      <c r="LJ42" s="1544">
        <v>14.61958823529412</v>
      </c>
      <c r="LK42" s="1544">
        <v>8.3279054488208057</v>
      </c>
      <c r="LL42" s="1544">
        <v>0</v>
      </c>
      <c r="LM42" s="1544">
        <v>0</v>
      </c>
      <c r="LN42" s="1544">
        <v>30.57652941176471</v>
      </c>
      <c r="LO42" s="1943">
        <v>15.18258800988689</v>
      </c>
      <c r="LP42" s="1933">
        <v>0</v>
      </c>
      <c r="LQ42" s="1544">
        <v>0</v>
      </c>
      <c r="LR42" s="1544">
        <v>17.938735294117649</v>
      </c>
      <c r="LS42" s="1544">
        <v>16.204516236138023</v>
      </c>
      <c r="LT42" s="1544">
        <v>0</v>
      </c>
      <c r="LU42" s="1544">
        <v>0</v>
      </c>
      <c r="LV42" s="1544">
        <v>14.789176470588238</v>
      </c>
      <c r="LW42" s="1544">
        <v>11.676597373278858</v>
      </c>
      <c r="LX42" s="1544">
        <v>0</v>
      </c>
      <c r="LY42" s="1544">
        <v>0</v>
      </c>
      <c r="LZ42" s="1544">
        <v>30.910058823529418</v>
      </c>
      <c r="MA42" s="1943">
        <v>19.631239672171841</v>
      </c>
      <c r="MB42" s="1933">
        <v>0</v>
      </c>
      <c r="MC42" s="1544">
        <v>0</v>
      </c>
      <c r="MD42" s="1544">
        <v>24.323294117647063</v>
      </c>
      <c r="ME42" s="1544">
        <v>9.1687437059102521</v>
      </c>
      <c r="MF42" s="1544">
        <v>0</v>
      </c>
      <c r="MG42" s="1544">
        <v>0</v>
      </c>
      <c r="MH42" s="1544">
        <v>20.159470588235294</v>
      </c>
      <c r="MI42" s="1544">
        <v>4.1751024536210268</v>
      </c>
      <c r="MJ42" s="1544">
        <v>0</v>
      </c>
      <c r="MK42" s="1544">
        <v>0</v>
      </c>
      <c r="ML42" s="1544">
        <v>41.471823529411765</v>
      </c>
      <c r="MM42" s="1943">
        <v>10.402757003274164</v>
      </c>
      <c r="MN42" s="1933">
        <v>0</v>
      </c>
      <c r="MO42" s="1544">
        <v>0</v>
      </c>
      <c r="MP42" s="1544">
        <v>19.820500000000003</v>
      </c>
      <c r="MQ42" s="1544">
        <v>14.22664130827077</v>
      </c>
      <c r="MR42" s="1544">
        <v>0</v>
      </c>
      <c r="MS42" s="1544">
        <v>0</v>
      </c>
      <c r="MT42" s="1544">
        <v>16.372</v>
      </c>
      <c r="MU42" s="1544">
        <v>8.8036787989934098</v>
      </c>
      <c r="MV42" s="1544">
        <v>0</v>
      </c>
      <c r="MW42" s="1544">
        <v>0</v>
      </c>
      <c r="MX42" s="1544">
        <v>34.022999999999996</v>
      </c>
      <c r="MY42" s="1943">
        <v>16.758369236368846</v>
      </c>
      <c r="MZ42" s="1933">
        <v>0</v>
      </c>
      <c r="NA42" s="1544">
        <v>0</v>
      </c>
      <c r="NB42" s="1544">
        <v>18.745205882352945</v>
      </c>
      <c r="NC42" s="1544">
        <v>13.881762301555208</v>
      </c>
      <c r="ND42" s="1544">
        <v>0</v>
      </c>
      <c r="NE42" s="1544">
        <v>0</v>
      </c>
      <c r="NF42" s="1544">
        <v>15.467529411764708</v>
      </c>
      <c r="NG42" s="1544">
        <v>9.5602528118732355</v>
      </c>
      <c r="NH42" s="1544">
        <v>0</v>
      </c>
      <c r="NI42" s="1544">
        <v>0</v>
      </c>
      <c r="NJ42" s="1544">
        <v>32.244176470588236</v>
      </c>
      <c r="NK42" s="1943">
        <v>16.650653596429677</v>
      </c>
      <c r="NL42" s="1933">
        <v>0</v>
      </c>
      <c r="NM42" s="1544">
        <v>0</v>
      </c>
      <c r="NN42" s="1544">
        <v>17.535500000000003</v>
      </c>
      <c r="NO42" s="1544">
        <v>18.177106837123318</v>
      </c>
      <c r="NP42" s="1544">
        <v>0</v>
      </c>
      <c r="NQ42" s="1544">
        <v>0</v>
      </c>
      <c r="NR42" s="1544">
        <v>14.450000000000003</v>
      </c>
      <c r="NS42" s="1544">
        <v>13.516522933118525</v>
      </c>
      <c r="NT42" s="1544">
        <v>0</v>
      </c>
      <c r="NU42" s="1544">
        <v>0</v>
      </c>
      <c r="NV42" s="1544">
        <v>30.243000000000002</v>
      </c>
      <c r="NW42" s="1943">
        <v>22.161050828592348</v>
      </c>
      <c r="NX42" s="1933">
        <v>0</v>
      </c>
      <c r="NY42" s="1544">
        <v>0</v>
      </c>
      <c r="NZ42" s="1544">
        <v>20.559764705882355</v>
      </c>
      <c r="OA42" s="1544">
        <v>10.691146260173328</v>
      </c>
      <c r="OB42" s="1544">
        <v>0</v>
      </c>
      <c r="OC42" s="1544">
        <v>0</v>
      </c>
      <c r="OD42" s="1544">
        <v>16.993823529411767</v>
      </c>
      <c r="OE42" s="1544">
        <v>6.2586224055614217</v>
      </c>
      <c r="OF42" s="1544">
        <v>0</v>
      </c>
      <c r="OG42" s="1544">
        <v>0</v>
      </c>
      <c r="OH42" s="1544">
        <v>35.245941176470595</v>
      </c>
      <c r="OI42" s="1934">
        <v>12.570374713493525</v>
      </c>
      <c r="OJ42" s="1933">
        <v>0</v>
      </c>
      <c r="OK42" s="1544">
        <v>0</v>
      </c>
      <c r="OL42" s="1544">
        <v>16.527411764705885</v>
      </c>
      <c r="OM42" s="1544">
        <v>9.6862397200195751</v>
      </c>
      <c r="ON42" s="1544">
        <v>0</v>
      </c>
      <c r="OO42" s="1544">
        <v>0</v>
      </c>
      <c r="OP42" s="1544">
        <v>13.602058823529413</v>
      </c>
      <c r="OQ42" s="1544">
        <v>6.1364608816613035</v>
      </c>
      <c r="OR42" s="1544">
        <v>0</v>
      </c>
      <c r="OS42" s="1544">
        <v>0</v>
      </c>
      <c r="OT42" s="1544">
        <v>28.575352941176476</v>
      </c>
      <c r="OU42" s="1934">
        <v>10.903263256739617</v>
      </c>
      <c r="OV42" s="1933">
        <v>0</v>
      </c>
      <c r="OW42" s="1544">
        <v>0</v>
      </c>
      <c r="OX42" s="1544">
        <v>23.382411764705889</v>
      </c>
      <c r="OY42" s="1544">
        <v>12.873179576341263</v>
      </c>
      <c r="OZ42" s="1544">
        <v>0</v>
      </c>
      <c r="PA42" s="1544">
        <v>0</v>
      </c>
      <c r="PB42" s="1544">
        <v>19.368058823529417</v>
      </c>
      <c r="PC42" s="1544">
        <v>7.5964053470246542</v>
      </c>
      <c r="PD42" s="1544">
        <v>0</v>
      </c>
      <c r="PE42" s="1544">
        <v>0</v>
      </c>
      <c r="PF42" s="1544">
        <v>39.915352941176472</v>
      </c>
      <c r="PG42" s="1934">
        <v>15.186309095139363</v>
      </c>
      <c r="PH42" s="1933">
        <v>0</v>
      </c>
      <c r="PI42" s="1544">
        <v>0</v>
      </c>
      <c r="PJ42" s="1544">
        <v>17.737117647058824</v>
      </c>
      <c r="PK42" s="1544">
        <v>12.195172458839775</v>
      </c>
      <c r="PL42" s="1544">
        <v>0</v>
      </c>
      <c r="PM42" s="1544">
        <v>0</v>
      </c>
      <c r="PN42" s="1544">
        <v>14.61958823529412</v>
      </c>
      <c r="PO42" s="1544">
        <v>8.3131585815385858</v>
      </c>
      <c r="PP42" s="1544">
        <v>0</v>
      </c>
      <c r="PQ42" s="1544">
        <v>0</v>
      </c>
      <c r="PR42" s="1544">
        <v>30.57652941176471</v>
      </c>
      <c r="PS42" s="1934">
        <v>14.568626703153168</v>
      </c>
      <c r="PT42" s="1933">
        <v>0</v>
      </c>
      <c r="PU42" s="1544">
        <v>0</v>
      </c>
      <c r="PV42" s="1544">
        <v>17.401088235294122</v>
      </c>
      <c r="PW42" s="1544">
        <v>16.420552302175384</v>
      </c>
      <c r="PX42" s="1544">
        <v>0</v>
      </c>
      <c r="PY42" s="1544">
        <v>0</v>
      </c>
      <c r="PZ42" s="1544">
        <v>14.336941176470591</v>
      </c>
      <c r="QA42" s="1544">
        <v>11.892052681112323</v>
      </c>
      <c r="QB42" s="1544">
        <v>0</v>
      </c>
      <c r="QC42" s="1544">
        <v>0</v>
      </c>
      <c r="QD42" s="1544">
        <v>30.020647058823535</v>
      </c>
      <c r="QE42" s="1934">
        <v>19.907355405151577</v>
      </c>
      <c r="QF42" s="1933">
        <v>0</v>
      </c>
      <c r="QG42" s="1544">
        <v>0</v>
      </c>
      <c r="QH42" s="1544">
        <v>19.954911764705884</v>
      </c>
      <c r="QI42" s="1544">
        <v>8.2862523416622107</v>
      </c>
      <c r="QJ42" s="1544">
        <v>0</v>
      </c>
      <c r="QK42" s="1544">
        <v>0</v>
      </c>
      <c r="QL42" s="1544">
        <v>16.485058823529414</v>
      </c>
      <c r="QM42" s="1544">
        <v>4.0333161067056267</v>
      </c>
      <c r="QN42" s="1544">
        <v>0</v>
      </c>
      <c r="QO42" s="1544">
        <v>0</v>
      </c>
      <c r="QP42" s="1544">
        <v>34.245352941176478</v>
      </c>
      <c r="QQ42" s="1934">
        <v>9.4020726433208122</v>
      </c>
      <c r="QR42" s="1933">
        <v>0</v>
      </c>
      <c r="QS42" s="1544">
        <v>0</v>
      </c>
      <c r="QT42" s="1544">
        <v>17.669911764705883</v>
      </c>
      <c r="QU42" s="1544">
        <v>14.160292834885544</v>
      </c>
      <c r="QV42" s="1544">
        <v>0</v>
      </c>
      <c r="QW42" s="1544">
        <v>0</v>
      </c>
      <c r="QX42" s="1544">
        <v>14.563058823529413</v>
      </c>
      <c r="QY42" s="1544">
        <v>9.8750447718060368</v>
      </c>
      <c r="QZ42" s="1544">
        <v>0</v>
      </c>
      <c r="RA42" s="1544">
        <v>0</v>
      </c>
      <c r="RB42" s="1544">
        <v>30.465352941176469</v>
      </c>
      <c r="RC42" s="1934">
        <v>17.020454781880918</v>
      </c>
      <c r="RD42" s="1933">
        <v>0</v>
      </c>
      <c r="RE42" s="1544">
        <v>0</v>
      </c>
      <c r="RF42" s="1544">
        <v>17.535500000000003</v>
      </c>
      <c r="RG42" s="1544">
        <v>13.479092103971391</v>
      </c>
      <c r="RH42" s="1544">
        <v>0</v>
      </c>
      <c r="RI42" s="1544">
        <v>0</v>
      </c>
      <c r="RJ42" s="1544">
        <v>14.450000000000003</v>
      </c>
      <c r="RK42" s="1544">
        <v>9.2854062177560515</v>
      </c>
      <c r="RL42" s="1544">
        <v>0</v>
      </c>
      <c r="RM42" s="1544">
        <v>0</v>
      </c>
      <c r="RN42" s="1544">
        <v>30.243000000000002</v>
      </c>
      <c r="RO42" s="1934">
        <v>16.156690436544931</v>
      </c>
    </row>
    <row r="43" spans="1:483">
      <c r="A43" s="634">
        <f>Eingabedaten!A45</f>
        <v>12.04</v>
      </c>
      <c r="B43" s="379" t="str">
        <f>Eingabedaten!C45</f>
        <v>Nebenraum</v>
      </c>
      <c r="C43" s="379"/>
      <c r="D43" s="1933">
        <v>0</v>
      </c>
      <c r="E43" s="1544">
        <v>0</v>
      </c>
      <c r="F43" s="1544">
        <v>11.416023529411765</v>
      </c>
      <c r="G43" s="1544">
        <v>12.509724547880952</v>
      </c>
      <c r="H43" s="1544">
        <v>0</v>
      </c>
      <c r="I43" s="1544">
        <v>0</v>
      </c>
      <c r="J43" s="1544">
        <v>9.1898823529411775</v>
      </c>
      <c r="K43" s="1544">
        <v>7.331241141519131</v>
      </c>
      <c r="L43" s="1544">
        <v>0</v>
      </c>
      <c r="M43" s="1544">
        <v>0</v>
      </c>
      <c r="N43" s="1544">
        <v>33.006823529411776</v>
      </c>
      <c r="O43" s="1943">
        <v>47.07813233210819</v>
      </c>
      <c r="P43" s="1933">
        <v>0</v>
      </c>
      <c r="Q43" s="1544">
        <v>0</v>
      </c>
      <c r="R43" s="1544">
        <v>9.5133529411764712</v>
      </c>
      <c r="S43" s="1544">
        <v>13.452777728511169</v>
      </c>
      <c r="T43" s="1544">
        <v>0</v>
      </c>
      <c r="U43" s="1544">
        <v>0</v>
      </c>
      <c r="V43" s="1544">
        <v>7.6582352941176479</v>
      </c>
      <c r="W43" s="1544">
        <v>9.5303208269757764</v>
      </c>
      <c r="X43" s="1544">
        <v>0</v>
      </c>
      <c r="Y43" s="1544">
        <v>0</v>
      </c>
      <c r="Z43" s="1544">
        <v>27.842352941176472</v>
      </c>
      <c r="AA43" s="1943">
        <v>39.525420548171169</v>
      </c>
      <c r="AB43" s="1933">
        <v>0</v>
      </c>
      <c r="AC43" s="1544">
        <v>0</v>
      </c>
      <c r="AD43" s="1544">
        <v>9.5538352941176488</v>
      </c>
      <c r="AE43" s="1544">
        <v>16.672548464417606</v>
      </c>
      <c r="AF43" s="1544">
        <v>0</v>
      </c>
      <c r="AG43" s="1544">
        <v>0</v>
      </c>
      <c r="AH43" s="1544">
        <v>7.6908235294117659</v>
      </c>
      <c r="AI43" s="1544">
        <v>12.000705497207305</v>
      </c>
      <c r="AJ43" s="1544">
        <v>0</v>
      </c>
      <c r="AK43" s="1544">
        <v>0</v>
      </c>
      <c r="AL43" s="1544">
        <v>27.952235294117649</v>
      </c>
      <c r="AM43" s="1943">
        <v>45.206172331387108</v>
      </c>
      <c r="AN43" s="1933">
        <v>0</v>
      </c>
      <c r="AO43" s="1544">
        <v>0</v>
      </c>
      <c r="AP43" s="1544">
        <v>9.9181764705882358</v>
      </c>
      <c r="AQ43" s="1544">
        <v>11.994140411046574</v>
      </c>
      <c r="AR43" s="1544">
        <v>0</v>
      </c>
      <c r="AS43" s="1544">
        <v>0</v>
      </c>
      <c r="AT43" s="1544">
        <v>7.9841176470588238</v>
      </c>
      <c r="AU43" s="1544">
        <v>8.3805233436151561</v>
      </c>
      <c r="AV43" s="1544">
        <v>0</v>
      </c>
      <c r="AW43" s="1544">
        <v>0</v>
      </c>
      <c r="AX43" s="1544">
        <v>28.941176470588239</v>
      </c>
      <c r="AY43" s="1943">
        <v>35.603661432127851</v>
      </c>
      <c r="AZ43" s="1933">
        <v>0</v>
      </c>
      <c r="BA43" s="1544">
        <v>0</v>
      </c>
      <c r="BB43" s="1544">
        <v>10.282517647058825</v>
      </c>
      <c r="BC43" s="1544">
        <v>13.740469203487413</v>
      </c>
      <c r="BD43" s="1544">
        <v>0</v>
      </c>
      <c r="BE43" s="1544">
        <v>0</v>
      </c>
      <c r="BF43" s="1544">
        <v>8.2774117647058816</v>
      </c>
      <c r="BG43" s="1544">
        <v>9.5231542069339508</v>
      </c>
      <c r="BH43" s="1544">
        <v>0</v>
      </c>
      <c r="BI43" s="1544">
        <v>0</v>
      </c>
      <c r="BJ43" s="1544">
        <v>29.930117647058822</v>
      </c>
      <c r="BK43" s="1943">
        <v>41.077818106726461</v>
      </c>
      <c r="BL43" s="1933">
        <v>0</v>
      </c>
      <c r="BM43" s="1544">
        <v>0</v>
      </c>
      <c r="BN43" s="1544">
        <v>10.161070588235294</v>
      </c>
      <c r="BO43" s="1544">
        <v>15.840739166494068</v>
      </c>
      <c r="BP43" s="1544">
        <v>0</v>
      </c>
      <c r="BQ43" s="1544">
        <v>0</v>
      </c>
      <c r="BR43" s="1544">
        <v>8.1796470588235302</v>
      </c>
      <c r="BS43" s="1544">
        <v>11.325552773156398</v>
      </c>
      <c r="BT43" s="1544">
        <v>0</v>
      </c>
      <c r="BU43" s="1544">
        <v>0</v>
      </c>
      <c r="BV43" s="1544">
        <v>29.600470588235297</v>
      </c>
      <c r="BW43" s="1943">
        <v>44.016704449427053</v>
      </c>
      <c r="BX43" s="1933">
        <v>0</v>
      </c>
      <c r="BY43" s="1544">
        <v>0</v>
      </c>
      <c r="BZ43" s="1544">
        <v>10.201552941176471</v>
      </c>
      <c r="CA43" s="1544">
        <v>11.611865164253894</v>
      </c>
      <c r="CB43" s="1544">
        <v>0</v>
      </c>
      <c r="CC43" s="1544">
        <v>0</v>
      </c>
      <c r="CD43" s="1544">
        <v>8.2122352941176473</v>
      </c>
      <c r="CE43" s="1544">
        <v>7.6589225422529497</v>
      </c>
      <c r="CF43" s="1544">
        <v>0</v>
      </c>
      <c r="CG43" s="1544">
        <v>0</v>
      </c>
      <c r="CH43" s="1544">
        <v>29.710352941176474</v>
      </c>
      <c r="CI43" s="1943">
        <v>37.173327893352955</v>
      </c>
      <c r="CJ43" s="1933">
        <v>0</v>
      </c>
      <c r="CK43" s="1544">
        <v>0</v>
      </c>
      <c r="CL43" s="1544">
        <v>12.590011764705883</v>
      </c>
      <c r="CM43" s="1544">
        <v>13.538715382516189</v>
      </c>
      <c r="CN43" s="1544">
        <v>0</v>
      </c>
      <c r="CO43" s="1544">
        <v>0</v>
      </c>
      <c r="CP43" s="1544">
        <v>10.134941176470589</v>
      </c>
      <c r="CQ43" s="1544">
        <v>7.6930788072504894</v>
      </c>
      <c r="CR43" s="1544">
        <v>0</v>
      </c>
      <c r="CS43" s="1544">
        <v>0</v>
      </c>
      <c r="CT43" s="1544">
        <v>36.193411764705886</v>
      </c>
      <c r="CU43" s="1943">
        <v>48.357182956192332</v>
      </c>
      <c r="CV43" s="1933">
        <v>0</v>
      </c>
      <c r="CW43" s="1544">
        <v>0</v>
      </c>
      <c r="CX43" s="1544">
        <v>11.213611764705885</v>
      </c>
      <c r="CY43" s="1544">
        <v>11.475648026761304</v>
      </c>
      <c r="CZ43" s="1544">
        <v>0</v>
      </c>
      <c r="DA43" s="1544">
        <v>0</v>
      </c>
      <c r="DB43" s="1544">
        <v>9.02694117647059</v>
      </c>
      <c r="DC43" s="1544">
        <v>6.7450745031016517</v>
      </c>
      <c r="DD43" s="1544">
        <v>0</v>
      </c>
      <c r="DE43" s="1544">
        <v>0</v>
      </c>
      <c r="DF43" s="1544">
        <v>32.457411764705888</v>
      </c>
      <c r="DG43" s="1943">
        <v>41.807868195926595</v>
      </c>
      <c r="DH43" s="1933">
        <v>0</v>
      </c>
      <c r="DI43" s="1544">
        <v>0</v>
      </c>
      <c r="DJ43" s="1544">
        <v>11.82084705882353</v>
      </c>
      <c r="DK43" s="1544">
        <v>19.145720942115599</v>
      </c>
      <c r="DL43" s="1544">
        <v>0</v>
      </c>
      <c r="DM43" s="1544">
        <v>0</v>
      </c>
      <c r="DN43" s="1544">
        <v>9.5157647058823542</v>
      </c>
      <c r="DO43" s="1544">
        <v>13.269411597184668</v>
      </c>
      <c r="DP43" s="1544">
        <v>0</v>
      </c>
      <c r="DQ43" s="1544">
        <v>0</v>
      </c>
      <c r="DR43" s="1544">
        <v>34.105647058823536</v>
      </c>
      <c r="DS43" s="1943">
        <v>54.715190416812234</v>
      </c>
      <c r="DT43" s="1933">
        <v>0</v>
      </c>
      <c r="DU43" s="1544">
        <v>0</v>
      </c>
      <c r="DV43" s="1544">
        <v>8.9870823529411776</v>
      </c>
      <c r="DW43" s="1544">
        <v>11.540431811226387</v>
      </c>
      <c r="DX43" s="1544">
        <v>0</v>
      </c>
      <c r="DY43" s="1544">
        <v>0</v>
      </c>
      <c r="DZ43" s="1544">
        <v>7.234588235294118</v>
      </c>
      <c r="EA43" s="1544">
        <v>8.0649907504631813</v>
      </c>
      <c r="EB43" s="1544">
        <v>0</v>
      </c>
      <c r="EC43" s="1544">
        <v>0</v>
      </c>
      <c r="ED43" s="1544">
        <v>26.413882352941179</v>
      </c>
      <c r="EE43" s="1943">
        <v>33.898405840899123</v>
      </c>
      <c r="EF43" s="1933">
        <v>0</v>
      </c>
      <c r="EG43" s="1544">
        <v>0</v>
      </c>
      <c r="EH43" s="1544">
        <v>10.606376470588236</v>
      </c>
      <c r="EI43" s="1544">
        <v>21.010019949666734</v>
      </c>
      <c r="EJ43" s="1544">
        <v>0</v>
      </c>
      <c r="EK43" s="1544">
        <v>0</v>
      </c>
      <c r="EL43" s="1544">
        <v>8.538117647058824</v>
      </c>
      <c r="EM43" s="1544">
        <v>15.638111755908325</v>
      </c>
      <c r="EN43" s="1544">
        <v>0</v>
      </c>
      <c r="EO43" s="1544">
        <v>0</v>
      </c>
      <c r="EP43" s="1544">
        <v>30.809176470588241</v>
      </c>
      <c r="EQ43" s="1943">
        <v>54.499218245533086</v>
      </c>
      <c r="ER43" s="1933">
        <v>0</v>
      </c>
      <c r="ES43" s="1544">
        <v>0</v>
      </c>
      <c r="ET43" s="1544">
        <v>13.521105882352943</v>
      </c>
      <c r="EU43" s="1544">
        <v>15.774623895173493</v>
      </c>
      <c r="EV43" s="1544">
        <v>0</v>
      </c>
      <c r="EW43" s="1544">
        <v>0</v>
      </c>
      <c r="EX43" s="1544">
        <v>10.884470588235295</v>
      </c>
      <c r="EY43" s="1544">
        <v>9.1765436060236532</v>
      </c>
      <c r="EZ43" s="1544">
        <v>0</v>
      </c>
      <c r="FA43" s="1544">
        <v>0</v>
      </c>
      <c r="FB43" s="1544">
        <v>38.720705882352945</v>
      </c>
      <c r="FC43" s="1943">
        <v>53.349037232432323</v>
      </c>
      <c r="FD43" s="1933">
        <v>0</v>
      </c>
      <c r="FE43" s="1544">
        <v>0</v>
      </c>
      <c r="FF43" s="1544">
        <v>10.120588235294118</v>
      </c>
      <c r="FG43" s="1544">
        <v>15.70883214451592</v>
      </c>
      <c r="FH43" s="1544">
        <v>0</v>
      </c>
      <c r="FI43" s="1544">
        <v>0</v>
      </c>
      <c r="FJ43" s="1544">
        <v>8.147058823529413</v>
      </c>
      <c r="FK43" s="1544">
        <v>11.203400841086699</v>
      </c>
      <c r="FL43" s="1544">
        <v>0</v>
      </c>
      <c r="FM43" s="1544">
        <v>0</v>
      </c>
      <c r="FN43" s="1544">
        <v>29.490588235294119</v>
      </c>
      <c r="FO43" s="1943">
        <v>43.96553206902712</v>
      </c>
      <c r="FP43" s="1933">
        <v>0</v>
      </c>
      <c r="FQ43" s="1544">
        <v>0</v>
      </c>
      <c r="FR43" s="1544">
        <v>10.120588235294118</v>
      </c>
      <c r="FS43" s="1544">
        <v>15.65702450258506</v>
      </c>
      <c r="FT43" s="1544">
        <v>0</v>
      </c>
      <c r="FU43" s="1544">
        <v>0</v>
      </c>
      <c r="FV43" s="1544">
        <v>8.147058823529413</v>
      </c>
      <c r="FW43" s="1544">
        <v>10.79262479179137</v>
      </c>
      <c r="FX43" s="1544">
        <v>0</v>
      </c>
      <c r="FY43" s="1544">
        <v>0</v>
      </c>
      <c r="FZ43" s="1544">
        <v>29.490588235294119</v>
      </c>
      <c r="GA43" s="1943">
        <v>45.012981381872947</v>
      </c>
      <c r="GB43" s="1933">
        <v>0</v>
      </c>
      <c r="GC43" s="1544">
        <v>0</v>
      </c>
      <c r="GD43" s="1544">
        <v>11.13264705882353</v>
      </c>
      <c r="GE43" s="1544">
        <v>13.390008496202395</v>
      </c>
      <c r="GF43" s="1544">
        <v>0</v>
      </c>
      <c r="GG43" s="1544">
        <v>0</v>
      </c>
      <c r="GH43" s="1544">
        <v>8.961764705882354</v>
      </c>
      <c r="GI43" s="1544">
        <v>8.3614497504100722</v>
      </c>
      <c r="GJ43" s="1544">
        <v>0</v>
      </c>
      <c r="GK43" s="1544">
        <v>0</v>
      </c>
      <c r="GL43" s="1544">
        <v>32.237647058823534</v>
      </c>
      <c r="GM43" s="1943">
        <v>44.774514792029784</v>
      </c>
      <c r="GN43" s="1933">
        <v>0</v>
      </c>
      <c r="GO43" s="1544">
        <v>0</v>
      </c>
      <c r="GP43" s="1544">
        <v>11.173129411764707</v>
      </c>
      <c r="GQ43" s="1544">
        <v>17.698358489575575</v>
      </c>
      <c r="GR43" s="1544">
        <v>0</v>
      </c>
      <c r="GS43" s="1544">
        <v>0</v>
      </c>
      <c r="GT43" s="1544">
        <v>8.9943529411764729</v>
      </c>
      <c r="GU43" s="1544">
        <v>11.59732848061156</v>
      </c>
      <c r="GV43" s="1544">
        <v>0</v>
      </c>
      <c r="GW43" s="1544">
        <v>0</v>
      </c>
      <c r="GX43" s="1544">
        <v>32.347529411764711</v>
      </c>
      <c r="GY43" s="1943">
        <v>52.796544949844687</v>
      </c>
      <c r="GZ43" s="1933">
        <v>0</v>
      </c>
      <c r="HA43" s="1544">
        <v>0</v>
      </c>
      <c r="HB43" s="1544">
        <v>7.8130941176470596</v>
      </c>
      <c r="HC43" s="1544">
        <v>6.8746559124674054</v>
      </c>
      <c r="HD43" s="1544">
        <v>0</v>
      </c>
      <c r="HE43" s="1544">
        <v>0</v>
      </c>
      <c r="HF43" s="1544">
        <v>6.2895294117647058</v>
      </c>
      <c r="HG43" s="1544">
        <v>4.2340298552850637</v>
      </c>
      <c r="HH43" s="1544">
        <v>0</v>
      </c>
      <c r="HI43" s="1544">
        <v>0</v>
      </c>
      <c r="HJ43" s="1544">
        <v>23.227294117647062</v>
      </c>
      <c r="HK43" s="1943">
        <v>25.347902230958276</v>
      </c>
      <c r="HL43" s="1933">
        <v>0</v>
      </c>
      <c r="HM43" s="1544">
        <v>0</v>
      </c>
      <c r="HN43" s="1544">
        <v>7.6106823529411773</v>
      </c>
      <c r="HO43" s="1544">
        <v>5.9516350404427758</v>
      </c>
      <c r="HP43" s="1544">
        <v>0</v>
      </c>
      <c r="HQ43" s="1544">
        <v>0</v>
      </c>
      <c r="HR43" s="1544">
        <v>6.1265882352941183</v>
      </c>
      <c r="HS43" s="1544">
        <v>3.4332239336866617</v>
      </c>
      <c r="HT43" s="1544">
        <v>0</v>
      </c>
      <c r="HU43" s="1544">
        <v>0</v>
      </c>
      <c r="HV43" s="1544">
        <v>22.677882352941182</v>
      </c>
      <c r="HW43" s="1943">
        <v>23.971299010667028</v>
      </c>
      <c r="HX43" s="1933">
        <v>0</v>
      </c>
      <c r="HY43" s="1544">
        <v>0</v>
      </c>
      <c r="HZ43" s="1544">
        <v>9.8776941176470601</v>
      </c>
      <c r="IA43" s="1544">
        <v>15.258480827345425</v>
      </c>
      <c r="IB43" s="1544">
        <v>0</v>
      </c>
      <c r="IC43" s="1544">
        <v>0</v>
      </c>
      <c r="ID43" s="1544">
        <v>7.9515294117647057</v>
      </c>
      <c r="IE43" s="1544">
        <v>10.860798395681886</v>
      </c>
      <c r="IF43" s="1544">
        <v>0</v>
      </c>
      <c r="IG43" s="1544">
        <v>0</v>
      </c>
      <c r="IH43" s="1544">
        <v>28.831294117647058</v>
      </c>
      <c r="II43" s="1943">
        <v>43.345581173859763</v>
      </c>
      <c r="IJ43" s="1933">
        <v>0</v>
      </c>
      <c r="IK43" s="1544">
        <v>0</v>
      </c>
      <c r="IL43" s="1544">
        <v>8.5012941176470598</v>
      </c>
      <c r="IM43" s="1544">
        <v>8.9860381443054269</v>
      </c>
      <c r="IN43" s="1544">
        <v>0</v>
      </c>
      <c r="IO43" s="1544">
        <v>0</v>
      </c>
      <c r="IP43" s="1544">
        <v>6.8435294117647061</v>
      </c>
      <c r="IQ43" s="1544">
        <v>5.8272067991917833</v>
      </c>
      <c r="IR43" s="1544">
        <v>0</v>
      </c>
      <c r="IS43" s="1544">
        <v>0</v>
      </c>
      <c r="IT43" s="1544">
        <v>25.095294117647057</v>
      </c>
      <c r="IU43" s="1943">
        <v>30.318192987808853</v>
      </c>
      <c r="IV43" s="1933">
        <v>0</v>
      </c>
      <c r="IW43" s="1544">
        <v>0</v>
      </c>
      <c r="IX43" s="1544">
        <v>11.173129411764707</v>
      </c>
      <c r="IY43" s="1544">
        <v>9.64578471194495</v>
      </c>
      <c r="IZ43" s="1544">
        <v>0</v>
      </c>
      <c r="JA43" s="1544">
        <v>0</v>
      </c>
      <c r="JB43" s="1544">
        <v>8.9943529411764729</v>
      </c>
      <c r="JC43" s="1544">
        <v>5.353818646940657</v>
      </c>
      <c r="JD43" s="1544">
        <v>0</v>
      </c>
      <c r="JE43" s="1544">
        <v>0</v>
      </c>
      <c r="JF43" s="1544">
        <v>32.347529411764711</v>
      </c>
      <c r="JG43" s="1943">
        <v>37.125673012967219</v>
      </c>
      <c r="JH43" s="1933">
        <v>0</v>
      </c>
      <c r="JI43" s="1544">
        <v>0</v>
      </c>
      <c r="JJ43" s="1544">
        <v>9.4728705882352955</v>
      </c>
      <c r="JK43" s="1544">
        <v>13.981373879190972</v>
      </c>
      <c r="JL43" s="1544">
        <v>0</v>
      </c>
      <c r="JM43" s="1544">
        <v>0</v>
      </c>
      <c r="JN43" s="1544">
        <v>7.6256470588235299</v>
      </c>
      <c r="JO43" s="1544">
        <v>10.110426221049494</v>
      </c>
      <c r="JP43" s="1544">
        <v>0</v>
      </c>
      <c r="JQ43" s="1544">
        <v>0</v>
      </c>
      <c r="JR43" s="1544">
        <v>27.732470588235294</v>
      </c>
      <c r="JS43" s="1943">
        <v>39.942617575559503</v>
      </c>
      <c r="JT43" s="1933">
        <v>0</v>
      </c>
      <c r="JU43" s="1544">
        <v>0</v>
      </c>
      <c r="JV43" s="1544">
        <v>9.9991411764705873</v>
      </c>
      <c r="JW43" s="1544">
        <v>13.952142223579628</v>
      </c>
      <c r="JX43" s="1544">
        <v>0</v>
      </c>
      <c r="JY43" s="1544">
        <v>0</v>
      </c>
      <c r="JZ43" s="1544">
        <v>8.049294117647058</v>
      </c>
      <c r="KA43" s="1544">
        <v>9.9338167582955972</v>
      </c>
      <c r="KB43" s="1544">
        <v>0</v>
      </c>
      <c r="KC43" s="1544">
        <v>0</v>
      </c>
      <c r="KD43" s="1544">
        <v>29.160941176470594</v>
      </c>
      <c r="KE43" s="1943">
        <v>40.209664939860467</v>
      </c>
      <c r="KF43" s="1933">
        <v>0</v>
      </c>
      <c r="KG43" s="1544">
        <v>0</v>
      </c>
      <c r="KH43" s="1544">
        <v>10.201552941176471</v>
      </c>
      <c r="KI43" s="1544">
        <v>18.634819297348059</v>
      </c>
      <c r="KJ43" s="1544">
        <v>0</v>
      </c>
      <c r="KK43" s="1544">
        <v>0</v>
      </c>
      <c r="KL43" s="1544">
        <v>8.2122352941176473</v>
      </c>
      <c r="KM43" s="1544">
        <v>13.657129767181534</v>
      </c>
      <c r="KN43" s="1544">
        <v>0</v>
      </c>
      <c r="KO43" s="1544">
        <v>0</v>
      </c>
      <c r="KP43" s="1544">
        <v>29.710352941176474</v>
      </c>
      <c r="KQ43" s="1943">
        <v>50.275731051715788</v>
      </c>
      <c r="KR43" s="1933">
        <v>0</v>
      </c>
      <c r="KS43" s="1544">
        <v>0</v>
      </c>
      <c r="KT43" s="1544">
        <v>9.0275647058823534</v>
      </c>
      <c r="KU43" s="1544">
        <v>10.765806291517061</v>
      </c>
      <c r="KV43" s="1544">
        <v>0</v>
      </c>
      <c r="KW43" s="1544">
        <v>0</v>
      </c>
      <c r="KX43" s="1544">
        <v>7.267176470588236</v>
      </c>
      <c r="KY43" s="1544">
        <v>7.4378393965151188</v>
      </c>
      <c r="KZ43" s="1544">
        <v>0</v>
      </c>
      <c r="LA43" s="1544">
        <v>0</v>
      </c>
      <c r="LB43" s="1544">
        <v>26.52376470588236</v>
      </c>
      <c r="LC43" s="1943">
        <v>32.23694988975722</v>
      </c>
      <c r="LD43" s="1933">
        <v>0</v>
      </c>
      <c r="LE43" s="1544">
        <v>0</v>
      </c>
      <c r="LF43" s="1544">
        <v>10.444447058823531</v>
      </c>
      <c r="LG43" s="1544">
        <v>15.476106497573406</v>
      </c>
      <c r="LH43" s="1544">
        <v>0</v>
      </c>
      <c r="LI43" s="1544">
        <v>0</v>
      </c>
      <c r="LJ43" s="1544">
        <v>8.4077647058823537</v>
      </c>
      <c r="LK43" s="1544">
        <v>10.052235600863519</v>
      </c>
      <c r="LL43" s="1544">
        <v>0</v>
      </c>
      <c r="LM43" s="1544">
        <v>0</v>
      </c>
      <c r="LN43" s="1544">
        <v>30.369647058823535</v>
      </c>
      <c r="LO43" s="1943">
        <v>48.963141149841974</v>
      </c>
      <c r="LP43" s="1933">
        <v>0</v>
      </c>
      <c r="LQ43" s="1544">
        <v>0</v>
      </c>
      <c r="LR43" s="1544">
        <v>10.565894117647058</v>
      </c>
      <c r="LS43" s="1544">
        <v>15.29214154308352</v>
      </c>
      <c r="LT43" s="1544">
        <v>0</v>
      </c>
      <c r="LU43" s="1544">
        <v>0</v>
      </c>
      <c r="LV43" s="1544">
        <v>8.5055294117647069</v>
      </c>
      <c r="LW43" s="1544">
        <v>10.807187452801941</v>
      </c>
      <c r="LX43" s="1544">
        <v>0</v>
      </c>
      <c r="LY43" s="1544">
        <v>0</v>
      </c>
      <c r="LZ43" s="1544">
        <v>30.699294117647064</v>
      </c>
      <c r="MA43" s="1943">
        <v>43.478084004424161</v>
      </c>
      <c r="MB43" s="1933">
        <v>0</v>
      </c>
      <c r="MC43" s="1544">
        <v>0</v>
      </c>
      <c r="MD43" s="1544">
        <v>14.411717647058826</v>
      </c>
      <c r="ME43" s="1544">
        <v>15.709969377659107</v>
      </c>
      <c r="MF43" s="1544">
        <v>0</v>
      </c>
      <c r="MG43" s="1544">
        <v>0</v>
      </c>
      <c r="MH43" s="1544">
        <v>11.601411764705885</v>
      </c>
      <c r="MI43" s="1544">
        <v>8.7714427589704655</v>
      </c>
      <c r="MJ43" s="1544">
        <v>0</v>
      </c>
      <c r="MK43" s="1544">
        <v>0</v>
      </c>
      <c r="ML43" s="1544">
        <v>41.138117647058827</v>
      </c>
      <c r="MM43" s="1943">
        <v>53.461247533616202</v>
      </c>
      <c r="MN43" s="1933">
        <v>0</v>
      </c>
      <c r="MO43" s="1544">
        <v>0</v>
      </c>
      <c r="MP43" s="1544">
        <v>11.699399999999999</v>
      </c>
      <c r="MQ43" s="1544">
        <v>17.367619615942544</v>
      </c>
      <c r="MR43" s="1544">
        <v>0</v>
      </c>
      <c r="MS43" s="1544">
        <v>0</v>
      </c>
      <c r="MT43" s="1544">
        <v>9.418000000000001</v>
      </c>
      <c r="MU43" s="1544">
        <v>11.306925091638535</v>
      </c>
      <c r="MV43" s="1544">
        <v>0</v>
      </c>
      <c r="MW43" s="1544">
        <v>0</v>
      </c>
      <c r="MX43" s="1544">
        <v>33.775999999999996</v>
      </c>
      <c r="MY43" s="1943">
        <v>57.013749758412715</v>
      </c>
      <c r="MZ43" s="1933">
        <v>0</v>
      </c>
      <c r="NA43" s="1544">
        <v>0</v>
      </c>
      <c r="NB43" s="1544">
        <v>11.051682352941178</v>
      </c>
      <c r="NC43" s="1544">
        <v>14.514705934047392</v>
      </c>
      <c r="ND43" s="1544">
        <v>0</v>
      </c>
      <c r="NE43" s="1544">
        <v>0</v>
      </c>
      <c r="NF43" s="1544">
        <v>8.8965882352941179</v>
      </c>
      <c r="NG43" s="1544">
        <v>9.9083909224660172</v>
      </c>
      <c r="NH43" s="1544">
        <v>0</v>
      </c>
      <c r="NI43" s="1544">
        <v>0</v>
      </c>
      <c r="NJ43" s="1544">
        <v>32.017882352941186</v>
      </c>
      <c r="NK43" s="1943">
        <v>43.536885813635088</v>
      </c>
      <c r="NL43" s="1933">
        <v>0</v>
      </c>
      <c r="NM43" s="1544">
        <v>0</v>
      </c>
      <c r="NN43" s="1544">
        <v>10.323</v>
      </c>
      <c r="NO43" s="1544">
        <v>16.625457687913809</v>
      </c>
      <c r="NP43" s="1544">
        <v>0</v>
      </c>
      <c r="NQ43" s="1544">
        <v>0</v>
      </c>
      <c r="NR43" s="1544">
        <v>8.31</v>
      </c>
      <c r="NS43" s="1544">
        <v>11.796909851790611</v>
      </c>
      <c r="NT43" s="1544">
        <v>0</v>
      </c>
      <c r="NU43" s="1544">
        <v>0</v>
      </c>
      <c r="NV43" s="1544">
        <v>30.040000000000003</v>
      </c>
      <c r="NW43" s="1943">
        <v>45.747159557434323</v>
      </c>
      <c r="NX43" s="1933">
        <v>0</v>
      </c>
      <c r="NY43" s="1544">
        <v>0</v>
      </c>
      <c r="NZ43" s="1544">
        <v>12.144705882352943</v>
      </c>
      <c r="OA43" s="1544">
        <v>13.875392891614533</v>
      </c>
      <c r="OB43" s="1544">
        <v>0</v>
      </c>
      <c r="OC43" s="1544">
        <v>0</v>
      </c>
      <c r="OD43" s="1544">
        <v>9.7764705882352949</v>
      </c>
      <c r="OE43" s="1544">
        <v>8.5796016969996103</v>
      </c>
      <c r="OF43" s="1544">
        <v>0</v>
      </c>
      <c r="OG43" s="1544">
        <v>0</v>
      </c>
      <c r="OH43" s="1544">
        <v>34.984705882352941</v>
      </c>
      <c r="OI43" s="1934">
        <v>45.715340095716357</v>
      </c>
      <c r="OJ43" s="1933">
        <v>0</v>
      </c>
      <c r="OK43" s="1544">
        <v>0</v>
      </c>
      <c r="OL43" s="1544">
        <v>9.7157647058823535</v>
      </c>
      <c r="OM43" s="1544">
        <v>11.690119064195951</v>
      </c>
      <c r="ON43" s="1544">
        <v>0</v>
      </c>
      <c r="OO43" s="1544">
        <v>0</v>
      </c>
      <c r="OP43" s="1544">
        <v>7.8211764705882363</v>
      </c>
      <c r="OQ43" s="1544">
        <v>7.7237062529460445</v>
      </c>
      <c r="OR43" s="1544">
        <v>0</v>
      </c>
      <c r="OS43" s="1544">
        <v>0</v>
      </c>
      <c r="OT43" s="1544">
        <v>28.391764705882359</v>
      </c>
      <c r="OU43" s="1934">
        <v>35.400934784086139</v>
      </c>
      <c r="OV43" s="1933">
        <v>0</v>
      </c>
      <c r="OW43" s="1544">
        <v>0</v>
      </c>
      <c r="OX43" s="1544">
        <v>13.844964705882356</v>
      </c>
      <c r="OY43" s="1544">
        <v>16.872098399107127</v>
      </c>
      <c r="OZ43" s="1544">
        <v>0</v>
      </c>
      <c r="PA43" s="1544">
        <v>0</v>
      </c>
      <c r="PB43" s="1544">
        <v>11.145176470588238</v>
      </c>
      <c r="PC43" s="1544">
        <v>10.394396729079286</v>
      </c>
      <c r="PD43" s="1544">
        <v>0</v>
      </c>
      <c r="PE43" s="1544">
        <v>0</v>
      </c>
      <c r="PF43" s="1544">
        <v>39.599764705882357</v>
      </c>
      <c r="PG43" s="1934">
        <v>50.201198854039163</v>
      </c>
      <c r="PH43" s="1933">
        <v>0</v>
      </c>
      <c r="PI43" s="1544">
        <v>0</v>
      </c>
      <c r="PJ43" s="1544">
        <v>10.444447058823531</v>
      </c>
      <c r="PK43" s="1544">
        <v>12.9651784094698</v>
      </c>
      <c r="PL43" s="1544">
        <v>0</v>
      </c>
      <c r="PM43" s="1544">
        <v>0</v>
      </c>
      <c r="PN43" s="1544">
        <v>8.4077647058823537</v>
      </c>
      <c r="PO43" s="1544">
        <v>8.9332428972745195</v>
      </c>
      <c r="PP43" s="1544">
        <v>0</v>
      </c>
      <c r="PQ43" s="1544">
        <v>0</v>
      </c>
      <c r="PR43" s="1544">
        <v>30.369647058823535</v>
      </c>
      <c r="PS43" s="1934">
        <v>38.90289323950158</v>
      </c>
      <c r="PT43" s="1933">
        <v>0</v>
      </c>
      <c r="PU43" s="1544">
        <v>0</v>
      </c>
      <c r="PV43" s="1544">
        <v>10.242035294117649</v>
      </c>
      <c r="PW43" s="1544">
        <v>15.295241541989993</v>
      </c>
      <c r="PX43" s="1544">
        <v>0</v>
      </c>
      <c r="PY43" s="1544">
        <v>0</v>
      </c>
      <c r="PZ43" s="1544">
        <v>8.2448235294117644</v>
      </c>
      <c r="QA43" s="1544">
        <v>10.905391990999638</v>
      </c>
      <c r="QB43" s="1544">
        <v>0</v>
      </c>
      <c r="QC43" s="1544">
        <v>0</v>
      </c>
      <c r="QD43" s="1544">
        <v>29.820235294117655</v>
      </c>
      <c r="QE43" s="1934">
        <v>43.515057944914126</v>
      </c>
      <c r="QF43" s="1933">
        <v>0</v>
      </c>
      <c r="QG43" s="1544">
        <v>0</v>
      </c>
      <c r="QH43" s="1544">
        <v>11.780364705882356</v>
      </c>
      <c r="QI43" s="1544">
        <v>13.883205532668093</v>
      </c>
      <c r="QJ43" s="1544">
        <v>0</v>
      </c>
      <c r="QK43" s="1544">
        <v>0</v>
      </c>
      <c r="QL43" s="1544">
        <v>9.4831764705882371</v>
      </c>
      <c r="QM43" s="1544">
        <v>8.0145543767017635</v>
      </c>
      <c r="QN43" s="1544">
        <v>0</v>
      </c>
      <c r="QO43" s="1544">
        <v>0</v>
      </c>
      <c r="QP43" s="1544">
        <v>33.995764705882358</v>
      </c>
      <c r="QQ43" s="1934">
        <v>51.609686150023677</v>
      </c>
      <c r="QR43" s="1933">
        <v>0</v>
      </c>
      <c r="QS43" s="1544">
        <v>0</v>
      </c>
      <c r="QT43" s="1544">
        <v>10.403964705882352</v>
      </c>
      <c r="QU43" s="1544">
        <v>14.110944549362443</v>
      </c>
      <c r="QV43" s="1544">
        <v>0</v>
      </c>
      <c r="QW43" s="1544">
        <v>0</v>
      </c>
      <c r="QX43" s="1544">
        <v>8.3751764705882366</v>
      </c>
      <c r="QY43" s="1544">
        <v>9.9063719798427456</v>
      </c>
      <c r="QZ43" s="1544">
        <v>0</v>
      </c>
      <c r="RA43" s="1544">
        <v>0</v>
      </c>
      <c r="RB43" s="1544">
        <v>30.259764705882358</v>
      </c>
      <c r="RC43" s="1934">
        <v>41.13361430987441</v>
      </c>
      <c r="RD43" s="1933">
        <v>0</v>
      </c>
      <c r="RE43" s="1544">
        <v>0</v>
      </c>
      <c r="RF43" s="1544">
        <v>10.323</v>
      </c>
      <c r="RG43" s="1544">
        <v>13.694354688484475</v>
      </c>
      <c r="RH43" s="1544">
        <v>0</v>
      </c>
      <c r="RI43" s="1544">
        <v>0</v>
      </c>
      <c r="RJ43" s="1544">
        <v>8.31</v>
      </c>
      <c r="RK43" s="1544">
        <v>9.5852246990149297</v>
      </c>
      <c r="RL43" s="1544">
        <v>0</v>
      </c>
      <c r="RM43" s="1544">
        <v>0</v>
      </c>
      <c r="RN43" s="1544">
        <v>30.040000000000003</v>
      </c>
      <c r="RO43" s="1934">
        <v>40.443824115718328</v>
      </c>
    </row>
    <row r="44" spans="1:483">
      <c r="A44" s="634">
        <f>Eingabedaten!A46</f>
        <v>12.05</v>
      </c>
      <c r="B44" s="379" t="str">
        <f>Eingabedaten!C46</f>
        <v>Küche, Teeküche</v>
      </c>
      <c r="C44" s="379"/>
      <c r="D44" s="1933">
        <v>0</v>
      </c>
      <c r="E44" s="1544">
        <v>0</v>
      </c>
      <c r="F44" s="1544">
        <v>12.630494117647061</v>
      </c>
      <c r="G44" s="1544">
        <v>0.65391882794430622</v>
      </c>
      <c r="H44" s="1544">
        <v>0</v>
      </c>
      <c r="I44" s="1544">
        <v>0</v>
      </c>
      <c r="J44" s="1544">
        <v>10.167529411764706</v>
      </c>
      <c r="K44" s="1544">
        <v>0.24284511224487282</v>
      </c>
      <c r="L44" s="1544">
        <v>0</v>
      </c>
      <c r="M44" s="1544">
        <v>0</v>
      </c>
      <c r="N44" s="1544">
        <v>36.30329411764707</v>
      </c>
      <c r="O44" s="1943">
        <v>141.24088645858654</v>
      </c>
      <c r="P44" s="1933">
        <v>0</v>
      </c>
      <c r="Q44" s="1544">
        <v>0</v>
      </c>
      <c r="R44" s="1544">
        <v>10.727823529411765</v>
      </c>
      <c r="S44" s="1544">
        <v>0.568710267191194</v>
      </c>
      <c r="T44" s="1544">
        <v>0</v>
      </c>
      <c r="U44" s="1544">
        <v>0</v>
      </c>
      <c r="V44" s="1544">
        <v>8.6358823529411772</v>
      </c>
      <c r="W44" s="1544">
        <v>0.25979239473607113</v>
      </c>
      <c r="X44" s="1544">
        <v>0</v>
      </c>
      <c r="Y44" s="1544">
        <v>0</v>
      </c>
      <c r="Z44" s="1544">
        <v>31.138823529411766</v>
      </c>
      <c r="AA44" s="1943">
        <v>99.416008049306143</v>
      </c>
      <c r="AB44" s="1933">
        <v>0</v>
      </c>
      <c r="AC44" s="1544">
        <v>0</v>
      </c>
      <c r="AD44" s="1544">
        <v>10.768305882352943</v>
      </c>
      <c r="AE44" s="1544">
        <v>0.88318168990741619</v>
      </c>
      <c r="AF44" s="1544">
        <v>0</v>
      </c>
      <c r="AG44" s="1544">
        <v>0</v>
      </c>
      <c r="AH44" s="1544">
        <v>8.6684705882352944</v>
      </c>
      <c r="AI44" s="1544">
        <v>0.45954485736507067</v>
      </c>
      <c r="AJ44" s="1544">
        <v>0</v>
      </c>
      <c r="AK44" s="1544">
        <v>0</v>
      </c>
      <c r="AL44" s="1544">
        <v>31.248705882352947</v>
      </c>
      <c r="AM44" s="1943">
        <v>105.76981790812287</v>
      </c>
      <c r="AN44" s="1933">
        <v>0</v>
      </c>
      <c r="AO44" s="1544">
        <v>0</v>
      </c>
      <c r="AP44" s="1544">
        <v>11.13264705882353</v>
      </c>
      <c r="AQ44" s="1544">
        <v>0.36342119820531299</v>
      </c>
      <c r="AR44" s="1544">
        <v>0</v>
      </c>
      <c r="AS44" s="1544">
        <v>0</v>
      </c>
      <c r="AT44" s="1544">
        <v>8.961764705882354</v>
      </c>
      <c r="AU44" s="1544">
        <v>0.15630341487038285</v>
      </c>
      <c r="AV44" s="1544">
        <v>0</v>
      </c>
      <c r="AW44" s="1544">
        <v>0</v>
      </c>
      <c r="AX44" s="1544">
        <v>32.237647058823534</v>
      </c>
      <c r="AY44" s="1943">
        <v>91.752578675529307</v>
      </c>
      <c r="AZ44" s="1933">
        <v>0</v>
      </c>
      <c r="BA44" s="1544">
        <v>0</v>
      </c>
      <c r="BB44" s="1544">
        <v>11.496988235294118</v>
      </c>
      <c r="BC44" s="1544">
        <v>0.79172737035453455</v>
      </c>
      <c r="BD44" s="1544">
        <v>0</v>
      </c>
      <c r="BE44" s="1544">
        <v>0</v>
      </c>
      <c r="BF44" s="1544">
        <v>9.2550588235294118</v>
      </c>
      <c r="BG44" s="1544">
        <v>0.35591920144896871</v>
      </c>
      <c r="BH44" s="1544">
        <v>0</v>
      </c>
      <c r="BI44" s="1544">
        <v>0</v>
      </c>
      <c r="BJ44" s="1544">
        <v>33.226588235294116</v>
      </c>
      <c r="BK44" s="1943">
        <v>108.76037814544547</v>
      </c>
      <c r="BL44" s="1933">
        <v>0</v>
      </c>
      <c r="BM44" s="1544">
        <v>0</v>
      </c>
      <c r="BN44" s="1544">
        <v>11.375541176470591</v>
      </c>
      <c r="BO44" s="1544">
        <v>0.95829205163067654</v>
      </c>
      <c r="BP44" s="1544">
        <v>0</v>
      </c>
      <c r="BQ44" s="1544">
        <v>0</v>
      </c>
      <c r="BR44" s="1544">
        <v>9.1572941176470604</v>
      </c>
      <c r="BS44" s="1544">
        <v>0.48236872419715082</v>
      </c>
      <c r="BT44" s="1544">
        <v>0</v>
      </c>
      <c r="BU44" s="1544">
        <v>0</v>
      </c>
      <c r="BV44" s="1544">
        <v>32.896941176470591</v>
      </c>
      <c r="BW44" s="1943">
        <v>107.61901953912266</v>
      </c>
      <c r="BX44" s="1933">
        <v>0</v>
      </c>
      <c r="BY44" s="1544">
        <v>0</v>
      </c>
      <c r="BZ44" s="1544">
        <v>11.416023529411765</v>
      </c>
      <c r="CA44" s="1544">
        <v>0.45367784383385878</v>
      </c>
      <c r="CB44" s="1544">
        <v>0</v>
      </c>
      <c r="CC44" s="1544">
        <v>0</v>
      </c>
      <c r="CD44" s="1544">
        <v>9.1898823529411775</v>
      </c>
      <c r="CE44" s="1544">
        <v>0.18571141661719456</v>
      </c>
      <c r="CF44" s="1544">
        <v>0</v>
      </c>
      <c r="CG44" s="1544">
        <v>0</v>
      </c>
      <c r="CH44" s="1544">
        <v>33.006823529411776</v>
      </c>
      <c r="CI44" s="1943">
        <v>100.46189227680637</v>
      </c>
      <c r="CJ44" s="1933">
        <v>0</v>
      </c>
      <c r="CK44" s="1544">
        <v>0</v>
      </c>
      <c r="CL44" s="1544">
        <v>13.804482352941177</v>
      </c>
      <c r="CM44" s="1544">
        <v>1.560419550589089</v>
      </c>
      <c r="CN44" s="1544">
        <v>0</v>
      </c>
      <c r="CO44" s="1544">
        <v>0</v>
      </c>
      <c r="CP44" s="1544">
        <v>11.112588235294119</v>
      </c>
      <c r="CQ44" s="1544">
        <v>0.60173542433940186</v>
      </c>
      <c r="CR44" s="1544">
        <v>0</v>
      </c>
      <c r="CS44" s="1544">
        <v>0</v>
      </c>
      <c r="CT44" s="1544">
        <v>39.48988235294118</v>
      </c>
      <c r="CU44" s="1943">
        <v>168.50065687161126</v>
      </c>
      <c r="CV44" s="1933">
        <v>0</v>
      </c>
      <c r="CW44" s="1544">
        <v>0</v>
      </c>
      <c r="CX44" s="1544">
        <v>12.428082352941177</v>
      </c>
      <c r="CY44" s="1544">
        <v>0.56108548690164661</v>
      </c>
      <c r="CZ44" s="1544">
        <v>0</v>
      </c>
      <c r="DA44" s="1544">
        <v>0</v>
      </c>
      <c r="DB44" s="1544">
        <v>10.004588235294118</v>
      </c>
      <c r="DC44" s="1544">
        <v>0.20554896007214582</v>
      </c>
      <c r="DD44" s="1544">
        <v>0</v>
      </c>
      <c r="DE44" s="1544">
        <v>0</v>
      </c>
      <c r="DF44" s="1544">
        <v>35.753882352941183</v>
      </c>
      <c r="DG44" s="1943">
        <v>129.59588583343756</v>
      </c>
      <c r="DH44" s="1933">
        <v>0</v>
      </c>
      <c r="DI44" s="1544">
        <v>0</v>
      </c>
      <c r="DJ44" s="1544">
        <v>13.035317647058825</v>
      </c>
      <c r="DK44" s="1544">
        <v>2.2612153377562163</v>
      </c>
      <c r="DL44" s="1544">
        <v>0</v>
      </c>
      <c r="DM44" s="1544">
        <v>0</v>
      </c>
      <c r="DN44" s="1544">
        <v>10.493411764705884</v>
      </c>
      <c r="DO44" s="1544">
        <v>1.2026323348169452</v>
      </c>
      <c r="DP44" s="1544">
        <v>0</v>
      </c>
      <c r="DQ44" s="1544">
        <v>0</v>
      </c>
      <c r="DR44" s="1544">
        <v>37.40211764705883</v>
      </c>
      <c r="DS44" s="1943">
        <v>145.63891156816487</v>
      </c>
      <c r="DT44" s="1933">
        <v>0</v>
      </c>
      <c r="DU44" s="1544">
        <v>0</v>
      </c>
      <c r="DV44" s="1544">
        <v>10.201552941176471</v>
      </c>
      <c r="DW44" s="1544">
        <v>0.34936512568295663</v>
      </c>
      <c r="DX44" s="1544">
        <v>0</v>
      </c>
      <c r="DY44" s="1544">
        <v>0</v>
      </c>
      <c r="DZ44" s="1544">
        <v>8.2122352941176473</v>
      </c>
      <c r="EA44" s="1544">
        <v>0.14888665142761806</v>
      </c>
      <c r="EB44" s="1544">
        <v>0</v>
      </c>
      <c r="EC44" s="1544">
        <v>0</v>
      </c>
      <c r="ED44" s="1544">
        <v>29.710352941176474</v>
      </c>
      <c r="EE44" s="1943">
        <v>89.715717244022116</v>
      </c>
      <c r="EF44" s="1933">
        <v>0</v>
      </c>
      <c r="EG44" s="1544">
        <v>0</v>
      </c>
      <c r="EH44" s="1544">
        <v>11.82084705882353</v>
      </c>
      <c r="EI44" s="1544">
        <v>1.8174184608858743</v>
      </c>
      <c r="EJ44" s="1544">
        <v>0</v>
      </c>
      <c r="EK44" s="1544">
        <v>0</v>
      </c>
      <c r="EL44" s="1544">
        <v>9.5157647058823542</v>
      </c>
      <c r="EM44" s="1544">
        <v>0.99728059154516058</v>
      </c>
      <c r="EN44" s="1544">
        <v>0</v>
      </c>
      <c r="EO44" s="1544">
        <v>0</v>
      </c>
      <c r="EP44" s="1544">
        <v>34.105647058823536</v>
      </c>
      <c r="EQ44" s="1943">
        <v>124.77887594040996</v>
      </c>
      <c r="ER44" s="1933">
        <v>0</v>
      </c>
      <c r="ES44" s="1544">
        <v>0</v>
      </c>
      <c r="ET44" s="1544">
        <v>14.735576470588235</v>
      </c>
      <c r="EU44" s="1544">
        <v>3.5675902652598097</v>
      </c>
      <c r="EV44" s="1544">
        <v>0</v>
      </c>
      <c r="EW44" s="1544">
        <v>0</v>
      </c>
      <c r="EX44" s="1544">
        <v>11.862117647058824</v>
      </c>
      <c r="EY44" s="1544">
        <v>1.7444100805702036</v>
      </c>
      <c r="EZ44" s="1544">
        <v>0</v>
      </c>
      <c r="FA44" s="1544">
        <v>0</v>
      </c>
      <c r="FB44" s="1544">
        <v>42.01717647058824</v>
      </c>
      <c r="FC44" s="1943">
        <v>217.88842000491189</v>
      </c>
      <c r="FD44" s="1933">
        <v>0</v>
      </c>
      <c r="FE44" s="1544">
        <v>0</v>
      </c>
      <c r="FF44" s="1544">
        <v>11.335058823529414</v>
      </c>
      <c r="FG44" s="1544">
        <v>1.0152324237943764</v>
      </c>
      <c r="FH44" s="1544">
        <v>0</v>
      </c>
      <c r="FI44" s="1544">
        <v>0</v>
      </c>
      <c r="FJ44" s="1544">
        <v>9.1247058823529414</v>
      </c>
      <c r="FK44" s="1544">
        <v>0.50656909248994475</v>
      </c>
      <c r="FL44" s="1544">
        <v>0</v>
      </c>
      <c r="FM44" s="1544">
        <v>0</v>
      </c>
      <c r="FN44" s="1544">
        <v>32.787058823529414</v>
      </c>
      <c r="FO44" s="1943">
        <v>110.4165813417259</v>
      </c>
      <c r="FP44" s="1933">
        <v>0</v>
      </c>
      <c r="FQ44" s="1544">
        <v>0</v>
      </c>
      <c r="FR44" s="1544">
        <v>11.335058823529414</v>
      </c>
      <c r="FS44" s="1544">
        <v>1.1086780514397157</v>
      </c>
      <c r="FT44" s="1544">
        <v>0</v>
      </c>
      <c r="FU44" s="1544">
        <v>0</v>
      </c>
      <c r="FV44" s="1544">
        <v>9.1247058823529414</v>
      </c>
      <c r="FW44" s="1544">
        <v>0.52922993192005741</v>
      </c>
      <c r="FX44" s="1544">
        <v>0</v>
      </c>
      <c r="FY44" s="1544">
        <v>0</v>
      </c>
      <c r="FZ44" s="1544">
        <v>32.787058823529414</v>
      </c>
      <c r="GA44" s="1943">
        <v>115.7809566375179</v>
      </c>
      <c r="GB44" s="1933">
        <v>0</v>
      </c>
      <c r="GC44" s="1544">
        <v>0</v>
      </c>
      <c r="GD44" s="1544">
        <v>12.347117647058823</v>
      </c>
      <c r="GE44" s="1544">
        <v>0.83877891511308877</v>
      </c>
      <c r="GF44" s="1544">
        <v>0</v>
      </c>
      <c r="GG44" s="1544">
        <v>0</v>
      </c>
      <c r="GH44" s="1544">
        <v>9.9394117647058824</v>
      </c>
      <c r="GI44" s="1544">
        <v>0.33913359129290094</v>
      </c>
      <c r="GJ44" s="1544">
        <v>0</v>
      </c>
      <c r="GK44" s="1544">
        <v>0</v>
      </c>
      <c r="GL44" s="1544">
        <v>35.534117647058828</v>
      </c>
      <c r="GM44" s="1943">
        <v>132.96181033153442</v>
      </c>
      <c r="GN44" s="1933">
        <v>0</v>
      </c>
      <c r="GO44" s="1544">
        <v>0</v>
      </c>
      <c r="GP44" s="1544">
        <v>12.387600000000001</v>
      </c>
      <c r="GQ44" s="1544">
        <v>1.4321379314361533</v>
      </c>
      <c r="GR44" s="1544">
        <v>0</v>
      </c>
      <c r="GS44" s="1544">
        <v>0</v>
      </c>
      <c r="GT44" s="1544">
        <v>9.9720000000000013</v>
      </c>
      <c r="GU44" s="1544">
        <v>0.66551647679591219</v>
      </c>
      <c r="GV44" s="1544">
        <v>0</v>
      </c>
      <c r="GW44" s="1544">
        <v>0</v>
      </c>
      <c r="GX44" s="1544">
        <v>35.644000000000005</v>
      </c>
      <c r="GY44" s="1943">
        <v>146.10427002047498</v>
      </c>
      <c r="GZ44" s="1933">
        <v>0</v>
      </c>
      <c r="HA44" s="1544">
        <v>0</v>
      </c>
      <c r="HB44" s="1544">
        <v>9.0275647058823534</v>
      </c>
      <c r="HC44" s="1544">
        <v>7.1216794108715148E-2</v>
      </c>
      <c r="HD44" s="1544">
        <v>0</v>
      </c>
      <c r="HE44" s="1544">
        <v>0</v>
      </c>
      <c r="HF44" s="1544">
        <v>7.267176470588236</v>
      </c>
      <c r="HG44" s="1544">
        <v>2.5194848726549986E-2</v>
      </c>
      <c r="HH44" s="1544">
        <v>0</v>
      </c>
      <c r="HI44" s="1544">
        <v>0</v>
      </c>
      <c r="HJ44" s="1544">
        <v>26.52376470588236</v>
      </c>
      <c r="HK44" s="1943">
        <v>69.205915638481116</v>
      </c>
      <c r="HL44" s="1933">
        <v>0</v>
      </c>
      <c r="HM44" s="1544">
        <v>0</v>
      </c>
      <c r="HN44" s="1544">
        <v>8.8251529411764711</v>
      </c>
      <c r="HO44" s="1544">
        <v>6.166197360457594E-2</v>
      </c>
      <c r="HP44" s="1544">
        <v>0</v>
      </c>
      <c r="HQ44" s="1544">
        <v>0</v>
      </c>
      <c r="HR44" s="1544">
        <v>7.1042352941176476</v>
      </c>
      <c r="HS44" s="1544">
        <v>2.0953293416417881E-2</v>
      </c>
      <c r="HT44" s="1544">
        <v>0</v>
      </c>
      <c r="HU44" s="1544">
        <v>0</v>
      </c>
      <c r="HV44" s="1544">
        <v>25.974352941176477</v>
      </c>
      <c r="HW44" s="1943">
        <v>68.39774234515518</v>
      </c>
      <c r="HX44" s="1933">
        <v>0</v>
      </c>
      <c r="HY44" s="1544">
        <v>0</v>
      </c>
      <c r="HZ44" s="1544">
        <v>11.092164705882354</v>
      </c>
      <c r="IA44" s="1544">
        <v>0.89151829120130921</v>
      </c>
      <c r="IB44" s="1544">
        <v>0</v>
      </c>
      <c r="IC44" s="1544">
        <v>0</v>
      </c>
      <c r="ID44" s="1544">
        <v>8.929176470588235</v>
      </c>
      <c r="IE44" s="1544">
        <v>0.4383618404084435</v>
      </c>
      <c r="IF44" s="1544">
        <v>0</v>
      </c>
      <c r="IG44" s="1544">
        <v>0</v>
      </c>
      <c r="IH44" s="1544">
        <v>32.127764705882356</v>
      </c>
      <c r="II44" s="1943">
        <v>106.84237020151534</v>
      </c>
      <c r="IJ44" s="1933">
        <v>0</v>
      </c>
      <c r="IK44" s="1544">
        <v>0</v>
      </c>
      <c r="IL44" s="1544">
        <v>9.7157647058823535</v>
      </c>
      <c r="IM44" s="1544">
        <v>0.27831089460170549</v>
      </c>
      <c r="IN44" s="1544">
        <v>0</v>
      </c>
      <c r="IO44" s="1544">
        <v>0</v>
      </c>
      <c r="IP44" s="1544">
        <v>7.8211764705882363</v>
      </c>
      <c r="IQ44" s="1544">
        <v>0.10974486462718634</v>
      </c>
      <c r="IR44" s="1544">
        <v>0</v>
      </c>
      <c r="IS44" s="1544">
        <v>0</v>
      </c>
      <c r="IT44" s="1544">
        <v>28.391764705882359</v>
      </c>
      <c r="IU44" s="1943">
        <v>82.65875621284566</v>
      </c>
      <c r="IV44" s="1933">
        <v>0</v>
      </c>
      <c r="IW44" s="1544">
        <v>0</v>
      </c>
      <c r="IX44" s="1544">
        <v>12.387600000000001</v>
      </c>
      <c r="IY44" s="1544">
        <v>0.45393666171516261</v>
      </c>
      <c r="IZ44" s="1544">
        <v>0</v>
      </c>
      <c r="JA44" s="1544">
        <v>0</v>
      </c>
      <c r="JB44" s="1544">
        <v>9.9720000000000013</v>
      </c>
      <c r="JC44" s="1544">
        <v>0.15161355250665209</v>
      </c>
      <c r="JD44" s="1544">
        <v>0</v>
      </c>
      <c r="JE44" s="1544">
        <v>0</v>
      </c>
      <c r="JF44" s="1544">
        <v>35.644000000000005</v>
      </c>
      <c r="JG44" s="1943">
        <v>129.84052260990461</v>
      </c>
      <c r="JH44" s="1933">
        <v>0</v>
      </c>
      <c r="JI44" s="1544">
        <v>0</v>
      </c>
      <c r="JJ44" s="1544">
        <v>10.687341176470589</v>
      </c>
      <c r="JK44" s="1544">
        <v>0.61361247116972018</v>
      </c>
      <c r="JL44" s="1544">
        <v>0</v>
      </c>
      <c r="JM44" s="1544">
        <v>0</v>
      </c>
      <c r="JN44" s="1544">
        <v>8.6032941176470601</v>
      </c>
      <c r="JO44" s="1544">
        <v>0.29256965425548315</v>
      </c>
      <c r="JP44" s="1544">
        <v>0</v>
      </c>
      <c r="JQ44" s="1544">
        <v>0</v>
      </c>
      <c r="JR44" s="1544">
        <v>31.028941176470589</v>
      </c>
      <c r="JS44" s="1943">
        <v>98.693830909335432</v>
      </c>
      <c r="JT44" s="1933">
        <v>0</v>
      </c>
      <c r="JU44" s="1544">
        <v>0</v>
      </c>
      <c r="JV44" s="1544">
        <v>11.213611764705885</v>
      </c>
      <c r="JW44" s="1544">
        <v>0.79105554417022983</v>
      </c>
      <c r="JX44" s="1544">
        <v>0</v>
      </c>
      <c r="JY44" s="1544">
        <v>0</v>
      </c>
      <c r="JZ44" s="1544">
        <v>9.02694117647059</v>
      </c>
      <c r="KA44" s="1544">
        <v>0.36848176457545578</v>
      </c>
      <c r="KB44" s="1544">
        <v>0</v>
      </c>
      <c r="KC44" s="1544">
        <v>0</v>
      </c>
      <c r="KD44" s="1544">
        <v>32.457411764705888</v>
      </c>
      <c r="KE44" s="1943">
        <v>105.39351130449072</v>
      </c>
      <c r="KF44" s="1933">
        <v>0</v>
      </c>
      <c r="KG44" s="1544">
        <v>0</v>
      </c>
      <c r="KH44" s="1544">
        <v>11.416023529411765</v>
      </c>
      <c r="KI44" s="1544">
        <v>2.1819039757571499</v>
      </c>
      <c r="KJ44" s="1544">
        <v>0</v>
      </c>
      <c r="KK44" s="1544">
        <v>0</v>
      </c>
      <c r="KL44" s="1544">
        <v>9.1898823529411775</v>
      </c>
      <c r="KM44" s="1544">
        <v>1.248476566791421</v>
      </c>
      <c r="KN44" s="1544">
        <v>0</v>
      </c>
      <c r="KO44" s="1544">
        <v>0</v>
      </c>
      <c r="KP44" s="1544">
        <v>33.006823529411776</v>
      </c>
      <c r="KQ44" s="1943">
        <v>130.06759333252211</v>
      </c>
      <c r="KR44" s="1933">
        <v>0</v>
      </c>
      <c r="KS44" s="1544">
        <v>0</v>
      </c>
      <c r="KT44" s="1544">
        <v>10.242035294117649</v>
      </c>
      <c r="KU44" s="1544">
        <v>0.24396738807373092</v>
      </c>
      <c r="KV44" s="1544">
        <v>0</v>
      </c>
      <c r="KW44" s="1544">
        <v>0</v>
      </c>
      <c r="KX44" s="1544">
        <v>8.2448235294117644</v>
      </c>
      <c r="KY44" s="1544">
        <v>0.10049237930197234</v>
      </c>
      <c r="KZ44" s="1544">
        <v>0</v>
      </c>
      <c r="LA44" s="1544">
        <v>0</v>
      </c>
      <c r="LB44" s="1544">
        <v>29.820235294117655</v>
      </c>
      <c r="LC44" s="1943">
        <v>85.154641947751259</v>
      </c>
      <c r="LD44" s="1933">
        <v>0</v>
      </c>
      <c r="LE44" s="1544">
        <v>0</v>
      </c>
      <c r="LF44" s="1544">
        <v>11.658917647058825</v>
      </c>
      <c r="LG44" s="1544">
        <v>1.1950371054542948</v>
      </c>
      <c r="LH44" s="1544">
        <v>0</v>
      </c>
      <c r="LI44" s="1544">
        <v>0</v>
      </c>
      <c r="LJ44" s="1544">
        <v>9.3854117647058839</v>
      </c>
      <c r="LK44" s="1544">
        <v>0.52539087515128591</v>
      </c>
      <c r="LL44" s="1544">
        <v>0</v>
      </c>
      <c r="LM44" s="1544">
        <v>0</v>
      </c>
      <c r="LN44" s="1544">
        <v>33.666117647058833</v>
      </c>
      <c r="LO44" s="1943">
        <v>134.74012641844277</v>
      </c>
      <c r="LP44" s="1933">
        <v>0</v>
      </c>
      <c r="LQ44" s="1544">
        <v>0</v>
      </c>
      <c r="LR44" s="1544">
        <v>11.780364705882356</v>
      </c>
      <c r="LS44" s="1544">
        <v>0.90370651709624494</v>
      </c>
      <c r="LT44" s="1544">
        <v>0</v>
      </c>
      <c r="LU44" s="1544">
        <v>0</v>
      </c>
      <c r="LV44" s="1544">
        <v>9.4831764705882371</v>
      </c>
      <c r="LW44" s="1544">
        <v>0.43773439021959931</v>
      </c>
      <c r="LX44" s="1544">
        <v>0</v>
      </c>
      <c r="LY44" s="1544">
        <v>0</v>
      </c>
      <c r="LZ44" s="1544">
        <v>33.995764705882358</v>
      </c>
      <c r="MA44" s="1943">
        <v>110.04989197540363</v>
      </c>
      <c r="MB44" s="1933">
        <v>0</v>
      </c>
      <c r="MC44" s="1544">
        <v>0</v>
      </c>
      <c r="MD44" s="1544">
        <v>15.626188235294119</v>
      </c>
      <c r="ME44" s="1544">
        <v>3.4232841286213183</v>
      </c>
      <c r="MF44" s="1544">
        <v>0</v>
      </c>
      <c r="MG44" s="1544">
        <v>0</v>
      </c>
      <c r="MH44" s="1544">
        <v>12.579058823529412</v>
      </c>
      <c r="MI44" s="1544">
        <v>1.4357183628007133</v>
      </c>
      <c r="MJ44" s="1544">
        <v>0</v>
      </c>
      <c r="MK44" s="1544">
        <v>0</v>
      </c>
      <c r="ML44" s="1544">
        <v>44.434588235294129</v>
      </c>
      <c r="MM44" s="1943">
        <v>193.63153040566903</v>
      </c>
      <c r="MN44" s="1933">
        <v>0</v>
      </c>
      <c r="MO44" s="1544">
        <v>0</v>
      </c>
      <c r="MP44" s="1544">
        <v>12.913870588235294</v>
      </c>
      <c r="MQ44" s="1544">
        <v>2.0445562968219391</v>
      </c>
      <c r="MR44" s="1544">
        <v>0</v>
      </c>
      <c r="MS44" s="1544">
        <v>0</v>
      </c>
      <c r="MT44" s="1544">
        <v>10.395647058823529</v>
      </c>
      <c r="MU44" s="1544">
        <v>0.91221140083255858</v>
      </c>
      <c r="MV44" s="1544">
        <v>0</v>
      </c>
      <c r="MW44" s="1544">
        <v>0</v>
      </c>
      <c r="MX44" s="1544">
        <v>37.072470588235291</v>
      </c>
      <c r="MY44" s="1943">
        <v>176.03685579086661</v>
      </c>
      <c r="MZ44" s="1933">
        <v>0</v>
      </c>
      <c r="NA44" s="1544">
        <v>0</v>
      </c>
      <c r="NB44" s="1544">
        <v>12.266152941176472</v>
      </c>
      <c r="NC44" s="1544">
        <v>0.91539233042993751</v>
      </c>
      <c r="ND44" s="1544">
        <v>0</v>
      </c>
      <c r="NE44" s="1544">
        <v>0</v>
      </c>
      <c r="NF44" s="1544">
        <v>9.8742352941176481</v>
      </c>
      <c r="NG44" s="1544">
        <v>0.42145122984624855</v>
      </c>
      <c r="NH44" s="1544">
        <v>0</v>
      </c>
      <c r="NI44" s="1544">
        <v>0</v>
      </c>
      <c r="NJ44" s="1544">
        <v>35.31435294117648</v>
      </c>
      <c r="NK44" s="1943">
        <v>116.68336911806097</v>
      </c>
      <c r="NL44" s="1933">
        <v>0</v>
      </c>
      <c r="NM44" s="1544">
        <v>0</v>
      </c>
      <c r="NN44" s="1544">
        <v>11.537470588235294</v>
      </c>
      <c r="NO44" s="1544">
        <v>1.1613948473832381</v>
      </c>
      <c r="NP44" s="1544">
        <v>0</v>
      </c>
      <c r="NQ44" s="1544">
        <v>0</v>
      </c>
      <c r="NR44" s="1544">
        <v>9.2876470588235307</v>
      </c>
      <c r="NS44" s="1544">
        <v>0.59246777044528875</v>
      </c>
      <c r="NT44" s="1544">
        <v>0</v>
      </c>
      <c r="NU44" s="1544">
        <v>0</v>
      </c>
      <c r="NV44" s="1544">
        <v>33.336470588235301</v>
      </c>
      <c r="NW44" s="1943">
        <v>112.08578879269274</v>
      </c>
      <c r="NX44" s="1933">
        <v>0</v>
      </c>
      <c r="NY44" s="1544">
        <v>0</v>
      </c>
      <c r="NZ44" s="1544">
        <v>13.359176470588237</v>
      </c>
      <c r="OA44" s="1544">
        <v>1.8171846418170723</v>
      </c>
      <c r="OB44" s="1544">
        <v>0</v>
      </c>
      <c r="OC44" s="1544">
        <v>0</v>
      </c>
      <c r="OD44" s="1544">
        <v>10.754117647058825</v>
      </c>
      <c r="OE44" s="1544">
        <v>0.8014055213440654</v>
      </c>
      <c r="OF44" s="1544">
        <v>0</v>
      </c>
      <c r="OG44" s="1544">
        <v>0</v>
      </c>
      <c r="OH44" s="1544">
        <v>38.281176470588235</v>
      </c>
      <c r="OI44" s="1934">
        <v>145.8163364391188</v>
      </c>
      <c r="OJ44" s="1933">
        <v>0</v>
      </c>
      <c r="OK44" s="1544">
        <v>0</v>
      </c>
      <c r="OL44" s="1544">
        <v>10.930235294117647</v>
      </c>
      <c r="OM44" s="1544">
        <v>0.636402155381664</v>
      </c>
      <c r="ON44" s="1544">
        <v>0</v>
      </c>
      <c r="OO44" s="1544">
        <v>0</v>
      </c>
      <c r="OP44" s="1544">
        <v>8.7988235294117665</v>
      </c>
      <c r="OQ44" s="1544">
        <v>0.27396856641046308</v>
      </c>
      <c r="OR44" s="1544">
        <v>0</v>
      </c>
      <c r="OS44" s="1544">
        <v>0</v>
      </c>
      <c r="OT44" s="1544">
        <v>31.688235294117646</v>
      </c>
      <c r="OU44" s="1934">
        <v>97.281390695978089</v>
      </c>
      <c r="OV44" s="1933">
        <v>0</v>
      </c>
      <c r="OW44" s="1544">
        <v>0</v>
      </c>
      <c r="OX44" s="1544">
        <v>15.05943529411765</v>
      </c>
      <c r="OY44" s="1544">
        <v>3.303661046535797</v>
      </c>
      <c r="OZ44" s="1544">
        <v>0</v>
      </c>
      <c r="PA44" s="1544">
        <v>0</v>
      </c>
      <c r="PB44" s="1544">
        <v>12.122823529411768</v>
      </c>
      <c r="PC44" s="1544">
        <v>1.4941226811828208</v>
      </c>
      <c r="PD44" s="1544">
        <v>0</v>
      </c>
      <c r="PE44" s="1544">
        <v>0</v>
      </c>
      <c r="PF44" s="1544">
        <v>42.896235294117652</v>
      </c>
      <c r="PG44" s="1934">
        <v>168.57714372567983</v>
      </c>
      <c r="PH44" s="1933">
        <v>0</v>
      </c>
      <c r="PI44" s="1544">
        <v>0</v>
      </c>
      <c r="PJ44" s="1544">
        <v>11.658917647058825</v>
      </c>
      <c r="PK44" s="1544">
        <v>0.5528414165977249</v>
      </c>
      <c r="PL44" s="1544">
        <v>0</v>
      </c>
      <c r="PM44" s="1544">
        <v>0</v>
      </c>
      <c r="PN44" s="1544">
        <v>9.3854117647058839</v>
      </c>
      <c r="PO44" s="1544">
        <v>0.24566302765924444</v>
      </c>
      <c r="PP44" s="1544">
        <v>0</v>
      </c>
      <c r="PQ44" s="1544">
        <v>0</v>
      </c>
      <c r="PR44" s="1544">
        <v>33.666117647058833</v>
      </c>
      <c r="PS44" s="1934">
        <v>99.401868691054247</v>
      </c>
      <c r="PT44" s="1933">
        <v>0</v>
      </c>
      <c r="PU44" s="1544">
        <v>0</v>
      </c>
      <c r="PV44" s="1544">
        <v>11.456505882352943</v>
      </c>
      <c r="PW44" s="1544">
        <v>1.0618338567324843</v>
      </c>
      <c r="PX44" s="1544">
        <v>0</v>
      </c>
      <c r="PY44" s="1544">
        <v>0</v>
      </c>
      <c r="PZ44" s="1544">
        <v>9.2224705882352964</v>
      </c>
      <c r="QA44" s="1544">
        <v>0.52379048243536397</v>
      </c>
      <c r="QB44" s="1544">
        <v>0</v>
      </c>
      <c r="QC44" s="1544">
        <v>0</v>
      </c>
      <c r="QD44" s="1544">
        <v>33.116705882352946</v>
      </c>
      <c r="QE44" s="1934">
        <v>111.80084199809279</v>
      </c>
      <c r="QF44" s="1933">
        <v>0</v>
      </c>
      <c r="QG44" s="1544">
        <v>0</v>
      </c>
      <c r="QH44" s="1544">
        <v>12.994835294117648</v>
      </c>
      <c r="QI44" s="1544">
        <v>1.2874543535101457</v>
      </c>
      <c r="QJ44" s="1544">
        <v>0</v>
      </c>
      <c r="QK44" s="1544">
        <v>0</v>
      </c>
      <c r="QL44" s="1544">
        <v>10.460823529411766</v>
      </c>
      <c r="QM44" s="1544">
        <v>0.48830095718158834</v>
      </c>
      <c r="QN44" s="1544">
        <v>0</v>
      </c>
      <c r="QO44" s="1544">
        <v>0</v>
      </c>
      <c r="QP44" s="1544">
        <v>37.292235294117653</v>
      </c>
      <c r="QQ44" s="1934">
        <v>165.55370834476017</v>
      </c>
      <c r="QR44" s="1933">
        <v>0</v>
      </c>
      <c r="QS44" s="1544">
        <v>0</v>
      </c>
      <c r="QT44" s="1544">
        <v>11.618435294117647</v>
      </c>
      <c r="QU44" s="1544">
        <v>0.79412638136633007</v>
      </c>
      <c r="QV44" s="1544">
        <v>0</v>
      </c>
      <c r="QW44" s="1544">
        <v>0</v>
      </c>
      <c r="QX44" s="1544">
        <v>9.352823529411765</v>
      </c>
      <c r="QY44" s="1544">
        <v>0.36689599149884022</v>
      </c>
      <c r="QZ44" s="1544">
        <v>0</v>
      </c>
      <c r="RA44" s="1544">
        <v>0</v>
      </c>
      <c r="RB44" s="1544">
        <v>33.556235294117656</v>
      </c>
      <c r="RC44" s="1934">
        <v>106.98880688785746</v>
      </c>
      <c r="RD44" s="1933">
        <v>0</v>
      </c>
      <c r="RE44" s="1544">
        <v>0</v>
      </c>
      <c r="RF44" s="1544">
        <v>11.537470588235294</v>
      </c>
      <c r="RG44" s="1544">
        <v>0.70277247260989306</v>
      </c>
      <c r="RH44" s="1544">
        <v>0</v>
      </c>
      <c r="RI44" s="1544">
        <v>0</v>
      </c>
      <c r="RJ44" s="1544">
        <v>9.2876470588235307</v>
      </c>
      <c r="RK44" s="1544">
        <v>0.3184492339927722</v>
      </c>
      <c r="RL44" s="1544">
        <v>0</v>
      </c>
      <c r="RM44" s="1544">
        <v>0</v>
      </c>
      <c r="RN44" s="1544">
        <v>33.336470588235301</v>
      </c>
      <c r="RO44" s="1934">
        <v>105.51346048969558</v>
      </c>
    </row>
    <row r="45" spans="1:483">
      <c r="A45" s="634">
        <f>Eingabedaten!A47</f>
        <v>12.06</v>
      </c>
      <c r="B45" s="379" t="str">
        <f>Eingabedaten!C47</f>
        <v xml:space="preserve">WC, Bad, Dusche </v>
      </c>
      <c r="C45" s="379"/>
      <c r="D45" s="1933">
        <v>0</v>
      </c>
      <c r="E45" s="1544">
        <v>0</v>
      </c>
      <c r="F45" s="1544">
        <v>12.630494117647061</v>
      </c>
      <c r="G45" s="1544">
        <v>70.750173187306459</v>
      </c>
      <c r="H45" s="1544">
        <v>0</v>
      </c>
      <c r="I45" s="1544">
        <v>0</v>
      </c>
      <c r="J45" s="1544">
        <v>10.167529411764706</v>
      </c>
      <c r="K45" s="1544">
        <v>63.984235916038699</v>
      </c>
      <c r="L45" s="1544">
        <v>0</v>
      </c>
      <c r="M45" s="1544">
        <v>0</v>
      </c>
      <c r="N45" s="1544">
        <v>36.30329411764707</v>
      </c>
      <c r="O45" s="1943">
        <v>169.59176648479766</v>
      </c>
      <c r="P45" s="1933">
        <v>0</v>
      </c>
      <c r="Q45" s="1544">
        <v>0</v>
      </c>
      <c r="R45" s="1544">
        <v>10.727823529411765</v>
      </c>
      <c r="S45" s="1544">
        <v>53.40060277895887</v>
      </c>
      <c r="T45" s="1544">
        <v>0</v>
      </c>
      <c r="U45" s="1544">
        <v>0</v>
      </c>
      <c r="V45" s="1544">
        <v>8.6358823529411772</v>
      </c>
      <c r="W45" s="1544">
        <v>48.968777356504226</v>
      </c>
      <c r="X45" s="1544">
        <v>0</v>
      </c>
      <c r="Y45" s="1544">
        <v>0</v>
      </c>
      <c r="Z45" s="1544">
        <v>31.138823529411766</v>
      </c>
      <c r="AA45" s="1943">
        <v>122.86820052835274</v>
      </c>
      <c r="AB45" s="1933">
        <v>0</v>
      </c>
      <c r="AC45" s="1544">
        <v>0</v>
      </c>
      <c r="AD45" s="1544">
        <v>10.768305882352943</v>
      </c>
      <c r="AE45" s="1544">
        <v>58.910122146178544</v>
      </c>
      <c r="AF45" s="1544">
        <v>0</v>
      </c>
      <c r="AG45" s="1544">
        <v>0</v>
      </c>
      <c r="AH45" s="1544">
        <v>8.6684705882352944</v>
      </c>
      <c r="AI45" s="1544">
        <v>54.418244601216358</v>
      </c>
      <c r="AJ45" s="1544">
        <v>0</v>
      </c>
      <c r="AK45" s="1544">
        <v>0</v>
      </c>
      <c r="AL45" s="1544">
        <v>31.248705882352947</v>
      </c>
      <c r="AM45" s="1943">
        <v>132.16081766854765</v>
      </c>
      <c r="AN45" s="1933">
        <v>0</v>
      </c>
      <c r="AO45" s="1544">
        <v>0</v>
      </c>
      <c r="AP45" s="1544">
        <v>11.13264705882353</v>
      </c>
      <c r="AQ45" s="1544">
        <v>49.091020172430845</v>
      </c>
      <c r="AR45" s="1544">
        <v>0</v>
      </c>
      <c r="AS45" s="1544">
        <v>0</v>
      </c>
      <c r="AT45" s="1544">
        <v>8.961764705882354</v>
      </c>
      <c r="AU45" s="1544">
        <v>44.923492046142464</v>
      </c>
      <c r="AV45" s="1544">
        <v>0</v>
      </c>
      <c r="AW45" s="1544">
        <v>0</v>
      </c>
      <c r="AX45" s="1544">
        <v>32.237647058823534</v>
      </c>
      <c r="AY45" s="1943">
        <v>114.00575733304927</v>
      </c>
      <c r="AZ45" s="1933">
        <v>0</v>
      </c>
      <c r="BA45" s="1544">
        <v>0</v>
      </c>
      <c r="BB45" s="1544">
        <v>11.496988235294118</v>
      </c>
      <c r="BC45" s="1544">
        <v>55.960919810482999</v>
      </c>
      <c r="BD45" s="1544">
        <v>0</v>
      </c>
      <c r="BE45" s="1544">
        <v>0</v>
      </c>
      <c r="BF45" s="1544">
        <v>9.2550588235294118</v>
      </c>
      <c r="BG45" s="1544">
        <v>51.066800421471065</v>
      </c>
      <c r="BH45" s="1544">
        <v>0</v>
      </c>
      <c r="BI45" s="1544">
        <v>0</v>
      </c>
      <c r="BJ45" s="1544">
        <v>33.226588235294116</v>
      </c>
      <c r="BK45" s="1943">
        <v>129.03452666823489</v>
      </c>
      <c r="BL45" s="1933">
        <v>0</v>
      </c>
      <c r="BM45" s="1544">
        <v>0</v>
      </c>
      <c r="BN45" s="1544">
        <v>11.375541176470591</v>
      </c>
      <c r="BO45" s="1544">
        <v>57.553060190022251</v>
      </c>
      <c r="BP45" s="1544">
        <v>0</v>
      </c>
      <c r="BQ45" s="1544">
        <v>0</v>
      </c>
      <c r="BR45" s="1544">
        <v>9.1572941176470604</v>
      </c>
      <c r="BS45" s="1544">
        <v>52.909917273541069</v>
      </c>
      <c r="BT45" s="1544">
        <v>0</v>
      </c>
      <c r="BU45" s="1544">
        <v>0</v>
      </c>
      <c r="BV45" s="1544">
        <v>32.896941176470591</v>
      </c>
      <c r="BW45" s="1943">
        <v>129.18147671794981</v>
      </c>
      <c r="BX45" s="1933">
        <v>0</v>
      </c>
      <c r="BY45" s="1544">
        <v>0</v>
      </c>
      <c r="BZ45" s="1544">
        <v>11.416023529411765</v>
      </c>
      <c r="CA45" s="1544">
        <v>52.447144884304805</v>
      </c>
      <c r="CB45" s="1544">
        <v>0</v>
      </c>
      <c r="CC45" s="1544">
        <v>0</v>
      </c>
      <c r="CD45" s="1544">
        <v>9.1898823529411775</v>
      </c>
      <c r="CE45" s="1544">
        <v>47.80473546979222</v>
      </c>
      <c r="CF45" s="1544">
        <v>0</v>
      </c>
      <c r="CG45" s="1544">
        <v>0</v>
      </c>
      <c r="CH45" s="1544">
        <v>33.006823529411776</v>
      </c>
      <c r="CI45" s="1943">
        <v>123.46124264044838</v>
      </c>
      <c r="CJ45" s="1933">
        <v>0</v>
      </c>
      <c r="CK45" s="1544">
        <v>0</v>
      </c>
      <c r="CL45" s="1544">
        <v>13.804482352941177</v>
      </c>
      <c r="CM45" s="1544">
        <v>75.885725619332462</v>
      </c>
      <c r="CN45" s="1544">
        <v>0</v>
      </c>
      <c r="CO45" s="1544">
        <v>0</v>
      </c>
      <c r="CP45" s="1544">
        <v>11.112588235294119</v>
      </c>
      <c r="CQ45" s="1544">
        <v>67.540852805730069</v>
      </c>
      <c r="CR45" s="1544">
        <v>0</v>
      </c>
      <c r="CS45" s="1544">
        <v>0</v>
      </c>
      <c r="CT45" s="1544">
        <v>39.48988235294118</v>
      </c>
      <c r="CU45" s="1943">
        <v>186.31132612377959</v>
      </c>
      <c r="CV45" s="1933">
        <v>0</v>
      </c>
      <c r="CW45" s="1544">
        <v>0</v>
      </c>
      <c r="CX45" s="1544">
        <v>12.428082352941177</v>
      </c>
      <c r="CY45" s="1544">
        <v>63.384345966201167</v>
      </c>
      <c r="CZ45" s="1544">
        <v>0</v>
      </c>
      <c r="DA45" s="1544">
        <v>0</v>
      </c>
      <c r="DB45" s="1544">
        <v>10.004588235294118</v>
      </c>
      <c r="DC45" s="1544">
        <v>57.098055461798253</v>
      </c>
      <c r="DD45" s="1544">
        <v>0</v>
      </c>
      <c r="DE45" s="1544">
        <v>0</v>
      </c>
      <c r="DF45" s="1544">
        <v>35.753882352941183</v>
      </c>
      <c r="DG45" s="1943">
        <v>154.73883982555634</v>
      </c>
      <c r="DH45" s="1933">
        <v>0</v>
      </c>
      <c r="DI45" s="1544">
        <v>0</v>
      </c>
      <c r="DJ45" s="1544">
        <v>13.035317647058825</v>
      </c>
      <c r="DK45" s="1544">
        <v>74.452666176542834</v>
      </c>
      <c r="DL45" s="1544">
        <v>0</v>
      </c>
      <c r="DM45" s="1544">
        <v>0</v>
      </c>
      <c r="DN45" s="1544">
        <v>10.493411764705884</v>
      </c>
      <c r="DO45" s="1544">
        <v>67.918914369502261</v>
      </c>
      <c r="DP45" s="1544">
        <v>0</v>
      </c>
      <c r="DQ45" s="1544">
        <v>0</v>
      </c>
      <c r="DR45" s="1544">
        <v>37.40211764705883</v>
      </c>
      <c r="DS45" s="1943">
        <v>172.06954178303596</v>
      </c>
      <c r="DT45" s="1933">
        <v>0</v>
      </c>
      <c r="DU45" s="1544">
        <v>0</v>
      </c>
      <c r="DV45" s="1544">
        <v>10.201552941176471</v>
      </c>
      <c r="DW45" s="1544">
        <v>47.482902521380289</v>
      </c>
      <c r="DX45" s="1544">
        <v>0</v>
      </c>
      <c r="DY45" s="1544">
        <v>0</v>
      </c>
      <c r="DZ45" s="1544">
        <v>8.2122352941176473</v>
      </c>
      <c r="EA45" s="1544">
        <v>43.355118727100411</v>
      </c>
      <c r="EB45" s="1544">
        <v>0</v>
      </c>
      <c r="EC45" s="1544">
        <v>0</v>
      </c>
      <c r="ED45" s="1544">
        <v>29.710352941176474</v>
      </c>
      <c r="EE45" s="1943">
        <v>110.67610256562543</v>
      </c>
      <c r="EF45" s="1933">
        <v>0</v>
      </c>
      <c r="EG45" s="1544">
        <v>0</v>
      </c>
      <c r="EH45" s="1544">
        <v>11.82084705882353</v>
      </c>
      <c r="EI45" s="1544">
        <v>68.455718967598145</v>
      </c>
      <c r="EJ45" s="1544">
        <v>0</v>
      </c>
      <c r="EK45" s="1544">
        <v>0</v>
      </c>
      <c r="EL45" s="1544">
        <v>9.5157647058823542</v>
      </c>
      <c r="EM45" s="1544">
        <v>63.327449510803319</v>
      </c>
      <c r="EN45" s="1544">
        <v>0</v>
      </c>
      <c r="EO45" s="1544">
        <v>0</v>
      </c>
      <c r="EP45" s="1544">
        <v>34.105647058823536</v>
      </c>
      <c r="EQ45" s="1943">
        <v>149.85227061946168</v>
      </c>
      <c r="ER45" s="1933">
        <v>0</v>
      </c>
      <c r="ES45" s="1544">
        <v>0</v>
      </c>
      <c r="ET45" s="1544">
        <v>14.735576470588235</v>
      </c>
      <c r="EU45" s="1544">
        <v>87.316152938487917</v>
      </c>
      <c r="EV45" s="1544">
        <v>0</v>
      </c>
      <c r="EW45" s="1544">
        <v>0</v>
      </c>
      <c r="EX45" s="1544">
        <v>11.862117647058824</v>
      </c>
      <c r="EY45" s="1544">
        <v>76.420745633697393</v>
      </c>
      <c r="EZ45" s="1544">
        <v>0</v>
      </c>
      <c r="FA45" s="1544">
        <v>0</v>
      </c>
      <c r="FB45" s="1544">
        <v>42.01717647058824</v>
      </c>
      <c r="FC45" s="1943">
        <v>218.37983536944949</v>
      </c>
      <c r="FD45" s="1933">
        <v>0</v>
      </c>
      <c r="FE45" s="1544">
        <v>0</v>
      </c>
      <c r="FF45" s="1544">
        <v>11.335058823529414</v>
      </c>
      <c r="FG45" s="1544">
        <v>58.020863974101154</v>
      </c>
      <c r="FH45" s="1544">
        <v>0</v>
      </c>
      <c r="FI45" s="1544">
        <v>0</v>
      </c>
      <c r="FJ45" s="1544">
        <v>9.1247058823529414</v>
      </c>
      <c r="FK45" s="1544">
        <v>53.200537934419494</v>
      </c>
      <c r="FL45" s="1544">
        <v>0</v>
      </c>
      <c r="FM45" s="1544">
        <v>0</v>
      </c>
      <c r="FN45" s="1544">
        <v>32.787058823529414</v>
      </c>
      <c r="FO45" s="1943">
        <v>131.13481518854485</v>
      </c>
      <c r="FP45" s="1933">
        <v>0</v>
      </c>
      <c r="FQ45" s="1544">
        <v>0</v>
      </c>
      <c r="FR45" s="1544">
        <v>11.335058823529414</v>
      </c>
      <c r="FS45" s="1544">
        <v>60.285310357611351</v>
      </c>
      <c r="FT45" s="1544">
        <v>0</v>
      </c>
      <c r="FU45" s="1544">
        <v>0</v>
      </c>
      <c r="FV45" s="1544">
        <v>9.1247058823529414</v>
      </c>
      <c r="FW45" s="1544">
        <v>55.149698097614021</v>
      </c>
      <c r="FX45" s="1544">
        <v>0</v>
      </c>
      <c r="FY45" s="1544">
        <v>0</v>
      </c>
      <c r="FZ45" s="1544">
        <v>32.787058823529414</v>
      </c>
      <c r="GA45" s="1943">
        <v>137.72895322006107</v>
      </c>
      <c r="GB45" s="1933">
        <v>0</v>
      </c>
      <c r="GC45" s="1544">
        <v>0</v>
      </c>
      <c r="GD45" s="1544">
        <v>12.347117647058823</v>
      </c>
      <c r="GE45" s="1544">
        <v>65.000908730353174</v>
      </c>
      <c r="GF45" s="1544">
        <v>0</v>
      </c>
      <c r="GG45" s="1544">
        <v>0</v>
      </c>
      <c r="GH45" s="1544">
        <v>9.9394117647058824</v>
      </c>
      <c r="GI45" s="1544">
        <v>58.728727542983535</v>
      </c>
      <c r="GJ45" s="1544">
        <v>0</v>
      </c>
      <c r="GK45" s="1544">
        <v>0</v>
      </c>
      <c r="GL45" s="1544">
        <v>35.534117647058828</v>
      </c>
      <c r="GM45" s="1943">
        <v>154.74507244480384</v>
      </c>
      <c r="GN45" s="1933">
        <v>0</v>
      </c>
      <c r="GO45" s="1544">
        <v>0</v>
      </c>
      <c r="GP45" s="1544">
        <v>12.387600000000001</v>
      </c>
      <c r="GQ45" s="1544">
        <v>72.835543401544939</v>
      </c>
      <c r="GR45" s="1544">
        <v>0</v>
      </c>
      <c r="GS45" s="1544">
        <v>0</v>
      </c>
      <c r="GT45" s="1544">
        <v>9.9720000000000013</v>
      </c>
      <c r="GU45" s="1544">
        <v>66.212303523239541</v>
      </c>
      <c r="GV45" s="1544">
        <v>0</v>
      </c>
      <c r="GW45" s="1544">
        <v>0</v>
      </c>
      <c r="GX45" s="1544">
        <v>35.644000000000005</v>
      </c>
      <c r="GY45" s="1943">
        <v>169.05794904930374</v>
      </c>
      <c r="GZ45" s="1933">
        <v>0</v>
      </c>
      <c r="HA45" s="1544">
        <v>0</v>
      </c>
      <c r="HB45" s="1544">
        <v>9.0275647058823534</v>
      </c>
      <c r="HC45" s="1544">
        <v>38.599204517762026</v>
      </c>
      <c r="HD45" s="1544">
        <v>0</v>
      </c>
      <c r="HE45" s="1544">
        <v>0</v>
      </c>
      <c r="HF45" s="1544">
        <v>7.267176470588236</v>
      </c>
      <c r="HG45" s="1544">
        <v>35.228887763372413</v>
      </c>
      <c r="HH45" s="1544">
        <v>0</v>
      </c>
      <c r="HI45" s="1544">
        <v>0</v>
      </c>
      <c r="HJ45" s="1544">
        <v>26.52376470588236</v>
      </c>
      <c r="HK45" s="1943">
        <v>93.129807309311346</v>
      </c>
      <c r="HL45" s="1933">
        <v>0</v>
      </c>
      <c r="HM45" s="1544">
        <v>0</v>
      </c>
      <c r="HN45" s="1544">
        <v>8.8251529411764711</v>
      </c>
      <c r="HO45" s="1544">
        <v>38.071405385137155</v>
      </c>
      <c r="HP45" s="1544">
        <v>0</v>
      </c>
      <c r="HQ45" s="1544">
        <v>0</v>
      </c>
      <c r="HR45" s="1544">
        <v>7.1042352941176476</v>
      </c>
      <c r="HS45" s="1544">
        <v>34.692184968936104</v>
      </c>
      <c r="HT45" s="1544">
        <v>0</v>
      </c>
      <c r="HU45" s="1544">
        <v>0</v>
      </c>
      <c r="HV45" s="1544">
        <v>25.974352941176477</v>
      </c>
      <c r="HW45" s="1943">
        <v>92.291089624449242</v>
      </c>
      <c r="HX45" s="1933">
        <v>0</v>
      </c>
      <c r="HY45" s="1544">
        <v>0</v>
      </c>
      <c r="HZ45" s="1544">
        <v>11.092164705882354</v>
      </c>
      <c r="IA45" s="1544">
        <v>57.243972913706088</v>
      </c>
      <c r="IB45" s="1544">
        <v>0</v>
      </c>
      <c r="IC45" s="1544">
        <v>0</v>
      </c>
      <c r="ID45" s="1544">
        <v>8.929176470588235</v>
      </c>
      <c r="IE45" s="1544">
        <v>52.585589873884388</v>
      </c>
      <c r="IF45" s="1544">
        <v>0</v>
      </c>
      <c r="IG45" s="1544">
        <v>0</v>
      </c>
      <c r="IH45" s="1544">
        <v>32.127764705882356</v>
      </c>
      <c r="II45" s="1943">
        <v>129.6166467897213</v>
      </c>
      <c r="IJ45" s="1933">
        <v>0</v>
      </c>
      <c r="IK45" s="1544">
        <v>0</v>
      </c>
      <c r="IL45" s="1544">
        <v>9.7157647058823535</v>
      </c>
      <c r="IM45" s="1544">
        <v>44.188962645034593</v>
      </c>
      <c r="IN45" s="1544">
        <v>0</v>
      </c>
      <c r="IO45" s="1544">
        <v>0</v>
      </c>
      <c r="IP45" s="1544">
        <v>7.8211764705882363</v>
      </c>
      <c r="IQ45" s="1544">
        <v>40.319023847777508</v>
      </c>
      <c r="IR45" s="1544">
        <v>0</v>
      </c>
      <c r="IS45" s="1544">
        <v>0</v>
      </c>
      <c r="IT45" s="1544">
        <v>28.391764705882359</v>
      </c>
      <c r="IU45" s="1943">
        <v>103.6592181887351</v>
      </c>
      <c r="IV45" s="1933">
        <v>0</v>
      </c>
      <c r="IW45" s="1544">
        <v>0</v>
      </c>
      <c r="IX45" s="1544">
        <v>12.387600000000001</v>
      </c>
      <c r="IY45" s="1544">
        <v>59.089983455280688</v>
      </c>
      <c r="IZ45" s="1544">
        <v>0</v>
      </c>
      <c r="JA45" s="1544">
        <v>0</v>
      </c>
      <c r="JB45" s="1544">
        <v>9.9720000000000013</v>
      </c>
      <c r="JC45" s="1544">
        <v>52.540222855245808</v>
      </c>
      <c r="JD45" s="1544">
        <v>0</v>
      </c>
      <c r="JE45" s="1544">
        <v>0</v>
      </c>
      <c r="JF45" s="1544">
        <v>35.644000000000005</v>
      </c>
      <c r="JG45" s="1943">
        <v>149.17517413373713</v>
      </c>
      <c r="JH45" s="1933">
        <v>0</v>
      </c>
      <c r="JI45" s="1544">
        <v>0</v>
      </c>
      <c r="JJ45" s="1544">
        <v>10.687341176470589</v>
      </c>
      <c r="JK45" s="1544">
        <v>53.235828415255163</v>
      </c>
      <c r="JL45" s="1544">
        <v>0</v>
      </c>
      <c r="JM45" s="1544">
        <v>0</v>
      </c>
      <c r="JN45" s="1544">
        <v>8.6032941176470601</v>
      </c>
      <c r="JO45" s="1544">
        <v>48.905030337017877</v>
      </c>
      <c r="JP45" s="1544">
        <v>0</v>
      </c>
      <c r="JQ45" s="1544">
        <v>0</v>
      </c>
      <c r="JR45" s="1544">
        <v>31.028941176470589</v>
      </c>
      <c r="JS45" s="1943">
        <v>121.21363271702683</v>
      </c>
      <c r="JT45" s="1933">
        <v>0</v>
      </c>
      <c r="JU45" s="1544">
        <v>0</v>
      </c>
      <c r="JV45" s="1544">
        <v>11.213611764705885</v>
      </c>
      <c r="JW45" s="1544">
        <v>54.548360573079677</v>
      </c>
      <c r="JX45" s="1544">
        <v>0</v>
      </c>
      <c r="JY45" s="1544">
        <v>0</v>
      </c>
      <c r="JZ45" s="1544">
        <v>9.02694117647059</v>
      </c>
      <c r="KA45" s="1544">
        <v>49.83202473115071</v>
      </c>
      <c r="KB45" s="1544">
        <v>0</v>
      </c>
      <c r="KC45" s="1544">
        <v>0</v>
      </c>
      <c r="KD45" s="1544">
        <v>32.457411764705888</v>
      </c>
      <c r="KE45" s="1943">
        <v>125.3152468741597</v>
      </c>
      <c r="KF45" s="1933">
        <v>0</v>
      </c>
      <c r="KG45" s="1544">
        <v>0</v>
      </c>
      <c r="KH45" s="1544">
        <v>11.416023529411765</v>
      </c>
      <c r="KI45" s="1544">
        <v>67.518904503409274</v>
      </c>
      <c r="KJ45" s="1544">
        <v>0</v>
      </c>
      <c r="KK45" s="1544">
        <v>0</v>
      </c>
      <c r="KL45" s="1544">
        <v>9.1898823529411775</v>
      </c>
      <c r="KM45" s="1544">
        <v>61.799508505584271</v>
      </c>
      <c r="KN45" s="1544">
        <v>0</v>
      </c>
      <c r="KO45" s="1544">
        <v>0</v>
      </c>
      <c r="KP45" s="1544">
        <v>33.006823529411776</v>
      </c>
      <c r="KQ45" s="1943">
        <v>152.78496051797029</v>
      </c>
      <c r="KR45" s="1933">
        <v>0</v>
      </c>
      <c r="KS45" s="1544">
        <v>0</v>
      </c>
      <c r="KT45" s="1544">
        <v>10.242035294117649</v>
      </c>
      <c r="KU45" s="1544">
        <v>45.614795283940587</v>
      </c>
      <c r="KV45" s="1544">
        <v>0</v>
      </c>
      <c r="KW45" s="1544">
        <v>0</v>
      </c>
      <c r="KX45" s="1544">
        <v>8.2448235294117644</v>
      </c>
      <c r="KY45" s="1544">
        <v>41.662095197878514</v>
      </c>
      <c r="KZ45" s="1544">
        <v>0</v>
      </c>
      <c r="LA45" s="1544">
        <v>0</v>
      </c>
      <c r="LB45" s="1544">
        <v>29.820235294117655</v>
      </c>
      <c r="LC45" s="1943">
        <v>106.71010174599532</v>
      </c>
      <c r="LD45" s="1933">
        <v>0</v>
      </c>
      <c r="LE45" s="1544">
        <v>0</v>
      </c>
      <c r="LF45" s="1544">
        <v>11.658917647058825</v>
      </c>
      <c r="LG45" s="1544">
        <v>68.58170313912629</v>
      </c>
      <c r="LH45" s="1544">
        <v>0</v>
      </c>
      <c r="LI45" s="1544">
        <v>0</v>
      </c>
      <c r="LJ45" s="1544">
        <v>9.3854117647058839</v>
      </c>
      <c r="LK45" s="1544">
        <v>62.440719493851148</v>
      </c>
      <c r="LL45" s="1544">
        <v>0</v>
      </c>
      <c r="LM45" s="1544">
        <v>0</v>
      </c>
      <c r="LN45" s="1544">
        <v>33.666117647058833</v>
      </c>
      <c r="LO45" s="1943">
        <v>160.21529783118405</v>
      </c>
      <c r="LP45" s="1933">
        <v>0</v>
      </c>
      <c r="LQ45" s="1544">
        <v>0</v>
      </c>
      <c r="LR45" s="1544">
        <v>11.780364705882356</v>
      </c>
      <c r="LS45" s="1544">
        <v>57.886372260207168</v>
      </c>
      <c r="LT45" s="1544">
        <v>0</v>
      </c>
      <c r="LU45" s="1544">
        <v>0</v>
      </c>
      <c r="LV45" s="1544">
        <v>9.4831764705882371</v>
      </c>
      <c r="LW45" s="1544">
        <v>53.024151802102139</v>
      </c>
      <c r="LX45" s="1544">
        <v>0</v>
      </c>
      <c r="LY45" s="1544">
        <v>0</v>
      </c>
      <c r="LZ45" s="1544">
        <v>33.995764705882358</v>
      </c>
      <c r="MA45" s="1943">
        <v>131.93207294642886</v>
      </c>
      <c r="MB45" s="1933">
        <v>0</v>
      </c>
      <c r="MC45" s="1544">
        <v>0</v>
      </c>
      <c r="MD45" s="1544">
        <v>15.626188235294119</v>
      </c>
      <c r="ME45" s="1544">
        <v>83.107919679114332</v>
      </c>
      <c r="MF45" s="1544">
        <v>0</v>
      </c>
      <c r="MG45" s="1544">
        <v>0</v>
      </c>
      <c r="MH45" s="1544">
        <v>12.579058823529412</v>
      </c>
      <c r="MI45" s="1544">
        <v>73.610447888183387</v>
      </c>
      <c r="MJ45" s="1544">
        <v>0</v>
      </c>
      <c r="MK45" s="1544">
        <v>0</v>
      </c>
      <c r="ML45" s="1544">
        <v>44.434588235294129</v>
      </c>
      <c r="MM45" s="1943">
        <v>202.88997005093688</v>
      </c>
      <c r="MN45" s="1933">
        <v>0</v>
      </c>
      <c r="MO45" s="1544">
        <v>0</v>
      </c>
      <c r="MP45" s="1544">
        <v>12.913870588235294</v>
      </c>
      <c r="MQ45" s="1544">
        <v>83.718179575462443</v>
      </c>
      <c r="MR45" s="1544">
        <v>0</v>
      </c>
      <c r="MS45" s="1544">
        <v>0</v>
      </c>
      <c r="MT45" s="1544">
        <v>10.395647058823529</v>
      </c>
      <c r="MU45" s="1544">
        <v>75.437118875990947</v>
      </c>
      <c r="MV45" s="1544">
        <v>0</v>
      </c>
      <c r="MW45" s="1544">
        <v>0</v>
      </c>
      <c r="MX45" s="1544">
        <v>37.072470588235291</v>
      </c>
      <c r="MY45" s="1943">
        <v>196.18411237186581</v>
      </c>
      <c r="MZ45" s="1933">
        <v>0</v>
      </c>
      <c r="NA45" s="1544">
        <v>0</v>
      </c>
      <c r="NB45" s="1544">
        <v>12.266152941176472</v>
      </c>
      <c r="NC45" s="1544">
        <v>59.594937795606157</v>
      </c>
      <c r="ND45" s="1544">
        <v>0</v>
      </c>
      <c r="NE45" s="1544">
        <v>0</v>
      </c>
      <c r="NF45" s="1544">
        <v>9.8742352941176481</v>
      </c>
      <c r="NG45" s="1544">
        <v>54.30003502507175</v>
      </c>
      <c r="NH45" s="1544">
        <v>0</v>
      </c>
      <c r="NI45" s="1544">
        <v>0</v>
      </c>
      <c r="NJ45" s="1544">
        <v>35.31435294117648</v>
      </c>
      <c r="NK45" s="1943">
        <v>138.00600061146602</v>
      </c>
      <c r="NL45" s="1933">
        <v>0</v>
      </c>
      <c r="NM45" s="1544">
        <v>0</v>
      </c>
      <c r="NN45" s="1544">
        <v>11.537470588235294</v>
      </c>
      <c r="NO45" s="1544">
        <v>59.622644225495904</v>
      </c>
      <c r="NP45" s="1544">
        <v>0</v>
      </c>
      <c r="NQ45" s="1544">
        <v>0</v>
      </c>
      <c r="NR45" s="1544">
        <v>9.2876470588235307</v>
      </c>
      <c r="NS45" s="1544">
        <v>54.804867437734131</v>
      </c>
      <c r="NT45" s="1544">
        <v>0</v>
      </c>
      <c r="NU45" s="1544">
        <v>0</v>
      </c>
      <c r="NV45" s="1544">
        <v>33.336470588235301</v>
      </c>
      <c r="NW45" s="1943">
        <v>133.36283047464468</v>
      </c>
      <c r="NX45" s="1933">
        <v>0</v>
      </c>
      <c r="NY45" s="1544">
        <v>0</v>
      </c>
      <c r="NZ45" s="1544">
        <v>13.359176470588237</v>
      </c>
      <c r="OA45" s="1544">
        <v>67.807761849451424</v>
      </c>
      <c r="OB45" s="1544">
        <v>0</v>
      </c>
      <c r="OC45" s="1544">
        <v>0</v>
      </c>
      <c r="OD45" s="1544">
        <v>10.754117647058825</v>
      </c>
      <c r="OE45" s="1544">
        <v>60.809369208299685</v>
      </c>
      <c r="OF45" s="1544">
        <v>0</v>
      </c>
      <c r="OG45" s="1544">
        <v>0</v>
      </c>
      <c r="OH45" s="1544">
        <v>38.281176470588235</v>
      </c>
      <c r="OI45" s="1934">
        <v>164.16851884916619</v>
      </c>
      <c r="OJ45" s="1933">
        <v>0</v>
      </c>
      <c r="OK45" s="1544">
        <v>0</v>
      </c>
      <c r="OL45" s="1544">
        <v>10.930235294117647</v>
      </c>
      <c r="OM45" s="1544">
        <v>49.548149856044972</v>
      </c>
      <c r="ON45" s="1544">
        <v>0</v>
      </c>
      <c r="OO45" s="1544">
        <v>0</v>
      </c>
      <c r="OP45" s="1544">
        <v>8.7988235294117665</v>
      </c>
      <c r="OQ45" s="1544">
        <v>45.060772159630297</v>
      </c>
      <c r="OR45" s="1544">
        <v>0</v>
      </c>
      <c r="OS45" s="1544">
        <v>0</v>
      </c>
      <c r="OT45" s="1544">
        <v>31.688235294117646</v>
      </c>
      <c r="OU45" s="1934">
        <v>115.53126752594392</v>
      </c>
      <c r="OV45" s="1933">
        <v>0</v>
      </c>
      <c r="OW45" s="1544">
        <v>0</v>
      </c>
      <c r="OX45" s="1544">
        <v>15.05943529411765</v>
      </c>
      <c r="OY45" s="1544">
        <v>74.841508666380619</v>
      </c>
      <c r="OZ45" s="1544">
        <v>0</v>
      </c>
      <c r="PA45" s="1544">
        <v>0</v>
      </c>
      <c r="PB45" s="1544">
        <v>12.122823529411768</v>
      </c>
      <c r="PC45" s="1544">
        <v>66.74793087488429</v>
      </c>
      <c r="PD45" s="1544">
        <v>0</v>
      </c>
      <c r="PE45" s="1544">
        <v>0</v>
      </c>
      <c r="PF45" s="1544">
        <v>42.896235294117652</v>
      </c>
      <c r="PG45" s="1934">
        <v>181.8174655746015</v>
      </c>
      <c r="PH45" s="1933">
        <v>0</v>
      </c>
      <c r="PI45" s="1544">
        <v>0</v>
      </c>
      <c r="PJ45" s="1544">
        <v>11.658917647058825</v>
      </c>
      <c r="PK45" s="1544">
        <v>53.015033648714422</v>
      </c>
      <c r="PL45" s="1544">
        <v>0</v>
      </c>
      <c r="PM45" s="1544">
        <v>0</v>
      </c>
      <c r="PN45" s="1544">
        <v>9.3854117647058839</v>
      </c>
      <c r="PO45" s="1544">
        <v>48.567016783030539</v>
      </c>
      <c r="PP45" s="1544">
        <v>0</v>
      </c>
      <c r="PQ45" s="1544">
        <v>0</v>
      </c>
      <c r="PR45" s="1544">
        <v>33.666117647058833</v>
      </c>
      <c r="PS45" s="1934">
        <v>122.00613463532876</v>
      </c>
      <c r="PT45" s="1933">
        <v>0</v>
      </c>
      <c r="PU45" s="1544">
        <v>0</v>
      </c>
      <c r="PV45" s="1544">
        <v>11.456505882352943</v>
      </c>
      <c r="PW45" s="1544">
        <v>57.97286104411414</v>
      </c>
      <c r="PX45" s="1544">
        <v>0</v>
      </c>
      <c r="PY45" s="1544">
        <v>0</v>
      </c>
      <c r="PZ45" s="1544">
        <v>9.2224705882352964</v>
      </c>
      <c r="QA45" s="1544">
        <v>53.043019959321242</v>
      </c>
      <c r="QB45" s="1544">
        <v>0</v>
      </c>
      <c r="QC45" s="1544">
        <v>0</v>
      </c>
      <c r="QD45" s="1544">
        <v>33.116705882352946</v>
      </c>
      <c r="QE45" s="1934">
        <v>131.78303031183447</v>
      </c>
      <c r="QF45" s="1933">
        <v>0</v>
      </c>
      <c r="QG45" s="1544">
        <v>0</v>
      </c>
      <c r="QH45" s="1544">
        <v>12.994835294117648</v>
      </c>
      <c r="QI45" s="1544">
        <v>78.390924682312473</v>
      </c>
      <c r="QJ45" s="1544">
        <v>0</v>
      </c>
      <c r="QK45" s="1544">
        <v>0</v>
      </c>
      <c r="QL45" s="1544">
        <v>10.460823529411766</v>
      </c>
      <c r="QM45" s="1544">
        <v>70.422839365751543</v>
      </c>
      <c r="QN45" s="1544">
        <v>0</v>
      </c>
      <c r="QO45" s="1544">
        <v>0</v>
      </c>
      <c r="QP45" s="1544">
        <v>37.292235294117653</v>
      </c>
      <c r="QQ45" s="1934">
        <v>187.22438099069299</v>
      </c>
      <c r="QR45" s="1933">
        <v>0</v>
      </c>
      <c r="QS45" s="1544">
        <v>0</v>
      </c>
      <c r="QT45" s="1544">
        <v>11.618435294117647</v>
      </c>
      <c r="QU45" s="1544">
        <v>55.513686063098326</v>
      </c>
      <c r="QV45" s="1544">
        <v>0</v>
      </c>
      <c r="QW45" s="1544">
        <v>0</v>
      </c>
      <c r="QX45" s="1544">
        <v>9.352823529411765</v>
      </c>
      <c r="QY45" s="1544">
        <v>50.747367865914093</v>
      </c>
      <c r="QZ45" s="1544">
        <v>0</v>
      </c>
      <c r="RA45" s="1544">
        <v>0</v>
      </c>
      <c r="RB45" s="1544">
        <v>33.556235294117656</v>
      </c>
      <c r="RC45" s="1934">
        <v>127.04398524274549</v>
      </c>
      <c r="RD45" s="1933">
        <v>0</v>
      </c>
      <c r="RE45" s="1544">
        <v>0</v>
      </c>
      <c r="RF45" s="1544">
        <v>11.537470588235294</v>
      </c>
      <c r="RG45" s="1544">
        <v>54.916232691300749</v>
      </c>
      <c r="RH45" s="1544">
        <v>0</v>
      </c>
      <c r="RI45" s="1544">
        <v>0</v>
      </c>
      <c r="RJ45" s="1544">
        <v>9.2876470588235307</v>
      </c>
      <c r="RK45" s="1544">
        <v>50.184980295071675</v>
      </c>
      <c r="RL45" s="1544">
        <v>0</v>
      </c>
      <c r="RM45" s="1544">
        <v>0</v>
      </c>
      <c r="RN45" s="1544">
        <v>33.336470588235301</v>
      </c>
      <c r="RO45" s="1934">
        <v>126.4398304884695</v>
      </c>
    </row>
    <row r="46" spans="1:483">
      <c r="A46" s="633">
        <f>Eingabedaten!A48</f>
        <v>12.07</v>
      </c>
      <c r="B46" s="379" t="str">
        <f>Eingabedaten!C48</f>
        <v>WC</v>
      </c>
      <c r="C46" s="379"/>
      <c r="D46" s="1933">
        <v>0</v>
      </c>
      <c r="E46" s="1544">
        <v>0</v>
      </c>
      <c r="F46" s="1544">
        <v>28.54473529411765</v>
      </c>
      <c r="G46" s="1544">
        <v>38.269573649982803</v>
      </c>
      <c r="H46" s="1544">
        <v>0</v>
      </c>
      <c r="I46" s="1544">
        <v>0</v>
      </c>
      <c r="J46" s="1544">
        <v>21.716323529411767</v>
      </c>
      <c r="K46" s="1544">
        <v>22.513353469164265</v>
      </c>
      <c r="L46" s="1544">
        <v>0</v>
      </c>
      <c r="M46" s="1544">
        <v>0</v>
      </c>
      <c r="N46" s="1544">
        <v>71.967735294117645</v>
      </c>
      <c r="O46" s="1943">
        <v>236.32513231158055</v>
      </c>
      <c r="P46" s="1933">
        <v>0</v>
      </c>
      <c r="Q46" s="1544">
        <v>0</v>
      </c>
      <c r="R46" s="1544">
        <v>24.352058823529415</v>
      </c>
      <c r="S46" s="1544">
        <v>39.772048536209915</v>
      </c>
      <c r="T46" s="1544">
        <v>0</v>
      </c>
      <c r="U46" s="1544">
        <v>0</v>
      </c>
      <c r="V46" s="1544">
        <v>18.451205882352941</v>
      </c>
      <c r="W46" s="1544">
        <v>27.724752067939253</v>
      </c>
      <c r="X46" s="1544">
        <v>0</v>
      </c>
      <c r="Y46" s="1544">
        <v>0</v>
      </c>
      <c r="Z46" s="1544">
        <v>61.876558823529422</v>
      </c>
      <c r="AA46" s="1943">
        <v>178.28166443324747</v>
      </c>
      <c r="AB46" s="1933">
        <v>0</v>
      </c>
      <c r="AC46" s="1544">
        <v>0</v>
      </c>
      <c r="AD46" s="1544">
        <v>24.441264705882354</v>
      </c>
      <c r="AE46" s="1544">
        <v>48.530536502998558</v>
      </c>
      <c r="AF46" s="1544">
        <v>0</v>
      </c>
      <c r="AG46" s="1544">
        <v>0</v>
      </c>
      <c r="AH46" s="1544">
        <v>18.520676470588235</v>
      </c>
      <c r="AI46" s="1544">
        <v>35.121175806242562</v>
      </c>
      <c r="AJ46" s="1544">
        <v>0</v>
      </c>
      <c r="AK46" s="1544">
        <v>0</v>
      </c>
      <c r="AL46" s="1544">
        <v>62.091264705882367</v>
      </c>
      <c r="AM46" s="1943">
        <v>197.29984657205361</v>
      </c>
      <c r="AN46" s="1933">
        <v>0</v>
      </c>
      <c r="AO46" s="1544">
        <v>0</v>
      </c>
      <c r="AP46" s="1544">
        <v>25.244117647058822</v>
      </c>
      <c r="AQ46" s="1544">
        <v>35.341030101815591</v>
      </c>
      <c r="AR46" s="1544">
        <v>0</v>
      </c>
      <c r="AS46" s="1544">
        <v>0</v>
      </c>
      <c r="AT46" s="1544">
        <v>19.145911764705879</v>
      </c>
      <c r="AU46" s="1544">
        <v>24.468870229071676</v>
      </c>
      <c r="AV46" s="1544">
        <v>0</v>
      </c>
      <c r="AW46" s="1544">
        <v>0</v>
      </c>
      <c r="AX46" s="1544">
        <v>64.023617647058828</v>
      </c>
      <c r="AY46" s="1943">
        <v>163.75837476152634</v>
      </c>
      <c r="AZ46" s="1933">
        <v>0</v>
      </c>
      <c r="BA46" s="1544">
        <v>0</v>
      </c>
      <c r="BB46" s="1544">
        <v>26.046970588235297</v>
      </c>
      <c r="BC46" s="1544">
        <v>40.224141534777829</v>
      </c>
      <c r="BD46" s="1544">
        <v>0</v>
      </c>
      <c r="BE46" s="1544">
        <v>0</v>
      </c>
      <c r="BF46" s="1544">
        <v>19.77114705882353</v>
      </c>
      <c r="BG46" s="1544">
        <v>27.487932790402571</v>
      </c>
      <c r="BH46" s="1544">
        <v>0</v>
      </c>
      <c r="BI46" s="1544">
        <v>0</v>
      </c>
      <c r="BJ46" s="1544">
        <v>65.955970588235303</v>
      </c>
      <c r="BK46" s="1943">
        <v>185.43072207688539</v>
      </c>
      <c r="BL46" s="1933">
        <v>0</v>
      </c>
      <c r="BM46" s="1544">
        <v>0</v>
      </c>
      <c r="BN46" s="1544">
        <v>25.779352941176473</v>
      </c>
      <c r="BO46" s="1544">
        <v>46.130414148110837</v>
      </c>
      <c r="BP46" s="1544">
        <v>0</v>
      </c>
      <c r="BQ46" s="1544">
        <v>0</v>
      </c>
      <c r="BR46" s="1544">
        <v>19.562735294117648</v>
      </c>
      <c r="BS46" s="1544">
        <v>32.843573935380725</v>
      </c>
      <c r="BT46" s="1544">
        <v>0</v>
      </c>
      <c r="BU46" s="1544">
        <v>0</v>
      </c>
      <c r="BV46" s="1544">
        <v>65.311852941176483</v>
      </c>
      <c r="BW46" s="1943">
        <v>191.25815179213328</v>
      </c>
      <c r="BX46" s="1933">
        <v>0</v>
      </c>
      <c r="BY46" s="1544">
        <v>0</v>
      </c>
      <c r="BZ46" s="1544">
        <v>25.868558823529412</v>
      </c>
      <c r="CA46" s="1544">
        <v>34.625870990160848</v>
      </c>
      <c r="CB46" s="1544">
        <v>0</v>
      </c>
      <c r="CC46" s="1544">
        <v>0</v>
      </c>
      <c r="CD46" s="1544">
        <v>19.632205882352942</v>
      </c>
      <c r="CE46" s="1544">
        <v>22.72716004787646</v>
      </c>
      <c r="CF46" s="1544">
        <v>0</v>
      </c>
      <c r="CG46" s="1544">
        <v>0</v>
      </c>
      <c r="CH46" s="1544">
        <v>65.526558823529427</v>
      </c>
      <c r="CI46" s="1943">
        <v>175.05959137434829</v>
      </c>
      <c r="CJ46" s="1933">
        <v>0</v>
      </c>
      <c r="CK46" s="1544">
        <v>0</v>
      </c>
      <c r="CL46" s="1544">
        <v>31.131705882352946</v>
      </c>
      <c r="CM46" s="1544">
        <v>39.314310813608948</v>
      </c>
      <c r="CN46" s="1544">
        <v>0</v>
      </c>
      <c r="CO46" s="1544">
        <v>0</v>
      </c>
      <c r="CP46" s="1544">
        <v>23.730970588235294</v>
      </c>
      <c r="CQ46" s="1544">
        <v>22.960284540863377</v>
      </c>
      <c r="CR46" s="1544">
        <v>0</v>
      </c>
      <c r="CS46" s="1544">
        <v>0</v>
      </c>
      <c r="CT46" s="1544">
        <v>78.194205882352961</v>
      </c>
      <c r="CU46" s="1943">
        <v>249.07180639088716</v>
      </c>
      <c r="CV46" s="1933">
        <v>0</v>
      </c>
      <c r="CW46" s="1544">
        <v>0</v>
      </c>
      <c r="CX46" s="1544">
        <v>28.098705882352942</v>
      </c>
      <c r="CY46" s="1544">
        <v>34.750111838460136</v>
      </c>
      <c r="CZ46" s="1544">
        <v>0</v>
      </c>
      <c r="DA46" s="1544">
        <v>0</v>
      </c>
      <c r="DB46" s="1544">
        <v>21.368970588235292</v>
      </c>
      <c r="DC46" s="1544">
        <v>20.84080756768536</v>
      </c>
      <c r="DD46" s="1544">
        <v>0</v>
      </c>
      <c r="DE46" s="1544">
        <v>0</v>
      </c>
      <c r="DF46" s="1544">
        <v>70.894205882352935</v>
      </c>
      <c r="DG46" s="1943">
        <v>210.58528966625695</v>
      </c>
      <c r="DH46" s="1933">
        <v>0</v>
      </c>
      <c r="DI46" s="1544">
        <v>0</v>
      </c>
      <c r="DJ46" s="1544">
        <v>29.436794117647064</v>
      </c>
      <c r="DK46" s="1544">
        <v>54.770394456609196</v>
      </c>
      <c r="DL46" s="1544">
        <v>0</v>
      </c>
      <c r="DM46" s="1544">
        <v>0</v>
      </c>
      <c r="DN46" s="1544">
        <v>22.411029411764709</v>
      </c>
      <c r="DO46" s="1544">
        <v>37.931440253686098</v>
      </c>
      <c r="DP46" s="1544">
        <v>0</v>
      </c>
      <c r="DQ46" s="1544">
        <v>0</v>
      </c>
      <c r="DR46" s="1544">
        <v>74.114794117647079</v>
      </c>
      <c r="DS46" s="1943">
        <v>247.26668427419293</v>
      </c>
      <c r="DT46" s="1933">
        <v>0</v>
      </c>
      <c r="DU46" s="1544">
        <v>0</v>
      </c>
      <c r="DV46" s="1544">
        <v>23.192382352941177</v>
      </c>
      <c r="DW46" s="1544">
        <v>33.783131593866123</v>
      </c>
      <c r="DX46" s="1544">
        <v>0</v>
      </c>
      <c r="DY46" s="1544">
        <v>0</v>
      </c>
      <c r="DZ46" s="1544">
        <v>17.54808823529412</v>
      </c>
      <c r="EA46" s="1544">
        <v>23.511899497567114</v>
      </c>
      <c r="EB46" s="1544">
        <v>0</v>
      </c>
      <c r="EC46" s="1544">
        <v>0</v>
      </c>
      <c r="ED46" s="1544">
        <v>59.085382352941188</v>
      </c>
      <c r="EE46" s="1943">
        <v>158.26589483950593</v>
      </c>
      <c r="EF46" s="1933">
        <v>0</v>
      </c>
      <c r="EG46" s="1544">
        <v>0</v>
      </c>
      <c r="EH46" s="1544">
        <v>26.760617647058826</v>
      </c>
      <c r="EI46" s="1544">
        <v>59.938095799857777</v>
      </c>
      <c r="EJ46" s="1544">
        <v>0</v>
      </c>
      <c r="EK46" s="1544">
        <v>0</v>
      </c>
      <c r="EL46" s="1544">
        <v>20.326911764705883</v>
      </c>
      <c r="EM46" s="1544">
        <v>44.297536171531739</v>
      </c>
      <c r="EN46" s="1544">
        <v>0</v>
      </c>
      <c r="EO46" s="1544">
        <v>0</v>
      </c>
      <c r="EP46" s="1544">
        <v>67.673617647058833</v>
      </c>
      <c r="EQ46" s="1943">
        <v>227.54401195906533</v>
      </c>
      <c r="ER46" s="1933">
        <v>0</v>
      </c>
      <c r="ES46" s="1544">
        <v>0</v>
      </c>
      <c r="ET46" s="1544">
        <v>33.183441176470595</v>
      </c>
      <c r="EU46" s="1544">
        <v>44.489100321398226</v>
      </c>
      <c r="EV46" s="1544">
        <v>0</v>
      </c>
      <c r="EW46" s="1544">
        <v>0</v>
      </c>
      <c r="EX46" s="1544">
        <v>25.32879411764706</v>
      </c>
      <c r="EY46" s="1544">
        <v>26.475988326561868</v>
      </c>
      <c r="EZ46" s="1544">
        <v>0</v>
      </c>
      <c r="FA46" s="1544">
        <v>0</v>
      </c>
      <c r="FB46" s="1544">
        <v>83.132441176470593</v>
      </c>
      <c r="FC46" s="1943">
        <v>281.10763363012632</v>
      </c>
      <c r="FD46" s="1933">
        <v>0</v>
      </c>
      <c r="FE46" s="1544">
        <v>0</v>
      </c>
      <c r="FF46" s="1544">
        <v>25.690147058823531</v>
      </c>
      <c r="FG46" s="1544">
        <v>45.672198293023612</v>
      </c>
      <c r="FH46" s="1544">
        <v>0</v>
      </c>
      <c r="FI46" s="1544">
        <v>0</v>
      </c>
      <c r="FJ46" s="1544">
        <v>19.493264705882353</v>
      </c>
      <c r="FK46" s="1544">
        <v>32.337571986186639</v>
      </c>
      <c r="FL46" s="1544">
        <v>0</v>
      </c>
      <c r="FM46" s="1544">
        <v>0</v>
      </c>
      <c r="FN46" s="1544">
        <v>65.097147058823538</v>
      </c>
      <c r="FO46" s="1943">
        <v>192.37588171187218</v>
      </c>
      <c r="FP46" s="1933">
        <v>0</v>
      </c>
      <c r="FQ46" s="1544">
        <v>0</v>
      </c>
      <c r="FR46" s="1544">
        <v>25.690147058823531</v>
      </c>
      <c r="FS46" s="1544">
        <v>45.56735303336076</v>
      </c>
      <c r="FT46" s="1544">
        <v>0</v>
      </c>
      <c r="FU46" s="1544">
        <v>0</v>
      </c>
      <c r="FV46" s="1544">
        <v>19.493264705882353</v>
      </c>
      <c r="FW46" s="1544">
        <v>31.468140619411752</v>
      </c>
      <c r="FX46" s="1544">
        <v>0</v>
      </c>
      <c r="FY46" s="1544">
        <v>0</v>
      </c>
      <c r="FZ46" s="1544">
        <v>65.097147058823538</v>
      </c>
      <c r="GA46" s="1943">
        <v>200.10923447851587</v>
      </c>
      <c r="GB46" s="1933">
        <v>0</v>
      </c>
      <c r="GC46" s="1544">
        <v>0</v>
      </c>
      <c r="GD46" s="1544">
        <v>27.92029411764706</v>
      </c>
      <c r="GE46" s="1544">
        <v>39.878306112748326</v>
      </c>
      <c r="GF46" s="1544">
        <v>0</v>
      </c>
      <c r="GG46" s="1544">
        <v>0</v>
      </c>
      <c r="GH46" s="1544">
        <v>21.230029411764704</v>
      </c>
      <c r="GI46" s="1544">
        <v>24.997347413569688</v>
      </c>
      <c r="GJ46" s="1544">
        <v>0</v>
      </c>
      <c r="GK46" s="1544">
        <v>0</v>
      </c>
      <c r="GL46" s="1544">
        <v>70.464794117647074</v>
      </c>
      <c r="GM46" s="1943">
        <v>214.76780475221094</v>
      </c>
      <c r="GN46" s="1933">
        <v>0</v>
      </c>
      <c r="GO46" s="1544">
        <v>0</v>
      </c>
      <c r="GP46" s="1544">
        <v>28.009500000000003</v>
      </c>
      <c r="GQ46" s="1544">
        <v>51.323144347989015</v>
      </c>
      <c r="GR46" s="1544">
        <v>0</v>
      </c>
      <c r="GS46" s="1544">
        <v>0</v>
      </c>
      <c r="GT46" s="1544">
        <v>21.299499999999998</v>
      </c>
      <c r="GU46" s="1544">
        <v>34.070089879719696</v>
      </c>
      <c r="GV46" s="1544">
        <v>0</v>
      </c>
      <c r="GW46" s="1544">
        <v>0</v>
      </c>
      <c r="GX46" s="1544">
        <v>70.679500000000019</v>
      </c>
      <c r="GY46" s="1943">
        <v>240.36784284962522</v>
      </c>
      <c r="GZ46" s="1933">
        <v>0</v>
      </c>
      <c r="HA46" s="1544">
        <v>0</v>
      </c>
      <c r="HB46" s="1544">
        <v>20.605411764705885</v>
      </c>
      <c r="HC46" s="1544">
        <v>24.328309651294308</v>
      </c>
      <c r="HD46" s="1544">
        <v>0</v>
      </c>
      <c r="HE46" s="1544">
        <v>0</v>
      </c>
      <c r="HF46" s="1544">
        <v>15.533441176470589</v>
      </c>
      <c r="HG46" s="1544">
        <v>15.606544571492719</v>
      </c>
      <c r="HH46" s="1544">
        <v>0</v>
      </c>
      <c r="HI46" s="1544">
        <v>0</v>
      </c>
      <c r="HJ46" s="1544">
        <v>52.858911764705894</v>
      </c>
      <c r="HK46" s="1943">
        <v>130.42914152879831</v>
      </c>
      <c r="HL46" s="1933">
        <v>0</v>
      </c>
      <c r="HM46" s="1544">
        <v>0</v>
      </c>
      <c r="HN46" s="1544">
        <v>20.159382352941176</v>
      </c>
      <c r="HO46" s="1544">
        <v>22.430230041425677</v>
      </c>
      <c r="HP46" s="1544">
        <v>0</v>
      </c>
      <c r="HQ46" s="1544">
        <v>0</v>
      </c>
      <c r="HR46" s="1544">
        <v>15.18608823529412</v>
      </c>
      <c r="HS46" s="1544">
        <v>13.885908373652747</v>
      </c>
      <c r="HT46" s="1544">
        <v>0</v>
      </c>
      <c r="HU46" s="1544">
        <v>0</v>
      </c>
      <c r="HV46" s="1544">
        <v>51.785382352941191</v>
      </c>
      <c r="HW46" s="1943">
        <v>128.9164755131001</v>
      </c>
      <c r="HX46" s="1933">
        <v>0</v>
      </c>
      <c r="HY46" s="1544">
        <v>0</v>
      </c>
      <c r="HZ46" s="1544">
        <v>25.154911764705883</v>
      </c>
      <c r="IA46" s="1544">
        <v>44.681950975455415</v>
      </c>
      <c r="IB46" s="1544">
        <v>0</v>
      </c>
      <c r="IC46" s="1544">
        <v>0</v>
      </c>
      <c r="ID46" s="1544">
        <v>19.076441176470585</v>
      </c>
      <c r="IE46" s="1544">
        <v>31.54066745691437</v>
      </c>
      <c r="IF46" s="1544">
        <v>0</v>
      </c>
      <c r="IG46" s="1544">
        <v>0</v>
      </c>
      <c r="IH46" s="1544">
        <v>63.80891176470589</v>
      </c>
      <c r="II46" s="1943">
        <v>190.69046835029621</v>
      </c>
      <c r="IJ46" s="1933">
        <v>0</v>
      </c>
      <c r="IK46" s="1544">
        <v>0</v>
      </c>
      <c r="IL46" s="1544">
        <v>22.121911764705885</v>
      </c>
      <c r="IM46" s="1544">
        <v>29.493222980922301</v>
      </c>
      <c r="IN46" s="1544">
        <v>0</v>
      </c>
      <c r="IO46" s="1544">
        <v>0</v>
      </c>
      <c r="IP46" s="1544">
        <v>16.714441176470586</v>
      </c>
      <c r="IQ46" s="1544">
        <v>19.436740971513231</v>
      </c>
      <c r="IR46" s="1544">
        <v>0</v>
      </c>
      <c r="IS46" s="1544">
        <v>0</v>
      </c>
      <c r="IT46" s="1544">
        <v>56.508911764705893</v>
      </c>
      <c r="IU46" s="1943">
        <v>147.8492909087212</v>
      </c>
      <c r="IV46" s="1933">
        <v>0</v>
      </c>
      <c r="IW46" s="1544">
        <v>0</v>
      </c>
      <c r="IX46" s="1544">
        <v>28.009500000000003</v>
      </c>
      <c r="IY46" s="1544">
        <v>29.075126107033764</v>
      </c>
      <c r="IZ46" s="1544">
        <v>0</v>
      </c>
      <c r="JA46" s="1544">
        <v>0</v>
      </c>
      <c r="JB46" s="1544">
        <v>21.299499999999998</v>
      </c>
      <c r="JC46" s="1544">
        <v>16.542267602059685</v>
      </c>
      <c r="JD46" s="1544">
        <v>0</v>
      </c>
      <c r="JE46" s="1544">
        <v>0</v>
      </c>
      <c r="JF46" s="1544">
        <v>70.679500000000019</v>
      </c>
      <c r="JG46" s="1943">
        <v>194.32215540058303</v>
      </c>
      <c r="JH46" s="1933">
        <v>0</v>
      </c>
      <c r="JI46" s="1544">
        <v>0</v>
      </c>
      <c r="JJ46" s="1544">
        <v>24.262852941176472</v>
      </c>
      <c r="JK46" s="1544">
        <v>41.05283193170542</v>
      </c>
      <c r="JL46" s="1544">
        <v>0</v>
      </c>
      <c r="JM46" s="1544">
        <v>0</v>
      </c>
      <c r="JN46" s="1544">
        <v>18.381735294117647</v>
      </c>
      <c r="JO46" s="1544">
        <v>29.169501778176183</v>
      </c>
      <c r="JP46" s="1544">
        <v>0</v>
      </c>
      <c r="JQ46" s="1544">
        <v>0</v>
      </c>
      <c r="JR46" s="1544">
        <v>61.661852941176477</v>
      </c>
      <c r="JS46" s="1943">
        <v>177.37922894220716</v>
      </c>
      <c r="JT46" s="1933">
        <v>0</v>
      </c>
      <c r="JU46" s="1544">
        <v>0</v>
      </c>
      <c r="JV46" s="1544">
        <v>25.422529411764707</v>
      </c>
      <c r="JW46" s="1544">
        <v>40.473344268390036</v>
      </c>
      <c r="JX46" s="1544">
        <v>0</v>
      </c>
      <c r="JY46" s="1544">
        <v>0</v>
      </c>
      <c r="JZ46" s="1544">
        <v>19.284852941176471</v>
      </c>
      <c r="KA46" s="1544">
        <v>28.377960231492892</v>
      </c>
      <c r="KB46" s="1544">
        <v>0</v>
      </c>
      <c r="KC46" s="1544">
        <v>0</v>
      </c>
      <c r="KD46" s="1544">
        <v>64.453029411764717</v>
      </c>
      <c r="KE46" s="1943">
        <v>180.71190934791332</v>
      </c>
      <c r="KF46" s="1933">
        <v>0</v>
      </c>
      <c r="KG46" s="1544">
        <v>0</v>
      </c>
      <c r="KH46" s="1544">
        <v>25.868558823529412</v>
      </c>
      <c r="KI46" s="1544">
        <v>52.799381972179098</v>
      </c>
      <c r="KJ46" s="1544">
        <v>0</v>
      </c>
      <c r="KK46" s="1544">
        <v>0</v>
      </c>
      <c r="KL46" s="1544">
        <v>19.632205882352942</v>
      </c>
      <c r="KM46" s="1544">
        <v>38.343179546818632</v>
      </c>
      <c r="KN46" s="1544">
        <v>0</v>
      </c>
      <c r="KO46" s="1544">
        <v>0</v>
      </c>
      <c r="KP46" s="1544">
        <v>65.526558823529427</v>
      </c>
      <c r="KQ46" s="1943">
        <v>223.84637032677756</v>
      </c>
      <c r="KR46" s="1933">
        <v>0</v>
      </c>
      <c r="KS46" s="1544">
        <v>0</v>
      </c>
      <c r="KT46" s="1544">
        <v>23.281588235294119</v>
      </c>
      <c r="KU46" s="1544">
        <v>31.861348577515447</v>
      </c>
      <c r="KV46" s="1544">
        <v>0</v>
      </c>
      <c r="KW46" s="1544">
        <v>0</v>
      </c>
      <c r="KX46" s="1544">
        <v>17.617558823529414</v>
      </c>
      <c r="KY46" s="1544">
        <v>21.980253485896505</v>
      </c>
      <c r="KZ46" s="1544">
        <v>0</v>
      </c>
      <c r="LA46" s="1544">
        <v>0</v>
      </c>
      <c r="LB46" s="1544">
        <v>59.300088235294126</v>
      </c>
      <c r="LC46" s="1943">
        <v>152.45755542009033</v>
      </c>
      <c r="LD46" s="1933">
        <v>0</v>
      </c>
      <c r="LE46" s="1544">
        <v>0</v>
      </c>
      <c r="LF46" s="1544">
        <v>26.403794117647063</v>
      </c>
      <c r="LG46" s="1544">
        <v>45.535023187274831</v>
      </c>
      <c r="LH46" s="1544">
        <v>0</v>
      </c>
      <c r="LI46" s="1544">
        <v>0</v>
      </c>
      <c r="LJ46" s="1544">
        <v>20.04902941176471</v>
      </c>
      <c r="LK46" s="1544">
        <v>29.653245577429175</v>
      </c>
      <c r="LL46" s="1544">
        <v>0</v>
      </c>
      <c r="LM46" s="1544">
        <v>0</v>
      </c>
      <c r="LN46" s="1544">
        <v>66.814794117647068</v>
      </c>
      <c r="LO46" s="1943">
        <v>227.91337599475497</v>
      </c>
      <c r="LP46" s="1933">
        <v>0</v>
      </c>
      <c r="LQ46" s="1544">
        <v>0</v>
      </c>
      <c r="LR46" s="1544">
        <v>26.671411764705887</v>
      </c>
      <c r="LS46" s="1544">
        <v>44.604392975780989</v>
      </c>
      <c r="LT46" s="1544">
        <v>0</v>
      </c>
      <c r="LU46" s="1544">
        <v>0</v>
      </c>
      <c r="LV46" s="1544">
        <v>20.257441176470586</v>
      </c>
      <c r="LW46" s="1544">
        <v>31.306309106884743</v>
      </c>
      <c r="LX46" s="1544">
        <v>0</v>
      </c>
      <c r="LY46" s="1544">
        <v>0</v>
      </c>
      <c r="LZ46" s="1544">
        <v>67.458911764705903</v>
      </c>
      <c r="MA46" s="1943">
        <v>192.18889366635821</v>
      </c>
      <c r="MB46" s="1933">
        <v>0</v>
      </c>
      <c r="MC46" s="1544">
        <v>0</v>
      </c>
      <c r="MD46" s="1544">
        <v>35.145970588235301</v>
      </c>
      <c r="ME46" s="1544">
        <v>43.946811273563654</v>
      </c>
      <c r="MF46" s="1544">
        <v>0</v>
      </c>
      <c r="MG46" s="1544">
        <v>0</v>
      </c>
      <c r="MH46" s="1544">
        <v>26.857147058823529</v>
      </c>
      <c r="MI46" s="1544">
        <v>25.449005314835802</v>
      </c>
      <c r="MJ46" s="1544">
        <v>0</v>
      </c>
      <c r="MK46" s="1544">
        <v>0</v>
      </c>
      <c r="ML46" s="1544">
        <v>87.855970588235323</v>
      </c>
      <c r="MM46" s="1943">
        <v>269.90796643736655</v>
      </c>
      <c r="MN46" s="1933">
        <v>0</v>
      </c>
      <c r="MO46" s="1544">
        <v>0</v>
      </c>
      <c r="MP46" s="1544">
        <v>29.169176470588241</v>
      </c>
      <c r="MQ46" s="1544">
        <v>50.193079740325842</v>
      </c>
      <c r="MR46" s="1544">
        <v>0</v>
      </c>
      <c r="MS46" s="1544">
        <v>0</v>
      </c>
      <c r="MT46" s="1544">
        <v>22.202617647058823</v>
      </c>
      <c r="MU46" s="1544">
        <v>32.394428155476014</v>
      </c>
      <c r="MV46" s="1544">
        <v>0</v>
      </c>
      <c r="MW46" s="1544">
        <v>0</v>
      </c>
      <c r="MX46" s="1544">
        <v>73.470676470588245</v>
      </c>
      <c r="MY46" s="1943">
        <v>275.99910943492864</v>
      </c>
      <c r="MZ46" s="1933">
        <v>0</v>
      </c>
      <c r="NA46" s="1544">
        <v>0</v>
      </c>
      <c r="NB46" s="1544">
        <v>27.741882352941182</v>
      </c>
      <c r="NC46" s="1544">
        <v>42.576270592206022</v>
      </c>
      <c r="ND46" s="1544">
        <v>0</v>
      </c>
      <c r="NE46" s="1544">
        <v>0</v>
      </c>
      <c r="NF46" s="1544">
        <v>21.091088235294123</v>
      </c>
      <c r="NG46" s="1544">
        <v>28.863421251046539</v>
      </c>
      <c r="NH46" s="1544">
        <v>0</v>
      </c>
      <c r="NI46" s="1544">
        <v>0</v>
      </c>
      <c r="NJ46" s="1544">
        <v>70.035382352941184</v>
      </c>
      <c r="NK46" s="1943">
        <v>197.42587297468944</v>
      </c>
      <c r="NL46" s="1933">
        <v>0</v>
      </c>
      <c r="NM46" s="1544">
        <v>0</v>
      </c>
      <c r="NN46" s="1544">
        <v>26.136176470588236</v>
      </c>
      <c r="NO46" s="1544">
        <v>48.091389215184542</v>
      </c>
      <c r="NP46" s="1544">
        <v>0</v>
      </c>
      <c r="NQ46" s="1544">
        <v>0</v>
      </c>
      <c r="NR46" s="1544">
        <v>19.840617647058824</v>
      </c>
      <c r="NS46" s="1544">
        <v>34.194511974477777</v>
      </c>
      <c r="NT46" s="1544">
        <v>0</v>
      </c>
      <c r="NU46" s="1544">
        <v>0</v>
      </c>
      <c r="NV46" s="1544">
        <v>66.170676470588248</v>
      </c>
      <c r="NW46" s="1943">
        <v>197.98574652126507</v>
      </c>
      <c r="NX46" s="1933">
        <v>0</v>
      </c>
      <c r="NY46" s="1544">
        <v>0</v>
      </c>
      <c r="NZ46" s="1544">
        <v>30.150441176470594</v>
      </c>
      <c r="OA46" s="1544">
        <v>39.931401585801076</v>
      </c>
      <c r="OB46" s="1544">
        <v>0</v>
      </c>
      <c r="OC46" s="1544">
        <v>0</v>
      </c>
      <c r="OD46" s="1544">
        <v>22.966794117647058</v>
      </c>
      <c r="OE46" s="1544">
        <v>24.858764174337697</v>
      </c>
      <c r="OF46" s="1544">
        <v>0</v>
      </c>
      <c r="OG46" s="1544">
        <v>0</v>
      </c>
      <c r="OH46" s="1544">
        <v>75.832441176470596</v>
      </c>
      <c r="OI46" s="1934">
        <v>222.70759629530269</v>
      </c>
      <c r="OJ46" s="1933">
        <v>0</v>
      </c>
      <c r="OK46" s="1544">
        <v>0</v>
      </c>
      <c r="OL46" s="1544">
        <v>24.798088235294117</v>
      </c>
      <c r="OM46" s="1544">
        <v>33.879538775156831</v>
      </c>
      <c r="ON46" s="1544">
        <v>0</v>
      </c>
      <c r="OO46" s="1544">
        <v>0</v>
      </c>
      <c r="OP46" s="1544">
        <v>18.798558823529412</v>
      </c>
      <c r="OQ46" s="1544">
        <v>22.580847064200452</v>
      </c>
      <c r="OR46" s="1544">
        <v>0</v>
      </c>
      <c r="OS46" s="1544">
        <v>0</v>
      </c>
      <c r="OT46" s="1544">
        <v>62.950088235294132</v>
      </c>
      <c r="OU46" s="1934">
        <v>164.21275456102541</v>
      </c>
      <c r="OV46" s="1933">
        <v>0</v>
      </c>
      <c r="OW46" s="1544">
        <v>0</v>
      </c>
      <c r="OX46" s="1544">
        <v>33.897088235294127</v>
      </c>
      <c r="OY46" s="1544">
        <v>46.656482045659757</v>
      </c>
      <c r="OZ46" s="1544">
        <v>0</v>
      </c>
      <c r="PA46" s="1544">
        <v>0</v>
      </c>
      <c r="PB46" s="1544">
        <v>25.884558823529414</v>
      </c>
      <c r="PC46" s="1544">
        <v>29.552856874432941</v>
      </c>
      <c r="PD46" s="1544">
        <v>0</v>
      </c>
      <c r="PE46" s="1544">
        <v>0</v>
      </c>
      <c r="PF46" s="1544">
        <v>84.850088235294137</v>
      </c>
      <c r="PG46" s="1934">
        <v>243.8329568499496</v>
      </c>
      <c r="PH46" s="1933">
        <v>0</v>
      </c>
      <c r="PI46" s="1544">
        <v>0</v>
      </c>
      <c r="PJ46" s="1544">
        <v>26.403794117647063</v>
      </c>
      <c r="PK46" s="1544">
        <v>38.491602837432737</v>
      </c>
      <c r="PL46" s="1544">
        <v>0</v>
      </c>
      <c r="PM46" s="1544">
        <v>0</v>
      </c>
      <c r="PN46" s="1544">
        <v>20.04902941176471</v>
      </c>
      <c r="PO46" s="1544">
        <v>26.248482482233303</v>
      </c>
      <c r="PP46" s="1544">
        <v>0</v>
      </c>
      <c r="PQ46" s="1544">
        <v>0</v>
      </c>
      <c r="PR46" s="1544">
        <v>66.814794117647068</v>
      </c>
      <c r="PS46" s="1934">
        <v>176.91525103824628</v>
      </c>
      <c r="PT46" s="1933">
        <v>0</v>
      </c>
      <c r="PU46" s="1544">
        <v>0</v>
      </c>
      <c r="PV46" s="1544">
        <v>25.957764705882354</v>
      </c>
      <c r="PW46" s="1544">
        <v>44.405798988401571</v>
      </c>
      <c r="PX46" s="1544">
        <v>0</v>
      </c>
      <c r="PY46" s="1544">
        <v>0</v>
      </c>
      <c r="PZ46" s="1544">
        <v>19.701676470588239</v>
      </c>
      <c r="QA46" s="1544">
        <v>31.221623485846411</v>
      </c>
      <c r="QB46" s="1544">
        <v>0</v>
      </c>
      <c r="QC46" s="1544">
        <v>0</v>
      </c>
      <c r="QD46" s="1544">
        <v>65.741264705882358</v>
      </c>
      <c r="QE46" s="1934">
        <v>191.92262144492136</v>
      </c>
      <c r="QF46" s="1933">
        <v>0</v>
      </c>
      <c r="QG46" s="1544">
        <v>0</v>
      </c>
      <c r="QH46" s="1544">
        <v>29.347588235294126</v>
      </c>
      <c r="QI46" s="1544">
        <v>41.323353901335388</v>
      </c>
      <c r="QJ46" s="1544">
        <v>0</v>
      </c>
      <c r="QK46" s="1544">
        <v>0</v>
      </c>
      <c r="QL46" s="1544">
        <v>22.341558823529414</v>
      </c>
      <c r="QM46" s="1544">
        <v>24.193745117497635</v>
      </c>
      <c r="QN46" s="1544">
        <v>0</v>
      </c>
      <c r="QO46" s="1544">
        <v>0</v>
      </c>
      <c r="QP46" s="1544">
        <v>73.900088235294135</v>
      </c>
      <c r="QQ46" s="1934">
        <v>259.15162266610878</v>
      </c>
      <c r="QR46" s="1933">
        <v>0</v>
      </c>
      <c r="QS46" s="1544">
        <v>0</v>
      </c>
      <c r="QT46" s="1544">
        <v>26.314588235294117</v>
      </c>
      <c r="QU46" s="1544">
        <v>41.25504390195195</v>
      </c>
      <c r="QV46" s="1544">
        <v>0</v>
      </c>
      <c r="QW46" s="1544">
        <v>0</v>
      </c>
      <c r="QX46" s="1544">
        <v>19.979558823529416</v>
      </c>
      <c r="QY46" s="1544">
        <v>28.560269184591686</v>
      </c>
      <c r="QZ46" s="1544">
        <v>0</v>
      </c>
      <c r="RA46" s="1544">
        <v>0</v>
      </c>
      <c r="RB46" s="1544">
        <v>66.600088235294123</v>
      </c>
      <c r="RC46" s="1934">
        <v>184.00073182324732</v>
      </c>
      <c r="RD46" s="1933">
        <v>0</v>
      </c>
      <c r="RE46" s="1544">
        <v>0</v>
      </c>
      <c r="RF46" s="1544">
        <v>26.136176470588236</v>
      </c>
      <c r="RG46" s="1544">
        <v>40.156865561864294</v>
      </c>
      <c r="RH46" s="1544">
        <v>0</v>
      </c>
      <c r="RI46" s="1544">
        <v>0</v>
      </c>
      <c r="RJ46" s="1544">
        <v>19.840617647058824</v>
      </c>
      <c r="RK46" s="1544">
        <v>27.699408848823808</v>
      </c>
      <c r="RL46" s="1544">
        <v>0</v>
      </c>
      <c r="RM46" s="1544">
        <v>0</v>
      </c>
      <c r="RN46" s="1544">
        <v>66.170676470588248</v>
      </c>
      <c r="RO46" s="1934">
        <v>182.23432242856265</v>
      </c>
    </row>
    <row r="47" spans="1:483">
      <c r="A47" s="634">
        <f>Eingabedaten!A49</f>
        <v>12.08</v>
      </c>
      <c r="B47" s="379" t="str">
        <f>Eingabedaten!C49</f>
        <v>Garderobe, Dusche</v>
      </c>
      <c r="C47" s="379"/>
      <c r="D47" s="1933">
        <v>0</v>
      </c>
      <c r="E47" s="1544">
        <v>0</v>
      </c>
      <c r="F47" s="1544">
        <v>13.129694117647061</v>
      </c>
      <c r="G47" s="1544">
        <v>26.437368019213665</v>
      </c>
      <c r="H47" s="1544">
        <v>0</v>
      </c>
      <c r="I47" s="1544">
        <v>0</v>
      </c>
      <c r="J47" s="1544">
        <v>10.666729411764706</v>
      </c>
      <c r="K47" s="1544">
        <v>17.610674186555318</v>
      </c>
      <c r="L47" s="1544">
        <v>0</v>
      </c>
      <c r="M47" s="1544">
        <v>0</v>
      </c>
      <c r="N47" s="1544">
        <v>39.126794117647059</v>
      </c>
      <c r="O47" s="1943">
        <v>169.55149958898588</v>
      </c>
      <c r="P47" s="1933">
        <v>0</v>
      </c>
      <c r="Q47" s="1544">
        <v>0</v>
      </c>
      <c r="R47" s="1544">
        <v>11.151823529411766</v>
      </c>
      <c r="S47" s="1544">
        <v>23.866455484887776</v>
      </c>
      <c r="T47" s="1544">
        <v>0</v>
      </c>
      <c r="U47" s="1544">
        <v>0</v>
      </c>
      <c r="V47" s="1544">
        <v>9.0598823529411767</v>
      </c>
      <c r="W47" s="1544">
        <v>17.864065059644457</v>
      </c>
      <c r="X47" s="1544">
        <v>0</v>
      </c>
      <c r="Y47" s="1544">
        <v>0</v>
      </c>
      <c r="Z47" s="1544">
        <v>33.586323529411764</v>
      </c>
      <c r="AA47" s="1943">
        <v>122.61477792411149</v>
      </c>
      <c r="AB47" s="1933">
        <v>0</v>
      </c>
      <c r="AC47" s="1544">
        <v>0</v>
      </c>
      <c r="AD47" s="1544">
        <v>11.193905882352944</v>
      </c>
      <c r="AE47" s="1544">
        <v>27.931938801891089</v>
      </c>
      <c r="AF47" s="1544">
        <v>0</v>
      </c>
      <c r="AG47" s="1544">
        <v>0</v>
      </c>
      <c r="AH47" s="1544">
        <v>9.0940705882352955</v>
      </c>
      <c r="AI47" s="1544">
        <v>21.622868021816693</v>
      </c>
      <c r="AJ47" s="1544">
        <v>0</v>
      </c>
      <c r="AK47" s="1544">
        <v>0</v>
      </c>
      <c r="AL47" s="1544">
        <v>33.704205882352944</v>
      </c>
      <c r="AM47" s="1943">
        <v>131.81963414358916</v>
      </c>
      <c r="AN47" s="1933">
        <v>0</v>
      </c>
      <c r="AO47" s="1544">
        <v>0</v>
      </c>
      <c r="AP47" s="1544">
        <v>11.572647058823531</v>
      </c>
      <c r="AQ47" s="1544">
        <v>21.379050746782827</v>
      </c>
      <c r="AR47" s="1544">
        <v>0</v>
      </c>
      <c r="AS47" s="1544">
        <v>0</v>
      </c>
      <c r="AT47" s="1544">
        <v>9.4017647058823535</v>
      </c>
      <c r="AU47" s="1544">
        <v>15.850980463878091</v>
      </c>
      <c r="AV47" s="1544">
        <v>0</v>
      </c>
      <c r="AW47" s="1544">
        <v>0</v>
      </c>
      <c r="AX47" s="1544">
        <v>34.76514705882353</v>
      </c>
      <c r="AY47" s="1943">
        <v>113.7039174739145</v>
      </c>
      <c r="AZ47" s="1933">
        <v>0</v>
      </c>
      <c r="BA47" s="1544">
        <v>0</v>
      </c>
      <c r="BB47" s="1544">
        <v>11.951388235294118</v>
      </c>
      <c r="BC47" s="1544">
        <v>24.529615490028597</v>
      </c>
      <c r="BD47" s="1544">
        <v>0</v>
      </c>
      <c r="BE47" s="1544">
        <v>0</v>
      </c>
      <c r="BF47" s="1544">
        <v>9.7094588235294115</v>
      </c>
      <c r="BG47" s="1544">
        <v>18.034679986183431</v>
      </c>
      <c r="BH47" s="1544">
        <v>0</v>
      </c>
      <c r="BI47" s="1544">
        <v>0</v>
      </c>
      <c r="BJ47" s="1544">
        <v>35.826088235294115</v>
      </c>
      <c r="BK47" s="1943">
        <v>128.74715940350336</v>
      </c>
      <c r="BL47" s="1933">
        <v>0</v>
      </c>
      <c r="BM47" s="1544">
        <v>0</v>
      </c>
      <c r="BN47" s="1544">
        <v>11.825141176470591</v>
      </c>
      <c r="BO47" s="1544">
        <v>26.953996969392136</v>
      </c>
      <c r="BP47" s="1544">
        <v>0</v>
      </c>
      <c r="BQ47" s="1544">
        <v>0</v>
      </c>
      <c r="BR47" s="1544">
        <v>9.6068941176470588</v>
      </c>
      <c r="BS47" s="1544">
        <v>20.58562638396392</v>
      </c>
      <c r="BT47" s="1544">
        <v>0</v>
      </c>
      <c r="BU47" s="1544">
        <v>0</v>
      </c>
      <c r="BV47" s="1544">
        <v>35.472441176470589</v>
      </c>
      <c r="BW47" s="1943">
        <v>128.92890746556139</v>
      </c>
      <c r="BX47" s="1933">
        <v>0</v>
      </c>
      <c r="BY47" s="1544">
        <v>0</v>
      </c>
      <c r="BZ47" s="1544">
        <v>11.867223529411765</v>
      </c>
      <c r="CA47" s="1544">
        <v>21.839956893353872</v>
      </c>
      <c r="CB47" s="1544">
        <v>0</v>
      </c>
      <c r="CC47" s="1544">
        <v>0</v>
      </c>
      <c r="CD47" s="1544">
        <v>9.6410823529411758</v>
      </c>
      <c r="CE47" s="1544">
        <v>15.680247198516627</v>
      </c>
      <c r="CF47" s="1544">
        <v>0</v>
      </c>
      <c r="CG47" s="1544">
        <v>0</v>
      </c>
      <c r="CH47" s="1544">
        <v>35.590323529411762</v>
      </c>
      <c r="CI47" s="1943">
        <v>123.09758486215593</v>
      </c>
      <c r="CJ47" s="1933">
        <v>0</v>
      </c>
      <c r="CK47" s="1544">
        <v>0</v>
      </c>
      <c r="CL47" s="1544">
        <v>14.350082352941177</v>
      </c>
      <c r="CM47" s="1544">
        <v>26.815849314532702</v>
      </c>
      <c r="CN47" s="1544">
        <v>0</v>
      </c>
      <c r="CO47" s="1544">
        <v>0</v>
      </c>
      <c r="CP47" s="1544">
        <v>11.658188235294118</v>
      </c>
      <c r="CQ47" s="1544">
        <v>17.76345534190682</v>
      </c>
      <c r="CR47" s="1544">
        <v>0</v>
      </c>
      <c r="CS47" s="1544">
        <v>0</v>
      </c>
      <c r="CT47" s="1544">
        <v>42.545382352941182</v>
      </c>
      <c r="CU47" s="1943">
        <v>186.24637076894717</v>
      </c>
      <c r="CV47" s="1933">
        <v>0</v>
      </c>
      <c r="CW47" s="1544">
        <v>0</v>
      </c>
      <c r="CX47" s="1544">
        <v>12.919282352941178</v>
      </c>
      <c r="CY47" s="1544">
        <v>23.530712406341195</v>
      </c>
      <c r="CZ47" s="1544">
        <v>0</v>
      </c>
      <c r="DA47" s="1544">
        <v>0</v>
      </c>
      <c r="DB47" s="1544">
        <v>10.495788235294118</v>
      </c>
      <c r="DC47" s="1544">
        <v>15.863564910608485</v>
      </c>
      <c r="DD47" s="1544">
        <v>0</v>
      </c>
      <c r="DE47" s="1544">
        <v>0</v>
      </c>
      <c r="DF47" s="1544">
        <v>38.537382352941179</v>
      </c>
      <c r="DG47" s="1943">
        <v>154.50945464200259</v>
      </c>
      <c r="DH47" s="1933">
        <v>0</v>
      </c>
      <c r="DI47" s="1544">
        <v>0</v>
      </c>
      <c r="DJ47" s="1544">
        <v>13.550517647058825</v>
      </c>
      <c r="DK47" s="1544">
        <v>32.927988801945247</v>
      </c>
      <c r="DL47" s="1544">
        <v>0</v>
      </c>
      <c r="DM47" s="1544">
        <v>0</v>
      </c>
      <c r="DN47" s="1544">
        <v>11.008611764705883</v>
      </c>
      <c r="DO47" s="1544">
        <v>24.389538166905677</v>
      </c>
      <c r="DP47" s="1544">
        <v>0</v>
      </c>
      <c r="DQ47" s="1544">
        <v>0</v>
      </c>
      <c r="DR47" s="1544">
        <v>40.305617647058831</v>
      </c>
      <c r="DS47" s="1943">
        <v>171.98189356071919</v>
      </c>
      <c r="DT47" s="1933">
        <v>0</v>
      </c>
      <c r="DU47" s="1544">
        <v>0</v>
      </c>
      <c r="DV47" s="1544">
        <v>10.604752941176471</v>
      </c>
      <c r="DW47" s="1544">
        <v>20.267573780048412</v>
      </c>
      <c r="DX47" s="1544">
        <v>0</v>
      </c>
      <c r="DY47" s="1544">
        <v>0</v>
      </c>
      <c r="DZ47" s="1544">
        <v>8.6154352941176473</v>
      </c>
      <c r="EA47" s="1544">
        <v>15.04934490718615</v>
      </c>
      <c r="EB47" s="1544">
        <v>0</v>
      </c>
      <c r="EC47" s="1544">
        <v>0</v>
      </c>
      <c r="ED47" s="1544">
        <v>32.053852941176473</v>
      </c>
      <c r="EE47" s="1943">
        <v>110.24599552308545</v>
      </c>
      <c r="EF47" s="1933">
        <v>0</v>
      </c>
      <c r="EG47" s="1544">
        <v>0</v>
      </c>
      <c r="EH47" s="1544">
        <v>12.28804705882353</v>
      </c>
      <c r="EI47" s="1544">
        <v>33.974334181421987</v>
      </c>
      <c r="EJ47" s="1544">
        <v>0</v>
      </c>
      <c r="EK47" s="1544">
        <v>0</v>
      </c>
      <c r="EL47" s="1544">
        <v>9.9829647058823525</v>
      </c>
      <c r="EM47" s="1544">
        <v>26.553021059257695</v>
      </c>
      <c r="EN47" s="1544">
        <v>0</v>
      </c>
      <c r="EO47" s="1544">
        <v>0</v>
      </c>
      <c r="EP47" s="1544">
        <v>36.769147058823528</v>
      </c>
      <c r="EQ47" s="1943">
        <v>149.37743045387182</v>
      </c>
      <c r="ER47" s="1933">
        <v>0</v>
      </c>
      <c r="ES47" s="1544">
        <v>0</v>
      </c>
      <c r="ET47" s="1544">
        <v>15.317976470588237</v>
      </c>
      <c r="EU47" s="1544">
        <v>29.881447936985161</v>
      </c>
      <c r="EV47" s="1544">
        <v>0</v>
      </c>
      <c r="EW47" s="1544">
        <v>0</v>
      </c>
      <c r="EX47" s="1544">
        <v>12.444517647058824</v>
      </c>
      <c r="EY47" s="1544">
        <v>19.918591263949292</v>
      </c>
      <c r="EZ47" s="1544">
        <v>0</v>
      </c>
      <c r="FA47" s="1544">
        <v>0</v>
      </c>
      <c r="FB47" s="1544">
        <v>45.256676470588239</v>
      </c>
      <c r="FC47" s="1943">
        <v>218.31727318385461</v>
      </c>
      <c r="FD47" s="1933">
        <v>0</v>
      </c>
      <c r="FE47" s="1544">
        <v>0</v>
      </c>
      <c r="FF47" s="1544">
        <v>11.783058823529414</v>
      </c>
      <c r="FG47" s="1544">
        <v>26.836173348166842</v>
      </c>
      <c r="FH47" s="1544">
        <v>0</v>
      </c>
      <c r="FI47" s="1544">
        <v>0</v>
      </c>
      <c r="FJ47" s="1544">
        <v>9.5727058823529418</v>
      </c>
      <c r="FK47" s="1544">
        <v>20.374582806798951</v>
      </c>
      <c r="FL47" s="1544">
        <v>0</v>
      </c>
      <c r="FM47" s="1544">
        <v>0</v>
      </c>
      <c r="FN47" s="1544">
        <v>35.354558823529416</v>
      </c>
      <c r="FO47" s="1943">
        <v>130.82594873702556</v>
      </c>
      <c r="FP47" s="1933">
        <v>0</v>
      </c>
      <c r="FQ47" s="1544">
        <v>0</v>
      </c>
      <c r="FR47" s="1544">
        <v>11.783058823529414</v>
      </c>
      <c r="FS47" s="1544">
        <v>27.242363058596634</v>
      </c>
      <c r="FT47" s="1544">
        <v>0</v>
      </c>
      <c r="FU47" s="1544">
        <v>0</v>
      </c>
      <c r="FV47" s="1544">
        <v>9.5727058823529418</v>
      </c>
      <c r="FW47" s="1544">
        <v>20.399514505192641</v>
      </c>
      <c r="FX47" s="1544">
        <v>0</v>
      </c>
      <c r="FY47" s="1544">
        <v>0</v>
      </c>
      <c r="FZ47" s="1544">
        <v>35.354558823529416</v>
      </c>
      <c r="GA47" s="1943">
        <v>137.35012105581416</v>
      </c>
      <c r="GB47" s="1933">
        <v>0</v>
      </c>
      <c r="GC47" s="1544">
        <v>0</v>
      </c>
      <c r="GD47" s="1544">
        <v>12.835117647058825</v>
      </c>
      <c r="GE47" s="1544">
        <v>25.955922167497253</v>
      </c>
      <c r="GF47" s="1544">
        <v>0</v>
      </c>
      <c r="GG47" s="1544">
        <v>0</v>
      </c>
      <c r="GH47" s="1544">
        <v>10.427411764705882</v>
      </c>
      <c r="GI47" s="1544">
        <v>18.105276227188227</v>
      </c>
      <c r="GJ47" s="1544">
        <v>0</v>
      </c>
      <c r="GK47" s="1544">
        <v>0</v>
      </c>
      <c r="GL47" s="1544">
        <v>38.301617647058826</v>
      </c>
      <c r="GM47" s="1943">
        <v>154.15972432486492</v>
      </c>
      <c r="GN47" s="1933">
        <v>0</v>
      </c>
      <c r="GO47" s="1544">
        <v>0</v>
      </c>
      <c r="GP47" s="1544">
        <v>12.877200000000002</v>
      </c>
      <c r="GQ47" s="1544">
        <v>31.553392014118458</v>
      </c>
      <c r="GR47" s="1544">
        <v>0</v>
      </c>
      <c r="GS47" s="1544">
        <v>0</v>
      </c>
      <c r="GT47" s="1544">
        <v>10.461600000000001</v>
      </c>
      <c r="GU47" s="1544">
        <v>23.081925860255126</v>
      </c>
      <c r="GV47" s="1544">
        <v>0</v>
      </c>
      <c r="GW47" s="1544">
        <v>0</v>
      </c>
      <c r="GX47" s="1544">
        <v>38.419500000000006</v>
      </c>
      <c r="GY47" s="1943">
        <v>168.71158516547553</v>
      </c>
      <c r="GZ47" s="1933">
        <v>0</v>
      </c>
      <c r="HA47" s="1544">
        <v>0</v>
      </c>
      <c r="HB47" s="1544">
        <v>9.3843647058823549</v>
      </c>
      <c r="HC47" s="1544">
        <v>15.345711253415736</v>
      </c>
      <c r="HD47" s="1544">
        <v>0</v>
      </c>
      <c r="HE47" s="1544">
        <v>0</v>
      </c>
      <c r="HF47" s="1544">
        <v>7.6239764705882358</v>
      </c>
      <c r="HG47" s="1544">
        <v>11.136788078209303</v>
      </c>
      <c r="HH47" s="1544">
        <v>0</v>
      </c>
      <c r="HI47" s="1544">
        <v>0</v>
      </c>
      <c r="HJ47" s="1544">
        <v>28.635264705882353</v>
      </c>
      <c r="HK47" s="1943">
        <v>92.665664814936932</v>
      </c>
      <c r="HL47" s="1933">
        <v>0</v>
      </c>
      <c r="HM47" s="1544">
        <v>0</v>
      </c>
      <c r="HN47" s="1544">
        <v>9.1739529411764718</v>
      </c>
      <c r="HO47" s="1544">
        <v>14.531363088142678</v>
      </c>
      <c r="HP47" s="1544">
        <v>0</v>
      </c>
      <c r="HQ47" s="1544">
        <v>0</v>
      </c>
      <c r="HR47" s="1544">
        <v>7.4530352941176474</v>
      </c>
      <c r="HS47" s="1544">
        <v>10.344314107761489</v>
      </c>
      <c r="HT47" s="1544">
        <v>0</v>
      </c>
      <c r="HU47" s="1544">
        <v>0</v>
      </c>
      <c r="HV47" s="1544">
        <v>28.04585294117647</v>
      </c>
      <c r="HW47" s="1943">
        <v>91.869291105935105</v>
      </c>
      <c r="HX47" s="1933">
        <v>0</v>
      </c>
      <c r="HY47" s="1544">
        <v>0</v>
      </c>
      <c r="HZ47" s="1544">
        <v>11.530564705882353</v>
      </c>
      <c r="IA47" s="1544">
        <v>26.392899263431328</v>
      </c>
      <c r="IB47" s="1544">
        <v>0</v>
      </c>
      <c r="IC47" s="1544">
        <v>0</v>
      </c>
      <c r="ID47" s="1544">
        <v>9.3675764705882347</v>
      </c>
      <c r="IE47" s="1544">
        <v>19.987467238171071</v>
      </c>
      <c r="IF47" s="1544">
        <v>0</v>
      </c>
      <c r="IG47" s="1544">
        <v>0</v>
      </c>
      <c r="IH47" s="1544">
        <v>34.64726470588235</v>
      </c>
      <c r="II47" s="1943">
        <v>129.34780284499715</v>
      </c>
      <c r="IJ47" s="1933">
        <v>0</v>
      </c>
      <c r="IK47" s="1544">
        <v>0</v>
      </c>
      <c r="IL47" s="1544">
        <v>10.099764705882354</v>
      </c>
      <c r="IM47" s="1544">
        <v>18.303853813188891</v>
      </c>
      <c r="IN47" s="1544">
        <v>0</v>
      </c>
      <c r="IO47" s="1544">
        <v>0</v>
      </c>
      <c r="IP47" s="1544">
        <v>8.2051764705882348</v>
      </c>
      <c r="IQ47" s="1544">
        <v>13.311731330558194</v>
      </c>
      <c r="IR47" s="1544">
        <v>0</v>
      </c>
      <c r="IS47" s="1544">
        <v>0</v>
      </c>
      <c r="IT47" s="1544">
        <v>30.639264705882354</v>
      </c>
      <c r="IU47" s="1943">
        <v>103.21566085578084</v>
      </c>
      <c r="IV47" s="1933">
        <v>0</v>
      </c>
      <c r="IW47" s="1544">
        <v>0</v>
      </c>
      <c r="IX47" s="1544">
        <v>12.877200000000002</v>
      </c>
      <c r="IY47" s="1544">
        <v>20.379395248953411</v>
      </c>
      <c r="IZ47" s="1544">
        <v>0</v>
      </c>
      <c r="JA47" s="1544">
        <v>0</v>
      </c>
      <c r="JB47" s="1544">
        <v>10.461600000000001</v>
      </c>
      <c r="JC47" s="1544">
        <v>13.281956219356653</v>
      </c>
      <c r="JD47" s="1544">
        <v>0</v>
      </c>
      <c r="JE47" s="1544">
        <v>0</v>
      </c>
      <c r="JF47" s="1544">
        <v>38.419500000000006</v>
      </c>
      <c r="JG47" s="1943">
        <v>148.53697790780905</v>
      </c>
      <c r="JH47" s="1933">
        <v>0</v>
      </c>
      <c r="JI47" s="1544">
        <v>0</v>
      </c>
      <c r="JJ47" s="1544">
        <v>11.109741176470589</v>
      </c>
      <c r="JK47" s="1544">
        <v>24.275093392027728</v>
      </c>
      <c r="JL47" s="1544">
        <v>0</v>
      </c>
      <c r="JM47" s="1544">
        <v>0</v>
      </c>
      <c r="JN47" s="1544">
        <v>9.025694117647058</v>
      </c>
      <c r="JO47" s="1544">
        <v>18.362198115247736</v>
      </c>
      <c r="JP47" s="1544">
        <v>0</v>
      </c>
      <c r="JQ47" s="1544">
        <v>0</v>
      </c>
      <c r="JR47" s="1544">
        <v>33.468441176470591</v>
      </c>
      <c r="JS47" s="1943">
        <v>120.9687402511307</v>
      </c>
      <c r="JT47" s="1933">
        <v>0</v>
      </c>
      <c r="JU47" s="1544">
        <v>0</v>
      </c>
      <c r="JV47" s="1544">
        <v>11.656811764705884</v>
      </c>
      <c r="JW47" s="1544">
        <v>24.216983362966943</v>
      </c>
      <c r="JX47" s="1544">
        <v>0</v>
      </c>
      <c r="JY47" s="1544">
        <v>0</v>
      </c>
      <c r="JZ47" s="1544">
        <v>9.4701411764705874</v>
      </c>
      <c r="KA47" s="1544">
        <v>18.034875763795732</v>
      </c>
      <c r="KB47" s="1544">
        <v>0</v>
      </c>
      <c r="KC47" s="1544">
        <v>0</v>
      </c>
      <c r="KD47" s="1544">
        <v>35.000911764705883</v>
      </c>
      <c r="KE47" s="1943">
        <v>125.00730831980209</v>
      </c>
      <c r="KF47" s="1933">
        <v>0</v>
      </c>
      <c r="KG47" s="1544">
        <v>0</v>
      </c>
      <c r="KH47" s="1544">
        <v>11.867223529411765</v>
      </c>
      <c r="KI47" s="1544">
        <v>30.627194164074794</v>
      </c>
      <c r="KJ47" s="1544">
        <v>0</v>
      </c>
      <c r="KK47" s="1544">
        <v>0</v>
      </c>
      <c r="KL47" s="1544">
        <v>9.6410823529411758</v>
      </c>
      <c r="KM47" s="1544">
        <v>23.231671364796288</v>
      </c>
      <c r="KN47" s="1544">
        <v>0</v>
      </c>
      <c r="KO47" s="1544">
        <v>0</v>
      </c>
      <c r="KP47" s="1544">
        <v>35.590323529411762</v>
      </c>
      <c r="KQ47" s="1943">
        <v>152.30133378855314</v>
      </c>
      <c r="KR47" s="1933">
        <v>0</v>
      </c>
      <c r="KS47" s="1544">
        <v>0</v>
      </c>
      <c r="KT47" s="1544">
        <v>10.646835294117649</v>
      </c>
      <c r="KU47" s="1544">
        <v>19.234453923433549</v>
      </c>
      <c r="KV47" s="1544">
        <v>0</v>
      </c>
      <c r="KW47" s="1544">
        <v>0</v>
      </c>
      <c r="KX47" s="1544">
        <v>8.6496235294117643</v>
      </c>
      <c r="KY47" s="1544">
        <v>14.249962422067473</v>
      </c>
      <c r="KZ47" s="1544">
        <v>0</v>
      </c>
      <c r="LA47" s="1544">
        <v>0</v>
      </c>
      <c r="LB47" s="1544">
        <v>32.171735294117653</v>
      </c>
      <c r="LC47" s="1943">
        <v>106.21574018235188</v>
      </c>
      <c r="LD47" s="1933">
        <v>0</v>
      </c>
      <c r="LE47" s="1544">
        <v>0</v>
      </c>
      <c r="LF47" s="1544">
        <v>12.119717647058826</v>
      </c>
      <c r="LG47" s="1544">
        <v>28.769337456829508</v>
      </c>
      <c r="LH47" s="1544">
        <v>0</v>
      </c>
      <c r="LI47" s="1544">
        <v>0</v>
      </c>
      <c r="LJ47" s="1544">
        <v>9.8462117647058829</v>
      </c>
      <c r="LK47" s="1544">
        <v>20.573815913332105</v>
      </c>
      <c r="LL47" s="1544">
        <v>0</v>
      </c>
      <c r="LM47" s="1544">
        <v>0</v>
      </c>
      <c r="LN47" s="1544">
        <v>36.297617647058829</v>
      </c>
      <c r="LO47" s="1943">
        <v>159.97792631736229</v>
      </c>
      <c r="LP47" s="1933">
        <v>0</v>
      </c>
      <c r="LQ47" s="1544">
        <v>0</v>
      </c>
      <c r="LR47" s="1544">
        <v>12.245964705882354</v>
      </c>
      <c r="LS47" s="1544">
        <v>26.416911048659557</v>
      </c>
      <c r="LT47" s="1544">
        <v>0</v>
      </c>
      <c r="LU47" s="1544">
        <v>0</v>
      </c>
      <c r="LV47" s="1544">
        <v>9.9487764705882356</v>
      </c>
      <c r="LW47" s="1544">
        <v>19.943768022361102</v>
      </c>
      <c r="LX47" s="1544">
        <v>0</v>
      </c>
      <c r="LY47" s="1544">
        <v>0</v>
      </c>
      <c r="LZ47" s="1544">
        <v>36.651264705882355</v>
      </c>
      <c r="MA47" s="1943">
        <v>131.6004851416568</v>
      </c>
      <c r="MB47" s="1933">
        <v>0</v>
      </c>
      <c r="MC47" s="1544">
        <v>0</v>
      </c>
      <c r="MD47" s="1544">
        <v>16.243788235294119</v>
      </c>
      <c r="ME47" s="1544">
        <v>29.687846174388682</v>
      </c>
      <c r="MF47" s="1544">
        <v>0</v>
      </c>
      <c r="MG47" s="1544">
        <v>0</v>
      </c>
      <c r="MH47" s="1544">
        <v>13.196658823529413</v>
      </c>
      <c r="MI47" s="1544">
        <v>19.693812741894124</v>
      </c>
      <c r="MJ47" s="1544">
        <v>0</v>
      </c>
      <c r="MK47" s="1544">
        <v>0</v>
      </c>
      <c r="ML47" s="1544">
        <v>47.850088235294123</v>
      </c>
      <c r="MM47" s="1943">
        <v>202.80795470705596</v>
      </c>
      <c r="MN47" s="1933">
        <v>0</v>
      </c>
      <c r="MO47" s="1544">
        <v>0</v>
      </c>
      <c r="MP47" s="1544">
        <v>13.424270588235295</v>
      </c>
      <c r="MQ47" s="1544">
        <v>32.50850451293212</v>
      </c>
      <c r="MR47" s="1544">
        <v>0</v>
      </c>
      <c r="MS47" s="1544">
        <v>0</v>
      </c>
      <c r="MT47" s="1544">
        <v>10.906047058823528</v>
      </c>
      <c r="MU47" s="1544">
        <v>22.429900770724281</v>
      </c>
      <c r="MV47" s="1544">
        <v>0</v>
      </c>
      <c r="MW47" s="1544">
        <v>0</v>
      </c>
      <c r="MX47" s="1544">
        <v>39.951970588235298</v>
      </c>
      <c r="MY47" s="1943">
        <v>196.15088468772456</v>
      </c>
      <c r="MZ47" s="1933">
        <v>0</v>
      </c>
      <c r="NA47" s="1544">
        <v>0</v>
      </c>
      <c r="NB47" s="1544">
        <v>12.750952941176473</v>
      </c>
      <c r="NC47" s="1544">
        <v>26.013618815408076</v>
      </c>
      <c r="ND47" s="1544">
        <v>0</v>
      </c>
      <c r="NE47" s="1544">
        <v>0</v>
      </c>
      <c r="NF47" s="1544">
        <v>10.359035294117648</v>
      </c>
      <c r="NG47" s="1544">
        <v>19.120672784444874</v>
      </c>
      <c r="NH47" s="1544">
        <v>0</v>
      </c>
      <c r="NI47" s="1544">
        <v>0</v>
      </c>
      <c r="NJ47" s="1544">
        <v>38.065852941176473</v>
      </c>
      <c r="NK47" s="1943">
        <v>137.54066920543329</v>
      </c>
      <c r="NL47" s="1933">
        <v>0</v>
      </c>
      <c r="NM47" s="1544">
        <v>0</v>
      </c>
      <c r="NN47" s="1544">
        <v>11.993470588235295</v>
      </c>
      <c r="NO47" s="1544">
        <v>28.04554702545262</v>
      </c>
      <c r="NP47" s="1544">
        <v>0</v>
      </c>
      <c r="NQ47" s="1544">
        <v>0</v>
      </c>
      <c r="NR47" s="1544">
        <v>9.7436470588235302</v>
      </c>
      <c r="NS47" s="1544">
        <v>21.427382044379197</v>
      </c>
      <c r="NT47" s="1544">
        <v>0</v>
      </c>
      <c r="NU47" s="1544">
        <v>0</v>
      </c>
      <c r="NV47" s="1544">
        <v>35.943970588235295</v>
      </c>
      <c r="NW47" s="1943">
        <v>133.09291183456381</v>
      </c>
      <c r="NX47" s="1933">
        <v>0</v>
      </c>
      <c r="NY47" s="1544">
        <v>0</v>
      </c>
      <c r="NZ47" s="1544">
        <v>13.887176470588237</v>
      </c>
      <c r="OA47" s="1544">
        <v>26.109671571588244</v>
      </c>
      <c r="OB47" s="1544">
        <v>0</v>
      </c>
      <c r="OC47" s="1544">
        <v>0</v>
      </c>
      <c r="OD47" s="1544">
        <v>11.282117647058824</v>
      </c>
      <c r="OE47" s="1544">
        <v>17.909591215994574</v>
      </c>
      <c r="OF47" s="1544">
        <v>0</v>
      </c>
      <c r="OG47" s="1544">
        <v>0</v>
      </c>
      <c r="OH47" s="1544">
        <v>41.248676470588236</v>
      </c>
      <c r="OI47" s="1934">
        <v>163.77780888465193</v>
      </c>
      <c r="OJ47" s="1933">
        <v>0</v>
      </c>
      <c r="OK47" s="1544">
        <v>0</v>
      </c>
      <c r="OL47" s="1544">
        <v>11.362235294117648</v>
      </c>
      <c r="OM47" s="1544">
        <v>20.932829896493537</v>
      </c>
      <c r="ON47" s="1544">
        <v>0</v>
      </c>
      <c r="OO47" s="1544">
        <v>0</v>
      </c>
      <c r="OP47" s="1544">
        <v>9.2308235294117651</v>
      </c>
      <c r="OQ47" s="1544">
        <v>15.164468915986076</v>
      </c>
      <c r="OR47" s="1544">
        <v>0</v>
      </c>
      <c r="OS47" s="1544">
        <v>0</v>
      </c>
      <c r="OT47" s="1544">
        <v>34.175735294117644</v>
      </c>
      <c r="OU47" s="1934">
        <v>115.11703070786561</v>
      </c>
      <c r="OV47" s="1933">
        <v>0</v>
      </c>
      <c r="OW47" s="1544">
        <v>0</v>
      </c>
      <c r="OX47" s="1544">
        <v>15.65463529411765</v>
      </c>
      <c r="OY47" s="1544">
        <v>29.226925876648938</v>
      </c>
      <c r="OZ47" s="1544">
        <v>0</v>
      </c>
      <c r="PA47" s="1544">
        <v>0</v>
      </c>
      <c r="PB47" s="1544">
        <v>12.718023529411767</v>
      </c>
      <c r="PC47" s="1544">
        <v>20.729221383002283</v>
      </c>
      <c r="PD47" s="1544">
        <v>0</v>
      </c>
      <c r="PE47" s="1544">
        <v>0</v>
      </c>
      <c r="PF47" s="1544">
        <v>46.199735294117659</v>
      </c>
      <c r="PG47" s="1934">
        <v>181.56505262607425</v>
      </c>
      <c r="PH47" s="1933">
        <v>0</v>
      </c>
      <c r="PI47" s="1544">
        <v>0</v>
      </c>
      <c r="PJ47" s="1544">
        <v>12.119717647058826</v>
      </c>
      <c r="PK47" s="1544">
        <v>23.402817958274841</v>
      </c>
      <c r="PL47" s="1544">
        <v>0</v>
      </c>
      <c r="PM47" s="1544">
        <v>0</v>
      </c>
      <c r="PN47" s="1544">
        <v>9.8462117647058829</v>
      </c>
      <c r="PO47" s="1544">
        <v>17.371484789936041</v>
      </c>
      <c r="PP47" s="1544">
        <v>0</v>
      </c>
      <c r="PQ47" s="1544">
        <v>0</v>
      </c>
      <c r="PR47" s="1544">
        <v>36.297617647058829</v>
      </c>
      <c r="PS47" s="1934">
        <v>121.64537231720243</v>
      </c>
      <c r="PT47" s="1933">
        <v>0</v>
      </c>
      <c r="PU47" s="1544">
        <v>0</v>
      </c>
      <c r="PV47" s="1544">
        <v>11.909305882352943</v>
      </c>
      <c r="PW47" s="1544">
        <v>26.36869316764291</v>
      </c>
      <c r="PX47" s="1544">
        <v>0</v>
      </c>
      <c r="PY47" s="1544">
        <v>0</v>
      </c>
      <c r="PZ47" s="1544">
        <v>9.6752705882352945</v>
      </c>
      <c r="QA47" s="1544">
        <v>19.80356058048714</v>
      </c>
      <c r="QB47" s="1544">
        <v>0</v>
      </c>
      <c r="QC47" s="1544">
        <v>0</v>
      </c>
      <c r="QD47" s="1544">
        <v>35.708205882352942</v>
      </c>
      <c r="QE47" s="1934">
        <v>131.48412594969108</v>
      </c>
      <c r="QF47" s="1933">
        <v>0</v>
      </c>
      <c r="QG47" s="1544">
        <v>0</v>
      </c>
      <c r="QH47" s="1544">
        <v>13.50843529411765</v>
      </c>
      <c r="QI47" s="1544">
        <v>28.658756069446216</v>
      </c>
      <c r="QJ47" s="1544">
        <v>0</v>
      </c>
      <c r="QK47" s="1544">
        <v>0</v>
      </c>
      <c r="QL47" s="1544">
        <v>10.974423529411766</v>
      </c>
      <c r="QM47" s="1544">
        <v>18.811032482305635</v>
      </c>
      <c r="QN47" s="1544">
        <v>0</v>
      </c>
      <c r="QO47" s="1544">
        <v>0</v>
      </c>
      <c r="QP47" s="1544">
        <v>40.187735294117658</v>
      </c>
      <c r="QQ47" s="1934">
        <v>187.18888979084639</v>
      </c>
      <c r="QR47" s="1933">
        <v>0</v>
      </c>
      <c r="QS47" s="1544">
        <v>0</v>
      </c>
      <c r="QT47" s="1544">
        <v>12.077635294117648</v>
      </c>
      <c r="QU47" s="1544">
        <v>24.817945226851013</v>
      </c>
      <c r="QV47" s="1544">
        <v>0</v>
      </c>
      <c r="QW47" s="1544">
        <v>0</v>
      </c>
      <c r="QX47" s="1544">
        <v>9.8120235294117641</v>
      </c>
      <c r="QY47" s="1544">
        <v>18.47759766128118</v>
      </c>
      <c r="QZ47" s="1544">
        <v>0</v>
      </c>
      <c r="RA47" s="1544">
        <v>0</v>
      </c>
      <c r="RB47" s="1544">
        <v>36.179735294117648</v>
      </c>
      <c r="RC47" s="1934">
        <v>126.74674646500657</v>
      </c>
      <c r="RD47" s="1933">
        <v>0</v>
      </c>
      <c r="RE47" s="1544">
        <v>0</v>
      </c>
      <c r="RF47" s="1544">
        <v>11.993470588235295</v>
      </c>
      <c r="RG47" s="1544">
        <v>24.290614197971614</v>
      </c>
      <c r="RH47" s="1544">
        <v>0</v>
      </c>
      <c r="RI47" s="1544">
        <v>0</v>
      </c>
      <c r="RJ47" s="1544">
        <v>9.7436470588235302</v>
      </c>
      <c r="RK47" s="1544">
        <v>18.003642287087548</v>
      </c>
      <c r="RL47" s="1544">
        <v>0</v>
      </c>
      <c r="RM47" s="1544">
        <v>0</v>
      </c>
      <c r="RN47" s="1544">
        <v>35.943970588235295</v>
      </c>
      <c r="RO47" s="1934">
        <v>126.13033654046282</v>
      </c>
    </row>
    <row r="48" spans="1:483">
      <c r="A48" s="634">
        <f>Eingabedaten!A50</f>
        <v>12.09</v>
      </c>
      <c r="B48" s="379" t="str">
        <f>Eingabedaten!C50</f>
        <v>Parkhaus</v>
      </c>
      <c r="C48" s="379"/>
      <c r="D48" s="1933">
        <v>0</v>
      </c>
      <c r="E48" s="1544">
        <v>0</v>
      </c>
      <c r="F48" s="1544">
        <v>0</v>
      </c>
      <c r="G48" s="1544">
        <v>0</v>
      </c>
      <c r="H48" s="1544">
        <v>0</v>
      </c>
      <c r="I48" s="1544">
        <v>0</v>
      </c>
      <c r="J48" s="1544">
        <v>0</v>
      </c>
      <c r="K48" s="1544">
        <v>0</v>
      </c>
      <c r="L48" s="1544">
        <v>0</v>
      </c>
      <c r="M48" s="1544">
        <v>0</v>
      </c>
      <c r="N48" s="1544">
        <v>0</v>
      </c>
      <c r="O48" s="1943">
        <v>0</v>
      </c>
      <c r="P48" s="1933">
        <v>0</v>
      </c>
      <c r="Q48" s="1544">
        <v>0</v>
      </c>
      <c r="R48" s="1544">
        <v>0</v>
      </c>
      <c r="S48" s="1544">
        <v>0</v>
      </c>
      <c r="T48" s="1544">
        <v>0</v>
      </c>
      <c r="U48" s="1544">
        <v>0</v>
      </c>
      <c r="V48" s="1544">
        <v>0</v>
      </c>
      <c r="W48" s="1544">
        <v>0</v>
      </c>
      <c r="X48" s="1544">
        <v>0</v>
      </c>
      <c r="Y48" s="1544">
        <v>0</v>
      </c>
      <c r="Z48" s="1544">
        <v>0</v>
      </c>
      <c r="AA48" s="1943">
        <v>0</v>
      </c>
      <c r="AB48" s="1933">
        <v>0</v>
      </c>
      <c r="AC48" s="1544">
        <v>0</v>
      </c>
      <c r="AD48" s="1544">
        <v>0</v>
      </c>
      <c r="AE48" s="1544">
        <v>0</v>
      </c>
      <c r="AF48" s="1544">
        <v>0</v>
      </c>
      <c r="AG48" s="1544">
        <v>0</v>
      </c>
      <c r="AH48" s="1544">
        <v>0</v>
      </c>
      <c r="AI48" s="1544">
        <v>0</v>
      </c>
      <c r="AJ48" s="1544">
        <v>0</v>
      </c>
      <c r="AK48" s="1544">
        <v>0</v>
      </c>
      <c r="AL48" s="1544">
        <v>0</v>
      </c>
      <c r="AM48" s="1943">
        <v>0</v>
      </c>
      <c r="AN48" s="1933">
        <v>0</v>
      </c>
      <c r="AO48" s="1544">
        <v>0</v>
      </c>
      <c r="AP48" s="1544">
        <v>0</v>
      </c>
      <c r="AQ48" s="1544">
        <v>0</v>
      </c>
      <c r="AR48" s="1544">
        <v>0</v>
      </c>
      <c r="AS48" s="1544">
        <v>0</v>
      </c>
      <c r="AT48" s="1544">
        <v>0</v>
      </c>
      <c r="AU48" s="1544">
        <v>0</v>
      </c>
      <c r="AV48" s="1544">
        <v>0</v>
      </c>
      <c r="AW48" s="1544">
        <v>0</v>
      </c>
      <c r="AX48" s="1544">
        <v>0</v>
      </c>
      <c r="AY48" s="1943">
        <v>0</v>
      </c>
      <c r="AZ48" s="1933">
        <v>0</v>
      </c>
      <c r="BA48" s="1544">
        <v>0</v>
      </c>
      <c r="BB48" s="1544">
        <v>0</v>
      </c>
      <c r="BC48" s="1544">
        <v>0</v>
      </c>
      <c r="BD48" s="1544">
        <v>0</v>
      </c>
      <c r="BE48" s="1544">
        <v>0</v>
      </c>
      <c r="BF48" s="1544">
        <v>0</v>
      </c>
      <c r="BG48" s="1544">
        <v>0</v>
      </c>
      <c r="BH48" s="1544">
        <v>0</v>
      </c>
      <c r="BI48" s="1544">
        <v>0</v>
      </c>
      <c r="BJ48" s="1544">
        <v>0</v>
      </c>
      <c r="BK48" s="1943">
        <v>0</v>
      </c>
      <c r="BL48" s="1933">
        <v>0</v>
      </c>
      <c r="BM48" s="1544">
        <v>0</v>
      </c>
      <c r="BN48" s="1544">
        <v>0</v>
      </c>
      <c r="BO48" s="1544">
        <v>0</v>
      </c>
      <c r="BP48" s="1544">
        <v>0</v>
      </c>
      <c r="BQ48" s="1544">
        <v>0</v>
      </c>
      <c r="BR48" s="1544">
        <v>0</v>
      </c>
      <c r="BS48" s="1544">
        <v>0</v>
      </c>
      <c r="BT48" s="1544">
        <v>0</v>
      </c>
      <c r="BU48" s="1544">
        <v>0</v>
      </c>
      <c r="BV48" s="1544">
        <v>0</v>
      </c>
      <c r="BW48" s="1943">
        <v>0</v>
      </c>
      <c r="BX48" s="1933">
        <v>0</v>
      </c>
      <c r="BY48" s="1544">
        <v>0</v>
      </c>
      <c r="BZ48" s="1544">
        <v>0</v>
      </c>
      <c r="CA48" s="1544">
        <v>0</v>
      </c>
      <c r="CB48" s="1544">
        <v>0</v>
      </c>
      <c r="CC48" s="1544">
        <v>0</v>
      </c>
      <c r="CD48" s="1544">
        <v>0</v>
      </c>
      <c r="CE48" s="1544">
        <v>0</v>
      </c>
      <c r="CF48" s="1544">
        <v>0</v>
      </c>
      <c r="CG48" s="1544">
        <v>0</v>
      </c>
      <c r="CH48" s="1544">
        <v>0</v>
      </c>
      <c r="CI48" s="1943">
        <v>0</v>
      </c>
      <c r="CJ48" s="1933">
        <v>0</v>
      </c>
      <c r="CK48" s="1544">
        <v>0</v>
      </c>
      <c r="CL48" s="1544">
        <v>0</v>
      </c>
      <c r="CM48" s="1544">
        <v>0</v>
      </c>
      <c r="CN48" s="1544">
        <v>0</v>
      </c>
      <c r="CO48" s="1544">
        <v>0</v>
      </c>
      <c r="CP48" s="1544">
        <v>0</v>
      </c>
      <c r="CQ48" s="1544">
        <v>0</v>
      </c>
      <c r="CR48" s="1544">
        <v>0</v>
      </c>
      <c r="CS48" s="1544">
        <v>0</v>
      </c>
      <c r="CT48" s="1544">
        <v>0</v>
      </c>
      <c r="CU48" s="1943">
        <v>0</v>
      </c>
      <c r="CV48" s="1933">
        <v>0</v>
      </c>
      <c r="CW48" s="1544">
        <v>0</v>
      </c>
      <c r="CX48" s="1544">
        <v>0</v>
      </c>
      <c r="CY48" s="1544">
        <v>0</v>
      </c>
      <c r="CZ48" s="1544">
        <v>0</v>
      </c>
      <c r="DA48" s="1544">
        <v>0</v>
      </c>
      <c r="DB48" s="1544">
        <v>0</v>
      </c>
      <c r="DC48" s="1544">
        <v>0</v>
      </c>
      <c r="DD48" s="1544">
        <v>0</v>
      </c>
      <c r="DE48" s="1544">
        <v>0</v>
      </c>
      <c r="DF48" s="1544">
        <v>0</v>
      </c>
      <c r="DG48" s="1943">
        <v>0</v>
      </c>
      <c r="DH48" s="1933">
        <v>0</v>
      </c>
      <c r="DI48" s="1544">
        <v>0</v>
      </c>
      <c r="DJ48" s="1544">
        <v>0</v>
      </c>
      <c r="DK48" s="1544">
        <v>0</v>
      </c>
      <c r="DL48" s="1544">
        <v>0</v>
      </c>
      <c r="DM48" s="1544">
        <v>0</v>
      </c>
      <c r="DN48" s="1544">
        <v>0</v>
      </c>
      <c r="DO48" s="1544">
        <v>0</v>
      </c>
      <c r="DP48" s="1544">
        <v>0</v>
      </c>
      <c r="DQ48" s="1544">
        <v>0</v>
      </c>
      <c r="DR48" s="1544">
        <v>0</v>
      </c>
      <c r="DS48" s="1943">
        <v>0</v>
      </c>
      <c r="DT48" s="1933">
        <v>0</v>
      </c>
      <c r="DU48" s="1544">
        <v>0</v>
      </c>
      <c r="DV48" s="1544">
        <v>0</v>
      </c>
      <c r="DW48" s="1544">
        <v>0</v>
      </c>
      <c r="DX48" s="1544">
        <v>0</v>
      </c>
      <c r="DY48" s="1544">
        <v>0</v>
      </c>
      <c r="DZ48" s="1544">
        <v>0</v>
      </c>
      <c r="EA48" s="1544">
        <v>0</v>
      </c>
      <c r="EB48" s="1544">
        <v>0</v>
      </c>
      <c r="EC48" s="1544">
        <v>0</v>
      </c>
      <c r="ED48" s="1544">
        <v>0</v>
      </c>
      <c r="EE48" s="1943">
        <v>0</v>
      </c>
      <c r="EF48" s="1933">
        <v>0</v>
      </c>
      <c r="EG48" s="1544">
        <v>0</v>
      </c>
      <c r="EH48" s="1544">
        <v>0</v>
      </c>
      <c r="EI48" s="1544">
        <v>0</v>
      </c>
      <c r="EJ48" s="1544">
        <v>0</v>
      </c>
      <c r="EK48" s="1544">
        <v>0</v>
      </c>
      <c r="EL48" s="1544">
        <v>0</v>
      </c>
      <c r="EM48" s="1544">
        <v>0</v>
      </c>
      <c r="EN48" s="1544">
        <v>0</v>
      </c>
      <c r="EO48" s="1544">
        <v>0</v>
      </c>
      <c r="EP48" s="1544">
        <v>0</v>
      </c>
      <c r="EQ48" s="1943">
        <v>0</v>
      </c>
      <c r="ER48" s="1933">
        <v>0</v>
      </c>
      <c r="ES48" s="1544">
        <v>0</v>
      </c>
      <c r="ET48" s="1544">
        <v>0</v>
      </c>
      <c r="EU48" s="1544">
        <v>0</v>
      </c>
      <c r="EV48" s="1544">
        <v>0</v>
      </c>
      <c r="EW48" s="1544">
        <v>0</v>
      </c>
      <c r="EX48" s="1544">
        <v>0</v>
      </c>
      <c r="EY48" s="1544">
        <v>0</v>
      </c>
      <c r="EZ48" s="1544">
        <v>0</v>
      </c>
      <c r="FA48" s="1544">
        <v>0</v>
      </c>
      <c r="FB48" s="1544">
        <v>0</v>
      </c>
      <c r="FC48" s="1943">
        <v>0</v>
      </c>
      <c r="FD48" s="1933">
        <v>0</v>
      </c>
      <c r="FE48" s="1544">
        <v>0</v>
      </c>
      <c r="FF48" s="1544">
        <v>0</v>
      </c>
      <c r="FG48" s="1544">
        <v>0</v>
      </c>
      <c r="FH48" s="1544">
        <v>0</v>
      </c>
      <c r="FI48" s="1544">
        <v>0</v>
      </c>
      <c r="FJ48" s="1544">
        <v>0</v>
      </c>
      <c r="FK48" s="1544">
        <v>0</v>
      </c>
      <c r="FL48" s="1544">
        <v>0</v>
      </c>
      <c r="FM48" s="1544">
        <v>0</v>
      </c>
      <c r="FN48" s="1544">
        <v>0</v>
      </c>
      <c r="FO48" s="1943">
        <v>0</v>
      </c>
      <c r="FP48" s="1933">
        <v>0</v>
      </c>
      <c r="FQ48" s="1544">
        <v>0</v>
      </c>
      <c r="FR48" s="1544">
        <v>0</v>
      </c>
      <c r="FS48" s="1544">
        <v>0</v>
      </c>
      <c r="FT48" s="1544">
        <v>0</v>
      </c>
      <c r="FU48" s="1544">
        <v>0</v>
      </c>
      <c r="FV48" s="1544">
        <v>0</v>
      </c>
      <c r="FW48" s="1544">
        <v>0</v>
      </c>
      <c r="FX48" s="1544">
        <v>0</v>
      </c>
      <c r="FY48" s="1544">
        <v>0</v>
      </c>
      <c r="FZ48" s="1544">
        <v>0</v>
      </c>
      <c r="GA48" s="1943">
        <v>0</v>
      </c>
      <c r="GB48" s="1933">
        <v>0</v>
      </c>
      <c r="GC48" s="1544">
        <v>0</v>
      </c>
      <c r="GD48" s="1544">
        <v>0</v>
      </c>
      <c r="GE48" s="1544">
        <v>0</v>
      </c>
      <c r="GF48" s="1544">
        <v>0</v>
      </c>
      <c r="GG48" s="1544">
        <v>0</v>
      </c>
      <c r="GH48" s="1544">
        <v>0</v>
      </c>
      <c r="GI48" s="1544">
        <v>0</v>
      </c>
      <c r="GJ48" s="1544">
        <v>0</v>
      </c>
      <c r="GK48" s="1544">
        <v>0</v>
      </c>
      <c r="GL48" s="1544">
        <v>0</v>
      </c>
      <c r="GM48" s="1943">
        <v>0</v>
      </c>
      <c r="GN48" s="1933">
        <v>0</v>
      </c>
      <c r="GO48" s="1544">
        <v>0</v>
      </c>
      <c r="GP48" s="1544">
        <v>0</v>
      </c>
      <c r="GQ48" s="1544">
        <v>0</v>
      </c>
      <c r="GR48" s="1544">
        <v>0</v>
      </c>
      <c r="GS48" s="1544">
        <v>0</v>
      </c>
      <c r="GT48" s="1544">
        <v>0</v>
      </c>
      <c r="GU48" s="1544">
        <v>0</v>
      </c>
      <c r="GV48" s="1544">
        <v>0</v>
      </c>
      <c r="GW48" s="1544">
        <v>0</v>
      </c>
      <c r="GX48" s="1544">
        <v>0</v>
      </c>
      <c r="GY48" s="1943">
        <v>0</v>
      </c>
      <c r="GZ48" s="1933">
        <v>0</v>
      </c>
      <c r="HA48" s="1544">
        <v>0</v>
      </c>
      <c r="HB48" s="1544">
        <v>0</v>
      </c>
      <c r="HC48" s="1544">
        <v>0</v>
      </c>
      <c r="HD48" s="1544">
        <v>0</v>
      </c>
      <c r="HE48" s="1544">
        <v>0</v>
      </c>
      <c r="HF48" s="1544">
        <v>0</v>
      </c>
      <c r="HG48" s="1544">
        <v>0</v>
      </c>
      <c r="HH48" s="1544">
        <v>0</v>
      </c>
      <c r="HI48" s="1544">
        <v>0</v>
      </c>
      <c r="HJ48" s="1544">
        <v>0</v>
      </c>
      <c r="HK48" s="1943">
        <v>0</v>
      </c>
      <c r="HL48" s="1933">
        <v>0</v>
      </c>
      <c r="HM48" s="1544">
        <v>0</v>
      </c>
      <c r="HN48" s="1544">
        <v>0</v>
      </c>
      <c r="HO48" s="1544">
        <v>0</v>
      </c>
      <c r="HP48" s="1544">
        <v>0</v>
      </c>
      <c r="HQ48" s="1544">
        <v>0</v>
      </c>
      <c r="HR48" s="1544">
        <v>0</v>
      </c>
      <c r="HS48" s="1544">
        <v>0</v>
      </c>
      <c r="HT48" s="1544">
        <v>0</v>
      </c>
      <c r="HU48" s="1544">
        <v>0</v>
      </c>
      <c r="HV48" s="1544">
        <v>0</v>
      </c>
      <c r="HW48" s="1943">
        <v>0</v>
      </c>
      <c r="HX48" s="1933">
        <v>0</v>
      </c>
      <c r="HY48" s="1544">
        <v>0</v>
      </c>
      <c r="HZ48" s="1544">
        <v>0</v>
      </c>
      <c r="IA48" s="1544">
        <v>0</v>
      </c>
      <c r="IB48" s="1544">
        <v>0</v>
      </c>
      <c r="IC48" s="1544">
        <v>0</v>
      </c>
      <c r="ID48" s="1544">
        <v>0</v>
      </c>
      <c r="IE48" s="1544">
        <v>0</v>
      </c>
      <c r="IF48" s="1544">
        <v>0</v>
      </c>
      <c r="IG48" s="1544">
        <v>0</v>
      </c>
      <c r="IH48" s="1544">
        <v>0</v>
      </c>
      <c r="II48" s="1943">
        <v>0</v>
      </c>
      <c r="IJ48" s="1933">
        <v>0</v>
      </c>
      <c r="IK48" s="1544">
        <v>0</v>
      </c>
      <c r="IL48" s="1544">
        <v>0</v>
      </c>
      <c r="IM48" s="1544">
        <v>0</v>
      </c>
      <c r="IN48" s="1544">
        <v>0</v>
      </c>
      <c r="IO48" s="1544">
        <v>0</v>
      </c>
      <c r="IP48" s="1544">
        <v>0</v>
      </c>
      <c r="IQ48" s="1544">
        <v>0</v>
      </c>
      <c r="IR48" s="1544">
        <v>0</v>
      </c>
      <c r="IS48" s="1544">
        <v>0</v>
      </c>
      <c r="IT48" s="1544">
        <v>0</v>
      </c>
      <c r="IU48" s="1943">
        <v>0</v>
      </c>
      <c r="IV48" s="1933">
        <v>0</v>
      </c>
      <c r="IW48" s="1544">
        <v>0</v>
      </c>
      <c r="IX48" s="1544">
        <v>0</v>
      </c>
      <c r="IY48" s="1544">
        <v>0</v>
      </c>
      <c r="IZ48" s="1544">
        <v>0</v>
      </c>
      <c r="JA48" s="1544">
        <v>0</v>
      </c>
      <c r="JB48" s="1544">
        <v>0</v>
      </c>
      <c r="JC48" s="1544">
        <v>0</v>
      </c>
      <c r="JD48" s="1544">
        <v>0</v>
      </c>
      <c r="JE48" s="1544">
        <v>0</v>
      </c>
      <c r="JF48" s="1544">
        <v>0</v>
      </c>
      <c r="JG48" s="1943">
        <v>0</v>
      </c>
      <c r="JH48" s="1933">
        <v>0</v>
      </c>
      <c r="JI48" s="1544">
        <v>0</v>
      </c>
      <c r="JJ48" s="1544">
        <v>0</v>
      </c>
      <c r="JK48" s="1544">
        <v>0</v>
      </c>
      <c r="JL48" s="1544">
        <v>0</v>
      </c>
      <c r="JM48" s="1544">
        <v>0</v>
      </c>
      <c r="JN48" s="1544">
        <v>0</v>
      </c>
      <c r="JO48" s="1544">
        <v>0</v>
      </c>
      <c r="JP48" s="1544">
        <v>0</v>
      </c>
      <c r="JQ48" s="1544">
        <v>0</v>
      </c>
      <c r="JR48" s="1544">
        <v>0</v>
      </c>
      <c r="JS48" s="1943">
        <v>0</v>
      </c>
      <c r="JT48" s="1933">
        <v>0</v>
      </c>
      <c r="JU48" s="1544">
        <v>0</v>
      </c>
      <c r="JV48" s="1544">
        <v>0</v>
      </c>
      <c r="JW48" s="1544">
        <v>0</v>
      </c>
      <c r="JX48" s="1544">
        <v>0</v>
      </c>
      <c r="JY48" s="1544">
        <v>0</v>
      </c>
      <c r="JZ48" s="1544">
        <v>0</v>
      </c>
      <c r="KA48" s="1544">
        <v>0</v>
      </c>
      <c r="KB48" s="1544">
        <v>0</v>
      </c>
      <c r="KC48" s="1544">
        <v>0</v>
      </c>
      <c r="KD48" s="1544">
        <v>0</v>
      </c>
      <c r="KE48" s="1943">
        <v>0</v>
      </c>
      <c r="KF48" s="1933">
        <v>0</v>
      </c>
      <c r="KG48" s="1544">
        <v>0</v>
      </c>
      <c r="KH48" s="1544">
        <v>0</v>
      </c>
      <c r="KI48" s="1544">
        <v>0</v>
      </c>
      <c r="KJ48" s="1544">
        <v>0</v>
      </c>
      <c r="KK48" s="1544">
        <v>0</v>
      </c>
      <c r="KL48" s="1544">
        <v>0</v>
      </c>
      <c r="KM48" s="1544">
        <v>0</v>
      </c>
      <c r="KN48" s="1544">
        <v>0</v>
      </c>
      <c r="KO48" s="1544">
        <v>0</v>
      </c>
      <c r="KP48" s="1544">
        <v>0</v>
      </c>
      <c r="KQ48" s="1943">
        <v>0</v>
      </c>
      <c r="KR48" s="1933">
        <v>0</v>
      </c>
      <c r="KS48" s="1544">
        <v>0</v>
      </c>
      <c r="KT48" s="1544">
        <v>0</v>
      </c>
      <c r="KU48" s="1544">
        <v>0</v>
      </c>
      <c r="KV48" s="1544">
        <v>0</v>
      </c>
      <c r="KW48" s="1544">
        <v>0</v>
      </c>
      <c r="KX48" s="1544">
        <v>0</v>
      </c>
      <c r="KY48" s="1544">
        <v>0</v>
      </c>
      <c r="KZ48" s="1544">
        <v>0</v>
      </c>
      <c r="LA48" s="1544">
        <v>0</v>
      </c>
      <c r="LB48" s="1544">
        <v>0</v>
      </c>
      <c r="LC48" s="1943">
        <v>0</v>
      </c>
      <c r="LD48" s="1933">
        <v>0</v>
      </c>
      <c r="LE48" s="1544">
        <v>0</v>
      </c>
      <c r="LF48" s="1544">
        <v>0</v>
      </c>
      <c r="LG48" s="1544">
        <v>0</v>
      </c>
      <c r="LH48" s="1544">
        <v>0</v>
      </c>
      <c r="LI48" s="1544">
        <v>0</v>
      </c>
      <c r="LJ48" s="1544">
        <v>0</v>
      </c>
      <c r="LK48" s="1544">
        <v>0</v>
      </c>
      <c r="LL48" s="1544">
        <v>0</v>
      </c>
      <c r="LM48" s="1544">
        <v>0</v>
      </c>
      <c r="LN48" s="1544">
        <v>0</v>
      </c>
      <c r="LO48" s="1943">
        <v>0</v>
      </c>
      <c r="LP48" s="1933">
        <v>0</v>
      </c>
      <c r="LQ48" s="1544">
        <v>0</v>
      </c>
      <c r="LR48" s="1544">
        <v>0</v>
      </c>
      <c r="LS48" s="1544">
        <v>0</v>
      </c>
      <c r="LT48" s="1544">
        <v>0</v>
      </c>
      <c r="LU48" s="1544">
        <v>0</v>
      </c>
      <c r="LV48" s="1544">
        <v>0</v>
      </c>
      <c r="LW48" s="1544">
        <v>0</v>
      </c>
      <c r="LX48" s="1544">
        <v>0</v>
      </c>
      <c r="LY48" s="1544">
        <v>0</v>
      </c>
      <c r="LZ48" s="1544">
        <v>0</v>
      </c>
      <c r="MA48" s="1943">
        <v>0</v>
      </c>
      <c r="MB48" s="1933">
        <v>0</v>
      </c>
      <c r="MC48" s="1544">
        <v>0</v>
      </c>
      <c r="MD48" s="1544">
        <v>0</v>
      </c>
      <c r="ME48" s="1544">
        <v>0</v>
      </c>
      <c r="MF48" s="1544">
        <v>0</v>
      </c>
      <c r="MG48" s="1544">
        <v>0</v>
      </c>
      <c r="MH48" s="1544">
        <v>0</v>
      </c>
      <c r="MI48" s="1544">
        <v>0</v>
      </c>
      <c r="MJ48" s="1544">
        <v>0</v>
      </c>
      <c r="MK48" s="1544">
        <v>0</v>
      </c>
      <c r="ML48" s="1544">
        <v>0</v>
      </c>
      <c r="MM48" s="1943">
        <v>0</v>
      </c>
      <c r="MN48" s="1933">
        <v>0</v>
      </c>
      <c r="MO48" s="1544">
        <v>0</v>
      </c>
      <c r="MP48" s="1544">
        <v>0</v>
      </c>
      <c r="MQ48" s="1544">
        <v>0</v>
      </c>
      <c r="MR48" s="1544">
        <v>0</v>
      </c>
      <c r="MS48" s="1544">
        <v>0</v>
      </c>
      <c r="MT48" s="1544">
        <v>0</v>
      </c>
      <c r="MU48" s="1544">
        <v>0</v>
      </c>
      <c r="MV48" s="1544">
        <v>0</v>
      </c>
      <c r="MW48" s="1544">
        <v>0</v>
      </c>
      <c r="MX48" s="1544">
        <v>0</v>
      </c>
      <c r="MY48" s="1943">
        <v>0</v>
      </c>
      <c r="MZ48" s="1933">
        <v>0</v>
      </c>
      <c r="NA48" s="1544">
        <v>0</v>
      </c>
      <c r="NB48" s="1544">
        <v>0</v>
      </c>
      <c r="NC48" s="1544">
        <v>0</v>
      </c>
      <c r="ND48" s="1544">
        <v>0</v>
      </c>
      <c r="NE48" s="1544">
        <v>0</v>
      </c>
      <c r="NF48" s="1544">
        <v>0</v>
      </c>
      <c r="NG48" s="1544">
        <v>0</v>
      </c>
      <c r="NH48" s="1544">
        <v>0</v>
      </c>
      <c r="NI48" s="1544">
        <v>0</v>
      </c>
      <c r="NJ48" s="1544">
        <v>0</v>
      </c>
      <c r="NK48" s="1943">
        <v>0</v>
      </c>
      <c r="NL48" s="1933">
        <v>0</v>
      </c>
      <c r="NM48" s="1544">
        <v>0</v>
      </c>
      <c r="NN48" s="1544">
        <v>0</v>
      </c>
      <c r="NO48" s="1544">
        <v>0</v>
      </c>
      <c r="NP48" s="1544">
        <v>0</v>
      </c>
      <c r="NQ48" s="1544">
        <v>0</v>
      </c>
      <c r="NR48" s="1544">
        <v>0</v>
      </c>
      <c r="NS48" s="1544">
        <v>0</v>
      </c>
      <c r="NT48" s="1544">
        <v>0</v>
      </c>
      <c r="NU48" s="1544">
        <v>0</v>
      </c>
      <c r="NV48" s="1544">
        <v>0</v>
      </c>
      <c r="NW48" s="1943">
        <v>0</v>
      </c>
      <c r="NX48" s="1933">
        <v>0</v>
      </c>
      <c r="NY48" s="1544">
        <v>0</v>
      </c>
      <c r="NZ48" s="1544">
        <v>0</v>
      </c>
      <c r="OA48" s="1544">
        <v>0</v>
      </c>
      <c r="OB48" s="1544">
        <v>0</v>
      </c>
      <c r="OC48" s="1544">
        <v>0</v>
      </c>
      <c r="OD48" s="1544">
        <v>0</v>
      </c>
      <c r="OE48" s="1544">
        <v>0</v>
      </c>
      <c r="OF48" s="1544">
        <v>0</v>
      </c>
      <c r="OG48" s="1544">
        <v>0</v>
      </c>
      <c r="OH48" s="1544">
        <v>0</v>
      </c>
      <c r="OI48" s="1934">
        <v>0</v>
      </c>
      <c r="OJ48" s="1933">
        <v>0</v>
      </c>
      <c r="OK48" s="1544">
        <v>0</v>
      </c>
      <c r="OL48" s="1544">
        <v>0</v>
      </c>
      <c r="OM48" s="1544">
        <v>0</v>
      </c>
      <c r="ON48" s="1544">
        <v>0</v>
      </c>
      <c r="OO48" s="1544">
        <v>0</v>
      </c>
      <c r="OP48" s="1544">
        <v>0</v>
      </c>
      <c r="OQ48" s="1544">
        <v>0</v>
      </c>
      <c r="OR48" s="1544">
        <v>0</v>
      </c>
      <c r="OS48" s="1544">
        <v>0</v>
      </c>
      <c r="OT48" s="1544">
        <v>0</v>
      </c>
      <c r="OU48" s="1934">
        <v>0</v>
      </c>
      <c r="OV48" s="1933">
        <v>0</v>
      </c>
      <c r="OW48" s="1544">
        <v>0</v>
      </c>
      <c r="OX48" s="1544">
        <v>0</v>
      </c>
      <c r="OY48" s="1544">
        <v>0</v>
      </c>
      <c r="OZ48" s="1544">
        <v>0</v>
      </c>
      <c r="PA48" s="1544">
        <v>0</v>
      </c>
      <c r="PB48" s="1544">
        <v>0</v>
      </c>
      <c r="PC48" s="1544">
        <v>0</v>
      </c>
      <c r="PD48" s="1544">
        <v>0</v>
      </c>
      <c r="PE48" s="1544">
        <v>0</v>
      </c>
      <c r="PF48" s="1544">
        <v>0</v>
      </c>
      <c r="PG48" s="1934">
        <v>0</v>
      </c>
      <c r="PH48" s="1933">
        <v>0</v>
      </c>
      <c r="PI48" s="1544">
        <v>0</v>
      </c>
      <c r="PJ48" s="1544">
        <v>0</v>
      </c>
      <c r="PK48" s="1544">
        <v>0</v>
      </c>
      <c r="PL48" s="1544">
        <v>0</v>
      </c>
      <c r="PM48" s="1544">
        <v>0</v>
      </c>
      <c r="PN48" s="1544">
        <v>0</v>
      </c>
      <c r="PO48" s="1544">
        <v>0</v>
      </c>
      <c r="PP48" s="1544">
        <v>0</v>
      </c>
      <c r="PQ48" s="1544">
        <v>0</v>
      </c>
      <c r="PR48" s="1544">
        <v>0</v>
      </c>
      <c r="PS48" s="1934">
        <v>0</v>
      </c>
      <c r="PT48" s="1933">
        <v>0</v>
      </c>
      <c r="PU48" s="1544">
        <v>0</v>
      </c>
      <c r="PV48" s="1544">
        <v>0</v>
      </c>
      <c r="PW48" s="1544">
        <v>0</v>
      </c>
      <c r="PX48" s="1544">
        <v>0</v>
      </c>
      <c r="PY48" s="1544">
        <v>0</v>
      </c>
      <c r="PZ48" s="1544">
        <v>0</v>
      </c>
      <c r="QA48" s="1544">
        <v>0</v>
      </c>
      <c r="QB48" s="1544">
        <v>0</v>
      </c>
      <c r="QC48" s="1544">
        <v>0</v>
      </c>
      <c r="QD48" s="1544">
        <v>0</v>
      </c>
      <c r="QE48" s="1934">
        <v>0</v>
      </c>
      <c r="QF48" s="1933">
        <v>0</v>
      </c>
      <c r="QG48" s="1544">
        <v>0</v>
      </c>
      <c r="QH48" s="1544">
        <v>0</v>
      </c>
      <c r="QI48" s="1544">
        <v>0</v>
      </c>
      <c r="QJ48" s="1544">
        <v>0</v>
      </c>
      <c r="QK48" s="1544">
        <v>0</v>
      </c>
      <c r="QL48" s="1544">
        <v>0</v>
      </c>
      <c r="QM48" s="1544">
        <v>0</v>
      </c>
      <c r="QN48" s="1544">
        <v>0</v>
      </c>
      <c r="QO48" s="1544">
        <v>0</v>
      </c>
      <c r="QP48" s="1544">
        <v>0</v>
      </c>
      <c r="QQ48" s="1934">
        <v>0</v>
      </c>
      <c r="QR48" s="1933">
        <v>0</v>
      </c>
      <c r="QS48" s="1544">
        <v>0</v>
      </c>
      <c r="QT48" s="1544">
        <v>0</v>
      </c>
      <c r="QU48" s="1544">
        <v>0</v>
      </c>
      <c r="QV48" s="1544">
        <v>0</v>
      </c>
      <c r="QW48" s="1544">
        <v>0</v>
      </c>
      <c r="QX48" s="1544">
        <v>0</v>
      </c>
      <c r="QY48" s="1544">
        <v>0</v>
      </c>
      <c r="QZ48" s="1544">
        <v>0</v>
      </c>
      <c r="RA48" s="1544">
        <v>0</v>
      </c>
      <c r="RB48" s="1544">
        <v>0</v>
      </c>
      <c r="RC48" s="1934">
        <v>0</v>
      </c>
      <c r="RD48" s="1933">
        <v>0</v>
      </c>
      <c r="RE48" s="1544">
        <v>0</v>
      </c>
      <c r="RF48" s="1544">
        <v>0</v>
      </c>
      <c r="RG48" s="1544">
        <v>0</v>
      </c>
      <c r="RH48" s="1544">
        <v>0</v>
      </c>
      <c r="RI48" s="1544">
        <v>0</v>
      </c>
      <c r="RJ48" s="1544">
        <v>0</v>
      </c>
      <c r="RK48" s="1544">
        <v>0</v>
      </c>
      <c r="RL48" s="1544">
        <v>0</v>
      </c>
      <c r="RM48" s="1544">
        <v>0</v>
      </c>
      <c r="RN48" s="1544">
        <v>0</v>
      </c>
      <c r="RO48" s="1934">
        <v>0</v>
      </c>
    </row>
    <row r="49" spans="1:483">
      <c r="A49" s="634">
        <f>Eingabedaten!A51</f>
        <v>12.1</v>
      </c>
      <c r="B49" s="379" t="str">
        <f>Eingabedaten!C51</f>
        <v>Wasch- und Trockenraum</v>
      </c>
      <c r="C49" s="379"/>
      <c r="D49" s="1933">
        <v>0</v>
      </c>
      <c r="E49" s="1544">
        <v>0</v>
      </c>
      <c r="F49" s="1544">
        <v>4.2924000000000007</v>
      </c>
      <c r="G49" s="1544">
        <v>4.9958217521100838</v>
      </c>
      <c r="H49" s="1544">
        <v>0</v>
      </c>
      <c r="I49" s="1544">
        <v>0</v>
      </c>
      <c r="J49" s="1544">
        <v>3.4872000000000001</v>
      </c>
      <c r="K49" s="1544">
        <v>2.0885666166529444</v>
      </c>
      <c r="L49" s="1544">
        <v>0</v>
      </c>
      <c r="M49" s="1544">
        <v>0</v>
      </c>
      <c r="N49" s="1544">
        <v>14.371499999999997</v>
      </c>
      <c r="O49" s="1943">
        <v>45.671852646522517</v>
      </c>
      <c r="P49" s="1933">
        <v>0</v>
      </c>
      <c r="Q49" s="1544">
        <v>0</v>
      </c>
      <c r="R49" s="1544">
        <v>2.3145294117647062</v>
      </c>
      <c r="S49" s="1544">
        <v>5.7070909210801561</v>
      </c>
      <c r="T49" s="1544">
        <v>0</v>
      </c>
      <c r="U49" s="1544">
        <v>0</v>
      </c>
      <c r="V49" s="1544">
        <v>1.8803529411764708</v>
      </c>
      <c r="W49" s="1544">
        <v>3.4571430550416227</v>
      </c>
      <c r="X49" s="1544">
        <v>0</v>
      </c>
      <c r="Y49" s="1544">
        <v>0</v>
      </c>
      <c r="Z49" s="1544">
        <v>8.831029411764705</v>
      </c>
      <c r="AA49" s="1943">
        <v>36.830867148672617</v>
      </c>
      <c r="AB49" s="1933">
        <v>0</v>
      </c>
      <c r="AC49" s="1544">
        <v>0</v>
      </c>
      <c r="AD49" s="1544">
        <v>2.3566117647058826</v>
      </c>
      <c r="AE49" s="1544">
        <v>7.4575622116199147</v>
      </c>
      <c r="AF49" s="1544">
        <v>0</v>
      </c>
      <c r="AG49" s="1544">
        <v>0</v>
      </c>
      <c r="AH49" s="1544">
        <v>1.9145411764705882</v>
      </c>
      <c r="AI49" s="1544">
        <v>5.0727129460141542</v>
      </c>
      <c r="AJ49" s="1544">
        <v>0</v>
      </c>
      <c r="AK49" s="1544">
        <v>0</v>
      </c>
      <c r="AL49" s="1544">
        <v>8.9489117647058816</v>
      </c>
      <c r="AM49" s="1943">
        <v>41.989820275394855</v>
      </c>
      <c r="AN49" s="1933">
        <v>0</v>
      </c>
      <c r="AO49" s="1544">
        <v>0</v>
      </c>
      <c r="AP49" s="1544">
        <v>2.7353529411764708</v>
      </c>
      <c r="AQ49" s="1544">
        <v>4.5417018845532358</v>
      </c>
      <c r="AR49" s="1544">
        <v>0</v>
      </c>
      <c r="AS49" s="1544">
        <v>0</v>
      </c>
      <c r="AT49" s="1544">
        <v>2.2222352941176471</v>
      </c>
      <c r="AU49" s="1544">
        <v>2.6141538205671901</v>
      </c>
      <c r="AV49" s="1544">
        <v>0</v>
      </c>
      <c r="AW49" s="1544">
        <v>0</v>
      </c>
      <c r="AX49" s="1544">
        <v>10.009852941176471</v>
      </c>
      <c r="AY49" s="1943">
        <v>33.027926244395459</v>
      </c>
      <c r="AZ49" s="1933">
        <v>0</v>
      </c>
      <c r="BA49" s="1544">
        <v>0</v>
      </c>
      <c r="BB49" s="1544">
        <v>3.1140941176470589</v>
      </c>
      <c r="BC49" s="1544">
        <v>6.2596505879268376</v>
      </c>
      <c r="BD49" s="1544">
        <v>0</v>
      </c>
      <c r="BE49" s="1544">
        <v>0</v>
      </c>
      <c r="BF49" s="1544">
        <v>2.529929411764706</v>
      </c>
      <c r="BG49" s="1544">
        <v>3.6042347266638664</v>
      </c>
      <c r="BH49" s="1544">
        <v>0</v>
      </c>
      <c r="BI49" s="1544">
        <v>0</v>
      </c>
      <c r="BJ49" s="1544">
        <v>11.070794117647059</v>
      </c>
      <c r="BK49" s="1943">
        <v>39.434340160119113</v>
      </c>
      <c r="BL49" s="1933">
        <v>0</v>
      </c>
      <c r="BM49" s="1544">
        <v>0</v>
      </c>
      <c r="BN49" s="1544">
        <v>2.9878470588235295</v>
      </c>
      <c r="BO49" s="1544">
        <v>7.5214481709535166</v>
      </c>
      <c r="BP49" s="1544">
        <v>0</v>
      </c>
      <c r="BQ49" s="1544">
        <v>0</v>
      </c>
      <c r="BR49" s="1544">
        <v>2.4273647058823529</v>
      </c>
      <c r="BS49" s="1544">
        <v>4.9290962227345778</v>
      </c>
      <c r="BT49" s="1544">
        <v>0</v>
      </c>
      <c r="BU49" s="1544">
        <v>0</v>
      </c>
      <c r="BV49" s="1544">
        <v>10.717147058823528</v>
      </c>
      <c r="BW49" s="1943">
        <v>41.614816775013153</v>
      </c>
      <c r="BX49" s="1933">
        <v>0</v>
      </c>
      <c r="BY49" s="1544">
        <v>0</v>
      </c>
      <c r="BZ49" s="1544">
        <v>3.0299294117647064</v>
      </c>
      <c r="CA49" s="1544">
        <v>4.5023661451759578</v>
      </c>
      <c r="CB49" s="1544">
        <v>0</v>
      </c>
      <c r="CC49" s="1544">
        <v>0</v>
      </c>
      <c r="CD49" s="1544">
        <v>2.4615529411764707</v>
      </c>
      <c r="CE49" s="1544">
        <v>2.3391344610698201</v>
      </c>
      <c r="CF49" s="1544">
        <v>0</v>
      </c>
      <c r="CG49" s="1544">
        <v>0</v>
      </c>
      <c r="CH49" s="1544">
        <v>10.835029411764706</v>
      </c>
      <c r="CI49" s="1943">
        <v>35.027176171951403</v>
      </c>
      <c r="CJ49" s="1933">
        <v>0</v>
      </c>
      <c r="CK49" s="1544">
        <v>0</v>
      </c>
      <c r="CL49" s="1544">
        <v>5.512788235294118</v>
      </c>
      <c r="CM49" s="1544">
        <v>6.8011212014809663</v>
      </c>
      <c r="CN49" s="1544">
        <v>0</v>
      </c>
      <c r="CO49" s="1544">
        <v>0</v>
      </c>
      <c r="CP49" s="1544">
        <v>4.478658823529412</v>
      </c>
      <c r="CQ49" s="1544">
        <v>2.8336714437317481</v>
      </c>
      <c r="CR49" s="1544">
        <v>0</v>
      </c>
      <c r="CS49" s="1544">
        <v>0</v>
      </c>
      <c r="CT49" s="1544">
        <v>17.790088235294117</v>
      </c>
      <c r="CU49" s="1943">
        <v>51.385309309857263</v>
      </c>
      <c r="CV49" s="1933">
        <v>0</v>
      </c>
      <c r="CW49" s="1544">
        <v>0</v>
      </c>
      <c r="CX49" s="1544">
        <v>4.0819882352941184</v>
      </c>
      <c r="CY49" s="1544">
        <v>4.5423628948958266</v>
      </c>
      <c r="CZ49" s="1544">
        <v>0</v>
      </c>
      <c r="DA49" s="1544">
        <v>0</v>
      </c>
      <c r="DB49" s="1544">
        <v>3.3162588235294117</v>
      </c>
      <c r="DC49" s="1544">
        <v>1.9082961790827382</v>
      </c>
      <c r="DD49" s="1544">
        <v>0</v>
      </c>
      <c r="DE49" s="1544">
        <v>0</v>
      </c>
      <c r="DF49" s="1544">
        <v>13.782088235294118</v>
      </c>
      <c r="DG49" s="1943">
        <v>41.335372204300285</v>
      </c>
      <c r="DH49" s="1933">
        <v>0</v>
      </c>
      <c r="DI49" s="1544">
        <v>0</v>
      </c>
      <c r="DJ49" s="1544">
        <v>4.7132235294117653</v>
      </c>
      <c r="DK49" s="1544">
        <v>10.182783197773833</v>
      </c>
      <c r="DL49" s="1544">
        <v>0</v>
      </c>
      <c r="DM49" s="1544">
        <v>0</v>
      </c>
      <c r="DN49" s="1544">
        <v>3.8290823529411764</v>
      </c>
      <c r="DO49" s="1544">
        <v>6.4679158111865238</v>
      </c>
      <c r="DP49" s="1544">
        <v>0</v>
      </c>
      <c r="DQ49" s="1544">
        <v>0</v>
      </c>
      <c r="DR49" s="1544">
        <v>15.550323529411763</v>
      </c>
      <c r="DS49" s="1943">
        <v>54.059722766487837</v>
      </c>
      <c r="DT49" s="1933">
        <v>0</v>
      </c>
      <c r="DU49" s="1544">
        <v>0</v>
      </c>
      <c r="DV49" s="1544">
        <v>1.767458823529412</v>
      </c>
      <c r="DW49" s="1544">
        <v>4.3162222232236056</v>
      </c>
      <c r="DX49" s="1544">
        <v>0</v>
      </c>
      <c r="DY49" s="1544">
        <v>0</v>
      </c>
      <c r="DZ49" s="1544">
        <v>1.4359058823529411</v>
      </c>
      <c r="EA49" s="1544">
        <v>2.4771803899158487</v>
      </c>
      <c r="EB49" s="1544">
        <v>0</v>
      </c>
      <c r="EC49" s="1544">
        <v>0</v>
      </c>
      <c r="ED49" s="1544">
        <v>7.2985588235294134</v>
      </c>
      <c r="EE49" s="1943">
        <v>31.689774785799976</v>
      </c>
      <c r="EF49" s="1933">
        <v>0</v>
      </c>
      <c r="EG49" s="1544">
        <v>0</v>
      </c>
      <c r="EH49" s="1544">
        <v>3.4507529411764706</v>
      </c>
      <c r="EI49" s="1544">
        <v>10.335154421943981</v>
      </c>
      <c r="EJ49" s="1544">
        <v>0</v>
      </c>
      <c r="EK49" s="1544">
        <v>0</v>
      </c>
      <c r="EL49" s="1544">
        <v>2.8034352941176466</v>
      </c>
      <c r="EM49" s="1544">
        <v>7.0735069052028798</v>
      </c>
      <c r="EN49" s="1544">
        <v>0</v>
      </c>
      <c r="EO49" s="1544">
        <v>0</v>
      </c>
      <c r="EP49" s="1544">
        <v>12.01385294117647</v>
      </c>
      <c r="EQ49" s="1943">
        <v>51.447241106275747</v>
      </c>
      <c r="ER49" s="1933">
        <v>0</v>
      </c>
      <c r="ES49" s="1544">
        <v>0</v>
      </c>
      <c r="ET49" s="1544">
        <v>6.4806823529411774</v>
      </c>
      <c r="EU49" s="1544">
        <v>9.5094257376725917</v>
      </c>
      <c r="EV49" s="1544">
        <v>0</v>
      </c>
      <c r="EW49" s="1544">
        <v>0</v>
      </c>
      <c r="EX49" s="1544">
        <v>5.2649882352941182</v>
      </c>
      <c r="EY49" s="1544">
        <v>4.6940520009201316</v>
      </c>
      <c r="EZ49" s="1544">
        <v>0</v>
      </c>
      <c r="FA49" s="1544">
        <v>0</v>
      </c>
      <c r="FB49" s="1544">
        <v>20.501382352941178</v>
      </c>
      <c r="FC49" s="1943">
        <v>60.983637009315473</v>
      </c>
      <c r="FD49" s="1933">
        <v>0</v>
      </c>
      <c r="FE49" s="1544">
        <v>0</v>
      </c>
      <c r="FF49" s="1544">
        <v>2.9457647058823535</v>
      </c>
      <c r="FG49" s="1544">
        <v>7.5808113675349791</v>
      </c>
      <c r="FH49" s="1544">
        <v>0</v>
      </c>
      <c r="FI49" s="1544">
        <v>0</v>
      </c>
      <c r="FJ49" s="1544">
        <v>2.3931764705882355</v>
      </c>
      <c r="FK49" s="1544">
        <v>4.8956745274546556</v>
      </c>
      <c r="FL49" s="1544">
        <v>0</v>
      </c>
      <c r="FM49" s="1544">
        <v>0</v>
      </c>
      <c r="FN49" s="1544">
        <v>10.599264705882353</v>
      </c>
      <c r="FO49" s="1943">
        <v>42.08422982874567</v>
      </c>
      <c r="FP49" s="1933">
        <v>0</v>
      </c>
      <c r="FQ49" s="1544">
        <v>0</v>
      </c>
      <c r="FR49" s="1544">
        <v>2.9457647058823535</v>
      </c>
      <c r="FS49" s="1544">
        <v>7.4630527830482212</v>
      </c>
      <c r="FT49" s="1544">
        <v>0</v>
      </c>
      <c r="FU49" s="1544">
        <v>0</v>
      </c>
      <c r="FV49" s="1544">
        <v>2.3931764705882355</v>
      </c>
      <c r="FW49" s="1544">
        <v>4.5259315298553577</v>
      </c>
      <c r="FX49" s="1544">
        <v>0</v>
      </c>
      <c r="FY49" s="1544">
        <v>0</v>
      </c>
      <c r="FZ49" s="1544">
        <v>10.599264705882353</v>
      </c>
      <c r="GA49" s="1943">
        <v>43.514624284792049</v>
      </c>
      <c r="GB49" s="1933">
        <v>0</v>
      </c>
      <c r="GC49" s="1544">
        <v>0</v>
      </c>
      <c r="GD49" s="1544">
        <v>3.9978235294117654</v>
      </c>
      <c r="GE49" s="1544">
        <v>5.8969651548666944</v>
      </c>
      <c r="GF49" s="1544">
        <v>0</v>
      </c>
      <c r="GG49" s="1544">
        <v>0</v>
      </c>
      <c r="GH49" s="1544">
        <v>3.2478823529411764</v>
      </c>
      <c r="GI49" s="1544">
        <v>2.8916710019332696</v>
      </c>
      <c r="GJ49" s="1544">
        <v>0</v>
      </c>
      <c r="GK49" s="1544">
        <v>0</v>
      </c>
      <c r="GL49" s="1544">
        <v>13.546323529411765</v>
      </c>
      <c r="GM49" s="1943">
        <v>44.718887107144226</v>
      </c>
      <c r="GN49" s="1933">
        <v>0</v>
      </c>
      <c r="GO49" s="1544">
        <v>0</v>
      </c>
      <c r="GP49" s="1544">
        <v>4.039905882352941</v>
      </c>
      <c r="GQ49" s="1544">
        <v>8.5710319171289466</v>
      </c>
      <c r="GR49" s="1544">
        <v>0</v>
      </c>
      <c r="GS49" s="1544">
        <v>0</v>
      </c>
      <c r="GT49" s="1544">
        <v>3.2820705882352943</v>
      </c>
      <c r="GU49" s="1544">
        <v>5.0002914769620554</v>
      </c>
      <c r="GV49" s="1544">
        <v>0</v>
      </c>
      <c r="GW49" s="1544">
        <v>0</v>
      </c>
      <c r="GX49" s="1544">
        <v>13.664205882352942</v>
      </c>
      <c r="GY49" s="1943">
        <v>52.688235066822905</v>
      </c>
      <c r="GZ49" s="1933">
        <v>0</v>
      </c>
      <c r="HA49" s="1544">
        <v>0</v>
      </c>
      <c r="HB49" s="1544">
        <v>0.5470705882352942</v>
      </c>
      <c r="HC49" s="1544">
        <v>1.1876582995920877</v>
      </c>
      <c r="HD49" s="1544">
        <v>0</v>
      </c>
      <c r="HE49" s="1544">
        <v>0</v>
      </c>
      <c r="HF49" s="1544">
        <v>0.44444705882352942</v>
      </c>
      <c r="HG49" s="1544">
        <v>0.48415833721604024</v>
      </c>
      <c r="HH49" s="1544">
        <v>0</v>
      </c>
      <c r="HI49" s="1544">
        <v>0</v>
      </c>
      <c r="HJ49" s="1544">
        <v>3.8799705882352944</v>
      </c>
      <c r="HK49" s="1943">
        <v>23.127891458748451</v>
      </c>
      <c r="HL49" s="1933">
        <v>0</v>
      </c>
      <c r="HM49" s="1544">
        <v>0</v>
      </c>
      <c r="HN49" s="1544">
        <v>0.33665882352941184</v>
      </c>
      <c r="HO49" s="1544">
        <v>0.74991712878235661</v>
      </c>
      <c r="HP49" s="1544">
        <v>0</v>
      </c>
      <c r="HQ49" s="1544">
        <v>0</v>
      </c>
      <c r="HR49" s="1544">
        <v>0.27350588235294121</v>
      </c>
      <c r="HS49" s="1544">
        <v>0.19784624181275667</v>
      </c>
      <c r="HT49" s="1544">
        <v>0</v>
      </c>
      <c r="HU49" s="1544">
        <v>0</v>
      </c>
      <c r="HV49" s="1544">
        <v>3.2905588235294121</v>
      </c>
      <c r="HW49" s="1943">
        <v>21.953785933470876</v>
      </c>
      <c r="HX49" s="1933">
        <v>0</v>
      </c>
      <c r="HY49" s="1544">
        <v>0</v>
      </c>
      <c r="HZ49" s="1544">
        <v>2.6932705882352947</v>
      </c>
      <c r="IA49" s="1544">
        <v>7.1202176821385068</v>
      </c>
      <c r="IB49" s="1544">
        <v>0</v>
      </c>
      <c r="IC49" s="1544">
        <v>0</v>
      </c>
      <c r="ID49" s="1544">
        <v>2.1880470588235297</v>
      </c>
      <c r="IE49" s="1544">
        <v>4.5727665562001096</v>
      </c>
      <c r="IF49" s="1544">
        <v>0</v>
      </c>
      <c r="IG49" s="1544">
        <v>0</v>
      </c>
      <c r="IH49" s="1544">
        <v>9.891970588235294</v>
      </c>
      <c r="II49" s="1943">
        <v>40.83787503529846</v>
      </c>
      <c r="IJ49" s="1933">
        <v>0</v>
      </c>
      <c r="IK49" s="1544">
        <v>0</v>
      </c>
      <c r="IL49" s="1544">
        <v>1.2624705882352942</v>
      </c>
      <c r="IM49" s="1544">
        <v>2.9362082386236805</v>
      </c>
      <c r="IN49" s="1544">
        <v>0</v>
      </c>
      <c r="IO49" s="1544">
        <v>0</v>
      </c>
      <c r="IP49" s="1544">
        <v>1.0256470588235294</v>
      </c>
      <c r="IQ49" s="1544">
        <v>1.5252746769957302</v>
      </c>
      <c r="IR49" s="1544">
        <v>0</v>
      </c>
      <c r="IS49" s="1544">
        <v>0</v>
      </c>
      <c r="IT49" s="1544">
        <v>5.8839705882352931</v>
      </c>
      <c r="IU49" s="1943">
        <v>28.695238348581317</v>
      </c>
      <c r="IV49" s="1933">
        <v>0</v>
      </c>
      <c r="IW49" s="1544">
        <v>0</v>
      </c>
      <c r="IX49" s="1544">
        <v>4.039905882352941</v>
      </c>
      <c r="IY49" s="1544">
        <v>3.6475600884359198</v>
      </c>
      <c r="IZ49" s="1544">
        <v>0</v>
      </c>
      <c r="JA49" s="1544">
        <v>0</v>
      </c>
      <c r="JB49" s="1544">
        <v>3.2820705882352943</v>
      </c>
      <c r="JC49" s="1544">
        <v>1.2280577120659519</v>
      </c>
      <c r="JD49" s="1544">
        <v>0</v>
      </c>
      <c r="JE49" s="1544">
        <v>0</v>
      </c>
      <c r="JF49" s="1544">
        <v>13.664205882352942</v>
      </c>
      <c r="JG49" s="1943">
        <v>38.248730609552048</v>
      </c>
      <c r="JH49" s="1933">
        <v>0</v>
      </c>
      <c r="JI49" s="1544">
        <v>0</v>
      </c>
      <c r="JJ49" s="1544">
        <v>2.2724470588235297</v>
      </c>
      <c r="JK49" s="1544">
        <v>6.1311884941780184</v>
      </c>
      <c r="JL49" s="1544">
        <v>0</v>
      </c>
      <c r="JM49" s="1544">
        <v>0</v>
      </c>
      <c r="JN49" s="1544">
        <v>1.8461647058823529</v>
      </c>
      <c r="JO49" s="1544">
        <v>3.9200427666939492</v>
      </c>
      <c r="JP49" s="1544">
        <v>0</v>
      </c>
      <c r="JQ49" s="1544">
        <v>0</v>
      </c>
      <c r="JR49" s="1544">
        <v>8.7131470588235302</v>
      </c>
      <c r="JS49" s="1943">
        <v>37.124217772469819</v>
      </c>
      <c r="JT49" s="1933">
        <v>0</v>
      </c>
      <c r="JU49" s="1544">
        <v>0</v>
      </c>
      <c r="JV49" s="1544">
        <v>2.8195176470588241</v>
      </c>
      <c r="JW49" s="1544">
        <v>6.4626197738435085</v>
      </c>
      <c r="JX49" s="1544">
        <v>0</v>
      </c>
      <c r="JY49" s="1544">
        <v>0</v>
      </c>
      <c r="JZ49" s="1544">
        <v>2.2906117647058823</v>
      </c>
      <c r="KA49" s="1544">
        <v>3.913926341897207</v>
      </c>
      <c r="KB49" s="1544">
        <v>0</v>
      </c>
      <c r="KC49" s="1544">
        <v>0</v>
      </c>
      <c r="KD49" s="1544">
        <v>10.245617647058825</v>
      </c>
      <c r="KE49" s="1943">
        <v>38.492123415283508</v>
      </c>
      <c r="KF49" s="1933">
        <v>0</v>
      </c>
      <c r="KG49" s="1544">
        <v>0</v>
      </c>
      <c r="KH49" s="1544">
        <v>3.0299294117647064</v>
      </c>
      <c r="KI49" s="1544">
        <v>10.02090945430208</v>
      </c>
      <c r="KJ49" s="1544">
        <v>0</v>
      </c>
      <c r="KK49" s="1544">
        <v>0</v>
      </c>
      <c r="KL49" s="1544">
        <v>2.4615529411764707</v>
      </c>
      <c r="KM49" s="1544">
        <v>6.8089466607991094</v>
      </c>
      <c r="KN49" s="1544">
        <v>0</v>
      </c>
      <c r="KO49" s="1544">
        <v>0</v>
      </c>
      <c r="KP49" s="1544">
        <v>10.835029411764706</v>
      </c>
      <c r="KQ49" s="1943">
        <v>49.38531189765429</v>
      </c>
      <c r="KR49" s="1933">
        <v>0</v>
      </c>
      <c r="KS49" s="1544">
        <v>0</v>
      </c>
      <c r="KT49" s="1544">
        <v>1.8095411764705884</v>
      </c>
      <c r="KU49" s="1544">
        <v>3.6298608138015598</v>
      </c>
      <c r="KV49" s="1544">
        <v>0</v>
      </c>
      <c r="KW49" s="1544">
        <v>0</v>
      </c>
      <c r="KX49" s="1544">
        <v>1.4700941176470588</v>
      </c>
      <c r="KY49" s="1544">
        <v>2.0200382095014504</v>
      </c>
      <c r="KZ49" s="1544">
        <v>0</v>
      </c>
      <c r="LA49" s="1544">
        <v>0</v>
      </c>
      <c r="LB49" s="1544">
        <v>7.4164411764705882</v>
      </c>
      <c r="LC49" s="1943">
        <v>29.775604463743992</v>
      </c>
      <c r="LD49" s="1933">
        <v>0</v>
      </c>
      <c r="LE49" s="1544">
        <v>0</v>
      </c>
      <c r="LF49" s="1544">
        <v>3.2824235294117652</v>
      </c>
      <c r="LG49" s="1544">
        <v>7.1224440494544039</v>
      </c>
      <c r="LH49" s="1544">
        <v>0</v>
      </c>
      <c r="LI49" s="1544">
        <v>0</v>
      </c>
      <c r="LJ49" s="1544">
        <v>2.6666823529411765</v>
      </c>
      <c r="LK49" s="1544">
        <v>3.8722260631911976</v>
      </c>
      <c r="LL49" s="1544">
        <v>0</v>
      </c>
      <c r="LM49" s="1544">
        <v>0</v>
      </c>
      <c r="LN49" s="1544">
        <v>11.542323529411766</v>
      </c>
      <c r="LO49" s="1943">
        <v>47.795947382557834</v>
      </c>
      <c r="LP49" s="1933">
        <v>0</v>
      </c>
      <c r="LQ49" s="1544">
        <v>0</v>
      </c>
      <c r="LR49" s="1544">
        <v>3.4086705882352941</v>
      </c>
      <c r="LS49" s="1544">
        <v>7.1673116016778486</v>
      </c>
      <c r="LT49" s="1544">
        <v>0</v>
      </c>
      <c r="LU49" s="1544">
        <v>0</v>
      </c>
      <c r="LV49" s="1544">
        <v>2.7692470588235292</v>
      </c>
      <c r="LW49" s="1544">
        <v>4.5196849059078481</v>
      </c>
      <c r="LX49" s="1544">
        <v>0</v>
      </c>
      <c r="LY49" s="1544">
        <v>0</v>
      </c>
      <c r="LZ49" s="1544">
        <v>11.895970588235294</v>
      </c>
      <c r="MA49" s="1943">
        <v>41.468179005233019</v>
      </c>
      <c r="MB49" s="1933">
        <v>0</v>
      </c>
      <c r="MC49" s="1544">
        <v>0</v>
      </c>
      <c r="MD49" s="1544">
        <v>7.4064941176470604</v>
      </c>
      <c r="ME49" s="1544">
        <v>9.3549990545899142</v>
      </c>
      <c r="MF49" s="1544">
        <v>0</v>
      </c>
      <c r="MG49" s="1544">
        <v>0</v>
      </c>
      <c r="MH49" s="1544">
        <v>6.0171294117647065</v>
      </c>
      <c r="MI49" s="1544">
        <v>3.9718436566982636</v>
      </c>
      <c r="MJ49" s="1544">
        <v>0</v>
      </c>
      <c r="MK49" s="1544">
        <v>0</v>
      </c>
      <c r="ML49" s="1544">
        <v>23.094794117647062</v>
      </c>
      <c r="MM49" s="1943">
        <v>59.643770189206528</v>
      </c>
      <c r="MN49" s="1933">
        <v>0</v>
      </c>
      <c r="MO49" s="1544">
        <v>0</v>
      </c>
      <c r="MP49" s="1544">
        <v>4.5869764705882359</v>
      </c>
      <c r="MQ49" s="1544">
        <v>9.000826036923451</v>
      </c>
      <c r="MR49" s="1544">
        <v>0</v>
      </c>
      <c r="MS49" s="1544">
        <v>0</v>
      </c>
      <c r="MT49" s="1544">
        <v>3.7265176470588237</v>
      </c>
      <c r="MU49" s="1544">
        <v>4.7100721000442034</v>
      </c>
      <c r="MV49" s="1544">
        <v>0</v>
      </c>
      <c r="MW49" s="1544">
        <v>0</v>
      </c>
      <c r="MX49" s="1544">
        <v>15.196676470588237</v>
      </c>
      <c r="MY49" s="1943">
        <v>58.524447485156308</v>
      </c>
      <c r="MZ49" s="1933">
        <v>0</v>
      </c>
      <c r="NA49" s="1544">
        <v>0</v>
      </c>
      <c r="NB49" s="1544">
        <v>3.9136588235294125</v>
      </c>
      <c r="NC49" s="1544">
        <v>6.7404461999335057</v>
      </c>
      <c r="ND49" s="1544">
        <v>0</v>
      </c>
      <c r="NE49" s="1544">
        <v>0</v>
      </c>
      <c r="NF49" s="1544">
        <v>3.1795058823529416</v>
      </c>
      <c r="NG49" s="1544">
        <v>3.954499466124775</v>
      </c>
      <c r="NH49" s="1544">
        <v>0</v>
      </c>
      <c r="NI49" s="1544">
        <v>0</v>
      </c>
      <c r="NJ49" s="1544">
        <v>13.310558823529412</v>
      </c>
      <c r="NK49" s="1943">
        <v>42.290456935587045</v>
      </c>
      <c r="NL49" s="1933">
        <v>0</v>
      </c>
      <c r="NM49" s="1544">
        <v>0</v>
      </c>
      <c r="NN49" s="1544">
        <v>3.1561764705882358</v>
      </c>
      <c r="NO49" s="1544">
        <v>8.0797082165313032</v>
      </c>
      <c r="NP49" s="1544">
        <v>0</v>
      </c>
      <c r="NQ49" s="1544">
        <v>0</v>
      </c>
      <c r="NR49" s="1544">
        <v>2.5641176470588234</v>
      </c>
      <c r="NS49" s="1544">
        <v>5.2987700164049025</v>
      </c>
      <c r="NT49" s="1544">
        <v>0</v>
      </c>
      <c r="NU49" s="1544">
        <v>0</v>
      </c>
      <c r="NV49" s="1544">
        <v>11.188676470588234</v>
      </c>
      <c r="NW49" s="1943">
        <v>43.657709636342709</v>
      </c>
      <c r="NX49" s="1933">
        <v>0</v>
      </c>
      <c r="NY49" s="1544">
        <v>0</v>
      </c>
      <c r="NZ49" s="1544">
        <v>5.0498823529411769</v>
      </c>
      <c r="OA49" s="1544">
        <v>7.4710421714053945</v>
      </c>
      <c r="OB49" s="1544">
        <v>0</v>
      </c>
      <c r="OC49" s="1544">
        <v>0</v>
      </c>
      <c r="OD49" s="1544">
        <v>4.1025882352941174</v>
      </c>
      <c r="OE49" s="1544">
        <v>3.7131344234069026</v>
      </c>
      <c r="OF49" s="1544">
        <v>0</v>
      </c>
      <c r="OG49" s="1544">
        <v>0</v>
      </c>
      <c r="OH49" s="1544">
        <v>16.493382352941175</v>
      </c>
      <c r="OI49" s="1934">
        <v>47.871871480304314</v>
      </c>
      <c r="OJ49" s="1933">
        <v>0</v>
      </c>
      <c r="OK49" s="1544">
        <v>0</v>
      </c>
      <c r="OL49" s="1544">
        <v>2.5249411764705885</v>
      </c>
      <c r="OM49" s="1544">
        <v>4.9239242057428312</v>
      </c>
      <c r="ON49" s="1544">
        <v>0</v>
      </c>
      <c r="OO49" s="1544">
        <v>0</v>
      </c>
      <c r="OP49" s="1544">
        <v>2.0512941176470587</v>
      </c>
      <c r="OQ49" s="1544">
        <v>2.6671814546088384</v>
      </c>
      <c r="OR49" s="1544">
        <v>0</v>
      </c>
      <c r="OS49" s="1544">
        <v>0</v>
      </c>
      <c r="OT49" s="1544">
        <v>9.4204411764705878</v>
      </c>
      <c r="OU49" s="1934">
        <v>34.117006123930445</v>
      </c>
      <c r="OV49" s="1933">
        <v>0</v>
      </c>
      <c r="OW49" s="1544">
        <v>0</v>
      </c>
      <c r="OX49" s="1544">
        <v>6.8173411764705882</v>
      </c>
      <c r="OY49" s="1544">
        <v>10.019839047049864</v>
      </c>
      <c r="OZ49" s="1544">
        <v>0</v>
      </c>
      <c r="PA49" s="1544">
        <v>0</v>
      </c>
      <c r="PB49" s="1544">
        <v>5.5384941176470583</v>
      </c>
      <c r="PC49" s="1544">
        <v>5.0257421367415489</v>
      </c>
      <c r="PD49" s="1544">
        <v>0</v>
      </c>
      <c r="PE49" s="1544">
        <v>0</v>
      </c>
      <c r="PF49" s="1544">
        <v>21.444441176470587</v>
      </c>
      <c r="PG49" s="1934">
        <v>54.597919174721234</v>
      </c>
      <c r="PH49" s="1933">
        <v>0</v>
      </c>
      <c r="PI49" s="1544">
        <v>0</v>
      </c>
      <c r="PJ49" s="1544">
        <v>3.2824235294117652</v>
      </c>
      <c r="PK49" s="1544">
        <v>5.3692428252586568</v>
      </c>
      <c r="PL49" s="1544">
        <v>0</v>
      </c>
      <c r="PM49" s="1544">
        <v>0</v>
      </c>
      <c r="PN49" s="1544">
        <v>2.6666823529411765</v>
      </c>
      <c r="PO49" s="1544">
        <v>3.123396218376417</v>
      </c>
      <c r="PP49" s="1544">
        <v>0</v>
      </c>
      <c r="PQ49" s="1544">
        <v>0</v>
      </c>
      <c r="PR49" s="1544">
        <v>11.542323529411766</v>
      </c>
      <c r="PS49" s="1934">
        <v>36.44209994952741</v>
      </c>
      <c r="PT49" s="1933">
        <v>0</v>
      </c>
      <c r="PU49" s="1544">
        <v>0</v>
      </c>
      <c r="PV49" s="1544">
        <v>3.0720117647058824</v>
      </c>
      <c r="PW49" s="1544">
        <v>7.5135172842872073</v>
      </c>
      <c r="PX49" s="1544">
        <v>0</v>
      </c>
      <c r="PY49" s="1544">
        <v>0</v>
      </c>
      <c r="PZ49" s="1544">
        <v>2.4957411764705881</v>
      </c>
      <c r="QA49" s="1544">
        <v>4.7494351270355253</v>
      </c>
      <c r="QB49" s="1544">
        <v>0</v>
      </c>
      <c r="QC49" s="1544">
        <v>0</v>
      </c>
      <c r="QD49" s="1544">
        <v>10.952911764705883</v>
      </c>
      <c r="QE49" s="1934">
        <v>41.924148742744336</v>
      </c>
      <c r="QF49" s="1933">
        <v>0</v>
      </c>
      <c r="QG49" s="1544">
        <v>0</v>
      </c>
      <c r="QH49" s="1544">
        <v>4.6711411764705888</v>
      </c>
      <c r="QI49" s="1544">
        <v>6.4649547627791488</v>
      </c>
      <c r="QJ49" s="1544">
        <v>0</v>
      </c>
      <c r="QK49" s="1544">
        <v>0</v>
      </c>
      <c r="QL49" s="1544">
        <v>3.7948941176470585</v>
      </c>
      <c r="QM49" s="1544">
        <v>2.7418980371923731</v>
      </c>
      <c r="QN49" s="1544">
        <v>0</v>
      </c>
      <c r="QO49" s="1544">
        <v>0</v>
      </c>
      <c r="QP49" s="1544">
        <v>15.432441176470586</v>
      </c>
      <c r="QQ49" s="1934">
        <v>52.7126178708141</v>
      </c>
      <c r="QR49" s="1933">
        <v>0</v>
      </c>
      <c r="QS49" s="1544">
        <v>0</v>
      </c>
      <c r="QT49" s="1544">
        <v>3.2403411764705887</v>
      </c>
      <c r="QU49" s="1544">
        <v>6.4817291846545242</v>
      </c>
      <c r="QV49" s="1544">
        <v>0</v>
      </c>
      <c r="QW49" s="1544">
        <v>0</v>
      </c>
      <c r="QX49" s="1544">
        <v>2.6324941176470591</v>
      </c>
      <c r="QY49" s="1544">
        <v>3.8926001800033641</v>
      </c>
      <c r="QZ49" s="1544">
        <v>0</v>
      </c>
      <c r="RA49" s="1544">
        <v>0</v>
      </c>
      <c r="RB49" s="1544">
        <v>11.424441176470589</v>
      </c>
      <c r="RC49" s="1934">
        <v>39.431797717075398</v>
      </c>
      <c r="RD49" s="1933">
        <v>0</v>
      </c>
      <c r="RE49" s="1544">
        <v>0</v>
      </c>
      <c r="RF49" s="1544">
        <v>3.1561764705882358</v>
      </c>
      <c r="RG49" s="1544">
        <v>6.115773410874275</v>
      </c>
      <c r="RH49" s="1544">
        <v>0</v>
      </c>
      <c r="RI49" s="1544">
        <v>0</v>
      </c>
      <c r="RJ49" s="1544">
        <v>2.5641176470588234</v>
      </c>
      <c r="RK49" s="1544">
        <v>3.6183261973137975</v>
      </c>
      <c r="RL49" s="1544">
        <v>0</v>
      </c>
      <c r="RM49" s="1544">
        <v>0</v>
      </c>
      <c r="RN49" s="1544">
        <v>11.188676470588234</v>
      </c>
      <c r="RO49" s="1934">
        <v>38.533936555581924</v>
      </c>
    </row>
    <row r="50" spans="1:483">
      <c r="A50" s="656">
        <f>Eingabedaten!A52</f>
        <v>12.11</v>
      </c>
      <c r="B50" s="379" t="str">
        <f>Eingabedaten!C52</f>
        <v>Kühlraum</v>
      </c>
      <c r="C50" s="379"/>
      <c r="D50" s="1933">
        <v>0</v>
      </c>
      <c r="E50" s="1544">
        <v>0</v>
      </c>
      <c r="F50" s="1544">
        <v>1.1220000000000001</v>
      </c>
      <c r="G50" s="1544">
        <v>0</v>
      </c>
      <c r="H50" s="1544">
        <v>0</v>
      </c>
      <c r="I50" s="1544">
        <v>0</v>
      </c>
      <c r="J50" s="1544">
        <v>0.66</v>
      </c>
      <c r="K50" s="1544">
        <v>0</v>
      </c>
      <c r="L50" s="1544">
        <v>0</v>
      </c>
      <c r="M50" s="1544">
        <v>0</v>
      </c>
      <c r="N50" s="1544">
        <v>5.375</v>
      </c>
      <c r="O50" s="1943">
        <v>0</v>
      </c>
      <c r="P50" s="1933">
        <v>0</v>
      </c>
      <c r="Q50" s="1544">
        <v>0</v>
      </c>
      <c r="R50" s="1544">
        <v>0.60500000000000009</v>
      </c>
      <c r="S50" s="1544">
        <v>0</v>
      </c>
      <c r="T50" s="1544">
        <v>0</v>
      </c>
      <c r="U50" s="1544">
        <v>0</v>
      </c>
      <c r="V50" s="1544">
        <v>0.35588235294117648</v>
      </c>
      <c r="W50" s="1544">
        <v>0</v>
      </c>
      <c r="X50" s="1544">
        <v>0</v>
      </c>
      <c r="Y50" s="1544">
        <v>0</v>
      </c>
      <c r="Z50" s="1544">
        <v>2.9420588235294121</v>
      </c>
      <c r="AA50" s="1943">
        <v>0</v>
      </c>
      <c r="AB50" s="1933">
        <v>0</v>
      </c>
      <c r="AC50" s="1544">
        <v>0</v>
      </c>
      <c r="AD50" s="1544">
        <v>0.61599999999999999</v>
      </c>
      <c r="AE50" s="1544">
        <v>0</v>
      </c>
      <c r="AF50" s="1544">
        <v>0</v>
      </c>
      <c r="AG50" s="1544">
        <v>0</v>
      </c>
      <c r="AH50" s="1544">
        <v>0.3623529411764706</v>
      </c>
      <c r="AI50" s="1544">
        <v>0</v>
      </c>
      <c r="AJ50" s="1544">
        <v>0</v>
      </c>
      <c r="AK50" s="1544">
        <v>0</v>
      </c>
      <c r="AL50" s="1544">
        <v>2.993823529411765</v>
      </c>
      <c r="AM50" s="1943">
        <v>0</v>
      </c>
      <c r="AN50" s="1933">
        <v>0</v>
      </c>
      <c r="AO50" s="1544">
        <v>0</v>
      </c>
      <c r="AP50" s="1544">
        <v>0.71500000000000008</v>
      </c>
      <c r="AQ50" s="1544">
        <v>0</v>
      </c>
      <c r="AR50" s="1544">
        <v>0</v>
      </c>
      <c r="AS50" s="1544">
        <v>0</v>
      </c>
      <c r="AT50" s="1544">
        <v>0.42058823529411771</v>
      </c>
      <c r="AU50" s="1544">
        <v>0</v>
      </c>
      <c r="AV50" s="1544">
        <v>0</v>
      </c>
      <c r="AW50" s="1544">
        <v>0</v>
      </c>
      <c r="AX50" s="1544">
        <v>3.4597058823529414</v>
      </c>
      <c r="AY50" s="1943">
        <v>0</v>
      </c>
      <c r="AZ50" s="1933">
        <v>0</v>
      </c>
      <c r="BA50" s="1544">
        <v>0</v>
      </c>
      <c r="BB50" s="1544">
        <v>0.81400000000000017</v>
      </c>
      <c r="BC50" s="1544">
        <v>0</v>
      </c>
      <c r="BD50" s="1544">
        <v>0</v>
      </c>
      <c r="BE50" s="1544">
        <v>0</v>
      </c>
      <c r="BF50" s="1544">
        <v>0.47882352941176476</v>
      </c>
      <c r="BG50" s="1544">
        <v>0</v>
      </c>
      <c r="BH50" s="1544">
        <v>0</v>
      </c>
      <c r="BI50" s="1544">
        <v>0</v>
      </c>
      <c r="BJ50" s="1544">
        <v>3.9255882352941183</v>
      </c>
      <c r="BK50" s="1943">
        <v>0</v>
      </c>
      <c r="BL50" s="1933">
        <v>0</v>
      </c>
      <c r="BM50" s="1544">
        <v>0</v>
      </c>
      <c r="BN50" s="1544">
        <v>0.78100000000000003</v>
      </c>
      <c r="BO50" s="1544">
        <v>0</v>
      </c>
      <c r="BP50" s="1544">
        <v>0</v>
      </c>
      <c r="BQ50" s="1544">
        <v>0</v>
      </c>
      <c r="BR50" s="1544">
        <v>0.45941176470588235</v>
      </c>
      <c r="BS50" s="1544">
        <v>0</v>
      </c>
      <c r="BT50" s="1544">
        <v>0</v>
      </c>
      <c r="BU50" s="1544">
        <v>0</v>
      </c>
      <c r="BV50" s="1544">
        <v>3.770294117647059</v>
      </c>
      <c r="BW50" s="1943">
        <v>0</v>
      </c>
      <c r="BX50" s="1933">
        <v>0</v>
      </c>
      <c r="BY50" s="1544">
        <v>0</v>
      </c>
      <c r="BZ50" s="1544">
        <v>0.79200000000000015</v>
      </c>
      <c r="CA50" s="1544">
        <v>0</v>
      </c>
      <c r="CB50" s="1544">
        <v>0</v>
      </c>
      <c r="CC50" s="1544">
        <v>0</v>
      </c>
      <c r="CD50" s="1544">
        <v>0.46588235294117653</v>
      </c>
      <c r="CE50" s="1544">
        <v>0</v>
      </c>
      <c r="CF50" s="1544">
        <v>0</v>
      </c>
      <c r="CG50" s="1544">
        <v>0</v>
      </c>
      <c r="CH50" s="1544">
        <v>3.8220588235294128</v>
      </c>
      <c r="CI50" s="1943">
        <v>0</v>
      </c>
      <c r="CJ50" s="1933">
        <v>0</v>
      </c>
      <c r="CK50" s="1544">
        <v>0</v>
      </c>
      <c r="CL50" s="1544">
        <v>1.4410000000000001</v>
      </c>
      <c r="CM50" s="1544">
        <v>0</v>
      </c>
      <c r="CN50" s="1544">
        <v>0</v>
      </c>
      <c r="CO50" s="1544">
        <v>0</v>
      </c>
      <c r="CP50" s="1544">
        <v>0.84764705882352942</v>
      </c>
      <c r="CQ50" s="1544">
        <v>0</v>
      </c>
      <c r="CR50" s="1544">
        <v>0</v>
      </c>
      <c r="CS50" s="1544">
        <v>0</v>
      </c>
      <c r="CT50" s="1544">
        <v>6.876176470588236</v>
      </c>
      <c r="CU50" s="1943">
        <v>0</v>
      </c>
      <c r="CV50" s="1933">
        <v>0</v>
      </c>
      <c r="CW50" s="1544">
        <v>0</v>
      </c>
      <c r="CX50" s="1544">
        <v>1.0670000000000002</v>
      </c>
      <c r="CY50" s="1544">
        <v>0</v>
      </c>
      <c r="CZ50" s="1544">
        <v>0</v>
      </c>
      <c r="DA50" s="1544">
        <v>0</v>
      </c>
      <c r="DB50" s="1544">
        <v>0.62764705882352945</v>
      </c>
      <c r="DC50" s="1544">
        <v>0</v>
      </c>
      <c r="DD50" s="1544">
        <v>0</v>
      </c>
      <c r="DE50" s="1544">
        <v>0</v>
      </c>
      <c r="DF50" s="1544">
        <v>5.1161764705882353</v>
      </c>
      <c r="DG50" s="1943">
        <v>0</v>
      </c>
      <c r="DH50" s="1933">
        <v>0</v>
      </c>
      <c r="DI50" s="1544">
        <v>0</v>
      </c>
      <c r="DJ50" s="1544">
        <v>1.232</v>
      </c>
      <c r="DK50" s="1544">
        <v>0</v>
      </c>
      <c r="DL50" s="1544">
        <v>0</v>
      </c>
      <c r="DM50" s="1544">
        <v>0</v>
      </c>
      <c r="DN50" s="1544">
        <v>0.7247058823529412</v>
      </c>
      <c r="DO50" s="1544">
        <v>0</v>
      </c>
      <c r="DP50" s="1544">
        <v>0</v>
      </c>
      <c r="DQ50" s="1544">
        <v>0</v>
      </c>
      <c r="DR50" s="1544">
        <v>5.8926470588235293</v>
      </c>
      <c r="DS50" s="1943">
        <v>0</v>
      </c>
      <c r="DT50" s="1933">
        <v>0</v>
      </c>
      <c r="DU50" s="1544">
        <v>0</v>
      </c>
      <c r="DV50" s="1544">
        <v>0.46200000000000008</v>
      </c>
      <c r="DW50" s="1544">
        <v>0</v>
      </c>
      <c r="DX50" s="1544">
        <v>0</v>
      </c>
      <c r="DY50" s="1544">
        <v>0</v>
      </c>
      <c r="DZ50" s="1544">
        <v>0.27176470588235296</v>
      </c>
      <c r="EA50" s="1544">
        <v>0</v>
      </c>
      <c r="EB50" s="1544">
        <v>0</v>
      </c>
      <c r="EC50" s="1544">
        <v>0</v>
      </c>
      <c r="ED50" s="1544">
        <v>2.2691176470588243</v>
      </c>
      <c r="EE50" s="1943">
        <v>0</v>
      </c>
      <c r="EF50" s="1933">
        <v>0</v>
      </c>
      <c r="EG50" s="1544">
        <v>0</v>
      </c>
      <c r="EH50" s="1544">
        <v>0.90200000000000002</v>
      </c>
      <c r="EI50" s="1544">
        <v>0</v>
      </c>
      <c r="EJ50" s="1544">
        <v>0</v>
      </c>
      <c r="EK50" s="1544">
        <v>0</v>
      </c>
      <c r="EL50" s="1544">
        <v>0.53058823529411769</v>
      </c>
      <c r="EM50" s="1544">
        <v>0</v>
      </c>
      <c r="EN50" s="1544">
        <v>0</v>
      </c>
      <c r="EO50" s="1544">
        <v>0</v>
      </c>
      <c r="EP50" s="1544">
        <v>4.3397058823529413</v>
      </c>
      <c r="EQ50" s="1943">
        <v>0</v>
      </c>
      <c r="ER50" s="1933">
        <v>0</v>
      </c>
      <c r="ES50" s="1544">
        <v>0</v>
      </c>
      <c r="ET50" s="1544">
        <v>1.6940000000000002</v>
      </c>
      <c r="EU50" s="1544">
        <v>0</v>
      </c>
      <c r="EV50" s="1544">
        <v>0</v>
      </c>
      <c r="EW50" s="1544">
        <v>0</v>
      </c>
      <c r="EX50" s="1544">
        <v>0.99647058823529422</v>
      </c>
      <c r="EY50" s="1544">
        <v>0</v>
      </c>
      <c r="EZ50" s="1544">
        <v>0</v>
      </c>
      <c r="FA50" s="1544">
        <v>0</v>
      </c>
      <c r="FB50" s="1544">
        <v>8.0667647058823544</v>
      </c>
      <c r="FC50" s="1943">
        <v>0</v>
      </c>
      <c r="FD50" s="1933">
        <v>0</v>
      </c>
      <c r="FE50" s="1544">
        <v>0</v>
      </c>
      <c r="FF50" s="1544">
        <v>0.77000000000000013</v>
      </c>
      <c r="FG50" s="1544">
        <v>0</v>
      </c>
      <c r="FH50" s="1544">
        <v>0</v>
      </c>
      <c r="FI50" s="1544">
        <v>0</v>
      </c>
      <c r="FJ50" s="1544">
        <v>0.45294117647058829</v>
      </c>
      <c r="FK50" s="1544">
        <v>0</v>
      </c>
      <c r="FL50" s="1544">
        <v>0</v>
      </c>
      <c r="FM50" s="1544">
        <v>0</v>
      </c>
      <c r="FN50" s="1544">
        <v>3.7185294117647061</v>
      </c>
      <c r="FO50" s="1943">
        <v>0</v>
      </c>
      <c r="FP50" s="1933">
        <v>0</v>
      </c>
      <c r="FQ50" s="1544">
        <v>0</v>
      </c>
      <c r="FR50" s="1544">
        <v>0.77000000000000013</v>
      </c>
      <c r="FS50" s="1544">
        <v>0</v>
      </c>
      <c r="FT50" s="1544">
        <v>0</v>
      </c>
      <c r="FU50" s="1544">
        <v>0</v>
      </c>
      <c r="FV50" s="1544">
        <v>0.45294117647058829</v>
      </c>
      <c r="FW50" s="1544">
        <v>0</v>
      </c>
      <c r="FX50" s="1544">
        <v>0</v>
      </c>
      <c r="FY50" s="1544">
        <v>0</v>
      </c>
      <c r="FZ50" s="1544">
        <v>3.7185294117647061</v>
      </c>
      <c r="GA50" s="1943">
        <v>0</v>
      </c>
      <c r="GB50" s="1933">
        <v>0</v>
      </c>
      <c r="GC50" s="1544">
        <v>0</v>
      </c>
      <c r="GD50" s="1544">
        <v>1.0450000000000002</v>
      </c>
      <c r="GE50" s="1544">
        <v>0</v>
      </c>
      <c r="GF50" s="1544">
        <v>0</v>
      </c>
      <c r="GG50" s="1544">
        <v>0</v>
      </c>
      <c r="GH50" s="1544">
        <v>0.61470588235294121</v>
      </c>
      <c r="GI50" s="1544">
        <v>0</v>
      </c>
      <c r="GJ50" s="1544">
        <v>0</v>
      </c>
      <c r="GK50" s="1544">
        <v>0</v>
      </c>
      <c r="GL50" s="1544">
        <v>5.0126470588235303</v>
      </c>
      <c r="GM50" s="1943">
        <v>0</v>
      </c>
      <c r="GN50" s="1933">
        <v>0</v>
      </c>
      <c r="GO50" s="1544">
        <v>0</v>
      </c>
      <c r="GP50" s="1544">
        <v>1.056</v>
      </c>
      <c r="GQ50" s="1544">
        <v>0</v>
      </c>
      <c r="GR50" s="1544">
        <v>0</v>
      </c>
      <c r="GS50" s="1544">
        <v>0</v>
      </c>
      <c r="GT50" s="1544">
        <v>0.62117647058823533</v>
      </c>
      <c r="GU50" s="1544">
        <v>0</v>
      </c>
      <c r="GV50" s="1544">
        <v>0</v>
      </c>
      <c r="GW50" s="1544">
        <v>0</v>
      </c>
      <c r="GX50" s="1544">
        <v>5.0644117647058824</v>
      </c>
      <c r="GY50" s="1943">
        <v>0</v>
      </c>
      <c r="GZ50" s="1933">
        <v>0</v>
      </c>
      <c r="HA50" s="1544">
        <v>0</v>
      </c>
      <c r="HB50" s="1544">
        <v>0.14300000000000002</v>
      </c>
      <c r="HC50" s="1544">
        <v>0</v>
      </c>
      <c r="HD50" s="1544">
        <v>0</v>
      </c>
      <c r="HE50" s="1544">
        <v>0</v>
      </c>
      <c r="HF50" s="1544">
        <v>8.4117647058823547E-2</v>
      </c>
      <c r="HG50" s="1544">
        <v>0</v>
      </c>
      <c r="HH50" s="1544">
        <v>0</v>
      </c>
      <c r="HI50" s="1544">
        <v>0</v>
      </c>
      <c r="HJ50" s="1544">
        <v>0.76794117647058857</v>
      </c>
      <c r="HK50" s="1943">
        <v>0</v>
      </c>
      <c r="HL50" s="1933">
        <v>0</v>
      </c>
      <c r="HM50" s="1544">
        <v>0</v>
      </c>
      <c r="HN50" s="1544">
        <v>8.8000000000000023E-2</v>
      </c>
      <c r="HO50" s="1544">
        <v>0</v>
      </c>
      <c r="HP50" s="1544">
        <v>0</v>
      </c>
      <c r="HQ50" s="1544">
        <v>0</v>
      </c>
      <c r="HR50" s="1544">
        <v>5.1764705882352949E-2</v>
      </c>
      <c r="HS50" s="1544">
        <v>0</v>
      </c>
      <c r="HT50" s="1544">
        <v>0</v>
      </c>
      <c r="HU50" s="1544">
        <v>0</v>
      </c>
      <c r="HV50" s="1544">
        <v>0.5091176470588239</v>
      </c>
      <c r="HW50" s="1943">
        <v>0</v>
      </c>
      <c r="HX50" s="1933">
        <v>0</v>
      </c>
      <c r="HY50" s="1544">
        <v>0</v>
      </c>
      <c r="HZ50" s="1544">
        <v>0.70400000000000018</v>
      </c>
      <c r="IA50" s="1544">
        <v>0</v>
      </c>
      <c r="IB50" s="1544">
        <v>0</v>
      </c>
      <c r="IC50" s="1544">
        <v>0</v>
      </c>
      <c r="ID50" s="1544">
        <v>0.41411764705882359</v>
      </c>
      <c r="IE50" s="1544">
        <v>0</v>
      </c>
      <c r="IF50" s="1544">
        <v>0</v>
      </c>
      <c r="IG50" s="1544">
        <v>0</v>
      </c>
      <c r="IH50" s="1544">
        <v>3.4079411764705889</v>
      </c>
      <c r="II50" s="1943">
        <v>0</v>
      </c>
      <c r="IJ50" s="1933">
        <v>0</v>
      </c>
      <c r="IK50" s="1544">
        <v>0</v>
      </c>
      <c r="IL50" s="1544">
        <v>0.33000000000000007</v>
      </c>
      <c r="IM50" s="1544">
        <v>0</v>
      </c>
      <c r="IN50" s="1544">
        <v>0</v>
      </c>
      <c r="IO50" s="1544">
        <v>0</v>
      </c>
      <c r="IP50" s="1544">
        <v>0.19411764705882356</v>
      </c>
      <c r="IQ50" s="1544">
        <v>0</v>
      </c>
      <c r="IR50" s="1544">
        <v>0</v>
      </c>
      <c r="IS50" s="1544">
        <v>0</v>
      </c>
      <c r="IT50" s="1544">
        <v>1.6479411764705887</v>
      </c>
      <c r="IU50" s="1943">
        <v>0</v>
      </c>
      <c r="IV50" s="1933">
        <v>0</v>
      </c>
      <c r="IW50" s="1544">
        <v>0</v>
      </c>
      <c r="IX50" s="1544">
        <v>1.056</v>
      </c>
      <c r="IY50" s="1544">
        <v>0</v>
      </c>
      <c r="IZ50" s="1544">
        <v>0</v>
      </c>
      <c r="JA50" s="1544">
        <v>0</v>
      </c>
      <c r="JB50" s="1544">
        <v>0.62117647058823533</v>
      </c>
      <c r="JC50" s="1544">
        <v>0</v>
      </c>
      <c r="JD50" s="1544">
        <v>0</v>
      </c>
      <c r="JE50" s="1544">
        <v>0</v>
      </c>
      <c r="JF50" s="1544">
        <v>5.0644117647058824</v>
      </c>
      <c r="JG50" s="1943">
        <v>0</v>
      </c>
      <c r="JH50" s="1933">
        <v>0</v>
      </c>
      <c r="JI50" s="1544">
        <v>0</v>
      </c>
      <c r="JJ50" s="1544">
        <v>0.59400000000000008</v>
      </c>
      <c r="JK50" s="1544">
        <v>0</v>
      </c>
      <c r="JL50" s="1544">
        <v>0</v>
      </c>
      <c r="JM50" s="1544">
        <v>0</v>
      </c>
      <c r="JN50" s="1544">
        <v>0.34941176470588242</v>
      </c>
      <c r="JO50" s="1544">
        <v>0</v>
      </c>
      <c r="JP50" s="1544">
        <v>0</v>
      </c>
      <c r="JQ50" s="1544">
        <v>0</v>
      </c>
      <c r="JR50" s="1544">
        <v>2.8902941176470591</v>
      </c>
      <c r="JS50" s="1943">
        <v>0</v>
      </c>
      <c r="JT50" s="1933">
        <v>0</v>
      </c>
      <c r="JU50" s="1544">
        <v>0</v>
      </c>
      <c r="JV50" s="1544">
        <v>0.7370000000000001</v>
      </c>
      <c r="JW50" s="1544">
        <v>0</v>
      </c>
      <c r="JX50" s="1544">
        <v>0</v>
      </c>
      <c r="JY50" s="1544">
        <v>0</v>
      </c>
      <c r="JZ50" s="1544">
        <v>0.43352941176470594</v>
      </c>
      <c r="KA50" s="1544">
        <v>0</v>
      </c>
      <c r="KB50" s="1544">
        <v>0</v>
      </c>
      <c r="KC50" s="1544">
        <v>0</v>
      </c>
      <c r="KD50" s="1544">
        <v>3.5632352941176482</v>
      </c>
      <c r="KE50" s="1943">
        <v>0</v>
      </c>
      <c r="KF50" s="1933">
        <v>0</v>
      </c>
      <c r="KG50" s="1544">
        <v>0</v>
      </c>
      <c r="KH50" s="1544">
        <v>0.79200000000000015</v>
      </c>
      <c r="KI50" s="1544">
        <v>0</v>
      </c>
      <c r="KJ50" s="1544">
        <v>0</v>
      </c>
      <c r="KK50" s="1544">
        <v>0</v>
      </c>
      <c r="KL50" s="1544">
        <v>0.46588235294117653</v>
      </c>
      <c r="KM50" s="1544">
        <v>0</v>
      </c>
      <c r="KN50" s="1544">
        <v>0</v>
      </c>
      <c r="KO50" s="1544">
        <v>0</v>
      </c>
      <c r="KP50" s="1544">
        <v>3.8220588235294128</v>
      </c>
      <c r="KQ50" s="1943">
        <v>0</v>
      </c>
      <c r="KR50" s="1933">
        <v>0</v>
      </c>
      <c r="KS50" s="1544">
        <v>0</v>
      </c>
      <c r="KT50" s="1544">
        <v>0.47300000000000003</v>
      </c>
      <c r="KU50" s="1544">
        <v>0</v>
      </c>
      <c r="KV50" s="1544">
        <v>0</v>
      </c>
      <c r="KW50" s="1544">
        <v>0</v>
      </c>
      <c r="KX50" s="1544">
        <v>0.27823529411764708</v>
      </c>
      <c r="KY50" s="1544">
        <v>0</v>
      </c>
      <c r="KZ50" s="1544">
        <v>0</v>
      </c>
      <c r="LA50" s="1544">
        <v>0</v>
      </c>
      <c r="LB50" s="1544">
        <v>2.3208823529411773</v>
      </c>
      <c r="LC50" s="1943">
        <v>0</v>
      </c>
      <c r="LD50" s="1933">
        <v>0</v>
      </c>
      <c r="LE50" s="1544">
        <v>0</v>
      </c>
      <c r="LF50" s="1544">
        <v>0.8580000000000001</v>
      </c>
      <c r="LG50" s="1544">
        <v>0</v>
      </c>
      <c r="LH50" s="1544">
        <v>0</v>
      </c>
      <c r="LI50" s="1544">
        <v>0</v>
      </c>
      <c r="LJ50" s="1544">
        <v>0.50470588235294123</v>
      </c>
      <c r="LK50" s="1544">
        <v>0</v>
      </c>
      <c r="LL50" s="1544">
        <v>0</v>
      </c>
      <c r="LM50" s="1544">
        <v>0</v>
      </c>
      <c r="LN50" s="1544">
        <v>4.1326470588235305</v>
      </c>
      <c r="LO50" s="1943">
        <v>0</v>
      </c>
      <c r="LP50" s="1933">
        <v>0</v>
      </c>
      <c r="LQ50" s="1544">
        <v>0</v>
      </c>
      <c r="LR50" s="1544">
        <v>0.89100000000000013</v>
      </c>
      <c r="LS50" s="1544">
        <v>0</v>
      </c>
      <c r="LT50" s="1544">
        <v>0</v>
      </c>
      <c r="LU50" s="1544">
        <v>0</v>
      </c>
      <c r="LV50" s="1544">
        <v>0.52411764705882358</v>
      </c>
      <c r="LW50" s="1544">
        <v>0</v>
      </c>
      <c r="LX50" s="1544">
        <v>0</v>
      </c>
      <c r="LY50" s="1544">
        <v>0</v>
      </c>
      <c r="LZ50" s="1544">
        <v>4.2879411764705884</v>
      </c>
      <c r="MA50" s="1943">
        <v>0</v>
      </c>
      <c r="MB50" s="1933">
        <v>0</v>
      </c>
      <c r="MC50" s="1544">
        <v>0</v>
      </c>
      <c r="MD50" s="1544">
        <v>1.9360000000000004</v>
      </c>
      <c r="ME50" s="1544">
        <v>0</v>
      </c>
      <c r="MF50" s="1544">
        <v>0</v>
      </c>
      <c r="MG50" s="1544">
        <v>0</v>
      </c>
      <c r="MH50" s="1544">
        <v>1.138823529411765</v>
      </c>
      <c r="MI50" s="1544">
        <v>0</v>
      </c>
      <c r="MJ50" s="1544">
        <v>0</v>
      </c>
      <c r="MK50" s="1544">
        <v>0</v>
      </c>
      <c r="ML50" s="1544">
        <v>9.205588235294119</v>
      </c>
      <c r="MM50" s="1943">
        <v>0</v>
      </c>
      <c r="MN50" s="1933">
        <v>0</v>
      </c>
      <c r="MO50" s="1544">
        <v>0</v>
      </c>
      <c r="MP50" s="1544">
        <v>1.1990000000000003</v>
      </c>
      <c r="MQ50" s="1544">
        <v>0</v>
      </c>
      <c r="MR50" s="1544">
        <v>0</v>
      </c>
      <c r="MS50" s="1544">
        <v>0</v>
      </c>
      <c r="MT50" s="1544">
        <v>0.70529411764705896</v>
      </c>
      <c r="MU50" s="1544">
        <v>0</v>
      </c>
      <c r="MV50" s="1544">
        <v>0</v>
      </c>
      <c r="MW50" s="1544">
        <v>0</v>
      </c>
      <c r="MX50" s="1544">
        <v>5.7373529411764714</v>
      </c>
      <c r="MY50" s="1943">
        <v>0</v>
      </c>
      <c r="MZ50" s="1933">
        <v>0</v>
      </c>
      <c r="NA50" s="1544">
        <v>0</v>
      </c>
      <c r="NB50" s="1544">
        <v>1.0230000000000001</v>
      </c>
      <c r="NC50" s="1544">
        <v>0</v>
      </c>
      <c r="ND50" s="1544">
        <v>0</v>
      </c>
      <c r="NE50" s="1544">
        <v>0</v>
      </c>
      <c r="NF50" s="1544">
        <v>0.60176470588235309</v>
      </c>
      <c r="NG50" s="1544">
        <v>0</v>
      </c>
      <c r="NH50" s="1544">
        <v>0</v>
      </c>
      <c r="NI50" s="1544">
        <v>0</v>
      </c>
      <c r="NJ50" s="1544">
        <v>4.9091176470588245</v>
      </c>
      <c r="NK50" s="1943">
        <v>0</v>
      </c>
      <c r="NL50" s="1933">
        <v>0</v>
      </c>
      <c r="NM50" s="1544">
        <v>0</v>
      </c>
      <c r="NN50" s="1544">
        <v>0.82500000000000007</v>
      </c>
      <c r="NO50" s="1544">
        <v>0</v>
      </c>
      <c r="NP50" s="1544">
        <v>0</v>
      </c>
      <c r="NQ50" s="1544">
        <v>0</v>
      </c>
      <c r="NR50" s="1544">
        <v>0.48529411764705888</v>
      </c>
      <c r="NS50" s="1544">
        <v>0</v>
      </c>
      <c r="NT50" s="1544">
        <v>0</v>
      </c>
      <c r="NU50" s="1544">
        <v>0</v>
      </c>
      <c r="NV50" s="1544">
        <v>3.9773529411764712</v>
      </c>
      <c r="NW50" s="1943">
        <v>0</v>
      </c>
      <c r="NX50" s="1933">
        <v>0</v>
      </c>
      <c r="NY50" s="1544">
        <v>0</v>
      </c>
      <c r="NZ50" s="1544">
        <v>1.3200000000000003</v>
      </c>
      <c r="OA50" s="1544">
        <v>0</v>
      </c>
      <c r="OB50" s="1544">
        <v>0</v>
      </c>
      <c r="OC50" s="1544">
        <v>0</v>
      </c>
      <c r="OD50" s="1544">
        <v>0.77647058823529425</v>
      </c>
      <c r="OE50" s="1544">
        <v>0</v>
      </c>
      <c r="OF50" s="1544">
        <v>0</v>
      </c>
      <c r="OG50" s="1544">
        <v>0</v>
      </c>
      <c r="OH50" s="1544">
        <v>6.3067647058823537</v>
      </c>
      <c r="OI50" s="1934">
        <v>0</v>
      </c>
      <c r="OJ50" s="1933">
        <v>0</v>
      </c>
      <c r="OK50" s="1544">
        <v>0</v>
      </c>
      <c r="OL50" s="1544">
        <v>0.66000000000000014</v>
      </c>
      <c r="OM50" s="1544">
        <v>0</v>
      </c>
      <c r="ON50" s="1544">
        <v>0</v>
      </c>
      <c r="OO50" s="1544">
        <v>0</v>
      </c>
      <c r="OP50" s="1544">
        <v>0.38823529411764712</v>
      </c>
      <c r="OQ50" s="1544">
        <v>0</v>
      </c>
      <c r="OR50" s="1544">
        <v>0</v>
      </c>
      <c r="OS50" s="1544">
        <v>0</v>
      </c>
      <c r="OT50" s="1544">
        <v>3.2008823529411767</v>
      </c>
      <c r="OU50" s="1934">
        <v>0</v>
      </c>
      <c r="OV50" s="1933">
        <v>0</v>
      </c>
      <c r="OW50" s="1544">
        <v>0</v>
      </c>
      <c r="OX50" s="1544">
        <v>1.7820000000000003</v>
      </c>
      <c r="OY50" s="1544">
        <v>0</v>
      </c>
      <c r="OZ50" s="1544">
        <v>0</v>
      </c>
      <c r="PA50" s="1544">
        <v>0</v>
      </c>
      <c r="PB50" s="1544">
        <v>1.0482352941176472</v>
      </c>
      <c r="PC50" s="1544">
        <v>0</v>
      </c>
      <c r="PD50" s="1544">
        <v>0</v>
      </c>
      <c r="PE50" s="1544">
        <v>0</v>
      </c>
      <c r="PF50" s="1544">
        <v>8.4808823529411761</v>
      </c>
      <c r="PG50" s="1934">
        <v>0</v>
      </c>
      <c r="PH50" s="1933">
        <v>0</v>
      </c>
      <c r="PI50" s="1544">
        <v>0</v>
      </c>
      <c r="PJ50" s="1544">
        <v>0.8580000000000001</v>
      </c>
      <c r="PK50" s="1544">
        <v>0</v>
      </c>
      <c r="PL50" s="1544">
        <v>0</v>
      </c>
      <c r="PM50" s="1544">
        <v>0</v>
      </c>
      <c r="PN50" s="1544">
        <v>0.50470588235294123</v>
      </c>
      <c r="PO50" s="1544">
        <v>0</v>
      </c>
      <c r="PP50" s="1544">
        <v>0</v>
      </c>
      <c r="PQ50" s="1544">
        <v>0</v>
      </c>
      <c r="PR50" s="1544">
        <v>4.1326470588235305</v>
      </c>
      <c r="PS50" s="1934">
        <v>0</v>
      </c>
      <c r="PT50" s="1933">
        <v>0</v>
      </c>
      <c r="PU50" s="1544">
        <v>0</v>
      </c>
      <c r="PV50" s="1544">
        <v>0.80300000000000005</v>
      </c>
      <c r="PW50" s="1544">
        <v>0</v>
      </c>
      <c r="PX50" s="1544">
        <v>0</v>
      </c>
      <c r="PY50" s="1544">
        <v>0</v>
      </c>
      <c r="PZ50" s="1544">
        <v>0.47235294117647064</v>
      </c>
      <c r="QA50" s="1544">
        <v>0</v>
      </c>
      <c r="QB50" s="1544">
        <v>0</v>
      </c>
      <c r="QC50" s="1544">
        <v>0</v>
      </c>
      <c r="QD50" s="1544">
        <v>3.8738235294117653</v>
      </c>
      <c r="QE50" s="1934">
        <v>0</v>
      </c>
      <c r="QF50" s="1933">
        <v>0</v>
      </c>
      <c r="QG50" s="1544">
        <v>0</v>
      </c>
      <c r="QH50" s="1544">
        <v>1.2210000000000001</v>
      </c>
      <c r="QI50" s="1544">
        <v>0</v>
      </c>
      <c r="QJ50" s="1544">
        <v>0</v>
      </c>
      <c r="QK50" s="1544">
        <v>0</v>
      </c>
      <c r="QL50" s="1544">
        <v>0.71823529411764708</v>
      </c>
      <c r="QM50" s="1544">
        <v>0</v>
      </c>
      <c r="QN50" s="1544">
        <v>0</v>
      </c>
      <c r="QO50" s="1544">
        <v>0</v>
      </c>
      <c r="QP50" s="1544">
        <v>5.8408823529411773</v>
      </c>
      <c r="QQ50" s="1934">
        <v>0</v>
      </c>
      <c r="QR50" s="1933">
        <v>0</v>
      </c>
      <c r="QS50" s="1544">
        <v>0</v>
      </c>
      <c r="QT50" s="1544">
        <v>0.84700000000000009</v>
      </c>
      <c r="QU50" s="1544">
        <v>0</v>
      </c>
      <c r="QV50" s="1544">
        <v>0</v>
      </c>
      <c r="QW50" s="1544">
        <v>0</v>
      </c>
      <c r="QX50" s="1544">
        <v>0.49823529411764711</v>
      </c>
      <c r="QY50" s="1544">
        <v>0</v>
      </c>
      <c r="QZ50" s="1544">
        <v>0</v>
      </c>
      <c r="RA50" s="1544">
        <v>0</v>
      </c>
      <c r="RB50" s="1544">
        <v>4.0808823529411775</v>
      </c>
      <c r="RC50" s="1934">
        <v>0</v>
      </c>
      <c r="RD50" s="1933">
        <v>0</v>
      </c>
      <c r="RE50" s="1544">
        <v>0</v>
      </c>
      <c r="RF50" s="1544">
        <v>0.82500000000000007</v>
      </c>
      <c r="RG50" s="1544">
        <v>0</v>
      </c>
      <c r="RH50" s="1544">
        <v>0</v>
      </c>
      <c r="RI50" s="1544">
        <v>0</v>
      </c>
      <c r="RJ50" s="1544">
        <v>0.48529411764705888</v>
      </c>
      <c r="RK50" s="1544">
        <v>0</v>
      </c>
      <c r="RL50" s="1544">
        <v>0</v>
      </c>
      <c r="RM50" s="1544">
        <v>0</v>
      </c>
      <c r="RN50" s="1544">
        <v>3.9773529411764712</v>
      </c>
      <c r="RO50" s="1934">
        <v>0</v>
      </c>
    </row>
    <row r="51" spans="1:483">
      <c r="A51" s="657">
        <f>Eingabedaten!A53</f>
        <v>12.12</v>
      </c>
      <c r="B51" s="389" t="str">
        <f>Eingabedaten!C53</f>
        <v>Serverraum</v>
      </c>
      <c r="C51" s="389"/>
      <c r="D51" s="1935">
        <v>4.6962222222222216</v>
      </c>
      <c r="E51" s="1936">
        <v>0</v>
      </c>
      <c r="F51" s="1936">
        <v>2.3256000000000001</v>
      </c>
      <c r="G51" s="1936">
        <v>0</v>
      </c>
      <c r="H51" s="1936">
        <v>2.990213183174125</v>
      </c>
      <c r="I51" s="1936">
        <v>0</v>
      </c>
      <c r="J51" s="1936">
        <v>1.7712000000000003</v>
      </c>
      <c r="K51" s="1936">
        <v>0</v>
      </c>
      <c r="L51" s="1936">
        <v>0</v>
      </c>
      <c r="M51" s="1936">
        <v>0</v>
      </c>
      <c r="N51" s="1936">
        <v>10.545300000000001</v>
      </c>
      <c r="O51" s="1937">
        <v>0</v>
      </c>
      <c r="P51" s="1935">
        <v>6.600702222222222</v>
      </c>
      <c r="Q51" s="1936">
        <v>0</v>
      </c>
      <c r="R51" s="1936">
        <v>1.254</v>
      </c>
      <c r="S51" s="1936">
        <v>0</v>
      </c>
      <c r="T51" s="1936">
        <v>4.3449482419976544</v>
      </c>
      <c r="U51" s="1936">
        <v>0</v>
      </c>
      <c r="V51" s="1936">
        <v>0.95505882352941196</v>
      </c>
      <c r="W51" s="1936">
        <v>0</v>
      </c>
      <c r="X51" s="1936">
        <v>0</v>
      </c>
      <c r="Y51" s="1936">
        <v>0</v>
      </c>
      <c r="Z51" s="1936">
        <v>6.2721705882352943</v>
      </c>
      <c r="AA51" s="1937">
        <v>0</v>
      </c>
      <c r="AB51" s="1935">
        <v>6.8908622222222231</v>
      </c>
      <c r="AC51" s="1936">
        <v>0</v>
      </c>
      <c r="AD51" s="1936">
        <v>1.2768000000000002</v>
      </c>
      <c r="AE51" s="1936">
        <v>0</v>
      </c>
      <c r="AF51" s="1936">
        <v>4.5540494184682423</v>
      </c>
      <c r="AG51" s="1936">
        <v>0</v>
      </c>
      <c r="AH51" s="1936">
        <v>0.97242352941176491</v>
      </c>
      <c r="AI51" s="1936">
        <v>0</v>
      </c>
      <c r="AJ51" s="1936">
        <v>0</v>
      </c>
      <c r="AK51" s="1936">
        <v>0</v>
      </c>
      <c r="AL51" s="1936">
        <v>6.3630882352941178</v>
      </c>
      <c r="AM51" s="1937">
        <v>0</v>
      </c>
      <c r="AN51" s="1935">
        <v>7.0247822222222212</v>
      </c>
      <c r="AO51" s="1936">
        <v>0</v>
      </c>
      <c r="AP51" s="1936">
        <v>1.4820000000000002</v>
      </c>
      <c r="AQ51" s="1936">
        <v>0</v>
      </c>
      <c r="AR51" s="1936">
        <v>4.6505576537623599</v>
      </c>
      <c r="AS51" s="1936">
        <v>0</v>
      </c>
      <c r="AT51" s="1936">
        <v>1.1287058823529414</v>
      </c>
      <c r="AU51" s="1936">
        <v>0</v>
      </c>
      <c r="AV51" s="1936">
        <v>0</v>
      </c>
      <c r="AW51" s="1936">
        <v>0</v>
      </c>
      <c r="AX51" s="1936">
        <v>7.1813470588235306</v>
      </c>
      <c r="AY51" s="1937">
        <v>0</v>
      </c>
      <c r="AZ51" s="1935">
        <v>6.6676622222222219</v>
      </c>
      <c r="BA51" s="1936">
        <v>0</v>
      </c>
      <c r="BB51" s="1936">
        <v>1.6872000000000003</v>
      </c>
      <c r="BC51" s="1936">
        <v>0</v>
      </c>
      <c r="BD51" s="1936">
        <v>4.3932023596447136</v>
      </c>
      <c r="BE51" s="1936">
        <v>0</v>
      </c>
      <c r="BF51" s="1936">
        <v>1.284988235294118</v>
      </c>
      <c r="BG51" s="1936">
        <v>0</v>
      </c>
      <c r="BH51" s="1936">
        <v>0</v>
      </c>
      <c r="BI51" s="1936">
        <v>0</v>
      </c>
      <c r="BJ51" s="1936">
        <v>7.9996058823529426</v>
      </c>
      <c r="BK51" s="1937">
        <v>0</v>
      </c>
      <c r="BL51" s="1935">
        <v>6.8685422222222217</v>
      </c>
      <c r="BM51" s="1936">
        <v>0</v>
      </c>
      <c r="BN51" s="1936">
        <v>1.6188000000000002</v>
      </c>
      <c r="BO51" s="1936">
        <v>0</v>
      </c>
      <c r="BP51" s="1936">
        <v>4.5379647125858895</v>
      </c>
      <c r="BQ51" s="1936">
        <v>0</v>
      </c>
      <c r="BR51" s="1936">
        <v>1.2328941176470591</v>
      </c>
      <c r="BS51" s="1936">
        <v>0</v>
      </c>
      <c r="BT51" s="1936">
        <v>0</v>
      </c>
      <c r="BU51" s="1936">
        <v>0</v>
      </c>
      <c r="BV51" s="1936">
        <v>7.726852941176471</v>
      </c>
      <c r="BW51" s="1937">
        <v>0</v>
      </c>
      <c r="BX51" s="1935">
        <v>6.600702222222222</v>
      </c>
      <c r="BY51" s="1936">
        <v>0</v>
      </c>
      <c r="BZ51" s="1936">
        <v>1.6416000000000002</v>
      </c>
      <c r="CA51" s="1936">
        <v>0</v>
      </c>
      <c r="CB51" s="1936">
        <v>4.3449482419976544</v>
      </c>
      <c r="CC51" s="1936">
        <v>0</v>
      </c>
      <c r="CD51" s="1936">
        <v>1.2502588235294121</v>
      </c>
      <c r="CE51" s="1936">
        <v>0</v>
      </c>
      <c r="CF51" s="1936">
        <v>0</v>
      </c>
      <c r="CG51" s="1936">
        <v>0</v>
      </c>
      <c r="CH51" s="1936">
        <v>7.8177705882352964</v>
      </c>
      <c r="CI51" s="1937">
        <v>0</v>
      </c>
      <c r="CJ51" s="1935">
        <v>4.152222222222222</v>
      </c>
      <c r="CK51" s="1936">
        <v>0</v>
      </c>
      <c r="CL51" s="1936">
        <v>2.9868000000000006</v>
      </c>
      <c r="CM51" s="1936">
        <v>0</v>
      </c>
      <c r="CN51" s="1936">
        <v>2.5254790655270662</v>
      </c>
      <c r="CO51" s="1936">
        <v>0</v>
      </c>
      <c r="CP51" s="1936">
        <v>2.2747764705882361</v>
      </c>
      <c r="CQ51" s="1936">
        <v>0</v>
      </c>
      <c r="CR51" s="1936">
        <v>0</v>
      </c>
      <c r="CS51" s="1936">
        <v>0</v>
      </c>
      <c r="CT51" s="1936">
        <v>13.181911764705884</v>
      </c>
      <c r="CU51" s="1937">
        <v>0</v>
      </c>
      <c r="CV51" s="1935">
        <v>6.0873422222222215</v>
      </c>
      <c r="CW51" s="1936">
        <v>0</v>
      </c>
      <c r="CX51" s="1936">
        <v>2.2116000000000002</v>
      </c>
      <c r="CY51" s="1936">
        <v>0</v>
      </c>
      <c r="CZ51" s="1936">
        <v>3.9750000067035369</v>
      </c>
      <c r="DA51" s="1936">
        <v>0</v>
      </c>
      <c r="DB51" s="1936">
        <v>1.6843764705882356</v>
      </c>
      <c r="DC51" s="1936">
        <v>0</v>
      </c>
      <c r="DD51" s="1936">
        <v>0</v>
      </c>
      <c r="DE51" s="1936">
        <v>0</v>
      </c>
      <c r="DF51" s="1936">
        <v>10.090711764705883</v>
      </c>
      <c r="DG51" s="1937">
        <v>0</v>
      </c>
      <c r="DH51" s="1935">
        <v>6.0427022222222222</v>
      </c>
      <c r="DI51" s="1936">
        <v>0</v>
      </c>
      <c r="DJ51" s="1936">
        <v>2.5536000000000003</v>
      </c>
      <c r="DK51" s="1936">
        <v>0</v>
      </c>
      <c r="DL51" s="1936">
        <v>3.9428305949388305</v>
      </c>
      <c r="DM51" s="1936">
        <v>0</v>
      </c>
      <c r="DN51" s="1936">
        <v>1.9448470588235298</v>
      </c>
      <c r="DO51" s="1936">
        <v>0</v>
      </c>
      <c r="DP51" s="1936">
        <v>0</v>
      </c>
      <c r="DQ51" s="1936">
        <v>0</v>
      </c>
      <c r="DR51" s="1936">
        <v>11.454476470588236</v>
      </c>
      <c r="DS51" s="1937">
        <v>0</v>
      </c>
      <c r="DT51" s="1935">
        <v>6.9578222222222221</v>
      </c>
      <c r="DU51" s="1936">
        <v>0</v>
      </c>
      <c r="DV51" s="1936">
        <v>0.95760000000000001</v>
      </c>
      <c r="DW51" s="1936">
        <v>0</v>
      </c>
      <c r="DX51" s="1936">
        <v>4.6023035361153006</v>
      </c>
      <c r="DY51" s="1936">
        <v>0</v>
      </c>
      <c r="DZ51" s="1936">
        <v>0.72931764705882363</v>
      </c>
      <c r="EA51" s="1936">
        <v>0</v>
      </c>
      <c r="EB51" s="1936">
        <v>0</v>
      </c>
      <c r="EC51" s="1936">
        <v>0</v>
      </c>
      <c r="ED51" s="1936">
        <v>5.0902411764705899</v>
      </c>
      <c r="EE51" s="1937">
        <v>0</v>
      </c>
      <c r="EF51" s="1935">
        <v>6.7123022222222213</v>
      </c>
      <c r="EG51" s="1936">
        <v>0</v>
      </c>
      <c r="EH51" s="1936">
        <v>1.8696000000000002</v>
      </c>
      <c r="EI51" s="1936">
        <v>0</v>
      </c>
      <c r="EJ51" s="1936">
        <v>4.4253717714094183</v>
      </c>
      <c r="EK51" s="1936">
        <v>0</v>
      </c>
      <c r="EL51" s="1936">
        <v>1.4239058823529414</v>
      </c>
      <c r="EM51" s="1936">
        <v>0</v>
      </c>
      <c r="EN51" s="1936">
        <v>0</v>
      </c>
      <c r="EO51" s="1936">
        <v>0</v>
      </c>
      <c r="EP51" s="1936">
        <v>8.7269470588235301</v>
      </c>
      <c r="EQ51" s="1937">
        <v>0</v>
      </c>
      <c r="ER51" s="1935">
        <v>2.4522222222222214</v>
      </c>
      <c r="ES51" s="1936">
        <v>0</v>
      </c>
      <c r="ET51" s="1936">
        <v>3.5112000000000005</v>
      </c>
      <c r="EU51" s="1936">
        <v>0</v>
      </c>
      <c r="EV51" s="1936">
        <v>1.4565905949388303</v>
      </c>
      <c r="EW51" s="1936">
        <v>0</v>
      </c>
      <c r="EX51" s="1936">
        <v>2.6741647058823537</v>
      </c>
      <c r="EY51" s="1936">
        <v>0</v>
      </c>
      <c r="EZ51" s="1936">
        <v>0</v>
      </c>
      <c r="FA51" s="1936">
        <v>0</v>
      </c>
      <c r="FB51" s="1936">
        <v>15.273017647058827</v>
      </c>
      <c r="FC51" s="1937">
        <v>0</v>
      </c>
      <c r="FD51" s="1935">
        <v>6.3551822222222221</v>
      </c>
      <c r="FE51" s="1936">
        <v>0</v>
      </c>
      <c r="FF51" s="1936">
        <v>1.5960000000000001</v>
      </c>
      <c r="FG51" s="1936">
        <v>0</v>
      </c>
      <c r="FH51" s="1936">
        <v>4.168016477291772</v>
      </c>
      <c r="FI51" s="1936">
        <v>0</v>
      </c>
      <c r="FJ51" s="1936">
        <v>1.2155294117647062</v>
      </c>
      <c r="FK51" s="1936">
        <v>0</v>
      </c>
      <c r="FL51" s="1936">
        <v>0</v>
      </c>
      <c r="FM51" s="1936">
        <v>0</v>
      </c>
      <c r="FN51" s="1936">
        <v>7.6359352941176484</v>
      </c>
      <c r="FO51" s="1937">
        <v>0</v>
      </c>
      <c r="FP51" s="1935">
        <v>6.0873422222222215</v>
      </c>
      <c r="FQ51" s="1936">
        <v>0</v>
      </c>
      <c r="FR51" s="1936">
        <v>1.5960000000000001</v>
      </c>
      <c r="FS51" s="1936">
        <v>0</v>
      </c>
      <c r="FT51" s="1936">
        <v>3.9750000067035369</v>
      </c>
      <c r="FU51" s="1936">
        <v>0</v>
      </c>
      <c r="FV51" s="1936">
        <v>1.2155294117647062</v>
      </c>
      <c r="FW51" s="1936">
        <v>0</v>
      </c>
      <c r="FX51" s="1936">
        <v>0</v>
      </c>
      <c r="FY51" s="1936">
        <v>0</v>
      </c>
      <c r="FZ51" s="1936">
        <v>7.6359352941176484</v>
      </c>
      <c r="GA51" s="1937">
        <v>0</v>
      </c>
      <c r="GB51" s="1935">
        <v>5.9087822222222224</v>
      </c>
      <c r="GC51" s="1936">
        <v>0</v>
      </c>
      <c r="GD51" s="1936">
        <v>2.1660000000000004</v>
      </c>
      <c r="GE51" s="1936">
        <v>0</v>
      </c>
      <c r="GF51" s="1936">
        <v>3.8463223596447134</v>
      </c>
      <c r="GG51" s="1936">
        <v>0</v>
      </c>
      <c r="GH51" s="1936">
        <v>1.6496470588235297</v>
      </c>
      <c r="GI51" s="1936">
        <v>0</v>
      </c>
      <c r="GJ51" s="1936">
        <v>0</v>
      </c>
      <c r="GK51" s="1936">
        <v>0</v>
      </c>
      <c r="GL51" s="1936">
        <v>9.9088764705882362</v>
      </c>
      <c r="GM51" s="1937">
        <v>0</v>
      </c>
      <c r="GN51" s="1935">
        <v>5.3082222222222208</v>
      </c>
      <c r="GO51" s="1936">
        <v>0</v>
      </c>
      <c r="GP51" s="1936">
        <v>2.1888000000000001</v>
      </c>
      <c r="GQ51" s="1936">
        <v>0</v>
      </c>
      <c r="GR51" s="1936">
        <v>3.4297858890564772</v>
      </c>
      <c r="GS51" s="1936">
        <v>0</v>
      </c>
      <c r="GT51" s="1936">
        <v>1.6670117647058826</v>
      </c>
      <c r="GU51" s="1936">
        <v>0</v>
      </c>
      <c r="GV51" s="1936">
        <v>0</v>
      </c>
      <c r="GW51" s="1936">
        <v>0</v>
      </c>
      <c r="GX51" s="1936">
        <v>9.9997941176470597</v>
      </c>
      <c r="GY51" s="1937">
        <v>0</v>
      </c>
      <c r="GZ51" s="1935">
        <v>6.3775022222222209</v>
      </c>
      <c r="HA51" s="1936">
        <v>0</v>
      </c>
      <c r="HB51" s="1936">
        <v>0.2964</v>
      </c>
      <c r="HC51" s="1936">
        <v>0</v>
      </c>
      <c r="HD51" s="1936">
        <v>4.1841011831741248</v>
      </c>
      <c r="HE51" s="1936">
        <v>0</v>
      </c>
      <c r="HF51" s="1936">
        <v>0.22574117647058828</v>
      </c>
      <c r="HG51" s="1936">
        <v>0</v>
      </c>
      <c r="HH51" s="1936">
        <v>0</v>
      </c>
      <c r="HI51" s="1936">
        <v>0</v>
      </c>
      <c r="HJ51" s="1936">
        <v>2.4536294117647066</v>
      </c>
      <c r="HK51" s="1937">
        <v>0</v>
      </c>
      <c r="HL51" s="1935">
        <v>6.489102222222221</v>
      </c>
      <c r="HM51" s="1936">
        <v>0</v>
      </c>
      <c r="HN51" s="1936">
        <v>0.18240000000000003</v>
      </c>
      <c r="HO51" s="1936">
        <v>0</v>
      </c>
      <c r="HP51" s="1936">
        <v>4.2645247125858887</v>
      </c>
      <c r="HQ51" s="1936">
        <v>0</v>
      </c>
      <c r="HR51" s="1936">
        <v>0.13891764705882356</v>
      </c>
      <c r="HS51" s="1936">
        <v>0</v>
      </c>
      <c r="HT51" s="1936">
        <v>0</v>
      </c>
      <c r="HU51" s="1936">
        <v>0</v>
      </c>
      <c r="HV51" s="1936">
        <v>1.9990411764705889</v>
      </c>
      <c r="HW51" s="1937">
        <v>0</v>
      </c>
      <c r="HX51" s="1935">
        <v>6.913182222222221</v>
      </c>
      <c r="HY51" s="1936">
        <v>0</v>
      </c>
      <c r="HZ51" s="1936">
        <v>1.4592000000000003</v>
      </c>
      <c r="IA51" s="1936">
        <v>0</v>
      </c>
      <c r="IB51" s="1936">
        <v>4.5701341243505942</v>
      </c>
      <c r="IC51" s="1936">
        <v>0</v>
      </c>
      <c r="ID51" s="1936">
        <v>1.1113411764705885</v>
      </c>
      <c r="IE51" s="1936">
        <v>0</v>
      </c>
      <c r="IF51" s="1936">
        <v>0</v>
      </c>
      <c r="IG51" s="1936">
        <v>0</v>
      </c>
      <c r="IH51" s="1936">
        <v>7.0904294117647062</v>
      </c>
      <c r="II51" s="1937">
        <v>0</v>
      </c>
      <c r="IJ51" s="1935">
        <v>6.5560622222222218</v>
      </c>
      <c r="IK51" s="1936">
        <v>0</v>
      </c>
      <c r="IL51" s="1936">
        <v>0.68400000000000005</v>
      </c>
      <c r="IM51" s="1936">
        <v>0</v>
      </c>
      <c r="IN51" s="1936">
        <v>4.3127788302329488</v>
      </c>
      <c r="IO51" s="1936">
        <v>0</v>
      </c>
      <c r="IP51" s="1936">
        <v>0.52094117647058835</v>
      </c>
      <c r="IQ51" s="1936">
        <v>0</v>
      </c>
      <c r="IR51" s="1936">
        <v>0</v>
      </c>
      <c r="IS51" s="1936">
        <v>0</v>
      </c>
      <c r="IT51" s="1936">
        <v>3.999229411764706</v>
      </c>
      <c r="IU51" s="1937">
        <v>0</v>
      </c>
      <c r="IV51" s="1935">
        <v>5.7502222222222219</v>
      </c>
      <c r="IW51" s="1936">
        <v>0</v>
      </c>
      <c r="IX51" s="1936">
        <v>2.1888000000000001</v>
      </c>
      <c r="IY51" s="1936">
        <v>0</v>
      </c>
      <c r="IZ51" s="1936">
        <v>3.8011270655270657</v>
      </c>
      <c r="JA51" s="1936">
        <v>0</v>
      </c>
      <c r="JB51" s="1936">
        <v>1.6670117647058826</v>
      </c>
      <c r="JC51" s="1936">
        <v>0</v>
      </c>
      <c r="JD51" s="1936">
        <v>0</v>
      </c>
      <c r="JE51" s="1936">
        <v>0</v>
      </c>
      <c r="JF51" s="1936">
        <v>9.9997941176470597</v>
      </c>
      <c r="JG51" s="1937">
        <v>0</v>
      </c>
      <c r="JH51" s="1935">
        <v>6.1319822222222218</v>
      </c>
      <c r="JI51" s="1936">
        <v>0</v>
      </c>
      <c r="JJ51" s="1936">
        <v>1.2312000000000003</v>
      </c>
      <c r="JK51" s="1936">
        <v>0</v>
      </c>
      <c r="JL51" s="1936">
        <v>4.0071694184682425</v>
      </c>
      <c r="JM51" s="1936">
        <v>0</v>
      </c>
      <c r="JN51" s="1936">
        <v>0.93769411764705901</v>
      </c>
      <c r="JO51" s="1936">
        <v>0</v>
      </c>
      <c r="JP51" s="1936">
        <v>0</v>
      </c>
      <c r="JQ51" s="1936">
        <v>0</v>
      </c>
      <c r="JR51" s="1936">
        <v>6.1812529411764716</v>
      </c>
      <c r="JS51" s="1937">
        <v>0</v>
      </c>
      <c r="JT51" s="1935">
        <v>6.8239022222222214</v>
      </c>
      <c r="JU51" s="1936">
        <v>0</v>
      </c>
      <c r="JV51" s="1936">
        <v>1.5276000000000001</v>
      </c>
      <c r="JW51" s="1936">
        <v>0</v>
      </c>
      <c r="JX51" s="1936">
        <v>4.5057953008211831</v>
      </c>
      <c r="JY51" s="1936">
        <v>0</v>
      </c>
      <c r="JZ51" s="1936">
        <v>1.1634352941176473</v>
      </c>
      <c r="KA51" s="1936">
        <v>0</v>
      </c>
      <c r="KB51" s="1936">
        <v>0</v>
      </c>
      <c r="KC51" s="1936">
        <v>0</v>
      </c>
      <c r="KD51" s="1936">
        <v>7.3631823529411786</v>
      </c>
      <c r="KE51" s="1937">
        <v>0</v>
      </c>
      <c r="KF51" s="1935">
        <v>5.819502222222221</v>
      </c>
      <c r="KG51" s="1936">
        <v>0</v>
      </c>
      <c r="KH51" s="1936">
        <v>1.6416000000000002</v>
      </c>
      <c r="KI51" s="1936">
        <v>0</v>
      </c>
      <c r="KJ51" s="1936">
        <v>3.7819835361153009</v>
      </c>
      <c r="KK51" s="1936">
        <v>0</v>
      </c>
      <c r="KL51" s="1936">
        <v>1.2502588235294121</v>
      </c>
      <c r="KM51" s="1936">
        <v>0</v>
      </c>
      <c r="KN51" s="1936">
        <v>0</v>
      </c>
      <c r="KO51" s="1936">
        <v>0</v>
      </c>
      <c r="KP51" s="1936">
        <v>7.8177705882352964</v>
      </c>
      <c r="KQ51" s="1937">
        <v>0</v>
      </c>
      <c r="KR51" s="1935">
        <v>6.4444622222222216</v>
      </c>
      <c r="KS51" s="1936">
        <v>0</v>
      </c>
      <c r="KT51" s="1936">
        <v>0.98040000000000005</v>
      </c>
      <c r="KU51" s="1936">
        <v>0</v>
      </c>
      <c r="KV51" s="1936">
        <v>4.168016477291772</v>
      </c>
      <c r="KW51" s="1936">
        <v>0</v>
      </c>
      <c r="KX51" s="1936">
        <v>0.74668235294117657</v>
      </c>
      <c r="KY51" s="1936">
        <v>0</v>
      </c>
      <c r="KZ51" s="1936">
        <v>0</v>
      </c>
      <c r="LA51" s="1936">
        <v>0</v>
      </c>
      <c r="LB51" s="1936">
        <v>5.1811588235294126</v>
      </c>
      <c r="LC51" s="1937">
        <v>0</v>
      </c>
      <c r="LD51" s="1935">
        <v>4.6622222222222209</v>
      </c>
      <c r="LE51" s="1936">
        <v>0</v>
      </c>
      <c r="LF51" s="1936">
        <v>1.7784000000000002</v>
      </c>
      <c r="LG51" s="1936">
        <v>0</v>
      </c>
      <c r="LH51" s="1936">
        <v>2.9669764772917717</v>
      </c>
      <c r="LI51" s="1936">
        <v>0</v>
      </c>
      <c r="LJ51" s="1936">
        <v>1.3544470588235296</v>
      </c>
      <c r="LK51" s="1936">
        <v>0</v>
      </c>
      <c r="LL51" s="1936">
        <v>0</v>
      </c>
      <c r="LM51" s="1936">
        <v>0</v>
      </c>
      <c r="LN51" s="1936">
        <v>8.3632764705882376</v>
      </c>
      <c r="LO51" s="1937">
        <v>0</v>
      </c>
      <c r="LP51" s="1935">
        <v>6.7792622222222221</v>
      </c>
      <c r="LQ51" s="1936">
        <v>0</v>
      </c>
      <c r="LR51" s="1936">
        <v>1.8468</v>
      </c>
      <c r="LS51" s="1936">
        <v>0</v>
      </c>
      <c r="LT51" s="1936">
        <v>4.4736258890564784</v>
      </c>
      <c r="LU51" s="1936">
        <v>0</v>
      </c>
      <c r="LV51" s="1936">
        <v>1.4065411764705884</v>
      </c>
      <c r="LW51" s="1936">
        <v>0</v>
      </c>
      <c r="LX51" s="1936">
        <v>0</v>
      </c>
      <c r="LY51" s="1936">
        <v>0</v>
      </c>
      <c r="LZ51" s="1936">
        <v>8.6360294117647065</v>
      </c>
      <c r="MA51" s="1937">
        <v>0</v>
      </c>
      <c r="MB51" s="1935">
        <v>4.6962222222222216</v>
      </c>
      <c r="MC51" s="1936">
        <v>0</v>
      </c>
      <c r="MD51" s="1936">
        <v>4.0128000000000004</v>
      </c>
      <c r="ME51" s="1936">
        <v>0</v>
      </c>
      <c r="MF51" s="1936">
        <v>2.915621183174125</v>
      </c>
      <c r="MG51" s="1936">
        <v>0</v>
      </c>
      <c r="MH51" s="1936">
        <v>3.0561882352941185</v>
      </c>
      <c r="MI51" s="1936">
        <v>0</v>
      </c>
      <c r="MJ51" s="1936">
        <v>0</v>
      </c>
      <c r="MK51" s="1936">
        <v>0</v>
      </c>
      <c r="ML51" s="1936">
        <v>17.273205882352944</v>
      </c>
      <c r="MM51" s="1937">
        <v>0</v>
      </c>
      <c r="MN51" s="1935">
        <v>4.3562222222222218</v>
      </c>
      <c r="MO51" s="1936">
        <v>0</v>
      </c>
      <c r="MP51" s="1936">
        <v>2.4852000000000003</v>
      </c>
      <c r="MQ51" s="1936">
        <v>0</v>
      </c>
      <c r="MR51" s="1936">
        <v>2.6299741243505959</v>
      </c>
      <c r="MS51" s="1936">
        <v>0</v>
      </c>
      <c r="MT51" s="1936">
        <v>1.8927529411764712</v>
      </c>
      <c r="MU51" s="1936">
        <v>0</v>
      </c>
      <c r="MV51" s="1936">
        <v>0</v>
      </c>
      <c r="MW51" s="1936">
        <v>0</v>
      </c>
      <c r="MX51" s="1936">
        <v>11.181723529411766</v>
      </c>
      <c r="MY51" s="1937">
        <v>0</v>
      </c>
      <c r="MZ51" s="1935">
        <v>5.8182222222222215</v>
      </c>
      <c r="NA51" s="1936">
        <v>0</v>
      </c>
      <c r="NB51" s="1936">
        <v>2.1204000000000005</v>
      </c>
      <c r="NC51" s="1936">
        <v>0</v>
      </c>
      <c r="ND51" s="1936">
        <v>3.8582564772917713</v>
      </c>
      <c r="NE51" s="1936">
        <v>0</v>
      </c>
      <c r="NF51" s="1936">
        <v>1.614917647058824</v>
      </c>
      <c r="NG51" s="1936">
        <v>0</v>
      </c>
      <c r="NH51" s="1936">
        <v>0</v>
      </c>
      <c r="NI51" s="1936">
        <v>0</v>
      </c>
      <c r="NJ51" s="1936">
        <v>9.7270411764705891</v>
      </c>
      <c r="NK51" s="1937">
        <v>0</v>
      </c>
      <c r="NL51" s="1935">
        <v>6.1989422222222217</v>
      </c>
      <c r="NM51" s="1936">
        <v>0</v>
      </c>
      <c r="NN51" s="1936">
        <v>1.71</v>
      </c>
      <c r="NO51" s="1936">
        <v>0</v>
      </c>
      <c r="NP51" s="1936">
        <v>4.0554235361153017</v>
      </c>
      <c r="NQ51" s="1936">
        <v>0</v>
      </c>
      <c r="NR51" s="1936">
        <v>1.3023529411764709</v>
      </c>
      <c r="NS51" s="1936">
        <v>0</v>
      </c>
      <c r="NT51" s="1936">
        <v>0</v>
      </c>
      <c r="NU51" s="1936">
        <v>0</v>
      </c>
      <c r="NV51" s="1936">
        <v>8.0905235294117652</v>
      </c>
      <c r="NW51" s="1937">
        <v>0</v>
      </c>
      <c r="NX51" s="1935">
        <v>5.7162222222222221</v>
      </c>
      <c r="NY51" s="1936">
        <v>0</v>
      </c>
      <c r="NZ51" s="1936">
        <v>2.7360000000000002</v>
      </c>
      <c r="OA51" s="1936">
        <v>0</v>
      </c>
      <c r="OB51" s="1936">
        <v>3.7725623596447133</v>
      </c>
      <c r="OC51" s="1936">
        <v>0</v>
      </c>
      <c r="OD51" s="1936">
        <v>2.0837647058823534</v>
      </c>
      <c r="OE51" s="1936">
        <v>0</v>
      </c>
      <c r="OF51" s="1936">
        <v>0</v>
      </c>
      <c r="OG51" s="1936">
        <v>0</v>
      </c>
      <c r="OH51" s="1936">
        <v>12.181817647058825</v>
      </c>
      <c r="OI51" s="1937">
        <v>0</v>
      </c>
      <c r="OJ51" s="1935">
        <v>6.3105422222222218</v>
      </c>
      <c r="OK51" s="1936">
        <v>0</v>
      </c>
      <c r="OL51" s="1936">
        <v>1.3680000000000001</v>
      </c>
      <c r="OM51" s="1936">
        <v>0</v>
      </c>
      <c r="ON51" s="1936">
        <v>4.1358470655270656</v>
      </c>
      <c r="OO51" s="1936">
        <v>0</v>
      </c>
      <c r="OP51" s="1936">
        <v>1.0418823529411767</v>
      </c>
      <c r="OQ51" s="1936">
        <v>0</v>
      </c>
      <c r="OR51" s="1936">
        <v>0</v>
      </c>
      <c r="OS51" s="1936">
        <v>0</v>
      </c>
      <c r="OT51" s="1936">
        <v>6.726758823529412</v>
      </c>
      <c r="OU51" s="1937">
        <v>0</v>
      </c>
      <c r="OV51" s="1935">
        <v>5.7079022222222209</v>
      </c>
      <c r="OW51" s="1936">
        <v>0</v>
      </c>
      <c r="OX51" s="1936">
        <v>3.6936</v>
      </c>
      <c r="OY51" s="1936">
        <v>0</v>
      </c>
      <c r="OZ51" s="1936">
        <v>3.7015600067035361</v>
      </c>
      <c r="PA51" s="1936">
        <v>0</v>
      </c>
      <c r="PB51" s="1936">
        <v>2.8130823529411768</v>
      </c>
      <c r="PC51" s="1936">
        <v>0</v>
      </c>
      <c r="PD51" s="1936">
        <v>0</v>
      </c>
      <c r="PE51" s="1936">
        <v>0</v>
      </c>
      <c r="PF51" s="1936">
        <v>16.000358823529414</v>
      </c>
      <c r="PG51" s="1937">
        <v>0</v>
      </c>
      <c r="PH51" s="1935">
        <v>6.9578222222222221</v>
      </c>
      <c r="PI51" s="1936">
        <v>0</v>
      </c>
      <c r="PJ51" s="1936">
        <v>1.7784000000000002</v>
      </c>
      <c r="PK51" s="1936">
        <v>0</v>
      </c>
      <c r="PL51" s="1936">
        <v>4.6023035361153006</v>
      </c>
      <c r="PM51" s="1936">
        <v>0</v>
      </c>
      <c r="PN51" s="1936">
        <v>1.3544470588235296</v>
      </c>
      <c r="PO51" s="1936">
        <v>0</v>
      </c>
      <c r="PP51" s="1936">
        <v>0</v>
      </c>
      <c r="PQ51" s="1936">
        <v>0</v>
      </c>
      <c r="PR51" s="1936">
        <v>8.3632764705882376</v>
      </c>
      <c r="PS51" s="1937">
        <v>0</v>
      </c>
      <c r="PT51" s="1935">
        <v>6.6453422222222214</v>
      </c>
      <c r="PU51" s="1936">
        <v>0</v>
      </c>
      <c r="PV51" s="1936">
        <v>1.6644000000000001</v>
      </c>
      <c r="PW51" s="1936">
        <v>0</v>
      </c>
      <c r="PX51" s="1936">
        <v>4.3449482419976544</v>
      </c>
      <c r="PY51" s="1936">
        <v>0</v>
      </c>
      <c r="PZ51" s="1936">
        <v>1.267623529411765</v>
      </c>
      <c r="QA51" s="1936">
        <v>0</v>
      </c>
      <c r="QB51" s="1936">
        <v>0</v>
      </c>
      <c r="QC51" s="1936">
        <v>0</v>
      </c>
      <c r="QD51" s="1936">
        <v>7.9086882352941181</v>
      </c>
      <c r="QE51" s="1937">
        <v>0</v>
      </c>
      <c r="QF51" s="1935">
        <v>5.0702222222222213</v>
      </c>
      <c r="QG51" s="1936">
        <v>0</v>
      </c>
      <c r="QH51" s="1936">
        <v>2.5308000000000002</v>
      </c>
      <c r="QI51" s="1936">
        <v>0</v>
      </c>
      <c r="QJ51" s="1936">
        <v>3.229832947880007</v>
      </c>
      <c r="QK51" s="1936">
        <v>0</v>
      </c>
      <c r="QL51" s="1936">
        <v>1.9274823529411766</v>
      </c>
      <c r="QM51" s="1936">
        <v>0</v>
      </c>
      <c r="QN51" s="1936">
        <v>0</v>
      </c>
      <c r="QO51" s="1936">
        <v>0</v>
      </c>
      <c r="QP51" s="1936">
        <v>11.363558823529413</v>
      </c>
      <c r="QQ51" s="1937">
        <v>0</v>
      </c>
      <c r="QR51" s="1935">
        <v>6.7123022222222213</v>
      </c>
      <c r="QS51" s="1936">
        <v>0</v>
      </c>
      <c r="QT51" s="1936">
        <v>1.7556000000000003</v>
      </c>
      <c r="QU51" s="1936">
        <v>0</v>
      </c>
      <c r="QV51" s="1936">
        <v>4.4253717714094183</v>
      </c>
      <c r="QW51" s="1936">
        <v>0</v>
      </c>
      <c r="QX51" s="1936">
        <v>1.3370823529411768</v>
      </c>
      <c r="QY51" s="1936">
        <v>0</v>
      </c>
      <c r="QZ51" s="1936">
        <v>0</v>
      </c>
      <c r="RA51" s="1936">
        <v>0</v>
      </c>
      <c r="RB51" s="1936">
        <v>8.2723588235294123</v>
      </c>
      <c r="RC51" s="1937">
        <v>0</v>
      </c>
      <c r="RD51" s="1935">
        <v>6.5114222222222216</v>
      </c>
      <c r="RE51" s="1936">
        <v>0</v>
      </c>
      <c r="RF51" s="1936">
        <v>1.71</v>
      </c>
      <c r="RG51" s="1936">
        <v>0</v>
      </c>
      <c r="RH51" s="1936">
        <v>4.2645247125858887</v>
      </c>
      <c r="RI51" s="1936">
        <v>0</v>
      </c>
      <c r="RJ51" s="1936">
        <v>1.3023529411764709</v>
      </c>
      <c r="RK51" s="1936">
        <v>0</v>
      </c>
      <c r="RL51" s="1936">
        <v>0</v>
      </c>
      <c r="RM51" s="1936">
        <v>0</v>
      </c>
      <c r="RN51" s="1936">
        <v>8.0905235294117652</v>
      </c>
      <c r="RO51" s="1937">
        <v>0</v>
      </c>
    </row>
  </sheetData>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blSIA3802">
    <tabColor theme="4"/>
    <pageSetUpPr fitToPage="1"/>
  </sheetPr>
  <dimension ref="A1:AJ197"/>
  <sheetViews>
    <sheetView showGridLines="0" topLeftCell="A53" zoomScale="90" zoomScaleNormal="90" zoomScaleSheetLayoutView="55" zoomScalePageLayoutView="70" workbookViewId="0">
      <selection activeCell="P76" sqref="P76"/>
    </sheetView>
  </sheetViews>
  <sheetFormatPr baseColWidth="10" defaultColWidth="11.53515625" defaultRowHeight="12.45"/>
  <cols>
    <col min="1" max="1" width="3" style="270" customWidth="1"/>
    <col min="2" max="2" width="43.69140625" style="270" customWidth="1"/>
    <col min="3" max="3" width="14.23046875" style="270" customWidth="1"/>
    <col min="4" max="16" width="8.23046875" style="270" customWidth="1"/>
    <col min="17" max="17" width="9.69140625" style="270" customWidth="1"/>
    <col min="18" max="18" width="4.53515625" style="270" customWidth="1"/>
    <col min="19" max="19" width="5.4609375" style="270" customWidth="1"/>
    <col min="20" max="20" width="9" style="270" customWidth="1"/>
    <col min="21" max="21" width="11.53515625" style="270"/>
    <col min="22" max="22" width="43.69140625" style="270" customWidth="1"/>
    <col min="23" max="23" width="14.23046875" style="270" customWidth="1"/>
    <col min="24" max="36" width="8.23046875" style="270" customWidth="1"/>
    <col min="37" max="235" width="11.53515625" style="270"/>
    <col min="236" max="236" width="3" style="270" customWidth="1"/>
    <col min="237" max="237" width="50.69140625" style="270" customWidth="1"/>
    <col min="238" max="238" width="13.23046875" style="270" customWidth="1"/>
    <col min="239" max="239" width="18.53515625" style="270" customWidth="1"/>
    <col min="240" max="240" width="10.765625" style="270" customWidth="1"/>
    <col min="241" max="241" width="9.69140625" style="270" customWidth="1"/>
    <col min="242" max="242" width="11.69140625" style="270" customWidth="1"/>
    <col min="243" max="243" width="15.23046875" style="270" customWidth="1"/>
    <col min="244" max="244" width="18" style="270" customWidth="1"/>
    <col min="245" max="245" width="11.765625" style="270" customWidth="1"/>
    <col min="246" max="252" width="9.69140625" style="270" customWidth="1"/>
    <col min="253" max="254" width="4.23046875" style="270" customWidth="1"/>
    <col min="255" max="255" width="17.23046875" style="270" customWidth="1"/>
    <col min="256" max="272" width="9.23046875" style="270" customWidth="1"/>
    <col min="273" max="491" width="11.53515625" style="270"/>
    <col min="492" max="492" width="3" style="270" customWidth="1"/>
    <col min="493" max="493" width="50.69140625" style="270" customWidth="1"/>
    <col min="494" max="494" width="13.23046875" style="270" customWidth="1"/>
    <col min="495" max="495" width="18.53515625" style="270" customWidth="1"/>
    <col min="496" max="496" width="10.765625" style="270" customWidth="1"/>
    <col min="497" max="497" width="9.69140625" style="270" customWidth="1"/>
    <col min="498" max="498" width="11.69140625" style="270" customWidth="1"/>
    <col min="499" max="499" width="15.23046875" style="270" customWidth="1"/>
    <col min="500" max="500" width="18" style="270" customWidth="1"/>
    <col min="501" max="501" width="11.765625" style="270" customWidth="1"/>
    <col min="502" max="508" width="9.69140625" style="270" customWidth="1"/>
    <col min="509" max="510" width="4.23046875" style="270" customWidth="1"/>
    <col min="511" max="511" width="17.23046875" style="270" customWidth="1"/>
    <col min="512" max="528" width="9.23046875" style="270" customWidth="1"/>
    <col min="529" max="747" width="11.53515625" style="270"/>
    <col min="748" max="748" width="3" style="270" customWidth="1"/>
    <col min="749" max="749" width="50.69140625" style="270" customWidth="1"/>
    <col min="750" max="750" width="13.23046875" style="270" customWidth="1"/>
    <col min="751" max="751" width="18.53515625" style="270" customWidth="1"/>
    <col min="752" max="752" width="10.765625" style="270" customWidth="1"/>
    <col min="753" max="753" width="9.69140625" style="270" customWidth="1"/>
    <col min="754" max="754" width="11.69140625" style="270" customWidth="1"/>
    <col min="755" max="755" width="15.23046875" style="270" customWidth="1"/>
    <col min="756" max="756" width="18" style="270" customWidth="1"/>
    <col min="757" max="757" width="11.765625" style="270" customWidth="1"/>
    <col min="758" max="764" width="9.69140625" style="270" customWidth="1"/>
    <col min="765" max="766" width="4.23046875" style="270" customWidth="1"/>
    <col min="767" max="767" width="17.23046875" style="270" customWidth="1"/>
    <col min="768" max="784" width="9.23046875" style="270" customWidth="1"/>
    <col min="785" max="1003" width="11.53515625" style="270"/>
    <col min="1004" max="1004" width="3" style="270" customWidth="1"/>
    <col min="1005" max="1005" width="50.69140625" style="270" customWidth="1"/>
    <col min="1006" max="1006" width="13.23046875" style="270" customWidth="1"/>
    <col min="1007" max="1007" width="18.53515625" style="270" customWidth="1"/>
    <col min="1008" max="1008" width="10.765625" style="270" customWidth="1"/>
    <col min="1009" max="1009" width="9.69140625" style="270" customWidth="1"/>
    <col min="1010" max="1010" width="11.69140625" style="270" customWidth="1"/>
    <col min="1011" max="1011" width="15.23046875" style="270" customWidth="1"/>
    <col min="1012" max="1012" width="18" style="270" customWidth="1"/>
    <col min="1013" max="1013" width="11.765625" style="270" customWidth="1"/>
    <col min="1014" max="1020" width="9.69140625" style="270" customWidth="1"/>
    <col min="1021" max="1022" width="4.23046875" style="270" customWidth="1"/>
    <col min="1023" max="1023" width="17.23046875" style="270" customWidth="1"/>
    <col min="1024" max="1040" width="9.23046875" style="270" customWidth="1"/>
    <col min="1041" max="1259" width="11.53515625" style="270"/>
    <col min="1260" max="1260" width="3" style="270" customWidth="1"/>
    <col min="1261" max="1261" width="50.69140625" style="270" customWidth="1"/>
    <col min="1262" max="1262" width="13.23046875" style="270" customWidth="1"/>
    <col min="1263" max="1263" width="18.53515625" style="270" customWidth="1"/>
    <col min="1264" max="1264" width="10.765625" style="270" customWidth="1"/>
    <col min="1265" max="1265" width="9.69140625" style="270" customWidth="1"/>
    <col min="1266" max="1266" width="11.69140625" style="270" customWidth="1"/>
    <col min="1267" max="1267" width="15.23046875" style="270" customWidth="1"/>
    <col min="1268" max="1268" width="18" style="270" customWidth="1"/>
    <col min="1269" max="1269" width="11.765625" style="270" customWidth="1"/>
    <col min="1270" max="1276" width="9.69140625" style="270" customWidth="1"/>
    <col min="1277" max="1278" width="4.23046875" style="270" customWidth="1"/>
    <col min="1279" max="1279" width="17.23046875" style="270" customWidth="1"/>
    <col min="1280" max="1296" width="9.23046875" style="270" customWidth="1"/>
    <col min="1297" max="1515" width="11.53515625" style="270"/>
    <col min="1516" max="1516" width="3" style="270" customWidth="1"/>
    <col min="1517" max="1517" width="50.69140625" style="270" customWidth="1"/>
    <col min="1518" max="1518" width="13.23046875" style="270" customWidth="1"/>
    <col min="1519" max="1519" width="18.53515625" style="270" customWidth="1"/>
    <col min="1520" max="1520" width="10.765625" style="270" customWidth="1"/>
    <col min="1521" max="1521" width="9.69140625" style="270" customWidth="1"/>
    <col min="1522" max="1522" width="11.69140625" style="270" customWidth="1"/>
    <col min="1523" max="1523" width="15.23046875" style="270" customWidth="1"/>
    <col min="1524" max="1524" width="18" style="270" customWidth="1"/>
    <col min="1525" max="1525" width="11.765625" style="270" customWidth="1"/>
    <col min="1526" max="1532" width="9.69140625" style="270" customWidth="1"/>
    <col min="1533" max="1534" width="4.23046875" style="270" customWidth="1"/>
    <col min="1535" max="1535" width="17.23046875" style="270" customWidth="1"/>
    <col min="1536" max="1552" width="9.23046875" style="270" customWidth="1"/>
    <col min="1553" max="1771" width="11.53515625" style="270"/>
    <col min="1772" max="1772" width="3" style="270" customWidth="1"/>
    <col min="1773" max="1773" width="50.69140625" style="270" customWidth="1"/>
    <col min="1774" max="1774" width="13.23046875" style="270" customWidth="1"/>
    <col min="1775" max="1775" width="18.53515625" style="270" customWidth="1"/>
    <col min="1776" max="1776" width="10.765625" style="270" customWidth="1"/>
    <col min="1777" max="1777" width="9.69140625" style="270" customWidth="1"/>
    <col min="1778" max="1778" width="11.69140625" style="270" customWidth="1"/>
    <col min="1779" max="1779" width="15.23046875" style="270" customWidth="1"/>
    <col min="1780" max="1780" width="18" style="270" customWidth="1"/>
    <col min="1781" max="1781" width="11.765625" style="270" customWidth="1"/>
    <col min="1782" max="1788" width="9.69140625" style="270" customWidth="1"/>
    <col min="1789" max="1790" width="4.23046875" style="270" customWidth="1"/>
    <col min="1791" max="1791" width="17.23046875" style="270" customWidth="1"/>
    <col min="1792" max="1808" width="9.23046875" style="270" customWidth="1"/>
    <col min="1809" max="2027" width="11.53515625" style="270"/>
    <col min="2028" max="2028" width="3" style="270" customWidth="1"/>
    <col min="2029" max="2029" width="50.69140625" style="270" customWidth="1"/>
    <col min="2030" max="2030" width="13.23046875" style="270" customWidth="1"/>
    <col min="2031" max="2031" width="18.53515625" style="270" customWidth="1"/>
    <col min="2032" max="2032" width="10.765625" style="270" customWidth="1"/>
    <col min="2033" max="2033" width="9.69140625" style="270" customWidth="1"/>
    <col min="2034" max="2034" width="11.69140625" style="270" customWidth="1"/>
    <col min="2035" max="2035" width="15.23046875" style="270" customWidth="1"/>
    <col min="2036" max="2036" width="18" style="270" customWidth="1"/>
    <col min="2037" max="2037" width="11.765625" style="270" customWidth="1"/>
    <col min="2038" max="2044" width="9.69140625" style="270" customWidth="1"/>
    <col min="2045" max="2046" width="4.23046875" style="270" customWidth="1"/>
    <col min="2047" max="2047" width="17.23046875" style="270" customWidth="1"/>
    <col min="2048" max="2064" width="9.23046875" style="270" customWidth="1"/>
    <col min="2065" max="2283" width="11.53515625" style="270"/>
    <col min="2284" max="2284" width="3" style="270" customWidth="1"/>
    <col min="2285" max="2285" width="50.69140625" style="270" customWidth="1"/>
    <col min="2286" max="2286" width="13.23046875" style="270" customWidth="1"/>
    <col min="2287" max="2287" width="18.53515625" style="270" customWidth="1"/>
    <col min="2288" max="2288" width="10.765625" style="270" customWidth="1"/>
    <col min="2289" max="2289" width="9.69140625" style="270" customWidth="1"/>
    <col min="2290" max="2290" width="11.69140625" style="270" customWidth="1"/>
    <col min="2291" max="2291" width="15.23046875" style="270" customWidth="1"/>
    <col min="2292" max="2292" width="18" style="270" customWidth="1"/>
    <col min="2293" max="2293" width="11.765625" style="270" customWidth="1"/>
    <col min="2294" max="2300" width="9.69140625" style="270" customWidth="1"/>
    <col min="2301" max="2302" width="4.23046875" style="270" customWidth="1"/>
    <col min="2303" max="2303" width="17.23046875" style="270" customWidth="1"/>
    <col min="2304" max="2320" width="9.23046875" style="270" customWidth="1"/>
    <col min="2321" max="2539" width="11.53515625" style="270"/>
    <col min="2540" max="2540" width="3" style="270" customWidth="1"/>
    <col min="2541" max="2541" width="50.69140625" style="270" customWidth="1"/>
    <col min="2542" max="2542" width="13.23046875" style="270" customWidth="1"/>
    <col min="2543" max="2543" width="18.53515625" style="270" customWidth="1"/>
    <col min="2544" max="2544" width="10.765625" style="270" customWidth="1"/>
    <col min="2545" max="2545" width="9.69140625" style="270" customWidth="1"/>
    <col min="2546" max="2546" width="11.69140625" style="270" customWidth="1"/>
    <col min="2547" max="2547" width="15.23046875" style="270" customWidth="1"/>
    <col min="2548" max="2548" width="18" style="270" customWidth="1"/>
    <col min="2549" max="2549" width="11.765625" style="270" customWidth="1"/>
    <col min="2550" max="2556" width="9.69140625" style="270" customWidth="1"/>
    <col min="2557" max="2558" width="4.23046875" style="270" customWidth="1"/>
    <col min="2559" max="2559" width="17.23046875" style="270" customWidth="1"/>
    <col min="2560" max="2576" width="9.23046875" style="270" customWidth="1"/>
    <col min="2577" max="2795" width="11.53515625" style="270"/>
    <col min="2796" max="2796" width="3" style="270" customWidth="1"/>
    <col min="2797" max="2797" width="50.69140625" style="270" customWidth="1"/>
    <col min="2798" max="2798" width="13.23046875" style="270" customWidth="1"/>
    <col min="2799" max="2799" width="18.53515625" style="270" customWidth="1"/>
    <col min="2800" max="2800" width="10.765625" style="270" customWidth="1"/>
    <col min="2801" max="2801" width="9.69140625" style="270" customWidth="1"/>
    <col min="2802" max="2802" width="11.69140625" style="270" customWidth="1"/>
    <col min="2803" max="2803" width="15.23046875" style="270" customWidth="1"/>
    <col min="2804" max="2804" width="18" style="270" customWidth="1"/>
    <col min="2805" max="2805" width="11.765625" style="270" customWidth="1"/>
    <col min="2806" max="2812" width="9.69140625" style="270" customWidth="1"/>
    <col min="2813" max="2814" width="4.23046875" style="270" customWidth="1"/>
    <col min="2815" max="2815" width="17.23046875" style="270" customWidth="1"/>
    <col min="2816" max="2832" width="9.23046875" style="270" customWidth="1"/>
    <col min="2833" max="3051" width="11.53515625" style="270"/>
    <col min="3052" max="3052" width="3" style="270" customWidth="1"/>
    <col min="3053" max="3053" width="50.69140625" style="270" customWidth="1"/>
    <col min="3054" max="3054" width="13.23046875" style="270" customWidth="1"/>
    <col min="3055" max="3055" width="18.53515625" style="270" customWidth="1"/>
    <col min="3056" max="3056" width="10.765625" style="270" customWidth="1"/>
    <col min="3057" max="3057" width="9.69140625" style="270" customWidth="1"/>
    <col min="3058" max="3058" width="11.69140625" style="270" customWidth="1"/>
    <col min="3059" max="3059" width="15.23046875" style="270" customWidth="1"/>
    <col min="3060" max="3060" width="18" style="270" customWidth="1"/>
    <col min="3061" max="3061" width="11.765625" style="270" customWidth="1"/>
    <col min="3062" max="3068" width="9.69140625" style="270" customWidth="1"/>
    <col min="3069" max="3070" width="4.23046875" style="270" customWidth="1"/>
    <col min="3071" max="3071" width="17.23046875" style="270" customWidth="1"/>
    <col min="3072" max="3088" width="9.23046875" style="270" customWidth="1"/>
    <col min="3089" max="3307" width="11.53515625" style="270"/>
    <col min="3308" max="3308" width="3" style="270" customWidth="1"/>
    <col min="3309" max="3309" width="50.69140625" style="270" customWidth="1"/>
    <col min="3310" max="3310" width="13.23046875" style="270" customWidth="1"/>
    <col min="3311" max="3311" width="18.53515625" style="270" customWidth="1"/>
    <col min="3312" max="3312" width="10.765625" style="270" customWidth="1"/>
    <col min="3313" max="3313" width="9.69140625" style="270" customWidth="1"/>
    <col min="3314" max="3314" width="11.69140625" style="270" customWidth="1"/>
    <col min="3315" max="3315" width="15.23046875" style="270" customWidth="1"/>
    <col min="3316" max="3316" width="18" style="270" customWidth="1"/>
    <col min="3317" max="3317" width="11.765625" style="270" customWidth="1"/>
    <col min="3318" max="3324" width="9.69140625" style="270" customWidth="1"/>
    <col min="3325" max="3326" width="4.23046875" style="270" customWidth="1"/>
    <col min="3327" max="3327" width="17.23046875" style="270" customWidth="1"/>
    <col min="3328" max="3344" width="9.23046875" style="270" customWidth="1"/>
    <col min="3345" max="3563" width="11.53515625" style="270"/>
    <col min="3564" max="3564" width="3" style="270" customWidth="1"/>
    <col min="3565" max="3565" width="50.69140625" style="270" customWidth="1"/>
    <col min="3566" max="3566" width="13.23046875" style="270" customWidth="1"/>
    <col min="3567" max="3567" width="18.53515625" style="270" customWidth="1"/>
    <col min="3568" max="3568" width="10.765625" style="270" customWidth="1"/>
    <col min="3569" max="3569" width="9.69140625" style="270" customWidth="1"/>
    <col min="3570" max="3570" width="11.69140625" style="270" customWidth="1"/>
    <col min="3571" max="3571" width="15.23046875" style="270" customWidth="1"/>
    <col min="3572" max="3572" width="18" style="270" customWidth="1"/>
    <col min="3573" max="3573" width="11.765625" style="270" customWidth="1"/>
    <col min="3574" max="3580" width="9.69140625" style="270" customWidth="1"/>
    <col min="3581" max="3582" width="4.23046875" style="270" customWidth="1"/>
    <col min="3583" max="3583" width="17.23046875" style="270" customWidth="1"/>
    <col min="3584" max="3600" width="9.23046875" style="270" customWidth="1"/>
    <col min="3601" max="3819" width="11.53515625" style="270"/>
    <col min="3820" max="3820" width="3" style="270" customWidth="1"/>
    <col min="3821" max="3821" width="50.69140625" style="270" customWidth="1"/>
    <col min="3822" max="3822" width="13.23046875" style="270" customWidth="1"/>
    <col min="3823" max="3823" width="18.53515625" style="270" customWidth="1"/>
    <col min="3824" max="3824" width="10.765625" style="270" customWidth="1"/>
    <col min="3825" max="3825" width="9.69140625" style="270" customWidth="1"/>
    <col min="3826" max="3826" width="11.69140625" style="270" customWidth="1"/>
    <col min="3827" max="3827" width="15.23046875" style="270" customWidth="1"/>
    <col min="3828" max="3828" width="18" style="270" customWidth="1"/>
    <col min="3829" max="3829" width="11.765625" style="270" customWidth="1"/>
    <col min="3830" max="3836" width="9.69140625" style="270" customWidth="1"/>
    <col min="3837" max="3838" width="4.23046875" style="270" customWidth="1"/>
    <col min="3839" max="3839" width="17.23046875" style="270" customWidth="1"/>
    <col min="3840" max="3856" width="9.23046875" style="270" customWidth="1"/>
    <col min="3857" max="4075" width="11.53515625" style="270"/>
    <col min="4076" max="4076" width="3" style="270" customWidth="1"/>
    <col min="4077" max="4077" width="50.69140625" style="270" customWidth="1"/>
    <col min="4078" max="4078" width="13.23046875" style="270" customWidth="1"/>
    <col min="4079" max="4079" width="18.53515625" style="270" customWidth="1"/>
    <col min="4080" max="4080" width="10.765625" style="270" customWidth="1"/>
    <col min="4081" max="4081" width="9.69140625" style="270" customWidth="1"/>
    <col min="4082" max="4082" width="11.69140625" style="270" customWidth="1"/>
    <col min="4083" max="4083" width="15.23046875" style="270" customWidth="1"/>
    <col min="4084" max="4084" width="18" style="270" customWidth="1"/>
    <col min="4085" max="4085" width="11.765625" style="270" customWidth="1"/>
    <col min="4086" max="4092" width="9.69140625" style="270" customWidth="1"/>
    <col min="4093" max="4094" width="4.23046875" style="270" customWidth="1"/>
    <col min="4095" max="4095" width="17.23046875" style="270" customWidth="1"/>
    <col min="4096" max="4112" width="9.23046875" style="270" customWidth="1"/>
    <col min="4113" max="4331" width="11.53515625" style="270"/>
    <col min="4332" max="4332" width="3" style="270" customWidth="1"/>
    <col min="4333" max="4333" width="50.69140625" style="270" customWidth="1"/>
    <col min="4334" max="4334" width="13.23046875" style="270" customWidth="1"/>
    <col min="4335" max="4335" width="18.53515625" style="270" customWidth="1"/>
    <col min="4336" max="4336" width="10.765625" style="270" customWidth="1"/>
    <col min="4337" max="4337" width="9.69140625" style="270" customWidth="1"/>
    <col min="4338" max="4338" width="11.69140625" style="270" customWidth="1"/>
    <col min="4339" max="4339" width="15.23046875" style="270" customWidth="1"/>
    <col min="4340" max="4340" width="18" style="270" customWidth="1"/>
    <col min="4341" max="4341" width="11.765625" style="270" customWidth="1"/>
    <col min="4342" max="4348" width="9.69140625" style="270" customWidth="1"/>
    <col min="4349" max="4350" width="4.23046875" style="270" customWidth="1"/>
    <col min="4351" max="4351" width="17.23046875" style="270" customWidth="1"/>
    <col min="4352" max="4368" width="9.23046875" style="270" customWidth="1"/>
    <col min="4369" max="4587" width="11.53515625" style="270"/>
    <col min="4588" max="4588" width="3" style="270" customWidth="1"/>
    <col min="4589" max="4589" width="50.69140625" style="270" customWidth="1"/>
    <col min="4590" max="4590" width="13.23046875" style="270" customWidth="1"/>
    <col min="4591" max="4591" width="18.53515625" style="270" customWidth="1"/>
    <col min="4592" max="4592" width="10.765625" style="270" customWidth="1"/>
    <col min="4593" max="4593" width="9.69140625" style="270" customWidth="1"/>
    <col min="4594" max="4594" width="11.69140625" style="270" customWidth="1"/>
    <col min="4595" max="4595" width="15.23046875" style="270" customWidth="1"/>
    <col min="4596" max="4596" width="18" style="270" customWidth="1"/>
    <col min="4597" max="4597" width="11.765625" style="270" customWidth="1"/>
    <col min="4598" max="4604" width="9.69140625" style="270" customWidth="1"/>
    <col min="4605" max="4606" width="4.23046875" style="270" customWidth="1"/>
    <col min="4607" max="4607" width="17.23046875" style="270" customWidth="1"/>
    <col min="4608" max="4624" width="9.23046875" style="270" customWidth="1"/>
    <col min="4625" max="4843" width="11.53515625" style="270"/>
    <col min="4844" max="4844" width="3" style="270" customWidth="1"/>
    <col min="4845" max="4845" width="50.69140625" style="270" customWidth="1"/>
    <col min="4846" max="4846" width="13.23046875" style="270" customWidth="1"/>
    <col min="4847" max="4847" width="18.53515625" style="270" customWidth="1"/>
    <col min="4848" max="4848" width="10.765625" style="270" customWidth="1"/>
    <col min="4849" max="4849" width="9.69140625" style="270" customWidth="1"/>
    <col min="4850" max="4850" width="11.69140625" style="270" customWidth="1"/>
    <col min="4851" max="4851" width="15.23046875" style="270" customWidth="1"/>
    <col min="4852" max="4852" width="18" style="270" customWidth="1"/>
    <col min="4853" max="4853" width="11.765625" style="270" customWidth="1"/>
    <col min="4854" max="4860" width="9.69140625" style="270" customWidth="1"/>
    <col min="4861" max="4862" width="4.23046875" style="270" customWidth="1"/>
    <col min="4863" max="4863" width="17.23046875" style="270" customWidth="1"/>
    <col min="4864" max="4880" width="9.23046875" style="270" customWidth="1"/>
    <col min="4881" max="5099" width="11.53515625" style="270"/>
    <col min="5100" max="5100" width="3" style="270" customWidth="1"/>
    <col min="5101" max="5101" width="50.69140625" style="270" customWidth="1"/>
    <col min="5102" max="5102" width="13.23046875" style="270" customWidth="1"/>
    <col min="5103" max="5103" width="18.53515625" style="270" customWidth="1"/>
    <col min="5104" max="5104" width="10.765625" style="270" customWidth="1"/>
    <col min="5105" max="5105" width="9.69140625" style="270" customWidth="1"/>
    <col min="5106" max="5106" width="11.69140625" style="270" customWidth="1"/>
    <col min="5107" max="5107" width="15.23046875" style="270" customWidth="1"/>
    <col min="5108" max="5108" width="18" style="270" customWidth="1"/>
    <col min="5109" max="5109" width="11.765625" style="270" customWidth="1"/>
    <col min="5110" max="5116" width="9.69140625" style="270" customWidth="1"/>
    <col min="5117" max="5118" width="4.23046875" style="270" customWidth="1"/>
    <col min="5119" max="5119" width="17.23046875" style="270" customWidth="1"/>
    <col min="5120" max="5136" width="9.23046875" style="270" customWidth="1"/>
    <col min="5137" max="5355" width="11.53515625" style="270"/>
    <col min="5356" max="5356" width="3" style="270" customWidth="1"/>
    <col min="5357" max="5357" width="50.69140625" style="270" customWidth="1"/>
    <col min="5358" max="5358" width="13.23046875" style="270" customWidth="1"/>
    <col min="5359" max="5359" width="18.53515625" style="270" customWidth="1"/>
    <col min="5360" max="5360" width="10.765625" style="270" customWidth="1"/>
    <col min="5361" max="5361" width="9.69140625" style="270" customWidth="1"/>
    <col min="5362" max="5362" width="11.69140625" style="270" customWidth="1"/>
    <col min="5363" max="5363" width="15.23046875" style="270" customWidth="1"/>
    <col min="5364" max="5364" width="18" style="270" customWidth="1"/>
    <col min="5365" max="5365" width="11.765625" style="270" customWidth="1"/>
    <col min="5366" max="5372" width="9.69140625" style="270" customWidth="1"/>
    <col min="5373" max="5374" width="4.23046875" style="270" customWidth="1"/>
    <col min="5375" max="5375" width="17.23046875" style="270" customWidth="1"/>
    <col min="5376" max="5392" width="9.23046875" style="270" customWidth="1"/>
    <col min="5393" max="5611" width="11.53515625" style="270"/>
    <col min="5612" max="5612" width="3" style="270" customWidth="1"/>
    <col min="5613" max="5613" width="50.69140625" style="270" customWidth="1"/>
    <col min="5614" max="5614" width="13.23046875" style="270" customWidth="1"/>
    <col min="5615" max="5615" width="18.53515625" style="270" customWidth="1"/>
    <col min="5616" max="5616" width="10.765625" style="270" customWidth="1"/>
    <col min="5617" max="5617" width="9.69140625" style="270" customWidth="1"/>
    <col min="5618" max="5618" width="11.69140625" style="270" customWidth="1"/>
    <col min="5619" max="5619" width="15.23046875" style="270" customWidth="1"/>
    <col min="5620" max="5620" width="18" style="270" customWidth="1"/>
    <col min="5621" max="5621" width="11.765625" style="270" customWidth="1"/>
    <col min="5622" max="5628" width="9.69140625" style="270" customWidth="1"/>
    <col min="5629" max="5630" width="4.23046875" style="270" customWidth="1"/>
    <col min="5631" max="5631" width="17.23046875" style="270" customWidth="1"/>
    <col min="5632" max="5648" width="9.23046875" style="270" customWidth="1"/>
    <col min="5649" max="5867" width="11.53515625" style="270"/>
    <col min="5868" max="5868" width="3" style="270" customWidth="1"/>
    <col min="5869" max="5869" width="50.69140625" style="270" customWidth="1"/>
    <col min="5870" max="5870" width="13.23046875" style="270" customWidth="1"/>
    <col min="5871" max="5871" width="18.53515625" style="270" customWidth="1"/>
    <col min="5872" max="5872" width="10.765625" style="270" customWidth="1"/>
    <col min="5873" max="5873" width="9.69140625" style="270" customWidth="1"/>
    <col min="5874" max="5874" width="11.69140625" style="270" customWidth="1"/>
    <col min="5875" max="5875" width="15.23046875" style="270" customWidth="1"/>
    <col min="5876" max="5876" width="18" style="270" customWidth="1"/>
    <col min="5877" max="5877" width="11.765625" style="270" customWidth="1"/>
    <col min="5878" max="5884" width="9.69140625" style="270" customWidth="1"/>
    <col min="5885" max="5886" width="4.23046875" style="270" customWidth="1"/>
    <col min="5887" max="5887" width="17.23046875" style="270" customWidth="1"/>
    <col min="5888" max="5904" width="9.23046875" style="270" customWidth="1"/>
    <col min="5905" max="6123" width="11.53515625" style="270"/>
    <col min="6124" max="6124" width="3" style="270" customWidth="1"/>
    <col min="6125" max="6125" width="50.69140625" style="270" customWidth="1"/>
    <col min="6126" max="6126" width="13.23046875" style="270" customWidth="1"/>
    <col min="6127" max="6127" width="18.53515625" style="270" customWidth="1"/>
    <col min="6128" max="6128" width="10.765625" style="270" customWidth="1"/>
    <col min="6129" max="6129" width="9.69140625" style="270" customWidth="1"/>
    <col min="6130" max="6130" width="11.69140625" style="270" customWidth="1"/>
    <col min="6131" max="6131" width="15.23046875" style="270" customWidth="1"/>
    <col min="6132" max="6132" width="18" style="270" customWidth="1"/>
    <col min="6133" max="6133" width="11.765625" style="270" customWidth="1"/>
    <col min="6134" max="6140" width="9.69140625" style="270" customWidth="1"/>
    <col min="6141" max="6142" width="4.23046875" style="270" customWidth="1"/>
    <col min="6143" max="6143" width="17.23046875" style="270" customWidth="1"/>
    <col min="6144" max="6160" width="9.23046875" style="270" customWidth="1"/>
    <col min="6161" max="6379" width="11.53515625" style="270"/>
    <col min="6380" max="6380" width="3" style="270" customWidth="1"/>
    <col min="6381" max="6381" width="50.69140625" style="270" customWidth="1"/>
    <col min="6382" max="6382" width="13.23046875" style="270" customWidth="1"/>
    <col min="6383" max="6383" width="18.53515625" style="270" customWidth="1"/>
    <col min="6384" max="6384" width="10.765625" style="270" customWidth="1"/>
    <col min="6385" max="6385" width="9.69140625" style="270" customWidth="1"/>
    <col min="6386" max="6386" width="11.69140625" style="270" customWidth="1"/>
    <col min="6387" max="6387" width="15.23046875" style="270" customWidth="1"/>
    <col min="6388" max="6388" width="18" style="270" customWidth="1"/>
    <col min="6389" max="6389" width="11.765625" style="270" customWidth="1"/>
    <col min="6390" max="6396" width="9.69140625" style="270" customWidth="1"/>
    <col min="6397" max="6398" width="4.23046875" style="270" customWidth="1"/>
    <col min="6399" max="6399" width="17.23046875" style="270" customWidth="1"/>
    <col min="6400" max="6416" width="9.23046875" style="270" customWidth="1"/>
    <col min="6417" max="6635" width="11.53515625" style="270"/>
    <col min="6636" max="6636" width="3" style="270" customWidth="1"/>
    <col min="6637" max="6637" width="50.69140625" style="270" customWidth="1"/>
    <col min="6638" max="6638" width="13.23046875" style="270" customWidth="1"/>
    <col min="6639" max="6639" width="18.53515625" style="270" customWidth="1"/>
    <col min="6640" max="6640" width="10.765625" style="270" customWidth="1"/>
    <col min="6641" max="6641" width="9.69140625" style="270" customWidth="1"/>
    <col min="6642" max="6642" width="11.69140625" style="270" customWidth="1"/>
    <col min="6643" max="6643" width="15.23046875" style="270" customWidth="1"/>
    <col min="6644" max="6644" width="18" style="270" customWidth="1"/>
    <col min="6645" max="6645" width="11.765625" style="270" customWidth="1"/>
    <col min="6646" max="6652" width="9.69140625" style="270" customWidth="1"/>
    <col min="6653" max="6654" width="4.23046875" style="270" customWidth="1"/>
    <col min="6655" max="6655" width="17.23046875" style="270" customWidth="1"/>
    <col min="6656" max="6672" width="9.23046875" style="270" customWidth="1"/>
    <col min="6673" max="6891" width="11.53515625" style="270"/>
    <col min="6892" max="6892" width="3" style="270" customWidth="1"/>
    <col min="6893" max="6893" width="50.69140625" style="270" customWidth="1"/>
    <col min="6894" max="6894" width="13.23046875" style="270" customWidth="1"/>
    <col min="6895" max="6895" width="18.53515625" style="270" customWidth="1"/>
    <col min="6896" max="6896" width="10.765625" style="270" customWidth="1"/>
    <col min="6897" max="6897" width="9.69140625" style="270" customWidth="1"/>
    <col min="6898" max="6898" width="11.69140625" style="270" customWidth="1"/>
    <col min="6899" max="6899" width="15.23046875" style="270" customWidth="1"/>
    <col min="6900" max="6900" width="18" style="270" customWidth="1"/>
    <col min="6901" max="6901" width="11.765625" style="270" customWidth="1"/>
    <col min="6902" max="6908" width="9.69140625" style="270" customWidth="1"/>
    <col min="6909" max="6910" width="4.23046875" style="270" customWidth="1"/>
    <col min="6911" max="6911" width="17.23046875" style="270" customWidth="1"/>
    <col min="6912" max="6928" width="9.23046875" style="270" customWidth="1"/>
    <col min="6929" max="7147" width="11.53515625" style="270"/>
    <col min="7148" max="7148" width="3" style="270" customWidth="1"/>
    <col min="7149" max="7149" width="50.69140625" style="270" customWidth="1"/>
    <col min="7150" max="7150" width="13.23046875" style="270" customWidth="1"/>
    <col min="7151" max="7151" width="18.53515625" style="270" customWidth="1"/>
    <col min="7152" max="7152" width="10.765625" style="270" customWidth="1"/>
    <col min="7153" max="7153" width="9.69140625" style="270" customWidth="1"/>
    <col min="7154" max="7154" width="11.69140625" style="270" customWidth="1"/>
    <col min="7155" max="7155" width="15.23046875" style="270" customWidth="1"/>
    <col min="7156" max="7156" width="18" style="270" customWidth="1"/>
    <col min="7157" max="7157" width="11.765625" style="270" customWidth="1"/>
    <col min="7158" max="7164" width="9.69140625" style="270" customWidth="1"/>
    <col min="7165" max="7166" width="4.23046875" style="270" customWidth="1"/>
    <col min="7167" max="7167" width="17.23046875" style="270" customWidth="1"/>
    <col min="7168" max="7184" width="9.23046875" style="270" customWidth="1"/>
    <col min="7185" max="7403" width="11.53515625" style="270"/>
    <col min="7404" max="7404" width="3" style="270" customWidth="1"/>
    <col min="7405" max="7405" width="50.69140625" style="270" customWidth="1"/>
    <col min="7406" max="7406" width="13.23046875" style="270" customWidth="1"/>
    <col min="7407" max="7407" width="18.53515625" style="270" customWidth="1"/>
    <col min="7408" max="7408" width="10.765625" style="270" customWidth="1"/>
    <col min="7409" max="7409" width="9.69140625" style="270" customWidth="1"/>
    <col min="7410" max="7410" width="11.69140625" style="270" customWidth="1"/>
    <col min="7411" max="7411" width="15.23046875" style="270" customWidth="1"/>
    <col min="7412" max="7412" width="18" style="270" customWidth="1"/>
    <col min="7413" max="7413" width="11.765625" style="270" customWidth="1"/>
    <col min="7414" max="7420" width="9.69140625" style="270" customWidth="1"/>
    <col min="7421" max="7422" width="4.23046875" style="270" customWidth="1"/>
    <col min="7423" max="7423" width="17.23046875" style="270" customWidth="1"/>
    <col min="7424" max="7440" width="9.23046875" style="270" customWidth="1"/>
    <col min="7441" max="7659" width="11.53515625" style="270"/>
    <col min="7660" max="7660" width="3" style="270" customWidth="1"/>
    <col min="7661" max="7661" width="50.69140625" style="270" customWidth="1"/>
    <col min="7662" max="7662" width="13.23046875" style="270" customWidth="1"/>
    <col min="7663" max="7663" width="18.53515625" style="270" customWidth="1"/>
    <col min="7664" max="7664" width="10.765625" style="270" customWidth="1"/>
    <col min="7665" max="7665" width="9.69140625" style="270" customWidth="1"/>
    <col min="7666" max="7666" width="11.69140625" style="270" customWidth="1"/>
    <col min="7667" max="7667" width="15.23046875" style="270" customWidth="1"/>
    <col min="7668" max="7668" width="18" style="270" customWidth="1"/>
    <col min="7669" max="7669" width="11.765625" style="270" customWidth="1"/>
    <col min="7670" max="7676" width="9.69140625" style="270" customWidth="1"/>
    <col min="7677" max="7678" width="4.23046875" style="270" customWidth="1"/>
    <col min="7679" max="7679" width="17.23046875" style="270" customWidth="1"/>
    <col min="7680" max="7696" width="9.23046875" style="270" customWidth="1"/>
    <col min="7697" max="7915" width="11.53515625" style="270"/>
    <col min="7916" max="7916" width="3" style="270" customWidth="1"/>
    <col min="7917" max="7917" width="50.69140625" style="270" customWidth="1"/>
    <col min="7918" max="7918" width="13.23046875" style="270" customWidth="1"/>
    <col min="7919" max="7919" width="18.53515625" style="270" customWidth="1"/>
    <col min="7920" max="7920" width="10.765625" style="270" customWidth="1"/>
    <col min="7921" max="7921" width="9.69140625" style="270" customWidth="1"/>
    <col min="7922" max="7922" width="11.69140625" style="270" customWidth="1"/>
    <col min="7923" max="7923" width="15.23046875" style="270" customWidth="1"/>
    <col min="7924" max="7924" width="18" style="270" customWidth="1"/>
    <col min="7925" max="7925" width="11.765625" style="270" customWidth="1"/>
    <col min="7926" max="7932" width="9.69140625" style="270" customWidth="1"/>
    <col min="7933" max="7934" width="4.23046875" style="270" customWidth="1"/>
    <col min="7935" max="7935" width="17.23046875" style="270" customWidth="1"/>
    <col min="7936" max="7952" width="9.23046875" style="270" customWidth="1"/>
    <col min="7953" max="8171" width="11.53515625" style="270"/>
    <col min="8172" max="8172" width="3" style="270" customWidth="1"/>
    <col min="8173" max="8173" width="50.69140625" style="270" customWidth="1"/>
    <col min="8174" max="8174" width="13.23046875" style="270" customWidth="1"/>
    <col min="8175" max="8175" width="18.53515625" style="270" customWidth="1"/>
    <col min="8176" max="8176" width="10.765625" style="270" customWidth="1"/>
    <col min="8177" max="8177" width="9.69140625" style="270" customWidth="1"/>
    <col min="8178" max="8178" width="11.69140625" style="270" customWidth="1"/>
    <col min="8179" max="8179" width="15.23046875" style="270" customWidth="1"/>
    <col min="8180" max="8180" width="18" style="270" customWidth="1"/>
    <col min="8181" max="8181" width="11.765625" style="270" customWidth="1"/>
    <col min="8182" max="8188" width="9.69140625" style="270" customWidth="1"/>
    <col min="8189" max="8190" width="4.23046875" style="270" customWidth="1"/>
    <col min="8191" max="8191" width="17.23046875" style="270" customWidth="1"/>
    <col min="8192" max="8208" width="9.23046875" style="270" customWidth="1"/>
    <col min="8209" max="8427" width="11.53515625" style="270"/>
    <col min="8428" max="8428" width="3" style="270" customWidth="1"/>
    <col min="8429" max="8429" width="50.69140625" style="270" customWidth="1"/>
    <col min="8430" max="8430" width="13.23046875" style="270" customWidth="1"/>
    <col min="8431" max="8431" width="18.53515625" style="270" customWidth="1"/>
    <col min="8432" max="8432" width="10.765625" style="270" customWidth="1"/>
    <col min="8433" max="8433" width="9.69140625" style="270" customWidth="1"/>
    <col min="8434" max="8434" width="11.69140625" style="270" customWidth="1"/>
    <col min="8435" max="8435" width="15.23046875" style="270" customWidth="1"/>
    <col min="8436" max="8436" width="18" style="270" customWidth="1"/>
    <col min="8437" max="8437" width="11.765625" style="270" customWidth="1"/>
    <col min="8438" max="8444" width="9.69140625" style="270" customWidth="1"/>
    <col min="8445" max="8446" width="4.23046875" style="270" customWidth="1"/>
    <col min="8447" max="8447" width="17.23046875" style="270" customWidth="1"/>
    <col min="8448" max="8464" width="9.23046875" style="270" customWidth="1"/>
    <col min="8465" max="8683" width="11.53515625" style="270"/>
    <col min="8684" max="8684" width="3" style="270" customWidth="1"/>
    <col min="8685" max="8685" width="50.69140625" style="270" customWidth="1"/>
    <col min="8686" max="8686" width="13.23046875" style="270" customWidth="1"/>
    <col min="8687" max="8687" width="18.53515625" style="270" customWidth="1"/>
    <col min="8688" max="8688" width="10.765625" style="270" customWidth="1"/>
    <col min="8689" max="8689" width="9.69140625" style="270" customWidth="1"/>
    <col min="8690" max="8690" width="11.69140625" style="270" customWidth="1"/>
    <col min="8691" max="8691" width="15.23046875" style="270" customWidth="1"/>
    <col min="8692" max="8692" width="18" style="270" customWidth="1"/>
    <col min="8693" max="8693" width="11.765625" style="270" customWidth="1"/>
    <col min="8694" max="8700" width="9.69140625" style="270" customWidth="1"/>
    <col min="8701" max="8702" width="4.23046875" style="270" customWidth="1"/>
    <col min="8703" max="8703" width="17.23046875" style="270" customWidth="1"/>
    <col min="8704" max="8720" width="9.23046875" style="270" customWidth="1"/>
    <col min="8721" max="8939" width="11.53515625" style="270"/>
    <col min="8940" max="8940" width="3" style="270" customWidth="1"/>
    <col min="8941" max="8941" width="50.69140625" style="270" customWidth="1"/>
    <col min="8942" max="8942" width="13.23046875" style="270" customWidth="1"/>
    <col min="8943" max="8943" width="18.53515625" style="270" customWidth="1"/>
    <col min="8944" max="8944" width="10.765625" style="270" customWidth="1"/>
    <col min="8945" max="8945" width="9.69140625" style="270" customWidth="1"/>
    <col min="8946" max="8946" width="11.69140625" style="270" customWidth="1"/>
    <col min="8947" max="8947" width="15.23046875" style="270" customWidth="1"/>
    <col min="8948" max="8948" width="18" style="270" customWidth="1"/>
    <col min="8949" max="8949" width="11.765625" style="270" customWidth="1"/>
    <col min="8950" max="8956" width="9.69140625" style="270" customWidth="1"/>
    <col min="8957" max="8958" width="4.23046875" style="270" customWidth="1"/>
    <col min="8959" max="8959" width="17.23046875" style="270" customWidth="1"/>
    <col min="8960" max="8976" width="9.23046875" style="270" customWidth="1"/>
    <col min="8977" max="9195" width="11.53515625" style="270"/>
    <col min="9196" max="9196" width="3" style="270" customWidth="1"/>
    <col min="9197" max="9197" width="50.69140625" style="270" customWidth="1"/>
    <col min="9198" max="9198" width="13.23046875" style="270" customWidth="1"/>
    <col min="9199" max="9199" width="18.53515625" style="270" customWidth="1"/>
    <col min="9200" max="9200" width="10.765625" style="270" customWidth="1"/>
    <col min="9201" max="9201" width="9.69140625" style="270" customWidth="1"/>
    <col min="9202" max="9202" width="11.69140625" style="270" customWidth="1"/>
    <col min="9203" max="9203" width="15.23046875" style="270" customWidth="1"/>
    <col min="9204" max="9204" width="18" style="270" customWidth="1"/>
    <col min="9205" max="9205" width="11.765625" style="270" customWidth="1"/>
    <col min="9206" max="9212" width="9.69140625" style="270" customWidth="1"/>
    <col min="9213" max="9214" width="4.23046875" style="270" customWidth="1"/>
    <col min="9215" max="9215" width="17.23046875" style="270" customWidth="1"/>
    <col min="9216" max="9232" width="9.23046875" style="270" customWidth="1"/>
    <col min="9233" max="9451" width="11.53515625" style="270"/>
    <col min="9452" max="9452" width="3" style="270" customWidth="1"/>
    <col min="9453" max="9453" width="50.69140625" style="270" customWidth="1"/>
    <col min="9454" max="9454" width="13.23046875" style="270" customWidth="1"/>
    <col min="9455" max="9455" width="18.53515625" style="270" customWidth="1"/>
    <col min="9456" max="9456" width="10.765625" style="270" customWidth="1"/>
    <col min="9457" max="9457" width="9.69140625" style="270" customWidth="1"/>
    <col min="9458" max="9458" width="11.69140625" style="270" customWidth="1"/>
    <col min="9459" max="9459" width="15.23046875" style="270" customWidth="1"/>
    <col min="9460" max="9460" width="18" style="270" customWidth="1"/>
    <col min="9461" max="9461" width="11.765625" style="270" customWidth="1"/>
    <col min="9462" max="9468" width="9.69140625" style="270" customWidth="1"/>
    <col min="9469" max="9470" width="4.23046875" style="270" customWidth="1"/>
    <col min="9471" max="9471" width="17.23046875" style="270" customWidth="1"/>
    <col min="9472" max="9488" width="9.23046875" style="270" customWidth="1"/>
    <col min="9489" max="9707" width="11.53515625" style="270"/>
    <col min="9708" max="9708" width="3" style="270" customWidth="1"/>
    <col min="9709" max="9709" width="50.69140625" style="270" customWidth="1"/>
    <col min="9710" max="9710" width="13.23046875" style="270" customWidth="1"/>
    <col min="9711" max="9711" width="18.53515625" style="270" customWidth="1"/>
    <col min="9712" max="9712" width="10.765625" style="270" customWidth="1"/>
    <col min="9713" max="9713" width="9.69140625" style="270" customWidth="1"/>
    <col min="9714" max="9714" width="11.69140625" style="270" customWidth="1"/>
    <col min="9715" max="9715" width="15.23046875" style="270" customWidth="1"/>
    <col min="9716" max="9716" width="18" style="270" customWidth="1"/>
    <col min="9717" max="9717" width="11.765625" style="270" customWidth="1"/>
    <col min="9718" max="9724" width="9.69140625" style="270" customWidth="1"/>
    <col min="9725" max="9726" width="4.23046875" style="270" customWidth="1"/>
    <col min="9727" max="9727" width="17.23046875" style="270" customWidth="1"/>
    <col min="9728" max="9744" width="9.23046875" style="270" customWidth="1"/>
    <col min="9745" max="9963" width="11.53515625" style="270"/>
    <col min="9964" max="9964" width="3" style="270" customWidth="1"/>
    <col min="9965" max="9965" width="50.69140625" style="270" customWidth="1"/>
    <col min="9966" max="9966" width="13.23046875" style="270" customWidth="1"/>
    <col min="9967" max="9967" width="18.53515625" style="270" customWidth="1"/>
    <col min="9968" max="9968" width="10.765625" style="270" customWidth="1"/>
    <col min="9969" max="9969" width="9.69140625" style="270" customWidth="1"/>
    <col min="9970" max="9970" width="11.69140625" style="270" customWidth="1"/>
    <col min="9971" max="9971" width="15.23046875" style="270" customWidth="1"/>
    <col min="9972" max="9972" width="18" style="270" customWidth="1"/>
    <col min="9973" max="9973" width="11.765625" style="270" customWidth="1"/>
    <col min="9974" max="9980" width="9.69140625" style="270" customWidth="1"/>
    <col min="9981" max="9982" width="4.23046875" style="270" customWidth="1"/>
    <col min="9983" max="9983" width="17.23046875" style="270" customWidth="1"/>
    <col min="9984" max="10000" width="9.23046875" style="270" customWidth="1"/>
    <col min="10001" max="10219" width="11.53515625" style="270"/>
    <col min="10220" max="10220" width="3" style="270" customWidth="1"/>
    <col min="10221" max="10221" width="50.69140625" style="270" customWidth="1"/>
    <col min="10222" max="10222" width="13.23046875" style="270" customWidth="1"/>
    <col min="10223" max="10223" width="18.53515625" style="270" customWidth="1"/>
    <col min="10224" max="10224" width="10.765625" style="270" customWidth="1"/>
    <col min="10225" max="10225" width="9.69140625" style="270" customWidth="1"/>
    <col min="10226" max="10226" width="11.69140625" style="270" customWidth="1"/>
    <col min="10227" max="10227" width="15.23046875" style="270" customWidth="1"/>
    <col min="10228" max="10228" width="18" style="270" customWidth="1"/>
    <col min="10229" max="10229" width="11.765625" style="270" customWidth="1"/>
    <col min="10230" max="10236" width="9.69140625" style="270" customWidth="1"/>
    <col min="10237" max="10238" width="4.23046875" style="270" customWidth="1"/>
    <col min="10239" max="10239" width="17.23046875" style="270" customWidth="1"/>
    <col min="10240" max="10256" width="9.23046875" style="270" customWidth="1"/>
    <col min="10257" max="10475" width="11.53515625" style="270"/>
    <col min="10476" max="10476" width="3" style="270" customWidth="1"/>
    <col min="10477" max="10477" width="50.69140625" style="270" customWidth="1"/>
    <col min="10478" max="10478" width="13.23046875" style="270" customWidth="1"/>
    <col min="10479" max="10479" width="18.53515625" style="270" customWidth="1"/>
    <col min="10480" max="10480" width="10.765625" style="270" customWidth="1"/>
    <col min="10481" max="10481" width="9.69140625" style="270" customWidth="1"/>
    <col min="10482" max="10482" width="11.69140625" style="270" customWidth="1"/>
    <col min="10483" max="10483" width="15.23046875" style="270" customWidth="1"/>
    <col min="10484" max="10484" width="18" style="270" customWidth="1"/>
    <col min="10485" max="10485" width="11.765625" style="270" customWidth="1"/>
    <col min="10486" max="10492" width="9.69140625" style="270" customWidth="1"/>
    <col min="10493" max="10494" width="4.23046875" style="270" customWidth="1"/>
    <col min="10495" max="10495" width="17.23046875" style="270" customWidth="1"/>
    <col min="10496" max="10512" width="9.23046875" style="270" customWidth="1"/>
    <col min="10513" max="10731" width="11.53515625" style="270"/>
    <col min="10732" max="10732" width="3" style="270" customWidth="1"/>
    <col min="10733" max="10733" width="50.69140625" style="270" customWidth="1"/>
    <col min="10734" max="10734" width="13.23046875" style="270" customWidth="1"/>
    <col min="10735" max="10735" width="18.53515625" style="270" customWidth="1"/>
    <col min="10736" max="10736" width="10.765625" style="270" customWidth="1"/>
    <col min="10737" max="10737" width="9.69140625" style="270" customWidth="1"/>
    <col min="10738" max="10738" width="11.69140625" style="270" customWidth="1"/>
    <col min="10739" max="10739" width="15.23046875" style="270" customWidth="1"/>
    <col min="10740" max="10740" width="18" style="270" customWidth="1"/>
    <col min="10741" max="10741" width="11.765625" style="270" customWidth="1"/>
    <col min="10742" max="10748" width="9.69140625" style="270" customWidth="1"/>
    <col min="10749" max="10750" width="4.23046875" style="270" customWidth="1"/>
    <col min="10751" max="10751" width="17.23046875" style="270" customWidth="1"/>
    <col min="10752" max="10768" width="9.23046875" style="270" customWidth="1"/>
    <col min="10769" max="10987" width="11.53515625" style="270"/>
    <col min="10988" max="10988" width="3" style="270" customWidth="1"/>
    <col min="10989" max="10989" width="50.69140625" style="270" customWidth="1"/>
    <col min="10990" max="10990" width="13.23046875" style="270" customWidth="1"/>
    <col min="10991" max="10991" width="18.53515625" style="270" customWidth="1"/>
    <col min="10992" max="10992" width="10.765625" style="270" customWidth="1"/>
    <col min="10993" max="10993" width="9.69140625" style="270" customWidth="1"/>
    <col min="10994" max="10994" width="11.69140625" style="270" customWidth="1"/>
    <col min="10995" max="10995" width="15.23046875" style="270" customWidth="1"/>
    <col min="10996" max="10996" width="18" style="270" customWidth="1"/>
    <col min="10997" max="10997" width="11.765625" style="270" customWidth="1"/>
    <col min="10998" max="11004" width="9.69140625" style="270" customWidth="1"/>
    <col min="11005" max="11006" width="4.23046875" style="270" customWidth="1"/>
    <col min="11007" max="11007" width="17.23046875" style="270" customWidth="1"/>
    <col min="11008" max="11024" width="9.23046875" style="270" customWidth="1"/>
    <col min="11025" max="11243" width="11.53515625" style="270"/>
    <col min="11244" max="11244" width="3" style="270" customWidth="1"/>
    <col min="11245" max="11245" width="50.69140625" style="270" customWidth="1"/>
    <col min="11246" max="11246" width="13.23046875" style="270" customWidth="1"/>
    <col min="11247" max="11247" width="18.53515625" style="270" customWidth="1"/>
    <col min="11248" max="11248" width="10.765625" style="270" customWidth="1"/>
    <col min="11249" max="11249" width="9.69140625" style="270" customWidth="1"/>
    <col min="11250" max="11250" width="11.69140625" style="270" customWidth="1"/>
    <col min="11251" max="11251" width="15.23046875" style="270" customWidth="1"/>
    <col min="11252" max="11252" width="18" style="270" customWidth="1"/>
    <col min="11253" max="11253" width="11.765625" style="270" customWidth="1"/>
    <col min="11254" max="11260" width="9.69140625" style="270" customWidth="1"/>
    <col min="11261" max="11262" width="4.23046875" style="270" customWidth="1"/>
    <col min="11263" max="11263" width="17.23046875" style="270" customWidth="1"/>
    <col min="11264" max="11280" width="9.23046875" style="270" customWidth="1"/>
    <col min="11281" max="11499" width="11.53515625" style="270"/>
    <col min="11500" max="11500" width="3" style="270" customWidth="1"/>
    <col min="11501" max="11501" width="50.69140625" style="270" customWidth="1"/>
    <col min="11502" max="11502" width="13.23046875" style="270" customWidth="1"/>
    <col min="11503" max="11503" width="18.53515625" style="270" customWidth="1"/>
    <col min="11504" max="11504" width="10.765625" style="270" customWidth="1"/>
    <col min="11505" max="11505" width="9.69140625" style="270" customWidth="1"/>
    <col min="11506" max="11506" width="11.69140625" style="270" customWidth="1"/>
    <col min="11507" max="11507" width="15.23046875" style="270" customWidth="1"/>
    <col min="11508" max="11508" width="18" style="270" customWidth="1"/>
    <col min="11509" max="11509" width="11.765625" style="270" customWidth="1"/>
    <col min="11510" max="11516" width="9.69140625" style="270" customWidth="1"/>
    <col min="11517" max="11518" width="4.23046875" style="270" customWidth="1"/>
    <col min="11519" max="11519" width="17.23046875" style="270" customWidth="1"/>
    <col min="11520" max="11536" width="9.23046875" style="270" customWidth="1"/>
    <col min="11537" max="11755" width="11.53515625" style="270"/>
    <col min="11756" max="11756" width="3" style="270" customWidth="1"/>
    <col min="11757" max="11757" width="50.69140625" style="270" customWidth="1"/>
    <col min="11758" max="11758" width="13.23046875" style="270" customWidth="1"/>
    <col min="11759" max="11759" width="18.53515625" style="270" customWidth="1"/>
    <col min="11760" max="11760" width="10.765625" style="270" customWidth="1"/>
    <col min="11761" max="11761" width="9.69140625" style="270" customWidth="1"/>
    <col min="11762" max="11762" width="11.69140625" style="270" customWidth="1"/>
    <col min="11763" max="11763" width="15.23046875" style="270" customWidth="1"/>
    <col min="11764" max="11764" width="18" style="270" customWidth="1"/>
    <col min="11765" max="11765" width="11.765625" style="270" customWidth="1"/>
    <col min="11766" max="11772" width="9.69140625" style="270" customWidth="1"/>
    <col min="11773" max="11774" width="4.23046875" style="270" customWidth="1"/>
    <col min="11775" max="11775" width="17.23046875" style="270" customWidth="1"/>
    <col min="11776" max="11792" width="9.23046875" style="270" customWidth="1"/>
    <col min="11793" max="12011" width="11.53515625" style="270"/>
    <col min="12012" max="12012" width="3" style="270" customWidth="1"/>
    <col min="12013" max="12013" width="50.69140625" style="270" customWidth="1"/>
    <col min="12014" max="12014" width="13.23046875" style="270" customWidth="1"/>
    <col min="12015" max="12015" width="18.53515625" style="270" customWidth="1"/>
    <col min="12016" max="12016" width="10.765625" style="270" customWidth="1"/>
    <col min="12017" max="12017" width="9.69140625" style="270" customWidth="1"/>
    <col min="12018" max="12018" width="11.69140625" style="270" customWidth="1"/>
    <col min="12019" max="12019" width="15.23046875" style="270" customWidth="1"/>
    <col min="12020" max="12020" width="18" style="270" customWidth="1"/>
    <col min="12021" max="12021" width="11.765625" style="270" customWidth="1"/>
    <col min="12022" max="12028" width="9.69140625" style="270" customWidth="1"/>
    <col min="12029" max="12030" width="4.23046875" style="270" customWidth="1"/>
    <col min="12031" max="12031" width="17.23046875" style="270" customWidth="1"/>
    <col min="12032" max="12048" width="9.23046875" style="270" customWidth="1"/>
    <col min="12049" max="12267" width="11.53515625" style="270"/>
    <col min="12268" max="12268" width="3" style="270" customWidth="1"/>
    <col min="12269" max="12269" width="50.69140625" style="270" customWidth="1"/>
    <col min="12270" max="12270" width="13.23046875" style="270" customWidth="1"/>
    <col min="12271" max="12271" width="18.53515625" style="270" customWidth="1"/>
    <col min="12272" max="12272" width="10.765625" style="270" customWidth="1"/>
    <col min="12273" max="12273" width="9.69140625" style="270" customWidth="1"/>
    <col min="12274" max="12274" width="11.69140625" style="270" customWidth="1"/>
    <col min="12275" max="12275" width="15.23046875" style="270" customWidth="1"/>
    <col min="12276" max="12276" width="18" style="270" customWidth="1"/>
    <col min="12277" max="12277" width="11.765625" style="270" customWidth="1"/>
    <col min="12278" max="12284" width="9.69140625" style="270" customWidth="1"/>
    <col min="12285" max="12286" width="4.23046875" style="270" customWidth="1"/>
    <col min="12287" max="12287" width="17.23046875" style="270" customWidth="1"/>
    <col min="12288" max="12304" width="9.23046875" style="270" customWidth="1"/>
    <col min="12305" max="12523" width="11.53515625" style="270"/>
    <col min="12524" max="12524" width="3" style="270" customWidth="1"/>
    <col min="12525" max="12525" width="50.69140625" style="270" customWidth="1"/>
    <col min="12526" max="12526" width="13.23046875" style="270" customWidth="1"/>
    <col min="12527" max="12527" width="18.53515625" style="270" customWidth="1"/>
    <col min="12528" max="12528" width="10.765625" style="270" customWidth="1"/>
    <col min="12529" max="12529" width="9.69140625" style="270" customWidth="1"/>
    <col min="12530" max="12530" width="11.69140625" style="270" customWidth="1"/>
    <col min="12531" max="12531" width="15.23046875" style="270" customWidth="1"/>
    <col min="12532" max="12532" width="18" style="270" customWidth="1"/>
    <col min="12533" max="12533" width="11.765625" style="270" customWidth="1"/>
    <col min="12534" max="12540" width="9.69140625" style="270" customWidth="1"/>
    <col min="12541" max="12542" width="4.23046875" style="270" customWidth="1"/>
    <col min="12543" max="12543" width="17.23046875" style="270" customWidth="1"/>
    <col min="12544" max="12560" width="9.23046875" style="270" customWidth="1"/>
    <col min="12561" max="12779" width="11.53515625" style="270"/>
    <col min="12780" max="12780" width="3" style="270" customWidth="1"/>
    <col min="12781" max="12781" width="50.69140625" style="270" customWidth="1"/>
    <col min="12782" max="12782" width="13.23046875" style="270" customWidth="1"/>
    <col min="12783" max="12783" width="18.53515625" style="270" customWidth="1"/>
    <col min="12784" max="12784" width="10.765625" style="270" customWidth="1"/>
    <col min="12785" max="12785" width="9.69140625" style="270" customWidth="1"/>
    <col min="12786" max="12786" width="11.69140625" style="270" customWidth="1"/>
    <col min="12787" max="12787" width="15.23046875" style="270" customWidth="1"/>
    <col min="12788" max="12788" width="18" style="270" customWidth="1"/>
    <col min="12789" max="12789" width="11.765625" style="270" customWidth="1"/>
    <col min="12790" max="12796" width="9.69140625" style="270" customWidth="1"/>
    <col min="12797" max="12798" width="4.23046875" style="270" customWidth="1"/>
    <col min="12799" max="12799" width="17.23046875" style="270" customWidth="1"/>
    <col min="12800" max="12816" width="9.23046875" style="270" customWidth="1"/>
    <col min="12817" max="13035" width="11.53515625" style="270"/>
    <col min="13036" max="13036" width="3" style="270" customWidth="1"/>
    <col min="13037" max="13037" width="50.69140625" style="270" customWidth="1"/>
    <col min="13038" max="13038" width="13.23046875" style="270" customWidth="1"/>
    <col min="13039" max="13039" width="18.53515625" style="270" customWidth="1"/>
    <col min="13040" max="13040" width="10.765625" style="270" customWidth="1"/>
    <col min="13041" max="13041" width="9.69140625" style="270" customWidth="1"/>
    <col min="13042" max="13042" width="11.69140625" style="270" customWidth="1"/>
    <col min="13043" max="13043" width="15.23046875" style="270" customWidth="1"/>
    <col min="13044" max="13044" width="18" style="270" customWidth="1"/>
    <col min="13045" max="13045" width="11.765625" style="270" customWidth="1"/>
    <col min="13046" max="13052" width="9.69140625" style="270" customWidth="1"/>
    <col min="13053" max="13054" width="4.23046875" style="270" customWidth="1"/>
    <col min="13055" max="13055" width="17.23046875" style="270" customWidth="1"/>
    <col min="13056" max="13072" width="9.23046875" style="270" customWidth="1"/>
    <col min="13073" max="13291" width="11.53515625" style="270"/>
    <col min="13292" max="13292" width="3" style="270" customWidth="1"/>
    <col min="13293" max="13293" width="50.69140625" style="270" customWidth="1"/>
    <col min="13294" max="13294" width="13.23046875" style="270" customWidth="1"/>
    <col min="13295" max="13295" width="18.53515625" style="270" customWidth="1"/>
    <col min="13296" max="13296" width="10.765625" style="270" customWidth="1"/>
    <col min="13297" max="13297" width="9.69140625" style="270" customWidth="1"/>
    <col min="13298" max="13298" width="11.69140625" style="270" customWidth="1"/>
    <col min="13299" max="13299" width="15.23046875" style="270" customWidth="1"/>
    <col min="13300" max="13300" width="18" style="270" customWidth="1"/>
    <col min="13301" max="13301" width="11.765625" style="270" customWidth="1"/>
    <col min="13302" max="13308" width="9.69140625" style="270" customWidth="1"/>
    <col min="13309" max="13310" width="4.23046875" style="270" customWidth="1"/>
    <col min="13311" max="13311" width="17.23046875" style="270" customWidth="1"/>
    <col min="13312" max="13328" width="9.23046875" style="270" customWidth="1"/>
    <col min="13329" max="13547" width="11.53515625" style="270"/>
    <col min="13548" max="13548" width="3" style="270" customWidth="1"/>
    <col min="13549" max="13549" width="50.69140625" style="270" customWidth="1"/>
    <col min="13550" max="13550" width="13.23046875" style="270" customWidth="1"/>
    <col min="13551" max="13551" width="18.53515625" style="270" customWidth="1"/>
    <col min="13552" max="13552" width="10.765625" style="270" customWidth="1"/>
    <col min="13553" max="13553" width="9.69140625" style="270" customWidth="1"/>
    <col min="13554" max="13554" width="11.69140625" style="270" customWidth="1"/>
    <col min="13555" max="13555" width="15.23046875" style="270" customWidth="1"/>
    <col min="13556" max="13556" width="18" style="270" customWidth="1"/>
    <col min="13557" max="13557" width="11.765625" style="270" customWidth="1"/>
    <col min="13558" max="13564" width="9.69140625" style="270" customWidth="1"/>
    <col min="13565" max="13566" width="4.23046875" style="270" customWidth="1"/>
    <col min="13567" max="13567" width="17.23046875" style="270" customWidth="1"/>
    <col min="13568" max="13584" width="9.23046875" style="270" customWidth="1"/>
    <col min="13585" max="13803" width="11.53515625" style="270"/>
    <col min="13804" max="13804" width="3" style="270" customWidth="1"/>
    <col min="13805" max="13805" width="50.69140625" style="270" customWidth="1"/>
    <col min="13806" max="13806" width="13.23046875" style="270" customWidth="1"/>
    <col min="13807" max="13807" width="18.53515625" style="270" customWidth="1"/>
    <col min="13808" max="13808" width="10.765625" style="270" customWidth="1"/>
    <col min="13809" max="13809" width="9.69140625" style="270" customWidth="1"/>
    <col min="13810" max="13810" width="11.69140625" style="270" customWidth="1"/>
    <col min="13811" max="13811" width="15.23046875" style="270" customWidth="1"/>
    <col min="13812" max="13812" width="18" style="270" customWidth="1"/>
    <col min="13813" max="13813" width="11.765625" style="270" customWidth="1"/>
    <col min="13814" max="13820" width="9.69140625" style="270" customWidth="1"/>
    <col min="13821" max="13822" width="4.23046875" style="270" customWidth="1"/>
    <col min="13823" max="13823" width="17.23046875" style="270" customWidth="1"/>
    <col min="13824" max="13840" width="9.23046875" style="270" customWidth="1"/>
    <col min="13841" max="14059" width="11.53515625" style="270"/>
    <col min="14060" max="14060" width="3" style="270" customWidth="1"/>
    <col min="14061" max="14061" width="50.69140625" style="270" customWidth="1"/>
    <col min="14062" max="14062" width="13.23046875" style="270" customWidth="1"/>
    <col min="14063" max="14063" width="18.53515625" style="270" customWidth="1"/>
    <col min="14064" max="14064" width="10.765625" style="270" customWidth="1"/>
    <col min="14065" max="14065" width="9.69140625" style="270" customWidth="1"/>
    <col min="14066" max="14066" width="11.69140625" style="270" customWidth="1"/>
    <col min="14067" max="14067" width="15.23046875" style="270" customWidth="1"/>
    <col min="14068" max="14068" width="18" style="270" customWidth="1"/>
    <col min="14069" max="14069" width="11.765625" style="270" customWidth="1"/>
    <col min="14070" max="14076" width="9.69140625" style="270" customWidth="1"/>
    <col min="14077" max="14078" width="4.23046875" style="270" customWidth="1"/>
    <col min="14079" max="14079" width="17.23046875" style="270" customWidth="1"/>
    <col min="14080" max="14096" width="9.23046875" style="270" customWidth="1"/>
    <col min="14097" max="14315" width="11.53515625" style="270"/>
    <col min="14316" max="14316" width="3" style="270" customWidth="1"/>
    <col min="14317" max="14317" width="50.69140625" style="270" customWidth="1"/>
    <col min="14318" max="14318" width="13.23046875" style="270" customWidth="1"/>
    <col min="14319" max="14319" width="18.53515625" style="270" customWidth="1"/>
    <col min="14320" max="14320" width="10.765625" style="270" customWidth="1"/>
    <col min="14321" max="14321" width="9.69140625" style="270" customWidth="1"/>
    <col min="14322" max="14322" width="11.69140625" style="270" customWidth="1"/>
    <col min="14323" max="14323" width="15.23046875" style="270" customWidth="1"/>
    <col min="14324" max="14324" width="18" style="270" customWidth="1"/>
    <col min="14325" max="14325" width="11.765625" style="270" customWidth="1"/>
    <col min="14326" max="14332" width="9.69140625" style="270" customWidth="1"/>
    <col min="14333" max="14334" width="4.23046875" style="270" customWidth="1"/>
    <col min="14335" max="14335" width="17.23046875" style="270" customWidth="1"/>
    <col min="14336" max="14352" width="9.23046875" style="270" customWidth="1"/>
    <col min="14353" max="14571" width="11.53515625" style="270"/>
    <col min="14572" max="14572" width="3" style="270" customWidth="1"/>
    <col min="14573" max="14573" width="50.69140625" style="270" customWidth="1"/>
    <col min="14574" max="14574" width="13.23046875" style="270" customWidth="1"/>
    <col min="14575" max="14575" width="18.53515625" style="270" customWidth="1"/>
    <col min="14576" max="14576" width="10.765625" style="270" customWidth="1"/>
    <col min="14577" max="14577" width="9.69140625" style="270" customWidth="1"/>
    <col min="14578" max="14578" width="11.69140625" style="270" customWidth="1"/>
    <col min="14579" max="14579" width="15.23046875" style="270" customWidth="1"/>
    <col min="14580" max="14580" width="18" style="270" customWidth="1"/>
    <col min="14581" max="14581" width="11.765625" style="270" customWidth="1"/>
    <col min="14582" max="14588" width="9.69140625" style="270" customWidth="1"/>
    <col min="14589" max="14590" width="4.23046875" style="270" customWidth="1"/>
    <col min="14591" max="14591" width="17.23046875" style="270" customWidth="1"/>
    <col min="14592" max="14608" width="9.23046875" style="270" customWidth="1"/>
    <col min="14609" max="14827" width="11.53515625" style="270"/>
    <col min="14828" max="14828" width="3" style="270" customWidth="1"/>
    <col min="14829" max="14829" width="50.69140625" style="270" customWidth="1"/>
    <col min="14830" max="14830" width="13.23046875" style="270" customWidth="1"/>
    <col min="14831" max="14831" width="18.53515625" style="270" customWidth="1"/>
    <col min="14832" max="14832" width="10.765625" style="270" customWidth="1"/>
    <col min="14833" max="14833" width="9.69140625" style="270" customWidth="1"/>
    <col min="14834" max="14834" width="11.69140625" style="270" customWidth="1"/>
    <col min="14835" max="14835" width="15.23046875" style="270" customWidth="1"/>
    <col min="14836" max="14836" width="18" style="270" customWidth="1"/>
    <col min="14837" max="14837" width="11.765625" style="270" customWidth="1"/>
    <col min="14838" max="14844" width="9.69140625" style="270" customWidth="1"/>
    <col min="14845" max="14846" width="4.23046875" style="270" customWidth="1"/>
    <col min="14847" max="14847" width="17.23046875" style="270" customWidth="1"/>
    <col min="14848" max="14864" width="9.23046875" style="270" customWidth="1"/>
    <col min="14865" max="15083" width="11.53515625" style="270"/>
    <col min="15084" max="15084" width="3" style="270" customWidth="1"/>
    <col min="15085" max="15085" width="50.69140625" style="270" customWidth="1"/>
    <col min="15086" max="15086" width="13.23046875" style="270" customWidth="1"/>
    <col min="15087" max="15087" width="18.53515625" style="270" customWidth="1"/>
    <col min="15088" max="15088" width="10.765625" style="270" customWidth="1"/>
    <col min="15089" max="15089" width="9.69140625" style="270" customWidth="1"/>
    <col min="15090" max="15090" width="11.69140625" style="270" customWidth="1"/>
    <col min="15091" max="15091" width="15.23046875" style="270" customWidth="1"/>
    <col min="15092" max="15092" width="18" style="270" customWidth="1"/>
    <col min="15093" max="15093" width="11.765625" style="270" customWidth="1"/>
    <col min="15094" max="15100" width="9.69140625" style="270" customWidth="1"/>
    <col min="15101" max="15102" width="4.23046875" style="270" customWidth="1"/>
    <col min="15103" max="15103" width="17.23046875" style="270" customWidth="1"/>
    <col min="15104" max="15120" width="9.23046875" style="270" customWidth="1"/>
    <col min="15121" max="15339" width="11.53515625" style="270"/>
    <col min="15340" max="15340" width="3" style="270" customWidth="1"/>
    <col min="15341" max="15341" width="50.69140625" style="270" customWidth="1"/>
    <col min="15342" max="15342" width="13.23046875" style="270" customWidth="1"/>
    <col min="15343" max="15343" width="18.53515625" style="270" customWidth="1"/>
    <col min="15344" max="15344" width="10.765625" style="270" customWidth="1"/>
    <col min="15345" max="15345" width="9.69140625" style="270" customWidth="1"/>
    <col min="15346" max="15346" width="11.69140625" style="270" customWidth="1"/>
    <col min="15347" max="15347" width="15.23046875" style="270" customWidth="1"/>
    <col min="15348" max="15348" width="18" style="270" customWidth="1"/>
    <col min="15349" max="15349" width="11.765625" style="270" customWidth="1"/>
    <col min="15350" max="15356" width="9.69140625" style="270" customWidth="1"/>
    <col min="15357" max="15358" width="4.23046875" style="270" customWidth="1"/>
    <col min="15359" max="15359" width="17.23046875" style="270" customWidth="1"/>
    <col min="15360" max="15376" width="9.23046875" style="270" customWidth="1"/>
    <col min="15377" max="15595" width="11.53515625" style="270"/>
    <col min="15596" max="15596" width="3" style="270" customWidth="1"/>
    <col min="15597" max="15597" width="50.69140625" style="270" customWidth="1"/>
    <col min="15598" max="15598" width="13.23046875" style="270" customWidth="1"/>
    <col min="15599" max="15599" width="18.53515625" style="270" customWidth="1"/>
    <col min="15600" max="15600" width="10.765625" style="270" customWidth="1"/>
    <col min="15601" max="15601" width="9.69140625" style="270" customWidth="1"/>
    <col min="15602" max="15602" width="11.69140625" style="270" customWidth="1"/>
    <col min="15603" max="15603" width="15.23046875" style="270" customWidth="1"/>
    <col min="15604" max="15604" width="18" style="270" customWidth="1"/>
    <col min="15605" max="15605" width="11.765625" style="270" customWidth="1"/>
    <col min="15606" max="15612" width="9.69140625" style="270" customWidth="1"/>
    <col min="15613" max="15614" width="4.23046875" style="270" customWidth="1"/>
    <col min="15615" max="15615" width="17.23046875" style="270" customWidth="1"/>
    <col min="15616" max="15632" width="9.23046875" style="270" customWidth="1"/>
    <col min="15633" max="15851" width="11.53515625" style="270"/>
    <col min="15852" max="15852" width="3" style="270" customWidth="1"/>
    <col min="15853" max="15853" width="50.69140625" style="270" customWidth="1"/>
    <col min="15854" max="15854" width="13.23046875" style="270" customWidth="1"/>
    <col min="15855" max="15855" width="18.53515625" style="270" customWidth="1"/>
    <col min="15856" max="15856" width="10.765625" style="270" customWidth="1"/>
    <col min="15857" max="15857" width="9.69140625" style="270" customWidth="1"/>
    <col min="15858" max="15858" width="11.69140625" style="270" customWidth="1"/>
    <col min="15859" max="15859" width="15.23046875" style="270" customWidth="1"/>
    <col min="15860" max="15860" width="18" style="270" customWidth="1"/>
    <col min="15861" max="15861" width="11.765625" style="270" customWidth="1"/>
    <col min="15862" max="15868" width="9.69140625" style="270" customWidth="1"/>
    <col min="15869" max="15870" width="4.23046875" style="270" customWidth="1"/>
    <col min="15871" max="15871" width="17.23046875" style="270" customWidth="1"/>
    <col min="15872" max="15888" width="9.23046875" style="270" customWidth="1"/>
    <col min="15889" max="16107" width="11.53515625" style="270"/>
    <col min="16108" max="16108" width="3" style="270" customWidth="1"/>
    <col min="16109" max="16109" width="50.69140625" style="270" customWidth="1"/>
    <col min="16110" max="16110" width="13.23046875" style="270" customWidth="1"/>
    <col min="16111" max="16111" width="18.53515625" style="270" customWidth="1"/>
    <col min="16112" max="16112" width="10.765625" style="270" customWidth="1"/>
    <col min="16113" max="16113" width="9.69140625" style="270" customWidth="1"/>
    <col min="16114" max="16114" width="11.69140625" style="270" customWidth="1"/>
    <col min="16115" max="16115" width="15.23046875" style="270" customWidth="1"/>
    <col min="16116" max="16116" width="18" style="270" customWidth="1"/>
    <col min="16117" max="16117" width="11.765625" style="270" customWidth="1"/>
    <col min="16118" max="16124" width="9.69140625" style="270" customWidth="1"/>
    <col min="16125" max="16126" width="4.23046875" style="270" customWidth="1"/>
    <col min="16127" max="16127" width="17.23046875" style="270" customWidth="1"/>
    <col min="16128" max="16144" width="9.23046875" style="270" customWidth="1"/>
    <col min="16145" max="16384" width="11.53515625" style="270"/>
  </cols>
  <sheetData>
    <row r="1" spans="1:10" ht="45.45">
      <c r="A1" s="307" t="s">
        <v>1412</v>
      </c>
    </row>
    <row r="2" spans="1:10">
      <c r="D2" s="308"/>
    </row>
    <row r="3" spans="1:10" ht="17.600000000000001">
      <c r="A3" s="273"/>
      <c r="B3" s="309" t="s">
        <v>271</v>
      </c>
      <c r="C3" s="273"/>
      <c r="D3" s="310"/>
      <c r="E3" s="273"/>
      <c r="F3" s="273"/>
      <c r="G3" s="273"/>
      <c r="H3" s="272"/>
      <c r="J3" s="272"/>
    </row>
    <row r="4" spans="1:10">
      <c r="H4" s="272"/>
      <c r="J4" s="272"/>
    </row>
    <row r="5" spans="1:10">
      <c r="H5" s="272"/>
      <c r="J5" s="272"/>
    </row>
    <row r="6" spans="1:10">
      <c r="B6" s="311" t="s">
        <v>273</v>
      </c>
      <c r="C6" s="270" t="s">
        <v>274</v>
      </c>
      <c r="D6" s="361">
        <f>Datenblatt!M8</f>
        <v>1</v>
      </c>
      <c r="F6" s="311"/>
      <c r="H6" s="272"/>
      <c r="J6" s="272"/>
    </row>
    <row r="7" spans="1:10">
      <c r="B7" s="311" t="s">
        <v>275</v>
      </c>
      <c r="C7" s="270" t="s">
        <v>25</v>
      </c>
      <c r="D7" s="312" t="s">
        <v>153</v>
      </c>
      <c r="H7" s="272"/>
      <c r="J7" s="272"/>
    </row>
    <row r="8" spans="1:10" ht="14.15">
      <c r="B8" s="374" t="s">
        <v>269</v>
      </c>
      <c r="C8" s="270" t="s">
        <v>442</v>
      </c>
      <c r="D8" s="358">
        <f>Datenblatt!M13</f>
        <v>20</v>
      </c>
      <c r="E8" s="270" t="s">
        <v>209</v>
      </c>
      <c r="H8" s="272"/>
      <c r="J8" s="272"/>
    </row>
    <row r="9" spans="1:10" ht="14.15">
      <c r="B9" s="311" t="s">
        <v>276</v>
      </c>
      <c r="C9" s="270" t="s">
        <v>443</v>
      </c>
      <c r="D9" s="358">
        <f>Datenblatt!M14</f>
        <v>26.47058823529412</v>
      </c>
      <c r="E9" s="270" t="s">
        <v>209</v>
      </c>
      <c r="H9" s="272"/>
      <c r="J9" s="272"/>
    </row>
    <row r="10" spans="1:10" ht="14.15">
      <c r="B10" s="311" t="s">
        <v>277</v>
      </c>
      <c r="C10" s="270" t="s">
        <v>2007</v>
      </c>
      <c r="D10" s="353">
        <f>D9/AE*0.8</f>
        <v>1.0588235294117649</v>
      </c>
      <c r="H10" s="272"/>
      <c r="J10" s="272"/>
    </row>
    <row r="11" spans="1:10">
      <c r="B11" s="311" t="s">
        <v>278</v>
      </c>
      <c r="C11" s="270" t="s">
        <v>279</v>
      </c>
      <c r="D11" s="353">
        <f>D16/EBF</f>
        <v>0.23529411764705882</v>
      </c>
      <c r="H11" s="272"/>
      <c r="J11" s="272"/>
    </row>
    <row r="12" spans="1:10">
      <c r="B12" s="311" t="s">
        <v>280</v>
      </c>
      <c r="C12" s="270" t="s">
        <v>281</v>
      </c>
      <c r="D12" s="461">
        <f>D16/(E4beheizt+D16)</f>
        <v>0.17777777777777778</v>
      </c>
      <c r="H12" s="272"/>
      <c r="J12" s="272"/>
    </row>
    <row r="13" spans="1:10" ht="15">
      <c r="B13" s="314" t="s">
        <v>116</v>
      </c>
      <c r="C13" s="313"/>
      <c r="D13" s="315" t="s">
        <v>282</v>
      </c>
      <c r="E13" s="315" t="s">
        <v>25</v>
      </c>
      <c r="F13" s="313" t="s">
        <v>50</v>
      </c>
      <c r="G13" s="313" t="s">
        <v>260</v>
      </c>
      <c r="H13" s="272"/>
      <c r="J13" s="272"/>
    </row>
    <row r="14" spans="1:10">
      <c r="B14" s="311" t="s">
        <v>283</v>
      </c>
      <c r="C14" s="270" t="s">
        <v>284</v>
      </c>
      <c r="D14" s="352">
        <v>0</v>
      </c>
      <c r="E14" s="355">
        <v>0</v>
      </c>
      <c r="H14" s="272"/>
      <c r="J14" s="272"/>
    </row>
    <row r="15" spans="1:10">
      <c r="B15" s="212" t="s">
        <v>285</v>
      </c>
      <c r="C15" s="270" t="s">
        <v>286</v>
      </c>
      <c r="D15" s="354">
        <f>D9-D16</f>
        <v>21.764705882352942</v>
      </c>
      <c r="E15" s="359">
        <f>Datenblatt!M18</f>
        <v>0.17</v>
      </c>
      <c r="F15" s="359">
        <f>Datenblatt!N18</f>
        <v>0.1</v>
      </c>
      <c r="G15" s="371">
        <f>Datenblatt!O18</f>
        <v>0.8</v>
      </c>
      <c r="H15" s="272"/>
      <c r="J15" s="272"/>
    </row>
    <row r="16" spans="1:10">
      <c r="B16" s="311" t="s">
        <v>287</v>
      </c>
      <c r="C16" s="270" t="s">
        <v>288</v>
      </c>
      <c r="D16" s="354">
        <f>SUM(D17:D20)</f>
        <v>4.7058823529411766</v>
      </c>
      <c r="E16" s="359">
        <f>Datenblatt!M19</f>
        <v>1</v>
      </c>
      <c r="F16" s="359">
        <f>Datenblatt!N19</f>
        <v>0.8</v>
      </c>
      <c r="G16" s="371">
        <f>Datenblatt!O19</f>
        <v>1.5</v>
      </c>
      <c r="H16" s="272"/>
    </row>
    <row r="17" spans="2:7">
      <c r="B17" s="311" t="s">
        <v>289</v>
      </c>
      <c r="D17" s="357">
        <f>Datenblatt!M$95*(Datenblatt!M$13)/(Datenblatt!M$20)*0</f>
        <v>0</v>
      </c>
      <c r="E17" s="316"/>
      <c r="F17" s="460">
        <v>1</v>
      </c>
    </row>
    <row r="18" spans="2:7">
      <c r="B18" s="311" t="s">
        <v>290</v>
      </c>
      <c r="D18" s="357">
        <f>Datenblatt!M$95*(Datenblatt!M$13)/(Datenblatt!M$20)*0</f>
        <v>0</v>
      </c>
      <c r="E18" s="316"/>
      <c r="F18" s="460">
        <v>1</v>
      </c>
    </row>
    <row r="19" spans="2:7">
      <c r="B19" s="311" t="s">
        <v>291</v>
      </c>
      <c r="D19" s="357">
        <f>Datenblatt!M$95*(Datenblatt!M$13)/(Datenblatt!M$20)*0</f>
        <v>0</v>
      </c>
      <c r="E19" s="316"/>
      <c r="F19" s="460">
        <v>1</v>
      </c>
    </row>
    <row r="20" spans="2:7">
      <c r="B20" s="311" t="s">
        <v>292</v>
      </c>
      <c r="D20" s="357">
        <f>Datenblatt!M$95*(Datenblatt!M$13)/(Datenblatt!M$20)*1</f>
        <v>4.7058823529411766</v>
      </c>
      <c r="E20" s="316"/>
      <c r="F20" s="460">
        <v>1</v>
      </c>
    </row>
    <row r="21" spans="2:7">
      <c r="B21" s="311" t="s">
        <v>293</v>
      </c>
      <c r="D21" s="352">
        <v>0</v>
      </c>
      <c r="E21" s="316"/>
      <c r="F21" s="355">
        <v>0</v>
      </c>
    </row>
    <row r="22" spans="2:7">
      <c r="B22" s="311" t="s">
        <v>294</v>
      </c>
      <c r="C22" s="270" t="s">
        <v>295</v>
      </c>
      <c r="D22" s="352">
        <v>0</v>
      </c>
      <c r="E22" s="355">
        <v>0</v>
      </c>
    </row>
    <row r="23" spans="2:7">
      <c r="B23" s="311" t="s">
        <v>296</v>
      </c>
      <c r="C23" s="270" t="s">
        <v>297</v>
      </c>
      <c r="D23" s="352">
        <v>0</v>
      </c>
      <c r="E23" s="355">
        <v>0</v>
      </c>
    </row>
    <row r="24" spans="2:7">
      <c r="E24" s="316"/>
      <c r="G24" s="276"/>
    </row>
    <row r="25" spans="2:7" ht="14.15">
      <c r="B25" s="318" t="s">
        <v>298</v>
      </c>
      <c r="D25" s="270" t="s">
        <v>25</v>
      </c>
      <c r="F25" s="270" t="s">
        <v>50</v>
      </c>
      <c r="G25" s="270" t="s">
        <v>260</v>
      </c>
    </row>
    <row r="26" spans="2:7">
      <c r="B26" s="311" t="s">
        <v>299</v>
      </c>
      <c r="C26" s="270" t="s">
        <v>300</v>
      </c>
      <c r="D26" s="359">
        <f>Datenblatt!M187</f>
        <v>0.35357142857142859</v>
      </c>
      <c r="E26" s="270" t="s">
        <v>301</v>
      </c>
      <c r="F26" s="359">
        <f>Datenblatt!N187</f>
        <v>0.29601679712981083</v>
      </c>
      <c r="G26" s="359">
        <f>Datenblatt!O187</f>
        <v>0.64695042400521863</v>
      </c>
    </row>
    <row r="27" spans="2:7">
      <c r="B27" s="311" t="s">
        <v>302</v>
      </c>
      <c r="C27" s="311" t="s">
        <v>303</v>
      </c>
      <c r="D27" s="460">
        <f>Datenblatt!M28*3600/1000000</f>
        <v>0.432</v>
      </c>
      <c r="E27" s="270" t="s">
        <v>304</v>
      </c>
    </row>
    <row r="28" spans="2:7" ht="14.15">
      <c r="B28" s="311" t="s">
        <v>305</v>
      </c>
      <c r="C28" s="311" t="s">
        <v>414</v>
      </c>
      <c r="D28" s="459">
        <f>Datenblatt!M20</f>
        <v>0.75</v>
      </c>
    </row>
    <row r="29" spans="2:7">
      <c r="B29" s="212" t="s">
        <v>1411</v>
      </c>
      <c r="C29" s="270" t="s">
        <v>307</v>
      </c>
      <c r="D29" s="359">
        <f>Datenblatt!M26</f>
        <v>0.5</v>
      </c>
      <c r="F29" s="359">
        <f>Datenblatt!N26</f>
        <v>0.5</v>
      </c>
      <c r="G29" s="359">
        <f>Datenblatt!O26</f>
        <v>0.65</v>
      </c>
    </row>
    <row r="30" spans="2:7">
      <c r="B30" s="212" t="s">
        <v>1410</v>
      </c>
      <c r="D30" s="359">
        <f>Datenblatt!M27</f>
        <v>0.14000000000000001</v>
      </c>
      <c r="F30" s="359">
        <f>Datenblatt!N27</f>
        <v>0.1</v>
      </c>
      <c r="G30" s="359">
        <f>Datenblatt!O27</f>
        <v>0.2</v>
      </c>
    </row>
    <row r="31" spans="2:7">
      <c r="B31" s="311" t="s">
        <v>308</v>
      </c>
      <c r="C31" s="270" t="s">
        <v>309</v>
      </c>
      <c r="D31" s="458">
        <f>Datenblatt!M21</f>
        <v>0.1</v>
      </c>
    </row>
    <row r="33" spans="2:7" ht="14.15">
      <c r="B33" s="318" t="s">
        <v>310</v>
      </c>
    </row>
    <row r="34" spans="2:7">
      <c r="B34" s="311" t="s">
        <v>311</v>
      </c>
      <c r="C34" s="311" t="s">
        <v>312</v>
      </c>
      <c r="D34" s="356">
        <f>Datenblatt!M186</f>
        <v>0.7</v>
      </c>
      <c r="E34" s="270" t="s">
        <v>301</v>
      </c>
    </row>
    <row r="35" spans="2:7">
      <c r="B35" s="311" t="s">
        <v>313</v>
      </c>
      <c r="C35" s="311"/>
      <c r="D35" s="877">
        <f>IF(Datenblatt!M33=0,25,Datenblatt!M33)</f>
        <v>25</v>
      </c>
      <c r="E35" s="270" t="s">
        <v>3</v>
      </c>
    </row>
    <row r="36" spans="2:7">
      <c r="B36" s="311" t="s">
        <v>102</v>
      </c>
      <c r="C36" s="311" t="s">
        <v>314</v>
      </c>
      <c r="D36" s="356">
        <f>IF(Datenblatt!M58=0, 1000, Datenblatt!M58)</f>
        <v>35</v>
      </c>
      <c r="E36" s="270" t="s">
        <v>315</v>
      </c>
    </row>
    <row r="37" spans="2:7">
      <c r="B37" s="311" t="s">
        <v>317</v>
      </c>
      <c r="C37" s="311" t="s">
        <v>318</v>
      </c>
      <c r="D37" s="356">
        <f>Datenblatt!H62</f>
        <v>84</v>
      </c>
      <c r="E37" s="270" t="s">
        <v>319</v>
      </c>
    </row>
    <row r="38" spans="2:7">
      <c r="B38" s="311" t="s">
        <v>579</v>
      </c>
      <c r="C38" s="311" t="s">
        <v>322</v>
      </c>
      <c r="D38" s="356">
        <f>Datenblatt!M53</f>
        <v>14.000000000000002</v>
      </c>
      <c r="E38" s="270" t="s">
        <v>15</v>
      </c>
    </row>
    <row r="39" spans="2:7" ht="15">
      <c r="B39" s="311" t="s">
        <v>1493</v>
      </c>
      <c r="C39" s="311" t="s">
        <v>1491</v>
      </c>
      <c r="D39" s="1201">
        <f>Datenblatt!M55*Datenblatt!M56</f>
        <v>292.00000000000006</v>
      </c>
      <c r="E39" s="270" t="s">
        <v>35</v>
      </c>
      <c r="F39" s="313"/>
      <c r="G39" s="313"/>
    </row>
    <row r="40" spans="2:7" ht="15">
      <c r="B40" s="311" t="s">
        <v>1121</v>
      </c>
      <c r="C40" s="311" t="s">
        <v>318</v>
      </c>
      <c r="D40" s="1200">
        <f>QP/AP*tP*D39/1000*3.6</f>
        <v>35.320320000000009</v>
      </c>
      <c r="E40" s="270" t="s">
        <v>254</v>
      </c>
      <c r="F40" s="313" t="s">
        <v>50</v>
      </c>
      <c r="G40" s="313" t="s">
        <v>260</v>
      </c>
    </row>
    <row r="41" spans="2:7">
      <c r="B41" s="311" t="s">
        <v>469</v>
      </c>
      <c r="C41" s="311" t="s">
        <v>324</v>
      </c>
      <c r="D41" s="375">
        <f>(Datenblatt!M84+Datenblatt!M125)*3.6-IF(nutzid=13,(Datenblatt!M77-Datenblatt!M80)*Datenblatt!M82)/1000*3.6</f>
        <v>86.83335000000001</v>
      </c>
      <c r="E41" s="270" t="s">
        <v>254</v>
      </c>
      <c r="F41" s="375">
        <f>(Datenblatt!N84+Datenblatt!N125)*3.6-IF(nutzid=13,(Datenblatt!N77-Datenblatt!N80)*Datenblatt!N82)/1000*3.6</f>
        <v>42.853749999999998</v>
      </c>
      <c r="G41" s="375">
        <f>(Datenblatt!O84+Datenblatt!N125)*3.6-IF(nutzid=13,(Datenblatt!O77-Datenblatt!O80)*Datenblatt!O82)/1000*3.6</f>
        <v>97.285750000000007</v>
      </c>
    </row>
    <row r="42" spans="2:7">
      <c r="B42" s="311" t="s">
        <v>326</v>
      </c>
      <c r="C42" s="311" t="s">
        <v>327</v>
      </c>
      <c r="D42" s="1101">
        <v>1</v>
      </c>
    </row>
    <row r="43" spans="2:7">
      <c r="B43" s="212"/>
      <c r="C43" s="212"/>
      <c r="D43" s="1686"/>
      <c r="E43" s="210"/>
    </row>
    <row r="44" spans="2:7">
      <c r="B44" s="311" t="s">
        <v>328</v>
      </c>
      <c r="C44" s="311" t="s">
        <v>329</v>
      </c>
      <c r="D44" s="1277">
        <v>1</v>
      </c>
    </row>
    <row r="45" spans="2:7">
      <c r="B45" s="311" t="s">
        <v>330</v>
      </c>
      <c r="C45" s="311" t="s">
        <v>331</v>
      </c>
      <c r="D45" s="1276">
        <v>15</v>
      </c>
      <c r="E45" s="270" t="s">
        <v>15</v>
      </c>
    </row>
    <row r="46" spans="2:7">
      <c r="B46" s="212"/>
      <c r="C46" s="212"/>
      <c r="D46" s="1686"/>
      <c r="E46" s="210"/>
    </row>
    <row r="47" spans="2:7" ht="14.15">
      <c r="B47" s="320" t="s">
        <v>332</v>
      </c>
      <c r="C47" s="311"/>
      <c r="D47" s="312"/>
    </row>
    <row r="48" spans="2:7">
      <c r="B48" s="321" t="s">
        <v>333</v>
      </c>
      <c r="C48" s="311"/>
      <c r="D48" s="312"/>
    </row>
    <row r="49" spans="1:13">
      <c r="B49" s="322" t="s">
        <v>334</v>
      </c>
      <c r="C49" s="311"/>
      <c r="D49" s="312"/>
    </row>
    <row r="50" spans="1:13">
      <c r="B50" s="322" t="s">
        <v>335</v>
      </c>
      <c r="C50" s="311"/>
      <c r="D50" s="312"/>
      <c r="J50" s="272"/>
    </row>
    <row r="51" spans="1:13">
      <c r="B51" s="322" t="s">
        <v>336</v>
      </c>
      <c r="C51" s="311"/>
      <c r="D51" s="312"/>
      <c r="J51" s="272"/>
    </row>
    <row r="52" spans="1:13">
      <c r="B52" s="271" t="s">
        <v>272</v>
      </c>
      <c r="C52" s="311"/>
      <c r="D52" s="312"/>
      <c r="J52" s="272"/>
    </row>
    <row r="53" spans="1:13">
      <c r="A53" s="273"/>
      <c r="B53" s="323"/>
      <c r="C53" s="323"/>
      <c r="D53" s="324"/>
      <c r="E53" s="273"/>
      <c r="F53" s="273"/>
      <c r="G53" s="273"/>
      <c r="H53" s="273"/>
      <c r="I53" s="273"/>
      <c r="J53" s="274"/>
      <c r="K53" s="273"/>
      <c r="L53" s="273"/>
    </row>
    <row r="54" spans="1:13" ht="14.15">
      <c r="B54" s="320" t="s">
        <v>337</v>
      </c>
      <c r="J54" s="272"/>
    </row>
    <row r="55" spans="1:13" ht="14.15">
      <c r="B55" s="311" t="s">
        <v>338</v>
      </c>
      <c r="C55" s="270" t="s">
        <v>415</v>
      </c>
      <c r="D55" s="1102">
        <v>1</v>
      </c>
      <c r="H55" s="368" t="s">
        <v>427</v>
      </c>
      <c r="I55" s="368"/>
      <c r="J55" s="369"/>
      <c r="K55" s="368"/>
      <c r="L55" s="368"/>
      <c r="M55" s="368"/>
    </row>
    <row r="56" spans="1:13">
      <c r="B56" s="311" t="s">
        <v>339</v>
      </c>
      <c r="C56" s="270" t="s">
        <v>340</v>
      </c>
      <c r="D56" s="1102">
        <v>1</v>
      </c>
      <c r="H56" s="365"/>
      <c r="I56" s="270" t="s">
        <v>423</v>
      </c>
    </row>
    <row r="57" spans="1:13" ht="14.15">
      <c r="B57" s="311" t="s">
        <v>341</v>
      </c>
      <c r="C57" s="270" t="s">
        <v>416</v>
      </c>
      <c r="D57" s="1102">
        <v>1</v>
      </c>
      <c r="H57" s="366"/>
      <c r="I57" s="270" t="s">
        <v>424</v>
      </c>
      <c r="J57" s="272"/>
    </row>
    <row r="58" spans="1:13">
      <c r="B58" s="212" t="s">
        <v>342</v>
      </c>
      <c r="C58" s="311" t="s">
        <v>343</v>
      </c>
      <c r="D58" s="363">
        <f>$D$35+Thetaig</f>
        <v>25</v>
      </c>
      <c r="E58" s="270" t="s">
        <v>3</v>
      </c>
      <c r="H58" s="364"/>
      <c r="I58" s="270" t="s">
        <v>425</v>
      </c>
      <c r="J58" s="272"/>
    </row>
    <row r="59" spans="1:13">
      <c r="B59" s="311" t="s">
        <v>344</v>
      </c>
      <c r="C59" s="311" t="s">
        <v>345</v>
      </c>
      <c r="D59" s="1203">
        <v>2.5</v>
      </c>
      <c r="E59" s="270" t="s">
        <v>3</v>
      </c>
      <c r="H59" s="367"/>
      <c r="I59" s="270" t="s">
        <v>426</v>
      </c>
      <c r="J59" s="272"/>
    </row>
    <row r="60" spans="1:13">
      <c r="B60" s="311" t="s">
        <v>346</v>
      </c>
      <c r="C60" s="311" t="s">
        <v>347</v>
      </c>
      <c r="D60" s="319">
        <v>556</v>
      </c>
      <c r="E60" s="270" t="s">
        <v>29</v>
      </c>
      <c r="J60" s="272"/>
    </row>
    <row r="61" spans="1:13" ht="14.15">
      <c r="B61" s="311" t="s">
        <v>348</v>
      </c>
      <c r="C61" s="311" t="s">
        <v>417</v>
      </c>
      <c r="D61" s="319">
        <v>0.7</v>
      </c>
    </row>
    <row r="62" spans="1:13" ht="14.15">
      <c r="B62" s="311" t="s">
        <v>349</v>
      </c>
      <c r="C62" s="311" t="s">
        <v>418</v>
      </c>
      <c r="D62" s="319">
        <v>30</v>
      </c>
      <c r="E62" s="270" t="s">
        <v>3</v>
      </c>
      <c r="J62" s="272"/>
      <c r="L62" s="272"/>
    </row>
    <row r="63" spans="1:13" ht="14.15">
      <c r="B63" s="311" t="s">
        <v>350</v>
      </c>
      <c r="C63" s="311" t="s">
        <v>419</v>
      </c>
      <c r="D63" s="1204">
        <v>0</v>
      </c>
      <c r="E63" s="270" t="s">
        <v>3</v>
      </c>
      <c r="J63" s="272"/>
    </row>
    <row r="64" spans="1:13">
      <c r="B64" s="275"/>
      <c r="C64" s="276"/>
      <c r="D64" s="277"/>
      <c r="E64" s="278"/>
      <c r="F64" s="276"/>
    </row>
    <row r="65" spans="2:36">
      <c r="B65" s="275"/>
      <c r="C65" s="276"/>
      <c r="D65" s="277"/>
      <c r="E65" s="278"/>
      <c r="F65" s="276"/>
    </row>
    <row r="66" spans="2:36">
      <c r="B66" s="275"/>
      <c r="C66" s="276"/>
      <c r="D66" s="277"/>
      <c r="E66" s="278"/>
      <c r="F66" s="276"/>
    </row>
    <row r="67" spans="2:36">
      <c r="D67" s="316">
        <v>1</v>
      </c>
      <c r="E67" s="316">
        <v>2</v>
      </c>
      <c r="F67" s="316">
        <v>3</v>
      </c>
      <c r="G67" s="316">
        <v>4</v>
      </c>
      <c r="H67" s="316">
        <v>5</v>
      </c>
      <c r="I67" s="316">
        <v>6</v>
      </c>
      <c r="J67" s="316">
        <v>7</v>
      </c>
      <c r="K67" s="316">
        <v>8</v>
      </c>
      <c r="L67" s="316">
        <v>9</v>
      </c>
      <c r="M67" s="316">
        <v>10</v>
      </c>
      <c r="N67" s="316">
        <v>11</v>
      </c>
      <c r="O67" s="316">
        <v>12</v>
      </c>
      <c r="P67" s="270">
        <v>13</v>
      </c>
    </row>
    <row r="68" spans="2:36">
      <c r="B68" s="1882" t="s">
        <v>1257</v>
      </c>
      <c r="C68" s="1868"/>
      <c r="D68" s="1864" t="s">
        <v>37</v>
      </c>
      <c r="E68" s="1865" t="s">
        <v>38</v>
      </c>
      <c r="F68" s="1865" t="s">
        <v>351</v>
      </c>
      <c r="G68" s="1865" t="s">
        <v>39</v>
      </c>
      <c r="H68" s="1865" t="s">
        <v>40</v>
      </c>
      <c r="I68" s="1865" t="s">
        <v>41</v>
      </c>
      <c r="J68" s="1865" t="s">
        <v>42</v>
      </c>
      <c r="K68" s="1865" t="s">
        <v>43</v>
      </c>
      <c r="L68" s="1865" t="s">
        <v>44</v>
      </c>
      <c r="M68" s="1865" t="s">
        <v>45</v>
      </c>
      <c r="N68" s="1865" t="s">
        <v>46</v>
      </c>
      <c r="O68" s="1866" t="s">
        <v>47</v>
      </c>
      <c r="P68" s="1867" t="s">
        <v>352</v>
      </c>
      <c r="Q68" s="1868"/>
      <c r="V68" s="1882" t="str">
        <f>B68</f>
        <v>Zürich-MeteoSchweiz</v>
      </c>
      <c r="W68" s="1868"/>
      <c r="X68" s="1864" t="s">
        <v>37</v>
      </c>
      <c r="Y68" s="1865" t="s">
        <v>38</v>
      </c>
      <c r="Z68" s="1865" t="s">
        <v>351</v>
      </c>
      <c r="AA68" s="1865" t="s">
        <v>39</v>
      </c>
      <c r="AB68" s="1865" t="s">
        <v>40</v>
      </c>
      <c r="AC68" s="1865" t="s">
        <v>41</v>
      </c>
      <c r="AD68" s="1865" t="s">
        <v>42</v>
      </c>
      <c r="AE68" s="1865" t="s">
        <v>43</v>
      </c>
      <c r="AF68" s="1865" t="s">
        <v>44</v>
      </c>
      <c r="AG68" s="1865" t="s">
        <v>45</v>
      </c>
      <c r="AH68" s="1865" t="s">
        <v>46</v>
      </c>
      <c r="AI68" s="1866" t="s">
        <v>47</v>
      </c>
      <c r="AJ68" s="1904" t="s">
        <v>352</v>
      </c>
    </row>
    <row r="69" spans="2:36">
      <c r="B69" s="1843" t="s">
        <v>353</v>
      </c>
      <c r="C69" s="1840" t="s">
        <v>354</v>
      </c>
      <c r="D69" s="1885">
        <v>31</v>
      </c>
      <c r="E69" s="316">
        <v>28</v>
      </c>
      <c r="F69" s="316">
        <v>31</v>
      </c>
      <c r="G69" s="316">
        <v>30</v>
      </c>
      <c r="H69" s="316">
        <v>31</v>
      </c>
      <c r="I69" s="316">
        <v>30</v>
      </c>
      <c r="J69" s="316">
        <v>31</v>
      </c>
      <c r="K69" s="316">
        <v>31</v>
      </c>
      <c r="L69" s="316">
        <v>30</v>
      </c>
      <c r="M69" s="316">
        <v>31</v>
      </c>
      <c r="N69" s="316">
        <v>30</v>
      </c>
      <c r="O69" s="1883">
        <v>31</v>
      </c>
      <c r="P69" s="1843"/>
      <c r="Q69" s="1840" t="s">
        <v>354</v>
      </c>
      <c r="V69" s="1843" t="s">
        <v>353</v>
      </c>
      <c r="W69" s="1840" t="s">
        <v>354</v>
      </c>
      <c r="X69" s="1885">
        <f>D69</f>
        <v>31</v>
      </c>
      <c r="Y69" s="316">
        <f t="shared" ref="Y69:Y70" si="0">E69</f>
        <v>28</v>
      </c>
      <c r="Z69" s="316">
        <f t="shared" ref="Z69:Z70" si="1">F69</f>
        <v>31</v>
      </c>
      <c r="AA69" s="316">
        <f t="shared" ref="AA69:AA70" si="2">G69</f>
        <v>30</v>
      </c>
      <c r="AB69" s="316">
        <f t="shared" ref="AB69:AB70" si="3">H69</f>
        <v>31</v>
      </c>
      <c r="AC69" s="316">
        <f t="shared" ref="AC69:AC70" si="4">I69</f>
        <v>30</v>
      </c>
      <c r="AD69" s="316">
        <f t="shared" ref="AD69:AD70" si="5">J69</f>
        <v>31</v>
      </c>
      <c r="AE69" s="316">
        <f t="shared" ref="AE69:AE70" si="6">K69</f>
        <v>31</v>
      </c>
      <c r="AF69" s="316">
        <f t="shared" ref="AF69:AF70" si="7">L69</f>
        <v>30</v>
      </c>
      <c r="AG69" s="316">
        <f t="shared" ref="AG69:AG70" si="8">M69</f>
        <v>31</v>
      </c>
      <c r="AH69" s="316">
        <f t="shared" ref="AH69:AH70" si="9">N69</f>
        <v>30</v>
      </c>
      <c r="AI69" s="1883">
        <f t="shared" ref="AI69:AI70" si="10">O69</f>
        <v>31</v>
      </c>
      <c r="AJ69" s="1905"/>
    </row>
    <row r="70" spans="2:36">
      <c r="B70" s="1879" t="s">
        <v>356</v>
      </c>
      <c r="C70" s="1840" t="s">
        <v>3</v>
      </c>
      <c r="D70" s="1885">
        <f>Monatswerte!L442</f>
        <v>0.4</v>
      </c>
      <c r="E70" s="316">
        <f>Monatswerte!M442</f>
        <v>1.6</v>
      </c>
      <c r="F70" s="316">
        <f>Monatswerte!N442</f>
        <v>5.5</v>
      </c>
      <c r="G70" s="316">
        <f>Monatswerte!O442</f>
        <v>8.4</v>
      </c>
      <c r="H70" s="316">
        <f>Monatswerte!P442</f>
        <v>13.4</v>
      </c>
      <c r="I70" s="316">
        <f>Monatswerte!Q442</f>
        <v>16.2</v>
      </c>
      <c r="J70" s="316">
        <f>Monatswerte!R442</f>
        <v>18.399999999999999</v>
      </c>
      <c r="K70" s="316">
        <f>Monatswerte!S442</f>
        <v>18.399999999999999</v>
      </c>
      <c r="L70" s="316">
        <f>Monatswerte!T442</f>
        <v>14</v>
      </c>
      <c r="M70" s="316">
        <f>Monatswerte!U442</f>
        <v>9.9</v>
      </c>
      <c r="N70" s="316">
        <f>Monatswerte!V442</f>
        <v>4.2</v>
      </c>
      <c r="O70" s="1883">
        <f>Monatswerte!W442</f>
        <v>1.8</v>
      </c>
      <c r="P70" s="1842">
        <f>Monatswerte!X442</f>
        <v>9.35</v>
      </c>
      <c r="Q70" s="1840" t="s">
        <v>3</v>
      </c>
      <c r="V70" s="1879" t="s">
        <v>356</v>
      </c>
      <c r="W70" s="1840" t="s">
        <v>3</v>
      </c>
      <c r="X70" s="1885">
        <f t="shared" ref="X70" si="11">D70</f>
        <v>0.4</v>
      </c>
      <c r="Y70" s="316">
        <f t="shared" si="0"/>
        <v>1.6</v>
      </c>
      <c r="Z70" s="316">
        <f t="shared" si="1"/>
        <v>5.5</v>
      </c>
      <c r="AA70" s="316">
        <f t="shared" si="2"/>
        <v>8.4</v>
      </c>
      <c r="AB70" s="316">
        <f t="shared" si="3"/>
        <v>13.4</v>
      </c>
      <c r="AC70" s="316">
        <f t="shared" si="4"/>
        <v>16.2</v>
      </c>
      <c r="AD70" s="316">
        <f t="shared" si="5"/>
        <v>18.399999999999999</v>
      </c>
      <c r="AE70" s="316">
        <f t="shared" si="6"/>
        <v>18.399999999999999</v>
      </c>
      <c r="AF70" s="316">
        <f t="shared" si="7"/>
        <v>14</v>
      </c>
      <c r="AG70" s="316">
        <f t="shared" si="8"/>
        <v>9.9</v>
      </c>
      <c r="AH70" s="316">
        <f t="shared" si="9"/>
        <v>4.2</v>
      </c>
      <c r="AI70" s="1883">
        <f t="shared" si="10"/>
        <v>1.8</v>
      </c>
      <c r="AJ70" s="1906">
        <f t="shared" ref="AJ70" si="12">P70</f>
        <v>9.35</v>
      </c>
    </row>
    <row r="71" spans="2:36">
      <c r="B71" s="1879" t="s">
        <v>358</v>
      </c>
      <c r="C71" s="1840" t="s">
        <v>359</v>
      </c>
      <c r="D71" s="1885">
        <f>Monatswerte!L443</f>
        <v>104</v>
      </c>
      <c r="E71" s="316">
        <f>Monatswerte!M443</f>
        <v>165</v>
      </c>
      <c r="F71" s="316">
        <f>Monatswerte!N443</f>
        <v>311</v>
      </c>
      <c r="G71" s="316">
        <f>Monatswerte!O443</f>
        <v>417</v>
      </c>
      <c r="H71" s="316">
        <f>Monatswerte!P443</f>
        <v>536</v>
      </c>
      <c r="I71" s="316">
        <f>Monatswerte!Q443</f>
        <v>570</v>
      </c>
      <c r="J71" s="316">
        <f>Monatswerte!R443</f>
        <v>595</v>
      </c>
      <c r="K71" s="316">
        <f>Monatswerte!S443</f>
        <v>522</v>
      </c>
      <c r="L71" s="316">
        <f>Monatswerte!T443</f>
        <v>355</v>
      </c>
      <c r="M71" s="316">
        <f>Monatswerte!U443</f>
        <v>214</v>
      </c>
      <c r="N71" s="316">
        <f>Monatswerte!V443</f>
        <v>109</v>
      </c>
      <c r="O71" s="1883">
        <f>Monatswerte!W443</f>
        <v>80</v>
      </c>
      <c r="P71" s="1860">
        <f>Monatswerte!X443</f>
        <v>3978</v>
      </c>
      <c r="Q71" s="1840" t="s">
        <v>359</v>
      </c>
      <c r="V71" s="1879" t="s">
        <v>358</v>
      </c>
      <c r="W71" s="1840" t="s">
        <v>1658</v>
      </c>
      <c r="X71" s="1860">
        <f>D71/3.6</f>
        <v>28.888888888888889</v>
      </c>
      <c r="Y71" s="1291">
        <f t="shared" ref="Y71:Y75" si="13">E71/3.6</f>
        <v>45.833333333333336</v>
      </c>
      <c r="Z71" s="1291">
        <f t="shared" ref="Z71:Z75" si="14">F71/3.6</f>
        <v>86.388888888888886</v>
      </c>
      <c r="AA71" s="1291">
        <f t="shared" ref="AA71:AA75" si="15">G71/3.6</f>
        <v>115.83333333333333</v>
      </c>
      <c r="AB71" s="1291">
        <f t="shared" ref="AB71:AB75" si="16">H71/3.6</f>
        <v>148.88888888888889</v>
      </c>
      <c r="AC71" s="1291">
        <f t="shared" ref="AC71:AC75" si="17">I71/3.6</f>
        <v>158.33333333333334</v>
      </c>
      <c r="AD71" s="1291">
        <f t="shared" ref="AD71:AD75" si="18">J71/3.6</f>
        <v>165.27777777777777</v>
      </c>
      <c r="AE71" s="1291">
        <f t="shared" ref="AE71:AE75" si="19">K71/3.6</f>
        <v>145</v>
      </c>
      <c r="AF71" s="1291">
        <f t="shared" ref="AF71:AF75" si="20">L71/3.6</f>
        <v>98.611111111111114</v>
      </c>
      <c r="AG71" s="1291">
        <f t="shared" ref="AG71:AG75" si="21">M71/3.6</f>
        <v>59.444444444444443</v>
      </c>
      <c r="AH71" s="1291">
        <f t="shared" ref="AH71:AH75" si="22">N71/3.6</f>
        <v>30.277777777777779</v>
      </c>
      <c r="AI71" s="1900">
        <f t="shared" ref="AI71:AI75" si="23">O71/3.6</f>
        <v>22.222222222222221</v>
      </c>
      <c r="AJ71" s="1907">
        <f t="shared" ref="AJ71:AJ75" si="24">P71/3.6</f>
        <v>1105</v>
      </c>
    </row>
    <row r="72" spans="2:36">
      <c r="B72" s="1879" t="s">
        <v>363</v>
      </c>
      <c r="C72" s="1840" t="s">
        <v>359</v>
      </c>
      <c r="D72" s="1885">
        <f>Monatswerte!L444</f>
        <v>67</v>
      </c>
      <c r="E72" s="316">
        <f>Monatswerte!M444</f>
        <v>109</v>
      </c>
      <c r="F72" s="316">
        <f>Monatswerte!N444</f>
        <v>185</v>
      </c>
      <c r="G72" s="316">
        <f>Monatswerte!O444</f>
        <v>233</v>
      </c>
      <c r="H72" s="316">
        <f>Monatswerte!P444</f>
        <v>281</v>
      </c>
      <c r="I72" s="316">
        <f>Monatswerte!Q444</f>
        <v>295</v>
      </c>
      <c r="J72" s="316">
        <f>Monatswerte!R444</f>
        <v>311</v>
      </c>
      <c r="K72" s="316">
        <f>Monatswerte!S444</f>
        <v>287</v>
      </c>
      <c r="L72" s="316">
        <f>Monatswerte!T444</f>
        <v>192</v>
      </c>
      <c r="M72" s="316">
        <f>Monatswerte!U444</f>
        <v>112</v>
      </c>
      <c r="N72" s="316">
        <f>Monatswerte!V444</f>
        <v>62</v>
      </c>
      <c r="O72" s="1883">
        <f>Monatswerte!W444</f>
        <v>51</v>
      </c>
      <c r="P72" s="1860">
        <f>Monatswerte!X444</f>
        <v>2185</v>
      </c>
      <c r="Q72" s="1840" t="s">
        <v>359</v>
      </c>
      <c r="V72" s="1879" t="s">
        <v>363</v>
      </c>
      <c r="W72" s="1840" t="s">
        <v>1658</v>
      </c>
      <c r="X72" s="1860">
        <f t="shared" ref="X72:X75" si="25">D72/3.6</f>
        <v>18.611111111111111</v>
      </c>
      <c r="Y72" s="1291">
        <f t="shared" si="13"/>
        <v>30.277777777777779</v>
      </c>
      <c r="Z72" s="1291">
        <f t="shared" si="14"/>
        <v>51.388888888888886</v>
      </c>
      <c r="AA72" s="1291">
        <f t="shared" si="15"/>
        <v>64.722222222222214</v>
      </c>
      <c r="AB72" s="1291">
        <f t="shared" si="16"/>
        <v>78.055555555555557</v>
      </c>
      <c r="AC72" s="1291">
        <f t="shared" si="17"/>
        <v>81.944444444444443</v>
      </c>
      <c r="AD72" s="1291">
        <f t="shared" si="18"/>
        <v>86.388888888888886</v>
      </c>
      <c r="AE72" s="1291">
        <f t="shared" si="19"/>
        <v>79.722222222222214</v>
      </c>
      <c r="AF72" s="1291">
        <f t="shared" si="20"/>
        <v>53.333333333333329</v>
      </c>
      <c r="AG72" s="1291">
        <f t="shared" si="21"/>
        <v>31.111111111111111</v>
      </c>
      <c r="AH72" s="1291">
        <f t="shared" si="22"/>
        <v>17.222222222222221</v>
      </c>
      <c r="AI72" s="1900">
        <f t="shared" si="23"/>
        <v>14.166666666666666</v>
      </c>
      <c r="AJ72" s="1907">
        <f t="shared" si="24"/>
        <v>606.94444444444446</v>
      </c>
    </row>
    <row r="73" spans="2:36">
      <c r="B73" s="1879" t="s">
        <v>361</v>
      </c>
      <c r="C73" s="1840" t="s">
        <v>359</v>
      </c>
      <c r="D73" s="1885">
        <f>Monatswerte!L445</f>
        <v>177</v>
      </c>
      <c r="E73" s="316">
        <f>Monatswerte!M445</f>
        <v>235</v>
      </c>
      <c r="F73" s="316">
        <f>Monatswerte!N445</f>
        <v>313</v>
      </c>
      <c r="G73" s="316">
        <f>Monatswerte!O445</f>
        <v>290</v>
      </c>
      <c r="H73" s="316">
        <f>Monatswerte!P445</f>
        <v>284</v>
      </c>
      <c r="I73" s="316">
        <f>Monatswerte!Q445</f>
        <v>270</v>
      </c>
      <c r="J73" s="316">
        <f>Monatswerte!R445</f>
        <v>297</v>
      </c>
      <c r="K73" s="316">
        <f>Monatswerte!S445</f>
        <v>332</v>
      </c>
      <c r="L73" s="316">
        <f>Monatswerte!T445</f>
        <v>311</v>
      </c>
      <c r="M73" s="316">
        <f>Monatswerte!U445</f>
        <v>254</v>
      </c>
      <c r="N73" s="316">
        <f>Monatswerte!V445</f>
        <v>158</v>
      </c>
      <c r="O73" s="1883">
        <f>Monatswerte!W445</f>
        <v>137</v>
      </c>
      <c r="P73" s="1860">
        <f>Monatswerte!X445</f>
        <v>3058</v>
      </c>
      <c r="Q73" s="1840" t="s">
        <v>359</v>
      </c>
      <c r="V73" s="1879" t="s">
        <v>361</v>
      </c>
      <c r="W73" s="1840" t="s">
        <v>1658</v>
      </c>
      <c r="X73" s="1860">
        <f t="shared" si="25"/>
        <v>49.166666666666664</v>
      </c>
      <c r="Y73" s="1291">
        <f t="shared" si="13"/>
        <v>65.277777777777771</v>
      </c>
      <c r="Z73" s="1291">
        <f t="shared" si="14"/>
        <v>86.944444444444443</v>
      </c>
      <c r="AA73" s="1291">
        <f t="shared" si="15"/>
        <v>80.555555555555557</v>
      </c>
      <c r="AB73" s="1291">
        <f t="shared" si="16"/>
        <v>78.888888888888886</v>
      </c>
      <c r="AC73" s="1291">
        <f t="shared" si="17"/>
        <v>75</v>
      </c>
      <c r="AD73" s="1291">
        <f t="shared" si="18"/>
        <v>82.5</v>
      </c>
      <c r="AE73" s="1291">
        <f t="shared" si="19"/>
        <v>92.222222222222214</v>
      </c>
      <c r="AF73" s="1291">
        <f t="shared" si="20"/>
        <v>86.388888888888886</v>
      </c>
      <c r="AG73" s="1291">
        <f t="shared" si="21"/>
        <v>70.555555555555557</v>
      </c>
      <c r="AH73" s="1291">
        <f t="shared" si="22"/>
        <v>43.888888888888886</v>
      </c>
      <c r="AI73" s="1900">
        <f t="shared" si="23"/>
        <v>38.055555555555557</v>
      </c>
      <c r="AJ73" s="1907">
        <f t="shared" si="24"/>
        <v>849.44444444444446</v>
      </c>
    </row>
    <row r="74" spans="2:36">
      <c r="B74" s="1879" t="s">
        <v>365</v>
      </c>
      <c r="C74" s="1840" t="s">
        <v>359</v>
      </c>
      <c r="D74" s="1885">
        <f>Monatswerte!L446</f>
        <v>80</v>
      </c>
      <c r="E74" s="316">
        <f>Monatswerte!M446</f>
        <v>123</v>
      </c>
      <c r="F74" s="316">
        <f>Monatswerte!N446</f>
        <v>198</v>
      </c>
      <c r="G74" s="316">
        <f>Monatswerte!O446</f>
        <v>231</v>
      </c>
      <c r="H74" s="316">
        <f>Monatswerte!P446</f>
        <v>287</v>
      </c>
      <c r="I74" s="316">
        <f>Monatswerte!Q446</f>
        <v>303</v>
      </c>
      <c r="J74" s="316">
        <f>Monatswerte!R446</f>
        <v>327</v>
      </c>
      <c r="K74" s="316">
        <f>Monatswerte!S446</f>
        <v>295</v>
      </c>
      <c r="L74" s="316">
        <f>Monatswerte!T446</f>
        <v>218</v>
      </c>
      <c r="M74" s="316">
        <f>Monatswerte!U446</f>
        <v>142</v>
      </c>
      <c r="N74" s="316">
        <f>Monatswerte!V446</f>
        <v>75</v>
      </c>
      <c r="O74" s="1883">
        <f>Monatswerte!W446</f>
        <v>59</v>
      </c>
      <c r="P74" s="1860">
        <f>Monatswerte!X446</f>
        <v>2338</v>
      </c>
      <c r="Q74" s="1840" t="s">
        <v>359</v>
      </c>
      <c r="V74" s="1879" t="s">
        <v>365</v>
      </c>
      <c r="W74" s="1840" t="s">
        <v>1658</v>
      </c>
      <c r="X74" s="1860">
        <f t="shared" si="25"/>
        <v>22.222222222222221</v>
      </c>
      <c r="Y74" s="1291">
        <f t="shared" si="13"/>
        <v>34.166666666666664</v>
      </c>
      <c r="Z74" s="1291">
        <f t="shared" si="14"/>
        <v>55</v>
      </c>
      <c r="AA74" s="1291">
        <f t="shared" si="15"/>
        <v>64.166666666666671</v>
      </c>
      <c r="AB74" s="1291">
        <f t="shared" si="16"/>
        <v>79.722222222222214</v>
      </c>
      <c r="AC74" s="1291">
        <f t="shared" si="17"/>
        <v>84.166666666666671</v>
      </c>
      <c r="AD74" s="1291">
        <f t="shared" si="18"/>
        <v>90.833333333333329</v>
      </c>
      <c r="AE74" s="1291">
        <f t="shared" si="19"/>
        <v>81.944444444444443</v>
      </c>
      <c r="AF74" s="1291">
        <f t="shared" si="20"/>
        <v>60.555555555555557</v>
      </c>
      <c r="AG74" s="1291">
        <f t="shared" si="21"/>
        <v>39.444444444444443</v>
      </c>
      <c r="AH74" s="1291">
        <f t="shared" si="22"/>
        <v>20.833333333333332</v>
      </c>
      <c r="AI74" s="1900">
        <f t="shared" si="23"/>
        <v>16.388888888888889</v>
      </c>
      <c r="AJ74" s="1907">
        <f t="shared" si="24"/>
        <v>649.44444444444446</v>
      </c>
    </row>
    <row r="75" spans="2:36">
      <c r="B75" s="1880" t="s">
        <v>367</v>
      </c>
      <c r="C75" s="1878" t="s">
        <v>359</v>
      </c>
      <c r="D75" s="1949">
        <f>Monatswerte!L447</f>
        <v>43</v>
      </c>
      <c r="E75" s="1881">
        <f>Monatswerte!M447</f>
        <v>63</v>
      </c>
      <c r="F75" s="1881">
        <f>Monatswerte!N447</f>
        <v>94</v>
      </c>
      <c r="G75" s="1881">
        <f>Monatswerte!O447</f>
        <v>111</v>
      </c>
      <c r="H75" s="1881">
        <f>Monatswerte!P447</f>
        <v>150</v>
      </c>
      <c r="I75" s="1881">
        <f>Monatswerte!Q447</f>
        <v>166</v>
      </c>
      <c r="J75" s="1881">
        <f>Monatswerte!R447</f>
        <v>166</v>
      </c>
      <c r="K75" s="1881">
        <f>Monatswerte!S447</f>
        <v>134</v>
      </c>
      <c r="L75" s="1881">
        <f>Monatswerte!T447</f>
        <v>91</v>
      </c>
      <c r="M75" s="1881">
        <f>Monatswerte!U447</f>
        <v>62</v>
      </c>
      <c r="N75" s="1881">
        <f>Monatswerte!V447</f>
        <v>39</v>
      </c>
      <c r="O75" s="1884">
        <f>Monatswerte!W447</f>
        <v>32</v>
      </c>
      <c r="P75" s="1901">
        <f>Monatswerte!X447</f>
        <v>1150</v>
      </c>
      <c r="Q75" s="1878" t="s">
        <v>359</v>
      </c>
      <c r="V75" s="1880" t="s">
        <v>367</v>
      </c>
      <c r="W75" s="1878" t="s">
        <v>1658</v>
      </c>
      <c r="X75" s="1901">
        <f t="shared" si="25"/>
        <v>11.944444444444445</v>
      </c>
      <c r="Y75" s="1902">
        <f t="shared" si="13"/>
        <v>17.5</v>
      </c>
      <c r="Z75" s="1902">
        <f t="shared" si="14"/>
        <v>26.111111111111111</v>
      </c>
      <c r="AA75" s="1902">
        <f t="shared" si="15"/>
        <v>30.833333333333332</v>
      </c>
      <c r="AB75" s="1902">
        <f t="shared" si="16"/>
        <v>41.666666666666664</v>
      </c>
      <c r="AC75" s="1902">
        <f t="shared" si="17"/>
        <v>46.111111111111107</v>
      </c>
      <c r="AD75" s="1902">
        <f t="shared" si="18"/>
        <v>46.111111111111107</v>
      </c>
      <c r="AE75" s="1902">
        <f t="shared" si="19"/>
        <v>37.222222222222221</v>
      </c>
      <c r="AF75" s="1902">
        <f t="shared" si="20"/>
        <v>25.277777777777779</v>
      </c>
      <c r="AG75" s="1902">
        <f t="shared" si="21"/>
        <v>17.222222222222221</v>
      </c>
      <c r="AH75" s="1902">
        <f t="shared" si="22"/>
        <v>10.833333333333334</v>
      </c>
      <c r="AI75" s="1903">
        <f t="shared" si="23"/>
        <v>8.8888888888888893</v>
      </c>
      <c r="AJ75" s="1908">
        <f t="shared" si="24"/>
        <v>319.44444444444446</v>
      </c>
    </row>
    <row r="77" spans="2:36">
      <c r="B77" s="1870" t="s">
        <v>429</v>
      </c>
      <c r="C77" s="1868"/>
      <c r="D77" s="1864" t="s">
        <v>37</v>
      </c>
      <c r="E77" s="1865" t="s">
        <v>38</v>
      </c>
      <c r="F77" s="1865" t="s">
        <v>351</v>
      </c>
      <c r="G77" s="1865" t="s">
        <v>39</v>
      </c>
      <c r="H77" s="1865" t="s">
        <v>40</v>
      </c>
      <c r="I77" s="1865" t="s">
        <v>41</v>
      </c>
      <c r="J77" s="1865" t="s">
        <v>42</v>
      </c>
      <c r="K77" s="1865" t="s">
        <v>43</v>
      </c>
      <c r="L77" s="1865" t="s">
        <v>44</v>
      </c>
      <c r="M77" s="1865" t="s">
        <v>45</v>
      </c>
      <c r="N77" s="1865" t="s">
        <v>46</v>
      </c>
      <c r="O77" s="1866" t="s">
        <v>47</v>
      </c>
      <c r="P77" s="1867" t="s">
        <v>352</v>
      </c>
      <c r="Q77" s="1868"/>
    </row>
    <row r="78" spans="2:36">
      <c r="B78" s="1869" t="s">
        <v>371</v>
      </c>
      <c r="C78" s="1840"/>
      <c r="D78" s="1843"/>
      <c r="O78" s="1840"/>
      <c r="P78" s="1843"/>
      <c r="Q78" s="1840"/>
    </row>
    <row r="79" spans="2:36">
      <c r="B79" s="1843" t="s">
        <v>373</v>
      </c>
      <c r="C79" s="1840" t="s">
        <v>359</v>
      </c>
      <c r="D79" s="1842">
        <f t="shared" ref="D79:O79" si="26">IF(EBF&gt;0,(Thetai-D$70)*D$69*$D$22*U_DAFbeheizt*0.0864/EBF,0)</f>
        <v>0</v>
      </c>
      <c r="E79" s="303">
        <f t="shared" si="26"/>
        <v>0</v>
      </c>
      <c r="F79" s="303">
        <f t="shared" si="26"/>
        <v>0</v>
      </c>
      <c r="G79" s="303">
        <f t="shared" si="26"/>
        <v>0</v>
      </c>
      <c r="H79" s="303">
        <f t="shared" si="26"/>
        <v>0</v>
      </c>
      <c r="I79" s="303">
        <f t="shared" si="26"/>
        <v>0</v>
      </c>
      <c r="J79" s="303">
        <f t="shared" si="26"/>
        <v>0</v>
      </c>
      <c r="K79" s="303">
        <f t="shared" si="26"/>
        <v>0</v>
      </c>
      <c r="L79" s="303">
        <f t="shared" si="26"/>
        <v>0</v>
      </c>
      <c r="M79" s="303">
        <f t="shared" si="26"/>
        <v>0</v>
      </c>
      <c r="N79" s="303">
        <f t="shared" si="26"/>
        <v>0</v>
      </c>
      <c r="O79" s="1848">
        <f t="shared" si="26"/>
        <v>0</v>
      </c>
      <c r="P79" s="1842">
        <f t="shared" ref="P79:P86" si="27">SUM(D79:O79)</f>
        <v>0</v>
      </c>
      <c r="Q79" s="1840" t="s">
        <v>359</v>
      </c>
    </row>
    <row r="80" spans="2:36">
      <c r="B80" s="1843" t="s">
        <v>375</v>
      </c>
      <c r="C80" s="1840" t="s">
        <v>359</v>
      </c>
      <c r="D80" s="1842">
        <f t="shared" ref="D80:O80" si="28">IF(EBF&gt;0,(Thetai-D$70)*D$69*$D$14*U_E3*bGW*0.0864/EBF,0)</f>
        <v>0</v>
      </c>
      <c r="E80" s="303">
        <f t="shared" si="28"/>
        <v>0</v>
      </c>
      <c r="F80" s="303">
        <f t="shared" si="28"/>
        <v>0</v>
      </c>
      <c r="G80" s="303">
        <f t="shared" si="28"/>
        <v>0</v>
      </c>
      <c r="H80" s="303">
        <f t="shared" si="28"/>
        <v>0</v>
      </c>
      <c r="I80" s="303">
        <f t="shared" si="28"/>
        <v>0</v>
      </c>
      <c r="J80" s="303">
        <f t="shared" si="28"/>
        <v>0</v>
      </c>
      <c r="K80" s="303">
        <f t="shared" si="28"/>
        <v>0</v>
      </c>
      <c r="L80" s="303">
        <f t="shared" si="28"/>
        <v>0</v>
      </c>
      <c r="M80" s="303">
        <f t="shared" si="28"/>
        <v>0</v>
      </c>
      <c r="N80" s="303">
        <f t="shared" si="28"/>
        <v>0</v>
      </c>
      <c r="O80" s="1848">
        <f t="shared" si="28"/>
        <v>0</v>
      </c>
      <c r="P80" s="1842">
        <f t="shared" si="27"/>
        <v>0</v>
      </c>
      <c r="Q80" s="1840" t="s">
        <v>359</v>
      </c>
    </row>
    <row r="81" spans="2:17">
      <c r="B81" s="1847" t="s">
        <v>377</v>
      </c>
      <c r="C81" s="1840" t="s">
        <v>359</v>
      </c>
      <c r="D81" s="1842">
        <f>IF(EBF&gt;0,(deltaThetahmax+Thetai-D$70)*D$69*E4beheizt*U_E4*0.0864/EBF,0)</f>
        <v>13.428158400000001</v>
      </c>
      <c r="E81" s="303">
        <f t="shared" ref="E81:O81" si="29">IF(EBF&gt;0,(Thetai-E$70)*E$69*E4beheizt*U_E4*0.0864/EBF,0)</f>
        <v>10.472716800000002</v>
      </c>
      <c r="F81" s="303">
        <f t="shared" si="29"/>
        <v>9.6623280000000005</v>
      </c>
      <c r="G81" s="303">
        <f t="shared" si="29"/>
        <v>7.9600320000000027</v>
      </c>
      <c r="H81" s="303">
        <f t="shared" si="29"/>
        <v>5.7478464000000002</v>
      </c>
      <c r="I81" s="303">
        <f t="shared" si="29"/>
        <v>4.2197760000000004</v>
      </c>
      <c r="J81" s="303">
        <f t="shared" si="29"/>
        <v>3.270326400000001</v>
      </c>
      <c r="K81" s="303">
        <f t="shared" si="29"/>
        <v>3.270326400000001</v>
      </c>
      <c r="L81" s="303">
        <f t="shared" si="29"/>
        <v>5.2747200000000012</v>
      </c>
      <c r="M81" s="303">
        <f t="shared" si="29"/>
        <v>7.4821104000000007</v>
      </c>
      <c r="N81" s="303">
        <f t="shared" si="29"/>
        <v>9.9740160000000024</v>
      </c>
      <c r="O81" s="1848">
        <f t="shared" si="29"/>
        <v>11.4956928</v>
      </c>
      <c r="P81" s="1842">
        <f t="shared" si="27"/>
        <v>92.258049600000021</v>
      </c>
      <c r="Q81" s="1840" t="s">
        <v>359</v>
      </c>
    </row>
    <row r="82" spans="2:17">
      <c r="B82" s="1843" t="s">
        <v>378</v>
      </c>
      <c r="C82" s="1840" t="s">
        <v>359</v>
      </c>
      <c r="D82" s="1842">
        <f>IF(EBF&gt;0,(Thetai+deltaThetahmax-D$70)*D$69*BodenErdeF*U_Boden*bGF*0.0864/EBF,0)</f>
        <v>0</v>
      </c>
      <c r="E82" s="303">
        <f t="shared" ref="E82:O82" si="30">IF(EBF&gt;0,(Thetai+deltaThetahmax-E$70)*E$69*BodenErdeF*U_Boden*bGF*0.0864/EBF,0)</f>
        <v>0</v>
      </c>
      <c r="F82" s="303">
        <f t="shared" si="30"/>
        <v>0</v>
      </c>
      <c r="G82" s="303">
        <f t="shared" si="30"/>
        <v>0</v>
      </c>
      <c r="H82" s="303">
        <f t="shared" si="30"/>
        <v>0</v>
      </c>
      <c r="I82" s="303">
        <f t="shared" si="30"/>
        <v>0</v>
      </c>
      <c r="J82" s="303">
        <f t="shared" si="30"/>
        <v>0</v>
      </c>
      <c r="K82" s="303">
        <f t="shared" si="30"/>
        <v>0</v>
      </c>
      <c r="L82" s="303">
        <f t="shared" si="30"/>
        <v>0</v>
      </c>
      <c r="M82" s="303">
        <f t="shared" si="30"/>
        <v>0</v>
      </c>
      <c r="N82" s="303">
        <f t="shared" si="30"/>
        <v>0</v>
      </c>
      <c r="O82" s="1848">
        <f t="shared" si="30"/>
        <v>0</v>
      </c>
      <c r="P82" s="1842">
        <f t="shared" si="27"/>
        <v>0</v>
      </c>
      <c r="Q82" s="1840" t="s">
        <v>359</v>
      </c>
    </row>
    <row r="83" spans="2:17">
      <c r="B83" s="1844" t="s">
        <v>390</v>
      </c>
      <c r="C83" s="1840" t="s">
        <v>359</v>
      </c>
      <c r="D83" s="1842">
        <f>(IF(EBF&gt;0,(Thetai+deltaThetahmax-D$70)*D$69*D65*E65*0.0864/EBF,0))*0</f>
        <v>0</v>
      </c>
      <c r="E83" s="303">
        <f>IF(EBF&gt;0,(Thetai+deltaThetahmax-E$70)*E$69*D65*U_gedaemmteDecken*0.0864/EBF,0)</f>
        <v>0</v>
      </c>
      <c r="F83" s="303">
        <f>IF(EBF&gt;0,(Thetai+deltaThetahmax-F$70)*F$69*D65*U_gedaemmteDecken*0.0864/EBF,0)</f>
        <v>0</v>
      </c>
      <c r="G83" s="303">
        <f>IF(EBF&gt;0,(Thetai+deltaThetahmax-G$70)*G$69*D65*U_gedaemmteDecken*0.0864/EBF,0)</f>
        <v>0</v>
      </c>
      <c r="H83" s="303">
        <f>IF(EBF&gt;0,(Thetai+deltaThetahmax-H$70)*H$69*D65*U_gedaemmteDecken*0.0864/EBF,0)</f>
        <v>0</v>
      </c>
      <c r="I83" s="303">
        <f>IF(EBF&gt;0,(Thetai+deltaThetahmax-I$70)*I$69*D65*U_gedaemmteDecken*0.0864/EBF,0)</f>
        <v>0</v>
      </c>
      <c r="J83" s="303">
        <f>IF(EBF&gt;0,(Thetai+deltaThetahmax-J$70)*J$69*D65*U_gedaemmteDecken*0.0864/EBF,0)</f>
        <v>0</v>
      </c>
      <c r="K83" s="303">
        <f>IF(EBF&gt;0,(Thetai+deltaThetahmax-K$70)*K$69*D65*U_gedaemmteDecken*0.0864/EBF,0)</f>
        <v>0</v>
      </c>
      <c r="L83" s="303">
        <f>IF(EBF&gt;0,(Thetai+deltaThetahmax-L$70)*L$69*D65*U_gedaemmteDecken*0.0864/EBF,0)</f>
        <v>0</v>
      </c>
      <c r="M83" s="303">
        <f>IF(EBF&gt;0,(Thetai+deltaThetahmax-M$70)*M$69*D65*U_gedaemmteDecken*0.0864/EBF,0)</f>
        <v>0</v>
      </c>
      <c r="N83" s="303">
        <f>IF(EBF&gt;0,(Thetai+deltaThetahmax-N$70)*N$69*D65*U_gedaemmteDecken*0.0864/EBF,0)</f>
        <v>0</v>
      </c>
      <c r="O83" s="1848">
        <f>IF(EBF&gt;0,(Thetai+deltaThetahmax-O$70)*O$69*D65*U_gedaemmteDecken*0.0864/EBF,0)</f>
        <v>0</v>
      </c>
      <c r="P83" s="1842">
        <f t="shared" si="27"/>
        <v>0</v>
      </c>
      <c r="Q83" s="1840" t="s">
        <v>359</v>
      </c>
    </row>
    <row r="84" spans="2:17">
      <c r="B84" s="1843" t="s">
        <v>391</v>
      </c>
      <c r="C84" s="1840" t="s">
        <v>359</v>
      </c>
      <c r="D84" s="1842">
        <f>IF(EBF&gt;0,(Thetai-D$70)*D$69*D16*U_E5*0.0864/EBF,0)</f>
        <v>15.503209411764709</v>
      </c>
      <c r="E84" s="303">
        <f>IF(EBF&gt;0,(Thetai-E$70)*E$69*D16*U_E5*0.0864/EBF,0)</f>
        <v>13.319830588235295</v>
      </c>
      <c r="F84" s="303">
        <f>IF(EBF&gt;0,(Thetai-F$70)*F$69*D16*U_E5*0.0864/EBF,0)</f>
        <v>12.289129411764709</v>
      </c>
      <c r="G84" s="303">
        <f>IF(EBF&gt;0,(Thetai-G$70)*G$69*D16*U_E5*0.0864/EBF,0)</f>
        <v>10.124047058823532</v>
      </c>
      <c r="H84" s="303">
        <f>IF(EBF&gt;0,(Thetai-H$70)*H$69*D16*U_E5*0.0864/EBF,0)</f>
        <v>7.3104564705882353</v>
      </c>
      <c r="I84" s="303">
        <f>IF(EBF&gt;0,(Thetai-I$70)*I$69*D16*U_E5*0.0864/EBF,0)</f>
        <v>5.3669647058823537</v>
      </c>
      <c r="J84" s="303">
        <f>IF(EBF&gt;0,(Thetai-J$70)*J$69*D16*U_E5*0.0864/EBF,0)</f>
        <v>4.1593976470588254</v>
      </c>
      <c r="K84" s="303">
        <f>IF(EBF&gt;0,(Thetai-K$70)*K$69*D16*U_E5*0.0864/EBF,0)</f>
        <v>4.1593976470588254</v>
      </c>
      <c r="L84" s="303">
        <f>IF(EBF&gt;0,(Thetai-L$70)*L$69*D16*U_E5*0.0864/EBF,0)</f>
        <v>6.708705882352942</v>
      </c>
      <c r="M84" s="303">
        <f>IF(EBF&gt;0,(Thetai-M$70)*M$69*D16*U_E5*0.0864/EBF,0)</f>
        <v>9.5161976470588225</v>
      </c>
      <c r="N84" s="303">
        <f>IF(EBF&gt;0,(Thetai-N$70)*N$69*D16*U_E5*0.0864/EBF,0)</f>
        <v>12.685552941176471</v>
      </c>
      <c r="O84" s="1848">
        <f>IF(EBF&gt;0,(Thetai-O$70)*O$69*D16*U_E5*0.0864/EBF,0)</f>
        <v>14.620912941176471</v>
      </c>
      <c r="P84" s="1842">
        <f t="shared" si="27"/>
        <v>115.76380235294118</v>
      </c>
      <c r="Q84" s="1840" t="s">
        <v>359</v>
      </c>
    </row>
    <row r="85" spans="2:17">
      <c r="B85" s="1845" t="s">
        <v>392</v>
      </c>
      <c r="C85" s="1840" t="s">
        <v>359</v>
      </c>
      <c r="D85" s="1842">
        <f>(1*D$69*(Thetai-D$70)*BodenUnb*E64*$D$56*0.0864/EBF)*0</f>
        <v>0</v>
      </c>
      <c r="E85" s="303">
        <f t="shared" ref="E85:O85" si="31">(1*E$69*(Thetai-E$70)*BodenUnb*U_Boden*$D$56*0.0864/EBF)*0</f>
        <v>0</v>
      </c>
      <c r="F85" s="303">
        <f t="shared" si="31"/>
        <v>0</v>
      </c>
      <c r="G85" s="303">
        <f t="shared" si="31"/>
        <v>0</v>
      </c>
      <c r="H85" s="303">
        <f t="shared" si="31"/>
        <v>0</v>
      </c>
      <c r="I85" s="303">
        <f t="shared" si="31"/>
        <v>0</v>
      </c>
      <c r="J85" s="303">
        <f t="shared" si="31"/>
        <v>0</v>
      </c>
      <c r="K85" s="303">
        <f t="shared" si="31"/>
        <v>0</v>
      </c>
      <c r="L85" s="303">
        <f t="shared" si="31"/>
        <v>0</v>
      </c>
      <c r="M85" s="303">
        <f t="shared" si="31"/>
        <v>0</v>
      </c>
      <c r="N85" s="303">
        <f t="shared" si="31"/>
        <v>0</v>
      </c>
      <c r="O85" s="1848">
        <f t="shared" si="31"/>
        <v>0</v>
      </c>
      <c r="P85" s="1842">
        <f t="shared" si="27"/>
        <v>0</v>
      </c>
      <c r="Q85" s="1840" t="s">
        <v>359</v>
      </c>
    </row>
    <row r="86" spans="2:17">
      <c r="B86" s="1846" t="s">
        <v>316</v>
      </c>
      <c r="C86" s="1871" t="s">
        <v>359</v>
      </c>
      <c r="D86" s="1841">
        <f t="shared" ref="D86:O86" si="32">SUM(D79:D85)*(1+WBZuschlag)</f>
        <v>31.824504592941182</v>
      </c>
      <c r="E86" s="215">
        <f t="shared" si="32"/>
        <v>26.171802127058832</v>
      </c>
      <c r="F86" s="215">
        <f t="shared" si="32"/>
        <v>24.146603152941179</v>
      </c>
      <c r="G86" s="215">
        <f t="shared" si="32"/>
        <v>19.892486964705888</v>
      </c>
      <c r="H86" s="215">
        <f t="shared" si="32"/>
        <v>14.364133157647061</v>
      </c>
      <c r="I86" s="215">
        <f t="shared" si="32"/>
        <v>10.54541477647059</v>
      </c>
      <c r="J86" s="215">
        <f t="shared" si="32"/>
        <v>8.1726964517647094</v>
      </c>
      <c r="K86" s="215">
        <f t="shared" si="32"/>
        <v>8.1726964517647094</v>
      </c>
      <c r="L86" s="215">
        <f t="shared" si="32"/>
        <v>13.181768470588239</v>
      </c>
      <c r="M86" s="215">
        <f t="shared" si="32"/>
        <v>18.698138851764707</v>
      </c>
      <c r="N86" s="215">
        <f t="shared" si="32"/>
        <v>24.925525835294124</v>
      </c>
      <c r="O86" s="1849">
        <f t="shared" si="32"/>
        <v>28.728266315294121</v>
      </c>
      <c r="P86" s="1841">
        <f t="shared" si="27"/>
        <v>228.82403714823536</v>
      </c>
      <c r="Q86" s="1840" t="s">
        <v>359</v>
      </c>
    </row>
    <row r="87" spans="2:17">
      <c r="B87" s="1846" t="s">
        <v>393</v>
      </c>
      <c r="C87" s="1871"/>
      <c r="D87" s="1853"/>
      <c r="E87" s="238"/>
      <c r="F87" s="238"/>
      <c r="G87" s="238"/>
      <c r="H87" s="238"/>
      <c r="I87" s="238"/>
      <c r="J87" s="238"/>
      <c r="K87" s="238"/>
      <c r="L87" s="238"/>
      <c r="M87" s="238"/>
      <c r="N87" s="238"/>
      <c r="O87" s="1854"/>
      <c r="P87" s="1841"/>
      <c r="Q87" s="1840"/>
    </row>
    <row r="88" spans="2:17">
      <c r="B88" s="1847" t="s">
        <v>320</v>
      </c>
      <c r="C88" s="1871" t="s">
        <v>359</v>
      </c>
      <c r="D88" s="1841">
        <f t="shared" ref="D88:O88" si="33">IF(D86=0,0,(Thetai-D$70)*VStandard*D$69*(1220-0.14*HueM)*0.000024)</f>
        <v>14.632988428799999</v>
      </c>
      <c r="E88" s="215">
        <f t="shared" si="33"/>
        <v>12.572166297600001</v>
      </c>
      <c r="F88" s="215">
        <f t="shared" si="33"/>
        <v>11.599320096000001</v>
      </c>
      <c r="G88" s="215">
        <f t="shared" si="33"/>
        <v>9.5557674240000026</v>
      </c>
      <c r="H88" s="215">
        <f t="shared" si="33"/>
        <v>6.9001083647999994</v>
      </c>
      <c r="I88" s="215">
        <f t="shared" si="33"/>
        <v>5.0657080320000007</v>
      </c>
      <c r="J88" s="215">
        <f t="shared" si="33"/>
        <v>3.925923724800001</v>
      </c>
      <c r="K88" s="215">
        <f t="shared" si="33"/>
        <v>3.925923724800001</v>
      </c>
      <c r="L88" s="215">
        <f t="shared" si="33"/>
        <v>6.3321350399999989</v>
      </c>
      <c r="M88" s="215">
        <f t="shared" si="33"/>
        <v>8.9820376127999992</v>
      </c>
      <c r="N88" s="215">
        <f t="shared" si="33"/>
        <v>11.973491712000001</v>
      </c>
      <c r="O88" s="1849">
        <f t="shared" si="33"/>
        <v>13.800216729599999</v>
      </c>
      <c r="P88" s="1841">
        <f>SUM(D88:O88)</f>
        <v>109.2657871872</v>
      </c>
      <c r="Q88" s="1840" t="s">
        <v>359</v>
      </c>
    </row>
    <row r="89" spans="2:17">
      <c r="B89" s="1846" t="s">
        <v>394</v>
      </c>
      <c r="C89" s="1871"/>
      <c r="D89" s="1853"/>
      <c r="E89" s="238"/>
      <c r="F89" s="238"/>
      <c r="G89" s="238"/>
      <c r="H89" s="238"/>
      <c r="I89" s="238"/>
      <c r="J89" s="238"/>
      <c r="K89" s="238"/>
      <c r="L89" s="238"/>
      <c r="M89" s="238"/>
      <c r="N89" s="238"/>
      <c r="O89" s="1854"/>
      <c r="P89" s="1841"/>
      <c r="Q89" s="1840"/>
    </row>
    <row r="90" spans="2:17">
      <c r="B90" s="1847" t="s">
        <v>395</v>
      </c>
      <c r="C90" s="1871" t="s">
        <v>359</v>
      </c>
      <c r="D90" s="1841">
        <f t="shared" ref="D90:O90" si="34">D88+D86</f>
        <v>46.457493021741179</v>
      </c>
      <c r="E90" s="215">
        <f t="shared" si="34"/>
        <v>38.743968424658831</v>
      </c>
      <c r="F90" s="215">
        <f t="shared" si="34"/>
        <v>35.745923248941182</v>
      </c>
      <c r="G90" s="215">
        <f t="shared" si="34"/>
        <v>29.448254388705891</v>
      </c>
      <c r="H90" s="215">
        <f t="shared" si="34"/>
        <v>21.264241522447058</v>
      </c>
      <c r="I90" s="215">
        <f t="shared" si="34"/>
        <v>15.61112280847059</v>
      </c>
      <c r="J90" s="215">
        <f t="shared" si="34"/>
        <v>12.09862017656471</v>
      </c>
      <c r="K90" s="215">
        <f t="shared" si="34"/>
        <v>12.09862017656471</v>
      </c>
      <c r="L90" s="215">
        <f t="shared" si="34"/>
        <v>19.513903510588236</v>
      </c>
      <c r="M90" s="215">
        <f t="shared" si="34"/>
        <v>27.680176464564706</v>
      </c>
      <c r="N90" s="215">
        <f t="shared" si="34"/>
        <v>36.899017547294122</v>
      </c>
      <c r="O90" s="1849">
        <f t="shared" si="34"/>
        <v>42.528483044894116</v>
      </c>
      <c r="P90" s="1841">
        <f>SUM(D90:O90)</f>
        <v>338.08982433543531</v>
      </c>
      <c r="Q90" s="1840" t="s">
        <v>359</v>
      </c>
    </row>
    <row r="91" spans="2:17">
      <c r="B91" s="1846" t="s">
        <v>396</v>
      </c>
      <c r="C91" s="1871"/>
      <c r="D91" s="1853"/>
      <c r="E91" s="238" t="s">
        <v>193</v>
      </c>
      <c r="F91" s="238"/>
      <c r="G91" s="238"/>
      <c r="H91" s="238"/>
      <c r="I91" s="238"/>
      <c r="J91" s="238"/>
      <c r="K91" s="238"/>
      <c r="L91" s="238"/>
      <c r="M91" s="238"/>
      <c r="N91" s="238"/>
      <c r="O91" s="1854"/>
      <c r="P91" s="1841"/>
      <c r="Q91" s="1840"/>
    </row>
    <row r="92" spans="2:17">
      <c r="B92" s="1847" t="s">
        <v>397</v>
      </c>
      <c r="C92" s="1871" t="s">
        <v>359</v>
      </c>
      <c r="D92" s="1841">
        <f t="shared" ref="D92:O92" si="35">QE*fE*D$69/365</f>
        <v>7.3748872602739741</v>
      </c>
      <c r="E92" s="215">
        <f t="shared" si="35"/>
        <v>6.6611884931506857</v>
      </c>
      <c r="F92" s="215">
        <f t="shared" si="35"/>
        <v>7.3748872602739741</v>
      </c>
      <c r="G92" s="215">
        <f t="shared" si="35"/>
        <v>7.1369876712328768</v>
      </c>
      <c r="H92" s="215">
        <f t="shared" si="35"/>
        <v>7.3748872602739741</v>
      </c>
      <c r="I92" s="215">
        <f t="shared" si="35"/>
        <v>7.1369876712328768</v>
      </c>
      <c r="J92" s="215">
        <f t="shared" si="35"/>
        <v>7.3748872602739741</v>
      </c>
      <c r="K92" s="215">
        <f t="shared" si="35"/>
        <v>7.3748872602739741</v>
      </c>
      <c r="L92" s="215">
        <f t="shared" si="35"/>
        <v>7.1369876712328768</v>
      </c>
      <c r="M92" s="215">
        <f t="shared" si="35"/>
        <v>7.3748872602739741</v>
      </c>
      <c r="N92" s="215">
        <f t="shared" si="35"/>
        <v>7.1369876712328768</v>
      </c>
      <c r="O92" s="1849">
        <f t="shared" si="35"/>
        <v>7.3748872602739741</v>
      </c>
      <c r="P92" s="1841">
        <f>SUM(D92:O92)</f>
        <v>86.83335000000001</v>
      </c>
      <c r="Q92" s="1840" t="s">
        <v>359</v>
      </c>
    </row>
    <row r="93" spans="2:17">
      <c r="B93" s="1847" t="s">
        <v>399</v>
      </c>
      <c r="C93" s="1871" t="s">
        <v>359</v>
      </c>
      <c r="D93" s="1841">
        <f t="shared" ref="D93:O93" si="36">$D$40*D$69/365</f>
        <v>2.9998080000000007</v>
      </c>
      <c r="E93" s="215">
        <f t="shared" si="36"/>
        <v>2.7095040000000008</v>
      </c>
      <c r="F93" s="215">
        <f t="shared" si="36"/>
        <v>2.9998080000000007</v>
      </c>
      <c r="G93" s="215">
        <f t="shared" si="36"/>
        <v>2.9030400000000007</v>
      </c>
      <c r="H93" s="215">
        <f t="shared" si="36"/>
        <v>2.9998080000000007</v>
      </c>
      <c r="I93" s="215">
        <f t="shared" si="36"/>
        <v>2.9030400000000007</v>
      </c>
      <c r="J93" s="215">
        <f t="shared" si="36"/>
        <v>2.9998080000000007</v>
      </c>
      <c r="K93" s="215">
        <f t="shared" si="36"/>
        <v>2.9998080000000007</v>
      </c>
      <c r="L93" s="215">
        <f t="shared" si="36"/>
        <v>2.9030400000000007</v>
      </c>
      <c r="M93" s="215">
        <f t="shared" si="36"/>
        <v>2.9998080000000007</v>
      </c>
      <c r="N93" s="215">
        <f t="shared" si="36"/>
        <v>2.9030400000000007</v>
      </c>
      <c r="O93" s="1849">
        <f t="shared" si="36"/>
        <v>2.9998080000000007</v>
      </c>
      <c r="P93" s="1841">
        <f>SUM(D93:O93)</f>
        <v>35.320320000000009</v>
      </c>
      <c r="Q93" s="1840" t="s">
        <v>359</v>
      </c>
    </row>
    <row r="94" spans="2:17">
      <c r="B94" s="1847" t="s">
        <v>400</v>
      </c>
      <c r="C94" s="1871" t="s">
        <v>359</v>
      </c>
      <c r="D94" s="1841">
        <f t="shared" ref="D94:O94" si="37">D93+D92</f>
        <v>10.374695260273974</v>
      </c>
      <c r="E94" s="215">
        <f t="shared" si="37"/>
        <v>9.3706924931506865</v>
      </c>
      <c r="F94" s="215">
        <f t="shared" si="37"/>
        <v>10.374695260273974</v>
      </c>
      <c r="G94" s="215">
        <f t="shared" si="37"/>
        <v>10.040027671232878</v>
      </c>
      <c r="H94" s="215">
        <f t="shared" si="37"/>
        <v>10.374695260273974</v>
      </c>
      <c r="I94" s="215">
        <f t="shared" si="37"/>
        <v>10.040027671232878</v>
      </c>
      <c r="J94" s="215">
        <f t="shared" si="37"/>
        <v>10.374695260273974</v>
      </c>
      <c r="K94" s="215">
        <f t="shared" si="37"/>
        <v>10.374695260273974</v>
      </c>
      <c r="L94" s="215">
        <f t="shared" si="37"/>
        <v>10.040027671232878</v>
      </c>
      <c r="M94" s="215">
        <f t="shared" si="37"/>
        <v>10.374695260273974</v>
      </c>
      <c r="N94" s="215">
        <f t="shared" si="37"/>
        <v>10.040027671232878</v>
      </c>
      <c r="O94" s="1849">
        <f t="shared" si="37"/>
        <v>10.374695260273974</v>
      </c>
      <c r="P94" s="1841">
        <f>SUM(D94:O94)</f>
        <v>122.15367000000001</v>
      </c>
      <c r="Q94" s="1840" t="s">
        <v>359</v>
      </c>
    </row>
    <row r="95" spans="2:17">
      <c r="B95" s="1846" t="s">
        <v>401</v>
      </c>
      <c r="C95" s="1871" t="s">
        <v>359</v>
      </c>
      <c r="D95" s="1841">
        <f>IF(EBF&gt;0,($D$19*D$72*$F$19+$D$18*D$73*$F$18+$D$20*D$74*$F$20+$D$17*D$75*$F$17+$D$21*D$71*$F$21)*0.9*$D30*FF/EBF,0)</f>
        <v>1.7788235294117651</v>
      </c>
      <c r="E95" s="215">
        <f t="shared" ref="E95:O95" si="38">IF(EBF&gt;0,($D$19*E$72*$F$19+$D$18*E$73*$F$18+$D$20*E$74*$F$20+$D$17*E$75*$F$17+$D$21*E$71*$F$21)*0.9*$D30*FF/EBF,0)</f>
        <v>2.7349411764705893</v>
      </c>
      <c r="F95" s="215">
        <f t="shared" si="38"/>
        <v>4.4025882352941181</v>
      </c>
      <c r="G95" s="215">
        <f t="shared" si="38"/>
        <v>5.1363529411764715</v>
      </c>
      <c r="H95" s="215">
        <f t="shared" si="38"/>
        <v>6.3815294117647072</v>
      </c>
      <c r="I95" s="215">
        <f t="shared" si="38"/>
        <v>6.7372941176470604</v>
      </c>
      <c r="J95" s="215">
        <f t="shared" si="38"/>
        <v>7.2709411764705907</v>
      </c>
      <c r="K95" s="215">
        <f t="shared" si="38"/>
        <v>6.5594117647058825</v>
      </c>
      <c r="L95" s="215">
        <f t="shared" si="38"/>
        <v>4.8472941176470599</v>
      </c>
      <c r="M95" s="215">
        <f t="shared" si="38"/>
        <v>3.1574117647058833</v>
      </c>
      <c r="N95" s="215">
        <f t="shared" si="38"/>
        <v>1.6676470588235293</v>
      </c>
      <c r="O95" s="1849">
        <f t="shared" si="38"/>
        <v>1.3118823529411767</v>
      </c>
      <c r="P95" s="1841">
        <f>SUM(D95:O95)</f>
        <v>51.986117647058833</v>
      </c>
      <c r="Q95" s="1840" t="s">
        <v>359</v>
      </c>
    </row>
    <row r="96" spans="2:17" ht="13.5" customHeight="1">
      <c r="B96" s="1847" t="s">
        <v>402</v>
      </c>
      <c r="C96" s="1871" t="s">
        <v>359</v>
      </c>
      <c r="D96" s="1841">
        <f t="shared" ref="D96:O96" si="39">D95+D94</f>
        <v>12.153518789685739</v>
      </c>
      <c r="E96" s="215">
        <f t="shared" si="39"/>
        <v>12.105633669621277</v>
      </c>
      <c r="F96" s="215">
        <f t="shared" si="39"/>
        <v>14.777283495568092</v>
      </c>
      <c r="G96" s="215">
        <f t="shared" si="39"/>
        <v>15.17638061240935</v>
      </c>
      <c r="H96" s="215">
        <f t="shared" si="39"/>
        <v>16.75622467203868</v>
      </c>
      <c r="I96" s="215">
        <f t="shared" si="39"/>
        <v>16.777321788879938</v>
      </c>
      <c r="J96" s="215">
        <f t="shared" si="39"/>
        <v>17.645636436744564</v>
      </c>
      <c r="K96" s="215">
        <f t="shared" si="39"/>
        <v>16.934107024979856</v>
      </c>
      <c r="L96" s="215">
        <f t="shared" si="39"/>
        <v>14.887321788879937</v>
      </c>
      <c r="M96" s="215">
        <f t="shared" si="39"/>
        <v>13.532107024979858</v>
      </c>
      <c r="N96" s="215">
        <f t="shared" si="39"/>
        <v>11.707674730056407</v>
      </c>
      <c r="O96" s="1849">
        <f t="shared" si="39"/>
        <v>11.686577613215151</v>
      </c>
      <c r="P96" s="1841">
        <f>SUM(D96:O96)</f>
        <v>174.13978764705885</v>
      </c>
      <c r="Q96" s="1840" t="s">
        <v>359</v>
      </c>
    </row>
    <row r="97" spans="2:36">
      <c r="B97" s="1847" t="s">
        <v>411</v>
      </c>
      <c r="C97" s="1871"/>
      <c r="D97" s="1841">
        <f t="shared" ref="D97:O97" si="40">IF(D90&gt;0,D96/D90,0)</f>
        <v>0.2616051362047912</v>
      </c>
      <c r="E97" s="215">
        <f t="shared" si="40"/>
        <v>0.31245208381691159</v>
      </c>
      <c r="F97" s="215">
        <f t="shared" si="40"/>
        <v>0.41339772909644473</v>
      </c>
      <c r="G97" s="215">
        <f t="shared" si="40"/>
        <v>0.51535756286558887</v>
      </c>
      <c r="H97" s="215">
        <f t="shared" si="40"/>
        <v>0.78800011062470277</v>
      </c>
      <c r="I97" s="215">
        <f t="shared" si="40"/>
        <v>1.0747030815603198</v>
      </c>
      <c r="J97" s="215">
        <f t="shared" si="40"/>
        <v>1.4584833790323086</v>
      </c>
      <c r="K97" s="215">
        <f t="shared" si="40"/>
        <v>1.3996725889272554</v>
      </c>
      <c r="L97" s="215">
        <f t="shared" si="40"/>
        <v>0.76290844529399682</v>
      </c>
      <c r="M97" s="215">
        <f t="shared" si="40"/>
        <v>0.48887358222962335</v>
      </c>
      <c r="N97" s="215">
        <f t="shared" si="40"/>
        <v>0.31728960574764553</v>
      </c>
      <c r="O97" s="1849">
        <f t="shared" si="40"/>
        <v>0.27479413269639813</v>
      </c>
      <c r="P97" s="1841" t="s">
        <v>56</v>
      </c>
      <c r="Q97" s="1840"/>
    </row>
    <row r="98" spans="2:36">
      <c r="B98" s="1846" t="s">
        <v>412</v>
      </c>
      <c r="C98" s="1871"/>
      <c r="D98" s="1841">
        <f t="shared" ref="D98:O98" si="41">IF(D90&gt;0,CEBF*EBF*1000000/(($D$22*U_DAFbeheizt+$D$14*U_E3*bGW+E4beheizt*U_E4+BodenErdeF*U_Boden*bGF+$D$16*U_E5)*3600 + $D$34*EBF*(1220-0.14*HueM)),0)</f>
        <v>186.80508964507641</v>
      </c>
      <c r="E98" s="215">
        <f t="shared" si="41"/>
        <v>186.80508964507641</v>
      </c>
      <c r="F98" s="215">
        <f t="shared" si="41"/>
        <v>186.80508964507641</v>
      </c>
      <c r="G98" s="215">
        <f t="shared" si="41"/>
        <v>186.80508964507641</v>
      </c>
      <c r="H98" s="215">
        <f t="shared" si="41"/>
        <v>186.80508964507641</v>
      </c>
      <c r="I98" s="215">
        <f t="shared" si="41"/>
        <v>186.80508964507641</v>
      </c>
      <c r="J98" s="215">
        <f t="shared" si="41"/>
        <v>186.80508964507641</v>
      </c>
      <c r="K98" s="215">
        <f t="shared" si="41"/>
        <v>186.80508964507641</v>
      </c>
      <c r="L98" s="215">
        <f t="shared" si="41"/>
        <v>186.80508964507641</v>
      </c>
      <c r="M98" s="215">
        <f t="shared" si="41"/>
        <v>186.80508964507641</v>
      </c>
      <c r="N98" s="215">
        <f t="shared" si="41"/>
        <v>186.80508964507641</v>
      </c>
      <c r="O98" s="1849">
        <f t="shared" si="41"/>
        <v>186.80508964507641</v>
      </c>
      <c r="P98" s="1841"/>
      <c r="Q98" s="1840"/>
    </row>
    <row r="99" spans="2:36">
      <c r="B99" s="1847" t="s">
        <v>403</v>
      </c>
      <c r="C99" s="1871"/>
      <c r="D99" s="1841">
        <f t="shared" ref="D99:O99" si="42">a0+D98/tau0</f>
        <v>13.453672643005094</v>
      </c>
      <c r="E99" s="215">
        <f t="shared" si="42"/>
        <v>13.453672643005094</v>
      </c>
      <c r="F99" s="215">
        <f t="shared" si="42"/>
        <v>13.453672643005094</v>
      </c>
      <c r="G99" s="215">
        <f t="shared" si="42"/>
        <v>13.453672643005094</v>
      </c>
      <c r="H99" s="215">
        <f t="shared" si="42"/>
        <v>13.453672643005094</v>
      </c>
      <c r="I99" s="215">
        <f t="shared" si="42"/>
        <v>13.453672643005094</v>
      </c>
      <c r="J99" s="215">
        <f t="shared" si="42"/>
        <v>13.453672643005094</v>
      </c>
      <c r="K99" s="215">
        <f t="shared" si="42"/>
        <v>13.453672643005094</v>
      </c>
      <c r="L99" s="215">
        <f t="shared" si="42"/>
        <v>13.453672643005094</v>
      </c>
      <c r="M99" s="215">
        <f t="shared" si="42"/>
        <v>13.453672643005094</v>
      </c>
      <c r="N99" s="215">
        <f t="shared" si="42"/>
        <v>13.453672643005094</v>
      </c>
      <c r="O99" s="1849">
        <f t="shared" si="42"/>
        <v>13.453672643005094</v>
      </c>
      <c r="P99" s="1841"/>
      <c r="Q99" s="1840"/>
    </row>
    <row r="100" spans="2:36">
      <c r="B100" s="1847" t="s">
        <v>413</v>
      </c>
      <c r="C100" s="1871"/>
      <c r="D100" s="1855">
        <f t="shared" ref="D100:O100" si="43">IF(D97=1,D99/(D99+1),IF(D90&lt;=0,0,(1-D97^D99)/(1-D97^(D99+1))))</f>
        <v>0.99999998919829847</v>
      </c>
      <c r="E100" s="1101">
        <f t="shared" si="43"/>
        <v>0.99999989028030711</v>
      </c>
      <c r="F100" s="1101">
        <f t="shared" si="43"/>
        <v>0.99999595343239756</v>
      </c>
      <c r="G100" s="1101">
        <f t="shared" si="43"/>
        <v>0.99993509838830241</v>
      </c>
      <c r="H100" s="1101">
        <f t="shared" si="43"/>
        <v>0.99112159923661225</v>
      </c>
      <c r="I100" s="1101">
        <f t="shared" si="43"/>
        <v>0.89256613930090145</v>
      </c>
      <c r="J100" s="1101">
        <f t="shared" si="43"/>
        <v>0.68429383132524579</v>
      </c>
      <c r="K100" s="1101">
        <f t="shared" si="43"/>
        <v>0.71222211194930041</v>
      </c>
      <c r="L100" s="1101">
        <f t="shared" si="43"/>
        <v>0.99365373998302342</v>
      </c>
      <c r="M100" s="1101">
        <f t="shared" si="43"/>
        <v>0.99996634150456831</v>
      </c>
      <c r="N100" s="1101">
        <f t="shared" si="43"/>
        <v>0.99999986603643898</v>
      </c>
      <c r="O100" s="1856">
        <f t="shared" si="43"/>
        <v>0.99999997943866714</v>
      </c>
      <c r="P100" s="1855">
        <f>IF(P96&gt;0,P101/P96,0)</f>
        <v>0.92826854075083398</v>
      </c>
      <c r="Q100" s="1840"/>
    </row>
    <row r="101" spans="2:36">
      <c r="B101" s="1847" t="s">
        <v>323</v>
      </c>
      <c r="C101" s="1871" t="s">
        <v>359</v>
      </c>
      <c r="D101" s="1841">
        <f t="shared" ref="D101:O101" si="44">D96*D100</f>
        <v>12.153518658407057</v>
      </c>
      <c r="E101" s="215">
        <f t="shared" si="44"/>
        <v>12.105632341394868</v>
      </c>
      <c r="F101" s="215">
        <f t="shared" si="44"/>
        <v>14.777223698291447</v>
      </c>
      <c r="G101" s="215">
        <f t="shared" si="44"/>
        <v>15.175395640847869</v>
      </c>
      <c r="H101" s="215">
        <f t="shared" si="44"/>
        <v>16.607456194118956</v>
      </c>
      <c r="I101" s="215">
        <f t="shared" si="44"/>
        <v>14.97486933690946</v>
      </c>
      <c r="J101" s="215">
        <f t="shared" si="44"/>
        <v>12.074800163472295</v>
      </c>
      <c r="K101" s="215">
        <f t="shared" si="44"/>
        <v>12.060845469306637</v>
      </c>
      <c r="L101" s="215">
        <f t="shared" si="44"/>
        <v>14.792842973851304</v>
      </c>
      <c r="M101" s="215">
        <f t="shared" si="44"/>
        <v>13.531651554617376</v>
      </c>
      <c r="N101" s="215">
        <f t="shared" si="44"/>
        <v>11.707673161654609</v>
      </c>
      <c r="O101" s="1849">
        <f t="shared" si="44"/>
        <v>11.686577372923539</v>
      </c>
      <c r="P101" s="1841">
        <f>SUM(D101:O101)</f>
        <v>161.64848656579542</v>
      </c>
      <c r="Q101" s="1840" t="s">
        <v>359</v>
      </c>
    </row>
    <row r="102" spans="2:36">
      <c r="B102" s="1846" t="s">
        <v>404</v>
      </c>
      <c r="C102" s="1871"/>
      <c r="D102" s="1841"/>
      <c r="E102" s="215"/>
      <c r="F102" s="215"/>
      <c r="G102" s="215"/>
      <c r="H102" s="215"/>
      <c r="I102" s="215"/>
      <c r="J102" s="215"/>
      <c r="K102" s="215"/>
      <c r="L102" s="215"/>
      <c r="M102" s="215"/>
      <c r="N102" s="215"/>
      <c r="O102" s="1849"/>
      <c r="P102" s="1859"/>
      <c r="Q102" s="1840"/>
    </row>
    <row r="103" spans="2:36">
      <c r="B103" s="1872" t="s">
        <v>2251</v>
      </c>
      <c r="C103" s="1873" t="s">
        <v>359</v>
      </c>
      <c r="D103" s="1874">
        <f t="shared" ref="D103:O103" si="45">D90-D101</f>
        <v>34.30397436333412</v>
      </c>
      <c r="E103" s="1875">
        <f t="shared" si="45"/>
        <v>26.638336083263965</v>
      </c>
      <c r="F103" s="1875">
        <f t="shared" si="45"/>
        <v>20.968699550649735</v>
      </c>
      <c r="G103" s="1875">
        <f t="shared" si="45"/>
        <v>14.272858747858022</v>
      </c>
      <c r="H103" s="1875">
        <f t="shared" si="45"/>
        <v>4.6567853283281018</v>
      </c>
      <c r="I103" s="1875">
        <f t="shared" si="45"/>
        <v>0.63625347156112966</v>
      </c>
      <c r="J103" s="1875">
        <f t="shared" si="45"/>
        <v>2.3820013092414882E-2</v>
      </c>
      <c r="K103" s="1875">
        <f t="shared" si="45"/>
        <v>3.7774707258073192E-2</v>
      </c>
      <c r="L103" s="1875">
        <f t="shared" si="45"/>
        <v>4.7210605367369318</v>
      </c>
      <c r="M103" s="1875">
        <f t="shared" si="45"/>
        <v>14.14852490994733</v>
      </c>
      <c r="N103" s="1875">
        <f t="shared" si="45"/>
        <v>25.191344385639511</v>
      </c>
      <c r="O103" s="1876">
        <f t="shared" si="45"/>
        <v>30.841905671970579</v>
      </c>
      <c r="P103" s="1877">
        <f>SUM(D103:O103)</f>
        <v>176.44133776963989</v>
      </c>
      <c r="Q103" s="1878" t="s">
        <v>359</v>
      </c>
    </row>
    <row r="104" spans="2:36">
      <c r="P104" s="1291">
        <f>P103/3.6</f>
        <v>49.011482713788858</v>
      </c>
      <c r="Q104" s="270" t="s">
        <v>1658</v>
      </c>
    </row>
    <row r="106" spans="2:36" ht="15.45">
      <c r="B106" s="293" t="str">
        <f>IF(Standard="Minergie-P","Mit Wärmegewinn Elektrizität gemäss MINERGIE-P und mechanischer Lüftungsanlage.",IF(Standard="Minergie","Mit Wärmegewinn Elektrizität gemäss MINERGIE und mechanischer Lüftungsanlage.",""))</f>
        <v/>
      </c>
    </row>
    <row r="107" spans="2:36" ht="16.5" customHeight="1">
      <c r="B107" s="1862" t="s">
        <v>405</v>
      </c>
      <c r="C107" s="1863" t="s">
        <v>48</v>
      </c>
      <c r="D107" s="1864" t="s">
        <v>37</v>
      </c>
      <c r="E107" s="1865" t="s">
        <v>38</v>
      </c>
      <c r="F107" s="1865" t="s">
        <v>351</v>
      </c>
      <c r="G107" s="1865" t="s">
        <v>39</v>
      </c>
      <c r="H107" s="1865" t="s">
        <v>40</v>
      </c>
      <c r="I107" s="1865" t="s">
        <v>41</v>
      </c>
      <c r="J107" s="1865" t="s">
        <v>42</v>
      </c>
      <c r="K107" s="1865" t="s">
        <v>43</v>
      </c>
      <c r="L107" s="1865" t="s">
        <v>44</v>
      </c>
      <c r="M107" s="1865" t="s">
        <v>45</v>
      </c>
      <c r="N107" s="1865" t="s">
        <v>46</v>
      </c>
      <c r="O107" s="1866" t="s">
        <v>47</v>
      </c>
      <c r="P107" s="1867" t="s">
        <v>352</v>
      </c>
      <c r="Q107" s="1868"/>
      <c r="V107" s="1862" t="s">
        <v>405</v>
      </c>
      <c r="W107" s="1899" t="s">
        <v>48</v>
      </c>
      <c r="X107" s="1864" t="s">
        <v>37</v>
      </c>
      <c r="Y107" s="1865" t="s">
        <v>38</v>
      </c>
      <c r="Z107" s="1865" t="s">
        <v>351</v>
      </c>
      <c r="AA107" s="1865" t="s">
        <v>39</v>
      </c>
      <c r="AB107" s="1865" t="s">
        <v>40</v>
      </c>
      <c r="AC107" s="1865" t="s">
        <v>41</v>
      </c>
      <c r="AD107" s="1865" t="s">
        <v>42</v>
      </c>
      <c r="AE107" s="1865" t="s">
        <v>43</v>
      </c>
      <c r="AF107" s="1865" t="s">
        <v>44</v>
      </c>
      <c r="AG107" s="1865" t="s">
        <v>45</v>
      </c>
      <c r="AH107" s="1865" t="s">
        <v>46</v>
      </c>
      <c r="AI107" s="1866" t="s">
        <v>47</v>
      </c>
      <c r="AJ107" s="1904" t="s">
        <v>352</v>
      </c>
    </row>
    <row r="108" spans="2:36">
      <c r="B108" s="1861" t="s">
        <v>371</v>
      </c>
      <c r="C108" s="1840"/>
      <c r="D108" s="1843"/>
      <c r="O108" s="1840"/>
      <c r="P108" s="1843"/>
      <c r="Q108" s="1840"/>
      <c r="V108" s="1861" t="s">
        <v>371</v>
      </c>
      <c r="W108" s="1840"/>
      <c r="X108" s="1843"/>
      <c r="AI108" s="1840"/>
      <c r="AJ108" s="1905"/>
    </row>
    <row r="109" spans="2:36">
      <c r="B109" s="1843" t="s">
        <v>373</v>
      </c>
      <c r="C109" s="1840" t="s">
        <v>359</v>
      </c>
      <c r="D109" s="1842">
        <f t="shared" ref="D109:O109" si="46">IF(EBF&gt;0,(Thetai-D$70)*D$69*$D$22*U_DAFbeheizt*0.0864/EBF,0)</f>
        <v>0</v>
      </c>
      <c r="E109" s="303">
        <f t="shared" si="46"/>
        <v>0</v>
      </c>
      <c r="F109" s="303">
        <f t="shared" si="46"/>
        <v>0</v>
      </c>
      <c r="G109" s="303">
        <f t="shared" si="46"/>
        <v>0</v>
      </c>
      <c r="H109" s="303">
        <f t="shared" si="46"/>
        <v>0</v>
      </c>
      <c r="I109" s="303">
        <f t="shared" si="46"/>
        <v>0</v>
      </c>
      <c r="J109" s="303">
        <f t="shared" si="46"/>
        <v>0</v>
      </c>
      <c r="K109" s="303">
        <f t="shared" si="46"/>
        <v>0</v>
      </c>
      <c r="L109" s="303">
        <f t="shared" si="46"/>
        <v>0</v>
      </c>
      <c r="M109" s="303">
        <f t="shared" si="46"/>
        <v>0</v>
      </c>
      <c r="N109" s="303">
        <f t="shared" si="46"/>
        <v>0</v>
      </c>
      <c r="O109" s="1848">
        <f t="shared" si="46"/>
        <v>0</v>
      </c>
      <c r="P109" s="1842">
        <f t="shared" ref="P109:P116" si="47">SUM(D109:O109)</f>
        <v>0</v>
      </c>
      <c r="Q109" s="1840" t="s">
        <v>359</v>
      </c>
      <c r="S109" s="1689">
        <f>P109/3.6</f>
        <v>0</v>
      </c>
      <c r="T109" s="270" t="s">
        <v>1658</v>
      </c>
      <c r="V109" s="1843" t="s">
        <v>373</v>
      </c>
      <c r="W109" s="1840" t="s">
        <v>1658</v>
      </c>
      <c r="X109" s="1842">
        <f>-D109/3.6</f>
        <v>0</v>
      </c>
      <c r="Y109" s="303">
        <f t="shared" ref="Y109:Y120" si="48">-E109/3.6</f>
        <v>0</v>
      </c>
      <c r="Z109" s="303">
        <f t="shared" ref="Z109:Z120" si="49">-F109/3.6</f>
        <v>0</v>
      </c>
      <c r="AA109" s="303">
        <f t="shared" ref="AA109:AA120" si="50">-G109/3.6</f>
        <v>0</v>
      </c>
      <c r="AB109" s="303">
        <f t="shared" ref="AB109:AB120" si="51">-H109/3.6</f>
        <v>0</v>
      </c>
      <c r="AC109" s="303">
        <f t="shared" ref="AC109:AC120" si="52">-I109/3.6</f>
        <v>0</v>
      </c>
      <c r="AD109" s="303">
        <f t="shared" ref="AD109:AD120" si="53">-J109/3.6</f>
        <v>0</v>
      </c>
      <c r="AE109" s="303">
        <f t="shared" ref="AE109:AE120" si="54">-K109/3.6</f>
        <v>0</v>
      </c>
      <c r="AF109" s="303">
        <f t="shared" ref="AF109:AF120" si="55">-L109/3.6</f>
        <v>0</v>
      </c>
      <c r="AG109" s="303">
        <f t="shared" ref="AG109:AG120" si="56">-M109/3.6</f>
        <v>0</v>
      </c>
      <c r="AH109" s="303">
        <f t="shared" ref="AH109:AH120" si="57">-N109/3.6</f>
        <v>0</v>
      </c>
      <c r="AI109" s="1848">
        <f t="shared" ref="AI109:AI120" si="58">-O109/3.6</f>
        <v>0</v>
      </c>
      <c r="AJ109" s="1906">
        <f t="shared" ref="AJ109:AJ120" si="59">-P109/3.6</f>
        <v>0</v>
      </c>
    </row>
    <row r="110" spans="2:36">
      <c r="B110" s="1843" t="s">
        <v>375</v>
      </c>
      <c r="C110" s="1840" t="s">
        <v>359</v>
      </c>
      <c r="D110" s="1842">
        <v>0</v>
      </c>
      <c r="E110" s="303">
        <v>0</v>
      </c>
      <c r="F110" s="303">
        <v>0</v>
      </c>
      <c r="G110" s="303">
        <v>0</v>
      </c>
      <c r="H110" s="303">
        <v>0</v>
      </c>
      <c r="I110" s="303">
        <v>0</v>
      </c>
      <c r="J110" s="303">
        <v>0</v>
      </c>
      <c r="K110" s="303">
        <v>0</v>
      </c>
      <c r="L110" s="303">
        <v>0</v>
      </c>
      <c r="M110" s="303">
        <v>0</v>
      </c>
      <c r="N110" s="303">
        <v>0</v>
      </c>
      <c r="O110" s="1848">
        <v>0</v>
      </c>
      <c r="P110" s="1842">
        <f t="shared" si="47"/>
        <v>0</v>
      </c>
      <c r="Q110" s="1840" t="s">
        <v>359</v>
      </c>
      <c r="S110" s="1689">
        <f t="shared" ref="S110:S137" si="60">P110/3.6</f>
        <v>0</v>
      </c>
      <c r="T110" s="270" t="s">
        <v>1658</v>
      </c>
      <c r="V110" s="1843" t="s">
        <v>375</v>
      </c>
      <c r="W110" s="1840" t="s">
        <v>1658</v>
      </c>
      <c r="X110" s="1842">
        <f t="shared" ref="X110:X120" si="61">-D110/3.6</f>
        <v>0</v>
      </c>
      <c r="Y110" s="303">
        <f t="shared" si="48"/>
        <v>0</v>
      </c>
      <c r="Z110" s="303">
        <f t="shared" si="49"/>
        <v>0</v>
      </c>
      <c r="AA110" s="303">
        <f t="shared" si="50"/>
        <v>0</v>
      </c>
      <c r="AB110" s="303">
        <f t="shared" si="51"/>
        <v>0</v>
      </c>
      <c r="AC110" s="303">
        <f t="shared" si="52"/>
        <v>0</v>
      </c>
      <c r="AD110" s="303">
        <f t="shared" si="53"/>
        <v>0</v>
      </c>
      <c r="AE110" s="303">
        <f t="shared" si="54"/>
        <v>0</v>
      </c>
      <c r="AF110" s="303">
        <f t="shared" si="55"/>
        <v>0</v>
      </c>
      <c r="AG110" s="303">
        <f t="shared" si="56"/>
        <v>0</v>
      </c>
      <c r="AH110" s="303">
        <f t="shared" si="57"/>
        <v>0</v>
      </c>
      <c r="AI110" s="1848">
        <f t="shared" si="58"/>
        <v>0</v>
      </c>
      <c r="AJ110" s="1906">
        <f t="shared" si="59"/>
        <v>0</v>
      </c>
    </row>
    <row r="111" spans="2:36">
      <c r="B111" s="1843" t="s">
        <v>377</v>
      </c>
      <c r="C111" s="1840" t="s">
        <v>359</v>
      </c>
      <c r="D111" s="1841">
        <f t="shared" ref="D111:O111" si="62">IF(EBF&gt;0,(Thetai-D$70)*D$69*E4beheizt*U_E4*0.0864/EBF,0)</f>
        <v>12.189398400000002</v>
      </c>
      <c r="E111" s="215">
        <f t="shared" si="62"/>
        <v>10.472716800000002</v>
      </c>
      <c r="F111" s="215">
        <f t="shared" si="62"/>
        <v>9.6623280000000005</v>
      </c>
      <c r="G111" s="215">
        <f t="shared" si="62"/>
        <v>7.9600320000000027</v>
      </c>
      <c r="H111" s="215">
        <f t="shared" si="62"/>
        <v>5.7478464000000002</v>
      </c>
      <c r="I111" s="215">
        <f t="shared" si="62"/>
        <v>4.2197760000000004</v>
      </c>
      <c r="J111" s="215">
        <f t="shared" si="62"/>
        <v>3.270326400000001</v>
      </c>
      <c r="K111" s="215">
        <f t="shared" si="62"/>
        <v>3.270326400000001</v>
      </c>
      <c r="L111" s="215">
        <f t="shared" si="62"/>
        <v>5.2747200000000012</v>
      </c>
      <c r="M111" s="215">
        <f t="shared" si="62"/>
        <v>7.4821104000000007</v>
      </c>
      <c r="N111" s="215">
        <f t="shared" si="62"/>
        <v>9.9740160000000024</v>
      </c>
      <c r="O111" s="1849">
        <f t="shared" si="62"/>
        <v>11.4956928</v>
      </c>
      <c r="P111" s="1841">
        <f t="shared" si="47"/>
        <v>91.019289600000022</v>
      </c>
      <c r="Q111" s="1840" t="s">
        <v>359</v>
      </c>
      <c r="S111" s="1689">
        <f t="shared" si="60"/>
        <v>25.283136000000006</v>
      </c>
      <c r="T111" s="270" t="s">
        <v>1658</v>
      </c>
      <c r="V111" s="1843" t="s">
        <v>377</v>
      </c>
      <c r="W111" s="1840" t="s">
        <v>1658</v>
      </c>
      <c r="X111" s="1841">
        <f t="shared" si="61"/>
        <v>-3.3859440000000003</v>
      </c>
      <c r="Y111" s="215">
        <f t="shared" si="48"/>
        <v>-2.9090880000000006</v>
      </c>
      <c r="Z111" s="215">
        <f t="shared" si="49"/>
        <v>-2.68398</v>
      </c>
      <c r="AA111" s="215">
        <f t="shared" si="50"/>
        <v>-2.2111200000000006</v>
      </c>
      <c r="AB111" s="215">
        <f t="shared" si="51"/>
        <v>-1.596624</v>
      </c>
      <c r="AC111" s="215">
        <f t="shared" si="52"/>
        <v>-1.1721600000000001</v>
      </c>
      <c r="AD111" s="215">
        <f t="shared" si="53"/>
        <v>-0.90842400000000023</v>
      </c>
      <c r="AE111" s="215">
        <f t="shared" si="54"/>
        <v>-0.90842400000000023</v>
      </c>
      <c r="AF111" s="215">
        <f t="shared" si="55"/>
        <v>-1.4652000000000003</v>
      </c>
      <c r="AG111" s="215">
        <f t="shared" si="56"/>
        <v>-2.0783640000000001</v>
      </c>
      <c r="AH111" s="215">
        <f t="shared" si="57"/>
        <v>-2.7705600000000006</v>
      </c>
      <c r="AI111" s="1849">
        <f t="shared" si="58"/>
        <v>-3.1932480000000001</v>
      </c>
      <c r="AJ111" s="1909">
        <f t="shared" si="59"/>
        <v>-25.283136000000006</v>
      </c>
    </row>
    <row r="112" spans="2:36">
      <c r="B112" s="1843" t="s">
        <v>406</v>
      </c>
      <c r="C112" s="1840" t="s">
        <v>359</v>
      </c>
      <c r="D112" s="1841">
        <f t="shared" ref="D112:O112" si="63">IF(EBF&gt;0,(Thetai+deltaThetahmax-D$70)*D$69*BodenErdeF*U_Boden*bGF*0.0864/EBF,0)</f>
        <v>0</v>
      </c>
      <c r="E112" s="215">
        <f t="shared" si="63"/>
        <v>0</v>
      </c>
      <c r="F112" s="215">
        <f t="shared" si="63"/>
        <v>0</v>
      </c>
      <c r="G112" s="215">
        <f t="shared" si="63"/>
        <v>0</v>
      </c>
      <c r="H112" s="215">
        <f t="shared" si="63"/>
        <v>0</v>
      </c>
      <c r="I112" s="215">
        <f t="shared" si="63"/>
        <v>0</v>
      </c>
      <c r="J112" s="215">
        <f t="shared" si="63"/>
        <v>0</v>
      </c>
      <c r="K112" s="215">
        <f t="shared" si="63"/>
        <v>0</v>
      </c>
      <c r="L112" s="215">
        <f t="shared" si="63"/>
        <v>0</v>
      </c>
      <c r="M112" s="215">
        <f t="shared" si="63"/>
        <v>0</v>
      </c>
      <c r="N112" s="215">
        <f t="shared" si="63"/>
        <v>0</v>
      </c>
      <c r="O112" s="1849">
        <f t="shared" si="63"/>
        <v>0</v>
      </c>
      <c r="P112" s="1841">
        <f t="shared" si="47"/>
        <v>0</v>
      </c>
      <c r="Q112" s="1840" t="s">
        <v>359</v>
      </c>
      <c r="S112" s="1689">
        <f t="shared" si="60"/>
        <v>0</v>
      </c>
      <c r="T112" s="270" t="s">
        <v>1658</v>
      </c>
      <c r="V112" s="1843" t="s">
        <v>406</v>
      </c>
      <c r="W112" s="1840" t="s">
        <v>1658</v>
      </c>
      <c r="X112" s="1841">
        <f t="shared" si="61"/>
        <v>0</v>
      </c>
      <c r="Y112" s="215">
        <f t="shared" si="48"/>
        <v>0</v>
      </c>
      <c r="Z112" s="215">
        <f t="shared" si="49"/>
        <v>0</v>
      </c>
      <c r="AA112" s="215">
        <f t="shared" si="50"/>
        <v>0</v>
      </c>
      <c r="AB112" s="215">
        <f t="shared" si="51"/>
        <v>0</v>
      </c>
      <c r="AC112" s="215">
        <f t="shared" si="52"/>
        <v>0</v>
      </c>
      <c r="AD112" s="215">
        <f t="shared" si="53"/>
        <v>0</v>
      </c>
      <c r="AE112" s="215">
        <f t="shared" si="54"/>
        <v>0</v>
      </c>
      <c r="AF112" s="215">
        <f t="shared" si="55"/>
        <v>0</v>
      </c>
      <c r="AG112" s="215">
        <f t="shared" si="56"/>
        <v>0</v>
      </c>
      <c r="AH112" s="215">
        <f t="shared" si="57"/>
        <v>0</v>
      </c>
      <c r="AI112" s="1849">
        <f t="shared" si="58"/>
        <v>0</v>
      </c>
      <c r="AJ112" s="1909">
        <f t="shared" si="59"/>
        <v>0</v>
      </c>
    </row>
    <row r="113" spans="2:36" hidden="1">
      <c r="B113" s="1844" t="s">
        <v>407</v>
      </c>
      <c r="C113" s="1840" t="s">
        <v>359</v>
      </c>
      <c r="D113" s="1841">
        <f t="shared" ref="D113:O113" si="64">(IF(EBF&gt;0,(Thetai+deltaThetahmax-D$70)*D$69*BodenErdeF*U_gedaemmteDecken*0.0864/EBF,0))*0</f>
        <v>0</v>
      </c>
      <c r="E113" s="215">
        <f t="shared" si="64"/>
        <v>0</v>
      </c>
      <c r="F113" s="215">
        <f t="shared" si="64"/>
        <v>0</v>
      </c>
      <c r="G113" s="215">
        <f t="shared" si="64"/>
        <v>0</v>
      </c>
      <c r="H113" s="215">
        <f t="shared" si="64"/>
        <v>0</v>
      </c>
      <c r="I113" s="215">
        <f t="shared" si="64"/>
        <v>0</v>
      </c>
      <c r="J113" s="215">
        <f t="shared" si="64"/>
        <v>0</v>
      </c>
      <c r="K113" s="215">
        <f t="shared" si="64"/>
        <v>0</v>
      </c>
      <c r="L113" s="215">
        <f t="shared" si="64"/>
        <v>0</v>
      </c>
      <c r="M113" s="215">
        <f t="shared" si="64"/>
        <v>0</v>
      </c>
      <c r="N113" s="215">
        <f t="shared" si="64"/>
        <v>0</v>
      </c>
      <c r="O113" s="1849">
        <f t="shared" si="64"/>
        <v>0</v>
      </c>
      <c r="P113" s="1841">
        <f t="shared" si="47"/>
        <v>0</v>
      </c>
      <c r="Q113" s="1840" t="s">
        <v>359</v>
      </c>
      <c r="S113" s="1689">
        <f t="shared" si="60"/>
        <v>0</v>
      </c>
      <c r="T113" s="270" t="s">
        <v>1658</v>
      </c>
      <c r="V113" s="1844" t="s">
        <v>407</v>
      </c>
      <c r="W113" s="1840" t="s">
        <v>1658</v>
      </c>
      <c r="X113" s="1841">
        <f t="shared" si="61"/>
        <v>0</v>
      </c>
      <c r="Y113" s="215">
        <f t="shared" si="48"/>
        <v>0</v>
      </c>
      <c r="Z113" s="215">
        <f t="shared" si="49"/>
        <v>0</v>
      </c>
      <c r="AA113" s="215">
        <f t="shared" si="50"/>
        <v>0</v>
      </c>
      <c r="AB113" s="215">
        <f t="shared" si="51"/>
        <v>0</v>
      </c>
      <c r="AC113" s="215">
        <f t="shared" si="52"/>
        <v>0</v>
      </c>
      <c r="AD113" s="215">
        <f t="shared" si="53"/>
        <v>0</v>
      </c>
      <c r="AE113" s="215">
        <f t="shared" si="54"/>
        <v>0</v>
      </c>
      <c r="AF113" s="215">
        <f t="shared" si="55"/>
        <v>0</v>
      </c>
      <c r="AG113" s="215">
        <f t="shared" si="56"/>
        <v>0</v>
      </c>
      <c r="AH113" s="215">
        <f t="shared" si="57"/>
        <v>0</v>
      </c>
      <c r="AI113" s="1849">
        <f t="shared" si="58"/>
        <v>0</v>
      </c>
      <c r="AJ113" s="1909">
        <f t="shared" si="59"/>
        <v>0</v>
      </c>
    </row>
    <row r="114" spans="2:36">
      <c r="B114" s="1843" t="s">
        <v>391</v>
      </c>
      <c r="C114" s="1840" t="s">
        <v>359</v>
      </c>
      <c r="D114" s="1841">
        <f>IF(EBF&gt;0,(Thetai-D$70)*D$69*D16*U_E5*0.0864/EBF,0)</f>
        <v>15.503209411764709</v>
      </c>
      <c r="E114" s="215">
        <f>IF(EBF&gt;0,(Thetai-E$70)*E$69*D16*U_E5*0.0864/EBF,0)</f>
        <v>13.319830588235295</v>
      </c>
      <c r="F114" s="215">
        <f>IF(EBF&gt;0,(Thetai-F$70)*F$69*D16*U_E5*0.0864/EBF,0)</f>
        <v>12.289129411764709</v>
      </c>
      <c r="G114" s="215">
        <f>IF(EBF&gt;0,(Thetai-G$70)*G$69*D16*U_E5*0.0864/EBF,0)</f>
        <v>10.124047058823532</v>
      </c>
      <c r="H114" s="215">
        <f>IF(EBF&gt;0,(Thetai-H$70)*H$69*D16*U_E5*0.0864/EBF,0)</f>
        <v>7.3104564705882353</v>
      </c>
      <c r="I114" s="215">
        <f>IF(EBF&gt;0,(Thetai-I$70)*I$69*D16*U_E5*0.0864/EBF,0)</f>
        <v>5.3669647058823537</v>
      </c>
      <c r="J114" s="215">
        <f>IF(EBF&gt;0,(Thetai-J$70)*J$69*D16*U_E5*0.0864/EBF,0)</f>
        <v>4.1593976470588254</v>
      </c>
      <c r="K114" s="215">
        <f>IF(EBF&gt;0,(Thetai-K$70)*K$69*D16*U_E5*0.0864/EBF,0)</f>
        <v>4.1593976470588254</v>
      </c>
      <c r="L114" s="215">
        <f>IF(EBF&gt;0,(Thetai-L$70)*L$69*D16*U_E5*0.0864/EBF,0)</f>
        <v>6.708705882352942</v>
      </c>
      <c r="M114" s="215">
        <f>IF(EBF&gt;0,(Thetai-M$70)*M$69*D16*U_E5*0.0864/EBF,0)</f>
        <v>9.5161976470588225</v>
      </c>
      <c r="N114" s="215">
        <f>IF(EBF&gt;0,(Thetai-N$70)*N$69*D16*U_E5*0.0864/EBF,0)</f>
        <v>12.685552941176471</v>
      </c>
      <c r="O114" s="1849">
        <f>IF(EBF&gt;0,(Thetai-O$70)*O$69*D16*U_E5*0.0864/EBF,0)</f>
        <v>14.620912941176471</v>
      </c>
      <c r="P114" s="1841">
        <f t="shared" si="47"/>
        <v>115.76380235294118</v>
      </c>
      <c r="Q114" s="1840" t="s">
        <v>359</v>
      </c>
      <c r="S114" s="1689">
        <f t="shared" si="60"/>
        <v>32.156611764705886</v>
      </c>
      <c r="T114" s="270" t="s">
        <v>1658</v>
      </c>
      <c r="V114" s="1843" t="s">
        <v>391</v>
      </c>
      <c r="W114" s="1840" t="s">
        <v>1658</v>
      </c>
      <c r="X114" s="1841">
        <f t="shared" si="61"/>
        <v>-4.3064470588235304</v>
      </c>
      <c r="Y114" s="215">
        <f t="shared" si="48"/>
        <v>-3.6999529411764707</v>
      </c>
      <c r="Z114" s="215">
        <f t="shared" si="49"/>
        <v>-3.4136470588235301</v>
      </c>
      <c r="AA114" s="215">
        <f t="shared" si="50"/>
        <v>-2.8122352941176478</v>
      </c>
      <c r="AB114" s="215">
        <f t="shared" si="51"/>
        <v>-2.0306823529411764</v>
      </c>
      <c r="AC114" s="215">
        <f t="shared" si="52"/>
        <v>-1.4908235294117649</v>
      </c>
      <c r="AD114" s="215">
        <f t="shared" si="53"/>
        <v>-1.155388235294118</v>
      </c>
      <c r="AE114" s="215">
        <f t="shared" si="54"/>
        <v>-1.155388235294118</v>
      </c>
      <c r="AF114" s="215">
        <f t="shared" si="55"/>
        <v>-1.8635294117647061</v>
      </c>
      <c r="AG114" s="215">
        <f t="shared" si="56"/>
        <v>-2.6433882352941174</v>
      </c>
      <c r="AH114" s="215">
        <f t="shared" si="57"/>
        <v>-3.5237647058823529</v>
      </c>
      <c r="AI114" s="1849">
        <f t="shared" si="58"/>
        <v>-4.0613647058823528</v>
      </c>
      <c r="AJ114" s="1909">
        <f t="shared" si="59"/>
        <v>-32.156611764705886</v>
      </c>
    </row>
    <row r="115" spans="2:36" hidden="1">
      <c r="B115" s="1845" t="s">
        <v>408</v>
      </c>
      <c r="C115" s="1840" t="s">
        <v>359</v>
      </c>
      <c r="D115" s="1841">
        <f>1*D$69*(Thetai-D$70)*BodenUnb*E64*$D$56*0.0864/EBF</f>
        <v>0</v>
      </c>
      <c r="E115" s="215">
        <f t="shared" ref="E115:O115" si="65">1*E$69*(Thetai-E$70)*BodenUnb*U_Boden*$D$56*0.0864/EBF</f>
        <v>0</v>
      </c>
      <c r="F115" s="215">
        <f t="shared" si="65"/>
        <v>0</v>
      </c>
      <c r="G115" s="215">
        <f t="shared" si="65"/>
        <v>0</v>
      </c>
      <c r="H115" s="215">
        <f t="shared" si="65"/>
        <v>0</v>
      </c>
      <c r="I115" s="215">
        <f t="shared" si="65"/>
        <v>0</v>
      </c>
      <c r="J115" s="215">
        <f t="shared" si="65"/>
        <v>0</v>
      </c>
      <c r="K115" s="215">
        <f t="shared" si="65"/>
        <v>0</v>
      </c>
      <c r="L115" s="215">
        <f t="shared" si="65"/>
        <v>0</v>
      </c>
      <c r="M115" s="215">
        <f t="shared" si="65"/>
        <v>0</v>
      </c>
      <c r="N115" s="215">
        <f t="shared" si="65"/>
        <v>0</v>
      </c>
      <c r="O115" s="1849">
        <f t="shared" si="65"/>
        <v>0</v>
      </c>
      <c r="P115" s="1841">
        <f t="shared" si="47"/>
        <v>0</v>
      </c>
      <c r="Q115" s="1840" t="s">
        <v>359</v>
      </c>
      <c r="S115" s="1689">
        <f t="shared" si="60"/>
        <v>0</v>
      </c>
      <c r="T115" s="270" t="s">
        <v>1658</v>
      </c>
      <c r="V115" s="1845" t="s">
        <v>408</v>
      </c>
      <c r="W115" s="1840" t="s">
        <v>1658</v>
      </c>
      <c r="X115" s="1841">
        <f t="shared" si="61"/>
        <v>0</v>
      </c>
      <c r="Y115" s="215">
        <f t="shared" si="48"/>
        <v>0</v>
      </c>
      <c r="Z115" s="215">
        <f t="shared" si="49"/>
        <v>0</v>
      </c>
      <c r="AA115" s="215">
        <f t="shared" si="50"/>
        <v>0</v>
      </c>
      <c r="AB115" s="215">
        <f t="shared" si="51"/>
        <v>0</v>
      </c>
      <c r="AC115" s="215">
        <f t="shared" si="52"/>
        <v>0</v>
      </c>
      <c r="AD115" s="215">
        <f t="shared" si="53"/>
        <v>0</v>
      </c>
      <c r="AE115" s="215">
        <f t="shared" si="54"/>
        <v>0</v>
      </c>
      <c r="AF115" s="215">
        <f t="shared" si="55"/>
        <v>0</v>
      </c>
      <c r="AG115" s="215">
        <f t="shared" si="56"/>
        <v>0</v>
      </c>
      <c r="AH115" s="215">
        <f t="shared" si="57"/>
        <v>0</v>
      </c>
      <c r="AI115" s="1849">
        <f t="shared" si="58"/>
        <v>0</v>
      </c>
      <c r="AJ115" s="1909">
        <f t="shared" si="59"/>
        <v>0</v>
      </c>
    </row>
    <row r="116" spans="2:36">
      <c r="B116" s="1846" t="s">
        <v>316</v>
      </c>
      <c r="C116" s="1840" t="s">
        <v>359</v>
      </c>
      <c r="D116" s="1841">
        <f t="shared" ref="D116:O116" si="66">SUM(D109:D115)*(1+WBZuschlag)</f>
        <v>30.461868592941183</v>
      </c>
      <c r="E116" s="215">
        <f t="shared" si="66"/>
        <v>26.171802127058832</v>
      </c>
      <c r="F116" s="215">
        <f t="shared" si="66"/>
        <v>24.146603152941179</v>
      </c>
      <c r="G116" s="215">
        <f t="shared" si="66"/>
        <v>19.892486964705888</v>
      </c>
      <c r="H116" s="215">
        <f t="shared" si="66"/>
        <v>14.364133157647061</v>
      </c>
      <c r="I116" s="215">
        <f t="shared" si="66"/>
        <v>10.54541477647059</v>
      </c>
      <c r="J116" s="215">
        <f t="shared" si="66"/>
        <v>8.1726964517647094</v>
      </c>
      <c r="K116" s="215">
        <f t="shared" si="66"/>
        <v>8.1726964517647094</v>
      </c>
      <c r="L116" s="215">
        <f t="shared" si="66"/>
        <v>13.181768470588239</v>
      </c>
      <c r="M116" s="215">
        <f t="shared" si="66"/>
        <v>18.698138851764707</v>
      </c>
      <c r="N116" s="215">
        <f t="shared" si="66"/>
        <v>24.925525835294124</v>
      </c>
      <c r="O116" s="1849">
        <f t="shared" si="66"/>
        <v>28.728266315294121</v>
      </c>
      <c r="P116" s="1841">
        <f t="shared" si="47"/>
        <v>227.46140114823535</v>
      </c>
      <c r="Q116" s="1840" t="s">
        <v>359</v>
      </c>
      <c r="S116" s="1689">
        <f t="shared" si="60"/>
        <v>63.183722541176486</v>
      </c>
      <c r="T116" s="270" t="s">
        <v>1658</v>
      </c>
      <c r="V116" s="1846" t="s">
        <v>316</v>
      </c>
      <c r="W116" s="1840" t="s">
        <v>1658</v>
      </c>
      <c r="X116" s="1841">
        <f t="shared" si="61"/>
        <v>-8.461630164705884</v>
      </c>
      <c r="Y116" s="215">
        <f t="shared" si="48"/>
        <v>-7.2699450352941195</v>
      </c>
      <c r="Z116" s="215">
        <f t="shared" si="49"/>
        <v>-6.7073897647058827</v>
      </c>
      <c r="AA116" s="215">
        <f t="shared" si="50"/>
        <v>-5.5256908235294135</v>
      </c>
      <c r="AB116" s="215">
        <f t="shared" si="51"/>
        <v>-3.9900369882352944</v>
      </c>
      <c r="AC116" s="215">
        <f t="shared" si="52"/>
        <v>-2.9292818823529418</v>
      </c>
      <c r="AD116" s="215">
        <f t="shared" si="53"/>
        <v>-2.2701934588235302</v>
      </c>
      <c r="AE116" s="215">
        <f t="shared" si="54"/>
        <v>-2.2701934588235302</v>
      </c>
      <c r="AF116" s="215">
        <f t="shared" si="55"/>
        <v>-3.6616023529411774</v>
      </c>
      <c r="AG116" s="215">
        <f t="shared" si="56"/>
        <v>-5.1939274588235298</v>
      </c>
      <c r="AH116" s="215">
        <f t="shared" si="57"/>
        <v>-6.9237571764705894</v>
      </c>
      <c r="AI116" s="1849">
        <f t="shared" si="58"/>
        <v>-7.9800739764705888</v>
      </c>
      <c r="AJ116" s="1909">
        <f t="shared" si="59"/>
        <v>-63.183722541176486</v>
      </c>
    </row>
    <row r="117" spans="2:36">
      <c r="B117" s="1846" t="s">
        <v>393</v>
      </c>
      <c r="C117" s="1840"/>
      <c r="D117" s="1850"/>
      <c r="E117" s="1851"/>
      <c r="F117" s="1851"/>
      <c r="G117" s="1851"/>
      <c r="H117" s="1851"/>
      <c r="I117" s="1851"/>
      <c r="J117" s="1851"/>
      <c r="K117" s="1851"/>
      <c r="L117" s="1851"/>
      <c r="M117" s="1851"/>
      <c r="N117" s="1851"/>
      <c r="O117" s="1852"/>
      <c r="P117" s="1857"/>
      <c r="Q117" s="1858"/>
      <c r="S117" s="1689"/>
      <c r="V117" s="1846" t="s">
        <v>393</v>
      </c>
      <c r="W117" s="1840"/>
      <c r="X117" s="1850"/>
      <c r="Y117" s="1851"/>
      <c r="Z117" s="1851"/>
      <c r="AA117" s="1851"/>
      <c r="AB117" s="1851"/>
      <c r="AC117" s="1851"/>
      <c r="AD117" s="1851"/>
      <c r="AE117" s="1851"/>
      <c r="AF117" s="1851"/>
      <c r="AG117" s="1851"/>
      <c r="AH117" s="1851"/>
      <c r="AI117" s="1852"/>
      <c r="AJ117" s="1910"/>
    </row>
    <row r="118" spans="2:36">
      <c r="B118" s="1847" t="s">
        <v>320</v>
      </c>
      <c r="C118" s="1840" t="s">
        <v>359</v>
      </c>
      <c r="D118" s="1841">
        <f t="shared" ref="D118:O118" si="67">IF(D116=0,0,(Thetai-D$70)*Vth*D$69*(1220-0.14*HueM)*0.000024)</f>
        <v>7.3911523186285741</v>
      </c>
      <c r="E118" s="215">
        <f t="shared" si="67"/>
        <v>6.3502268543999998</v>
      </c>
      <c r="F118" s="215">
        <f t="shared" si="67"/>
        <v>5.8588402525714294</v>
      </c>
      <c r="G118" s="215">
        <f t="shared" si="67"/>
        <v>4.8266376274285729</v>
      </c>
      <c r="H118" s="215">
        <f t="shared" si="67"/>
        <v>3.485258816914286</v>
      </c>
      <c r="I118" s="215">
        <f t="shared" si="67"/>
        <v>2.5586994651428578</v>
      </c>
      <c r="J118" s="215">
        <f t="shared" si="67"/>
        <v>1.982992085485715</v>
      </c>
      <c r="K118" s="215">
        <f t="shared" si="67"/>
        <v>1.982992085485715</v>
      </c>
      <c r="L118" s="215">
        <f t="shared" si="67"/>
        <v>3.1983743314285724</v>
      </c>
      <c r="M118" s="215">
        <f t="shared" si="67"/>
        <v>4.5368455289142862</v>
      </c>
      <c r="N118" s="215">
        <f t="shared" si="67"/>
        <v>6.047835099428573</v>
      </c>
      <c r="O118" s="1849">
        <f t="shared" si="67"/>
        <v>6.9705176338285719</v>
      </c>
      <c r="P118" s="1841">
        <f>SUM(D118:O118)</f>
        <v>55.190372099657154</v>
      </c>
      <c r="Q118" s="1840" t="s">
        <v>359</v>
      </c>
      <c r="S118" s="1689">
        <f t="shared" si="60"/>
        <v>15.330658916571432</v>
      </c>
      <c r="T118" s="270" t="s">
        <v>1658</v>
      </c>
      <c r="V118" s="1847" t="s">
        <v>320</v>
      </c>
      <c r="W118" s="1840" t="s">
        <v>1658</v>
      </c>
      <c r="X118" s="1841">
        <f t="shared" si="61"/>
        <v>-2.0530978662857149</v>
      </c>
      <c r="Y118" s="215">
        <f t="shared" si="48"/>
        <v>-1.7639519039999998</v>
      </c>
      <c r="Z118" s="215">
        <f t="shared" si="49"/>
        <v>-1.6274556257142858</v>
      </c>
      <c r="AA118" s="215">
        <f t="shared" si="50"/>
        <v>-1.3407326742857146</v>
      </c>
      <c r="AB118" s="215">
        <f t="shared" si="51"/>
        <v>-0.9681274491428572</v>
      </c>
      <c r="AC118" s="215">
        <f t="shared" si="52"/>
        <v>-0.71074985142857161</v>
      </c>
      <c r="AD118" s="215">
        <f t="shared" si="53"/>
        <v>-0.55083113485714308</v>
      </c>
      <c r="AE118" s="215">
        <f t="shared" si="54"/>
        <v>-0.55083113485714308</v>
      </c>
      <c r="AF118" s="215">
        <f t="shared" si="55"/>
        <v>-0.88843731428571449</v>
      </c>
      <c r="AG118" s="215">
        <f t="shared" si="56"/>
        <v>-1.2602348691428573</v>
      </c>
      <c r="AH118" s="215">
        <f t="shared" si="57"/>
        <v>-1.6799541942857146</v>
      </c>
      <c r="AI118" s="1849">
        <f t="shared" si="58"/>
        <v>-1.9362548982857144</v>
      </c>
      <c r="AJ118" s="1909">
        <f t="shared" si="59"/>
        <v>-15.330658916571432</v>
      </c>
    </row>
    <row r="119" spans="2:36">
      <c r="B119" s="1846" t="s">
        <v>394</v>
      </c>
      <c r="C119" s="1840"/>
      <c r="D119" s="1853"/>
      <c r="E119" s="238"/>
      <c r="F119" s="238"/>
      <c r="G119" s="238"/>
      <c r="H119" s="238"/>
      <c r="I119" s="238"/>
      <c r="J119" s="238"/>
      <c r="K119" s="238"/>
      <c r="L119" s="238"/>
      <c r="M119" s="238"/>
      <c r="N119" s="238"/>
      <c r="O119" s="1854"/>
      <c r="P119" s="1841"/>
      <c r="Q119" s="1840"/>
      <c r="S119" s="1689"/>
      <c r="V119" s="1846" t="s">
        <v>394</v>
      </c>
      <c r="W119" s="1840"/>
      <c r="X119" s="1853"/>
      <c r="Y119" s="238"/>
      <c r="Z119" s="238"/>
      <c r="AA119" s="238"/>
      <c r="AB119" s="238"/>
      <c r="AC119" s="238"/>
      <c r="AD119" s="238"/>
      <c r="AE119" s="238"/>
      <c r="AF119" s="238"/>
      <c r="AG119" s="238"/>
      <c r="AH119" s="238"/>
      <c r="AI119" s="1854"/>
      <c r="AJ119" s="1909"/>
    </row>
    <row r="120" spans="2:36">
      <c r="B120" s="1847" t="s">
        <v>395</v>
      </c>
      <c r="C120" s="1840" t="s">
        <v>359</v>
      </c>
      <c r="D120" s="1841">
        <f>D118+D116</f>
        <v>37.853020911569757</v>
      </c>
      <c r="E120" s="215">
        <f t="shared" ref="E120:O120" si="68">E118+E116</f>
        <v>32.522028981458831</v>
      </c>
      <c r="F120" s="215">
        <f t="shared" si="68"/>
        <v>30.005443405512608</v>
      </c>
      <c r="G120" s="215">
        <f t="shared" si="68"/>
        <v>24.719124592134463</v>
      </c>
      <c r="H120" s="215">
        <f t="shared" si="68"/>
        <v>17.849391974561346</v>
      </c>
      <c r="I120" s="215">
        <f t="shared" si="68"/>
        <v>13.104114241613448</v>
      </c>
      <c r="J120" s="215">
        <f t="shared" si="68"/>
        <v>10.155688537250425</v>
      </c>
      <c r="K120" s="215">
        <f t="shared" si="68"/>
        <v>10.155688537250425</v>
      </c>
      <c r="L120" s="215">
        <f t="shared" si="68"/>
        <v>16.38014280201681</v>
      </c>
      <c r="M120" s="215">
        <f t="shared" si="68"/>
        <v>23.234984380678995</v>
      </c>
      <c r="N120" s="215">
        <f t="shared" si="68"/>
        <v>30.973360934722699</v>
      </c>
      <c r="O120" s="1849">
        <f t="shared" si="68"/>
        <v>35.698783949122692</v>
      </c>
      <c r="P120" s="1841">
        <f>SUM(D120:O120)</f>
        <v>282.65177324789255</v>
      </c>
      <c r="Q120" s="1840" t="s">
        <v>359</v>
      </c>
      <c r="S120" s="1690">
        <f t="shared" si="60"/>
        <v>78.51438145774793</v>
      </c>
      <c r="T120" s="270" t="s">
        <v>1658</v>
      </c>
      <c r="V120" s="1847" t="s">
        <v>395</v>
      </c>
      <c r="W120" s="1840" t="s">
        <v>1658</v>
      </c>
      <c r="X120" s="1841">
        <f t="shared" si="61"/>
        <v>-10.514728030991598</v>
      </c>
      <c r="Y120" s="215">
        <f t="shared" si="48"/>
        <v>-9.0338969392941202</v>
      </c>
      <c r="Z120" s="215">
        <f t="shared" si="49"/>
        <v>-8.3348453904201687</v>
      </c>
      <c r="AA120" s="215">
        <f t="shared" si="50"/>
        <v>-6.8664234978151288</v>
      </c>
      <c r="AB120" s="215">
        <f t="shared" si="51"/>
        <v>-4.9581644373781515</v>
      </c>
      <c r="AC120" s="215">
        <f t="shared" si="52"/>
        <v>-3.6400317337815133</v>
      </c>
      <c r="AD120" s="215">
        <f t="shared" si="53"/>
        <v>-2.8210245936806735</v>
      </c>
      <c r="AE120" s="215">
        <f t="shared" si="54"/>
        <v>-2.8210245936806735</v>
      </c>
      <c r="AF120" s="215">
        <f t="shared" si="55"/>
        <v>-4.5500396672268915</v>
      </c>
      <c r="AG120" s="215">
        <f t="shared" si="56"/>
        <v>-6.4541623279663876</v>
      </c>
      <c r="AH120" s="215">
        <f t="shared" si="57"/>
        <v>-8.6037113707563044</v>
      </c>
      <c r="AI120" s="1849">
        <f t="shared" si="58"/>
        <v>-9.916328874756303</v>
      </c>
      <c r="AJ120" s="1909">
        <f t="shared" si="59"/>
        <v>-78.51438145774793</v>
      </c>
    </row>
    <row r="121" spans="2:36">
      <c r="B121" s="1846" t="s">
        <v>396</v>
      </c>
      <c r="C121" s="1840"/>
      <c r="D121" s="1853"/>
      <c r="E121" s="238" t="s">
        <v>193</v>
      </c>
      <c r="F121" s="238"/>
      <c r="G121" s="238"/>
      <c r="H121" s="238"/>
      <c r="I121" s="238"/>
      <c r="J121" s="238"/>
      <c r="K121" s="238"/>
      <c r="L121" s="238"/>
      <c r="M121" s="238"/>
      <c r="N121" s="238"/>
      <c r="O121" s="1854"/>
      <c r="P121" s="1841"/>
      <c r="Q121" s="1840"/>
      <c r="S121" s="1689"/>
      <c r="V121" s="1846" t="s">
        <v>396</v>
      </c>
      <c r="W121" s="1840"/>
      <c r="X121" s="1853"/>
      <c r="Y121" s="238"/>
      <c r="Z121" s="238"/>
      <c r="AA121" s="238"/>
      <c r="AB121" s="238"/>
      <c r="AC121" s="238"/>
      <c r="AD121" s="238"/>
      <c r="AE121" s="238"/>
      <c r="AF121" s="238"/>
      <c r="AG121" s="238"/>
      <c r="AH121" s="238"/>
      <c r="AI121" s="1854"/>
      <c r="AJ121" s="1909"/>
    </row>
    <row r="122" spans="2:36">
      <c r="B122" s="1847" t="s">
        <v>397</v>
      </c>
      <c r="C122" s="1840" t="s">
        <v>359</v>
      </c>
      <c r="D122" s="1841">
        <f t="shared" ref="D122:O122" si="69">QE*fE*D$69/365</f>
        <v>7.3748872602739741</v>
      </c>
      <c r="E122" s="215">
        <f t="shared" si="69"/>
        <v>6.6611884931506857</v>
      </c>
      <c r="F122" s="215">
        <f t="shared" si="69"/>
        <v>7.3748872602739741</v>
      </c>
      <c r="G122" s="215">
        <f t="shared" si="69"/>
        <v>7.1369876712328768</v>
      </c>
      <c r="H122" s="215">
        <f t="shared" si="69"/>
        <v>7.3748872602739741</v>
      </c>
      <c r="I122" s="215">
        <f t="shared" si="69"/>
        <v>7.1369876712328768</v>
      </c>
      <c r="J122" s="215">
        <f t="shared" si="69"/>
        <v>7.3748872602739741</v>
      </c>
      <c r="K122" s="215">
        <f t="shared" si="69"/>
        <v>7.3748872602739741</v>
      </c>
      <c r="L122" s="215">
        <f t="shared" si="69"/>
        <v>7.1369876712328768</v>
      </c>
      <c r="M122" s="215">
        <f t="shared" si="69"/>
        <v>7.3748872602739741</v>
      </c>
      <c r="N122" s="215">
        <f t="shared" si="69"/>
        <v>7.1369876712328768</v>
      </c>
      <c r="O122" s="1849">
        <f t="shared" si="69"/>
        <v>7.3748872602739741</v>
      </c>
      <c r="P122" s="1841">
        <f>SUM(D122:O122)</f>
        <v>86.83335000000001</v>
      </c>
      <c r="Q122" s="1840" t="s">
        <v>359</v>
      </c>
      <c r="S122" s="1689">
        <f t="shared" si="60"/>
        <v>24.120375000000003</v>
      </c>
      <c r="T122" s="270" t="s">
        <v>1658</v>
      </c>
      <c r="V122" s="1847" t="s">
        <v>397</v>
      </c>
      <c r="W122" s="1840" t="s">
        <v>1658</v>
      </c>
      <c r="X122" s="1841">
        <f t="shared" ref="X122:X136" si="70">D122/3.6</f>
        <v>2.0485797945205482</v>
      </c>
      <c r="Y122" s="215">
        <f t="shared" ref="Y122:Y133" si="71">E122/3.6</f>
        <v>1.8503301369863014</v>
      </c>
      <c r="Z122" s="215">
        <f t="shared" ref="Z122:Z133" si="72">F122/3.6</f>
        <v>2.0485797945205482</v>
      </c>
      <c r="AA122" s="215">
        <f t="shared" ref="AA122:AA133" si="73">G122/3.6</f>
        <v>1.9824965753424657</v>
      </c>
      <c r="AB122" s="215">
        <f t="shared" ref="AB122:AB133" si="74">H122/3.6</f>
        <v>2.0485797945205482</v>
      </c>
      <c r="AC122" s="215">
        <f t="shared" ref="AC122:AC133" si="75">I122/3.6</f>
        <v>1.9824965753424657</v>
      </c>
      <c r="AD122" s="215">
        <f t="shared" ref="AD122:AD133" si="76">J122/3.6</f>
        <v>2.0485797945205482</v>
      </c>
      <c r="AE122" s="215">
        <f t="shared" ref="AE122:AE133" si="77">K122/3.6</f>
        <v>2.0485797945205482</v>
      </c>
      <c r="AF122" s="215">
        <f t="shared" ref="AF122:AF133" si="78">L122/3.6</f>
        <v>1.9824965753424657</v>
      </c>
      <c r="AG122" s="215">
        <f t="shared" ref="AG122:AG133" si="79">M122/3.6</f>
        <v>2.0485797945205482</v>
      </c>
      <c r="AH122" s="215">
        <f t="shared" ref="AH122:AH133" si="80">N122/3.6</f>
        <v>1.9824965753424657</v>
      </c>
      <c r="AI122" s="1849">
        <f t="shared" ref="AI122:AI133" si="81">O122/3.6</f>
        <v>2.0485797945205482</v>
      </c>
      <c r="AJ122" s="1909">
        <f t="shared" ref="AJ122:AJ133" si="82">P122/3.6</f>
        <v>24.120375000000003</v>
      </c>
    </row>
    <row r="123" spans="2:36">
      <c r="B123" s="1847" t="s">
        <v>399</v>
      </c>
      <c r="C123" s="1840" t="s">
        <v>359</v>
      </c>
      <c r="D123" s="1841">
        <f t="shared" ref="D123:O123" si="83">$D$40*D$69/365</f>
        <v>2.9998080000000007</v>
      </c>
      <c r="E123" s="215">
        <f>$D$40*E$69/365</f>
        <v>2.7095040000000008</v>
      </c>
      <c r="F123" s="215">
        <f t="shared" si="83"/>
        <v>2.9998080000000007</v>
      </c>
      <c r="G123" s="215">
        <f t="shared" si="83"/>
        <v>2.9030400000000007</v>
      </c>
      <c r="H123" s="215">
        <f t="shared" si="83"/>
        <v>2.9998080000000007</v>
      </c>
      <c r="I123" s="215">
        <f t="shared" si="83"/>
        <v>2.9030400000000007</v>
      </c>
      <c r="J123" s="215">
        <f t="shared" si="83"/>
        <v>2.9998080000000007</v>
      </c>
      <c r="K123" s="215">
        <f t="shared" si="83"/>
        <v>2.9998080000000007</v>
      </c>
      <c r="L123" s="215">
        <f t="shared" si="83"/>
        <v>2.9030400000000007</v>
      </c>
      <c r="M123" s="215">
        <f t="shared" si="83"/>
        <v>2.9998080000000007</v>
      </c>
      <c r="N123" s="215">
        <f t="shared" si="83"/>
        <v>2.9030400000000007</v>
      </c>
      <c r="O123" s="1849">
        <f t="shared" si="83"/>
        <v>2.9998080000000007</v>
      </c>
      <c r="P123" s="1841">
        <f>SUM(D123:O123)</f>
        <v>35.320320000000009</v>
      </c>
      <c r="Q123" s="1840" t="s">
        <v>359</v>
      </c>
      <c r="S123" s="1689">
        <f>P123/3.6</f>
        <v>9.811200000000003</v>
      </c>
      <c r="T123" s="270" t="s">
        <v>1658</v>
      </c>
      <c r="V123" s="1847" t="s">
        <v>399</v>
      </c>
      <c r="W123" s="1840" t="s">
        <v>1658</v>
      </c>
      <c r="X123" s="1841">
        <f t="shared" si="70"/>
        <v>0.83328000000000013</v>
      </c>
      <c r="Y123" s="215">
        <f t="shared" si="71"/>
        <v>0.7526400000000002</v>
      </c>
      <c r="Z123" s="215">
        <f t="shared" si="72"/>
        <v>0.83328000000000013</v>
      </c>
      <c r="AA123" s="215">
        <f t="shared" si="73"/>
        <v>0.80640000000000023</v>
      </c>
      <c r="AB123" s="215">
        <f t="shared" si="74"/>
        <v>0.83328000000000013</v>
      </c>
      <c r="AC123" s="215">
        <f t="shared" si="75"/>
        <v>0.80640000000000023</v>
      </c>
      <c r="AD123" s="215">
        <f t="shared" si="76"/>
        <v>0.83328000000000013</v>
      </c>
      <c r="AE123" s="215">
        <f t="shared" si="77"/>
        <v>0.83328000000000013</v>
      </c>
      <c r="AF123" s="215">
        <f t="shared" si="78"/>
        <v>0.80640000000000023</v>
      </c>
      <c r="AG123" s="215">
        <f t="shared" si="79"/>
        <v>0.83328000000000013</v>
      </c>
      <c r="AH123" s="215">
        <f t="shared" si="80"/>
        <v>0.80640000000000023</v>
      </c>
      <c r="AI123" s="1849">
        <f t="shared" si="81"/>
        <v>0.83328000000000013</v>
      </c>
      <c r="AJ123" s="1909">
        <f t="shared" si="82"/>
        <v>9.811200000000003</v>
      </c>
    </row>
    <row r="124" spans="2:36">
      <c r="B124" s="1847" t="s">
        <v>400</v>
      </c>
      <c r="C124" s="1840" t="s">
        <v>359</v>
      </c>
      <c r="D124" s="1841">
        <f t="shared" ref="D124:O124" si="84">D123+D122</f>
        <v>10.374695260273974</v>
      </c>
      <c r="E124" s="215">
        <f t="shared" si="84"/>
        <v>9.3706924931506865</v>
      </c>
      <c r="F124" s="215">
        <f t="shared" si="84"/>
        <v>10.374695260273974</v>
      </c>
      <c r="G124" s="215">
        <f t="shared" si="84"/>
        <v>10.040027671232878</v>
      </c>
      <c r="H124" s="215">
        <f t="shared" si="84"/>
        <v>10.374695260273974</v>
      </c>
      <c r="I124" s="215">
        <f t="shared" si="84"/>
        <v>10.040027671232878</v>
      </c>
      <c r="J124" s="215">
        <f t="shared" si="84"/>
        <v>10.374695260273974</v>
      </c>
      <c r="K124" s="215">
        <f t="shared" si="84"/>
        <v>10.374695260273974</v>
      </c>
      <c r="L124" s="215">
        <f t="shared" si="84"/>
        <v>10.040027671232878</v>
      </c>
      <c r="M124" s="215">
        <f t="shared" si="84"/>
        <v>10.374695260273974</v>
      </c>
      <c r="N124" s="215">
        <f t="shared" si="84"/>
        <v>10.040027671232878</v>
      </c>
      <c r="O124" s="1849">
        <f t="shared" si="84"/>
        <v>10.374695260273974</v>
      </c>
      <c r="P124" s="1841">
        <f>SUM(D124:O124)</f>
        <v>122.15367000000001</v>
      </c>
      <c r="Q124" s="1840" t="s">
        <v>359</v>
      </c>
      <c r="S124" s="1689">
        <f t="shared" si="60"/>
        <v>33.931575000000002</v>
      </c>
      <c r="T124" s="270" t="s">
        <v>1658</v>
      </c>
      <c r="V124" s="1847" t="s">
        <v>400</v>
      </c>
      <c r="W124" s="1840" t="s">
        <v>1658</v>
      </c>
      <c r="X124" s="1841">
        <f t="shared" si="70"/>
        <v>2.8818597945205484</v>
      </c>
      <c r="Y124" s="215">
        <f t="shared" si="71"/>
        <v>2.6029701369863019</v>
      </c>
      <c r="Z124" s="215">
        <f t="shared" si="72"/>
        <v>2.8818597945205484</v>
      </c>
      <c r="AA124" s="215">
        <f t="shared" si="73"/>
        <v>2.7888965753424659</v>
      </c>
      <c r="AB124" s="215">
        <f t="shared" si="74"/>
        <v>2.8818597945205484</v>
      </c>
      <c r="AC124" s="215">
        <f t="shared" si="75"/>
        <v>2.7888965753424659</v>
      </c>
      <c r="AD124" s="215">
        <f t="shared" si="76"/>
        <v>2.8818597945205484</v>
      </c>
      <c r="AE124" s="215">
        <f t="shared" si="77"/>
        <v>2.8818597945205484</v>
      </c>
      <c r="AF124" s="215">
        <f t="shared" si="78"/>
        <v>2.7888965753424659</v>
      </c>
      <c r="AG124" s="215">
        <f t="shared" si="79"/>
        <v>2.8818597945205484</v>
      </c>
      <c r="AH124" s="215">
        <f t="shared" si="80"/>
        <v>2.7888965753424659</v>
      </c>
      <c r="AI124" s="1849">
        <f t="shared" si="81"/>
        <v>2.8818597945205484</v>
      </c>
      <c r="AJ124" s="1909">
        <f t="shared" si="82"/>
        <v>33.931575000000002</v>
      </c>
    </row>
    <row r="125" spans="2:36">
      <c r="B125" s="1846" t="s">
        <v>401</v>
      </c>
      <c r="C125" s="1840" t="s">
        <v>359</v>
      </c>
      <c r="D125" s="1841">
        <f t="shared" ref="D125:O125" si="85">IF(EBF&gt;0,($D$19*D$72*$F$19+$D$18*D$73*$F$18+$D$20*D$74*$F$20+$D$17*D$75*$F$17+$D$21*D$71*$F$21)*0.9*$D$30*FF/EBF,0)</f>
        <v>1.7788235294117651</v>
      </c>
      <c r="E125" s="215">
        <f t="shared" si="85"/>
        <v>2.7349411764705893</v>
      </c>
      <c r="F125" s="215">
        <f t="shared" si="85"/>
        <v>4.4025882352941181</v>
      </c>
      <c r="G125" s="215">
        <f t="shared" si="85"/>
        <v>5.1363529411764715</v>
      </c>
      <c r="H125" s="215">
        <f t="shared" si="85"/>
        <v>6.3815294117647072</v>
      </c>
      <c r="I125" s="215">
        <f t="shared" si="85"/>
        <v>6.7372941176470604</v>
      </c>
      <c r="J125" s="215">
        <f>IF(EBF&gt;0,($D$19*J$72*$F$19+$D$18*J$73*$F$18+$D$20*J$74*$F$20+$D$17*J$75*$F$17+$D$21*J$71*$F$21)*0.9*$D$30*FF/EBF,0)</f>
        <v>7.2709411764705907</v>
      </c>
      <c r="K125" s="215">
        <f t="shared" si="85"/>
        <v>6.5594117647058825</v>
      </c>
      <c r="L125" s="215">
        <f t="shared" si="85"/>
        <v>4.8472941176470599</v>
      </c>
      <c r="M125" s="215">
        <f t="shared" si="85"/>
        <v>3.1574117647058833</v>
      </c>
      <c r="N125" s="215">
        <f t="shared" si="85"/>
        <v>1.6676470588235293</v>
      </c>
      <c r="O125" s="1849">
        <f t="shared" si="85"/>
        <v>1.3118823529411767</v>
      </c>
      <c r="P125" s="1841">
        <f>SUM(D125:O125)</f>
        <v>51.986117647058833</v>
      </c>
      <c r="Q125" s="1840" t="s">
        <v>359</v>
      </c>
      <c r="S125" s="1689">
        <f t="shared" si="60"/>
        <v>14.44058823529412</v>
      </c>
      <c r="T125" s="270" t="s">
        <v>1658</v>
      </c>
      <c r="V125" s="1846" t="s">
        <v>401</v>
      </c>
      <c r="W125" s="1840" t="s">
        <v>1658</v>
      </c>
      <c r="X125" s="1841">
        <f t="shared" si="70"/>
        <v>0.49411764705882366</v>
      </c>
      <c r="Y125" s="215">
        <f t="shared" si="71"/>
        <v>0.75970588235294145</v>
      </c>
      <c r="Z125" s="215">
        <f t="shared" si="72"/>
        <v>1.2229411764705884</v>
      </c>
      <c r="AA125" s="215">
        <f t="shared" si="73"/>
        <v>1.4267647058823532</v>
      </c>
      <c r="AB125" s="215">
        <f t="shared" si="74"/>
        <v>1.7726470588235297</v>
      </c>
      <c r="AC125" s="215">
        <f t="shared" si="75"/>
        <v>1.8714705882352944</v>
      </c>
      <c r="AD125" s="215">
        <f t="shared" si="76"/>
        <v>2.0197058823529419</v>
      </c>
      <c r="AE125" s="215">
        <f t="shared" si="77"/>
        <v>1.8220588235294117</v>
      </c>
      <c r="AF125" s="215">
        <f t="shared" si="78"/>
        <v>1.3464705882352943</v>
      </c>
      <c r="AG125" s="215">
        <f t="shared" si="79"/>
        <v>0.877058823529412</v>
      </c>
      <c r="AH125" s="215">
        <f t="shared" si="80"/>
        <v>0.46323529411764702</v>
      </c>
      <c r="AI125" s="1849">
        <f t="shared" si="81"/>
        <v>0.36441176470588243</v>
      </c>
      <c r="AJ125" s="1909">
        <f t="shared" si="82"/>
        <v>14.44058823529412</v>
      </c>
    </row>
    <row r="126" spans="2:36">
      <c r="B126" s="1847" t="s">
        <v>402</v>
      </c>
      <c r="C126" s="1840" t="s">
        <v>359</v>
      </c>
      <c r="D126" s="1841">
        <f t="shared" ref="D126:O126" si="86">D125+D124</f>
        <v>12.153518789685739</v>
      </c>
      <c r="E126" s="215">
        <f t="shared" si="86"/>
        <v>12.105633669621277</v>
      </c>
      <c r="F126" s="215">
        <f t="shared" si="86"/>
        <v>14.777283495568092</v>
      </c>
      <c r="G126" s="215">
        <f t="shared" si="86"/>
        <v>15.17638061240935</v>
      </c>
      <c r="H126" s="215">
        <f t="shared" si="86"/>
        <v>16.75622467203868</v>
      </c>
      <c r="I126" s="215">
        <f>I125+I124</f>
        <v>16.777321788879938</v>
      </c>
      <c r="J126" s="215">
        <f>J125+J124</f>
        <v>17.645636436744564</v>
      </c>
      <c r="K126" s="215">
        <f t="shared" si="86"/>
        <v>16.934107024979856</v>
      </c>
      <c r="L126" s="215">
        <f t="shared" si="86"/>
        <v>14.887321788879937</v>
      </c>
      <c r="M126" s="215">
        <f t="shared" si="86"/>
        <v>13.532107024979858</v>
      </c>
      <c r="N126" s="215">
        <f t="shared" si="86"/>
        <v>11.707674730056407</v>
      </c>
      <c r="O126" s="1849">
        <f t="shared" si="86"/>
        <v>11.686577613215151</v>
      </c>
      <c r="P126" s="1841">
        <f>SUM(D126:O126)</f>
        <v>174.13978764705885</v>
      </c>
      <c r="Q126" s="1840" t="s">
        <v>359</v>
      </c>
      <c r="S126" s="1690">
        <f t="shared" si="60"/>
        <v>48.372163235294124</v>
      </c>
      <c r="T126" s="270" t="s">
        <v>1658</v>
      </c>
      <c r="V126" s="1847" t="s">
        <v>402</v>
      </c>
      <c r="W126" s="1840" t="s">
        <v>1658</v>
      </c>
      <c r="X126" s="1841">
        <f t="shared" si="70"/>
        <v>3.375977441579372</v>
      </c>
      <c r="Y126" s="215">
        <f t="shared" si="71"/>
        <v>3.3626760193392435</v>
      </c>
      <c r="Z126" s="215">
        <f t="shared" si="72"/>
        <v>4.1048009709911364</v>
      </c>
      <c r="AA126" s="215">
        <f t="shared" si="73"/>
        <v>4.2156612812248193</v>
      </c>
      <c r="AB126" s="215">
        <f t="shared" si="74"/>
        <v>4.6545068533440777</v>
      </c>
      <c r="AC126" s="215">
        <f t="shared" si="75"/>
        <v>4.6603671635777602</v>
      </c>
      <c r="AD126" s="215">
        <f t="shared" si="76"/>
        <v>4.9015656768734894</v>
      </c>
      <c r="AE126" s="215">
        <f t="shared" si="77"/>
        <v>4.7039186180499595</v>
      </c>
      <c r="AF126" s="215">
        <f t="shared" si="78"/>
        <v>4.1353671635777607</v>
      </c>
      <c r="AG126" s="215">
        <f t="shared" si="79"/>
        <v>3.7589186180499605</v>
      </c>
      <c r="AH126" s="215">
        <f t="shared" si="80"/>
        <v>3.2521318694601131</v>
      </c>
      <c r="AI126" s="1849">
        <f t="shared" si="81"/>
        <v>3.2462715592264306</v>
      </c>
      <c r="AJ126" s="1909">
        <f t="shared" si="82"/>
        <v>48.372163235294124</v>
      </c>
    </row>
    <row r="127" spans="2:36">
      <c r="B127" s="1847" t="s">
        <v>411</v>
      </c>
      <c r="C127" s="1840"/>
      <c r="D127" s="1841">
        <f t="shared" ref="D127:O127" si="87">IF(D120&gt;0,D126/D120,0)</f>
        <v>0.32107130413919016</v>
      </c>
      <c r="E127" s="215">
        <f t="shared" si="87"/>
        <v>0.37222873383831101</v>
      </c>
      <c r="F127" s="215">
        <f t="shared" si="87"/>
        <v>0.49248675634812333</v>
      </c>
      <c r="G127" s="215">
        <f t="shared" si="87"/>
        <v>0.61395299642764933</v>
      </c>
      <c r="H127" s="215">
        <f t="shared" si="87"/>
        <v>0.93875604815667502</v>
      </c>
      <c r="I127" s="215">
        <f t="shared" si="87"/>
        <v>1.2803094875044545</v>
      </c>
      <c r="J127" s="215">
        <f t="shared" si="87"/>
        <v>1.7375125647090772</v>
      </c>
      <c r="K127" s="215">
        <f t="shared" si="87"/>
        <v>1.6674504109560488</v>
      </c>
      <c r="L127" s="215">
        <f t="shared" si="87"/>
        <v>0.90886398054154516</v>
      </c>
      <c r="M127" s="215">
        <f t="shared" si="87"/>
        <v>0.58240224324112111</v>
      </c>
      <c r="N127" s="215">
        <f t="shared" si="87"/>
        <v>0.37799174441322941</v>
      </c>
      <c r="O127" s="1849">
        <f t="shared" si="87"/>
        <v>0.32736626630953775</v>
      </c>
      <c r="P127" s="1841" t="s">
        <v>56</v>
      </c>
      <c r="Q127" s="1840"/>
      <c r="S127" s="1689"/>
      <c r="V127" s="1847" t="s">
        <v>411</v>
      </c>
      <c r="W127" s="1840"/>
      <c r="X127" s="1841">
        <f t="shared" si="70"/>
        <v>8.9186473371997269E-2</v>
      </c>
      <c r="Y127" s="215">
        <f t="shared" si="71"/>
        <v>0.10339687051064195</v>
      </c>
      <c r="Z127" s="215">
        <f t="shared" si="72"/>
        <v>0.13680187676336758</v>
      </c>
      <c r="AA127" s="215">
        <f t="shared" si="73"/>
        <v>0.17054249900768037</v>
      </c>
      <c r="AB127" s="215">
        <f t="shared" si="74"/>
        <v>0.26076556893240971</v>
      </c>
      <c r="AC127" s="215">
        <f t="shared" si="75"/>
        <v>0.35564152430679291</v>
      </c>
      <c r="AD127" s="215">
        <f t="shared" si="76"/>
        <v>0.48264237908585478</v>
      </c>
      <c r="AE127" s="215">
        <f t="shared" si="77"/>
        <v>0.46318066971001354</v>
      </c>
      <c r="AF127" s="215">
        <f t="shared" si="78"/>
        <v>0.25246221681709585</v>
      </c>
      <c r="AG127" s="215">
        <f t="shared" si="79"/>
        <v>0.16177840090031143</v>
      </c>
      <c r="AH127" s="215">
        <f t="shared" si="80"/>
        <v>0.10499770678145261</v>
      </c>
      <c r="AI127" s="1849">
        <f t="shared" si="81"/>
        <v>9.0935073974871591E-2</v>
      </c>
      <c r="AJ127" s="1909"/>
    </row>
    <row r="128" spans="2:36">
      <c r="B128" s="1846" t="s">
        <v>412</v>
      </c>
      <c r="C128" s="1840"/>
      <c r="D128" s="1841">
        <f t="shared" ref="D128:O128" si="88">IF(D120&gt;0,CEBF*EBF*1000000/(($D$22*U_DAFbeheizt+$D$14*U_E3*bGW+E4beheizt*U_E4+BodenErdeF*U_Boden*bGF+$D$16*U_E5)*3600 + Vth*EBF*(1220-0.14*HueM)),0)</f>
        <v>225.36457810149119</v>
      </c>
      <c r="E128" s="215">
        <f t="shared" si="88"/>
        <v>225.36457810149119</v>
      </c>
      <c r="F128" s="215">
        <f t="shared" si="88"/>
        <v>225.36457810149119</v>
      </c>
      <c r="G128" s="215">
        <f t="shared" si="88"/>
        <v>225.36457810149119</v>
      </c>
      <c r="H128" s="215">
        <f t="shared" si="88"/>
        <v>225.36457810149119</v>
      </c>
      <c r="I128" s="215">
        <f t="shared" si="88"/>
        <v>225.36457810149119</v>
      </c>
      <c r="J128" s="215">
        <f t="shared" si="88"/>
        <v>225.36457810149119</v>
      </c>
      <c r="K128" s="215">
        <f t="shared" si="88"/>
        <v>225.36457810149119</v>
      </c>
      <c r="L128" s="215">
        <f t="shared" si="88"/>
        <v>225.36457810149119</v>
      </c>
      <c r="M128" s="215">
        <f t="shared" si="88"/>
        <v>225.36457810149119</v>
      </c>
      <c r="N128" s="215">
        <f t="shared" si="88"/>
        <v>225.36457810149119</v>
      </c>
      <c r="O128" s="1849">
        <f t="shared" si="88"/>
        <v>225.36457810149119</v>
      </c>
      <c r="P128" s="1841"/>
      <c r="Q128" s="1840"/>
      <c r="S128" s="1689"/>
      <c r="V128" s="1846" t="s">
        <v>412</v>
      </c>
      <c r="W128" s="1840"/>
      <c r="X128" s="1841">
        <f t="shared" si="70"/>
        <v>62.60127169485866</v>
      </c>
      <c r="Y128" s="215">
        <f t="shared" si="71"/>
        <v>62.60127169485866</v>
      </c>
      <c r="Z128" s="215">
        <f t="shared" si="72"/>
        <v>62.60127169485866</v>
      </c>
      <c r="AA128" s="215">
        <f t="shared" si="73"/>
        <v>62.60127169485866</v>
      </c>
      <c r="AB128" s="215">
        <f t="shared" si="74"/>
        <v>62.60127169485866</v>
      </c>
      <c r="AC128" s="215">
        <f t="shared" si="75"/>
        <v>62.60127169485866</v>
      </c>
      <c r="AD128" s="215">
        <f t="shared" si="76"/>
        <v>62.60127169485866</v>
      </c>
      <c r="AE128" s="215">
        <f t="shared" si="77"/>
        <v>62.60127169485866</v>
      </c>
      <c r="AF128" s="215">
        <f t="shared" si="78"/>
        <v>62.60127169485866</v>
      </c>
      <c r="AG128" s="215">
        <f t="shared" si="79"/>
        <v>62.60127169485866</v>
      </c>
      <c r="AH128" s="215">
        <f t="shared" si="80"/>
        <v>62.60127169485866</v>
      </c>
      <c r="AI128" s="1849">
        <f t="shared" si="81"/>
        <v>62.60127169485866</v>
      </c>
      <c r="AJ128" s="1909">
        <f t="shared" si="82"/>
        <v>0</v>
      </c>
    </row>
    <row r="129" spans="2:36">
      <c r="B129" s="1847" t="s">
        <v>403</v>
      </c>
      <c r="C129" s="1840"/>
      <c r="D129" s="1841">
        <f t="shared" ref="D129:O129" si="89">a0+D128/tau0</f>
        <v>16.02430520676608</v>
      </c>
      <c r="E129" s="215">
        <f t="shared" si="89"/>
        <v>16.02430520676608</v>
      </c>
      <c r="F129" s="215">
        <f t="shared" si="89"/>
        <v>16.02430520676608</v>
      </c>
      <c r="G129" s="215">
        <f t="shared" si="89"/>
        <v>16.02430520676608</v>
      </c>
      <c r="H129" s="215">
        <f t="shared" si="89"/>
        <v>16.02430520676608</v>
      </c>
      <c r="I129" s="215">
        <f t="shared" si="89"/>
        <v>16.02430520676608</v>
      </c>
      <c r="J129" s="215">
        <f t="shared" si="89"/>
        <v>16.02430520676608</v>
      </c>
      <c r="K129" s="215">
        <f t="shared" si="89"/>
        <v>16.02430520676608</v>
      </c>
      <c r="L129" s="215">
        <f t="shared" si="89"/>
        <v>16.02430520676608</v>
      </c>
      <c r="M129" s="215">
        <f t="shared" si="89"/>
        <v>16.02430520676608</v>
      </c>
      <c r="N129" s="215">
        <f t="shared" si="89"/>
        <v>16.02430520676608</v>
      </c>
      <c r="O129" s="1849">
        <f t="shared" si="89"/>
        <v>16.02430520676608</v>
      </c>
      <c r="P129" s="1841"/>
      <c r="Q129" s="1840"/>
      <c r="S129" s="1689"/>
      <c r="V129" s="1847" t="s">
        <v>403</v>
      </c>
      <c r="W129" s="1840"/>
      <c r="X129" s="1841">
        <f t="shared" si="70"/>
        <v>4.4511958907683553</v>
      </c>
      <c r="Y129" s="215">
        <f t="shared" si="71"/>
        <v>4.4511958907683553</v>
      </c>
      <c r="Z129" s="215">
        <f t="shared" si="72"/>
        <v>4.4511958907683553</v>
      </c>
      <c r="AA129" s="215">
        <f t="shared" si="73"/>
        <v>4.4511958907683553</v>
      </c>
      <c r="AB129" s="215">
        <f t="shared" si="74"/>
        <v>4.4511958907683553</v>
      </c>
      <c r="AC129" s="215">
        <f t="shared" si="75"/>
        <v>4.4511958907683553</v>
      </c>
      <c r="AD129" s="215">
        <f t="shared" si="76"/>
        <v>4.4511958907683553</v>
      </c>
      <c r="AE129" s="215">
        <f t="shared" si="77"/>
        <v>4.4511958907683553</v>
      </c>
      <c r="AF129" s="215">
        <f t="shared" si="78"/>
        <v>4.4511958907683553</v>
      </c>
      <c r="AG129" s="215">
        <f t="shared" si="79"/>
        <v>4.4511958907683553</v>
      </c>
      <c r="AH129" s="215">
        <f t="shared" si="80"/>
        <v>4.4511958907683553</v>
      </c>
      <c r="AI129" s="1849">
        <f t="shared" si="81"/>
        <v>4.4511958907683553</v>
      </c>
      <c r="AJ129" s="1909">
        <f t="shared" si="82"/>
        <v>0</v>
      </c>
    </row>
    <row r="130" spans="2:36">
      <c r="B130" s="1847" t="s">
        <v>413</v>
      </c>
      <c r="C130" s="1840"/>
      <c r="D130" s="1855">
        <f t="shared" ref="D130:O130" si="90">IF(D127=1,D129/(D129+1),IF(D120&lt;=0,0,(1-D127^D129)/(1-D127^(D129+1))))</f>
        <v>0.99999999157721176</v>
      </c>
      <c r="E130" s="1101">
        <f t="shared" si="90"/>
        <v>0.99999991676073796</v>
      </c>
      <c r="F130" s="1101">
        <f t="shared" si="90"/>
        <v>0.9999940257088592</v>
      </c>
      <c r="G130" s="1101">
        <f t="shared" si="90"/>
        <v>0.99984448935076953</v>
      </c>
      <c r="H130" s="1101">
        <f t="shared" si="90"/>
        <v>0.96624471093857789</v>
      </c>
      <c r="I130" s="1101">
        <f t="shared" si="90"/>
        <v>0.77775077164513529</v>
      </c>
      <c r="J130" s="1101">
        <f t="shared" si="90"/>
        <v>0.57550047058393805</v>
      </c>
      <c r="K130" s="1101">
        <f t="shared" si="90"/>
        <v>0.59965158876582059</v>
      </c>
      <c r="L130" s="1101">
        <f t="shared" si="90"/>
        <v>0.97546959938159872</v>
      </c>
      <c r="M130" s="1101">
        <f t="shared" si="90"/>
        <v>0.99992777887967799</v>
      </c>
      <c r="N130" s="1101">
        <f t="shared" si="90"/>
        <v>0.99999989450209592</v>
      </c>
      <c r="O130" s="1856">
        <f t="shared" si="90"/>
        <v>0.99999998860972394</v>
      </c>
      <c r="P130" s="1855">
        <f>IF(P126&gt;0,P131/P126,0)</f>
        <v>0.89127651059055124</v>
      </c>
      <c r="Q130" s="1840"/>
      <c r="S130" s="1689">
        <f t="shared" si="60"/>
        <v>0.24757680849737534</v>
      </c>
      <c r="T130" s="270" t="s">
        <v>1658</v>
      </c>
      <c r="V130" s="1847" t="s">
        <v>413</v>
      </c>
      <c r="W130" s="1840"/>
      <c r="X130" s="1855">
        <f t="shared" si="70"/>
        <v>0.27777777543811438</v>
      </c>
      <c r="Y130" s="1101">
        <f t="shared" si="71"/>
        <v>0.27777775465576054</v>
      </c>
      <c r="Z130" s="1101">
        <f t="shared" si="72"/>
        <v>0.2777761182524609</v>
      </c>
      <c r="AA130" s="1101">
        <f t="shared" si="73"/>
        <v>0.27773458037521376</v>
      </c>
      <c r="AB130" s="1101">
        <f t="shared" si="74"/>
        <v>0.26840130859404943</v>
      </c>
      <c r="AC130" s="1101">
        <f t="shared" si="75"/>
        <v>0.21604188101253757</v>
      </c>
      <c r="AD130" s="1101">
        <f t="shared" si="76"/>
        <v>0.15986124182887168</v>
      </c>
      <c r="AE130" s="1101">
        <f t="shared" si="77"/>
        <v>0.16656988576828349</v>
      </c>
      <c r="AF130" s="1101">
        <f t="shared" si="78"/>
        <v>0.27096377760599966</v>
      </c>
      <c r="AG130" s="1101">
        <f t="shared" si="79"/>
        <v>0.27775771635546609</v>
      </c>
      <c r="AH130" s="1101">
        <f t="shared" si="80"/>
        <v>0.2777777484728044</v>
      </c>
      <c r="AI130" s="1856">
        <f t="shared" si="81"/>
        <v>0.2777777746138122</v>
      </c>
      <c r="AJ130" s="1911">
        <f t="shared" si="82"/>
        <v>0.24757680849737534</v>
      </c>
    </row>
    <row r="131" spans="2:36">
      <c r="B131" s="1847" t="s">
        <v>323</v>
      </c>
      <c r="C131" s="1840" t="s">
        <v>359</v>
      </c>
      <c r="D131" s="1841">
        <f t="shared" ref="D131:O131" si="91">D126*D130</f>
        <v>12.153518687319224</v>
      </c>
      <c r="E131" s="215">
        <f t="shared" si="91"/>
        <v>12.105632661957264</v>
      </c>
      <c r="F131" s="215">
        <f t="shared" si="91"/>
        <v>14.77719521177422</v>
      </c>
      <c r="G131" s="215">
        <f t="shared" si="91"/>
        <v>15.174020523607345</v>
      </c>
      <c r="H131" s="215">
        <f t="shared" si="91"/>
        <v>16.190613464655883</v>
      </c>
      <c r="I131" s="215">
        <f t="shared" si="91"/>
        <v>13.048574967440114</v>
      </c>
      <c r="J131" s="215">
        <f t="shared" si="91"/>
        <v>10.15507207309958</v>
      </c>
      <c r="K131" s="215">
        <f t="shared" si="91"/>
        <v>10.154564181859614</v>
      </c>
      <c r="L131" s="215">
        <f t="shared" si="91"/>
        <v>14.522129821263658</v>
      </c>
      <c r="M131" s="215">
        <f t="shared" si="91"/>
        <v>13.531129721050197</v>
      </c>
      <c r="N131" s="215">
        <f t="shared" si="91"/>
        <v>11.707673494921261</v>
      </c>
      <c r="O131" s="1849">
        <f t="shared" si="91"/>
        <v>11.686577480101807</v>
      </c>
      <c r="P131" s="1841">
        <f>SUM(D131:O131)</f>
        <v>155.20670228905018</v>
      </c>
      <c r="Q131" s="1840" t="s">
        <v>359</v>
      </c>
      <c r="S131" s="1689">
        <f t="shared" si="60"/>
        <v>43.112972858069497</v>
      </c>
      <c r="T131" s="270" t="s">
        <v>1658</v>
      </c>
      <c r="V131" s="1847" t="s">
        <v>323</v>
      </c>
      <c r="W131" s="1840" t="s">
        <v>1658</v>
      </c>
      <c r="X131" s="1841">
        <f t="shared" si="70"/>
        <v>3.3759774131442288</v>
      </c>
      <c r="Y131" s="215">
        <f t="shared" si="71"/>
        <v>3.3626757394325733</v>
      </c>
      <c r="Z131" s="215">
        <f t="shared" si="72"/>
        <v>4.1047764477150608</v>
      </c>
      <c r="AA131" s="215">
        <f t="shared" si="73"/>
        <v>4.2150057010020401</v>
      </c>
      <c r="AB131" s="215">
        <f t="shared" si="74"/>
        <v>4.4973926290710784</v>
      </c>
      <c r="AC131" s="215">
        <f t="shared" si="75"/>
        <v>3.6246041576222536</v>
      </c>
      <c r="AD131" s="215">
        <f t="shared" si="76"/>
        <v>2.8208533536387721</v>
      </c>
      <c r="AE131" s="215">
        <f t="shared" si="77"/>
        <v>2.8207122727387817</v>
      </c>
      <c r="AF131" s="215">
        <f t="shared" si="78"/>
        <v>4.0339249503510155</v>
      </c>
      <c r="AG131" s="215">
        <f t="shared" si="79"/>
        <v>3.758647144736166</v>
      </c>
      <c r="AH131" s="215">
        <f t="shared" si="80"/>
        <v>3.252131526367017</v>
      </c>
      <c r="AI131" s="1849">
        <f t="shared" si="81"/>
        <v>3.2462715222505016</v>
      </c>
      <c r="AJ131" s="1909">
        <f t="shared" si="82"/>
        <v>43.112972858069497</v>
      </c>
    </row>
    <row r="132" spans="2:36" hidden="1">
      <c r="B132" s="1846" t="s">
        <v>404</v>
      </c>
      <c r="C132" s="1840"/>
      <c r="D132" s="1841"/>
      <c r="E132" s="215"/>
      <c r="F132" s="215"/>
      <c r="G132" s="215"/>
      <c r="H132" s="215"/>
      <c r="I132" s="215"/>
      <c r="J132" s="215"/>
      <c r="K132" s="215"/>
      <c r="L132" s="215"/>
      <c r="M132" s="215"/>
      <c r="N132" s="215"/>
      <c r="O132" s="1849"/>
      <c r="P132" s="1859"/>
      <c r="Q132" s="1840"/>
      <c r="S132" s="1689"/>
      <c r="V132" s="1846" t="s">
        <v>404</v>
      </c>
      <c r="W132" s="1840"/>
      <c r="X132" s="1841"/>
      <c r="Y132" s="215"/>
      <c r="Z132" s="215"/>
      <c r="AA132" s="215"/>
      <c r="AB132" s="215"/>
      <c r="AC132" s="215"/>
      <c r="AD132" s="215"/>
      <c r="AE132" s="215"/>
      <c r="AF132" s="215"/>
      <c r="AG132" s="215"/>
      <c r="AH132" s="215"/>
      <c r="AI132" s="1849"/>
      <c r="AJ132" s="1912"/>
    </row>
    <row r="133" spans="2:36" hidden="1">
      <c r="B133" s="1847" t="s">
        <v>2251</v>
      </c>
      <c r="C133" s="1840" t="s">
        <v>359</v>
      </c>
      <c r="D133" s="1841">
        <f>D120-D131</f>
        <v>25.699502224250534</v>
      </c>
      <c r="E133" s="215">
        <f t="shared" ref="E133:O133" si="92">E120-E131</f>
        <v>20.416396319501565</v>
      </c>
      <c r="F133" s="215">
        <f t="shared" si="92"/>
        <v>15.228248193738388</v>
      </c>
      <c r="G133" s="215">
        <f t="shared" si="92"/>
        <v>9.5451040685271185</v>
      </c>
      <c r="H133" s="215">
        <f t="shared" si="92"/>
        <v>1.6587785099054635</v>
      </c>
      <c r="I133" s="215">
        <f t="shared" si="92"/>
        <v>5.5539274173334263E-2</v>
      </c>
      <c r="J133" s="215">
        <f t="shared" si="92"/>
        <v>6.1646415084481987E-4</v>
      </c>
      <c r="K133" s="215">
        <f t="shared" si="92"/>
        <v>1.124355390810905E-3</v>
      </c>
      <c r="L133" s="215">
        <f t="shared" si="92"/>
        <v>1.858012980753152</v>
      </c>
      <c r="M133" s="215">
        <f t="shared" si="92"/>
        <v>9.7038546596287976</v>
      </c>
      <c r="N133" s="215">
        <f t="shared" si="92"/>
        <v>19.265687439801439</v>
      </c>
      <c r="O133" s="1849">
        <f t="shared" si="92"/>
        <v>24.012206469020885</v>
      </c>
      <c r="P133" s="1859">
        <f>SUM(D133:O133)</f>
        <v>127.44507095884232</v>
      </c>
      <c r="Q133" s="1840" t="s">
        <v>359</v>
      </c>
      <c r="S133" s="1689">
        <f t="shared" si="60"/>
        <v>35.401408599678419</v>
      </c>
      <c r="T133" s="270" t="s">
        <v>1658</v>
      </c>
      <c r="V133" s="1847" t="s">
        <v>2251</v>
      </c>
      <c r="W133" s="1840" t="s">
        <v>1658</v>
      </c>
      <c r="X133" s="1841">
        <f t="shared" si="70"/>
        <v>7.1387506178473705</v>
      </c>
      <c r="Y133" s="215">
        <f t="shared" si="71"/>
        <v>5.671221199861546</v>
      </c>
      <c r="Z133" s="215">
        <f t="shared" si="72"/>
        <v>4.2300689427051079</v>
      </c>
      <c r="AA133" s="215">
        <f t="shared" si="73"/>
        <v>2.6514177968130883</v>
      </c>
      <c r="AB133" s="215">
        <f t="shared" si="74"/>
        <v>0.46077180830707321</v>
      </c>
      <c r="AC133" s="215">
        <f t="shared" si="75"/>
        <v>1.5427576159259517E-2</v>
      </c>
      <c r="AD133" s="215">
        <f t="shared" si="76"/>
        <v>1.7124004190133884E-4</v>
      </c>
      <c r="AE133" s="215">
        <f t="shared" si="77"/>
        <v>3.1232094189191802E-4</v>
      </c>
      <c r="AF133" s="215">
        <f t="shared" si="78"/>
        <v>0.51611471687587551</v>
      </c>
      <c r="AG133" s="215">
        <f t="shared" si="79"/>
        <v>2.6955151832302215</v>
      </c>
      <c r="AH133" s="215">
        <f t="shared" si="80"/>
        <v>5.3515798443892884</v>
      </c>
      <c r="AI133" s="1849">
        <f t="shared" si="81"/>
        <v>6.6700573525058013</v>
      </c>
      <c r="AJ133" s="1912">
        <f t="shared" si="82"/>
        <v>35.401408599678419</v>
      </c>
    </row>
    <row r="134" spans="2:36">
      <c r="B134" s="1846" t="s">
        <v>2252</v>
      </c>
      <c r="C134" s="1840"/>
      <c r="D134" s="1842"/>
      <c r="E134" s="303"/>
      <c r="F134" s="303"/>
      <c r="G134" s="303"/>
      <c r="H134" s="303"/>
      <c r="I134" s="303"/>
      <c r="J134" s="303"/>
      <c r="K134" s="303"/>
      <c r="L134" s="303"/>
      <c r="M134" s="303"/>
      <c r="N134" s="303"/>
      <c r="O134" s="1848"/>
      <c r="P134" s="1860">
        <f>P133/3.6</f>
        <v>35.401408599678419</v>
      </c>
      <c r="Q134" s="1840" t="s">
        <v>1658</v>
      </c>
      <c r="S134" s="1689"/>
      <c r="V134" s="1846" t="s">
        <v>2252</v>
      </c>
      <c r="W134" s="1840"/>
      <c r="X134" s="1842"/>
      <c r="Y134" s="303"/>
      <c r="Z134" s="303"/>
      <c r="AA134" s="303"/>
      <c r="AB134" s="303"/>
      <c r="AC134" s="303"/>
      <c r="AD134" s="303"/>
      <c r="AE134" s="303"/>
      <c r="AF134" s="303"/>
      <c r="AG134" s="303"/>
      <c r="AH134" s="303"/>
      <c r="AI134" s="1848"/>
      <c r="AJ134" s="1907"/>
    </row>
    <row r="135" spans="2:36">
      <c r="B135" s="1843" t="str">
        <f>B120</f>
        <v>Gesamtwärmeverlust Qt:</v>
      </c>
      <c r="C135" s="1840" t="s">
        <v>359</v>
      </c>
      <c r="D135" s="1842">
        <f t="shared" ref="D135:P135" si="93">D120</f>
        <v>37.853020911569757</v>
      </c>
      <c r="E135" s="303">
        <f t="shared" si="93"/>
        <v>32.522028981458831</v>
      </c>
      <c r="F135" s="303">
        <f t="shared" si="93"/>
        <v>30.005443405512608</v>
      </c>
      <c r="G135" s="303">
        <f t="shared" si="93"/>
        <v>24.719124592134463</v>
      </c>
      <c r="H135" s="303">
        <f t="shared" si="93"/>
        <v>17.849391974561346</v>
      </c>
      <c r="I135" s="303">
        <f t="shared" si="93"/>
        <v>13.104114241613448</v>
      </c>
      <c r="J135" s="303">
        <f t="shared" si="93"/>
        <v>10.155688537250425</v>
      </c>
      <c r="K135" s="303">
        <f t="shared" si="93"/>
        <v>10.155688537250425</v>
      </c>
      <c r="L135" s="303">
        <f t="shared" si="93"/>
        <v>16.38014280201681</v>
      </c>
      <c r="M135" s="303">
        <f t="shared" si="93"/>
        <v>23.234984380678995</v>
      </c>
      <c r="N135" s="303">
        <f t="shared" si="93"/>
        <v>30.973360934722699</v>
      </c>
      <c r="O135" s="1848">
        <f t="shared" si="93"/>
        <v>35.698783949122692</v>
      </c>
      <c r="P135" s="1842">
        <f t="shared" si="93"/>
        <v>282.65177324789255</v>
      </c>
      <c r="Q135" s="1840" t="s">
        <v>359</v>
      </c>
      <c r="S135" s="1689">
        <f t="shared" si="60"/>
        <v>78.51438145774793</v>
      </c>
      <c r="T135" s="270" t="s">
        <v>1658</v>
      </c>
      <c r="V135" s="1843" t="str">
        <f>V120</f>
        <v>Gesamtwärmeverlust Qt:</v>
      </c>
      <c r="W135" s="1840" t="s">
        <v>1658</v>
      </c>
      <c r="X135" s="1842">
        <f>-D135/3.6</f>
        <v>-10.514728030991598</v>
      </c>
      <c r="Y135" s="303">
        <f t="shared" ref="Y135:AJ135" si="94">-E135/3.6</f>
        <v>-9.0338969392941202</v>
      </c>
      <c r="Z135" s="303">
        <f t="shared" si="94"/>
        <v>-8.3348453904201687</v>
      </c>
      <c r="AA135" s="303">
        <f t="shared" si="94"/>
        <v>-6.8664234978151288</v>
      </c>
      <c r="AB135" s="303">
        <f t="shared" si="94"/>
        <v>-4.9581644373781515</v>
      </c>
      <c r="AC135" s="303">
        <f t="shared" si="94"/>
        <v>-3.6400317337815133</v>
      </c>
      <c r="AD135" s="303">
        <f t="shared" si="94"/>
        <v>-2.8210245936806735</v>
      </c>
      <c r="AE135" s="303">
        <f t="shared" si="94"/>
        <v>-2.8210245936806735</v>
      </c>
      <c r="AF135" s="303">
        <f t="shared" si="94"/>
        <v>-4.5500396672268915</v>
      </c>
      <c r="AG135" s="303">
        <f t="shared" si="94"/>
        <v>-6.4541623279663876</v>
      </c>
      <c r="AH135" s="303">
        <f t="shared" si="94"/>
        <v>-8.6037113707563044</v>
      </c>
      <c r="AI135" s="1848">
        <f t="shared" si="94"/>
        <v>-9.916328874756303</v>
      </c>
      <c r="AJ135" s="1906">
        <f t="shared" si="94"/>
        <v>-78.51438145774793</v>
      </c>
    </row>
    <row r="136" spans="2:36">
      <c r="B136" s="1843" t="str">
        <f>B126</f>
        <v>Wärmegewinne total Qg:</v>
      </c>
      <c r="C136" s="1840" t="s">
        <v>359</v>
      </c>
      <c r="D136" s="1842">
        <f t="shared" ref="D136:P136" si="95">D126</f>
        <v>12.153518789685739</v>
      </c>
      <c r="E136" s="303">
        <f t="shared" si="95"/>
        <v>12.105633669621277</v>
      </c>
      <c r="F136" s="303">
        <f t="shared" si="95"/>
        <v>14.777283495568092</v>
      </c>
      <c r="G136" s="303">
        <f t="shared" si="95"/>
        <v>15.17638061240935</v>
      </c>
      <c r="H136" s="303">
        <f>H126</f>
        <v>16.75622467203868</v>
      </c>
      <c r="I136" s="303">
        <f t="shared" si="95"/>
        <v>16.777321788879938</v>
      </c>
      <c r="J136" s="303">
        <f>J126</f>
        <v>17.645636436744564</v>
      </c>
      <c r="K136" s="303">
        <f t="shared" si="95"/>
        <v>16.934107024979856</v>
      </c>
      <c r="L136" s="303">
        <f t="shared" si="95"/>
        <v>14.887321788879937</v>
      </c>
      <c r="M136" s="303">
        <f t="shared" si="95"/>
        <v>13.532107024979858</v>
      </c>
      <c r="N136" s="303">
        <f t="shared" si="95"/>
        <v>11.707674730056407</v>
      </c>
      <c r="O136" s="1848">
        <f t="shared" si="95"/>
        <v>11.686577613215151</v>
      </c>
      <c r="P136" s="1842">
        <f t="shared" si="95"/>
        <v>174.13978764705885</v>
      </c>
      <c r="Q136" s="1840" t="s">
        <v>359</v>
      </c>
      <c r="S136" s="1689">
        <f t="shared" si="60"/>
        <v>48.372163235294124</v>
      </c>
      <c r="T136" s="270" t="s">
        <v>1658</v>
      </c>
      <c r="V136" s="1843" t="str">
        <f>V126</f>
        <v>Wärmegewinne total Qg:</v>
      </c>
      <c r="W136" s="1840" t="s">
        <v>1658</v>
      </c>
      <c r="X136" s="1842">
        <f t="shared" si="70"/>
        <v>3.375977441579372</v>
      </c>
      <c r="Y136" s="303">
        <f t="shared" ref="Y136" si="96">E136/3.6</f>
        <v>3.3626760193392435</v>
      </c>
      <c r="Z136" s="303">
        <f t="shared" ref="Z136" si="97">F136/3.6</f>
        <v>4.1048009709911364</v>
      </c>
      <c r="AA136" s="303">
        <f t="shared" ref="AA136" si="98">G136/3.6</f>
        <v>4.2156612812248193</v>
      </c>
      <c r="AB136" s="303">
        <f>H136/3.6</f>
        <v>4.6545068533440777</v>
      </c>
      <c r="AC136" s="303">
        <f t="shared" ref="AC136" si="99">I136/3.6</f>
        <v>4.6603671635777602</v>
      </c>
      <c r="AD136" s="303">
        <f>J136/3.6</f>
        <v>4.9015656768734894</v>
      </c>
      <c r="AE136" s="303">
        <f t="shared" ref="AE136" si="100">K136/3.6</f>
        <v>4.7039186180499595</v>
      </c>
      <c r="AF136" s="303">
        <f t="shared" ref="AF136" si="101">L136/3.6</f>
        <v>4.1353671635777607</v>
      </c>
      <c r="AG136" s="303">
        <f t="shared" ref="AG136" si="102">M136/3.6</f>
        <v>3.7589186180499605</v>
      </c>
      <c r="AH136" s="303">
        <f t="shared" ref="AH136" si="103">N136/3.6</f>
        <v>3.2521318694601131</v>
      </c>
      <c r="AI136" s="1848">
        <f t="shared" ref="AI136" si="104">O136/3.6</f>
        <v>3.2462715592264306</v>
      </c>
      <c r="AJ136" s="1906">
        <f t="shared" ref="AJ136" si="105">P136/3.6</f>
        <v>48.372163235294124</v>
      </c>
    </row>
    <row r="137" spans="2:36">
      <c r="B137" s="1886" t="s">
        <v>1390</v>
      </c>
      <c r="C137" s="1887" t="s">
        <v>359</v>
      </c>
      <c r="D137" s="1888">
        <f t="shared" ref="D137:O137" si="106">MAX(0,D126-D120)</f>
        <v>0</v>
      </c>
      <c r="E137" s="1889">
        <f t="shared" si="106"/>
        <v>0</v>
      </c>
      <c r="F137" s="1889">
        <f t="shared" si="106"/>
        <v>0</v>
      </c>
      <c r="G137" s="1889">
        <f t="shared" si="106"/>
        <v>0</v>
      </c>
      <c r="H137" s="1889">
        <f t="shared" si="106"/>
        <v>0</v>
      </c>
      <c r="I137" s="1889">
        <f t="shared" si="106"/>
        <v>3.6732075472664896</v>
      </c>
      <c r="J137" s="1889">
        <f>MAX(0,J126-J120)</f>
        <v>7.4899478994941386</v>
      </c>
      <c r="K137" s="1889">
        <f t="shared" si="106"/>
        <v>6.7784184877294305</v>
      </c>
      <c r="L137" s="1889">
        <f t="shared" si="106"/>
        <v>0</v>
      </c>
      <c r="M137" s="1889">
        <f t="shared" si="106"/>
        <v>0</v>
      </c>
      <c r="N137" s="1889">
        <f t="shared" si="106"/>
        <v>0</v>
      </c>
      <c r="O137" s="1890">
        <f t="shared" si="106"/>
        <v>0</v>
      </c>
      <c r="P137" s="1891">
        <f>SUM(D137:O137)</f>
        <v>17.941573934490059</v>
      </c>
      <c r="Q137" s="1892" t="s">
        <v>359</v>
      </c>
      <c r="R137" s="1893"/>
      <c r="S137" s="1691">
        <f t="shared" si="60"/>
        <v>4.9837705373583496</v>
      </c>
      <c r="T137" s="1893" t="s">
        <v>1658</v>
      </c>
      <c r="V137" s="1886" t="s">
        <v>1390</v>
      </c>
      <c r="W137" s="1887" t="s">
        <v>1658</v>
      </c>
      <c r="X137" s="1888">
        <f>-D137/3.6</f>
        <v>0</v>
      </c>
      <c r="Y137" s="1889">
        <f t="shared" ref="Y137:AJ137" si="107">-E137/3.6</f>
        <v>0</v>
      </c>
      <c r="Z137" s="1889">
        <f t="shared" si="107"/>
        <v>0</v>
      </c>
      <c r="AA137" s="1889">
        <f t="shared" si="107"/>
        <v>0</v>
      </c>
      <c r="AB137" s="1889">
        <f t="shared" si="107"/>
        <v>0</v>
      </c>
      <c r="AC137" s="1889">
        <f t="shared" si="107"/>
        <v>-1.020335429796247</v>
      </c>
      <c r="AD137" s="1889">
        <f t="shared" si="107"/>
        <v>-2.0805410831928164</v>
      </c>
      <c r="AE137" s="1889">
        <f t="shared" si="107"/>
        <v>-1.8828940243692862</v>
      </c>
      <c r="AF137" s="1889">
        <f t="shared" si="107"/>
        <v>0</v>
      </c>
      <c r="AG137" s="1889">
        <f t="shared" si="107"/>
        <v>0</v>
      </c>
      <c r="AH137" s="1889">
        <f t="shared" si="107"/>
        <v>0</v>
      </c>
      <c r="AI137" s="1890">
        <f t="shared" si="107"/>
        <v>0</v>
      </c>
      <c r="AJ137" s="1913">
        <f t="shared" si="107"/>
        <v>-4.9837705373583496</v>
      </c>
    </row>
    <row r="139" spans="2:36">
      <c r="B139" s="1862" t="s">
        <v>405</v>
      </c>
      <c r="C139" s="1863" t="s">
        <v>50</v>
      </c>
      <c r="D139" s="1864" t="s">
        <v>37</v>
      </c>
      <c r="E139" s="1865" t="s">
        <v>38</v>
      </c>
      <c r="F139" s="1865" t="s">
        <v>351</v>
      </c>
      <c r="G139" s="1865" t="s">
        <v>39</v>
      </c>
      <c r="H139" s="1865" t="s">
        <v>40</v>
      </c>
      <c r="I139" s="1865" t="s">
        <v>41</v>
      </c>
      <c r="J139" s="1865" t="s">
        <v>42</v>
      </c>
      <c r="K139" s="1865" t="s">
        <v>43</v>
      </c>
      <c r="L139" s="1865" t="s">
        <v>44</v>
      </c>
      <c r="M139" s="1865" t="s">
        <v>45</v>
      </c>
      <c r="N139" s="1865" t="s">
        <v>46</v>
      </c>
      <c r="O139" s="1866" t="s">
        <v>47</v>
      </c>
      <c r="P139" s="1867" t="s">
        <v>352</v>
      </c>
      <c r="Q139" s="1868"/>
    </row>
    <row r="140" spans="2:36">
      <c r="B140" s="1861" t="s">
        <v>371</v>
      </c>
      <c r="C140" s="1840"/>
      <c r="D140" s="1843"/>
      <c r="O140" s="1840"/>
      <c r="P140" s="1843"/>
      <c r="Q140" s="1840"/>
    </row>
    <row r="141" spans="2:36">
      <c r="B141" s="1843" t="s">
        <v>373</v>
      </c>
      <c r="C141" s="1840" t="s">
        <v>359</v>
      </c>
      <c r="D141" s="1842">
        <f t="shared" ref="D141:O141" si="108">IF(EBF&gt;0,(Thetai-D$70)*D$69*$D$22*U_DAFbeheizt*0.0864/EBF,0)</f>
        <v>0</v>
      </c>
      <c r="E141" s="303">
        <f t="shared" si="108"/>
        <v>0</v>
      </c>
      <c r="F141" s="303">
        <f t="shared" si="108"/>
        <v>0</v>
      </c>
      <c r="G141" s="303">
        <f t="shared" si="108"/>
        <v>0</v>
      </c>
      <c r="H141" s="303">
        <f t="shared" si="108"/>
        <v>0</v>
      </c>
      <c r="I141" s="303">
        <f t="shared" si="108"/>
        <v>0</v>
      </c>
      <c r="J141" s="303">
        <f t="shared" si="108"/>
        <v>0</v>
      </c>
      <c r="K141" s="303">
        <f t="shared" si="108"/>
        <v>0</v>
      </c>
      <c r="L141" s="303">
        <f t="shared" si="108"/>
        <v>0</v>
      </c>
      <c r="M141" s="303">
        <f t="shared" si="108"/>
        <v>0</v>
      </c>
      <c r="N141" s="303">
        <f t="shared" si="108"/>
        <v>0</v>
      </c>
      <c r="O141" s="1848">
        <f t="shared" si="108"/>
        <v>0</v>
      </c>
      <c r="P141" s="1842">
        <f t="shared" ref="P141:P148" si="109">SUM(D141:O141)</f>
        <v>0</v>
      </c>
      <c r="Q141" s="1840" t="s">
        <v>359</v>
      </c>
    </row>
    <row r="142" spans="2:36">
      <c r="B142" s="1843" t="s">
        <v>375</v>
      </c>
      <c r="C142" s="1840" t="s">
        <v>359</v>
      </c>
      <c r="D142" s="1842">
        <v>0</v>
      </c>
      <c r="E142" s="303">
        <v>0</v>
      </c>
      <c r="F142" s="303">
        <v>0</v>
      </c>
      <c r="G142" s="303">
        <v>0</v>
      </c>
      <c r="H142" s="303">
        <v>0</v>
      </c>
      <c r="I142" s="303">
        <v>0</v>
      </c>
      <c r="J142" s="303">
        <v>0</v>
      </c>
      <c r="K142" s="303">
        <v>0</v>
      </c>
      <c r="L142" s="303">
        <v>0</v>
      </c>
      <c r="M142" s="303">
        <v>0</v>
      </c>
      <c r="N142" s="303">
        <v>0</v>
      </c>
      <c r="O142" s="1848">
        <v>0</v>
      </c>
      <c r="P142" s="1842">
        <f t="shared" si="109"/>
        <v>0</v>
      </c>
      <c r="Q142" s="1840" t="s">
        <v>359</v>
      </c>
    </row>
    <row r="143" spans="2:36">
      <c r="B143" s="1843" t="s">
        <v>377</v>
      </c>
      <c r="C143" s="1840" t="s">
        <v>359</v>
      </c>
      <c r="D143" s="1841">
        <f t="shared" ref="D143:O143" si="110">IF(EBF&gt;0,(Thetai-D$70)*D$69*E4beheizt*$F$15*0.0864/EBF,0)</f>
        <v>7.1702343529411774</v>
      </c>
      <c r="E143" s="215">
        <f t="shared" si="110"/>
        <v>6.1604216470588238</v>
      </c>
      <c r="F143" s="215">
        <f t="shared" si="110"/>
        <v>5.6837223529411771</v>
      </c>
      <c r="G143" s="215">
        <f t="shared" si="110"/>
        <v>4.6823717647058825</v>
      </c>
      <c r="H143" s="215">
        <f t="shared" si="110"/>
        <v>3.381086117647059</v>
      </c>
      <c r="I143" s="215">
        <f t="shared" si="110"/>
        <v>2.4822211764705884</v>
      </c>
      <c r="J143" s="215">
        <f t="shared" si="110"/>
        <v>1.9237214117647063</v>
      </c>
      <c r="K143" s="215">
        <f t="shared" si="110"/>
        <v>1.9237214117647063</v>
      </c>
      <c r="L143" s="215">
        <f t="shared" si="110"/>
        <v>3.1027764705882364</v>
      </c>
      <c r="M143" s="215">
        <f t="shared" si="110"/>
        <v>4.4012414117647065</v>
      </c>
      <c r="N143" s="215">
        <f t="shared" si="110"/>
        <v>5.8670682352941181</v>
      </c>
      <c r="O143" s="1849">
        <f t="shared" si="110"/>
        <v>6.762172235294118</v>
      </c>
      <c r="P143" s="1841">
        <f t="shared" si="109"/>
        <v>53.540758588235306</v>
      </c>
      <c r="Q143" s="1840" t="s">
        <v>359</v>
      </c>
    </row>
    <row r="144" spans="2:36">
      <c r="B144" s="1843" t="s">
        <v>406</v>
      </c>
      <c r="C144" s="1840" t="s">
        <v>359</v>
      </c>
      <c r="D144" s="1841">
        <f t="shared" ref="D144:O144" si="111">IF(EBF&gt;0,(Thetai+deltaThetahmax-D$70)*D$69*BodenErdeF*U_Boden*bGF*0.0864/EBF,0)</f>
        <v>0</v>
      </c>
      <c r="E144" s="215">
        <f t="shared" si="111"/>
        <v>0</v>
      </c>
      <c r="F144" s="215">
        <f t="shared" si="111"/>
        <v>0</v>
      </c>
      <c r="G144" s="215">
        <f t="shared" si="111"/>
        <v>0</v>
      </c>
      <c r="H144" s="215">
        <f t="shared" si="111"/>
        <v>0</v>
      </c>
      <c r="I144" s="215">
        <f t="shared" si="111"/>
        <v>0</v>
      </c>
      <c r="J144" s="215">
        <f t="shared" si="111"/>
        <v>0</v>
      </c>
      <c r="K144" s="215">
        <f t="shared" si="111"/>
        <v>0</v>
      </c>
      <c r="L144" s="215">
        <f t="shared" si="111"/>
        <v>0</v>
      </c>
      <c r="M144" s="215">
        <f t="shared" si="111"/>
        <v>0</v>
      </c>
      <c r="N144" s="215">
        <f t="shared" si="111"/>
        <v>0</v>
      </c>
      <c r="O144" s="1849">
        <f t="shared" si="111"/>
        <v>0</v>
      </c>
      <c r="P144" s="1841">
        <f t="shared" si="109"/>
        <v>0</v>
      </c>
      <c r="Q144" s="1840" t="s">
        <v>359</v>
      </c>
    </row>
    <row r="145" spans="2:17">
      <c r="B145" s="1844" t="s">
        <v>407</v>
      </c>
      <c r="C145" s="1840" t="s">
        <v>359</v>
      </c>
      <c r="D145" s="1841">
        <f t="shared" ref="D145:O145" si="112">(IF(EBF&gt;0,(Thetai+deltaThetahmax-D$70)*D$69*BodenErdeF*U_gedaemmteDecken*0.0864/EBF,0))*0</f>
        <v>0</v>
      </c>
      <c r="E145" s="215">
        <f t="shared" si="112"/>
        <v>0</v>
      </c>
      <c r="F145" s="215">
        <f t="shared" si="112"/>
        <v>0</v>
      </c>
      <c r="G145" s="215">
        <f t="shared" si="112"/>
        <v>0</v>
      </c>
      <c r="H145" s="215">
        <f t="shared" si="112"/>
        <v>0</v>
      </c>
      <c r="I145" s="215">
        <f t="shared" si="112"/>
        <v>0</v>
      </c>
      <c r="J145" s="215">
        <f t="shared" si="112"/>
        <v>0</v>
      </c>
      <c r="K145" s="215">
        <f t="shared" si="112"/>
        <v>0</v>
      </c>
      <c r="L145" s="215">
        <f t="shared" si="112"/>
        <v>0</v>
      </c>
      <c r="M145" s="215">
        <f t="shared" si="112"/>
        <v>0</v>
      </c>
      <c r="N145" s="215">
        <f t="shared" si="112"/>
        <v>0</v>
      </c>
      <c r="O145" s="1849">
        <f t="shared" si="112"/>
        <v>0</v>
      </c>
      <c r="P145" s="1841">
        <f t="shared" si="109"/>
        <v>0</v>
      </c>
      <c r="Q145" s="1840" t="s">
        <v>359</v>
      </c>
    </row>
    <row r="146" spans="2:17">
      <c r="B146" s="1843" t="s">
        <v>391</v>
      </c>
      <c r="C146" s="1840" t="s">
        <v>359</v>
      </c>
      <c r="D146" s="1841">
        <f t="shared" ref="D146:O146" si="113">IF(EBF&gt;0,(Thetai-D$70)*D$69*$D$16*$F$16*0.0864/EBF,0)</f>
        <v>12.402567529411767</v>
      </c>
      <c r="E146" s="215">
        <f t="shared" si="113"/>
        <v>10.655864470588236</v>
      </c>
      <c r="F146" s="215">
        <f t="shared" si="113"/>
        <v>9.8313035294117661</v>
      </c>
      <c r="G146" s="215">
        <f t="shared" si="113"/>
        <v>8.0992376470588248</v>
      </c>
      <c r="H146" s="215">
        <f t="shared" si="113"/>
        <v>5.8483651764705886</v>
      </c>
      <c r="I146" s="215">
        <f t="shared" si="113"/>
        <v>4.2935717647058826</v>
      </c>
      <c r="J146" s="215">
        <f t="shared" si="113"/>
        <v>3.3275181176470596</v>
      </c>
      <c r="K146" s="215">
        <f t="shared" si="113"/>
        <v>3.3275181176470596</v>
      </c>
      <c r="L146" s="215">
        <f t="shared" si="113"/>
        <v>5.3669647058823537</v>
      </c>
      <c r="M146" s="215">
        <f t="shared" si="113"/>
        <v>7.6129581176470582</v>
      </c>
      <c r="N146" s="215">
        <f t="shared" si="113"/>
        <v>10.148442352941178</v>
      </c>
      <c r="O146" s="1849">
        <f t="shared" si="113"/>
        <v>11.696730352941177</v>
      </c>
      <c r="P146" s="1841">
        <f t="shared" si="109"/>
        <v>92.611041882352936</v>
      </c>
      <c r="Q146" s="1840" t="s">
        <v>359</v>
      </c>
    </row>
    <row r="147" spans="2:17">
      <c r="B147" s="1845" t="s">
        <v>408</v>
      </c>
      <c r="C147" s="1840" t="s">
        <v>359</v>
      </c>
      <c r="D147" s="1841">
        <f>1*D$69*(Thetai-D$70)*BodenUnb*E95*$D$56*0.0864/EBF</f>
        <v>0</v>
      </c>
      <c r="E147" s="215">
        <f t="shared" ref="E147:O147" si="114">1*E$69*(Thetai-E$70)*BodenUnb*U_Boden*$D$56*0.0864/EBF</f>
        <v>0</v>
      </c>
      <c r="F147" s="215">
        <f t="shared" si="114"/>
        <v>0</v>
      </c>
      <c r="G147" s="215">
        <f t="shared" si="114"/>
        <v>0</v>
      </c>
      <c r="H147" s="215">
        <f t="shared" si="114"/>
        <v>0</v>
      </c>
      <c r="I147" s="215">
        <f t="shared" si="114"/>
        <v>0</v>
      </c>
      <c r="J147" s="215">
        <f t="shared" si="114"/>
        <v>0</v>
      </c>
      <c r="K147" s="215">
        <f t="shared" si="114"/>
        <v>0</v>
      </c>
      <c r="L147" s="215">
        <f t="shared" si="114"/>
        <v>0</v>
      </c>
      <c r="M147" s="215">
        <f t="shared" si="114"/>
        <v>0</v>
      </c>
      <c r="N147" s="215">
        <f t="shared" si="114"/>
        <v>0</v>
      </c>
      <c r="O147" s="1849">
        <f t="shared" si="114"/>
        <v>0</v>
      </c>
      <c r="P147" s="1841">
        <f t="shared" si="109"/>
        <v>0</v>
      </c>
      <c r="Q147" s="1840" t="s">
        <v>359</v>
      </c>
    </row>
    <row r="148" spans="2:17">
      <c r="B148" s="1846" t="s">
        <v>316</v>
      </c>
      <c r="C148" s="1840" t="s">
        <v>359</v>
      </c>
      <c r="D148" s="1841">
        <f t="shared" ref="D148:O148" si="115">SUM(D141:D147)*(1+WBZuschlag)</f>
        <v>21.530082070588239</v>
      </c>
      <c r="E148" s="215">
        <f t="shared" si="115"/>
        <v>18.497914729411768</v>
      </c>
      <c r="F148" s="215">
        <f t="shared" si="115"/>
        <v>17.066528470588239</v>
      </c>
      <c r="G148" s="215">
        <f t="shared" si="115"/>
        <v>14.059770352941179</v>
      </c>
      <c r="H148" s="215">
        <f t="shared" si="115"/>
        <v>10.152396423529414</v>
      </c>
      <c r="I148" s="215">
        <f t="shared" si="115"/>
        <v>7.4533722352941183</v>
      </c>
      <c r="J148" s="215">
        <f t="shared" si="115"/>
        <v>5.7763634823529433</v>
      </c>
      <c r="K148" s="215">
        <f t="shared" si="115"/>
        <v>5.7763634823529433</v>
      </c>
      <c r="L148" s="215">
        <f t="shared" si="115"/>
        <v>9.3167152941176496</v>
      </c>
      <c r="M148" s="215">
        <f t="shared" si="115"/>
        <v>13.215619482352944</v>
      </c>
      <c r="N148" s="215">
        <f t="shared" si="115"/>
        <v>17.617061647058826</v>
      </c>
      <c r="O148" s="1849">
        <f t="shared" si="115"/>
        <v>20.304792847058827</v>
      </c>
      <c r="P148" s="1841">
        <f t="shared" si="109"/>
        <v>160.76698051764711</v>
      </c>
      <c r="Q148" s="1840" t="s">
        <v>359</v>
      </c>
    </row>
    <row r="149" spans="2:17">
      <c r="B149" s="1846" t="s">
        <v>393</v>
      </c>
      <c r="C149" s="1840"/>
      <c r="D149" s="1850"/>
      <c r="E149" s="1851"/>
      <c r="F149" s="1851"/>
      <c r="G149" s="1851"/>
      <c r="H149" s="1851"/>
      <c r="I149" s="1851"/>
      <c r="J149" s="1851"/>
      <c r="K149" s="1851"/>
      <c r="L149" s="1851"/>
      <c r="M149" s="1851"/>
      <c r="N149" s="1851"/>
      <c r="O149" s="1852"/>
      <c r="P149" s="1857"/>
      <c r="Q149" s="1858"/>
    </row>
    <row r="150" spans="2:17">
      <c r="B150" s="1847" t="s">
        <v>320</v>
      </c>
      <c r="C150" s="1840" t="s">
        <v>359</v>
      </c>
      <c r="D150" s="1841">
        <f t="shared" ref="D150:O150" si="116">IF(D148=0,0,(Thetai-D$70)*$F$26*D$69*(1220-0.14*HueM)*0.000024)</f>
        <v>6.1880148101870853</v>
      </c>
      <c r="E150" s="215">
        <f t="shared" si="116"/>
        <v>5.3165320005698629</v>
      </c>
      <c r="F150" s="215">
        <f t="shared" si="116"/>
        <v>4.9051336910019581</v>
      </c>
      <c r="G150" s="215">
        <f t="shared" si="116"/>
        <v>4.0409538099569486</v>
      </c>
      <c r="H150" s="215">
        <f t="shared" si="116"/>
        <v>2.9179256828524465</v>
      </c>
      <c r="I150" s="215">
        <f t="shared" si="116"/>
        <v>2.1421923811819963</v>
      </c>
      <c r="J150" s="215">
        <f t="shared" si="116"/>
        <v>1.6601990954160477</v>
      </c>
      <c r="K150" s="215">
        <f t="shared" si="116"/>
        <v>1.6601990954160477</v>
      </c>
      <c r="L150" s="215">
        <f t="shared" si="116"/>
        <v>2.6777404764774952</v>
      </c>
      <c r="M150" s="215">
        <f t="shared" si="116"/>
        <v>3.7983342940579266</v>
      </c>
      <c r="N150" s="215">
        <f t="shared" si="116"/>
        <v>5.0633638100665364</v>
      </c>
      <c r="O150" s="1849">
        <f t="shared" si="116"/>
        <v>5.8358513657048929</v>
      </c>
      <c r="P150" s="1841">
        <f>SUM(D150:O150)</f>
        <v>46.206440512889237</v>
      </c>
      <c r="Q150" s="1840" t="s">
        <v>359</v>
      </c>
    </row>
    <row r="151" spans="2:17">
      <c r="B151" s="1846" t="s">
        <v>394</v>
      </c>
      <c r="C151" s="1840"/>
      <c r="D151" s="1853"/>
      <c r="E151" s="238"/>
      <c r="F151" s="238"/>
      <c r="G151" s="238"/>
      <c r="H151" s="238"/>
      <c r="I151" s="238"/>
      <c r="J151" s="238"/>
      <c r="K151" s="238"/>
      <c r="L151" s="238"/>
      <c r="M151" s="238"/>
      <c r="N151" s="238"/>
      <c r="O151" s="1854"/>
      <c r="P151" s="1841"/>
      <c r="Q151" s="1840"/>
    </row>
    <row r="152" spans="2:17">
      <c r="B152" s="1847" t="s">
        <v>395</v>
      </c>
      <c r="C152" s="1840" t="s">
        <v>359</v>
      </c>
      <c r="D152" s="1841">
        <f t="shared" ref="D152:O152" si="117">D150+D148</f>
        <v>27.718096880775324</v>
      </c>
      <c r="E152" s="215">
        <f t="shared" si="117"/>
        <v>23.814446729981633</v>
      </c>
      <c r="F152" s="215">
        <f t="shared" si="117"/>
        <v>21.971662161590196</v>
      </c>
      <c r="G152" s="215">
        <f t="shared" si="117"/>
        <v>18.100724162898128</v>
      </c>
      <c r="H152" s="215">
        <f t="shared" si="117"/>
        <v>13.070322106381861</v>
      </c>
      <c r="I152" s="215">
        <f t="shared" si="117"/>
        <v>9.5955646164761141</v>
      </c>
      <c r="J152" s="215">
        <f t="shared" si="117"/>
        <v>7.4365625777689912</v>
      </c>
      <c r="K152" s="215">
        <f t="shared" si="117"/>
        <v>7.4365625777689912</v>
      </c>
      <c r="L152" s="215">
        <f t="shared" si="117"/>
        <v>11.994455770595145</v>
      </c>
      <c r="M152" s="215">
        <f t="shared" si="117"/>
        <v>17.013953776410869</v>
      </c>
      <c r="N152" s="215">
        <f t="shared" si="117"/>
        <v>22.680425457125363</v>
      </c>
      <c r="O152" s="1849">
        <f t="shared" si="117"/>
        <v>26.140644212763721</v>
      </c>
      <c r="P152" s="1841">
        <f>SUM(D152:O152)</f>
        <v>206.97342103053634</v>
      </c>
      <c r="Q152" s="1840" t="s">
        <v>359</v>
      </c>
    </row>
    <row r="153" spans="2:17">
      <c r="B153" s="1846" t="s">
        <v>396</v>
      </c>
      <c r="C153" s="1840"/>
      <c r="D153" s="1853"/>
      <c r="E153" s="238" t="s">
        <v>193</v>
      </c>
      <c r="F153" s="238"/>
      <c r="G153" s="238"/>
      <c r="H153" s="238"/>
      <c r="I153" s="238"/>
      <c r="J153" s="238"/>
      <c r="K153" s="238"/>
      <c r="L153" s="238"/>
      <c r="M153" s="238"/>
      <c r="N153" s="238"/>
      <c r="O153" s="1854"/>
      <c r="P153" s="1841"/>
      <c r="Q153" s="1840"/>
    </row>
    <row r="154" spans="2:17">
      <c r="B154" s="1847" t="s">
        <v>397</v>
      </c>
      <c r="C154" s="1840" t="s">
        <v>359</v>
      </c>
      <c r="D154" s="1841">
        <f t="shared" ref="D154:O154" si="118">$F$41*fE*D$69/365</f>
        <v>3.6396335616438353</v>
      </c>
      <c r="E154" s="215">
        <f t="shared" si="118"/>
        <v>3.2874109589041094</v>
      </c>
      <c r="F154" s="215">
        <f t="shared" si="118"/>
        <v>3.6396335616438353</v>
      </c>
      <c r="G154" s="215">
        <f t="shared" si="118"/>
        <v>3.5222260273972603</v>
      </c>
      <c r="H154" s="215">
        <f t="shared" si="118"/>
        <v>3.6396335616438353</v>
      </c>
      <c r="I154" s="215">
        <f t="shared" si="118"/>
        <v>3.5222260273972603</v>
      </c>
      <c r="J154" s="215">
        <f t="shared" si="118"/>
        <v>3.6396335616438353</v>
      </c>
      <c r="K154" s="215">
        <f t="shared" si="118"/>
        <v>3.6396335616438353</v>
      </c>
      <c r="L154" s="215">
        <f t="shared" si="118"/>
        <v>3.5222260273972603</v>
      </c>
      <c r="M154" s="215">
        <f t="shared" si="118"/>
        <v>3.6396335616438353</v>
      </c>
      <c r="N154" s="215">
        <f t="shared" si="118"/>
        <v>3.5222260273972603</v>
      </c>
      <c r="O154" s="1849">
        <f t="shared" si="118"/>
        <v>3.6396335616438353</v>
      </c>
      <c r="P154" s="1841">
        <f>SUM(D154:O154)</f>
        <v>42.853749999999991</v>
      </c>
      <c r="Q154" s="1840" t="s">
        <v>359</v>
      </c>
    </row>
    <row r="155" spans="2:17">
      <c r="B155" s="1847" t="s">
        <v>399</v>
      </c>
      <c r="C155" s="1840" t="s">
        <v>359</v>
      </c>
      <c r="D155" s="1841">
        <f t="shared" ref="D155:O155" si="119">$D$40*D$69/365</f>
        <v>2.9998080000000007</v>
      </c>
      <c r="E155" s="215">
        <f t="shared" si="119"/>
        <v>2.7095040000000008</v>
      </c>
      <c r="F155" s="215">
        <f t="shared" si="119"/>
        <v>2.9998080000000007</v>
      </c>
      <c r="G155" s="215">
        <f t="shared" si="119"/>
        <v>2.9030400000000007</v>
      </c>
      <c r="H155" s="215">
        <f t="shared" si="119"/>
        <v>2.9998080000000007</v>
      </c>
      <c r="I155" s="215">
        <f t="shared" si="119"/>
        <v>2.9030400000000007</v>
      </c>
      <c r="J155" s="215">
        <f t="shared" si="119"/>
        <v>2.9998080000000007</v>
      </c>
      <c r="K155" s="215">
        <f t="shared" si="119"/>
        <v>2.9998080000000007</v>
      </c>
      <c r="L155" s="215">
        <f t="shared" si="119"/>
        <v>2.9030400000000007</v>
      </c>
      <c r="M155" s="215">
        <f t="shared" si="119"/>
        <v>2.9998080000000007</v>
      </c>
      <c r="N155" s="215">
        <f t="shared" si="119"/>
        <v>2.9030400000000007</v>
      </c>
      <c r="O155" s="1849">
        <f t="shared" si="119"/>
        <v>2.9998080000000007</v>
      </c>
      <c r="P155" s="1841">
        <f>SUM(D155:O155)</f>
        <v>35.320320000000009</v>
      </c>
      <c r="Q155" s="1840" t="s">
        <v>359</v>
      </c>
    </row>
    <row r="156" spans="2:17">
      <c r="B156" s="1847" t="s">
        <v>400</v>
      </c>
      <c r="C156" s="1840" t="s">
        <v>359</v>
      </c>
      <c r="D156" s="1841">
        <f t="shared" ref="D156:O156" si="120">D155+D154</f>
        <v>6.639441561643836</v>
      </c>
      <c r="E156" s="215">
        <f t="shared" si="120"/>
        <v>5.9969149589041102</v>
      </c>
      <c r="F156" s="215">
        <f t="shared" si="120"/>
        <v>6.639441561643836</v>
      </c>
      <c r="G156" s="215">
        <f t="shared" si="120"/>
        <v>6.425266027397261</v>
      </c>
      <c r="H156" s="215">
        <f t="shared" si="120"/>
        <v>6.639441561643836</v>
      </c>
      <c r="I156" s="215">
        <f t="shared" si="120"/>
        <v>6.425266027397261</v>
      </c>
      <c r="J156" s="215">
        <f t="shared" si="120"/>
        <v>6.639441561643836</v>
      </c>
      <c r="K156" s="215">
        <f t="shared" si="120"/>
        <v>6.639441561643836</v>
      </c>
      <c r="L156" s="215">
        <f t="shared" si="120"/>
        <v>6.425266027397261</v>
      </c>
      <c r="M156" s="215">
        <f t="shared" si="120"/>
        <v>6.639441561643836</v>
      </c>
      <c r="N156" s="215">
        <f t="shared" si="120"/>
        <v>6.425266027397261</v>
      </c>
      <c r="O156" s="1849">
        <f t="shared" si="120"/>
        <v>6.639441561643836</v>
      </c>
      <c r="P156" s="1841">
        <f>SUM(D156:O156)</f>
        <v>78.17407</v>
      </c>
      <c r="Q156" s="1840" t="s">
        <v>359</v>
      </c>
    </row>
    <row r="157" spans="2:17">
      <c r="B157" s="1846" t="s">
        <v>401</v>
      </c>
      <c r="C157" s="1840" t="s">
        <v>359</v>
      </c>
      <c r="D157" s="1841">
        <f t="shared" ref="D157:O157" si="121">IF(EBF&gt;0,($D$19*D$72*$F$19+$D$18*D$73*$F$18+$D$20*D$74*$F$20+$D$17*D$75*$F$17+$D$21*D$71*$F$21)*0.9*$F30*FF/EBF,0)</f>
        <v>1.270588235294118</v>
      </c>
      <c r="E157" s="215">
        <f t="shared" si="121"/>
        <v>1.9535294117647062</v>
      </c>
      <c r="F157" s="215">
        <f t="shared" si="121"/>
        <v>3.1447058823529419</v>
      </c>
      <c r="G157" s="215">
        <f t="shared" si="121"/>
        <v>3.6688235294117648</v>
      </c>
      <c r="H157" s="215">
        <f t="shared" si="121"/>
        <v>4.5582352941176483</v>
      </c>
      <c r="I157" s="215">
        <f t="shared" si="121"/>
        <v>4.8123529411764707</v>
      </c>
      <c r="J157" s="215">
        <f t="shared" si="121"/>
        <v>5.1935294117647075</v>
      </c>
      <c r="K157" s="215">
        <f t="shared" si="121"/>
        <v>4.6852941176470591</v>
      </c>
      <c r="L157" s="215">
        <f t="shared" si="121"/>
        <v>3.4623529411764706</v>
      </c>
      <c r="M157" s="215">
        <f t="shared" si="121"/>
        <v>2.2552941176470593</v>
      </c>
      <c r="N157" s="215">
        <f t="shared" si="121"/>
        <v>1.1911764705882353</v>
      </c>
      <c r="O157" s="1849">
        <f t="shared" si="121"/>
        <v>0.93705882352941194</v>
      </c>
      <c r="P157" s="1841">
        <f>SUM(D157:O157)</f>
        <v>37.132941176470588</v>
      </c>
      <c r="Q157" s="1840" t="s">
        <v>359</v>
      </c>
    </row>
    <row r="158" spans="2:17">
      <c r="B158" s="1847" t="s">
        <v>402</v>
      </c>
      <c r="C158" s="1840" t="s">
        <v>359</v>
      </c>
      <c r="D158" s="1841">
        <f t="shared" ref="D158:O158" si="122">D157+D156</f>
        <v>7.9100297969379536</v>
      </c>
      <c r="E158" s="215">
        <f t="shared" si="122"/>
        <v>7.9504443706688166</v>
      </c>
      <c r="F158" s="215">
        <f t="shared" si="122"/>
        <v>9.7841474439967779</v>
      </c>
      <c r="G158" s="215">
        <f t="shared" si="122"/>
        <v>10.094089556809026</v>
      </c>
      <c r="H158" s="215">
        <f t="shared" si="122"/>
        <v>11.197676855761484</v>
      </c>
      <c r="I158" s="215">
        <f t="shared" si="122"/>
        <v>11.237618968573731</v>
      </c>
      <c r="J158" s="215">
        <f t="shared" si="122"/>
        <v>11.832970973408543</v>
      </c>
      <c r="K158" s="215">
        <f t="shared" si="122"/>
        <v>11.324735679290896</v>
      </c>
      <c r="L158" s="215">
        <f t="shared" si="122"/>
        <v>9.8876189685737312</v>
      </c>
      <c r="M158" s="215">
        <f t="shared" si="122"/>
        <v>8.8947356792908963</v>
      </c>
      <c r="N158" s="215">
        <f t="shared" si="122"/>
        <v>7.6164424979854966</v>
      </c>
      <c r="O158" s="1849">
        <f t="shared" si="122"/>
        <v>7.5765003851732482</v>
      </c>
      <c r="P158" s="1841">
        <f>SUM(D158:O158)</f>
        <v>115.30701117647062</v>
      </c>
      <c r="Q158" s="1840" t="s">
        <v>359</v>
      </c>
    </row>
    <row r="159" spans="2:17">
      <c r="B159" s="1847" t="s">
        <v>411</v>
      </c>
      <c r="C159" s="1840"/>
      <c r="D159" s="1841">
        <f t="shared" ref="D159:O159" si="123">IF(D152&gt;0,D158/D152,0)</f>
        <v>0.28537420267205216</v>
      </c>
      <c r="E159" s="215">
        <f t="shared" si="123"/>
        <v>0.333849635929583</v>
      </c>
      <c r="F159" s="215">
        <f t="shared" si="123"/>
        <v>0.44530756808653987</v>
      </c>
      <c r="G159" s="215">
        <f t="shared" si="123"/>
        <v>0.55766219439437326</v>
      </c>
      <c r="H159" s="215">
        <f t="shared" si="123"/>
        <v>0.85672539395903502</v>
      </c>
      <c r="I159" s="215">
        <f t="shared" si="123"/>
        <v>1.171126392008045</v>
      </c>
      <c r="J159" s="215">
        <f t="shared" si="123"/>
        <v>1.5911882472128001</v>
      </c>
      <c r="K159" s="215">
        <f t="shared" si="123"/>
        <v>1.522845476100112</v>
      </c>
      <c r="L159" s="215">
        <f t="shared" si="123"/>
        <v>0.82434911243022768</v>
      </c>
      <c r="M159" s="215">
        <f t="shared" si="123"/>
        <v>0.52279063386331004</v>
      </c>
      <c r="N159" s="215">
        <f t="shared" si="123"/>
        <v>0.33581568001814921</v>
      </c>
      <c r="O159" s="1849">
        <f t="shared" si="123"/>
        <v>0.2898360240668385</v>
      </c>
      <c r="P159" s="1841" t="s">
        <v>56</v>
      </c>
      <c r="Q159" s="1840"/>
    </row>
    <row r="160" spans="2:17">
      <c r="B160" s="1846" t="s">
        <v>412</v>
      </c>
      <c r="C160" s="1840"/>
      <c r="D160" s="1841">
        <f t="shared" ref="D160:O160" si="124">IF(D152&gt;0,CEBF*EBF*1000000/(($D$22*U_DAFbeheizt+$D$14*U_E3*bGW+E4beheizt*U_E4+BodenErdeF*U_Boden*bGF+$D$16*U_E5)*3600 + Vth*EBF*(1220-0.14*HueM)),0)</f>
        <v>225.36457810149119</v>
      </c>
      <c r="E160" s="215">
        <f t="shared" si="124"/>
        <v>225.36457810149119</v>
      </c>
      <c r="F160" s="215">
        <f t="shared" si="124"/>
        <v>225.36457810149119</v>
      </c>
      <c r="G160" s="215">
        <f t="shared" si="124"/>
        <v>225.36457810149119</v>
      </c>
      <c r="H160" s="215">
        <f t="shared" si="124"/>
        <v>225.36457810149119</v>
      </c>
      <c r="I160" s="215">
        <f t="shared" si="124"/>
        <v>225.36457810149119</v>
      </c>
      <c r="J160" s="215">
        <f t="shared" si="124"/>
        <v>225.36457810149119</v>
      </c>
      <c r="K160" s="215">
        <f t="shared" si="124"/>
        <v>225.36457810149119</v>
      </c>
      <c r="L160" s="215">
        <f t="shared" si="124"/>
        <v>225.36457810149119</v>
      </c>
      <c r="M160" s="215">
        <f t="shared" si="124"/>
        <v>225.36457810149119</v>
      </c>
      <c r="N160" s="215">
        <f t="shared" si="124"/>
        <v>225.36457810149119</v>
      </c>
      <c r="O160" s="1849">
        <f t="shared" si="124"/>
        <v>225.36457810149119</v>
      </c>
      <c r="P160" s="1841"/>
      <c r="Q160" s="1840"/>
    </row>
    <row r="161" spans="2:17">
      <c r="B161" s="1847" t="s">
        <v>403</v>
      </c>
      <c r="C161" s="1840"/>
      <c r="D161" s="1841">
        <f t="shared" ref="D161:O161" si="125">a0+D160/tau0</f>
        <v>16.02430520676608</v>
      </c>
      <c r="E161" s="215">
        <f t="shared" si="125"/>
        <v>16.02430520676608</v>
      </c>
      <c r="F161" s="215">
        <f t="shared" si="125"/>
        <v>16.02430520676608</v>
      </c>
      <c r="G161" s="215">
        <f t="shared" si="125"/>
        <v>16.02430520676608</v>
      </c>
      <c r="H161" s="215">
        <f t="shared" si="125"/>
        <v>16.02430520676608</v>
      </c>
      <c r="I161" s="215">
        <f t="shared" si="125"/>
        <v>16.02430520676608</v>
      </c>
      <c r="J161" s="215">
        <f t="shared" si="125"/>
        <v>16.02430520676608</v>
      </c>
      <c r="K161" s="215">
        <f t="shared" si="125"/>
        <v>16.02430520676608</v>
      </c>
      <c r="L161" s="215">
        <f t="shared" si="125"/>
        <v>16.02430520676608</v>
      </c>
      <c r="M161" s="215">
        <f t="shared" si="125"/>
        <v>16.02430520676608</v>
      </c>
      <c r="N161" s="215">
        <f t="shared" si="125"/>
        <v>16.02430520676608</v>
      </c>
      <c r="O161" s="1849">
        <f t="shared" si="125"/>
        <v>16.02430520676608</v>
      </c>
      <c r="P161" s="1841"/>
      <c r="Q161" s="1840"/>
    </row>
    <row r="162" spans="2:17">
      <c r="B162" s="1847" t="s">
        <v>413</v>
      </c>
      <c r="C162" s="1840"/>
      <c r="D162" s="1855">
        <f t="shared" ref="D162:O162" si="126">IF(D159=1,D161/(D161+1),IF(D152&lt;=0,0,(1-D159^D161)/(1-D159^(D161+1))))</f>
        <v>0.99999999865884859</v>
      </c>
      <c r="E162" s="1101">
        <f t="shared" si="126"/>
        <v>0.9999999845543357</v>
      </c>
      <c r="F162" s="1101">
        <f t="shared" si="126"/>
        <v>0.99999869960730192</v>
      </c>
      <c r="G162" s="1101">
        <f t="shared" si="126"/>
        <v>0.99996184515421571</v>
      </c>
      <c r="H162" s="1101">
        <f t="shared" si="126"/>
        <v>0.98704598901206686</v>
      </c>
      <c r="I162" s="1101">
        <f t="shared" si="126"/>
        <v>0.84322919130914042</v>
      </c>
      <c r="J162" s="1101">
        <f t="shared" si="126"/>
        <v>0.62832438150528924</v>
      </c>
      <c r="K162" s="1101">
        <f t="shared" si="126"/>
        <v>0.6563984711380213</v>
      </c>
      <c r="L162" s="1101">
        <f t="shared" si="126"/>
        <v>0.99174143204020593</v>
      </c>
      <c r="M162" s="1101">
        <f t="shared" si="126"/>
        <v>0.99998537436977042</v>
      </c>
      <c r="N162" s="1101">
        <f t="shared" si="126"/>
        <v>0.99999998308056193</v>
      </c>
      <c r="O162" s="1856">
        <f t="shared" si="126"/>
        <v>0.99999999829107133</v>
      </c>
      <c r="P162" s="1855">
        <f>IF(P158&gt;0,P163/P158,0)</f>
        <v>0.91086236268400567</v>
      </c>
      <c r="Q162" s="1840"/>
    </row>
    <row r="163" spans="2:17">
      <c r="B163" s="1847" t="s">
        <v>323</v>
      </c>
      <c r="C163" s="1840" t="s">
        <v>359</v>
      </c>
      <c r="D163" s="1841">
        <f t="shared" ref="D163:O163" si="127">D158*D162</f>
        <v>7.9100297863294058</v>
      </c>
      <c r="E163" s="215">
        <f t="shared" si="127"/>
        <v>7.9504442478689219</v>
      </c>
      <c r="F163" s="215">
        <f t="shared" si="127"/>
        <v>9.7841347207628857</v>
      </c>
      <c r="G163" s="215">
        <f t="shared" si="127"/>
        <v>10.093704418378653</v>
      </c>
      <c r="H163" s="215">
        <f t="shared" si="127"/>
        <v>11.052622026732626</v>
      </c>
      <c r="I163" s="215">
        <f t="shared" si="127"/>
        <v>9.4758883551106834</v>
      </c>
      <c r="J163" s="215">
        <f t="shared" si="127"/>
        <v>7.4349441682369628</v>
      </c>
      <c r="K163" s="215">
        <f t="shared" si="127"/>
        <v>7.433539185928745</v>
      </c>
      <c r="L163" s="215">
        <f t="shared" si="127"/>
        <v>9.8059613953612157</v>
      </c>
      <c r="M163" s="215">
        <f t="shared" si="127"/>
        <v>8.8946055881758603</v>
      </c>
      <c r="N163" s="215">
        <f t="shared" si="127"/>
        <v>7.6164423691195697</v>
      </c>
      <c r="O163" s="1849">
        <f t="shared" si="127"/>
        <v>7.5765003722255493</v>
      </c>
      <c r="P163" s="1841">
        <f>SUM(D163:O163)</f>
        <v>105.02881663423108</v>
      </c>
      <c r="Q163" s="1840" t="s">
        <v>359</v>
      </c>
    </row>
    <row r="164" spans="2:17">
      <c r="B164" s="1846" t="s">
        <v>404</v>
      </c>
      <c r="C164" s="1840"/>
      <c r="D164" s="1841"/>
      <c r="E164" s="215"/>
      <c r="F164" s="215"/>
      <c r="G164" s="215"/>
      <c r="H164" s="215"/>
      <c r="I164" s="215"/>
      <c r="J164" s="215"/>
      <c r="K164" s="215"/>
      <c r="L164" s="215"/>
      <c r="M164" s="215"/>
      <c r="N164" s="215"/>
      <c r="O164" s="1849"/>
      <c r="P164" s="1859"/>
      <c r="Q164" s="1840"/>
    </row>
    <row r="165" spans="2:17">
      <c r="B165" s="1847" t="s">
        <v>2251</v>
      </c>
      <c r="C165" s="1840" t="s">
        <v>359</v>
      </c>
      <c r="D165" s="1841">
        <f t="shared" ref="D165:O165" si="128">D152-D163</f>
        <v>19.808067094445917</v>
      </c>
      <c r="E165" s="215">
        <f t="shared" si="128"/>
        <v>15.86400248211271</v>
      </c>
      <c r="F165" s="215">
        <f t="shared" si="128"/>
        <v>12.18752744082731</v>
      </c>
      <c r="G165" s="215">
        <f t="shared" si="128"/>
        <v>8.0070197445194751</v>
      </c>
      <c r="H165" s="215">
        <f t="shared" si="128"/>
        <v>2.0177000796492344</v>
      </c>
      <c r="I165" s="215">
        <f t="shared" si="128"/>
        <v>0.11967626136543075</v>
      </c>
      <c r="J165" s="215">
        <f t="shared" si="128"/>
        <v>1.6184095320284086E-3</v>
      </c>
      <c r="K165" s="215">
        <f t="shared" si="128"/>
        <v>3.0233918402462479E-3</v>
      </c>
      <c r="L165" s="215">
        <f t="shared" si="128"/>
        <v>2.1884943752339296</v>
      </c>
      <c r="M165" s="215">
        <f t="shared" si="128"/>
        <v>8.1193481882350085</v>
      </c>
      <c r="N165" s="215">
        <f t="shared" si="128"/>
        <v>15.063983088005793</v>
      </c>
      <c r="O165" s="1849">
        <f t="shared" si="128"/>
        <v>18.564143840538172</v>
      </c>
      <c r="P165" s="1859">
        <f>SUM(D165:O165)</f>
        <v>101.94460439630527</v>
      </c>
      <c r="Q165" s="1840" t="s">
        <v>359</v>
      </c>
    </row>
    <row r="166" spans="2:17">
      <c r="B166" s="1846" t="s">
        <v>2252</v>
      </c>
      <c r="C166" s="1840"/>
      <c r="D166" s="1842"/>
      <c r="E166" s="303"/>
      <c r="F166" s="303"/>
      <c r="G166" s="303"/>
      <c r="H166" s="303"/>
      <c r="I166" s="303"/>
      <c r="J166" s="303"/>
      <c r="K166" s="303"/>
      <c r="L166" s="303"/>
      <c r="M166" s="303"/>
      <c r="N166" s="303"/>
      <c r="O166" s="1848"/>
      <c r="P166" s="1860">
        <f>P165/3.6</f>
        <v>28.317945665640352</v>
      </c>
      <c r="Q166" s="1840" t="s">
        <v>1658</v>
      </c>
    </row>
    <row r="167" spans="2:17">
      <c r="B167" s="1894" t="s">
        <v>1390</v>
      </c>
      <c r="C167" s="1895"/>
      <c r="D167" s="1896">
        <f t="shared" ref="D167:O167" si="129">MAX(0,D158-D152)</f>
        <v>0</v>
      </c>
      <c r="E167" s="1897">
        <f t="shared" si="129"/>
        <v>0</v>
      </c>
      <c r="F167" s="1897">
        <f t="shared" si="129"/>
        <v>0</v>
      </c>
      <c r="G167" s="1897">
        <f t="shared" si="129"/>
        <v>0</v>
      </c>
      <c r="H167" s="1897">
        <f t="shared" si="129"/>
        <v>0</v>
      </c>
      <c r="I167" s="1897">
        <f t="shared" si="129"/>
        <v>1.6420543520976167</v>
      </c>
      <c r="J167" s="1897">
        <f t="shared" si="129"/>
        <v>4.3964083956395514</v>
      </c>
      <c r="K167" s="1897">
        <f t="shared" si="129"/>
        <v>3.8881731015219048</v>
      </c>
      <c r="L167" s="1897">
        <f t="shared" si="129"/>
        <v>0</v>
      </c>
      <c r="M167" s="1897">
        <f t="shared" si="129"/>
        <v>0</v>
      </c>
      <c r="N167" s="1897">
        <f t="shared" si="129"/>
        <v>0</v>
      </c>
      <c r="O167" s="1898">
        <f t="shared" si="129"/>
        <v>0</v>
      </c>
      <c r="P167" s="1896">
        <f>SUM(D167:O167)</f>
        <v>9.9266358492590729</v>
      </c>
      <c r="Q167" s="1895" t="s">
        <v>359</v>
      </c>
    </row>
    <row r="169" spans="2:17">
      <c r="B169" s="1862" t="s">
        <v>405</v>
      </c>
      <c r="C169" s="1863" t="s">
        <v>260</v>
      </c>
      <c r="D169" s="1864" t="s">
        <v>37</v>
      </c>
      <c r="E169" s="1865" t="s">
        <v>38</v>
      </c>
      <c r="F169" s="1865" t="s">
        <v>351</v>
      </c>
      <c r="G169" s="1865" t="s">
        <v>39</v>
      </c>
      <c r="H169" s="1865" t="s">
        <v>40</v>
      </c>
      <c r="I169" s="1865" t="s">
        <v>41</v>
      </c>
      <c r="J169" s="1865" t="s">
        <v>42</v>
      </c>
      <c r="K169" s="1865" t="s">
        <v>43</v>
      </c>
      <c r="L169" s="1865" t="s">
        <v>44</v>
      </c>
      <c r="M169" s="1865" t="s">
        <v>45</v>
      </c>
      <c r="N169" s="1865" t="s">
        <v>46</v>
      </c>
      <c r="O169" s="1866" t="s">
        <v>47</v>
      </c>
      <c r="P169" s="1867" t="s">
        <v>352</v>
      </c>
      <c r="Q169" s="1868"/>
    </row>
    <row r="170" spans="2:17">
      <c r="B170" s="1861" t="s">
        <v>371</v>
      </c>
      <c r="C170" s="1840"/>
      <c r="D170" s="1843"/>
      <c r="O170" s="1840"/>
      <c r="P170" s="1843"/>
      <c r="Q170" s="1840"/>
    </row>
    <row r="171" spans="2:17">
      <c r="B171" s="1843" t="s">
        <v>373</v>
      </c>
      <c r="C171" s="1840" t="s">
        <v>359</v>
      </c>
      <c r="D171" s="1842">
        <f t="shared" ref="D171:O171" si="130">IF(EBF&gt;0,(Thetai-D$70)*D$69*$D$22*U_DAFbeheizt*0.0864/EBF,0)</f>
        <v>0</v>
      </c>
      <c r="E171" s="303">
        <f t="shared" si="130"/>
        <v>0</v>
      </c>
      <c r="F171" s="303">
        <f t="shared" si="130"/>
        <v>0</v>
      </c>
      <c r="G171" s="303">
        <f t="shared" si="130"/>
        <v>0</v>
      </c>
      <c r="H171" s="303">
        <f t="shared" si="130"/>
        <v>0</v>
      </c>
      <c r="I171" s="303">
        <f t="shared" si="130"/>
        <v>0</v>
      </c>
      <c r="J171" s="303">
        <f t="shared" si="130"/>
        <v>0</v>
      </c>
      <c r="K171" s="303">
        <f t="shared" si="130"/>
        <v>0</v>
      </c>
      <c r="L171" s="303">
        <f t="shared" si="130"/>
        <v>0</v>
      </c>
      <c r="M171" s="303">
        <f t="shared" si="130"/>
        <v>0</v>
      </c>
      <c r="N171" s="303">
        <f t="shared" si="130"/>
        <v>0</v>
      </c>
      <c r="O171" s="1848">
        <f t="shared" si="130"/>
        <v>0</v>
      </c>
      <c r="P171" s="1842">
        <f t="shared" ref="P171:P178" si="131">SUM(D171:O171)</f>
        <v>0</v>
      </c>
      <c r="Q171" s="1840" t="s">
        <v>359</v>
      </c>
    </row>
    <row r="172" spans="2:17">
      <c r="B172" s="1843" t="s">
        <v>375</v>
      </c>
      <c r="C172" s="1840" t="s">
        <v>359</v>
      </c>
      <c r="D172" s="1842">
        <v>0</v>
      </c>
      <c r="E172" s="303">
        <v>0</v>
      </c>
      <c r="F172" s="303">
        <v>0</v>
      </c>
      <c r="G172" s="303">
        <v>0</v>
      </c>
      <c r="H172" s="303">
        <v>0</v>
      </c>
      <c r="I172" s="303">
        <v>0</v>
      </c>
      <c r="J172" s="303">
        <v>0</v>
      </c>
      <c r="K172" s="303">
        <v>0</v>
      </c>
      <c r="L172" s="303">
        <v>0</v>
      </c>
      <c r="M172" s="303">
        <v>0</v>
      </c>
      <c r="N172" s="303">
        <v>0</v>
      </c>
      <c r="O172" s="1848">
        <v>0</v>
      </c>
      <c r="P172" s="1842">
        <f t="shared" si="131"/>
        <v>0</v>
      </c>
      <c r="Q172" s="1840" t="s">
        <v>359</v>
      </c>
    </row>
    <row r="173" spans="2:17">
      <c r="B173" s="1843" t="s">
        <v>377</v>
      </c>
      <c r="C173" s="1840" t="s">
        <v>359</v>
      </c>
      <c r="D173" s="1841">
        <f t="shared" ref="D173:O173" si="132">IF(EBF&gt;0,(Thetai-D$70)*D$69*E4beheizt*$G$15*0.0864/EBF,0)</f>
        <v>57.361874823529419</v>
      </c>
      <c r="E173" s="215">
        <f t="shared" si="132"/>
        <v>49.28337317647059</v>
      </c>
      <c r="F173" s="215">
        <f t="shared" si="132"/>
        <v>45.469778823529417</v>
      </c>
      <c r="G173" s="215">
        <f t="shared" si="132"/>
        <v>37.45897411764706</v>
      </c>
      <c r="H173" s="215">
        <f t="shared" si="132"/>
        <v>27.048688941176472</v>
      </c>
      <c r="I173" s="215">
        <f t="shared" si="132"/>
        <v>19.857769411764707</v>
      </c>
      <c r="J173" s="215">
        <f t="shared" si="132"/>
        <v>15.389771294117651</v>
      </c>
      <c r="K173" s="215">
        <f t="shared" si="132"/>
        <v>15.389771294117651</v>
      </c>
      <c r="L173" s="215">
        <f t="shared" si="132"/>
        <v>24.822211764705891</v>
      </c>
      <c r="M173" s="215">
        <f t="shared" si="132"/>
        <v>35.209931294117652</v>
      </c>
      <c r="N173" s="215">
        <f t="shared" si="132"/>
        <v>46.936545882352945</v>
      </c>
      <c r="O173" s="1849">
        <f t="shared" si="132"/>
        <v>54.097377882352944</v>
      </c>
      <c r="P173" s="1841">
        <f t="shared" si="131"/>
        <v>428.32606870588245</v>
      </c>
      <c r="Q173" s="1840" t="s">
        <v>359</v>
      </c>
    </row>
    <row r="174" spans="2:17">
      <c r="B174" s="1843" t="s">
        <v>406</v>
      </c>
      <c r="C174" s="1840" t="s">
        <v>359</v>
      </c>
      <c r="D174" s="1841">
        <f t="shared" ref="D174:O174" si="133">IF(EBF&gt;0,(Thetai+deltaThetahmax-D$70)*D$69*BodenErdeF*U_Boden*bGF*0.0864/EBF,0)</f>
        <v>0</v>
      </c>
      <c r="E174" s="215">
        <f t="shared" si="133"/>
        <v>0</v>
      </c>
      <c r="F174" s="215">
        <f t="shared" si="133"/>
        <v>0</v>
      </c>
      <c r="G174" s="215">
        <f t="shared" si="133"/>
        <v>0</v>
      </c>
      <c r="H174" s="215">
        <f t="shared" si="133"/>
        <v>0</v>
      </c>
      <c r="I174" s="215">
        <f t="shared" si="133"/>
        <v>0</v>
      </c>
      <c r="J174" s="215">
        <f t="shared" si="133"/>
        <v>0</v>
      </c>
      <c r="K174" s="215">
        <f t="shared" si="133"/>
        <v>0</v>
      </c>
      <c r="L174" s="215">
        <f t="shared" si="133"/>
        <v>0</v>
      </c>
      <c r="M174" s="215">
        <f t="shared" si="133"/>
        <v>0</v>
      </c>
      <c r="N174" s="215">
        <f t="shared" si="133"/>
        <v>0</v>
      </c>
      <c r="O174" s="1849">
        <f t="shared" si="133"/>
        <v>0</v>
      </c>
      <c r="P174" s="1841">
        <f t="shared" si="131"/>
        <v>0</v>
      </c>
      <c r="Q174" s="1840" t="s">
        <v>359</v>
      </c>
    </row>
    <row r="175" spans="2:17">
      <c r="B175" s="1844" t="s">
        <v>407</v>
      </c>
      <c r="C175" s="1840" t="s">
        <v>359</v>
      </c>
      <c r="D175" s="1841">
        <f t="shared" ref="D175:O175" si="134">(IF(EBF&gt;0,(Thetai+deltaThetahmax-D$70)*D$69*BodenErdeF*U_gedaemmteDecken*0.0864/EBF,0))*0</f>
        <v>0</v>
      </c>
      <c r="E175" s="215">
        <f t="shared" si="134"/>
        <v>0</v>
      </c>
      <c r="F175" s="215">
        <f t="shared" si="134"/>
        <v>0</v>
      </c>
      <c r="G175" s="215">
        <f t="shared" si="134"/>
        <v>0</v>
      </c>
      <c r="H175" s="215">
        <f t="shared" si="134"/>
        <v>0</v>
      </c>
      <c r="I175" s="215">
        <f t="shared" si="134"/>
        <v>0</v>
      </c>
      <c r="J175" s="215">
        <f t="shared" si="134"/>
        <v>0</v>
      </c>
      <c r="K175" s="215">
        <f t="shared" si="134"/>
        <v>0</v>
      </c>
      <c r="L175" s="215">
        <f t="shared" si="134"/>
        <v>0</v>
      </c>
      <c r="M175" s="215">
        <f t="shared" si="134"/>
        <v>0</v>
      </c>
      <c r="N175" s="215">
        <f t="shared" si="134"/>
        <v>0</v>
      </c>
      <c r="O175" s="1849">
        <f t="shared" si="134"/>
        <v>0</v>
      </c>
      <c r="P175" s="1841">
        <f t="shared" si="131"/>
        <v>0</v>
      </c>
      <c r="Q175" s="1840" t="s">
        <v>359</v>
      </c>
    </row>
    <row r="176" spans="2:17">
      <c r="B176" s="1843" t="s">
        <v>391</v>
      </c>
      <c r="C176" s="1840" t="s">
        <v>359</v>
      </c>
      <c r="D176" s="1841">
        <f t="shared" ref="D176:O176" si="135">IF(EBF&gt;0,(Thetai-D$70)*D$69*$D$16*$G$16*0.0864/EBF,0)</f>
        <v>23.254814117647065</v>
      </c>
      <c r="E176" s="215">
        <f t="shared" si="135"/>
        <v>19.979745882352937</v>
      </c>
      <c r="F176" s="215">
        <f t="shared" si="135"/>
        <v>18.433694117647065</v>
      </c>
      <c r="G176" s="215">
        <f t="shared" si="135"/>
        <v>15.1860705882353</v>
      </c>
      <c r="H176" s="215">
        <f t="shared" si="135"/>
        <v>10.965684705882351</v>
      </c>
      <c r="I176" s="215">
        <f t="shared" si="135"/>
        <v>8.0504470588235311</v>
      </c>
      <c r="J176" s="215">
        <f t="shared" si="135"/>
        <v>6.2390964705882377</v>
      </c>
      <c r="K176" s="215">
        <f t="shared" si="135"/>
        <v>6.2390964705882377</v>
      </c>
      <c r="L176" s="215">
        <f t="shared" si="135"/>
        <v>10.063058823529413</v>
      </c>
      <c r="M176" s="215">
        <f t="shared" si="135"/>
        <v>14.274296470588235</v>
      </c>
      <c r="N176" s="215">
        <f t="shared" si="135"/>
        <v>19.028329411764709</v>
      </c>
      <c r="O176" s="1849">
        <f t="shared" si="135"/>
        <v>21.931369411764702</v>
      </c>
      <c r="P176" s="1841">
        <f t="shared" si="131"/>
        <v>173.64570352941178</v>
      </c>
      <c r="Q176" s="1840" t="s">
        <v>359</v>
      </c>
    </row>
    <row r="177" spans="2:17">
      <c r="B177" s="1845" t="s">
        <v>408</v>
      </c>
      <c r="C177" s="1840" t="s">
        <v>359</v>
      </c>
      <c r="D177" s="1841">
        <f>1*D$69*(Thetai-D$70)*BodenUnb*E125*$D$56*0.0864/EBF</f>
        <v>0</v>
      </c>
      <c r="E177" s="215">
        <f t="shared" ref="E177:O177" si="136">1*E$69*(Thetai-E$70)*BodenUnb*U_Boden*$D$56*0.0864/EBF</f>
        <v>0</v>
      </c>
      <c r="F177" s="215">
        <f t="shared" si="136"/>
        <v>0</v>
      </c>
      <c r="G177" s="215">
        <f t="shared" si="136"/>
        <v>0</v>
      </c>
      <c r="H177" s="215">
        <f t="shared" si="136"/>
        <v>0</v>
      </c>
      <c r="I177" s="215">
        <f t="shared" si="136"/>
        <v>0</v>
      </c>
      <c r="J177" s="215">
        <f t="shared" si="136"/>
        <v>0</v>
      </c>
      <c r="K177" s="215">
        <f t="shared" si="136"/>
        <v>0</v>
      </c>
      <c r="L177" s="215">
        <f t="shared" si="136"/>
        <v>0</v>
      </c>
      <c r="M177" s="215">
        <f t="shared" si="136"/>
        <v>0</v>
      </c>
      <c r="N177" s="215">
        <f t="shared" si="136"/>
        <v>0</v>
      </c>
      <c r="O177" s="1849">
        <f t="shared" si="136"/>
        <v>0</v>
      </c>
      <c r="P177" s="1841">
        <f t="shared" si="131"/>
        <v>0</v>
      </c>
      <c r="Q177" s="1840" t="s">
        <v>359</v>
      </c>
    </row>
    <row r="178" spans="2:17">
      <c r="B178" s="1846" t="s">
        <v>316</v>
      </c>
      <c r="C178" s="1840" t="s">
        <v>359</v>
      </c>
      <c r="D178" s="1841">
        <f t="shared" ref="D178:O178" si="137">SUM(D171:D177)*(1+WBZuschlag)</f>
        <v>88.678357835294136</v>
      </c>
      <c r="E178" s="215">
        <f t="shared" si="137"/>
        <v>76.189430964705878</v>
      </c>
      <c r="F178" s="215">
        <f t="shared" si="137"/>
        <v>70.293820235294135</v>
      </c>
      <c r="G178" s="215">
        <f t="shared" si="137"/>
        <v>57.909549176470598</v>
      </c>
      <c r="H178" s="215">
        <f t="shared" si="137"/>
        <v>41.815811011764708</v>
      </c>
      <c r="I178" s="215">
        <f t="shared" si="137"/>
        <v>30.699038117647063</v>
      </c>
      <c r="J178" s="215">
        <f t="shared" si="137"/>
        <v>23.791754541176477</v>
      </c>
      <c r="K178" s="215">
        <f t="shared" si="137"/>
        <v>23.791754541176477</v>
      </c>
      <c r="L178" s="215">
        <f t="shared" si="137"/>
        <v>38.373797647058836</v>
      </c>
      <c r="M178" s="215">
        <f t="shared" si="137"/>
        <v>54.432650541176478</v>
      </c>
      <c r="N178" s="215">
        <f t="shared" si="137"/>
        <v>72.561362823529436</v>
      </c>
      <c r="O178" s="1849">
        <f t="shared" si="137"/>
        <v>83.631622023529417</v>
      </c>
      <c r="P178" s="1841">
        <f t="shared" si="131"/>
        <v>662.1689494588237</v>
      </c>
      <c r="Q178" s="1840" t="s">
        <v>359</v>
      </c>
    </row>
    <row r="179" spans="2:17">
      <c r="B179" s="1846" t="s">
        <v>393</v>
      </c>
      <c r="C179" s="1840"/>
      <c r="D179" s="1850"/>
      <c r="E179" s="1851"/>
      <c r="F179" s="1851"/>
      <c r="G179" s="1851"/>
      <c r="H179" s="1851"/>
      <c r="I179" s="1851"/>
      <c r="J179" s="1851"/>
      <c r="K179" s="1851"/>
      <c r="L179" s="1851"/>
      <c r="M179" s="1851"/>
      <c r="N179" s="1851"/>
      <c r="O179" s="1852"/>
      <c r="P179" s="1857"/>
      <c r="Q179" s="1858"/>
    </row>
    <row r="180" spans="2:17">
      <c r="B180" s="1847" t="s">
        <v>320</v>
      </c>
      <c r="C180" s="1840" t="s">
        <v>359</v>
      </c>
      <c r="D180" s="1841">
        <f t="shared" ref="D180:O180" si="138">IF(D178=0,0,(Thetai-D$70)*$G$26*D$69*(1220-0.14*HueM)*0.000024)</f>
        <v>13.524025812108027</v>
      </c>
      <c r="E180" s="215">
        <f t="shared" si="138"/>
        <v>11.619383309852058</v>
      </c>
      <c r="F180" s="215">
        <f t="shared" si="138"/>
        <v>10.720264363256364</v>
      </c>
      <c r="G180" s="215">
        <f t="shared" si="138"/>
        <v>8.8315825523600822</v>
      </c>
      <c r="H180" s="215">
        <f t="shared" si="138"/>
        <v>6.3771829032704508</v>
      </c>
      <c r="I180" s="215">
        <f t="shared" si="138"/>
        <v>4.6818027988414883</v>
      </c>
      <c r="J180" s="215">
        <f t="shared" si="138"/>
        <v>3.6283971691021546</v>
      </c>
      <c r="K180" s="215">
        <f t="shared" si="138"/>
        <v>3.6283971691021546</v>
      </c>
      <c r="L180" s="215">
        <f t="shared" si="138"/>
        <v>5.8522534985518604</v>
      </c>
      <c r="M180" s="215">
        <f t="shared" si="138"/>
        <v>8.3013329171882617</v>
      </c>
      <c r="N180" s="215">
        <f t="shared" si="138"/>
        <v>11.066079342716245</v>
      </c>
      <c r="O180" s="1849">
        <f t="shared" si="138"/>
        <v>12.754365806540902</v>
      </c>
      <c r="P180" s="1841">
        <f>SUM(D180:O180)</f>
        <v>100.98506764289006</v>
      </c>
      <c r="Q180" s="1840" t="s">
        <v>359</v>
      </c>
    </row>
    <row r="181" spans="2:17">
      <c r="B181" s="1846" t="s">
        <v>394</v>
      </c>
      <c r="C181" s="1840"/>
      <c r="D181" s="1853"/>
      <c r="E181" s="238"/>
      <c r="F181" s="238"/>
      <c r="G181" s="238"/>
      <c r="H181" s="238"/>
      <c r="I181" s="238"/>
      <c r="J181" s="238"/>
      <c r="K181" s="238"/>
      <c r="L181" s="238"/>
      <c r="M181" s="238"/>
      <c r="N181" s="238"/>
      <c r="O181" s="1854"/>
      <c r="P181" s="1841"/>
      <c r="Q181" s="1840"/>
    </row>
    <row r="182" spans="2:17">
      <c r="B182" s="1847" t="s">
        <v>395</v>
      </c>
      <c r="C182" s="1840" t="s">
        <v>359</v>
      </c>
      <c r="D182" s="1841">
        <f t="shared" ref="D182:O182" si="139">D180+D178</f>
        <v>102.20238364740216</v>
      </c>
      <c r="E182" s="215">
        <f t="shared" si="139"/>
        <v>87.808814274557932</v>
      </c>
      <c r="F182" s="215">
        <f t="shared" si="139"/>
        <v>81.014084598550497</v>
      </c>
      <c r="G182" s="215">
        <f t="shared" si="139"/>
        <v>66.74113172883068</v>
      </c>
      <c r="H182" s="215">
        <f t="shared" si="139"/>
        <v>48.19299391503516</v>
      </c>
      <c r="I182" s="215">
        <f t="shared" si="139"/>
        <v>35.380840916488552</v>
      </c>
      <c r="J182" s="215">
        <f t="shared" si="139"/>
        <v>27.420151710278631</v>
      </c>
      <c r="K182" s="215">
        <f t="shared" si="139"/>
        <v>27.420151710278631</v>
      </c>
      <c r="L182" s="215">
        <f t="shared" si="139"/>
        <v>44.226051145610697</v>
      </c>
      <c r="M182" s="215">
        <f t="shared" si="139"/>
        <v>62.73398345836474</v>
      </c>
      <c r="N182" s="215">
        <f t="shared" si="139"/>
        <v>83.627442166245686</v>
      </c>
      <c r="O182" s="1849">
        <f t="shared" si="139"/>
        <v>96.38598783007032</v>
      </c>
      <c r="P182" s="1841">
        <f>SUM(D182:O182)</f>
        <v>763.15401710171363</v>
      </c>
      <c r="Q182" s="1840" t="s">
        <v>359</v>
      </c>
    </row>
    <row r="183" spans="2:17">
      <c r="B183" s="1846" t="s">
        <v>396</v>
      </c>
      <c r="C183" s="1840"/>
      <c r="D183" s="1853"/>
      <c r="E183" s="238" t="s">
        <v>193</v>
      </c>
      <c r="F183" s="238"/>
      <c r="G183" s="238"/>
      <c r="H183" s="238"/>
      <c r="I183" s="238"/>
      <c r="J183" s="238"/>
      <c r="K183" s="238"/>
      <c r="L183" s="238"/>
      <c r="M183" s="238"/>
      <c r="N183" s="238"/>
      <c r="O183" s="1854"/>
      <c r="P183" s="1841"/>
      <c r="Q183" s="1840"/>
    </row>
    <row r="184" spans="2:17">
      <c r="B184" s="1847" t="s">
        <v>397</v>
      </c>
      <c r="C184" s="1840" t="s">
        <v>359</v>
      </c>
      <c r="D184" s="1841">
        <f t="shared" ref="D184:O184" si="140">$G$41*fE*D$69/365</f>
        <v>8.2626253424657534</v>
      </c>
      <c r="E184" s="215">
        <f t="shared" si="140"/>
        <v>7.4630164383561652</v>
      </c>
      <c r="F184" s="215">
        <f t="shared" si="140"/>
        <v>8.2626253424657534</v>
      </c>
      <c r="G184" s="215">
        <f t="shared" si="140"/>
        <v>7.9960890410958907</v>
      </c>
      <c r="H184" s="215">
        <f t="shared" si="140"/>
        <v>8.2626253424657534</v>
      </c>
      <c r="I184" s="215">
        <f t="shared" si="140"/>
        <v>7.9960890410958907</v>
      </c>
      <c r="J184" s="215">
        <f t="shared" si="140"/>
        <v>8.2626253424657534</v>
      </c>
      <c r="K184" s="215">
        <f t="shared" si="140"/>
        <v>8.2626253424657534</v>
      </c>
      <c r="L184" s="215">
        <f t="shared" si="140"/>
        <v>7.9960890410958907</v>
      </c>
      <c r="M184" s="215">
        <f t="shared" si="140"/>
        <v>8.2626253424657534</v>
      </c>
      <c r="N184" s="215">
        <f t="shared" si="140"/>
        <v>7.9960890410958907</v>
      </c>
      <c r="O184" s="1849">
        <f t="shared" si="140"/>
        <v>8.2626253424657534</v>
      </c>
      <c r="P184" s="1841">
        <f>SUM(D184:O184)</f>
        <v>97.285749999999993</v>
      </c>
      <c r="Q184" s="1840" t="s">
        <v>359</v>
      </c>
    </row>
    <row r="185" spans="2:17">
      <c r="B185" s="1847" t="s">
        <v>399</v>
      </c>
      <c r="C185" s="1840" t="s">
        <v>359</v>
      </c>
      <c r="D185" s="1841">
        <f t="shared" ref="D185:O185" si="141">$D$40*D$69/365</f>
        <v>2.9998080000000007</v>
      </c>
      <c r="E185" s="215">
        <f t="shared" si="141"/>
        <v>2.7095040000000008</v>
      </c>
      <c r="F185" s="215">
        <f t="shared" si="141"/>
        <v>2.9998080000000007</v>
      </c>
      <c r="G185" s="215">
        <f t="shared" si="141"/>
        <v>2.9030400000000007</v>
      </c>
      <c r="H185" s="215">
        <f t="shared" si="141"/>
        <v>2.9998080000000007</v>
      </c>
      <c r="I185" s="215">
        <f t="shared" si="141"/>
        <v>2.9030400000000007</v>
      </c>
      <c r="J185" s="215">
        <f t="shared" si="141"/>
        <v>2.9998080000000007</v>
      </c>
      <c r="K185" s="215">
        <f t="shared" si="141"/>
        <v>2.9998080000000007</v>
      </c>
      <c r="L185" s="215">
        <f t="shared" si="141"/>
        <v>2.9030400000000007</v>
      </c>
      <c r="M185" s="215">
        <f t="shared" si="141"/>
        <v>2.9998080000000007</v>
      </c>
      <c r="N185" s="215">
        <f t="shared" si="141"/>
        <v>2.9030400000000007</v>
      </c>
      <c r="O185" s="1849">
        <f t="shared" si="141"/>
        <v>2.9998080000000007</v>
      </c>
      <c r="P185" s="1841">
        <f>SUM(D185:O185)</f>
        <v>35.320320000000009</v>
      </c>
      <c r="Q185" s="1840" t="s">
        <v>359</v>
      </c>
    </row>
    <row r="186" spans="2:17">
      <c r="B186" s="1847" t="s">
        <v>400</v>
      </c>
      <c r="C186" s="1840" t="s">
        <v>359</v>
      </c>
      <c r="D186" s="1841">
        <f t="shared" ref="D186:O186" si="142">D185+D184</f>
        <v>11.262433342465755</v>
      </c>
      <c r="E186" s="215">
        <f t="shared" si="142"/>
        <v>10.172520438356166</v>
      </c>
      <c r="F186" s="215">
        <f t="shared" si="142"/>
        <v>11.262433342465755</v>
      </c>
      <c r="G186" s="215">
        <f t="shared" si="142"/>
        <v>10.899129041095891</v>
      </c>
      <c r="H186" s="215">
        <f t="shared" si="142"/>
        <v>11.262433342465755</v>
      </c>
      <c r="I186" s="215">
        <f t="shared" si="142"/>
        <v>10.899129041095891</v>
      </c>
      <c r="J186" s="215">
        <f t="shared" si="142"/>
        <v>11.262433342465755</v>
      </c>
      <c r="K186" s="215">
        <f t="shared" si="142"/>
        <v>11.262433342465755</v>
      </c>
      <c r="L186" s="215">
        <f t="shared" si="142"/>
        <v>10.899129041095891</v>
      </c>
      <c r="M186" s="215">
        <f t="shared" si="142"/>
        <v>11.262433342465755</v>
      </c>
      <c r="N186" s="215">
        <f t="shared" si="142"/>
        <v>10.899129041095891</v>
      </c>
      <c r="O186" s="1849">
        <f t="shared" si="142"/>
        <v>11.262433342465755</v>
      </c>
      <c r="P186" s="1841">
        <f>SUM(D186:O186)</f>
        <v>132.60607000000002</v>
      </c>
      <c r="Q186" s="1840" t="s">
        <v>359</v>
      </c>
    </row>
    <row r="187" spans="2:17">
      <c r="B187" s="1846" t="s">
        <v>401</v>
      </c>
      <c r="C187" s="1840" t="s">
        <v>359</v>
      </c>
      <c r="D187" s="1841">
        <f t="shared" ref="D187:O187" si="143">IF(EBF&gt;0,($D$19*D$73*$F$19+$D$18*D$72*$F$18+$D$20*D$74*$F$20+$D$17*D$75*$F$17+$D$21*D$71*$F$21)*0.9*$G$30*FF/EBF,0)</f>
        <v>2.541176470588236</v>
      </c>
      <c r="E187" s="215">
        <f t="shared" si="143"/>
        <v>3.9070588235294124</v>
      </c>
      <c r="F187" s="215">
        <f t="shared" si="143"/>
        <v>6.2894117647058838</v>
      </c>
      <c r="G187" s="215">
        <f t="shared" si="143"/>
        <v>7.3376470588235296</v>
      </c>
      <c r="H187" s="215">
        <f t="shared" si="143"/>
        <v>9.1164705882352965</v>
      </c>
      <c r="I187" s="215">
        <f t="shared" si="143"/>
        <v>9.6247058823529414</v>
      </c>
      <c r="J187" s="215">
        <f t="shared" si="143"/>
        <v>10.387058823529415</v>
      </c>
      <c r="K187" s="215">
        <f t="shared" si="143"/>
        <v>9.3705882352941181</v>
      </c>
      <c r="L187" s="215">
        <f t="shared" si="143"/>
        <v>6.9247058823529413</v>
      </c>
      <c r="M187" s="215">
        <f t="shared" si="143"/>
        <v>4.5105882352941187</v>
      </c>
      <c r="N187" s="215">
        <f t="shared" si="143"/>
        <v>2.3823529411764706</v>
      </c>
      <c r="O187" s="1849">
        <f t="shared" si="143"/>
        <v>1.8741176470588239</v>
      </c>
      <c r="P187" s="1841">
        <f>SUM(D187:O187)</f>
        <v>74.265882352941176</v>
      </c>
      <c r="Q187" s="1840" t="s">
        <v>359</v>
      </c>
    </row>
    <row r="188" spans="2:17">
      <c r="B188" s="1847" t="s">
        <v>402</v>
      </c>
      <c r="C188" s="1840" t="s">
        <v>359</v>
      </c>
      <c r="D188" s="1841">
        <f t="shared" ref="D188:O188" si="144">D187+D186</f>
        <v>13.803609813053992</v>
      </c>
      <c r="E188" s="215">
        <f t="shared" si="144"/>
        <v>14.079579261885579</v>
      </c>
      <c r="F188" s="215">
        <f t="shared" si="144"/>
        <v>17.551845107171637</v>
      </c>
      <c r="G188" s="215">
        <f t="shared" si="144"/>
        <v>18.236776099919421</v>
      </c>
      <c r="H188" s="215">
        <f t="shared" si="144"/>
        <v>20.37890393070105</v>
      </c>
      <c r="I188" s="215">
        <f t="shared" si="144"/>
        <v>20.523834923448831</v>
      </c>
      <c r="J188" s="215">
        <f t="shared" si="144"/>
        <v>21.64949216599517</v>
      </c>
      <c r="K188" s="215">
        <f t="shared" si="144"/>
        <v>20.633021577759873</v>
      </c>
      <c r="L188" s="215">
        <f t="shared" si="144"/>
        <v>17.823834923448832</v>
      </c>
      <c r="M188" s="215">
        <f t="shared" si="144"/>
        <v>15.773021577759874</v>
      </c>
      <c r="N188" s="215">
        <f t="shared" si="144"/>
        <v>13.281481982272362</v>
      </c>
      <c r="O188" s="1849">
        <f t="shared" si="144"/>
        <v>13.136550989524579</v>
      </c>
      <c r="P188" s="1841">
        <f>SUM(D188:O188)</f>
        <v>206.87195235294121</v>
      </c>
      <c r="Q188" s="1840" t="s">
        <v>359</v>
      </c>
    </row>
    <row r="189" spans="2:17">
      <c r="B189" s="1847" t="s">
        <v>411</v>
      </c>
      <c r="C189" s="1840"/>
      <c r="D189" s="1841">
        <f t="shared" ref="D189:O189" si="145">IF(D182&gt;0,D188/D182,0)</f>
        <v>0.13506152518591341</v>
      </c>
      <c r="E189" s="215">
        <f t="shared" si="145"/>
        <v>0.16034357573559732</v>
      </c>
      <c r="F189" s="215">
        <f t="shared" si="145"/>
        <v>0.21665177350514275</v>
      </c>
      <c r="G189" s="215">
        <f t="shared" si="145"/>
        <v>0.27324643181082797</v>
      </c>
      <c r="H189" s="215">
        <f t="shared" si="145"/>
        <v>0.42286030136723418</v>
      </c>
      <c r="I189" s="215">
        <f t="shared" si="145"/>
        <v>0.58008329909095224</v>
      </c>
      <c r="J189" s="215">
        <f t="shared" si="145"/>
        <v>0.78954676818508307</v>
      </c>
      <c r="K189" s="215">
        <f t="shared" si="145"/>
        <v>0.75247656525640028</v>
      </c>
      <c r="L189" s="215">
        <f t="shared" si="145"/>
        <v>0.40301664882458749</v>
      </c>
      <c r="M189" s="215">
        <f t="shared" si="145"/>
        <v>0.25142706884264898</v>
      </c>
      <c r="N189" s="215">
        <f t="shared" si="145"/>
        <v>0.15881726904751764</v>
      </c>
      <c r="O189" s="1849">
        <f t="shared" si="145"/>
        <v>0.13629108634218159</v>
      </c>
      <c r="P189" s="1841" t="s">
        <v>56</v>
      </c>
      <c r="Q189" s="1840"/>
    </row>
    <row r="190" spans="2:17">
      <c r="B190" s="1846" t="s">
        <v>412</v>
      </c>
      <c r="C190" s="1840"/>
      <c r="D190" s="1841">
        <f t="shared" ref="D190:O190" si="146">IF(D182&gt;0,CEBF*EBF*1000000/(($D$22*U_DAFbeheizt+$D$14*U_E3*bGW+E4beheizt*U_E4+BodenErdeF*U_Boden*bGF+$D$16*U_E5)*3600 + Vth*EBF*(1220-0.14*HueM)),0)</f>
        <v>225.36457810149119</v>
      </c>
      <c r="E190" s="215">
        <f t="shared" si="146"/>
        <v>225.36457810149119</v>
      </c>
      <c r="F190" s="215">
        <f t="shared" si="146"/>
        <v>225.36457810149119</v>
      </c>
      <c r="G190" s="215">
        <f t="shared" si="146"/>
        <v>225.36457810149119</v>
      </c>
      <c r="H190" s="215">
        <f t="shared" si="146"/>
        <v>225.36457810149119</v>
      </c>
      <c r="I190" s="215">
        <f t="shared" si="146"/>
        <v>225.36457810149119</v>
      </c>
      <c r="J190" s="215">
        <f t="shared" si="146"/>
        <v>225.36457810149119</v>
      </c>
      <c r="K190" s="215">
        <f t="shared" si="146"/>
        <v>225.36457810149119</v>
      </c>
      <c r="L190" s="215">
        <f t="shared" si="146"/>
        <v>225.36457810149119</v>
      </c>
      <c r="M190" s="215">
        <f t="shared" si="146"/>
        <v>225.36457810149119</v>
      </c>
      <c r="N190" s="215">
        <f t="shared" si="146"/>
        <v>225.36457810149119</v>
      </c>
      <c r="O190" s="1849">
        <f t="shared" si="146"/>
        <v>225.36457810149119</v>
      </c>
      <c r="P190" s="1841"/>
      <c r="Q190" s="1840"/>
    </row>
    <row r="191" spans="2:17">
      <c r="B191" s="1847" t="s">
        <v>403</v>
      </c>
      <c r="C191" s="1840"/>
      <c r="D191" s="1841">
        <f t="shared" ref="D191:O191" si="147">a0+D190/tau0</f>
        <v>16.02430520676608</v>
      </c>
      <c r="E191" s="215">
        <f t="shared" si="147"/>
        <v>16.02430520676608</v>
      </c>
      <c r="F191" s="215">
        <f t="shared" si="147"/>
        <v>16.02430520676608</v>
      </c>
      <c r="G191" s="215">
        <f t="shared" si="147"/>
        <v>16.02430520676608</v>
      </c>
      <c r="H191" s="215">
        <f t="shared" si="147"/>
        <v>16.02430520676608</v>
      </c>
      <c r="I191" s="215">
        <f t="shared" si="147"/>
        <v>16.02430520676608</v>
      </c>
      <c r="J191" s="215">
        <f t="shared" si="147"/>
        <v>16.02430520676608</v>
      </c>
      <c r="K191" s="215">
        <f t="shared" si="147"/>
        <v>16.02430520676608</v>
      </c>
      <c r="L191" s="215">
        <f t="shared" si="147"/>
        <v>16.02430520676608</v>
      </c>
      <c r="M191" s="215">
        <f t="shared" si="147"/>
        <v>16.02430520676608</v>
      </c>
      <c r="N191" s="215">
        <f t="shared" si="147"/>
        <v>16.02430520676608</v>
      </c>
      <c r="O191" s="1849">
        <f t="shared" si="147"/>
        <v>16.02430520676608</v>
      </c>
      <c r="P191" s="1841"/>
      <c r="Q191" s="1840"/>
    </row>
    <row r="192" spans="2:17">
      <c r="B192" s="1847" t="s">
        <v>413</v>
      </c>
      <c r="C192" s="1840"/>
      <c r="D192" s="1855">
        <f t="shared" ref="D192:O192" si="148">IF(D189=1,D191/(D191+1),IF(D182&lt;=0,0,(1-D189^D191)/(1-D189^(D191+1))))</f>
        <v>0.9999999999999899</v>
      </c>
      <c r="E192" s="1101">
        <f t="shared" si="148"/>
        <v>0.99999999999984668</v>
      </c>
      <c r="F192" s="1101">
        <f t="shared" si="148"/>
        <v>0.99999999998221689</v>
      </c>
      <c r="G192" s="1101">
        <f t="shared" si="148"/>
        <v>0.99999999931991301</v>
      </c>
      <c r="H192" s="1101">
        <f t="shared" si="148"/>
        <v>0.99999940932795872</v>
      </c>
      <c r="I192" s="1101">
        <f t="shared" si="148"/>
        <v>0.99993187580331422</v>
      </c>
      <c r="J192" s="1101">
        <f t="shared" si="148"/>
        <v>0.99514093408229098</v>
      </c>
      <c r="K192" s="1101">
        <f t="shared" si="148"/>
        <v>0.99738215036752742</v>
      </c>
      <c r="L192" s="1101">
        <f t="shared" si="148"/>
        <v>0.99999971716223612</v>
      </c>
      <c r="M192" s="1101">
        <f t="shared" si="148"/>
        <v>0.99999999981539067</v>
      </c>
      <c r="N192" s="1101">
        <f t="shared" si="148"/>
        <v>0.99999999999986822</v>
      </c>
      <c r="O192" s="1856">
        <f t="shared" si="148"/>
        <v>0.99999999999998834</v>
      </c>
      <c r="P192" s="1855">
        <f>IF(P188&gt;0,P193/P188,0)</f>
        <v>0.99922355002915109</v>
      </c>
      <c r="Q192" s="1840"/>
    </row>
    <row r="193" spans="2:17">
      <c r="B193" s="1847" t="s">
        <v>323</v>
      </c>
      <c r="C193" s="1840" t="s">
        <v>359</v>
      </c>
      <c r="D193" s="1841">
        <f t="shared" ref="D193:O193" si="149">D188*D192</f>
        <v>13.803609813053852</v>
      </c>
      <c r="E193" s="215">
        <f t="shared" si="149"/>
        <v>14.079579261883421</v>
      </c>
      <c r="F193" s="215">
        <f t="shared" si="149"/>
        <v>17.55184510685951</v>
      </c>
      <c r="G193" s="215">
        <f t="shared" si="149"/>
        <v>18.236776087516827</v>
      </c>
      <c r="H193" s="215">
        <f t="shared" si="149"/>
        <v>20.378891893452266</v>
      </c>
      <c r="I193" s="215">
        <f t="shared" si="149"/>
        <v>20.52243675368176</v>
      </c>
      <c r="J193" s="215">
        <f t="shared" si="149"/>
        <v>21.544295856475674</v>
      </c>
      <c r="K193" s="215">
        <f t="shared" si="149"/>
        <v>20.579007429805735</v>
      </c>
      <c r="L193" s="215">
        <f t="shared" si="149"/>
        <v>17.82382988219522</v>
      </c>
      <c r="M193" s="215">
        <f t="shared" si="149"/>
        <v>15.773021574848027</v>
      </c>
      <c r="N193" s="215">
        <f t="shared" si="149"/>
        <v>13.281481982270613</v>
      </c>
      <c r="O193" s="1849">
        <f t="shared" si="149"/>
        <v>13.136550989524427</v>
      </c>
      <c r="P193" s="1841">
        <f>SUM(D193:O193)</f>
        <v>206.71132663156732</v>
      </c>
      <c r="Q193" s="1840" t="s">
        <v>359</v>
      </c>
    </row>
    <row r="194" spans="2:17">
      <c r="B194" s="1846" t="s">
        <v>404</v>
      </c>
      <c r="C194" s="1840"/>
      <c r="D194" s="1841"/>
      <c r="E194" s="215"/>
      <c r="F194" s="215"/>
      <c r="G194" s="215"/>
      <c r="H194" s="215"/>
      <c r="I194" s="215"/>
      <c r="J194" s="215"/>
      <c r="K194" s="215"/>
      <c r="L194" s="215"/>
      <c r="M194" s="215"/>
      <c r="N194" s="215"/>
      <c r="O194" s="1849"/>
      <c r="P194" s="1859"/>
      <c r="Q194" s="1840"/>
    </row>
    <row r="195" spans="2:17">
      <c r="B195" s="1847" t="s">
        <v>2251</v>
      </c>
      <c r="C195" s="1840"/>
      <c r="D195" s="1841">
        <f t="shared" ref="D195:O195" si="150">D182-D193</f>
        <v>88.398773834348304</v>
      </c>
      <c r="E195" s="215">
        <f t="shared" si="150"/>
        <v>73.729235012674508</v>
      </c>
      <c r="F195" s="215">
        <f t="shared" si="150"/>
        <v>63.462239491690987</v>
      </c>
      <c r="G195" s="215">
        <f t="shared" si="150"/>
        <v>48.50435564131385</v>
      </c>
      <c r="H195" s="215">
        <f t="shared" si="150"/>
        <v>27.814102021582894</v>
      </c>
      <c r="I195" s="215">
        <f t="shared" si="150"/>
        <v>14.858404162806792</v>
      </c>
      <c r="J195" s="215">
        <f t="shared" si="150"/>
        <v>5.8758558538029568</v>
      </c>
      <c r="K195" s="215">
        <f t="shared" si="150"/>
        <v>6.8411442804728964</v>
      </c>
      <c r="L195" s="215">
        <f t="shared" si="150"/>
        <v>26.402221263415477</v>
      </c>
      <c r="M195" s="215">
        <f t="shared" si="150"/>
        <v>46.960961883516717</v>
      </c>
      <c r="N195" s="215">
        <f t="shared" si="150"/>
        <v>70.34596018397508</v>
      </c>
      <c r="O195" s="1849">
        <f t="shared" si="150"/>
        <v>83.249436840545897</v>
      </c>
      <c r="P195" s="1859">
        <f>SUM(D195:O195)</f>
        <v>556.4426904701462</v>
      </c>
      <c r="Q195" s="1840" t="s">
        <v>359</v>
      </c>
    </row>
    <row r="196" spans="2:17">
      <c r="B196" s="1846" t="s">
        <v>2252</v>
      </c>
      <c r="C196" s="1840"/>
      <c r="D196" s="1842"/>
      <c r="E196" s="303"/>
      <c r="F196" s="303"/>
      <c r="G196" s="303"/>
      <c r="H196" s="303"/>
      <c r="I196" s="303"/>
      <c r="J196" s="303"/>
      <c r="K196" s="303"/>
      <c r="L196" s="303"/>
      <c r="M196" s="303"/>
      <c r="N196" s="303"/>
      <c r="O196" s="1848"/>
      <c r="P196" s="1860">
        <f>P195/3.6</f>
        <v>154.56741401948506</v>
      </c>
      <c r="Q196" s="1840" t="s">
        <v>1658</v>
      </c>
    </row>
    <row r="197" spans="2:17">
      <c r="B197" s="1894" t="s">
        <v>1390</v>
      </c>
      <c r="C197" s="1895"/>
      <c r="D197" s="1896">
        <f>MAX(0,D188-D182)</f>
        <v>0</v>
      </c>
      <c r="E197" s="1897">
        <f t="shared" ref="E197:O197" si="151">MAX(0,E188-E182)</f>
        <v>0</v>
      </c>
      <c r="F197" s="1897">
        <f t="shared" si="151"/>
        <v>0</v>
      </c>
      <c r="G197" s="1897">
        <f t="shared" si="151"/>
        <v>0</v>
      </c>
      <c r="H197" s="1897">
        <f t="shared" si="151"/>
        <v>0</v>
      </c>
      <c r="I197" s="1897">
        <f t="shared" si="151"/>
        <v>0</v>
      </c>
      <c r="J197" s="1897">
        <f t="shared" si="151"/>
        <v>0</v>
      </c>
      <c r="K197" s="1897">
        <f t="shared" si="151"/>
        <v>0</v>
      </c>
      <c r="L197" s="1897">
        <f t="shared" si="151"/>
        <v>0</v>
      </c>
      <c r="M197" s="1897">
        <f t="shared" si="151"/>
        <v>0</v>
      </c>
      <c r="N197" s="1897">
        <f t="shared" si="151"/>
        <v>0</v>
      </c>
      <c r="O197" s="1898">
        <f t="shared" si="151"/>
        <v>0</v>
      </c>
      <c r="P197" s="1896">
        <f>SUM(D197:O197)</f>
        <v>0</v>
      </c>
      <c r="Q197" s="1895" t="s">
        <v>359</v>
      </c>
    </row>
  </sheetData>
  <sheetProtection selectLockedCells="1"/>
  <dataValidations count="1">
    <dataValidation type="list" allowBlank="1" showInputMessage="1" showErrorMessage="1" sqref="IF3:IF4 WUR983059:WUR983060 WKV983059:WKV983060 WAZ983059:WAZ983060 VRD983059:VRD983060 VHH983059:VHH983060 UXL983059:UXL983060 UNP983059:UNP983060 UDT983059:UDT983060 TTX983059:TTX983060 TKB983059:TKB983060 TAF983059:TAF983060 SQJ983059:SQJ983060 SGN983059:SGN983060 RWR983059:RWR983060 RMV983059:RMV983060 RCZ983059:RCZ983060 QTD983059:QTD983060 QJH983059:QJH983060 PZL983059:PZL983060 PPP983059:PPP983060 PFT983059:PFT983060 OVX983059:OVX983060 OMB983059:OMB983060 OCF983059:OCF983060 NSJ983059:NSJ983060 NIN983059:NIN983060 MYR983059:MYR983060 MOV983059:MOV983060 MEZ983059:MEZ983060 LVD983059:LVD983060 LLH983059:LLH983060 LBL983059:LBL983060 KRP983059:KRP983060 KHT983059:KHT983060 JXX983059:JXX983060 JOB983059:JOB983060 JEF983059:JEF983060 IUJ983059:IUJ983060 IKN983059:IKN983060 IAR983059:IAR983060 HQV983059:HQV983060 HGZ983059:HGZ983060 GXD983059:GXD983060 GNH983059:GNH983060 GDL983059:GDL983060 FTP983059:FTP983060 FJT983059:FJT983060 EZX983059:EZX983060 EQB983059:EQB983060 EGF983059:EGF983060 DWJ983059:DWJ983060 DMN983059:DMN983060 DCR983059:DCR983060 CSV983059:CSV983060 CIZ983059:CIZ983060 BZD983059:BZD983060 BPH983059:BPH983060 BFL983059:BFL983060 AVP983059:AVP983060 ALT983059:ALT983060 ABX983059:ABX983060 SB983059:SB983060 IF983059:IF983060 E983059:E983060 WUR917523:WUR917524 WKV917523:WKV917524 WAZ917523:WAZ917524 VRD917523:VRD917524 VHH917523:VHH917524 UXL917523:UXL917524 UNP917523:UNP917524 UDT917523:UDT917524 TTX917523:TTX917524 TKB917523:TKB917524 TAF917523:TAF917524 SQJ917523:SQJ917524 SGN917523:SGN917524 RWR917523:RWR917524 RMV917523:RMV917524 RCZ917523:RCZ917524 QTD917523:QTD917524 QJH917523:QJH917524 PZL917523:PZL917524 PPP917523:PPP917524 PFT917523:PFT917524 OVX917523:OVX917524 OMB917523:OMB917524 OCF917523:OCF917524 NSJ917523:NSJ917524 NIN917523:NIN917524 MYR917523:MYR917524 MOV917523:MOV917524 MEZ917523:MEZ917524 LVD917523:LVD917524 LLH917523:LLH917524 LBL917523:LBL917524 KRP917523:KRP917524 KHT917523:KHT917524 JXX917523:JXX917524 JOB917523:JOB917524 JEF917523:JEF917524 IUJ917523:IUJ917524 IKN917523:IKN917524 IAR917523:IAR917524 HQV917523:HQV917524 HGZ917523:HGZ917524 GXD917523:GXD917524 GNH917523:GNH917524 GDL917523:GDL917524 FTP917523:FTP917524 FJT917523:FJT917524 EZX917523:EZX917524 EQB917523:EQB917524 EGF917523:EGF917524 DWJ917523:DWJ917524 DMN917523:DMN917524 DCR917523:DCR917524 CSV917523:CSV917524 CIZ917523:CIZ917524 BZD917523:BZD917524 BPH917523:BPH917524 BFL917523:BFL917524 AVP917523:AVP917524 ALT917523:ALT917524 ABX917523:ABX917524 SB917523:SB917524 IF917523:IF917524 E917523:E917524 WUR851987:WUR851988 WKV851987:WKV851988 WAZ851987:WAZ851988 VRD851987:VRD851988 VHH851987:VHH851988 UXL851987:UXL851988 UNP851987:UNP851988 UDT851987:UDT851988 TTX851987:TTX851988 TKB851987:TKB851988 TAF851987:TAF851988 SQJ851987:SQJ851988 SGN851987:SGN851988 RWR851987:RWR851988 RMV851987:RMV851988 RCZ851987:RCZ851988 QTD851987:QTD851988 QJH851987:QJH851988 PZL851987:PZL851988 PPP851987:PPP851988 PFT851987:PFT851988 OVX851987:OVX851988 OMB851987:OMB851988 OCF851987:OCF851988 NSJ851987:NSJ851988 NIN851987:NIN851988 MYR851987:MYR851988 MOV851987:MOV851988 MEZ851987:MEZ851988 LVD851987:LVD851988 LLH851987:LLH851988 LBL851987:LBL851988 KRP851987:KRP851988 KHT851987:KHT851988 JXX851987:JXX851988 JOB851987:JOB851988 JEF851987:JEF851988 IUJ851987:IUJ851988 IKN851987:IKN851988 IAR851987:IAR851988 HQV851987:HQV851988 HGZ851987:HGZ851988 GXD851987:GXD851988 GNH851987:GNH851988 GDL851987:GDL851988 FTP851987:FTP851988 FJT851987:FJT851988 EZX851987:EZX851988 EQB851987:EQB851988 EGF851987:EGF851988 DWJ851987:DWJ851988 DMN851987:DMN851988 DCR851987:DCR851988 CSV851987:CSV851988 CIZ851987:CIZ851988 BZD851987:BZD851988 BPH851987:BPH851988 BFL851987:BFL851988 AVP851987:AVP851988 ALT851987:ALT851988 ABX851987:ABX851988 SB851987:SB851988 IF851987:IF851988 E851987:E851988 WUR786451:WUR786452 WKV786451:WKV786452 WAZ786451:WAZ786452 VRD786451:VRD786452 VHH786451:VHH786452 UXL786451:UXL786452 UNP786451:UNP786452 UDT786451:UDT786452 TTX786451:TTX786452 TKB786451:TKB786452 TAF786451:TAF786452 SQJ786451:SQJ786452 SGN786451:SGN786452 RWR786451:RWR786452 RMV786451:RMV786452 RCZ786451:RCZ786452 QTD786451:QTD786452 QJH786451:QJH786452 PZL786451:PZL786452 PPP786451:PPP786452 PFT786451:PFT786452 OVX786451:OVX786452 OMB786451:OMB786452 OCF786451:OCF786452 NSJ786451:NSJ786452 NIN786451:NIN786452 MYR786451:MYR786452 MOV786451:MOV786452 MEZ786451:MEZ786452 LVD786451:LVD786452 LLH786451:LLH786452 LBL786451:LBL786452 KRP786451:KRP786452 KHT786451:KHT786452 JXX786451:JXX786452 JOB786451:JOB786452 JEF786451:JEF786452 IUJ786451:IUJ786452 IKN786451:IKN786452 IAR786451:IAR786452 HQV786451:HQV786452 HGZ786451:HGZ786452 GXD786451:GXD786452 GNH786451:GNH786452 GDL786451:GDL786452 FTP786451:FTP786452 FJT786451:FJT786452 EZX786451:EZX786452 EQB786451:EQB786452 EGF786451:EGF786452 DWJ786451:DWJ786452 DMN786451:DMN786452 DCR786451:DCR786452 CSV786451:CSV786452 CIZ786451:CIZ786452 BZD786451:BZD786452 BPH786451:BPH786452 BFL786451:BFL786452 AVP786451:AVP786452 ALT786451:ALT786452 ABX786451:ABX786452 SB786451:SB786452 IF786451:IF786452 E786451:E786452 WUR720915:WUR720916 WKV720915:WKV720916 WAZ720915:WAZ720916 VRD720915:VRD720916 VHH720915:VHH720916 UXL720915:UXL720916 UNP720915:UNP720916 UDT720915:UDT720916 TTX720915:TTX720916 TKB720915:TKB720916 TAF720915:TAF720916 SQJ720915:SQJ720916 SGN720915:SGN720916 RWR720915:RWR720916 RMV720915:RMV720916 RCZ720915:RCZ720916 QTD720915:QTD720916 QJH720915:QJH720916 PZL720915:PZL720916 PPP720915:PPP720916 PFT720915:PFT720916 OVX720915:OVX720916 OMB720915:OMB720916 OCF720915:OCF720916 NSJ720915:NSJ720916 NIN720915:NIN720916 MYR720915:MYR720916 MOV720915:MOV720916 MEZ720915:MEZ720916 LVD720915:LVD720916 LLH720915:LLH720916 LBL720915:LBL720916 KRP720915:KRP720916 KHT720915:KHT720916 JXX720915:JXX720916 JOB720915:JOB720916 JEF720915:JEF720916 IUJ720915:IUJ720916 IKN720915:IKN720916 IAR720915:IAR720916 HQV720915:HQV720916 HGZ720915:HGZ720916 GXD720915:GXD720916 GNH720915:GNH720916 GDL720915:GDL720916 FTP720915:FTP720916 FJT720915:FJT720916 EZX720915:EZX720916 EQB720915:EQB720916 EGF720915:EGF720916 DWJ720915:DWJ720916 DMN720915:DMN720916 DCR720915:DCR720916 CSV720915:CSV720916 CIZ720915:CIZ720916 BZD720915:BZD720916 BPH720915:BPH720916 BFL720915:BFL720916 AVP720915:AVP720916 ALT720915:ALT720916 ABX720915:ABX720916 SB720915:SB720916 IF720915:IF720916 E720915:E720916 WUR655379:WUR655380 WKV655379:WKV655380 WAZ655379:WAZ655380 VRD655379:VRD655380 VHH655379:VHH655380 UXL655379:UXL655380 UNP655379:UNP655380 UDT655379:UDT655380 TTX655379:TTX655380 TKB655379:TKB655380 TAF655379:TAF655380 SQJ655379:SQJ655380 SGN655379:SGN655380 RWR655379:RWR655380 RMV655379:RMV655380 RCZ655379:RCZ655380 QTD655379:QTD655380 QJH655379:QJH655380 PZL655379:PZL655380 PPP655379:PPP655380 PFT655379:PFT655380 OVX655379:OVX655380 OMB655379:OMB655380 OCF655379:OCF655380 NSJ655379:NSJ655380 NIN655379:NIN655380 MYR655379:MYR655380 MOV655379:MOV655380 MEZ655379:MEZ655380 LVD655379:LVD655380 LLH655379:LLH655380 LBL655379:LBL655380 KRP655379:KRP655380 KHT655379:KHT655380 JXX655379:JXX655380 JOB655379:JOB655380 JEF655379:JEF655380 IUJ655379:IUJ655380 IKN655379:IKN655380 IAR655379:IAR655380 HQV655379:HQV655380 HGZ655379:HGZ655380 GXD655379:GXD655380 GNH655379:GNH655380 GDL655379:GDL655380 FTP655379:FTP655380 FJT655379:FJT655380 EZX655379:EZX655380 EQB655379:EQB655380 EGF655379:EGF655380 DWJ655379:DWJ655380 DMN655379:DMN655380 DCR655379:DCR655380 CSV655379:CSV655380 CIZ655379:CIZ655380 BZD655379:BZD655380 BPH655379:BPH655380 BFL655379:BFL655380 AVP655379:AVP655380 ALT655379:ALT655380 ABX655379:ABX655380 SB655379:SB655380 IF655379:IF655380 E655379:E655380 WUR589843:WUR589844 WKV589843:WKV589844 WAZ589843:WAZ589844 VRD589843:VRD589844 VHH589843:VHH589844 UXL589843:UXL589844 UNP589843:UNP589844 UDT589843:UDT589844 TTX589843:TTX589844 TKB589843:TKB589844 TAF589843:TAF589844 SQJ589843:SQJ589844 SGN589843:SGN589844 RWR589843:RWR589844 RMV589843:RMV589844 RCZ589843:RCZ589844 QTD589843:QTD589844 QJH589843:QJH589844 PZL589843:PZL589844 PPP589843:PPP589844 PFT589843:PFT589844 OVX589843:OVX589844 OMB589843:OMB589844 OCF589843:OCF589844 NSJ589843:NSJ589844 NIN589843:NIN589844 MYR589843:MYR589844 MOV589843:MOV589844 MEZ589843:MEZ589844 LVD589843:LVD589844 LLH589843:LLH589844 LBL589843:LBL589844 KRP589843:KRP589844 KHT589843:KHT589844 JXX589843:JXX589844 JOB589843:JOB589844 JEF589843:JEF589844 IUJ589843:IUJ589844 IKN589843:IKN589844 IAR589843:IAR589844 HQV589843:HQV589844 HGZ589843:HGZ589844 GXD589843:GXD589844 GNH589843:GNH589844 GDL589843:GDL589844 FTP589843:FTP589844 FJT589843:FJT589844 EZX589843:EZX589844 EQB589843:EQB589844 EGF589843:EGF589844 DWJ589843:DWJ589844 DMN589843:DMN589844 DCR589843:DCR589844 CSV589843:CSV589844 CIZ589843:CIZ589844 BZD589843:BZD589844 BPH589843:BPH589844 BFL589843:BFL589844 AVP589843:AVP589844 ALT589843:ALT589844 ABX589843:ABX589844 SB589843:SB589844 IF589843:IF589844 E589843:E589844 WUR524307:WUR524308 WKV524307:WKV524308 WAZ524307:WAZ524308 VRD524307:VRD524308 VHH524307:VHH524308 UXL524307:UXL524308 UNP524307:UNP524308 UDT524307:UDT524308 TTX524307:TTX524308 TKB524307:TKB524308 TAF524307:TAF524308 SQJ524307:SQJ524308 SGN524307:SGN524308 RWR524307:RWR524308 RMV524307:RMV524308 RCZ524307:RCZ524308 QTD524307:QTD524308 QJH524307:QJH524308 PZL524307:PZL524308 PPP524307:PPP524308 PFT524307:PFT524308 OVX524307:OVX524308 OMB524307:OMB524308 OCF524307:OCF524308 NSJ524307:NSJ524308 NIN524307:NIN524308 MYR524307:MYR524308 MOV524307:MOV524308 MEZ524307:MEZ524308 LVD524307:LVD524308 LLH524307:LLH524308 LBL524307:LBL524308 KRP524307:KRP524308 KHT524307:KHT524308 JXX524307:JXX524308 JOB524307:JOB524308 JEF524307:JEF524308 IUJ524307:IUJ524308 IKN524307:IKN524308 IAR524307:IAR524308 HQV524307:HQV524308 HGZ524307:HGZ524308 GXD524307:GXD524308 GNH524307:GNH524308 GDL524307:GDL524308 FTP524307:FTP524308 FJT524307:FJT524308 EZX524307:EZX524308 EQB524307:EQB524308 EGF524307:EGF524308 DWJ524307:DWJ524308 DMN524307:DMN524308 DCR524307:DCR524308 CSV524307:CSV524308 CIZ524307:CIZ524308 BZD524307:BZD524308 BPH524307:BPH524308 BFL524307:BFL524308 AVP524307:AVP524308 ALT524307:ALT524308 ABX524307:ABX524308 SB524307:SB524308 IF524307:IF524308 E524307:E524308 WUR458771:WUR458772 WKV458771:WKV458772 WAZ458771:WAZ458772 VRD458771:VRD458772 VHH458771:VHH458772 UXL458771:UXL458772 UNP458771:UNP458772 UDT458771:UDT458772 TTX458771:TTX458772 TKB458771:TKB458772 TAF458771:TAF458772 SQJ458771:SQJ458772 SGN458771:SGN458772 RWR458771:RWR458772 RMV458771:RMV458772 RCZ458771:RCZ458772 QTD458771:QTD458772 QJH458771:QJH458772 PZL458771:PZL458772 PPP458771:PPP458772 PFT458771:PFT458772 OVX458771:OVX458772 OMB458771:OMB458772 OCF458771:OCF458772 NSJ458771:NSJ458772 NIN458771:NIN458772 MYR458771:MYR458772 MOV458771:MOV458772 MEZ458771:MEZ458772 LVD458771:LVD458772 LLH458771:LLH458772 LBL458771:LBL458772 KRP458771:KRP458772 KHT458771:KHT458772 JXX458771:JXX458772 JOB458771:JOB458772 JEF458771:JEF458772 IUJ458771:IUJ458772 IKN458771:IKN458772 IAR458771:IAR458772 HQV458771:HQV458772 HGZ458771:HGZ458772 GXD458771:GXD458772 GNH458771:GNH458772 GDL458771:GDL458772 FTP458771:FTP458772 FJT458771:FJT458772 EZX458771:EZX458772 EQB458771:EQB458772 EGF458771:EGF458772 DWJ458771:DWJ458772 DMN458771:DMN458772 DCR458771:DCR458772 CSV458771:CSV458772 CIZ458771:CIZ458772 BZD458771:BZD458772 BPH458771:BPH458772 BFL458771:BFL458772 AVP458771:AVP458772 ALT458771:ALT458772 ABX458771:ABX458772 SB458771:SB458772 IF458771:IF458772 E458771:E458772 WUR393235:WUR393236 WKV393235:WKV393236 WAZ393235:WAZ393236 VRD393235:VRD393236 VHH393235:VHH393236 UXL393235:UXL393236 UNP393235:UNP393236 UDT393235:UDT393236 TTX393235:TTX393236 TKB393235:TKB393236 TAF393235:TAF393236 SQJ393235:SQJ393236 SGN393235:SGN393236 RWR393235:RWR393236 RMV393235:RMV393236 RCZ393235:RCZ393236 QTD393235:QTD393236 QJH393235:QJH393236 PZL393235:PZL393236 PPP393235:PPP393236 PFT393235:PFT393236 OVX393235:OVX393236 OMB393235:OMB393236 OCF393235:OCF393236 NSJ393235:NSJ393236 NIN393235:NIN393236 MYR393235:MYR393236 MOV393235:MOV393236 MEZ393235:MEZ393236 LVD393235:LVD393236 LLH393235:LLH393236 LBL393235:LBL393236 KRP393235:KRP393236 KHT393235:KHT393236 JXX393235:JXX393236 JOB393235:JOB393236 JEF393235:JEF393236 IUJ393235:IUJ393236 IKN393235:IKN393236 IAR393235:IAR393236 HQV393235:HQV393236 HGZ393235:HGZ393236 GXD393235:GXD393236 GNH393235:GNH393236 GDL393235:GDL393236 FTP393235:FTP393236 FJT393235:FJT393236 EZX393235:EZX393236 EQB393235:EQB393236 EGF393235:EGF393236 DWJ393235:DWJ393236 DMN393235:DMN393236 DCR393235:DCR393236 CSV393235:CSV393236 CIZ393235:CIZ393236 BZD393235:BZD393236 BPH393235:BPH393236 BFL393235:BFL393236 AVP393235:AVP393236 ALT393235:ALT393236 ABX393235:ABX393236 SB393235:SB393236 IF393235:IF393236 E393235:E393236 WUR327699:WUR327700 WKV327699:WKV327700 WAZ327699:WAZ327700 VRD327699:VRD327700 VHH327699:VHH327700 UXL327699:UXL327700 UNP327699:UNP327700 UDT327699:UDT327700 TTX327699:TTX327700 TKB327699:TKB327700 TAF327699:TAF327700 SQJ327699:SQJ327700 SGN327699:SGN327700 RWR327699:RWR327700 RMV327699:RMV327700 RCZ327699:RCZ327700 QTD327699:QTD327700 QJH327699:QJH327700 PZL327699:PZL327700 PPP327699:PPP327700 PFT327699:PFT327700 OVX327699:OVX327700 OMB327699:OMB327700 OCF327699:OCF327700 NSJ327699:NSJ327700 NIN327699:NIN327700 MYR327699:MYR327700 MOV327699:MOV327700 MEZ327699:MEZ327700 LVD327699:LVD327700 LLH327699:LLH327700 LBL327699:LBL327700 KRP327699:KRP327700 KHT327699:KHT327700 JXX327699:JXX327700 JOB327699:JOB327700 JEF327699:JEF327700 IUJ327699:IUJ327700 IKN327699:IKN327700 IAR327699:IAR327700 HQV327699:HQV327700 HGZ327699:HGZ327700 GXD327699:GXD327700 GNH327699:GNH327700 GDL327699:GDL327700 FTP327699:FTP327700 FJT327699:FJT327700 EZX327699:EZX327700 EQB327699:EQB327700 EGF327699:EGF327700 DWJ327699:DWJ327700 DMN327699:DMN327700 DCR327699:DCR327700 CSV327699:CSV327700 CIZ327699:CIZ327700 BZD327699:BZD327700 BPH327699:BPH327700 BFL327699:BFL327700 AVP327699:AVP327700 ALT327699:ALT327700 ABX327699:ABX327700 SB327699:SB327700 IF327699:IF327700 E327699:E327700 WUR262163:WUR262164 WKV262163:WKV262164 WAZ262163:WAZ262164 VRD262163:VRD262164 VHH262163:VHH262164 UXL262163:UXL262164 UNP262163:UNP262164 UDT262163:UDT262164 TTX262163:TTX262164 TKB262163:TKB262164 TAF262163:TAF262164 SQJ262163:SQJ262164 SGN262163:SGN262164 RWR262163:RWR262164 RMV262163:RMV262164 RCZ262163:RCZ262164 QTD262163:QTD262164 QJH262163:QJH262164 PZL262163:PZL262164 PPP262163:PPP262164 PFT262163:PFT262164 OVX262163:OVX262164 OMB262163:OMB262164 OCF262163:OCF262164 NSJ262163:NSJ262164 NIN262163:NIN262164 MYR262163:MYR262164 MOV262163:MOV262164 MEZ262163:MEZ262164 LVD262163:LVD262164 LLH262163:LLH262164 LBL262163:LBL262164 KRP262163:KRP262164 KHT262163:KHT262164 JXX262163:JXX262164 JOB262163:JOB262164 JEF262163:JEF262164 IUJ262163:IUJ262164 IKN262163:IKN262164 IAR262163:IAR262164 HQV262163:HQV262164 HGZ262163:HGZ262164 GXD262163:GXD262164 GNH262163:GNH262164 GDL262163:GDL262164 FTP262163:FTP262164 FJT262163:FJT262164 EZX262163:EZX262164 EQB262163:EQB262164 EGF262163:EGF262164 DWJ262163:DWJ262164 DMN262163:DMN262164 DCR262163:DCR262164 CSV262163:CSV262164 CIZ262163:CIZ262164 BZD262163:BZD262164 BPH262163:BPH262164 BFL262163:BFL262164 AVP262163:AVP262164 ALT262163:ALT262164 ABX262163:ABX262164 SB262163:SB262164 IF262163:IF262164 E262163:E262164 WUR196627:WUR196628 WKV196627:WKV196628 WAZ196627:WAZ196628 VRD196627:VRD196628 VHH196627:VHH196628 UXL196627:UXL196628 UNP196627:UNP196628 UDT196627:UDT196628 TTX196627:TTX196628 TKB196627:TKB196628 TAF196627:TAF196628 SQJ196627:SQJ196628 SGN196627:SGN196628 RWR196627:RWR196628 RMV196627:RMV196628 RCZ196627:RCZ196628 QTD196627:QTD196628 QJH196627:QJH196628 PZL196627:PZL196628 PPP196627:PPP196628 PFT196627:PFT196628 OVX196627:OVX196628 OMB196627:OMB196628 OCF196627:OCF196628 NSJ196627:NSJ196628 NIN196627:NIN196628 MYR196627:MYR196628 MOV196627:MOV196628 MEZ196627:MEZ196628 LVD196627:LVD196628 LLH196627:LLH196628 LBL196627:LBL196628 KRP196627:KRP196628 KHT196627:KHT196628 JXX196627:JXX196628 JOB196627:JOB196628 JEF196627:JEF196628 IUJ196627:IUJ196628 IKN196627:IKN196628 IAR196627:IAR196628 HQV196627:HQV196628 HGZ196627:HGZ196628 GXD196627:GXD196628 GNH196627:GNH196628 GDL196627:GDL196628 FTP196627:FTP196628 FJT196627:FJT196628 EZX196627:EZX196628 EQB196627:EQB196628 EGF196627:EGF196628 DWJ196627:DWJ196628 DMN196627:DMN196628 DCR196627:DCR196628 CSV196627:CSV196628 CIZ196627:CIZ196628 BZD196627:BZD196628 BPH196627:BPH196628 BFL196627:BFL196628 AVP196627:AVP196628 ALT196627:ALT196628 ABX196627:ABX196628 SB196627:SB196628 IF196627:IF196628 E196627:E196628 WUR131091:WUR131092 WKV131091:WKV131092 WAZ131091:WAZ131092 VRD131091:VRD131092 VHH131091:VHH131092 UXL131091:UXL131092 UNP131091:UNP131092 UDT131091:UDT131092 TTX131091:TTX131092 TKB131091:TKB131092 TAF131091:TAF131092 SQJ131091:SQJ131092 SGN131091:SGN131092 RWR131091:RWR131092 RMV131091:RMV131092 RCZ131091:RCZ131092 QTD131091:QTD131092 QJH131091:QJH131092 PZL131091:PZL131092 PPP131091:PPP131092 PFT131091:PFT131092 OVX131091:OVX131092 OMB131091:OMB131092 OCF131091:OCF131092 NSJ131091:NSJ131092 NIN131091:NIN131092 MYR131091:MYR131092 MOV131091:MOV131092 MEZ131091:MEZ131092 LVD131091:LVD131092 LLH131091:LLH131092 LBL131091:LBL131092 KRP131091:KRP131092 KHT131091:KHT131092 JXX131091:JXX131092 JOB131091:JOB131092 JEF131091:JEF131092 IUJ131091:IUJ131092 IKN131091:IKN131092 IAR131091:IAR131092 HQV131091:HQV131092 HGZ131091:HGZ131092 GXD131091:GXD131092 GNH131091:GNH131092 GDL131091:GDL131092 FTP131091:FTP131092 FJT131091:FJT131092 EZX131091:EZX131092 EQB131091:EQB131092 EGF131091:EGF131092 DWJ131091:DWJ131092 DMN131091:DMN131092 DCR131091:DCR131092 CSV131091:CSV131092 CIZ131091:CIZ131092 BZD131091:BZD131092 BPH131091:BPH131092 BFL131091:BFL131092 AVP131091:AVP131092 ALT131091:ALT131092 ABX131091:ABX131092 SB131091:SB131092 IF131091:IF131092 E131091:E131092 WUR65555:WUR65556 WKV65555:WKV65556 WAZ65555:WAZ65556 VRD65555:VRD65556 VHH65555:VHH65556 UXL65555:UXL65556 UNP65555:UNP65556 UDT65555:UDT65556 TTX65555:TTX65556 TKB65555:TKB65556 TAF65555:TAF65556 SQJ65555:SQJ65556 SGN65555:SGN65556 RWR65555:RWR65556 RMV65555:RMV65556 RCZ65555:RCZ65556 QTD65555:QTD65556 QJH65555:QJH65556 PZL65555:PZL65556 PPP65555:PPP65556 PFT65555:PFT65556 OVX65555:OVX65556 OMB65555:OMB65556 OCF65555:OCF65556 NSJ65555:NSJ65556 NIN65555:NIN65556 MYR65555:MYR65556 MOV65555:MOV65556 MEZ65555:MEZ65556 LVD65555:LVD65556 LLH65555:LLH65556 LBL65555:LBL65556 KRP65555:KRP65556 KHT65555:KHT65556 JXX65555:JXX65556 JOB65555:JOB65556 JEF65555:JEF65556 IUJ65555:IUJ65556 IKN65555:IKN65556 IAR65555:IAR65556 HQV65555:HQV65556 HGZ65555:HGZ65556 GXD65555:GXD65556 GNH65555:GNH65556 GDL65555:GDL65556 FTP65555:FTP65556 FJT65555:FJT65556 EZX65555:EZX65556 EQB65555:EQB65556 EGF65555:EGF65556 DWJ65555:DWJ65556 DMN65555:DMN65556 DCR65555:DCR65556 CSV65555:CSV65556 CIZ65555:CIZ65556 BZD65555:BZD65556 BPH65555:BPH65556 BFL65555:BFL65556 AVP65555:AVP65556 ALT65555:ALT65556 ABX65555:ABX65556 SB65555:SB65556 IF65555:IF65556 E65555:E65556 WUR3:WUR4 WKV3:WKV4 WAZ3:WAZ4 VRD3:VRD4 VHH3:VHH4 UXL3:UXL4 UNP3:UNP4 UDT3:UDT4 TTX3:TTX4 TKB3:TKB4 TAF3:TAF4 SQJ3:SQJ4 SGN3:SGN4 RWR3:RWR4 RMV3:RMV4 RCZ3:RCZ4 QTD3:QTD4 QJH3:QJH4 PZL3:PZL4 PPP3:PPP4 PFT3:PFT4 OVX3:OVX4 OMB3:OMB4 OCF3:OCF4 NSJ3:NSJ4 NIN3:NIN4 MYR3:MYR4 MOV3:MOV4 MEZ3:MEZ4 LVD3:LVD4 LLH3:LLH4 LBL3:LBL4 KRP3:KRP4 KHT3:KHT4 JXX3:JXX4 JOB3:JOB4 JEF3:JEF4 IUJ3:IUJ4 IKN3:IKN4 IAR3:IAR4 HQV3:HQV4 HGZ3:HGZ4 GXD3:GXD4 GNH3:GNH4 GDL3:GDL4 FTP3:FTP4 FJT3:FJT4 EZX3:EZX4 EQB3:EQB4 EGF3:EGF4 DWJ3:DWJ4 DMN3:DMN4 DCR3:DCR4 CSV3:CSV4 CIZ3:CIZ4 BZD3:BZD4 BPH3:BPH4 BFL3:BFL4 AVP3:AVP4 ALT3:ALT4 ABX3:ABX4 SB3:SB4 D6:D7" xr:uid="{00000000-0002-0000-1800-000000000000}">
      <formula1>#REF!</formula1>
    </dataValidation>
  </dataValidations>
  <pageMargins left="0.78740157499999996" right="0.78740157499999996" top="0.984251969" bottom="0.984251969" header="0.4921259845" footer="0.4921259845"/>
  <pageSetup paperSize="9" scale="72" orientation="landscape" r:id="rId1"/>
  <headerFooter alignWithMargins="0">
    <oddHeader>&amp;CSIA 2024 Raum-Datenblätter</oddHeader>
    <oddFooter>&amp;CSIA 2024, Copyright © 2021 by SIA Zurich</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blSIA3803">
    <tabColor theme="4"/>
    <pageSetUpPr fitToPage="1"/>
  </sheetPr>
  <dimension ref="A1:T202"/>
  <sheetViews>
    <sheetView showGridLines="0" showRowColHeaders="0" zoomScaleNormal="100" zoomScaleSheetLayoutView="55" zoomScalePageLayoutView="70" workbookViewId="0">
      <selection activeCell="D26" sqref="D26"/>
    </sheetView>
  </sheetViews>
  <sheetFormatPr baseColWidth="10" defaultColWidth="11.53515625" defaultRowHeight="12.45"/>
  <cols>
    <col min="1" max="1" width="3" style="270" customWidth="1"/>
    <col min="2" max="2" width="43.69140625" style="270" customWidth="1"/>
    <col min="3" max="3" width="14.23046875" style="270" customWidth="1"/>
    <col min="4" max="4" width="9.765625" style="270" bestFit="1" customWidth="1"/>
    <col min="5" max="5" width="9.69140625" style="270" bestFit="1" customWidth="1"/>
    <col min="6" max="6" width="7.53515625" style="270" customWidth="1"/>
    <col min="7" max="7" width="11.23046875" style="270" customWidth="1"/>
    <col min="8" max="8" width="10.69140625" style="270" customWidth="1"/>
    <col min="9" max="9" width="7.765625" style="270" customWidth="1"/>
    <col min="10" max="15" width="5.53515625" style="270" bestFit="1" customWidth="1"/>
    <col min="16" max="17" width="9.69140625" style="270" customWidth="1"/>
    <col min="18" max="18" width="4.53515625" style="270" customWidth="1"/>
    <col min="19" max="19" width="4.23046875" style="270" customWidth="1"/>
    <col min="20" max="237" width="11.53515625" style="270"/>
    <col min="238" max="238" width="3" style="270" customWidth="1"/>
    <col min="239" max="239" width="50.69140625" style="270" customWidth="1"/>
    <col min="240" max="240" width="13.23046875" style="270" customWidth="1"/>
    <col min="241" max="241" width="18.53515625" style="270" customWidth="1"/>
    <col min="242" max="242" width="10.765625" style="270" customWidth="1"/>
    <col min="243" max="243" width="9.69140625" style="270" customWidth="1"/>
    <col min="244" max="244" width="11.69140625" style="270" customWidth="1"/>
    <col min="245" max="245" width="15.23046875" style="270" customWidth="1"/>
    <col min="246" max="246" width="18" style="270" customWidth="1"/>
    <col min="247" max="247" width="11.765625" style="270" customWidth="1"/>
    <col min="248" max="254" width="9.69140625" style="270" customWidth="1"/>
    <col min="255" max="256" width="4.23046875" style="270" customWidth="1"/>
    <col min="257" max="257" width="17.23046875" style="270" customWidth="1"/>
    <col min="258" max="274" width="9.23046875" style="270" customWidth="1"/>
    <col min="275" max="493" width="11.53515625" style="270"/>
    <col min="494" max="494" width="3" style="270" customWidth="1"/>
    <col min="495" max="495" width="50.69140625" style="270" customWidth="1"/>
    <col min="496" max="496" width="13.23046875" style="270" customWidth="1"/>
    <col min="497" max="497" width="18.53515625" style="270" customWidth="1"/>
    <col min="498" max="498" width="10.765625" style="270" customWidth="1"/>
    <col min="499" max="499" width="9.69140625" style="270" customWidth="1"/>
    <col min="500" max="500" width="11.69140625" style="270" customWidth="1"/>
    <col min="501" max="501" width="15.23046875" style="270" customWidth="1"/>
    <col min="502" max="502" width="18" style="270" customWidth="1"/>
    <col min="503" max="503" width="11.765625" style="270" customWidth="1"/>
    <col min="504" max="510" width="9.69140625" style="270" customWidth="1"/>
    <col min="511" max="512" width="4.23046875" style="270" customWidth="1"/>
    <col min="513" max="513" width="17.23046875" style="270" customWidth="1"/>
    <col min="514" max="530" width="9.23046875" style="270" customWidth="1"/>
    <col min="531" max="749" width="11.53515625" style="270"/>
    <col min="750" max="750" width="3" style="270" customWidth="1"/>
    <col min="751" max="751" width="50.69140625" style="270" customWidth="1"/>
    <col min="752" max="752" width="13.23046875" style="270" customWidth="1"/>
    <col min="753" max="753" width="18.53515625" style="270" customWidth="1"/>
    <col min="754" max="754" width="10.765625" style="270" customWidth="1"/>
    <col min="755" max="755" width="9.69140625" style="270" customWidth="1"/>
    <col min="756" max="756" width="11.69140625" style="270" customWidth="1"/>
    <col min="757" max="757" width="15.23046875" style="270" customWidth="1"/>
    <col min="758" max="758" width="18" style="270" customWidth="1"/>
    <col min="759" max="759" width="11.765625" style="270" customWidth="1"/>
    <col min="760" max="766" width="9.69140625" style="270" customWidth="1"/>
    <col min="767" max="768" width="4.23046875" style="270" customWidth="1"/>
    <col min="769" max="769" width="17.23046875" style="270" customWidth="1"/>
    <col min="770" max="786" width="9.23046875" style="270" customWidth="1"/>
    <col min="787" max="1005" width="11.53515625" style="270"/>
    <col min="1006" max="1006" width="3" style="270" customWidth="1"/>
    <col min="1007" max="1007" width="50.69140625" style="270" customWidth="1"/>
    <col min="1008" max="1008" width="13.23046875" style="270" customWidth="1"/>
    <col min="1009" max="1009" width="18.53515625" style="270" customWidth="1"/>
    <col min="1010" max="1010" width="10.765625" style="270" customWidth="1"/>
    <col min="1011" max="1011" width="9.69140625" style="270" customWidth="1"/>
    <col min="1012" max="1012" width="11.69140625" style="270" customWidth="1"/>
    <col min="1013" max="1013" width="15.23046875" style="270" customWidth="1"/>
    <col min="1014" max="1014" width="18" style="270" customWidth="1"/>
    <col min="1015" max="1015" width="11.765625" style="270" customWidth="1"/>
    <col min="1016" max="1022" width="9.69140625" style="270" customWidth="1"/>
    <col min="1023" max="1024" width="4.23046875" style="270" customWidth="1"/>
    <col min="1025" max="1025" width="17.23046875" style="270" customWidth="1"/>
    <col min="1026" max="1042" width="9.23046875" style="270" customWidth="1"/>
    <col min="1043" max="1261" width="11.53515625" style="270"/>
    <col min="1262" max="1262" width="3" style="270" customWidth="1"/>
    <col min="1263" max="1263" width="50.69140625" style="270" customWidth="1"/>
    <col min="1264" max="1264" width="13.23046875" style="270" customWidth="1"/>
    <col min="1265" max="1265" width="18.53515625" style="270" customWidth="1"/>
    <col min="1266" max="1266" width="10.765625" style="270" customWidth="1"/>
    <col min="1267" max="1267" width="9.69140625" style="270" customWidth="1"/>
    <col min="1268" max="1268" width="11.69140625" style="270" customWidth="1"/>
    <col min="1269" max="1269" width="15.23046875" style="270" customWidth="1"/>
    <col min="1270" max="1270" width="18" style="270" customWidth="1"/>
    <col min="1271" max="1271" width="11.765625" style="270" customWidth="1"/>
    <col min="1272" max="1278" width="9.69140625" style="270" customWidth="1"/>
    <col min="1279" max="1280" width="4.23046875" style="270" customWidth="1"/>
    <col min="1281" max="1281" width="17.23046875" style="270" customWidth="1"/>
    <col min="1282" max="1298" width="9.23046875" style="270" customWidth="1"/>
    <col min="1299" max="1517" width="11.53515625" style="270"/>
    <col min="1518" max="1518" width="3" style="270" customWidth="1"/>
    <col min="1519" max="1519" width="50.69140625" style="270" customWidth="1"/>
    <col min="1520" max="1520" width="13.23046875" style="270" customWidth="1"/>
    <col min="1521" max="1521" width="18.53515625" style="270" customWidth="1"/>
    <col min="1522" max="1522" width="10.765625" style="270" customWidth="1"/>
    <col min="1523" max="1523" width="9.69140625" style="270" customWidth="1"/>
    <col min="1524" max="1524" width="11.69140625" style="270" customWidth="1"/>
    <col min="1525" max="1525" width="15.23046875" style="270" customWidth="1"/>
    <col min="1526" max="1526" width="18" style="270" customWidth="1"/>
    <col min="1527" max="1527" width="11.765625" style="270" customWidth="1"/>
    <col min="1528" max="1534" width="9.69140625" style="270" customWidth="1"/>
    <col min="1535" max="1536" width="4.23046875" style="270" customWidth="1"/>
    <col min="1537" max="1537" width="17.23046875" style="270" customWidth="1"/>
    <col min="1538" max="1554" width="9.23046875" style="270" customWidth="1"/>
    <col min="1555" max="1773" width="11.53515625" style="270"/>
    <col min="1774" max="1774" width="3" style="270" customWidth="1"/>
    <col min="1775" max="1775" width="50.69140625" style="270" customWidth="1"/>
    <col min="1776" max="1776" width="13.23046875" style="270" customWidth="1"/>
    <col min="1777" max="1777" width="18.53515625" style="270" customWidth="1"/>
    <col min="1778" max="1778" width="10.765625" style="270" customWidth="1"/>
    <col min="1779" max="1779" width="9.69140625" style="270" customWidth="1"/>
    <col min="1780" max="1780" width="11.69140625" style="270" customWidth="1"/>
    <col min="1781" max="1781" width="15.23046875" style="270" customWidth="1"/>
    <col min="1782" max="1782" width="18" style="270" customWidth="1"/>
    <col min="1783" max="1783" width="11.765625" style="270" customWidth="1"/>
    <col min="1784" max="1790" width="9.69140625" style="270" customWidth="1"/>
    <col min="1791" max="1792" width="4.23046875" style="270" customWidth="1"/>
    <col min="1793" max="1793" width="17.23046875" style="270" customWidth="1"/>
    <col min="1794" max="1810" width="9.23046875" style="270" customWidth="1"/>
    <col min="1811" max="2029" width="11.53515625" style="270"/>
    <col min="2030" max="2030" width="3" style="270" customWidth="1"/>
    <col min="2031" max="2031" width="50.69140625" style="270" customWidth="1"/>
    <col min="2032" max="2032" width="13.23046875" style="270" customWidth="1"/>
    <col min="2033" max="2033" width="18.53515625" style="270" customWidth="1"/>
    <col min="2034" max="2034" width="10.765625" style="270" customWidth="1"/>
    <col min="2035" max="2035" width="9.69140625" style="270" customWidth="1"/>
    <col min="2036" max="2036" width="11.69140625" style="270" customWidth="1"/>
    <col min="2037" max="2037" width="15.23046875" style="270" customWidth="1"/>
    <col min="2038" max="2038" width="18" style="270" customWidth="1"/>
    <col min="2039" max="2039" width="11.765625" style="270" customWidth="1"/>
    <col min="2040" max="2046" width="9.69140625" style="270" customWidth="1"/>
    <col min="2047" max="2048" width="4.23046875" style="270" customWidth="1"/>
    <col min="2049" max="2049" width="17.23046875" style="270" customWidth="1"/>
    <col min="2050" max="2066" width="9.23046875" style="270" customWidth="1"/>
    <col min="2067" max="2285" width="11.53515625" style="270"/>
    <col min="2286" max="2286" width="3" style="270" customWidth="1"/>
    <col min="2287" max="2287" width="50.69140625" style="270" customWidth="1"/>
    <col min="2288" max="2288" width="13.23046875" style="270" customWidth="1"/>
    <col min="2289" max="2289" width="18.53515625" style="270" customWidth="1"/>
    <col min="2290" max="2290" width="10.765625" style="270" customWidth="1"/>
    <col min="2291" max="2291" width="9.69140625" style="270" customWidth="1"/>
    <col min="2292" max="2292" width="11.69140625" style="270" customWidth="1"/>
    <col min="2293" max="2293" width="15.23046875" style="270" customWidth="1"/>
    <col min="2294" max="2294" width="18" style="270" customWidth="1"/>
    <col min="2295" max="2295" width="11.765625" style="270" customWidth="1"/>
    <col min="2296" max="2302" width="9.69140625" style="270" customWidth="1"/>
    <col min="2303" max="2304" width="4.23046875" style="270" customWidth="1"/>
    <col min="2305" max="2305" width="17.23046875" style="270" customWidth="1"/>
    <col min="2306" max="2322" width="9.23046875" style="270" customWidth="1"/>
    <col min="2323" max="2541" width="11.53515625" style="270"/>
    <col min="2542" max="2542" width="3" style="270" customWidth="1"/>
    <col min="2543" max="2543" width="50.69140625" style="270" customWidth="1"/>
    <col min="2544" max="2544" width="13.23046875" style="270" customWidth="1"/>
    <col min="2545" max="2545" width="18.53515625" style="270" customWidth="1"/>
    <col min="2546" max="2546" width="10.765625" style="270" customWidth="1"/>
    <col min="2547" max="2547" width="9.69140625" style="270" customWidth="1"/>
    <col min="2548" max="2548" width="11.69140625" style="270" customWidth="1"/>
    <col min="2549" max="2549" width="15.23046875" style="270" customWidth="1"/>
    <col min="2550" max="2550" width="18" style="270" customWidth="1"/>
    <col min="2551" max="2551" width="11.765625" style="270" customWidth="1"/>
    <col min="2552" max="2558" width="9.69140625" style="270" customWidth="1"/>
    <col min="2559" max="2560" width="4.23046875" style="270" customWidth="1"/>
    <col min="2561" max="2561" width="17.23046875" style="270" customWidth="1"/>
    <col min="2562" max="2578" width="9.23046875" style="270" customWidth="1"/>
    <col min="2579" max="2797" width="11.53515625" style="270"/>
    <col min="2798" max="2798" width="3" style="270" customWidth="1"/>
    <col min="2799" max="2799" width="50.69140625" style="270" customWidth="1"/>
    <col min="2800" max="2800" width="13.23046875" style="270" customWidth="1"/>
    <col min="2801" max="2801" width="18.53515625" style="270" customWidth="1"/>
    <col min="2802" max="2802" width="10.765625" style="270" customWidth="1"/>
    <col min="2803" max="2803" width="9.69140625" style="270" customWidth="1"/>
    <col min="2804" max="2804" width="11.69140625" style="270" customWidth="1"/>
    <col min="2805" max="2805" width="15.23046875" style="270" customWidth="1"/>
    <col min="2806" max="2806" width="18" style="270" customWidth="1"/>
    <col min="2807" max="2807" width="11.765625" style="270" customWidth="1"/>
    <col min="2808" max="2814" width="9.69140625" style="270" customWidth="1"/>
    <col min="2815" max="2816" width="4.23046875" style="270" customWidth="1"/>
    <col min="2817" max="2817" width="17.23046875" style="270" customWidth="1"/>
    <col min="2818" max="2834" width="9.23046875" style="270" customWidth="1"/>
    <col min="2835" max="3053" width="11.53515625" style="270"/>
    <col min="3054" max="3054" width="3" style="270" customWidth="1"/>
    <col min="3055" max="3055" width="50.69140625" style="270" customWidth="1"/>
    <col min="3056" max="3056" width="13.23046875" style="270" customWidth="1"/>
    <col min="3057" max="3057" width="18.53515625" style="270" customWidth="1"/>
    <col min="3058" max="3058" width="10.765625" style="270" customWidth="1"/>
    <col min="3059" max="3059" width="9.69140625" style="270" customWidth="1"/>
    <col min="3060" max="3060" width="11.69140625" style="270" customWidth="1"/>
    <col min="3061" max="3061" width="15.23046875" style="270" customWidth="1"/>
    <col min="3062" max="3062" width="18" style="270" customWidth="1"/>
    <col min="3063" max="3063" width="11.765625" style="270" customWidth="1"/>
    <col min="3064" max="3070" width="9.69140625" style="270" customWidth="1"/>
    <col min="3071" max="3072" width="4.23046875" style="270" customWidth="1"/>
    <col min="3073" max="3073" width="17.23046875" style="270" customWidth="1"/>
    <col min="3074" max="3090" width="9.23046875" style="270" customWidth="1"/>
    <col min="3091" max="3309" width="11.53515625" style="270"/>
    <col min="3310" max="3310" width="3" style="270" customWidth="1"/>
    <col min="3311" max="3311" width="50.69140625" style="270" customWidth="1"/>
    <col min="3312" max="3312" width="13.23046875" style="270" customWidth="1"/>
    <col min="3313" max="3313" width="18.53515625" style="270" customWidth="1"/>
    <col min="3314" max="3314" width="10.765625" style="270" customWidth="1"/>
    <col min="3315" max="3315" width="9.69140625" style="270" customWidth="1"/>
    <col min="3316" max="3316" width="11.69140625" style="270" customWidth="1"/>
    <col min="3317" max="3317" width="15.23046875" style="270" customWidth="1"/>
    <col min="3318" max="3318" width="18" style="270" customWidth="1"/>
    <col min="3319" max="3319" width="11.765625" style="270" customWidth="1"/>
    <col min="3320" max="3326" width="9.69140625" style="270" customWidth="1"/>
    <col min="3327" max="3328" width="4.23046875" style="270" customWidth="1"/>
    <col min="3329" max="3329" width="17.23046875" style="270" customWidth="1"/>
    <col min="3330" max="3346" width="9.23046875" style="270" customWidth="1"/>
    <col min="3347" max="3565" width="11.53515625" style="270"/>
    <col min="3566" max="3566" width="3" style="270" customWidth="1"/>
    <col min="3567" max="3567" width="50.69140625" style="270" customWidth="1"/>
    <col min="3568" max="3568" width="13.23046875" style="270" customWidth="1"/>
    <col min="3569" max="3569" width="18.53515625" style="270" customWidth="1"/>
    <col min="3570" max="3570" width="10.765625" style="270" customWidth="1"/>
    <col min="3571" max="3571" width="9.69140625" style="270" customWidth="1"/>
    <col min="3572" max="3572" width="11.69140625" style="270" customWidth="1"/>
    <col min="3573" max="3573" width="15.23046875" style="270" customWidth="1"/>
    <col min="3574" max="3574" width="18" style="270" customWidth="1"/>
    <col min="3575" max="3575" width="11.765625" style="270" customWidth="1"/>
    <col min="3576" max="3582" width="9.69140625" style="270" customWidth="1"/>
    <col min="3583" max="3584" width="4.23046875" style="270" customWidth="1"/>
    <col min="3585" max="3585" width="17.23046875" style="270" customWidth="1"/>
    <col min="3586" max="3602" width="9.23046875" style="270" customWidth="1"/>
    <col min="3603" max="3821" width="11.53515625" style="270"/>
    <col min="3822" max="3822" width="3" style="270" customWidth="1"/>
    <col min="3823" max="3823" width="50.69140625" style="270" customWidth="1"/>
    <col min="3824" max="3824" width="13.23046875" style="270" customWidth="1"/>
    <col min="3825" max="3825" width="18.53515625" style="270" customWidth="1"/>
    <col min="3826" max="3826" width="10.765625" style="270" customWidth="1"/>
    <col min="3827" max="3827" width="9.69140625" style="270" customWidth="1"/>
    <col min="3828" max="3828" width="11.69140625" style="270" customWidth="1"/>
    <col min="3829" max="3829" width="15.23046875" style="270" customWidth="1"/>
    <col min="3830" max="3830" width="18" style="270" customWidth="1"/>
    <col min="3831" max="3831" width="11.765625" style="270" customWidth="1"/>
    <col min="3832" max="3838" width="9.69140625" style="270" customWidth="1"/>
    <col min="3839" max="3840" width="4.23046875" style="270" customWidth="1"/>
    <col min="3841" max="3841" width="17.23046875" style="270" customWidth="1"/>
    <col min="3842" max="3858" width="9.23046875" style="270" customWidth="1"/>
    <col min="3859" max="4077" width="11.53515625" style="270"/>
    <col min="4078" max="4078" width="3" style="270" customWidth="1"/>
    <col min="4079" max="4079" width="50.69140625" style="270" customWidth="1"/>
    <col min="4080" max="4080" width="13.23046875" style="270" customWidth="1"/>
    <col min="4081" max="4081" width="18.53515625" style="270" customWidth="1"/>
    <col min="4082" max="4082" width="10.765625" style="270" customWidth="1"/>
    <col min="4083" max="4083" width="9.69140625" style="270" customWidth="1"/>
    <col min="4084" max="4084" width="11.69140625" style="270" customWidth="1"/>
    <col min="4085" max="4085" width="15.23046875" style="270" customWidth="1"/>
    <col min="4086" max="4086" width="18" style="270" customWidth="1"/>
    <col min="4087" max="4087" width="11.765625" style="270" customWidth="1"/>
    <col min="4088" max="4094" width="9.69140625" style="270" customWidth="1"/>
    <col min="4095" max="4096" width="4.23046875" style="270" customWidth="1"/>
    <col min="4097" max="4097" width="17.23046875" style="270" customWidth="1"/>
    <col min="4098" max="4114" width="9.23046875" style="270" customWidth="1"/>
    <col min="4115" max="4333" width="11.53515625" style="270"/>
    <col min="4334" max="4334" width="3" style="270" customWidth="1"/>
    <col min="4335" max="4335" width="50.69140625" style="270" customWidth="1"/>
    <col min="4336" max="4336" width="13.23046875" style="270" customWidth="1"/>
    <col min="4337" max="4337" width="18.53515625" style="270" customWidth="1"/>
    <col min="4338" max="4338" width="10.765625" style="270" customWidth="1"/>
    <col min="4339" max="4339" width="9.69140625" style="270" customWidth="1"/>
    <col min="4340" max="4340" width="11.69140625" style="270" customWidth="1"/>
    <col min="4341" max="4341" width="15.23046875" style="270" customWidth="1"/>
    <col min="4342" max="4342" width="18" style="270" customWidth="1"/>
    <col min="4343" max="4343" width="11.765625" style="270" customWidth="1"/>
    <col min="4344" max="4350" width="9.69140625" style="270" customWidth="1"/>
    <col min="4351" max="4352" width="4.23046875" style="270" customWidth="1"/>
    <col min="4353" max="4353" width="17.23046875" style="270" customWidth="1"/>
    <col min="4354" max="4370" width="9.23046875" style="270" customWidth="1"/>
    <col min="4371" max="4589" width="11.53515625" style="270"/>
    <col min="4590" max="4590" width="3" style="270" customWidth="1"/>
    <col min="4591" max="4591" width="50.69140625" style="270" customWidth="1"/>
    <col min="4592" max="4592" width="13.23046875" style="270" customWidth="1"/>
    <col min="4593" max="4593" width="18.53515625" style="270" customWidth="1"/>
    <col min="4594" max="4594" width="10.765625" style="270" customWidth="1"/>
    <col min="4595" max="4595" width="9.69140625" style="270" customWidth="1"/>
    <col min="4596" max="4596" width="11.69140625" style="270" customWidth="1"/>
    <col min="4597" max="4597" width="15.23046875" style="270" customWidth="1"/>
    <col min="4598" max="4598" width="18" style="270" customWidth="1"/>
    <col min="4599" max="4599" width="11.765625" style="270" customWidth="1"/>
    <col min="4600" max="4606" width="9.69140625" style="270" customWidth="1"/>
    <col min="4607" max="4608" width="4.23046875" style="270" customWidth="1"/>
    <col min="4609" max="4609" width="17.23046875" style="270" customWidth="1"/>
    <col min="4610" max="4626" width="9.23046875" style="270" customWidth="1"/>
    <col min="4627" max="4845" width="11.53515625" style="270"/>
    <col min="4846" max="4846" width="3" style="270" customWidth="1"/>
    <col min="4847" max="4847" width="50.69140625" style="270" customWidth="1"/>
    <col min="4848" max="4848" width="13.23046875" style="270" customWidth="1"/>
    <col min="4849" max="4849" width="18.53515625" style="270" customWidth="1"/>
    <col min="4850" max="4850" width="10.765625" style="270" customWidth="1"/>
    <col min="4851" max="4851" width="9.69140625" style="270" customWidth="1"/>
    <col min="4852" max="4852" width="11.69140625" style="270" customWidth="1"/>
    <col min="4853" max="4853" width="15.23046875" style="270" customWidth="1"/>
    <col min="4854" max="4854" width="18" style="270" customWidth="1"/>
    <col min="4855" max="4855" width="11.765625" style="270" customWidth="1"/>
    <col min="4856" max="4862" width="9.69140625" style="270" customWidth="1"/>
    <col min="4863" max="4864" width="4.23046875" style="270" customWidth="1"/>
    <col min="4865" max="4865" width="17.23046875" style="270" customWidth="1"/>
    <col min="4866" max="4882" width="9.23046875" style="270" customWidth="1"/>
    <col min="4883" max="5101" width="11.53515625" style="270"/>
    <col min="5102" max="5102" width="3" style="270" customWidth="1"/>
    <col min="5103" max="5103" width="50.69140625" style="270" customWidth="1"/>
    <col min="5104" max="5104" width="13.23046875" style="270" customWidth="1"/>
    <col min="5105" max="5105" width="18.53515625" style="270" customWidth="1"/>
    <col min="5106" max="5106" width="10.765625" style="270" customWidth="1"/>
    <col min="5107" max="5107" width="9.69140625" style="270" customWidth="1"/>
    <col min="5108" max="5108" width="11.69140625" style="270" customWidth="1"/>
    <col min="5109" max="5109" width="15.23046875" style="270" customWidth="1"/>
    <col min="5110" max="5110" width="18" style="270" customWidth="1"/>
    <col min="5111" max="5111" width="11.765625" style="270" customWidth="1"/>
    <col min="5112" max="5118" width="9.69140625" style="270" customWidth="1"/>
    <col min="5119" max="5120" width="4.23046875" style="270" customWidth="1"/>
    <col min="5121" max="5121" width="17.23046875" style="270" customWidth="1"/>
    <col min="5122" max="5138" width="9.23046875" style="270" customWidth="1"/>
    <col min="5139" max="5357" width="11.53515625" style="270"/>
    <col min="5358" max="5358" width="3" style="270" customWidth="1"/>
    <col min="5359" max="5359" width="50.69140625" style="270" customWidth="1"/>
    <col min="5360" max="5360" width="13.23046875" style="270" customWidth="1"/>
    <col min="5361" max="5361" width="18.53515625" style="270" customWidth="1"/>
    <col min="5362" max="5362" width="10.765625" style="270" customWidth="1"/>
    <col min="5363" max="5363" width="9.69140625" style="270" customWidth="1"/>
    <col min="5364" max="5364" width="11.69140625" style="270" customWidth="1"/>
    <col min="5365" max="5365" width="15.23046875" style="270" customWidth="1"/>
    <col min="5366" max="5366" width="18" style="270" customWidth="1"/>
    <col min="5367" max="5367" width="11.765625" style="270" customWidth="1"/>
    <col min="5368" max="5374" width="9.69140625" style="270" customWidth="1"/>
    <col min="5375" max="5376" width="4.23046875" style="270" customWidth="1"/>
    <col min="5377" max="5377" width="17.23046875" style="270" customWidth="1"/>
    <col min="5378" max="5394" width="9.23046875" style="270" customWidth="1"/>
    <col min="5395" max="5613" width="11.53515625" style="270"/>
    <col min="5614" max="5614" width="3" style="270" customWidth="1"/>
    <col min="5615" max="5615" width="50.69140625" style="270" customWidth="1"/>
    <col min="5616" max="5616" width="13.23046875" style="270" customWidth="1"/>
    <col min="5617" max="5617" width="18.53515625" style="270" customWidth="1"/>
    <col min="5618" max="5618" width="10.765625" style="270" customWidth="1"/>
    <col min="5619" max="5619" width="9.69140625" style="270" customWidth="1"/>
    <col min="5620" max="5620" width="11.69140625" style="270" customWidth="1"/>
    <col min="5621" max="5621" width="15.23046875" style="270" customWidth="1"/>
    <col min="5622" max="5622" width="18" style="270" customWidth="1"/>
    <col min="5623" max="5623" width="11.765625" style="270" customWidth="1"/>
    <col min="5624" max="5630" width="9.69140625" style="270" customWidth="1"/>
    <col min="5631" max="5632" width="4.23046875" style="270" customWidth="1"/>
    <col min="5633" max="5633" width="17.23046875" style="270" customWidth="1"/>
    <col min="5634" max="5650" width="9.23046875" style="270" customWidth="1"/>
    <col min="5651" max="5869" width="11.53515625" style="270"/>
    <col min="5870" max="5870" width="3" style="270" customWidth="1"/>
    <col min="5871" max="5871" width="50.69140625" style="270" customWidth="1"/>
    <col min="5872" max="5872" width="13.23046875" style="270" customWidth="1"/>
    <col min="5873" max="5873" width="18.53515625" style="270" customWidth="1"/>
    <col min="5874" max="5874" width="10.765625" style="270" customWidth="1"/>
    <col min="5875" max="5875" width="9.69140625" style="270" customWidth="1"/>
    <col min="5876" max="5876" width="11.69140625" style="270" customWidth="1"/>
    <col min="5877" max="5877" width="15.23046875" style="270" customWidth="1"/>
    <col min="5878" max="5878" width="18" style="270" customWidth="1"/>
    <col min="5879" max="5879" width="11.765625" style="270" customWidth="1"/>
    <col min="5880" max="5886" width="9.69140625" style="270" customWidth="1"/>
    <col min="5887" max="5888" width="4.23046875" style="270" customWidth="1"/>
    <col min="5889" max="5889" width="17.23046875" style="270" customWidth="1"/>
    <col min="5890" max="5906" width="9.23046875" style="270" customWidth="1"/>
    <col min="5907" max="6125" width="11.53515625" style="270"/>
    <col min="6126" max="6126" width="3" style="270" customWidth="1"/>
    <col min="6127" max="6127" width="50.69140625" style="270" customWidth="1"/>
    <col min="6128" max="6128" width="13.23046875" style="270" customWidth="1"/>
    <col min="6129" max="6129" width="18.53515625" style="270" customWidth="1"/>
    <col min="6130" max="6130" width="10.765625" style="270" customWidth="1"/>
    <col min="6131" max="6131" width="9.69140625" style="270" customWidth="1"/>
    <col min="6132" max="6132" width="11.69140625" style="270" customWidth="1"/>
    <col min="6133" max="6133" width="15.23046875" style="270" customWidth="1"/>
    <col min="6134" max="6134" width="18" style="270" customWidth="1"/>
    <col min="6135" max="6135" width="11.765625" style="270" customWidth="1"/>
    <col min="6136" max="6142" width="9.69140625" style="270" customWidth="1"/>
    <col min="6143" max="6144" width="4.23046875" style="270" customWidth="1"/>
    <col min="6145" max="6145" width="17.23046875" style="270" customWidth="1"/>
    <col min="6146" max="6162" width="9.23046875" style="270" customWidth="1"/>
    <col min="6163" max="6381" width="11.53515625" style="270"/>
    <col min="6382" max="6382" width="3" style="270" customWidth="1"/>
    <col min="6383" max="6383" width="50.69140625" style="270" customWidth="1"/>
    <col min="6384" max="6384" width="13.23046875" style="270" customWidth="1"/>
    <col min="6385" max="6385" width="18.53515625" style="270" customWidth="1"/>
    <col min="6386" max="6386" width="10.765625" style="270" customWidth="1"/>
    <col min="6387" max="6387" width="9.69140625" style="270" customWidth="1"/>
    <col min="6388" max="6388" width="11.69140625" style="270" customWidth="1"/>
    <col min="6389" max="6389" width="15.23046875" style="270" customWidth="1"/>
    <col min="6390" max="6390" width="18" style="270" customWidth="1"/>
    <col min="6391" max="6391" width="11.765625" style="270" customWidth="1"/>
    <col min="6392" max="6398" width="9.69140625" style="270" customWidth="1"/>
    <col min="6399" max="6400" width="4.23046875" style="270" customWidth="1"/>
    <col min="6401" max="6401" width="17.23046875" style="270" customWidth="1"/>
    <col min="6402" max="6418" width="9.23046875" style="270" customWidth="1"/>
    <col min="6419" max="6637" width="11.53515625" style="270"/>
    <col min="6638" max="6638" width="3" style="270" customWidth="1"/>
    <col min="6639" max="6639" width="50.69140625" style="270" customWidth="1"/>
    <col min="6640" max="6640" width="13.23046875" style="270" customWidth="1"/>
    <col min="6641" max="6641" width="18.53515625" style="270" customWidth="1"/>
    <col min="6642" max="6642" width="10.765625" style="270" customWidth="1"/>
    <col min="6643" max="6643" width="9.69140625" style="270" customWidth="1"/>
    <col min="6644" max="6644" width="11.69140625" style="270" customWidth="1"/>
    <col min="6645" max="6645" width="15.23046875" style="270" customWidth="1"/>
    <col min="6646" max="6646" width="18" style="270" customWidth="1"/>
    <col min="6647" max="6647" width="11.765625" style="270" customWidth="1"/>
    <col min="6648" max="6654" width="9.69140625" style="270" customWidth="1"/>
    <col min="6655" max="6656" width="4.23046875" style="270" customWidth="1"/>
    <col min="6657" max="6657" width="17.23046875" style="270" customWidth="1"/>
    <col min="6658" max="6674" width="9.23046875" style="270" customWidth="1"/>
    <col min="6675" max="6893" width="11.53515625" style="270"/>
    <col min="6894" max="6894" width="3" style="270" customWidth="1"/>
    <col min="6895" max="6895" width="50.69140625" style="270" customWidth="1"/>
    <col min="6896" max="6896" width="13.23046875" style="270" customWidth="1"/>
    <col min="6897" max="6897" width="18.53515625" style="270" customWidth="1"/>
    <col min="6898" max="6898" width="10.765625" style="270" customWidth="1"/>
    <col min="6899" max="6899" width="9.69140625" style="270" customWidth="1"/>
    <col min="6900" max="6900" width="11.69140625" style="270" customWidth="1"/>
    <col min="6901" max="6901" width="15.23046875" style="270" customWidth="1"/>
    <col min="6902" max="6902" width="18" style="270" customWidth="1"/>
    <col min="6903" max="6903" width="11.765625" style="270" customWidth="1"/>
    <col min="6904" max="6910" width="9.69140625" style="270" customWidth="1"/>
    <col min="6911" max="6912" width="4.23046875" style="270" customWidth="1"/>
    <col min="6913" max="6913" width="17.23046875" style="270" customWidth="1"/>
    <col min="6914" max="6930" width="9.23046875" style="270" customWidth="1"/>
    <col min="6931" max="7149" width="11.53515625" style="270"/>
    <col min="7150" max="7150" width="3" style="270" customWidth="1"/>
    <col min="7151" max="7151" width="50.69140625" style="270" customWidth="1"/>
    <col min="7152" max="7152" width="13.23046875" style="270" customWidth="1"/>
    <col min="7153" max="7153" width="18.53515625" style="270" customWidth="1"/>
    <col min="7154" max="7154" width="10.765625" style="270" customWidth="1"/>
    <col min="7155" max="7155" width="9.69140625" style="270" customWidth="1"/>
    <col min="7156" max="7156" width="11.69140625" style="270" customWidth="1"/>
    <col min="7157" max="7157" width="15.23046875" style="270" customWidth="1"/>
    <col min="7158" max="7158" width="18" style="270" customWidth="1"/>
    <col min="7159" max="7159" width="11.765625" style="270" customWidth="1"/>
    <col min="7160" max="7166" width="9.69140625" style="270" customWidth="1"/>
    <col min="7167" max="7168" width="4.23046875" style="270" customWidth="1"/>
    <col min="7169" max="7169" width="17.23046875" style="270" customWidth="1"/>
    <col min="7170" max="7186" width="9.23046875" style="270" customWidth="1"/>
    <col min="7187" max="7405" width="11.53515625" style="270"/>
    <col min="7406" max="7406" width="3" style="270" customWidth="1"/>
    <col min="7407" max="7407" width="50.69140625" style="270" customWidth="1"/>
    <col min="7408" max="7408" width="13.23046875" style="270" customWidth="1"/>
    <col min="7409" max="7409" width="18.53515625" style="270" customWidth="1"/>
    <col min="7410" max="7410" width="10.765625" style="270" customWidth="1"/>
    <col min="7411" max="7411" width="9.69140625" style="270" customWidth="1"/>
    <col min="7412" max="7412" width="11.69140625" style="270" customWidth="1"/>
    <col min="7413" max="7413" width="15.23046875" style="270" customWidth="1"/>
    <col min="7414" max="7414" width="18" style="270" customWidth="1"/>
    <col min="7415" max="7415" width="11.765625" style="270" customWidth="1"/>
    <col min="7416" max="7422" width="9.69140625" style="270" customWidth="1"/>
    <col min="7423" max="7424" width="4.23046875" style="270" customWidth="1"/>
    <col min="7425" max="7425" width="17.23046875" style="270" customWidth="1"/>
    <col min="7426" max="7442" width="9.23046875" style="270" customWidth="1"/>
    <col min="7443" max="7661" width="11.53515625" style="270"/>
    <col min="7662" max="7662" width="3" style="270" customWidth="1"/>
    <col min="7663" max="7663" width="50.69140625" style="270" customWidth="1"/>
    <col min="7664" max="7664" width="13.23046875" style="270" customWidth="1"/>
    <col min="7665" max="7665" width="18.53515625" style="270" customWidth="1"/>
    <col min="7666" max="7666" width="10.765625" style="270" customWidth="1"/>
    <col min="7667" max="7667" width="9.69140625" style="270" customWidth="1"/>
    <col min="7668" max="7668" width="11.69140625" style="270" customWidth="1"/>
    <col min="7669" max="7669" width="15.23046875" style="270" customWidth="1"/>
    <col min="7670" max="7670" width="18" style="270" customWidth="1"/>
    <col min="7671" max="7671" width="11.765625" style="270" customWidth="1"/>
    <col min="7672" max="7678" width="9.69140625" style="270" customWidth="1"/>
    <col min="7679" max="7680" width="4.23046875" style="270" customWidth="1"/>
    <col min="7681" max="7681" width="17.23046875" style="270" customWidth="1"/>
    <col min="7682" max="7698" width="9.23046875" style="270" customWidth="1"/>
    <col min="7699" max="7917" width="11.53515625" style="270"/>
    <col min="7918" max="7918" width="3" style="270" customWidth="1"/>
    <col min="7919" max="7919" width="50.69140625" style="270" customWidth="1"/>
    <col min="7920" max="7920" width="13.23046875" style="270" customWidth="1"/>
    <col min="7921" max="7921" width="18.53515625" style="270" customWidth="1"/>
    <col min="7922" max="7922" width="10.765625" style="270" customWidth="1"/>
    <col min="7923" max="7923" width="9.69140625" style="270" customWidth="1"/>
    <col min="7924" max="7924" width="11.69140625" style="270" customWidth="1"/>
    <col min="7925" max="7925" width="15.23046875" style="270" customWidth="1"/>
    <col min="7926" max="7926" width="18" style="270" customWidth="1"/>
    <col min="7927" max="7927" width="11.765625" style="270" customWidth="1"/>
    <col min="7928" max="7934" width="9.69140625" style="270" customWidth="1"/>
    <col min="7935" max="7936" width="4.23046875" style="270" customWidth="1"/>
    <col min="7937" max="7937" width="17.23046875" style="270" customWidth="1"/>
    <col min="7938" max="7954" width="9.23046875" style="270" customWidth="1"/>
    <col min="7955" max="8173" width="11.53515625" style="270"/>
    <col min="8174" max="8174" width="3" style="270" customWidth="1"/>
    <col min="8175" max="8175" width="50.69140625" style="270" customWidth="1"/>
    <col min="8176" max="8176" width="13.23046875" style="270" customWidth="1"/>
    <col min="8177" max="8177" width="18.53515625" style="270" customWidth="1"/>
    <col min="8178" max="8178" width="10.765625" style="270" customWidth="1"/>
    <col min="8179" max="8179" width="9.69140625" style="270" customWidth="1"/>
    <col min="8180" max="8180" width="11.69140625" style="270" customWidth="1"/>
    <col min="8181" max="8181" width="15.23046875" style="270" customWidth="1"/>
    <col min="8182" max="8182" width="18" style="270" customWidth="1"/>
    <col min="8183" max="8183" width="11.765625" style="270" customWidth="1"/>
    <col min="8184" max="8190" width="9.69140625" style="270" customWidth="1"/>
    <col min="8191" max="8192" width="4.23046875" style="270" customWidth="1"/>
    <col min="8193" max="8193" width="17.23046875" style="270" customWidth="1"/>
    <col min="8194" max="8210" width="9.23046875" style="270" customWidth="1"/>
    <col min="8211" max="8429" width="11.53515625" style="270"/>
    <col min="8430" max="8430" width="3" style="270" customWidth="1"/>
    <col min="8431" max="8431" width="50.69140625" style="270" customWidth="1"/>
    <col min="8432" max="8432" width="13.23046875" style="270" customWidth="1"/>
    <col min="8433" max="8433" width="18.53515625" style="270" customWidth="1"/>
    <col min="8434" max="8434" width="10.765625" style="270" customWidth="1"/>
    <col min="8435" max="8435" width="9.69140625" style="270" customWidth="1"/>
    <col min="8436" max="8436" width="11.69140625" style="270" customWidth="1"/>
    <col min="8437" max="8437" width="15.23046875" style="270" customWidth="1"/>
    <col min="8438" max="8438" width="18" style="270" customWidth="1"/>
    <col min="8439" max="8439" width="11.765625" style="270" customWidth="1"/>
    <col min="8440" max="8446" width="9.69140625" style="270" customWidth="1"/>
    <col min="8447" max="8448" width="4.23046875" style="270" customWidth="1"/>
    <col min="8449" max="8449" width="17.23046875" style="270" customWidth="1"/>
    <col min="8450" max="8466" width="9.23046875" style="270" customWidth="1"/>
    <col min="8467" max="8685" width="11.53515625" style="270"/>
    <col min="8686" max="8686" width="3" style="270" customWidth="1"/>
    <col min="8687" max="8687" width="50.69140625" style="270" customWidth="1"/>
    <col min="8688" max="8688" width="13.23046875" style="270" customWidth="1"/>
    <col min="8689" max="8689" width="18.53515625" style="270" customWidth="1"/>
    <col min="8690" max="8690" width="10.765625" style="270" customWidth="1"/>
    <col min="8691" max="8691" width="9.69140625" style="270" customWidth="1"/>
    <col min="8692" max="8692" width="11.69140625" style="270" customWidth="1"/>
    <col min="8693" max="8693" width="15.23046875" style="270" customWidth="1"/>
    <col min="8694" max="8694" width="18" style="270" customWidth="1"/>
    <col min="8695" max="8695" width="11.765625" style="270" customWidth="1"/>
    <col min="8696" max="8702" width="9.69140625" style="270" customWidth="1"/>
    <col min="8703" max="8704" width="4.23046875" style="270" customWidth="1"/>
    <col min="8705" max="8705" width="17.23046875" style="270" customWidth="1"/>
    <col min="8706" max="8722" width="9.23046875" style="270" customWidth="1"/>
    <col min="8723" max="8941" width="11.53515625" style="270"/>
    <col min="8942" max="8942" width="3" style="270" customWidth="1"/>
    <col min="8943" max="8943" width="50.69140625" style="270" customWidth="1"/>
    <col min="8944" max="8944" width="13.23046875" style="270" customWidth="1"/>
    <col min="8945" max="8945" width="18.53515625" style="270" customWidth="1"/>
    <col min="8946" max="8946" width="10.765625" style="270" customWidth="1"/>
    <col min="8947" max="8947" width="9.69140625" style="270" customWidth="1"/>
    <col min="8948" max="8948" width="11.69140625" style="270" customWidth="1"/>
    <col min="8949" max="8949" width="15.23046875" style="270" customWidth="1"/>
    <col min="8950" max="8950" width="18" style="270" customWidth="1"/>
    <col min="8951" max="8951" width="11.765625" style="270" customWidth="1"/>
    <col min="8952" max="8958" width="9.69140625" style="270" customWidth="1"/>
    <col min="8959" max="8960" width="4.23046875" style="270" customWidth="1"/>
    <col min="8961" max="8961" width="17.23046875" style="270" customWidth="1"/>
    <col min="8962" max="8978" width="9.23046875" style="270" customWidth="1"/>
    <col min="8979" max="9197" width="11.53515625" style="270"/>
    <col min="9198" max="9198" width="3" style="270" customWidth="1"/>
    <col min="9199" max="9199" width="50.69140625" style="270" customWidth="1"/>
    <col min="9200" max="9200" width="13.23046875" style="270" customWidth="1"/>
    <col min="9201" max="9201" width="18.53515625" style="270" customWidth="1"/>
    <col min="9202" max="9202" width="10.765625" style="270" customWidth="1"/>
    <col min="9203" max="9203" width="9.69140625" style="270" customWidth="1"/>
    <col min="9204" max="9204" width="11.69140625" style="270" customWidth="1"/>
    <col min="9205" max="9205" width="15.23046875" style="270" customWidth="1"/>
    <col min="9206" max="9206" width="18" style="270" customWidth="1"/>
    <col min="9207" max="9207" width="11.765625" style="270" customWidth="1"/>
    <col min="9208" max="9214" width="9.69140625" style="270" customWidth="1"/>
    <col min="9215" max="9216" width="4.23046875" style="270" customWidth="1"/>
    <col min="9217" max="9217" width="17.23046875" style="270" customWidth="1"/>
    <col min="9218" max="9234" width="9.23046875" style="270" customWidth="1"/>
    <col min="9235" max="9453" width="11.53515625" style="270"/>
    <col min="9454" max="9454" width="3" style="270" customWidth="1"/>
    <col min="9455" max="9455" width="50.69140625" style="270" customWidth="1"/>
    <col min="9456" max="9456" width="13.23046875" style="270" customWidth="1"/>
    <col min="9457" max="9457" width="18.53515625" style="270" customWidth="1"/>
    <col min="9458" max="9458" width="10.765625" style="270" customWidth="1"/>
    <col min="9459" max="9459" width="9.69140625" style="270" customWidth="1"/>
    <col min="9460" max="9460" width="11.69140625" style="270" customWidth="1"/>
    <col min="9461" max="9461" width="15.23046875" style="270" customWidth="1"/>
    <col min="9462" max="9462" width="18" style="270" customWidth="1"/>
    <col min="9463" max="9463" width="11.765625" style="270" customWidth="1"/>
    <col min="9464" max="9470" width="9.69140625" style="270" customWidth="1"/>
    <col min="9471" max="9472" width="4.23046875" style="270" customWidth="1"/>
    <col min="9473" max="9473" width="17.23046875" style="270" customWidth="1"/>
    <col min="9474" max="9490" width="9.23046875" style="270" customWidth="1"/>
    <col min="9491" max="9709" width="11.53515625" style="270"/>
    <col min="9710" max="9710" width="3" style="270" customWidth="1"/>
    <col min="9711" max="9711" width="50.69140625" style="270" customWidth="1"/>
    <col min="9712" max="9712" width="13.23046875" style="270" customWidth="1"/>
    <col min="9713" max="9713" width="18.53515625" style="270" customWidth="1"/>
    <col min="9714" max="9714" width="10.765625" style="270" customWidth="1"/>
    <col min="9715" max="9715" width="9.69140625" style="270" customWidth="1"/>
    <col min="9716" max="9716" width="11.69140625" style="270" customWidth="1"/>
    <col min="9717" max="9717" width="15.23046875" style="270" customWidth="1"/>
    <col min="9718" max="9718" width="18" style="270" customWidth="1"/>
    <col min="9719" max="9719" width="11.765625" style="270" customWidth="1"/>
    <col min="9720" max="9726" width="9.69140625" style="270" customWidth="1"/>
    <col min="9727" max="9728" width="4.23046875" style="270" customWidth="1"/>
    <col min="9729" max="9729" width="17.23046875" style="270" customWidth="1"/>
    <col min="9730" max="9746" width="9.23046875" style="270" customWidth="1"/>
    <col min="9747" max="9965" width="11.53515625" style="270"/>
    <col min="9966" max="9966" width="3" style="270" customWidth="1"/>
    <col min="9967" max="9967" width="50.69140625" style="270" customWidth="1"/>
    <col min="9968" max="9968" width="13.23046875" style="270" customWidth="1"/>
    <col min="9969" max="9969" width="18.53515625" style="270" customWidth="1"/>
    <col min="9970" max="9970" width="10.765625" style="270" customWidth="1"/>
    <col min="9971" max="9971" width="9.69140625" style="270" customWidth="1"/>
    <col min="9972" max="9972" width="11.69140625" style="270" customWidth="1"/>
    <col min="9973" max="9973" width="15.23046875" style="270" customWidth="1"/>
    <col min="9974" max="9974" width="18" style="270" customWidth="1"/>
    <col min="9975" max="9975" width="11.765625" style="270" customWidth="1"/>
    <col min="9976" max="9982" width="9.69140625" style="270" customWidth="1"/>
    <col min="9983" max="9984" width="4.23046875" style="270" customWidth="1"/>
    <col min="9985" max="9985" width="17.23046875" style="270" customWidth="1"/>
    <col min="9986" max="10002" width="9.23046875" style="270" customWidth="1"/>
    <col min="10003" max="10221" width="11.53515625" style="270"/>
    <col min="10222" max="10222" width="3" style="270" customWidth="1"/>
    <col min="10223" max="10223" width="50.69140625" style="270" customWidth="1"/>
    <col min="10224" max="10224" width="13.23046875" style="270" customWidth="1"/>
    <col min="10225" max="10225" width="18.53515625" style="270" customWidth="1"/>
    <col min="10226" max="10226" width="10.765625" style="270" customWidth="1"/>
    <col min="10227" max="10227" width="9.69140625" style="270" customWidth="1"/>
    <col min="10228" max="10228" width="11.69140625" style="270" customWidth="1"/>
    <col min="10229" max="10229" width="15.23046875" style="270" customWidth="1"/>
    <col min="10230" max="10230" width="18" style="270" customWidth="1"/>
    <col min="10231" max="10231" width="11.765625" style="270" customWidth="1"/>
    <col min="10232" max="10238" width="9.69140625" style="270" customWidth="1"/>
    <col min="10239" max="10240" width="4.23046875" style="270" customWidth="1"/>
    <col min="10241" max="10241" width="17.23046875" style="270" customWidth="1"/>
    <col min="10242" max="10258" width="9.23046875" style="270" customWidth="1"/>
    <col min="10259" max="10477" width="11.53515625" style="270"/>
    <col min="10478" max="10478" width="3" style="270" customWidth="1"/>
    <col min="10479" max="10479" width="50.69140625" style="270" customWidth="1"/>
    <col min="10480" max="10480" width="13.23046875" style="270" customWidth="1"/>
    <col min="10481" max="10481" width="18.53515625" style="270" customWidth="1"/>
    <col min="10482" max="10482" width="10.765625" style="270" customWidth="1"/>
    <col min="10483" max="10483" width="9.69140625" style="270" customWidth="1"/>
    <col min="10484" max="10484" width="11.69140625" style="270" customWidth="1"/>
    <col min="10485" max="10485" width="15.23046875" style="270" customWidth="1"/>
    <col min="10486" max="10486" width="18" style="270" customWidth="1"/>
    <col min="10487" max="10487" width="11.765625" style="270" customWidth="1"/>
    <col min="10488" max="10494" width="9.69140625" style="270" customWidth="1"/>
    <col min="10495" max="10496" width="4.23046875" style="270" customWidth="1"/>
    <col min="10497" max="10497" width="17.23046875" style="270" customWidth="1"/>
    <col min="10498" max="10514" width="9.23046875" style="270" customWidth="1"/>
    <col min="10515" max="10733" width="11.53515625" style="270"/>
    <col min="10734" max="10734" width="3" style="270" customWidth="1"/>
    <col min="10735" max="10735" width="50.69140625" style="270" customWidth="1"/>
    <col min="10736" max="10736" width="13.23046875" style="270" customWidth="1"/>
    <col min="10737" max="10737" width="18.53515625" style="270" customWidth="1"/>
    <col min="10738" max="10738" width="10.765625" style="270" customWidth="1"/>
    <col min="10739" max="10739" width="9.69140625" style="270" customWidth="1"/>
    <col min="10740" max="10740" width="11.69140625" style="270" customWidth="1"/>
    <col min="10741" max="10741" width="15.23046875" style="270" customWidth="1"/>
    <col min="10742" max="10742" width="18" style="270" customWidth="1"/>
    <col min="10743" max="10743" width="11.765625" style="270" customWidth="1"/>
    <col min="10744" max="10750" width="9.69140625" style="270" customWidth="1"/>
    <col min="10751" max="10752" width="4.23046875" style="270" customWidth="1"/>
    <col min="10753" max="10753" width="17.23046875" style="270" customWidth="1"/>
    <col min="10754" max="10770" width="9.23046875" style="270" customWidth="1"/>
    <col min="10771" max="10989" width="11.53515625" style="270"/>
    <col min="10990" max="10990" width="3" style="270" customWidth="1"/>
    <col min="10991" max="10991" width="50.69140625" style="270" customWidth="1"/>
    <col min="10992" max="10992" width="13.23046875" style="270" customWidth="1"/>
    <col min="10993" max="10993" width="18.53515625" style="270" customWidth="1"/>
    <col min="10994" max="10994" width="10.765625" style="270" customWidth="1"/>
    <col min="10995" max="10995" width="9.69140625" style="270" customWidth="1"/>
    <col min="10996" max="10996" width="11.69140625" style="270" customWidth="1"/>
    <col min="10997" max="10997" width="15.23046875" style="270" customWidth="1"/>
    <col min="10998" max="10998" width="18" style="270" customWidth="1"/>
    <col min="10999" max="10999" width="11.765625" style="270" customWidth="1"/>
    <col min="11000" max="11006" width="9.69140625" style="270" customWidth="1"/>
    <col min="11007" max="11008" width="4.23046875" style="270" customWidth="1"/>
    <col min="11009" max="11009" width="17.23046875" style="270" customWidth="1"/>
    <col min="11010" max="11026" width="9.23046875" style="270" customWidth="1"/>
    <col min="11027" max="11245" width="11.53515625" style="270"/>
    <col min="11246" max="11246" width="3" style="270" customWidth="1"/>
    <col min="11247" max="11247" width="50.69140625" style="270" customWidth="1"/>
    <col min="11248" max="11248" width="13.23046875" style="270" customWidth="1"/>
    <col min="11249" max="11249" width="18.53515625" style="270" customWidth="1"/>
    <col min="11250" max="11250" width="10.765625" style="270" customWidth="1"/>
    <col min="11251" max="11251" width="9.69140625" style="270" customWidth="1"/>
    <col min="11252" max="11252" width="11.69140625" style="270" customWidth="1"/>
    <col min="11253" max="11253" width="15.23046875" style="270" customWidth="1"/>
    <col min="11254" max="11254" width="18" style="270" customWidth="1"/>
    <col min="11255" max="11255" width="11.765625" style="270" customWidth="1"/>
    <col min="11256" max="11262" width="9.69140625" style="270" customWidth="1"/>
    <col min="11263" max="11264" width="4.23046875" style="270" customWidth="1"/>
    <col min="11265" max="11265" width="17.23046875" style="270" customWidth="1"/>
    <col min="11266" max="11282" width="9.23046875" style="270" customWidth="1"/>
    <col min="11283" max="11501" width="11.53515625" style="270"/>
    <col min="11502" max="11502" width="3" style="270" customWidth="1"/>
    <col min="11503" max="11503" width="50.69140625" style="270" customWidth="1"/>
    <col min="11504" max="11504" width="13.23046875" style="270" customWidth="1"/>
    <col min="11505" max="11505" width="18.53515625" style="270" customWidth="1"/>
    <col min="11506" max="11506" width="10.765625" style="270" customWidth="1"/>
    <col min="11507" max="11507" width="9.69140625" style="270" customWidth="1"/>
    <col min="11508" max="11508" width="11.69140625" style="270" customWidth="1"/>
    <col min="11509" max="11509" width="15.23046875" style="270" customWidth="1"/>
    <col min="11510" max="11510" width="18" style="270" customWidth="1"/>
    <col min="11511" max="11511" width="11.765625" style="270" customWidth="1"/>
    <col min="11512" max="11518" width="9.69140625" style="270" customWidth="1"/>
    <col min="11519" max="11520" width="4.23046875" style="270" customWidth="1"/>
    <col min="11521" max="11521" width="17.23046875" style="270" customWidth="1"/>
    <col min="11522" max="11538" width="9.23046875" style="270" customWidth="1"/>
    <col min="11539" max="11757" width="11.53515625" style="270"/>
    <col min="11758" max="11758" width="3" style="270" customWidth="1"/>
    <col min="11759" max="11759" width="50.69140625" style="270" customWidth="1"/>
    <col min="11760" max="11760" width="13.23046875" style="270" customWidth="1"/>
    <col min="11761" max="11761" width="18.53515625" style="270" customWidth="1"/>
    <col min="11762" max="11762" width="10.765625" style="270" customWidth="1"/>
    <col min="11763" max="11763" width="9.69140625" style="270" customWidth="1"/>
    <col min="11764" max="11764" width="11.69140625" style="270" customWidth="1"/>
    <col min="11765" max="11765" width="15.23046875" style="270" customWidth="1"/>
    <col min="11766" max="11766" width="18" style="270" customWidth="1"/>
    <col min="11767" max="11767" width="11.765625" style="270" customWidth="1"/>
    <col min="11768" max="11774" width="9.69140625" style="270" customWidth="1"/>
    <col min="11775" max="11776" width="4.23046875" style="270" customWidth="1"/>
    <col min="11777" max="11777" width="17.23046875" style="270" customWidth="1"/>
    <col min="11778" max="11794" width="9.23046875" style="270" customWidth="1"/>
    <col min="11795" max="12013" width="11.53515625" style="270"/>
    <col min="12014" max="12014" width="3" style="270" customWidth="1"/>
    <col min="12015" max="12015" width="50.69140625" style="270" customWidth="1"/>
    <col min="12016" max="12016" width="13.23046875" style="270" customWidth="1"/>
    <col min="12017" max="12017" width="18.53515625" style="270" customWidth="1"/>
    <col min="12018" max="12018" width="10.765625" style="270" customWidth="1"/>
    <col min="12019" max="12019" width="9.69140625" style="270" customWidth="1"/>
    <col min="12020" max="12020" width="11.69140625" style="270" customWidth="1"/>
    <col min="12021" max="12021" width="15.23046875" style="270" customWidth="1"/>
    <col min="12022" max="12022" width="18" style="270" customWidth="1"/>
    <col min="12023" max="12023" width="11.765625" style="270" customWidth="1"/>
    <col min="12024" max="12030" width="9.69140625" style="270" customWidth="1"/>
    <col min="12031" max="12032" width="4.23046875" style="270" customWidth="1"/>
    <col min="12033" max="12033" width="17.23046875" style="270" customWidth="1"/>
    <col min="12034" max="12050" width="9.23046875" style="270" customWidth="1"/>
    <col min="12051" max="12269" width="11.53515625" style="270"/>
    <col min="12270" max="12270" width="3" style="270" customWidth="1"/>
    <col min="12271" max="12271" width="50.69140625" style="270" customWidth="1"/>
    <col min="12272" max="12272" width="13.23046875" style="270" customWidth="1"/>
    <col min="12273" max="12273" width="18.53515625" style="270" customWidth="1"/>
    <col min="12274" max="12274" width="10.765625" style="270" customWidth="1"/>
    <col min="12275" max="12275" width="9.69140625" style="270" customWidth="1"/>
    <col min="12276" max="12276" width="11.69140625" style="270" customWidth="1"/>
    <col min="12277" max="12277" width="15.23046875" style="270" customWidth="1"/>
    <col min="12278" max="12278" width="18" style="270" customWidth="1"/>
    <col min="12279" max="12279" width="11.765625" style="270" customWidth="1"/>
    <col min="12280" max="12286" width="9.69140625" style="270" customWidth="1"/>
    <col min="12287" max="12288" width="4.23046875" style="270" customWidth="1"/>
    <col min="12289" max="12289" width="17.23046875" style="270" customWidth="1"/>
    <col min="12290" max="12306" width="9.23046875" style="270" customWidth="1"/>
    <col min="12307" max="12525" width="11.53515625" style="270"/>
    <col min="12526" max="12526" width="3" style="270" customWidth="1"/>
    <col min="12527" max="12527" width="50.69140625" style="270" customWidth="1"/>
    <col min="12528" max="12528" width="13.23046875" style="270" customWidth="1"/>
    <col min="12529" max="12529" width="18.53515625" style="270" customWidth="1"/>
    <col min="12530" max="12530" width="10.765625" style="270" customWidth="1"/>
    <col min="12531" max="12531" width="9.69140625" style="270" customWidth="1"/>
    <col min="12532" max="12532" width="11.69140625" style="270" customWidth="1"/>
    <col min="12533" max="12533" width="15.23046875" style="270" customWidth="1"/>
    <col min="12534" max="12534" width="18" style="270" customWidth="1"/>
    <col min="12535" max="12535" width="11.765625" style="270" customWidth="1"/>
    <col min="12536" max="12542" width="9.69140625" style="270" customWidth="1"/>
    <col min="12543" max="12544" width="4.23046875" style="270" customWidth="1"/>
    <col min="12545" max="12545" width="17.23046875" style="270" customWidth="1"/>
    <col min="12546" max="12562" width="9.23046875" style="270" customWidth="1"/>
    <col min="12563" max="12781" width="11.53515625" style="270"/>
    <col min="12782" max="12782" width="3" style="270" customWidth="1"/>
    <col min="12783" max="12783" width="50.69140625" style="270" customWidth="1"/>
    <col min="12784" max="12784" width="13.23046875" style="270" customWidth="1"/>
    <col min="12785" max="12785" width="18.53515625" style="270" customWidth="1"/>
    <col min="12786" max="12786" width="10.765625" style="270" customWidth="1"/>
    <col min="12787" max="12787" width="9.69140625" style="270" customWidth="1"/>
    <col min="12788" max="12788" width="11.69140625" style="270" customWidth="1"/>
    <col min="12789" max="12789" width="15.23046875" style="270" customWidth="1"/>
    <col min="12790" max="12790" width="18" style="270" customWidth="1"/>
    <col min="12791" max="12791" width="11.765625" style="270" customWidth="1"/>
    <col min="12792" max="12798" width="9.69140625" style="270" customWidth="1"/>
    <col min="12799" max="12800" width="4.23046875" style="270" customWidth="1"/>
    <col min="12801" max="12801" width="17.23046875" style="270" customWidth="1"/>
    <col min="12802" max="12818" width="9.23046875" style="270" customWidth="1"/>
    <col min="12819" max="13037" width="11.53515625" style="270"/>
    <col min="13038" max="13038" width="3" style="270" customWidth="1"/>
    <col min="13039" max="13039" width="50.69140625" style="270" customWidth="1"/>
    <col min="13040" max="13040" width="13.23046875" style="270" customWidth="1"/>
    <col min="13041" max="13041" width="18.53515625" style="270" customWidth="1"/>
    <col min="13042" max="13042" width="10.765625" style="270" customWidth="1"/>
    <col min="13043" max="13043" width="9.69140625" style="270" customWidth="1"/>
    <col min="13044" max="13044" width="11.69140625" style="270" customWidth="1"/>
    <col min="13045" max="13045" width="15.23046875" style="270" customWidth="1"/>
    <col min="13046" max="13046" width="18" style="270" customWidth="1"/>
    <col min="13047" max="13047" width="11.765625" style="270" customWidth="1"/>
    <col min="13048" max="13054" width="9.69140625" style="270" customWidth="1"/>
    <col min="13055" max="13056" width="4.23046875" style="270" customWidth="1"/>
    <col min="13057" max="13057" width="17.23046875" style="270" customWidth="1"/>
    <col min="13058" max="13074" width="9.23046875" style="270" customWidth="1"/>
    <col min="13075" max="13293" width="11.53515625" style="270"/>
    <col min="13294" max="13294" width="3" style="270" customWidth="1"/>
    <col min="13295" max="13295" width="50.69140625" style="270" customWidth="1"/>
    <col min="13296" max="13296" width="13.23046875" style="270" customWidth="1"/>
    <col min="13297" max="13297" width="18.53515625" style="270" customWidth="1"/>
    <col min="13298" max="13298" width="10.765625" style="270" customWidth="1"/>
    <col min="13299" max="13299" width="9.69140625" style="270" customWidth="1"/>
    <col min="13300" max="13300" width="11.69140625" style="270" customWidth="1"/>
    <col min="13301" max="13301" width="15.23046875" style="270" customWidth="1"/>
    <col min="13302" max="13302" width="18" style="270" customWidth="1"/>
    <col min="13303" max="13303" width="11.765625" style="270" customWidth="1"/>
    <col min="13304" max="13310" width="9.69140625" style="270" customWidth="1"/>
    <col min="13311" max="13312" width="4.23046875" style="270" customWidth="1"/>
    <col min="13313" max="13313" width="17.23046875" style="270" customWidth="1"/>
    <col min="13314" max="13330" width="9.23046875" style="270" customWidth="1"/>
    <col min="13331" max="13549" width="11.53515625" style="270"/>
    <col min="13550" max="13550" width="3" style="270" customWidth="1"/>
    <col min="13551" max="13551" width="50.69140625" style="270" customWidth="1"/>
    <col min="13552" max="13552" width="13.23046875" style="270" customWidth="1"/>
    <col min="13553" max="13553" width="18.53515625" style="270" customWidth="1"/>
    <col min="13554" max="13554" width="10.765625" style="270" customWidth="1"/>
    <col min="13555" max="13555" width="9.69140625" style="270" customWidth="1"/>
    <col min="13556" max="13556" width="11.69140625" style="270" customWidth="1"/>
    <col min="13557" max="13557" width="15.23046875" style="270" customWidth="1"/>
    <col min="13558" max="13558" width="18" style="270" customWidth="1"/>
    <col min="13559" max="13559" width="11.765625" style="270" customWidth="1"/>
    <col min="13560" max="13566" width="9.69140625" style="270" customWidth="1"/>
    <col min="13567" max="13568" width="4.23046875" style="270" customWidth="1"/>
    <col min="13569" max="13569" width="17.23046875" style="270" customWidth="1"/>
    <col min="13570" max="13586" width="9.23046875" style="270" customWidth="1"/>
    <col min="13587" max="13805" width="11.53515625" style="270"/>
    <col min="13806" max="13806" width="3" style="270" customWidth="1"/>
    <col min="13807" max="13807" width="50.69140625" style="270" customWidth="1"/>
    <col min="13808" max="13808" width="13.23046875" style="270" customWidth="1"/>
    <col min="13809" max="13809" width="18.53515625" style="270" customWidth="1"/>
    <col min="13810" max="13810" width="10.765625" style="270" customWidth="1"/>
    <col min="13811" max="13811" width="9.69140625" style="270" customWidth="1"/>
    <col min="13812" max="13812" width="11.69140625" style="270" customWidth="1"/>
    <col min="13813" max="13813" width="15.23046875" style="270" customWidth="1"/>
    <col min="13814" max="13814" width="18" style="270" customWidth="1"/>
    <col min="13815" max="13815" width="11.765625" style="270" customWidth="1"/>
    <col min="13816" max="13822" width="9.69140625" style="270" customWidth="1"/>
    <col min="13823" max="13824" width="4.23046875" style="270" customWidth="1"/>
    <col min="13825" max="13825" width="17.23046875" style="270" customWidth="1"/>
    <col min="13826" max="13842" width="9.23046875" style="270" customWidth="1"/>
    <col min="13843" max="14061" width="11.53515625" style="270"/>
    <col min="14062" max="14062" width="3" style="270" customWidth="1"/>
    <col min="14063" max="14063" width="50.69140625" style="270" customWidth="1"/>
    <col min="14064" max="14064" width="13.23046875" style="270" customWidth="1"/>
    <col min="14065" max="14065" width="18.53515625" style="270" customWidth="1"/>
    <col min="14066" max="14066" width="10.765625" style="270" customWidth="1"/>
    <col min="14067" max="14067" width="9.69140625" style="270" customWidth="1"/>
    <col min="14068" max="14068" width="11.69140625" style="270" customWidth="1"/>
    <col min="14069" max="14069" width="15.23046875" style="270" customWidth="1"/>
    <col min="14070" max="14070" width="18" style="270" customWidth="1"/>
    <col min="14071" max="14071" width="11.765625" style="270" customWidth="1"/>
    <col min="14072" max="14078" width="9.69140625" style="270" customWidth="1"/>
    <col min="14079" max="14080" width="4.23046875" style="270" customWidth="1"/>
    <col min="14081" max="14081" width="17.23046875" style="270" customWidth="1"/>
    <col min="14082" max="14098" width="9.23046875" style="270" customWidth="1"/>
    <col min="14099" max="14317" width="11.53515625" style="270"/>
    <col min="14318" max="14318" width="3" style="270" customWidth="1"/>
    <col min="14319" max="14319" width="50.69140625" style="270" customWidth="1"/>
    <col min="14320" max="14320" width="13.23046875" style="270" customWidth="1"/>
    <col min="14321" max="14321" width="18.53515625" style="270" customWidth="1"/>
    <col min="14322" max="14322" width="10.765625" style="270" customWidth="1"/>
    <col min="14323" max="14323" width="9.69140625" style="270" customWidth="1"/>
    <col min="14324" max="14324" width="11.69140625" style="270" customWidth="1"/>
    <col min="14325" max="14325" width="15.23046875" style="270" customWidth="1"/>
    <col min="14326" max="14326" width="18" style="270" customWidth="1"/>
    <col min="14327" max="14327" width="11.765625" style="270" customWidth="1"/>
    <col min="14328" max="14334" width="9.69140625" style="270" customWidth="1"/>
    <col min="14335" max="14336" width="4.23046875" style="270" customWidth="1"/>
    <col min="14337" max="14337" width="17.23046875" style="270" customWidth="1"/>
    <col min="14338" max="14354" width="9.23046875" style="270" customWidth="1"/>
    <col min="14355" max="14573" width="11.53515625" style="270"/>
    <col min="14574" max="14574" width="3" style="270" customWidth="1"/>
    <col min="14575" max="14575" width="50.69140625" style="270" customWidth="1"/>
    <col min="14576" max="14576" width="13.23046875" style="270" customWidth="1"/>
    <col min="14577" max="14577" width="18.53515625" style="270" customWidth="1"/>
    <col min="14578" max="14578" width="10.765625" style="270" customWidth="1"/>
    <col min="14579" max="14579" width="9.69140625" style="270" customWidth="1"/>
    <col min="14580" max="14580" width="11.69140625" style="270" customWidth="1"/>
    <col min="14581" max="14581" width="15.23046875" style="270" customWidth="1"/>
    <col min="14582" max="14582" width="18" style="270" customWidth="1"/>
    <col min="14583" max="14583" width="11.765625" style="270" customWidth="1"/>
    <col min="14584" max="14590" width="9.69140625" style="270" customWidth="1"/>
    <col min="14591" max="14592" width="4.23046875" style="270" customWidth="1"/>
    <col min="14593" max="14593" width="17.23046875" style="270" customWidth="1"/>
    <col min="14594" max="14610" width="9.23046875" style="270" customWidth="1"/>
    <col min="14611" max="14829" width="11.53515625" style="270"/>
    <col min="14830" max="14830" width="3" style="270" customWidth="1"/>
    <col min="14831" max="14831" width="50.69140625" style="270" customWidth="1"/>
    <col min="14832" max="14832" width="13.23046875" style="270" customWidth="1"/>
    <col min="14833" max="14833" width="18.53515625" style="270" customWidth="1"/>
    <col min="14834" max="14834" width="10.765625" style="270" customWidth="1"/>
    <col min="14835" max="14835" width="9.69140625" style="270" customWidth="1"/>
    <col min="14836" max="14836" width="11.69140625" style="270" customWidth="1"/>
    <col min="14837" max="14837" width="15.23046875" style="270" customWidth="1"/>
    <col min="14838" max="14838" width="18" style="270" customWidth="1"/>
    <col min="14839" max="14839" width="11.765625" style="270" customWidth="1"/>
    <col min="14840" max="14846" width="9.69140625" style="270" customWidth="1"/>
    <col min="14847" max="14848" width="4.23046875" style="270" customWidth="1"/>
    <col min="14849" max="14849" width="17.23046875" style="270" customWidth="1"/>
    <col min="14850" max="14866" width="9.23046875" style="270" customWidth="1"/>
    <col min="14867" max="15085" width="11.53515625" style="270"/>
    <col min="15086" max="15086" width="3" style="270" customWidth="1"/>
    <col min="15087" max="15087" width="50.69140625" style="270" customWidth="1"/>
    <col min="15088" max="15088" width="13.23046875" style="270" customWidth="1"/>
    <col min="15089" max="15089" width="18.53515625" style="270" customWidth="1"/>
    <col min="15090" max="15090" width="10.765625" style="270" customWidth="1"/>
    <col min="15091" max="15091" width="9.69140625" style="270" customWidth="1"/>
    <col min="15092" max="15092" width="11.69140625" style="270" customWidth="1"/>
    <col min="15093" max="15093" width="15.23046875" style="270" customWidth="1"/>
    <col min="15094" max="15094" width="18" style="270" customWidth="1"/>
    <col min="15095" max="15095" width="11.765625" style="270" customWidth="1"/>
    <col min="15096" max="15102" width="9.69140625" style="270" customWidth="1"/>
    <col min="15103" max="15104" width="4.23046875" style="270" customWidth="1"/>
    <col min="15105" max="15105" width="17.23046875" style="270" customWidth="1"/>
    <col min="15106" max="15122" width="9.23046875" style="270" customWidth="1"/>
    <col min="15123" max="15341" width="11.53515625" style="270"/>
    <col min="15342" max="15342" width="3" style="270" customWidth="1"/>
    <col min="15343" max="15343" width="50.69140625" style="270" customWidth="1"/>
    <col min="15344" max="15344" width="13.23046875" style="270" customWidth="1"/>
    <col min="15345" max="15345" width="18.53515625" style="270" customWidth="1"/>
    <col min="15346" max="15346" width="10.765625" style="270" customWidth="1"/>
    <col min="15347" max="15347" width="9.69140625" style="270" customWidth="1"/>
    <col min="15348" max="15348" width="11.69140625" style="270" customWidth="1"/>
    <col min="15349" max="15349" width="15.23046875" style="270" customWidth="1"/>
    <col min="15350" max="15350" width="18" style="270" customWidth="1"/>
    <col min="15351" max="15351" width="11.765625" style="270" customWidth="1"/>
    <col min="15352" max="15358" width="9.69140625" style="270" customWidth="1"/>
    <col min="15359" max="15360" width="4.23046875" style="270" customWidth="1"/>
    <col min="15361" max="15361" width="17.23046875" style="270" customWidth="1"/>
    <col min="15362" max="15378" width="9.23046875" style="270" customWidth="1"/>
    <col min="15379" max="15597" width="11.53515625" style="270"/>
    <col min="15598" max="15598" width="3" style="270" customWidth="1"/>
    <col min="15599" max="15599" width="50.69140625" style="270" customWidth="1"/>
    <col min="15600" max="15600" width="13.23046875" style="270" customWidth="1"/>
    <col min="15601" max="15601" width="18.53515625" style="270" customWidth="1"/>
    <col min="15602" max="15602" width="10.765625" style="270" customWidth="1"/>
    <col min="15603" max="15603" width="9.69140625" style="270" customWidth="1"/>
    <col min="15604" max="15604" width="11.69140625" style="270" customWidth="1"/>
    <col min="15605" max="15605" width="15.23046875" style="270" customWidth="1"/>
    <col min="15606" max="15606" width="18" style="270" customWidth="1"/>
    <col min="15607" max="15607" width="11.765625" style="270" customWidth="1"/>
    <col min="15608" max="15614" width="9.69140625" style="270" customWidth="1"/>
    <col min="15615" max="15616" width="4.23046875" style="270" customWidth="1"/>
    <col min="15617" max="15617" width="17.23046875" style="270" customWidth="1"/>
    <col min="15618" max="15634" width="9.23046875" style="270" customWidth="1"/>
    <col min="15635" max="15853" width="11.53515625" style="270"/>
    <col min="15854" max="15854" width="3" style="270" customWidth="1"/>
    <col min="15855" max="15855" width="50.69140625" style="270" customWidth="1"/>
    <col min="15856" max="15856" width="13.23046875" style="270" customWidth="1"/>
    <col min="15857" max="15857" width="18.53515625" style="270" customWidth="1"/>
    <col min="15858" max="15858" width="10.765625" style="270" customWidth="1"/>
    <col min="15859" max="15859" width="9.69140625" style="270" customWidth="1"/>
    <col min="15860" max="15860" width="11.69140625" style="270" customWidth="1"/>
    <col min="15861" max="15861" width="15.23046875" style="270" customWidth="1"/>
    <col min="15862" max="15862" width="18" style="270" customWidth="1"/>
    <col min="15863" max="15863" width="11.765625" style="270" customWidth="1"/>
    <col min="15864" max="15870" width="9.69140625" style="270" customWidth="1"/>
    <col min="15871" max="15872" width="4.23046875" style="270" customWidth="1"/>
    <col min="15873" max="15873" width="17.23046875" style="270" customWidth="1"/>
    <col min="15874" max="15890" width="9.23046875" style="270" customWidth="1"/>
    <col min="15891" max="16109" width="11.53515625" style="270"/>
    <col min="16110" max="16110" width="3" style="270" customWidth="1"/>
    <col min="16111" max="16111" width="50.69140625" style="270" customWidth="1"/>
    <col min="16112" max="16112" width="13.23046875" style="270" customWidth="1"/>
    <col min="16113" max="16113" width="18.53515625" style="270" customWidth="1"/>
    <col min="16114" max="16114" width="10.765625" style="270" customWidth="1"/>
    <col min="16115" max="16115" width="9.69140625" style="270" customWidth="1"/>
    <col min="16116" max="16116" width="11.69140625" style="270" customWidth="1"/>
    <col min="16117" max="16117" width="15.23046875" style="270" customWidth="1"/>
    <col min="16118" max="16118" width="18" style="270" customWidth="1"/>
    <col min="16119" max="16119" width="11.765625" style="270" customWidth="1"/>
    <col min="16120" max="16126" width="9.69140625" style="270" customWidth="1"/>
    <col min="16127" max="16128" width="4.23046875" style="270" customWidth="1"/>
    <col min="16129" max="16129" width="17.23046875" style="270" customWidth="1"/>
    <col min="16130" max="16146" width="9.23046875" style="270" customWidth="1"/>
    <col min="16147" max="16384" width="11.53515625" style="270"/>
  </cols>
  <sheetData>
    <row r="1" spans="1:10" ht="45.45">
      <c r="A1" s="307" t="s">
        <v>410</v>
      </c>
    </row>
    <row r="2" spans="1:10">
      <c r="A2" s="1352"/>
      <c r="B2" s="1352" t="s">
        <v>1600</v>
      </c>
      <c r="D2" s="308"/>
    </row>
    <row r="3" spans="1:10" ht="17.600000000000001">
      <c r="A3" s="273"/>
      <c r="B3" s="309" t="s">
        <v>271</v>
      </c>
      <c r="C3" s="273"/>
      <c r="D3" s="310"/>
      <c r="E3" s="273"/>
      <c r="F3" s="273"/>
      <c r="G3" s="273"/>
      <c r="H3" s="272"/>
      <c r="J3" s="272"/>
    </row>
    <row r="4" spans="1:10">
      <c r="H4" s="272"/>
      <c r="J4" s="272"/>
    </row>
    <row r="5" spans="1:10">
      <c r="B5" s="270" t="s">
        <v>539</v>
      </c>
      <c r="D5" s="365" t="str">
        <f>'Eigene Nutzung'!C2</f>
        <v>Wohnen MFH</v>
      </c>
      <c r="E5" s="365"/>
      <c r="F5" s="365"/>
      <c r="H5" s="272"/>
      <c r="J5" s="272"/>
    </row>
    <row r="6" spans="1:10">
      <c r="B6" s="311" t="s">
        <v>273</v>
      </c>
      <c r="C6" s="270" t="s">
        <v>274</v>
      </c>
      <c r="D6" s="1201">
        <f>'Eigene Nutzung'!M8</f>
        <v>1</v>
      </c>
      <c r="F6" s="311"/>
      <c r="H6" s="272"/>
      <c r="J6" s="272"/>
    </row>
    <row r="7" spans="1:10">
      <c r="B7" s="311" t="s">
        <v>1492</v>
      </c>
      <c r="C7" s="270" t="s">
        <v>25</v>
      </c>
      <c r="D7" s="312" t="s">
        <v>153</v>
      </c>
      <c r="H7" s="272"/>
      <c r="J7" s="272"/>
    </row>
    <row r="8" spans="1:10" ht="14.15">
      <c r="B8" s="374" t="s">
        <v>269</v>
      </c>
      <c r="C8" s="270" t="s">
        <v>442</v>
      </c>
      <c r="D8" s="358">
        <f>'Eigene Nutzung'!M13</f>
        <v>20</v>
      </c>
      <c r="E8" s="270" t="s">
        <v>209</v>
      </c>
      <c r="H8" s="272"/>
      <c r="J8" s="272"/>
    </row>
    <row r="9" spans="1:10" ht="14.15">
      <c r="B9" s="311" t="s">
        <v>276</v>
      </c>
      <c r="C9" s="270" t="s">
        <v>443</v>
      </c>
      <c r="D9" s="358">
        <f>'Eigene Nutzung'!M14</f>
        <v>26.47058823529412</v>
      </c>
      <c r="E9" s="270" t="s">
        <v>209</v>
      </c>
      <c r="H9" s="272"/>
      <c r="J9" s="272"/>
    </row>
    <row r="10" spans="1:10" ht="14.15">
      <c r="B10" s="311" t="s">
        <v>277</v>
      </c>
      <c r="C10" s="270" t="s">
        <v>2007</v>
      </c>
      <c r="D10" s="353">
        <f>D9/AE*0.8</f>
        <v>1.0588235294117649</v>
      </c>
      <c r="H10" s="272"/>
      <c r="J10" s="272"/>
    </row>
    <row r="11" spans="1:10">
      <c r="B11" s="311" t="s">
        <v>278</v>
      </c>
      <c r="C11" s="270" t="s">
        <v>279</v>
      </c>
      <c r="D11" s="353">
        <f>D16/EBF</f>
        <v>0.23529411764705882</v>
      </c>
      <c r="H11" s="272"/>
      <c r="J11" s="272"/>
    </row>
    <row r="12" spans="1:10">
      <c r="B12" s="311" t="s">
        <v>280</v>
      </c>
      <c r="C12" s="270" t="s">
        <v>281</v>
      </c>
      <c r="D12" s="461">
        <f>D16/(E4beheizt+D16)</f>
        <v>0.17777777777777778</v>
      </c>
      <c r="H12" s="272"/>
      <c r="J12" s="272"/>
    </row>
    <row r="13" spans="1:10" ht="15">
      <c r="B13" s="314" t="s">
        <v>116</v>
      </c>
      <c r="C13" s="313"/>
      <c r="D13" s="315" t="s">
        <v>282</v>
      </c>
      <c r="E13" s="315" t="s">
        <v>25</v>
      </c>
      <c r="F13" s="313" t="s">
        <v>50</v>
      </c>
      <c r="G13" s="313" t="s">
        <v>260</v>
      </c>
      <c r="H13" s="272"/>
      <c r="J13" s="272"/>
    </row>
    <row r="14" spans="1:10">
      <c r="B14" s="311" t="s">
        <v>283</v>
      </c>
      <c r="C14" s="270" t="s">
        <v>284</v>
      </c>
      <c r="D14" s="352">
        <v>0</v>
      </c>
      <c r="E14" s="355">
        <v>0</v>
      </c>
      <c r="H14" s="272"/>
      <c r="J14" s="272"/>
    </row>
    <row r="15" spans="1:10">
      <c r="B15" s="212" t="s">
        <v>285</v>
      </c>
      <c r="C15" s="270" t="s">
        <v>286</v>
      </c>
      <c r="D15" s="354">
        <f>D9-D16</f>
        <v>21.764705882352942</v>
      </c>
      <c r="E15" s="359">
        <f>'Eigene Nutzung'!M18</f>
        <v>0.17</v>
      </c>
      <c r="F15" s="359">
        <f>'Eigene Nutzung'!N18</f>
        <v>0.1</v>
      </c>
      <c r="G15" s="371">
        <f>'Eigene Nutzung'!O18</f>
        <v>0.8</v>
      </c>
      <c r="H15" s="272"/>
      <c r="J15" s="272"/>
    </row>
    <row r="16" spans="1:10">
      <c r="B16" s="311" t="s">
        <v>287</v>
      </c>
      <c r="C16" s="270" t="s">
        <v>288</v>
      </c>
      <c r="D16" s="354">
        <f>SUM(D17:D20)</f>
        <v>4.7058823529411766</v>
      </c>
      <c r="E16" s="359">
        <f>'Eigene Nutzung'!M19</f>
        <v>1</v>
      </c>
      <c r="F16" s="359">
        <f>'Eigene Nutzung'!N19</f>
        <v>0.8</v>
      </c>
      <c r="G16" s="371">
        <f>'Eigene Nutzung'!O19</f>
        <v>1.5</v>
      </c>
    </row>
    <row r="17" spans="2:7">
      <c r="B17" s="311" t="s">
        <v>289</v>
      </c>
      <c r="D17" s="357">
        <f>'Eigene Nutzung'!M$95*('Eigene Nutzung'!M$13)/('Eigene Nutzung'!M$20)*0</f>
        <v>0</v>
      </c>
      <c r="E17" s="316"/>
      <c r="F17" s="359">
        <v>1</v>
      </c>
    </row>
    <row r="18" spans="2:7">
      <c r="B18" s="311" t="s">
        <v>290</v>
      </c>
      <c r="D18" s="357">
        <f>'Eigene Nutzung'!M$95*('Eigene Nutzung'!M$13)/('Eigene Nutzung'!M$20)*0</f>
        <v>0</v>
      </c>
      <c r="E18" s="316"/>
      <c r="F18" s="359">
        <v>1</v>
      </c>
    </row>
    <row r="19" spans="2:7">
      <c r="B19" s="311" t="s">
        <v>291</v>
      </c>
      <c r="D19" s="357">
        <f>'Eigene Nutzung'!M$95*('Eigene Nutzung'!M$13)/('Eigene Nutzung'!M$20)*0</f>
        <v>0</v>
      </c>
      <c r="E19" s="316"/>
      <c r="F19" s="359">
        <v>1</v>
      </c>
    </row>
    <row r="20" spans="2:7">
      <c r="B20" s="311" t="s">
        <v>292</v>
      </c>
      <c r="D20" s="357">
        <f>'Eigene Nutzung'!M$95*('Eigene Nutzung'!M$13)/('Eigene Nutzung'!M$20)*1</f>
        <v>4.7058823529411766</v>
      </c>
      <c r="E20" s="316"/>
      <c r="F20" s="359">
        <v>1</v>
      </c>
    </row>
    <row r="21" spans="2:7">
      <c r="B21" s="311" t="s">
        <v>293</v>
      </c>
      <c r="D21" s="352">
        <v>0</v>
      </c>
      <c r="E21" s="316"/>
      <c r="F21" s="355">
        <v>0</v>
      </c>
    </row>
    <row r="22" spans="2:7">
      <c r="B22" s="311" t="s">
        <v>294</v>
      </c>
      <c r="C22" s="270" t="s">
        <v>295</v>
      </c>
      <c r="D22" s="352">
        <v>0</v>
      </c>
      <c r="E22" s="355">
        <v>0</v>
      </c>
    </row>
    <row r="23" spans="2:7">
      <c r="B23" s="311" t="s">
        <v>296</v>
      </c>
      <c r="C23" s="270" t="s">
        <v>297</v>
      </c>
      <c r="D23" s="352">
        <v>0</v>
      </c>
      <c r="E23" s="355">
        <v>0</v>
      </c>
    </row>
    <row r="24" spans="2:7">
      <c r="E24" s="316"/>
      <c r="G24" s="276"/>
    </row>
    <row r="25" spans="2:7" ht="15">
      <c r="B25" s="318" t="s">
        <v>298</v>
      </c>
      <c r="F25" s="313" t="s">
        <v>50</v>
      </c>
      <c r="G25" s="313" t="s">
        <v>260</v>
      </c>
    </row>
    <row r="26" spans="2:7">
      <c r="B26" s="311" t="s">
        <v>299</v>
      </c>
      <c r="C26" s="270" t="s">
        <v>300</v>
      </c>
      <c r="D26" s="359">
        <f>'Eigene Nutzung'!M187</f>
        <v>0.35357142857142859</v>
      </c>
      <c r="E26" s="270" t="s">
        <v>301</v>
      </c>
      <c r="F26" s="359">
        <f>'Eigene Nutzung'!N187</f>
        <v>0.29601679712981083</v>
      </c>
      <c r="G26" s="359">
        <f>'Eigene Nutzung'!O187</f>
        <v>0.64695042400521863</v>
      </c>
    </row>
    <row r="27" spans="2:7">
      <c r="B27" s="311" t="s">
        <v>302</v>
      </c>
      <c r="C27" s="311" t="s">
        <v>303</v>
      </c>
      <c r="D27" s="460">
        <f>'Eigene Nutzung'!M28*3600/1000000</f>
        <v>0.432</v>
      </c>
      <c r="E27" s="270" t="s">
        <v>304</v>
      </c>
    </row>
    <row r="28" spans="2:7" ht="14.15">
      <c r="B28" s="311" t="s">
        <v>305</v>
      </c>
      <c r="C28" s="311" t="s">
        <v>414</v>
      </c>
      <c r="D28" s="459">
        <f>'Eigene Nutzung'!M20</f>
        <v>0.75</v>
      </c>
    </row>
    <row r="29" spans="2:7">
      <c r="B29" s="212" t="s">
        <v>306</v>
      </c>
      <c r="C29" s="270" t="s">
        <v>307</v>
      </c>
      <c r="D29" s="359">
        <f>'Eigene Nutzung'!M26</f>
        <v>0.5</v>
      </c>
      <c r="F29" s="359">
        <f>'Eigene Nutzung'!N26</f>
        <v>0.5</v>
      </c>
      <c r="G29" s="359">
        <f>'Eigene Nutzung'!O26</f>
        <v>0.65</v>
      </c>
    </row>
    <row r="30" spans="2:7" s="210" customFormat="1">
      <c r="B30" s="212"/>
      <c r="D30" s="1101"/>
      <c r="F30" s="1101"/>
      <c r="G30" s="1101"/>
    </row>
    <row r="31" spans="2:7">
      <c r="B31" s="311" t="s">
        <v>308</v>
      </c>
      <c r="C31" s="270" t="s">
        <v>309</v>
      </c>
      <c r="D31" s="458">
        <f>'Eigene Nutzung'!M21</f>
        <v>0.1</v>
      </c>
    </row>
    <row r="33" spans="2:7" ht="15">
      <c r="B33" s="318" t="s">
        <v>310</v>
      </c>
      <c r="F33" s="1274"/>
      <c r="G33" s="1274"/>
    </row>
    <row r="34" spans="2:7">
      <c r="B34" s="311" t="s">
        <v>311</v>
      </c>
      <c r="C34" s="311" t="s">
        <v>312</v>
      </c>
      <c r="D34" s="359">
        <f>'Eigene Nutzung'!M186</f>
        <v>0.7</v>
      </c>
      <c r="E34" s="270" t="s">
        <v>301</v>
      </c>
      <c r="F34" s="1101"/>
      <c r="G34" s="1101"/>
    </row>
    <row r="35" spans="2:7">
      <c r="B35" s="311" t="s">
        <v>313</v>
      </c>
      <c r="C35" s="311"/>
      <c r="D35" s="877">
        <f>IF('Eigene Nutzung'!M34=0,21,'Eigene Nutzung'!M34)</f>
        <v>22</v>
      </c>
      <c r="E35" s="270" t="s">
        <v>3</v>
      </c>
      <c r="F35" s="210"/>
      <c r="G35" s="210"/>
    </row>
    <row r="36" spans="2:7">
      <c r="B36" s="311" t="s">
        <v>102</v>
      </c>
      <c r="C36" s="311" t="s">
        <v>314</v>
      </c>
      <c r="D36" s="356">
        <f>IF('Eigene Nutzung'!M58=0, 1000, 'Eigene Nutzung'!M58)</f>
        <v>35</v>
      </c>
      <c r="E36" s="270" t="s">
        <v>315</v>
      </c>
      <c r="F36" s="210"/>
      <c r="G36" s="210"/>
    </row>
    <row r="37" spans="2:7">
      <c r="B37" s="311" t="s">
        <v>317</v>
      </c>
      <c r="C37" s="311" t="s">
        <v>318</v>
      </c>
      <c r="D37" s="356">
        <f>'Eigene Nutzung'!H62</f>
        <v>84</v>
      </c>
      <c r="E37" s="270" t="s">
        <v>319</v>
      </c>
    </row>
    <row r="38" spans="2:7">
      <c r="B38" s="311" t="s">
        <v>579</v>
      </c>
      <c r="C38" s="311" t="s">
        <v>322</v>
      </c>
      <c r="D38" s="356">
        <f>'Eigene Nutzung'!M53</f>
        <v>14.000000000000002</v>
      </c>
      <c r="E38" s="270" t="s">
        <v>15</v>
      </c>
    </row>
    <row r="39" spans="2:7">
      <c r="B39" s="311" t="s">
        <v>1493</v>
      </c>
      <c r="C39" s="311" t="s">
        <v>1491</v>
      </c>
      <c r="D39" s="1201">
        <f>'Eigene Nutzung'!M55*'Eigene Nutzung'!M56</f>
        <v>292.00000000000006</v>
      </c>
      <c r="E39" s="270" t="s">
        <v>35</v>
      </c>
    </row>
    <row r="40" spans="2:7" ht="15">
      <c r="B40" s="311" t="s">
        <v>1121</v>
      </c>
      <c r="C40" s="311" t="s">
        <v>318</v>
      </c>
      <c r="D40" s="1200">
        <f>QP/AP*tP*D39/1000*3.6</f>
        <v>35.320320000000009</v>
      </c>
      <c r="E40" s="270" t="s">
        <v>254</v>
      </c>
      <c r="F40" s="313" t="s">
        <v>50</v>
      </c>
      <c r="G40" s="313" t="s">
        <v>260</v>
      </c>
    </row>
    <row r="41" spans="2:7">
      <c r="B41" s="311" t="s">
        <v>469</v>
      </c>
      <c r="C41" s="311" t="s">
        <v>324</v>
      </c>
      <c r="D41" s="375">
        <f>('Eigene Nutzung'!M84+'Eigene Nutzung'!M125)*3.6</f>
        <v>86.83335000000001</v>
      </c>
      <c r="E41" s="270" t="s">
        <v>254</v>
      </c>
      <c r="F41" s="375">
        <f>('Eigene Nutzung'!N83+'Eigene Nutzung'!N124)*3.6</f>
        <v>2119.6799999999998</v>
      </c>
      <c r="G41" s="375">
        <f>('Eigene Nutzung'!O83+'Eigene Nutzung'!N124)*3.6</f>
        <v>2174.1120000000001</v>
      </c>
    </row>
    <row r="42" spans="2:7">
      <c r="B42" s="311" t="s">
        <v>326</v>
      </c>
      <c r="C42" s="311" t="s">
        <v>327</v>
      </c>
      <c r="D42" s="1202">
        <v>1</v>
      </c>
    </row>
    <row r="43" spans="2:7">
      <c r="B43" s="212"/>
      <c r="C43" s="212"/>
      <c r="D43" s="1686"/>
      <c r="E43" s="210"/>
    </row>
    <row r="44" spans="2:7">
      <c r="B44" s="311" t="s">
        <v>328</v>
      </c>
      <c r="C44" s="311" t="s">
        <v>329</v>
      </c>
      <c r="D44" s="1275">
        <v>1</v>
      </c>
    </row>
    <row r="45" spans="2:7">
      <c r="B45" s="311" t="s">
        <v>330</v>
      </c>
      <c r="C45" s="311" t="s">
        <v>331</v>
      </c>
      <c r="D45" s="1276">
        <v>15</v>
      </c>
      <c r="E45" s="270" t="s">
        <v>15</v>
      </c>
    </row>
    <row r="46" spans="2:7">
      <c r="B46" s="212"/>
      <c r="C46" s="212"/>
      <c r="D46" s="1686"/>
      <c r="E46" s="210"/>
    </row>
    <row r="47" spans="2:7" ht="14.15">
      <c r="B47" s="320" t="s">
        <v>332</v>
      </c>
      <c r="C47" s="311"/>
      <c r="D47" s="312"/>
    </row>
    <row r="48" spans="2:7">
      <c r="B48" s="321" t="s">
        <v>333</v>
      </c>
      <c r="C48" s="311"/>
      <c r="D48" s="312"/>
    </row>
    <row r="49" spans="1:13">
      <c r="B49" s="322" t="s">
        <v>334</v>
      </c>
      <c r="C49" s="311"/>
      <c r="D49" s="312"/>
    </row>
    <row r="50" spans="1:13">
      <c r="B50" s="322" t="s">
        <v>335</v>
      </c>
      <c r="C50" s="311"/>
      <c r="D50" s="312"/>
      <c r="J50" s="272"/>
    </row>
    <row r="51" spans="1:13">
      <c r="B51" s="322" t="s">
        <v>336</v>
      </c>
      <c r="C51" s="311"/>
      <c r="D51" s="312"/>
      <c r="J51" s="272"/>
    </row>
    <row r="52" spans="1:13">
      <c r="B52" s="271" t="s">
        <v>272</v>
      </c>
      <c r="C52" s="311"/>
      <c r="D52" s="312"/>
      <c r="J52" s="272"/>
    </row>
    <row r="53" spans="1:13">
      <c r="A53" s="273"/>
      <c r="B53" s="323"/>
      <c r="C53" s="323"/>
      <c r="D53" s="324"/>
      <c r="E53" s="273"/>
      <c r="F53" s="273"/>
      <c r="G53" s="273"/>
      <c r="H53" s="273"/>
      <c r="I53" s="273"/>
      <c r="J53" s="274"/>
      <c r="K53" s="273"/>
      <c r="L53" s="273"/>
    </row>
    <row r="54" spans="1:13" ht="14.15">
      <c r="B54" s="320" t="s">
        <v>337</v>
      </c>
      <c r="J54" s="272"/>
    </row>
    <row r="55" spans="1:13" ht="14.15">
      <c r="B55" s="311" t="s">
        <v>338</v>
      </c>
      <c r="C55" s="270" t="s">
        <v>415</v>
      </c>
      <c r="D55" s="1102">
        <v>1</v>
      </c>
      <c r="H55" s="368" t="s">
        <v>427</v>
      </c>
      <c r="I55" s="368"/>
      <c r="J55" s="369"/>
      <c r="K55" s="368"/>
      <c r="L55" s="368"/>
      <c r="M55" s="368"/>
    </row>
    <row r="56" spans="1:13">
      <c r="B56" s="311" t="s">
        <v>339</v>
      </c>
      <c r="C56" s="270" t="s">
        <v>340</v>
      </c>
      <c r="D56" s="1102">
        <v>1</v>
      </c>
      <c r="H56" s="365"/>
      <c r="I56" s="270" t="s">
        <v>423</v>
      </c>
    </row>
    <row r="57" spans="1:13" ht="14.15">
      <c r="B57" s="311" t="s">
        <v>341</v>
      </c>
      <c r="C57" s="270" t="s">
        <v>416</v>
      </c>
      <c r="D57" s="1102">
        <v>1</v>
      </c>
      <c r="H57" s="366"/>
      <c r="I57" s="270" t="s">
        <v>424</v>
      </c>
      <c r="J57" s="272"/>
    </row>
    <row r="58" spans="1:13">
      <c r="B58" s="212" t="s">
        <v>342</v>
      </c>
      <c r="C58" s="311" t="s">
        <v>343</v>
      </c>
      <c r="D58" s="363">
        <f>$D$35+Thetaig</f>
        <v>22</v>
      </c>
      <c r="E58" s="270" t="s">
        <v>3</v>
      </c>
      <c r="H58" s="364"/>
      <c r="I58" s="270" t="s">
        <v>425</v>
      </c>
      <c r="J58" s="272"/>
    </row>
    <row r="59" spans="1:13">
      <c r="B59" s="311" t="s">
        <v>344</v>
      </c>
      <c r="C59" s="311" t="s">
        <v>345</v>
      </c>
      <c r="D59" s="363">
        <v>2.5</v>
      </c>
      <c r="E59" s="270" t="s">
        <v>3</v>
      </c>
      <c r="H59" s="367"/>
      <c r="I59" s="270" t="s">
        <v>426</v>
      </c>
      <c r="J59" s="272"/>
    </row>
    <row r="60" spans="1:13">
      <c r="B60" s="311" t="s">
        <v>346</v>
      </c>
      <c r="C60" s="311" t="s">
        <v>347</v>
      </c>
      <c r="D60" s="319" cm="1">
        <f t="array" ref="D60">INDEX(Winter_Auslegung!C5:C44,Monatswerte!H1)</f>
        <v>1320</v>
      </c>
      <c r="E60" s="270" t="s">
        <v>29</v>
      </c>
      <c r="J60" s="272"/>
    </row>
    <row r="61" spans="1:13" ht="14.15">
      <c r="B61" s="311" t="s">
        <v>348</v>
      </c>
      <c r="C61" s="311" t="s">
        <v>417</v>
      </c>
      <c r="D61" s="319">
        <v>0.7</v>
      </c>
    </row>
    <row r="62" spans="1:13" ht="14.15">
      <c r="B62" s="311" t="s">
        <v>349</v>
      </c>
      <c r="C62" s="311" t="s">
        <v>418</v>
      </c>
      <c r="D62" s="319">
        <v>30</v>
      </c>
      <c r="E62" s="270" t="s">
        <v>3</v>
      </c>
      <c r="J62" s="272"/>
      <c r="L62" s="272"/>
    </row>
    <row r="63" spans="1:13" ht="14.15">
      <c r="B63" s="311" t="s">
        <v>350</v>
      </c>
      <c r="C63" s="311" t="s">
        <v>419</v>
      </c>
      <c r="D63" s="363">
        <v>0</v>
      </c>
      <c r="E63" s="270" t="s">
        <v>3</v>
      </c>
      <c r="J63" s="272"/>
    </row>
    <row r="64" spans="1:13">
      <c r="B64" s="275"/>
      <c r="C64" s="276"/>
      <c r="D64" s="277"/>
      <c r="E64" s="278"/>
      <c r="F64" s="276"/>
    </row>
    <row r="65" spans="2:17">
      <c r="B65" s="275"/>
      <c r="C65" s="276"/>
      <c r="D65" s="277"/>
      <c r="E65" s="278"/>
      <c r="F65" s="276"/>
    </row>
    <row r="66" spans="2:17">
      <c r="B66" s="275"/>
      <c r="C66" s="276"/>
      <c r="D66" s="277"/>
      <c r="E66" s="278"/>
      <c r="F66" s="276"/>
    </row>
    <row r="67" spans="2:17" ht="12.9" thickBot="1">
      <c r="D67" s="316">
        <v>1</v>
      </c>
      <c r="E67" s="316">
        <v>2</v>
      </c>
      <c r="F67" s="316">
        <v>3</v>
      </c>
      <c r="G67" s="316">
        <v>4</v>
      </c>
      <c r="H67" s="316">
        <v>5</v>
      </c>
      <c r="I67" s="316">
        <v>6</v>
      </c>
      <c r="J67" s="316">
        <v>7</v>
      </c>
      <c r="K67" s="316">
        <v>8</v>
      </c>
      <c r="L67" s="316">
        <v>9</v>
      </c>
      <c r="M67" s="316">
        <v>10</v>
      </c>
      <c r="N67" s="316">
        <v>11</v>
      </c>
      <c r="O67" s="316">
        <v>12</v>
      </c>
      <c r="P67" s="270">
        <v>13</v>
      </c>
    </row>
    <row r="68" spans="2:17" ht="12.9" thickBot="1">
      <c r="B68" s="279" t="str">
        <f>Monatswerte!A1</f>
        <v>Adelboden</v>
      </c>
      <c r="C68" s="325"/>
      <c r="D68" s="326" t="s">
        <v>37</v>
      </c>
      <c r="E68" s="326" t="s">
        <v>38</v>
      </c>
      <c r="F68" s="326" t="s">
        <v>351</v>
      </c>
      <c r="G68" s="326" t="s">
        <v>39</v>
      </c>
      <c r="H68" s="326" t="s">
        <v>40</v>
      </c>
      <c r="I68" s="326" t="s">
        <v>41</v>
      </c>
      <c r="J68" s="326" t="s">
        <v>42</v>
      </c>
      <c r="K68" s="326" t="s">
        <v>43</v>
      </c>
      <c r="L68" s="326" t="s">
        <v>44</v>
      </c>
      <c r="M68" s="326" t="s">
        <v>45</v>
      </c>
      <c r="N68" s="326" t="s">
        <v>46</v>
      </c>
      <c r="O68" s="327" t="s">
        <v>47</v>
      </c>
      <c r="P68" s="325" t="s">
        <v>352</v>
      </c>
      <c r="Q68" s="328"/>
    </row>
    <row r="69" spans="2:17">
      <c r="B69" s="284" t="s">
        <v>353</v>
      </c>
      <c r="D69" s="316">
        <v>31</v>
      </c>
      <c r="E69" s="316">
        <v>28</v>
      </c>
      <c r="F69" s="316">
        <v>31</v>
      </c>
      <c r="G69" s="316">
        <v>30</v>
      </c>
      <c r="H69" s="316">
        <v>31</v>
      </c>
      <c r="I69" s="316">
        <v>30</v>
      </c>
      <c r="J69" s="316">
        <v>31</v>
      </c>
      <c r="K69" s="316">
        <v>31</v>
      </c>
      <c r="L69" s="316">
        <v>30</v>
      </c>
      <c r="M69" s="316">
        <v>31</v>
      </c>
      <c r="N69" s="316">
        <v>30</v>
      </c>
      <c r="O69" s="316">
        <v>31</v>
      </c>
      <c r="P69" s="330"/>
      <c r="Q69" s="331" t="s">
        <v>354</v>
      </c>
    </row>
    <row r="70" spans="2:17">
      <c r="B70" s="332" t="s">
        <v>356</v>
      </c>
      <c r="D70" s="316">
        <f>Monatswerte!L2</f>
        <v>-1.2</v>
      </c>
      <c r="E70" s="316">
        <f>Monatswerte!M2</f>
        <v>-0.9</v>
      </c>
      <c r="F70" s="316">
        <f>Monatswerte!N2</f>
        <v>1.7</v>
      </c>
      <c r="G70" s="316">
        <f>Monatswerte!O2</f>
        <v>4.0999999999999996</v>
      </c>
      <c r="H70" s="316">
        <f>Monatswerte!P2</f>
        <v>9.1999999999999993</v>
      </c>
      <c r="I70" s="316">
        <f>Monatswerte!Q2</f>
        <v>11.8</v>
      </c>
      <c r="J70" s="316">
        <f>Monatswerte!R2</f>
        <v>14.2</v>
      </c>
      <c r="K70" s="316">
        <f>Monatswerte!S2</f>
        <v>14.4</v>
      </c>
      <c r="L70" s="316">
        <f>Monatswerte!T2</f>
        <v>10.5</v>
      </c>
      <c r="M70" s="316">
        <f>Monatswerte!U2</f>
        <v>7.3</v>
      </c>
      <c r="N70" s="316">
        <f>Monatswerte!V2</f>
        <v>2</v>
      </c>
      <c r="O70" s="316">
        <f>Monatswerte!W2</f>
        <v>0</v>
      </c>
      <c r="P70" s="341">
        <f>Monatswerte!X2</f>
        <v>6.0916666666666659</v>
      </c>
      <c r="Q70" s="304" t="s">
        <v>3</v>
      </c>
    </row>
    <row r="71" spans="2:17">
      <c r="B71" s="332" t="s">
        <v>358</v>
      </c>
      <c r="D71" s="316">
        <f>Monatswerte!L3</f>
        <v>150</v>
      </c>
      <c r="E71" s="316">
        <f>Monatswerte!M3</f>
        <v>213</v>
      </c>
      <c r="F71" s="316">
        <f>Monatswerte!N3</f>
        <v>364</v>
      </c>
      <c r="G71" s="316">
        <f>Monatswerte!O3</f>
        <v>443</v>
      </c>
      <c r="H71" s="316">
        <f>Monatswerte!P3</f>
        <v>530</v>
      </c>
      <c r="I71" s="316">
        <f>Monatswerte!Q3</f>
        <v>537</v>
      </c>
      <c r="J71" s="316">
        <f>Monatswerte!R3</f>
        <v>560</v>
      </c>
      <c r="K71" s="316">
        <f>Monatswerte!S3</f>
        <v>493</v>
      </c>
      <c r="L71" s="316">
        <f>Monatswerte!T3</f>
        <v>371</v>
      </c>
      <c r="M71" s="316">
        <f>Monatswerte!U3</f>
        <v>254</v>
      </c>
      <c r="N71" s="316">
        <f>Monatswerte!V3</f>
        <v>150</v>
      </c>
      <c r="O71" s="316">
        <f>Monatswerte!W3</f>
        <v>121</v>
      </c>
      <c r="P71" s="333">
        <f>Monatswerte!X3</f>
        <v>4186</v>
      </c>
      <c r="Q71" s="304" t="s">
        <v>359</v>
      </c>
    </row>
    <row r="72" spans="2:17">
      <c r="B72" s="332" t="s">
        <v>363</v>
      </c>
      <c r="D72" s="316">
        <f>Monatswerte!L4</f>
        <v>96</v>
      </c>
      <c r="E72" s="316">
        <f>Monatswerte!M4</f>
        <v>143</v>
      </c>
      <c r="F72" s="316">
        <f>Monatswerte!N4</f>
        <v>271</v>
      </c>
      <c r="G72" s="316">
        <f>Monatswerte!O4</f>
        <v>233</v>
      </c>
      <c r="H72" s="316">
        <f>Monatswerte!P4</f>
        <v>295</v>
      </c>
      <c r="I72" s="316">
        <f>Monatswerte!Q4</f>
        <v>311</v>
      </c>
      <c r="J72" s="316">
        <f>Monatswerte!R4</f>
        <v>327</v>
      </c>
      <c r="K72" s="316">
        <f>Monatswerte!S4</f>
        <v>279</v>
      </c>
      <c r="L72" s="316">
        <f>Monatswerte!T4</f>
        <v>197</v>
      </c>
      <c r="M72" s="316">
        <f>Monatswerte!U4</f>
        <v>179</v>
      </c>
      <c r="N72" s="316">
        <f>Monatswerte!V4</f>
        <v>96</v>
      </c>
      <c r="O72" s="316">
        <f>Monatswerte!W4</f>
        <v>78</v>
      </c>
      <c r="P72" s="333">
        <f>Monatswerte!X4</f>
        <v>2504</v>
      </c>
      <c r="Q72" s="304" t="s">
        <v>359</v>
      </c>
    </row>
    <row r="73" spans="2:17">
      <c r="B73" s="332" t="s">
        <v>361</v>
      </c>
      <c r="D73" s="316">
        <f>Monatswerte!L5</f>
        <v>297</v>
      </c>
      <c r="E73" s="316">
        <f>Monatswerte!M5</f>
        <v>331</v>
      </c>
      <c r="F73" s="316">
        <f>Monatswerte!N5</f>
        <v>431</v>
      </c>
      <c r="G73" s="316">
        <f>Monatswerte!O5</f>
        <v>293</v>
      </c>
      <c r="H73" s="316">
        <f>Monatswerte!P5</f>
        <v>268</v>
      </c>
      <c r="I73" s="316">
        <f>Monatswerte!Q5</f>
        <v>236</v>
      </c>
      <c r="J73" s="316">
        <f>Monatswerte!R5</f>
        <v>265</v>
      </c>
      <c r="K73" s="316">
        <f>Monatswerte!S5</f>
        <v>300</v>
      </c>
      <c r="L73" s="316">
        <f>Monatswerte!T5</f>
        <v>314</v>
      </c>
      <c r="M73" s="316">
        <f>Monatswerte!U5</f>
        <v>359</v>
      </c>
      <c r="N73" s="316">
        <f>Monatswerte!V5</f>
        <v>262</v>
      </c>
      <c r="O73" s="316">
        <f>Monatswerte!W5</f>
        <v>244</v>
      </c>
      <c r="P73" s="333">
        <f>Monatswerte!X5</f>
        <v>3600</v>
      </c>
      <c r="Q73" s="304" t="s">
        <v>359</v>
      </c>
    </row>
    <row r="74" spans="2:17">
      <c r="B74" s="332" t="s">
        <v>365</v>
      </c>
      <c r="D74" s="316">
        <f>Monatswerte!L6</f>
        <v>134</v>
      </c>
      <c r="E74" s="316">
        <f>Monatswerte!M6</f>
        <v>169</v>
      </c>
      <c r="F74" s="316">
        <f>Monatswerte!N6</f>
        <v>257</v>
      </c>
      <c r="G74" s="316">
        <f>Monatswerte!O6</f>
        <v>181</v>
      </c>
      <c r="H74" s="316">
        <f>Monatswerte!P6</f>
        <v>198</v>
      </c>
      <c r="I74" s="316">
        <f>Monatswerte!Q6</f>
        <v>187</v>
      </c>
      <c r="J74" s="316">
        <f>Monatswerte!R6</f>
        <v>198</v>
      </c>
      <c r="K74" s="316">
        <f>Monatswerte!S6</f>
        <v>187</v>
      </c>
      <c r="L74" s="316">
        <f>Monatswerte!T6</f>
        <v>156</v>
      </c>
      <c r="M74" s="316">
        <f>Monatswerte!U6</f>
        <v>190</v>
      </c>
      <c r="N74" s="316">
        <f>Monatswerte!V6</f>
        <v>122</v>
      </c>
      <c r="O74" s="316">
        <f>Monatswerte!W6</f>
        <v>104</v>
      </c>
      <c r="P74" s="333">
        <f>Monatswerte!X6</f>
        <v>2084</v>
      </c>
      <c r="Q74" s="304" t="s">
        <v>359</v>
      </c>
    </row>
    <row r="75" spans="2:17" ht="12.9" thickBot="1">
      <c r="B75" s="334" t="s">
        <v>367</v>
      </c>
      <c r="C75" s="335"/>
      <c r="D75" s="336">
        <f>Monatswerte!L7</f>
        <v>75</v>
      </c>
      <c r="E75" s="336">
        <f>Monatswerte!M7</f>
        <v>102</v>
      </c>
      <c r="F75" s="336">
        <f>Monatswerte!N7</f>
        <v>171</v>
      </c>
      <c r="G75" s="336">
        <f>Monatswerte!O7</f>
        <v>101</v>
      </c>
      <c r="H75" s="336">
        <f>Monatswerte!P7</f>
        <v>129</v>
      </c>
      <c r="I75" s="336">
        <f>Monatswerte!Q7</f>
        <v>140</v>
      </c>
      <c r="J75" s="336">
        <f>Monatswerte!R7</f>
        <v>139</v>
      </c>
      <c r="K75" s="336">
        <f>Monatswerte!S7</f>
        <v>112</v>
      </c>
      <c r="L75" s="336">
        <f>Monatswerte!T7</f>
        <v>83</v>
      </c>
      <c r="M75" s="336">
        <f>Monatswerte!U7</f>
        <v>123</v>
      </c>
      <c r="N75" s="336">
        <f>Monatswerte!V7</f>
        <v>75</v>
      </c>
      <c r="O75" s="337">
        <f>Monatswerte!W7</f>
        <v>62</v>
      </c>
      <c r="P75" s="338">
        <f>Monatswerte!X7</f>
        <v>1312</v>
      </c>
      <c r="Q75" s="339" t="s">
        <v>359</v>
      </c>
    </row>
    <row r="76" spans="2:17" ht="12.9" thickBot="1"/>
    <row r="77" spans="2:17" ht="12.9" thickBot="1">
      <c r="B77" s="280" t="s">
        <v>429</v>
      </c>
      <c r="C77" s="325"/>
      <c r="D77" s="281" t="s">
        <v>359</v>
      </c>
      <c r="E77" s="325"/>
      <c r="F77" s="325"/>
      <c r="G77" s="325"/>
      <c r="H77" s="325"/>
      <c r="I77" s="325"/>
      <c r="J77" s="325"/>
      <c r="K77" s="325"/>
      <c r="L77" s="325"/>
      <c r="M77" s="325"/>
      <c r="N77" s="325"/>
      <c r="O77" s="325"/>
      <c r="P77" s="325"/>
      <c r="Q77" s="328"/>
    </row>
    <row r="78" spans="2:17">
      <c r="B78" s="282" t="s">
        <v>371</v>
      </c>
      <c r="C78" s="340"/>
      <c r="D78" s="340"/>
      <c r="E78" s="340"/>
      <c r="F78" s="340"/>
      <c r="G78" s="340"/>
      <c r="H78" s="340"/>
      <c r="I78" s="340"/>
      <c r="J78" s="340"/>
      <c r="K78" s="340"/>
      <c r="L78" s="340"/>
      <c r="M78" s="340"/>
      <c r="N78" s="340"/>
      <c r="O78" s="331"/>
      <c r="P78" s="330"/>
      <c r="Q78" s="331"/>
    </row>
    <row r="79" spans="2:17">
      <c r="B79" s="284" t="s">
        <v>373</v>
      </c>
      <c r="D79" s="303">
        <f t="shared" ref="D79:O79" si="0">IF(EBF&gt;0,(Thetai-D$70)*D$69*$D$22*U_DAFbeheizt*0.0864/EBF,0)</f>
        <v>0</v>
      </c>
      <c r="E79" s="303">
        <f t="shared" si="0"/>
        <v>0</v>
      </c>
      <c r="F79" s="303">
        <f t="shared" si="0"/>
        <v>0</v>
      </c>
      <c r="G79" s="303">
        <f t="shared" si="0"/>
        <v>0</v>
      </c>
      <c r="H79" s="303">
        <f t="shared" si="0"/>
        <v>0</v>
      </c>
      <c r="I79" s="303">
        <f t="shared" si="0"/>
        <v>0</v>
      </c>
      <c r="J79" s="303">
        <f t="shared" si="0"/>
        <v>0</v>
      </c>
      <c r="K79" s="303">
        <f t="shared" si="0"/>
        <v>0</v>
      </c>
      <c r="L79" s="303">
        <f t="shared" si="0"/>
        <v>0</v>
      </c>
      <c r="M79" s="303">
        <f t="shared" si="0"/>
        <v>0</v>
      </c>
      <c r="N79" s="303">
        <f t="shared" si="0"/>
        <v>0</v>
      </c>
      <c r="O79" s="303">
        <f t="shared" si="0"/>
        <v>0</v>
      </c>
      <c r="P79" s="341">
        <f t="shared" ref="P79:P86" si="1">SUM(D79:O79)</f>
        <v>0</v>
      </c>
      <c r="Q79" s="304" t="s">
        <v>359</v>
      </c>
    </row>
    <row r="80" spans="2:17">
      <c r="B80" s="284" t="s">
        <v>375</v>
      </c>
      <c r="D80" s="303">
        <f t="shared" ref="D80:O80" si="2">IF(EBF&gt;0,(Thetai-D$70)*D$69*$D$14*U_E3*bGW*0.0864/EBF,0)</f>
        <v>0</v>
      </c>
      <c r="E80" s="303">
        <f t="shared" si="2"/>
        <v>0</v>
      </c>
      <c r="F80" s="303">
        <f t="shared" si="2"/>
        <v>0</v>
      </c>
      <c r="G80" s="303">
        <f t="shared" si="2"/>
        <v>0</v>
      </c>
      <c r="H80" s="303">
        <f t="shared" si="2"/>
        <v>0</v>
      </c>
      <c r="I80" s="303">
        <f t="shared" si="2"/>
        <v>0</v>
      </c>
      <c r="J80" s="303">
        <f t="shared" si="2"/>
        <v>0</v>
      </c>
      <c r="K80" s="303">
        <f t="shared" si="2"/>
        <v>0</v>
      </c>
      <c r="L80" s="303">
        <f t="shared" si="2"/>
        <v>0</v>
      </c>
      <c r="M80" s="303">
        <f t="shared" si="2"/>
        <v>0</v>
      </c>
      <c r="N80" s="303">
        <f t="shared" si="2"/>
        <v>0</v>
      </c>
      <c r="O80" s="303">
        <f t="shared" si="2"/>
        <v>0</v>
      </c>
      <c r="P80" s="341">
        <f t="shared" si="1"/>
        <v>0</v>
      </c>
      <c r="Q80" s="304" t="s">
        <v>359</v>
      </c>
    </row>
    <row r="81" spans="2:17">
      <c r="B81" s="283" t="s">
        <v>377</v>
      </c>
      <c r="D81" s="303">
        <f>IF(EBF&gt;0,(deltaThetahmax+Thetai-D$70)*D$69*E4beheizt*U_E4*0.0864/EBF,0)</f>
        <v>12.734452800000001</v>
      </c>
      <c r="E81" s="303">
        <f t="shared" ref="E81:M81" si="3">IF(EBF&gt;0,(Thetai-E$70)*E$69*E4beheizt*U_E4*0.0864/EBF,0)</f>
        <v>10.248940800000002</v>
      </c>
      <c r="F81" s="303">
        <f t="shared" si="3"/>
        <v>10.058731200000004</v>
      </c>
      <c r="G81" s="303">
        <f t="shared" si="3"/>
        <v>8.5834080000000021</v>
      </c>
      <c r="H81" s="303">
        <f t="shared" si="3"/>
        <v>6.3424512000000011</v>
      </c>
      <c r="I81" s="303">
        <f t="shared" si="3"/>
        <v>4.8911040000000003</v>
      </c>
      <c r="J81" s="303">
        <f t="shared" si="3"/>
        <v>3.8649312000000009</v>
      </c>
      <c r="K81" s="303">
        <f t="shared" si="3"/>
        <v>3.7658304000000009</v>
      </c>
      <c r="L81" s="303">
        <f t="shared" si="3"/>
        <v>5.5144800000000007</v>
      </c>
      <c r="M81" s="303">
        <f t="shared" si="3"/>
        <v>7.2839088000000007</v>
      </c>
      <c r="N81" s="303">
        <f>IF(EBF&gt;0,(Thetai-N$70)*N$69*E4beheizt*U_E4*0.0864/EBF,0)</f>
        <v>9.5904000000000025</v>
      </c>
      <c r="O81" s="303">
        <f>IF(EBF&gt;0,(Thetai-O$70)*O$69*E4beheizt*U_E4*0.0864/EBF,0)</f>
        <v>10.901088000000001</v>
      </c>
      <c r="P81" s="341">
        <f t="shared" si="1"/>
        <v>93.77972640000003</v>
      </c>
      <c r="Q81" s="304" t="s">
        <v>359</v>
      </c>
    </row>
    <row r="82" spans="2:17">
      <c r="B82" s="284" t="s">
        <v>378</v>
      </c>
      <c r="D82" s="303">
        <f t="shared" ref="D82:M82" si="4">IF(EBF&gt;0,(Thetai+deltaThetahmax-D$70)*D$69*BodenErdeF*U_Boden*bGF*0.0864/EBF,0)</f>
        <v>0</v>
      </c>
      <c r="E82" s="303">
        <f t="shared" si="4"/>
        <v>0</v>
      </c>
      <c r="F82" s="303">
        <f t="shared" si="4"/>
        <v>0</v>
      </c>
      <c r="G82" s="303">
        <f t="shared" si="4"/>
        <v>0</v>
      </c>
      <c r="H82" s="303">
        <f t="shared" si="4"/>
        <v>0</v>
      </c>
      <c r="I82" s="303">
        <f t="shared" si="4"/>
        <v>0</v>
      </c>
      <c r="J82" s="303">
        <f t="shared" si="4"/>
        <v>0</v>
      </c>
      <c r="K82" s="303">
        <f t="shared" si="4"/>
        <v>0</v>
      </c>
      <c r="L82" s="303">
        <f t="shared" si="4"/>
        <v>0</v>
      </c>
      <c r="M82" s="303">
        <f t="shared" si="4"/>
        <v>0</v>
      </c>
      <c r="N82" s="303">
        <f>IF(EBF&gt;0,(Thetai+deltaThetahmax-N$70)*N$69*BodenErdeF*U_Boden*bGF*0.0864/EBF,0)</f>
        <v>0</v>
      </c>
      <c r="O82" s="303">
        <f>IF(EBF&gt;0,(Thetai+deltaThetahmax-O$70)*O$69*BodenErdeF*U_Boden*bGF*0.0864/EBF,0)</f>
        <v>0</v>
      </c>
      <c r="P82" s="341">
        <f t="shared" si="1"/>
        <v>0</v>
      </c>
      <c r="Q82" s="304" t="s">
        <v>359</v>
      </c>
    </row>
    <row r="83" spans="2:17">
      <c r="B83" s="285" t="s">
        <v>390</v>
      </c>
      <c r="D83" s="303">
        <f>(IF(EBF&gt;0,(Thetai+deltaThetahmax-D$70)*D$69*D65*E65*0.0864/EBF,0))*0</f>
        <v>0</v>
      </c>
      <c r="E83" s="303">
        <f>IF(EBF&gt;0,(Thetai+deltaThetahmax-E$70)*E$69*D65*U_gedaemmteDecken*0.0864/EBF,0)</f>
        <v>0</v>
      </c>
      <c r="F83" s="303">
        <f>IF(EBF&gt;0,(Thetai+deltaThetahmax-F$70)*F$69*D65*U_gedaemmteDecken*0.0864/EBF,0)</f>
        <v>0</v>
      </c>
      <c r="G83" s="303">
        <f>IF(EBF&gt;0,(Thetai+deltaThetahmax-G$70)*G$69*D65*U_gedaemmteDecken*0.0864/EBF,0)</f>
        <v>0</v>
      </c>
      <c r="H83" s="303">
        <f>IF(EBF&gt;0,(Thetai+deltaThetahmax-H$70)*H$69*D65*U_gedaemmteDecken*0.0864/EBF,0)</f>
        <v>0</v>
      </c>
      <c r="I83" s="303">
        <f>IF(EBF&gt;0,(Thetai+deltaThetahmax-I$70)*I$69*D65*U_gedaemmteDecken*0.0864/EBF,0)</f>
        <v>0</v>
      </c>
      <c r="J83" s="303">
        <f>IF(EBF&gt;0,(Thetai+deltaThetahmax-J$70)*J$69*D65*U_gedaemmteDecken*0.0864/EBF,0)</f>
        <v>0</v>
      </c>
      <c r="K83" s="303">
        <f>IF(EBF&gt;0,(Thetai+deltaThetahmax-K$70)*K$69*D65*U_gedaemmteDecken*0.0864/EBF,0)</f>
        <v>0</v>
      </c>
      <c r="L83" s="303">
        <f>IF(EBF&gt;0,(Thetai+deltaThetahmax-L$70)*L$69*D65*U_gedaemmteDecken*0.0864/EBF,0)</f>
        <v>0</v>
      </c>
      <c r="M83" s="303">
        <f>IF(EBF&gt;0,(Thetai+deltaThetahmax-M$70)*M$69*D65*U_gedaemmteDecken*0.0864/EBF,0)</f>
        <v>0</v>
      </c>
      <c r="N83" s="303">
        <f>IF(EBF&gt;0,(Thetai+deltaThetahmax-N$70)*N$69*D65*U_gedaemmteDecken*0.0864/EBF,0)</f>
        <v>0</v>
      </c>
      <c r="O83" s="303">
        <f>IF(EBF&gt;0,(Thetai+deltaThetahmax-O$70)*O$69*D65*U_gedaemmteDecken*0.0864/EBF,0)</f>
        <v>0</v>
      </c>
      <c r="P83" s="341">
        <f t="shared" si="1"/>
        <v>0</v>
      </c>
      <c r="Q83" s="304" t="s">
        <v>359</v>
      </c>
    </row>
    <row r="84" spans="2:17">
      <c r="B84" s="284" t="s">
        <v>391</v>
      </c>
      <c r="D84" s="303">
        <f>IF(EBF&gt;0,(Thetai-D$70)*D$69*D16*U_E5*0.0864/EBF,0)</f>
        <v>14.620912941176471</v>
      </c>
      <c r="E84" s="303">
        <f>IF(EBF&gt;0,(Thetai-E$70)*E$69*D16*U_E5*0.0864/EBF,0)</f>
        <v>13.03521882352941</v>
      </c>
      <c r="F84" s="303">
        <f>IF(EBF&gt;0,(Thetai-F$70)*F$69*D16*U_E5*0.0864/EBF,0)</f>
        <v>12.793298823529415</v>
      </c>
      <c r="G84" s="303">
        <f>IF(EBF&gt;0,(Thetai-G$70)*G$69*D16*U_E5*0.0864/EBF,0)</f>
        <v>10.916894117647059</v>
      </c>
      <c r="H84" s="303">
        <f>IF(EBF&gt;0,(Thetai-H$70)*H$69*D16*U_E5*0.0864/EBF,0)</f>
        <v>8.0667105882352956</v>
      </c>
      <c r="I84" s="303">
        <f>IF(EBF&gt;0,(Thetai-I$70)*I$69*D16*U_E5*0.0864/EBF,0)</f>
        <v>6.2208000000000006</v>
      </c>
      <c r="J84" s="303">
        <f>IF(EBF&gt;0,(Thetai-J$70)*J$69*D16*U_E5*0.0864/EBF,0)</f>
        <v>4.9156517647058831</v>
      </c>
      <c r="K84" s="303">
        <f>IF(EBF&gt;0,(Thetai-K$70)*K$69*D16*U_E5*0.0864/EBF,0)</f>
        <v>4.7896094117647063</v>
      </c>
      <c r="L84" s="303">
        <f>IF(EBF&gt;0,(Thetai-L$70)*L$69*D16*U_E5*0.0864/EBF,0)</f>
        <v>7.0136470588235298</v>
      </c>
      <c r="M84" s="303">
        <f>IF(EBF&gt;0,(Thetai-M$70)*M$69*D16*U_E5*0.0864/EBF,0)</f>
        <v>9.2641129411764709</v>
      </c>
      <c r="N84" s="303">
        <f>IF(EBF&gt;0,(Thetai-N$70)*N$69*D16*U_E5*0.0864/EBF,0)</f>
        <v>12.197647058823531</v>
      </c>
      <c r="O84" s="303">
        <f>IF(EBF&gt;0,(Thetai-O$70)*O$69*D16*U_E5*0.0864/EBF,0)</f>
        <v>13.864658823529414</v>
      </c>
      <c r="P84" s="341">
        <f t="shared" si="1"/>
        <v>117.69916235294119</v>
      </c>
      <c r="Q84" s="304" t="s">
        <v>359</v>
      </c>
    </row>
    <row r="85" spans="2:17">
      <c r="B85" s="286" t="s">
        <v>392</v>
      </c>
      <c r="D85" s="303">
        <f>(1*D$69*(Thetai-D$70)*BodenUnb*E64*$D$56*0.0864/EBF)*0</f>
        <v>0</v>
      </c>
      <c r="E85" s="303">
        <f t="shared" ref="E85:O85" si="5">(1*E$69*(Thetai-E$70)*BodenUnb*U_Boden*$D$56*0.0864/EBF)*0</f>
        <v>0</v>
      </c>
      <c r="F85" s="303">
        <f t="shared" si="5"/>
        <v>0</v>
      </c>
      <c r="G85" s="303">
        <f t="shared" si="5"/>
        <v>0</v>
      </c>
      <c r="H85" s="303">
        <f t="shared" si="5"/>
        <v>0</v>
      </c>
      <c r="I85" s="303">
        <f t="shared" si="5"/>
        <v>0</v>
      </c>
      <c r="J85" s="303">
        <f t="shared" si="5"/>
        <v>0</v>
      </c>
      <c r="K85" s="303">
        <f t="shared" si="5"/>
        <v>0</v>
      </c>
      <c r="L85" s="303">
        <f t="shared" si="5"/>
        <v>0</v>
      </c>
      <c r="M85" s="303">
        <f t="shared" si="5"/>
        <v>0</v>
      </c>
      <c r="N85" s="303">
        <f t="shared" si="5"/>
        <v>0</v>
      </c>
      <c r="O85" s="303">
        <f t="shared" si="5"/>
        <v>0</v>
      </c>
      <c r="P85" s="341">
        <f>SUM(D85:O85)</f>
        <v>0</v>
      </c>
      <c r="Q85" s="304" t="s">
        <v>359</v>
      </c>
    </row>
    <row r="86" spans="2:17">
      <c r="B86" s="287" t="s">
        <v>316</v>
      </c>
      <c r="D86" s="303">
        <f t="shared" ref="D86:O86" si="6">SUM(D79:D85)*(1+WBZuschlag)</f>
        <v>30.09090231529412</v>
      </c>
      <c r="E86" s="303">
        <f t="shared" si="6"/>
        <v>25.612575585882354</v>
      </c>
      <c r="F86" s="303">
        <f t="shared" si="6"/>
        <v>25.137233025882363</v>
      </c>
      <c r="G86" s="303">
        <f t="shared" si="6"/>
        <v>21.450332329411768</v>
      </c>
      <c r="H86" s="303">
        <f t="shared" si="6"/>
        <v>15.850077967058828</v>
      </c>
      <c r="I86" s="303">
        <f t="shared" si="6"/>
        <v>12.223094400000003</v>
      </c>
      <c r="J86" s="303">
        <f t="shared" si="6"/>
        <v>9.6586412611764736</v>
      </c>
      <c r="K86" s="303">
        <f t="shared" si="6"/>
        <v>9.4109837929411775</v>
      </c>
      <c r="L86" s="303">
        <f t="shared" si="6"/>
        <v>13.780939764705884</v>
      </c>
      <c r="M86" s="303">
        <f t="shared" si="6"/>
        <v>18.202823915294118</v>
      </c>
      <c r="N86" s="303">
        <f t="shared" si="6"/>
        <v>23.96685176470589</v>
      </c>
      <c r="O86" s="303">
        <f t="shared" si="6"/>
        <v>27.242321505882359</v>
      </c>
      <c r="P86" s="290">
        <f t="shared" si="1"/>
        <v>232.62677762823535</v>
      </c>
      <c r="Q86" s="304" t="s">
        <v>359</v>
      </c>
    </row>
    <row r="87" spans="2:17">
      <c r="B87" s="288" t="s">
        <v>393</v>
      </c>
      <c r="D87" s="316"/>
      <c r="E87" s="316"/>
      <c r="F87" s="316"/>
      <c r="G87" s="316"/>
      <c r="H87" s="316"/>
      <c r="I87" s="316"/>
      <c r="J87" s="316"/>
      <c r="K87" s="316"/>
      <c r="L87" s="316"/>
      <c r="M87" s="316"/>
      <c r="N87" s="316"/>
      <c r="O87" s="329"/>
      <c r="P87" s="341"/>
      <c r="Q87" s="304"/>
    </row>
    <row r="88" spans="2:17">
      <c r="B88" s="342" t="s">
        <v>320</v>
      </c>
      <c r="D88" s="303">
        <f t="shared" ref="D88:O88" si="7">IF(D86=0,0,(Thetai-D$70)*VStandard*D$69*(1150-0.14*HueM)*0.000024)</f>
        <v>11.662086911999999</v>
      </c>
      <c r="E88" s="303">
        <f t="shared" si="7"/>
        <v>10.397288831999999</v>
      </c>
      <c r="F88" s="303">
        <f t="shared" si="7"/>
        <v>10.204326048</v>
      </c>
      <c r="G88" s="303">
        <f t="shared" si="7"/>
        <v>8.7076483199999988</v>
      </c>
      <c r="H88" s="303">
        <f t="shared" si="7"/>
        <v>6.4342548480000001</v>
      </c>
      <c r="I88" s="303">
        <f t="shared" si="7"/>
        <v>4.961900159999999</v>
      </c>
      <c r="J88" s="303">
        <f t="shared" si="7"/>
        <v>3.9208740480000004</v>
      </c>
      <c r="K88" s="303">
        <f t="shared" si="7"/>
        <v>3.8203388159999996</v>
      </c>
      <c r="L88" s="303">
        <f t="shared" si="7"/>
        <v>5.5942992</v>
      </c>
      <c r="M88" s="303">
        <f t="shared" si="7"/>
        <v>7.389339552</v>
      </c>
      <c r="N88" s="303">
        <f t="shared" si="7"/>
        <v>9.729216000000001</v>
      </c>
      <c r="O88" s="303">
        <f t="shared" si="7"/>
        <v>11.058875519999999</v>
      </c>
      <c r="P88" s="290">
        <f>SUM(D88:O88)</f>
        <v>93.88044825599998</v>
      </c>
      <c r="Q88" s="304" t="s">
        <v>359</v>
      </c>
    </row>
    <row r="89" spans="2:17">
      <c r="B89" s="288" t="s">
        <v>394</v>
      </c>
      <c r="D89" s="316"/>
      <c r="E89" s="316"/>
      <c r="F89" s="316"/>
      <c r="G89" s="316"/>
      <c r="H89" s="316"/>
      <c r="I89" s="316"/>
      <c r="J89" s="316"/>
      <c r="K89" s="316"/>
      <c r="L89" s="316"/>
      <c r="M89" s="316"/>
      <c r="N89" s="316"/>
      <c r="O89" s="329"/>
      <c r="P89" s="341"/>
      <c r="Q89" s="304"/>
    </row>
    <row r="90" spans="2:17">
      <c r="B90" s="284" t="s">
        <v>395</v>
      </c>
      <c r="D90" s="303">
        <f t="shared" ref="D90:O90" si="8">D88+D86</f>
        <v>41.752989227294123</v>
      </c>
      <c r="E90" s="303">
        <f t="shared" si="8"/>
        <v>36.009864417882355</v>
      </c>
      <c r="F90" s="303">
        <f t="shared" si="8"/>
        <v>35.341559073882365</v>
      </c>
      <c r="G90" s="303">
        <f t="shared" si="8"/>
        <v>30.157980649411769</v>
      </c>
      <c r="H90" s="303">
        <f t="shared" si="8"/>
        <v>22.284332815058828</v>
      </c>
      <c r="I90" s="303">
        <f t="shared" si="8"/>
        <v>17.18499456</v>
      </c>
      <c r="J90" s="303">
        <f t="shared" si="8"/>
        <v>13.579515309176474</v>
      </c>
      <c r="K90" s="303">
        <f t="shared" si="8"/>
        <v>13.231322608941177</v>
      </c>
      <c r="L90" s="303">
        <f t="shared" si="8"/>
        <v>19.375238964705886</v>
      </c>
      <c r="M90" s="303">
        <f t="shared" si="8"/>
        <v>25.592163467294117</v>
      </c>
      <c r="N90" s="303">
        <f t="shared" si="8"/>
        <v>33.696067764705887</v>
      </c>
      <c r="O90" s="303">
        <f t="shared" si="8"/>
        <v>38.30119702588236</v>
      </c>
      <c r="P90" s="341">
        <f>SUM(D90:O90)</f>
        <v>326.50722588423537</v>
      </c>
      <c r="Q90" s="304" t="s">
        <v>359</v>
      </c>
    </row>
    <row r="91" spans="2:17">
      <c r="B91" s="288" t="s">
        <v>396</v>
      </c>
      <c r="D91" s="316"/>
      <c r="E91" s="316" t="s">
        <v>193</v>
      </c>
      <c r="F91" s="316"/>
      <c r="G91" s="316"/>
      <c r="H91" s="316"/>
      <c r="I91" s="316"/>
      <c r="J91" s="316"/>
      <c r="K91" s="316"/>
      <c r="L91" s="316"/>
      <c r="M91" s="316"/>
      <c r="N91" s="316"/>
      <c r="O91" s="329"/>
      <c r="P91" s="341"/>
      <c r="Q91" s="304"/>
    </row>
    <row r="92" spans="2:17">
      <c r="B92" s="284" t="s">
        <v>397</v>
      </c>
      <c r="D92" s="303">
        <f>QE*fE*D$69/365</f>
        <v>7.3748872602739741</v>
      </c>
      <c r="E92" s="303">
        <f t="shared" ref="E92:M92" si="9">QE*fE*E$69/365</f>
        <v>6.6611884931506857</v>
      </c>
      <c r="F92" s="303">
        <f t="shared" si="9"/>
        <v>7.3748872602739741</v>
      </c>
      <c r="G92" s="303">
        <f t="shared" si="9"/>
        <v>7.1369876712328768</v>
      </c>
      <c r="H92" s="303">
        <f t="shared" si="9"/>
        <v>7.3748872602739741</v>
      </c>
      <c r="I92" s="303">
        <f t="shared" si="9"/>
        <v>7.1369876712328768</v>
      </c>
      <c r="J92" s="303">
        <f t="shared" si="9"/>
        <v>7.3748872602739741</v>
      </c>
      <c r="K92" s="303">
        <f t="shared" si="9"/>
        <v>7.3748872602739741</v>
      </c>
      <c r="L92" s="303">
        <f t="shared" si="9"/>
        <v>7.1369876712328768</v>
      </c>
      <c r="M92" s="303">
        <f t="shared" si="9"/>
        <v>7.3748872602739741</v>
      </c>
      <c r="N92" s="303">
        <f>QE*fE*N$69/365</f>
        <v>7.1369876712328768</v>
      </c>
      <c r="O92" s="303">
        <f>QE*fE*O$69/365</f>
        <v>7.3748872602739741</v>
      </c>
      <c r="P92" s="341">
        <f>SUM(D92:O92)</f>
        <v>86.83335000000001</v>
      </c>
      <c r="Q92" s="304" t="s">
        <v>359</v>
      </c>
    </row>
    <row r="93" spans="2:17">
      <c r="B93" s="284" t="s">
        <v>399</v>
      </c>
      <c r="D93" s="303">
        <f t="shared" ref="D93:O93" si="10">$D$40*D$69/365</f>
        <v>2.9998080000000007</v>
      </c>
      <c r="E93" s="303">
        <f t="shared" si="10"/>
        <v>2.7095040000000008</v>
      </c>
      <c r="F93" s="303">
        <f t="shared" si="10"/>
        <v>2.9998080000000007</v>
      </c>
      <c r="G93" s="303">
        <f t="shared" si="10"/>
        <v>2.9030400000000007</v>
      </c>
      <c r="H93" s="303">
        <f t="shared" si="10"/>
        <v>2.9998080000000007</v>
      </c>
      <c r="I93" s="303">
        <f t="shared" si="10"/>
        <v>2.9030400000000007</v>
      </c>
      <c r="J93" s="303">
        <f t="shared" si="10"/>
        <v>2.9998080000000007</v>
      </c>
      <c r="K93" s="303">
        <f t="shared" si="10"/>
        <v>2.9998080000000007</v>
      </c>
      <c r="L93" s="303">
        <f t="shared" si="10"/>
        <v>2.9030400000000007</v>
      </c>
      <c r="M93" s="303">
        <f t="shared" si="10"/>
        <v>2.9998080000000007</v>
      </c>
      <c r="N93" s="303">
        <f t="shared" si="10"/>
        <v>2.9030400000000007</v>
      </c>
      <c r="O93" s="303">
        <f t="shared" si="10"/>
        <v>2.9998080000000007</v>
      </c>
      <c r="P93" s="341">
        <f>SUM(D93:O93)</f>
        <v>35.320320000000009</v>
      </c>
      <c r="Q93" s="304" t="s">
        <v>359</v>
      </c>
    </row>
    <row r="94" spans="2:17">
      <c r="B94" s="284" t="s">
        <v>400</v>
      </c>
      <c r="D94" s="303">
        <f t="shared" ref="D94:O94" si="11">D93+D92</f>
        <v>10.374695260273974</v>
      </c>
      <c r="E94" s="303">
        <f t="shared" si="11"/>
        <v>9.3706924931506865</v>
      </c>
      <c r="F94" s="303">
        <f t="shared" si="11"/>
        <v>10.374695260273974</v>
      </c>
      <c r="G94" s="303">
        <f t="shared" si="11"/>
        <v>10.040027671232878</v>
      </c>
      <c r="H94" s="303">
        <f t="shared" si="11"/>
        <v>10.374695260273974</v>
      </c>
      <c r="I94" s="303">
        <f t="shared" si="11"/>
        <v>10.040027671232878</v>
      </c>
      <c r="J94" s="303">
        <f t="shared" si="11"/>
        <v>10.374695260273974</v>
      </c>
      <c r="K94" s="303">
        <f t="shared" si="11"/>
        <v>10.374695260273974</v>
      </c>
      <c r="L94" s="303">
        <f t="shared" si="11"/>
        <v>10.040027671232878</v>
      </c>
      <c r="M94" s="303">
        <f t="shared" si="11"/>
        <v>10.374695260273974</v>
      </c>
      <c r="N94" s="303">
        <f t="shared" si="11"/>
        <v>10.040027671232878</v>
      </c>
      <c r="O94" s="303">
        <f t="shared" si="11"/>
        <v>10.374695260273974</v>
      </c>
      <c r="P94" s="341">
        <f>SUM(D94:O94)</f>
        <v>122.15367000000001</v>
      </c>
      <c r="Q94" s="304" t="s">
        <v>359</v>
      </c>
    </row>
    <row r="95" spans="2:17">
      <c r="B95" s="289" t="s">
        <v>401</v>
      </c>
      <c r="D95" s="303">
        <f t="shared" ref="D95:O95" si="12">IF(EBF&gt;0,($D$19*D$72*$F$19+$D$18*D$73*$F$18+$D$20*D$74*$F$20+$D$17*D$75*$F$17+$D$21*D$71*$F$21)*0.9*G_E5*FF/EBF,0)</f>
        <v>10.641176470588238</v>
      </c>
      <c r="E95" s="303">
        <f t="shared" si="12"/>
        <v>13.420588235294119</v>
      </c>
      <c r="F95" s="303">
        <f t="shared" si="12"/>
        <v>20.408823529411766</v>
      </c>
      <c r="G95" s="303">
        <f t="shared" si="12"/>
        <v>14.373529411764707</v>
      </c>
      <c r="H95" s="303">
        <f t="shared" si="12"/>
        <v>15.723529411764707</v>
      </c>
      <c r="I95" s="303">
        <f t="shared" si="12"/>
        <v>14.85</v>
      </c>
      <c r="J95" s="303">
        <f t="shared" si="12"/>
        <v>15.723529411764707</v>
      </c>
      <c r="K95" s="303">
        <f t="shared" si="12"/>
        <v>14.85</v>
      </c>
      <c r="L95" s="303">
        <f t="shared" si="12"/>
        <v>12.388235294117647</v>
      </c>
      <c r="M95" s="303">
        <f t="shared" si="12"/>
        <v>15.088235294117647</v>
      </c>
      <c r="N95" s="303">
        <f t="shared" si="12"/>
        <v>9.6882352941176482</v>
      </c>
      <c r="O95" s="303">
        <f t="shared" si="12"/>
        <v>8.2588235294117656</v>
      </c>
      <c r="P95" s="341">
        <f>SUM(D95:O95)</f>
        <v>165.41470588235293</v>
      </c>
      <c r="Q95" s="304" t="s">
        <v>359</v>
      </c>
    </row>
    <row r="96" spans="2:17" ht="13.5" customHeight="1">
      <c r="B96" s="284" t="s">
        <v>402</v>
      </c>
      <c r="D96" s="303">
        <f>D95+D94</f>
        <v>21.015871730862212</v>
      </c>
      <c r="E96" s="303">
        <f t="shared" ref="E96:O96" si="13">E95+E94</f>
        <v>22.791280728444804</v>
      </c>
      <c r="F96" s="303">
        <f t="shared" si="13"/>
        <v>30.78351878968574</v>
      </c>
      <c r="G96" s="303">
        <f t="shared" si="13"/>
        <v>24.413557082997585</v>
      </c>
      <c r="H96" s="303">
        <f t="shared" si="13"/>
        <v>26.098224672038683</v>
      </c>
      <c r="I96" s="303">
        <f t="shared" si="13"/>
        <v>24.890027671232879</v>
      </c>
      <c r="J96" s="303">
        <f t="shared" si="13"/>
        <v>26.098224672038683</v>
      </c>
      <c r="K96" s="303">
        <f t="shared" si="13"/>
        <v>25.224695260273975</v>
      </c>
      <c r="L96" s="303">
        <f t="shared" si="13"/>
        <v>22.428262965350527</v>
      </c>
      <c r="M96" s="303">
        <f t="shared" si="13"/>
        <v>25.462930554391619</v>
      </c>
      <c r="N96" s="303">
        <f t="shared" si="13"/>
        <v>19.728262965350524</v>
      </c>
      <c r="O96" s="303">
        <f t="shared" si="13"/>
        <v>18.633518789685738</v>
      </c>
      <c r="P96" s="343">
        <f>SUM(D96:O96)</f>
        <v>287.568375882353</v>
      </c>
      <c r="Q96" s="304" t="s">
        <v>359</v>
      </c>
    </row>
    <row r="97" spans="2:20">
      <c r="B97" s="284" t="s">
        <v>411</v>
      </c>
      <c r="D97" s="303">
        <f t="shared" ref="D97:O97" si="14">IF(D90&gt;0,D96/D90,0)</f>
        <v>0.5033381350603765</v>
      </c>
      <c r="E97" s="303">
        <f t="shared" si="14"/>
        <v>0.63291770454783347</v>
      </c>
      <c r="F97" s="303">
        <f t="shared" si="14"/>
        <v>0.87102888486985153</v>
      </c>
      <c r="G97" s="303">
        <f t="shared" si="14"/>
        <v>0.80952227427978574</v>
      </c>
      <c r="H97" s="303">
        <f t="shared" si="14"/>
        <v>1.1711467822991131</v>
      </c>
      <c r="I97" s="303">
        <f t="shared" si="14"/>
        <v>1.4483581932092784</v>
      </c>
      <c r="J97" s="303">
        <f t="shared" si="14"/>
        <v>1.9218818991575188</v>
      </c>
      <c r="K97" s="303">
        <f t="shared" si="14"/>
        <v>1.9064379280744146</v>
      </c>
      <c r="L97" s="303">
        <f t="shared" si="14"/>
        <v>1.1575734888331473</v>
      </c>
      <c r="M97" s="303">
        <f t="shared" si="14"/>
        <v>0.99495029355108433</v>
      </c>
      <c r="N97" s="303">
        <f t="shared" si="14"/>
        <v>0.58547671209322549</v>
      </c>
      <c r="O97" s="303">
        <f t="shared" si="14"/>
        <v>0.48649964587514011</v>
      </c>
      <c r="P97" s="341" t="s">
        <v>56</v>
      </c>
      <c r="Q97" s="304"/>
    </row>
    <row r="98" spans="2:20">
      <c r="B98" s="289" t="s">
        <v>412</v>
      </c>
      <c r="D98" s="303">
        <f t="shared" ref="D98:O98" si="15">IF(D90&gt;0,CEBF*EBF*1000000/(($D$22*U_DAFbeheizt+$D$14*U_E3*bGW+E4beheizt*U_E4+BodenErdeF*U_Boden*bGF+$D$16*U_E5)*3600 + $D$34*EBF*(1150-0.14*HueM)),0)</f>
        <v>197.37754475664829</v>
      </c>
      <c r="E98" s="303">
        <f t="shared" si="15"/>
        <v>197.37754475664829</v>
      </c>
      <c r="F98" s="303">
        <f t="shared" si="15"/>
        <v>197.37754475664829</v>
      </c>
      <c r="G98" s="303">
        <f t="shared" si="15"/>
        <v>197.37754475664829</v>
      </c>
      <c r="H98" s="303">
        <f t="shared" si="15"/>
        <v>197.37754475664829</v>
      </c>
      <c r="I98" s="303">
        <f t="shared" si="15"/>
        <v>197.37754475664829</v>
      </c>
      <c r="J98" s="303">
        <f t="shared" si="15"/>
        <v>197.37754475664829</v>
      </c>
      <c r="K98" s="303">
        <f t="shared" si="15"/>
        <v>197.37754475664829</v>
      </c>
      <c r="L98" s="303">
        <f t="shared" si="15"/>
        <v>197.37754475664829</v>
      </c>
      <c r="M98" s="303">
        <f t="shared" si="15"/>
        <v>197.37754475664829</v>
      </c>
      <c r="N98" s="303">
        <f t="shared" si="15"/>
        <v>197.37754475664829</v>
      </c>
      <c r="O98" s="303">
        <f t="shared" si="15"/>
        <v>197.37754475664829</v>
      </c>
      <c r="P98" s="341"/>
      <c r="Q98" s="304"/>
    </row>
    <row r="99" spans="2:20">
      <c r="B99" s="284" t="s">
        <v>403</v>
      </c>
      <c r="D99" s="303">
        <f>a0+D98/tau0</f>
        <v>14.158502983776552</v>
      </c>
      <c r="E99" s="303">
        <f>a0+E98/tau0</f>
        <v>14.158502983776552</v>
      </c>
      <c r="F99" s="303">
        <f>a0+F98/tau0</f>
        <v>14.158502983776552</v>
      </c>
      <c r="G99" s="303">
        <f>a0+G98/tau0</f>
        <v>14.158502983776552</v>
      </c>
      <c r="H99" s="303">
        <f t="shared" ref="H99:O99" si="16">a0+H98/tau0</f>
        <v>14.158502983776552</v>
      </c>
      <c r="I99" s="303">
        <f t="shared" si="16"/>
        <v>14.158502983776552</v>
      </c>
      <c r="J99" s="303">
        <f t="shared" si="16"/>
        <v>14.158502983776552</v>
      </c>
      <c r="K99" s="303">
        <f t="shared" si="16"/>
        <v>14.158502983776552</v>
      </c>
      <c r="L99" s="303">
        <f t="shared" si="16"/>
        <v>14.158502983776552</v>
      </c>
      <c r="M99" s="303">
        <f t="shared" si="16"/>
        <v>14.158502983776552</v>
      </c>
      <c r="N99" s="303">
        <f t="shared" si="16"/>
        <v>14.158502983776552</v>
      </c>
      <c r="O99" s="303">
        <f t="shared" si="16"/>
        <v>14.158502983776552</v>
      </c>
      <c r="P99" s="341"/>
      <c r="Q99" s="304"/>
    </row>
    <row r="100" spans="2:20">
      <c r="B100" s="284" t="s">
        <v>413</v>
      </c>
      <c r="D100" s="317">
        <f t="shared" ref="D100:O100" si="17">IF(D97=1,D99/(D99+1),IF(D90&lt;=0,0,(1-D97^D99)/(1-D97^(D99+1))))</f>
        <v>0.99997015610223117</v>
      </c>
      <c r="E100" s="317">
        <f t="shared" si="17"/>
        <v>0.99943433257166336</v>
      </c>
      <c r="F100" s="317">
        <f t="shared" si="17"/>
        <v>0.97917451708900061</v>
      </c>
      <c r="G100" s="317">
        <f t="shared" si="17"/>
        <v>0.99003409007056897</v>
      </c>
      <c r="H100" s="317">
        <f t="shared" si="17"/>
        <v>0.83920035391313341</v>
      </c>
      <c r="I100" s="317">
        <f t="shared" si="17"/>
        <v>0.68930533597077304</v>
      </c>
      <c r="J100" s="317">
        <f t="shared" si="17"/>
        <v>0.52029934163085056</v>
      </c>
      <c r="K100" s="317">
        <f t="shared" si="17"/>
        <v>0.52451157501134038</v>
      </c>
      <c r="L100" s="317">
        <f t="shared" si="17"/>
        <v>0.84725467246482189</v>
      </c>
      <c r="M100" s="317">
        <f t="shared" si="17"/>
        <v>0.93636837151117835</v>
      </c>
      <c r="N100" s="317">
        <f t="shared" si="17"/>
        <v>0.9997881818454103</v>
      </c>
      <c r="O100" s="317">
        <f t="shared" si="17"/>
        <v>0.99998094075752508</v>
      </c>
      <c r="P100" s="344">
        <f>IF(P96&gt;0,P101/P96,0)</f>
        <v>0.85258577681101122</v>
      </c>
      <c r="Q100" s="304"/>
    </row>
    <row r="101" spans="2:20">
      <c r="B101" s="342" t="s">
        <v>323</v>
      </c>
      <c r="D101" s="303">
        <f t="shared" ref="D101:O101" si="18">D96*D100</f>
        <v>21.015244535334755</v>
      </c>
      <c r="E101" s="303">
        <f t="shared" si="18"/>
        <v>22.778388443286644</v>
      </c>
      <c r="F101" s="303">
        <f t="shared" si="18"/>
        <v>30.142437145190712</v>
      </c>
      <c r="G101" s="303">
        <f t="shared" si="18"/>
        <v>24.170253772051407</v>
      </c>
      <c r="H101" s="303">
        <f t="shared" si="18"/>
        <v>21.901639381279331</v>
      </c>
      <c r="I101" s="303">
        <f t="shared" si="18"/>
        <v>17.156828886241016</v>
      </c>
      <c r="J101" s="303">
        <f t="shared" si="18"/>
        <v>13.578889114595748</v>
      </c>
      <c r="K101" s="303">
        <f t="shared" si="18"/>
        <v>13.230644640147396</v>
      </c>
      <c r="L101" s="303">
        <f t="shared" si="18"/>
        <v>19.002450592662957</v>
      </c>
      <c r="M101" s="303">
        <f t="shared" si="18"/>
        <v>23.842682817117907</v>
      </c>
      <c r="N101" s="303">
        <f t="shared" si="18"/>
        <v>19.724084161095941</v>
      </c>
      <c r="O101" s="303">
        <f t="shared" si="18"/>
        <v>18.633163648932964</v>
      </c>
      <c r="P101" s="290">
        <f>SUM(D101:O101)</f>
        <v>245.1767071379368</v>
      </c>
      <c r="Q101" s="304" t="s">
        <v>359</v>
      </c>
    </row>
    <row r="102" spans="2:20" ht="12.9" thickBot="1">
      <c r="B102" s="291" t="s">
        <v>404</v>
      </c>
      <c r="C102" s="335"/>
      <c r="D102" s="345"/>
      <c r="E102" s="345"/>
      <c r="F102" s="345"/>
      <c r="G102" s="345"/>
      <c r="H102" s="345"/>
      <c r="I102" s="345"/>
      <c r="J102" s="345"/>
      <c r="K102" s="345"/>
      <c r="L102" s="345"/>
      <c r="M102" s="345"/>
      <c r="N102" s="345"/>
      <c r="O102" s="346"/>
      <c r="P102" s="347"/>
      <c r="Q102" s="339"/>
    </row>
    <row r="103" spans="2:20" ht="12.9" thickBot="1">
      <c r="B103" s="292" t="s">
        <v>325</v>
      </c>
      <c r="C103" s="348"/>
      <c r="D103" s="349">
        <f t="shared" ref="D103:O103" si="19">D90-D101</f>
        <v>20.737744691959367</v>
      </c>
      <c r="E103" s="349">
        <f t="shared" si="19"/>
        <v>13.23147597459571</v>
      </c>
      <c r="F103" s="349">
        <f t="shared" si="19"/>
        <v>5.1991219286916532</v>
      </c>
      <c r="G103" s="349">
        <f t="shared" si="19"/>
        <v>5.9877268773603625</v>
      </c>
      <c r="H103" s="349">
        <f t="shared" si="19"/>
        <v>0.38269343377949738</v>
      </c>
      <c r="I103" s="349">
        <f t="shared" si="19"/>
        <v>2.8165673758984155E-2</v>
      </c>
      <c r="J103" s="349">
        <f t="shared" si="19"/>
        <v>6.2619458072532552E-4</v>
      </c>
      <c r="K103" s="349">
        <f>K90-K101</f>
        <v>6.7796879378079211E-4</v>
      </c>
      <c r="L103" s="349">
        <f t="shared" si="19"/>
        <v>0.37278837204292969</v>
      </c>
      <c r="M103" s="349">
        <f t="shared" si="19"/>
        <v>1.7494806501762099</v>
      </c>
      <c r="N103" s="349">
        <f t="shared" si="19"/>
        <v>13.971983603609946</v>
      </c>
      <c r="O103" s="349">
        <f t="shared" si="19"/>
        <v>19.668033376949396</v>
      </c>
      <c r="P103" s="350">
        <f>SUM(D103:O103)</f>
        <v>81.330518746298551</v>
      </c>
      <c r="Q103" s="351" t="s">
        <v>359</v>
      </c>
    </row>
    <row r="104" spans="2:20">
      <c r="P104" s="1291">
        <f>P103/3.6</f>
        <v>22.591810762860707</v>
      </c>
      <c r="Q104" s="270" t="s">
        <v>1658</v>
      </c>
    </row>
    <row r="106" spans="2:20" ht="15.9" thickBot="1">
      <c r="B106" s="293" t="str">
        <f>IF(Standard="Minergie-P","Mit Wärmegewinn Elektrizität gemäss MINERGIE-P und mechanischer Lüftungsanlage.",IF(Standard="Minergie","Mit Wärmegewinn Elektrizität gemäss MINERGIE und mechanischer Lüftungsanlage.",""))</f>
        <v/>
      </c>
    </row>
    <row r="107" spans="2:20" ht="16.5" customHeight="1" thickBot="1">
      <c r="B107" s="370" t="s">
        <v>405</v>
      </c>
      <c r="C107" s="372" t="s">
        <v>48</v>
      </c>
      <c r="D107" s="281" t="s">
        <v>359</v>
      </c>
      <c r="E107" s="325"/>
      <c r="F107" s="325"/>
      <c r="G107" s="325"/>
      <c r="H107" s="325"/>
      <c r="I107" s="325"/>
      <c r="J107" s="325"/>
      <c r="K107" s="325"/>
      <c r="L107" s="325"/>
      <c r="M107" s="325"/>
      <c r="N107" s="325"/>
      <c r="O107" s="325"/>
      <c r="P107" s="325"/>
      <c r="Q107" s="328"/>
    </row>
    <row r="108" spans="2:20">
      <c r="B108" s="294" t="s">
        <v>371</v>
      </c>
      <c r="C108" s="340"/>
      <c r="D108" s="340"/>
      <c r="E108" s="340"/>
      <c r="F108" s="340"/>
      <c r="G108" s="340"/>
      <c r="H108" s="340"/>
      <c r="I108" s="340"/>
      <c r="J108" s="340"/>
      <c r="K108" s="340"/>
      <c r="L108" s="340"/>
      <c r="M108" s="340"/>
      <c r="N108" s="340"/>
      <c r="O108" s="331"/>
      <c r="P108" s="330"/>
      <c r="Q108" s="331"/>
    </row>
    <row r="109" spans="2:20">
      <c r="B109" s="284" t="s">
        <v>373</v>
      </c>
      <c r="D109" s="303">
        <f t="shared" ref="D109:O109" si="20">IF(EBF&gt;0,(Thetai-D$70)*D$69*$D$22*U_DAFbeheizt*0.0864/EBF,0)</f>
        <v>0</v>
      </c>
      <c r="E109" s="303">
        <f t="shared" si="20"/>
        <v>0</v>
      </c>
      <c r="F109" s="303">
        <f t="shared" si="20"/>
        <v>0</v>
      </c>
      <c r="G109" s="303">
        <f t="shared" si="20"/>
        <v>0</v>
      </c>
      <c r="H109" s="303">
        <f t="shared" si="20"/>
        <v>0</v>
      </c>
      <c r="I109" s="303">
        <f t="shared" si="20"/>
        <v>0</v>
      </c>
      <c r="J109" s="303">
        <f t="shared" si="20"/>
        <v>0</v>
      </c>
      <c r="K109" s="303">
        <f t="shared" si="20"/>
        <v>0</v>
      </c>
      <c r="L109" s="303">
        <f t="shared" si="20"/>
        <v>0</v>
      </c>
      <c r="M109" s="303">
        <f t="shared" si="20"/>
        <v>0</v>
      </c>
      <c r="N109" s="303">
        <f t="shared" si="20"/>
        <v>0</v>
      </c>
      <c r="O109" s="303">
        <f t="shared" si="20"/>
        <v>0</v>
      </c>
      <c r="P109" s="341">
        <f t="shared" ref="P109:P114" si="21">SUM(D109:O109)</f>
        <v>0</v>
      </c>
      <c r="Q109" s="304" t="s">
        <v>359</v>
      </c>
      <c r="S109" s="1689">
        <f>P109/3.6</f>
        <v>0</v>
      </c>
      <c r="T109" s="270" t="s">
        <v>1658</v>
      </c>
    </row>
    <row r="110" spans="2:20">
      <c r="B110" s="284" t="s">
        <v>375</v>
      </c>
      <c r="D110" s="303">
        <v>0</v>
      </c>
      <c r="E110" s="303">
        <v>0</v>
      </c>
      <c r="F110" s="303">
        <v>0</v>
      </c>
      <c r="G110" s="303">
        <v>0</v>
      </c>
      <c r="H110" s="303">
        <v>0</v>
      </c>
      <c r="I110" s="303">
        <v>0</v>
      </c>
      <c r="J110" s="303">
        <v>0</v>
      </c>
      <c r="K110" s="303">
        <v>0</v>
      </c>
      <c r="L110" s="303">
        <v>0</v>
      </c>
      <c r="M110" s="303">
        <v>0</v>
      </c>
      <c r="N110" s="303">
        <v>0</v>
      </c>
      <c r="O110" s="303">
        <v>0</v>
      </c>
      <c r="P110" s="341">
        <f t="shared" si="21"/>
        <v>0</v>
      </c>
      <c r="Q110" s="304" t="s">
        <v>359</v>
      </c>
      <c r="S110" s="1689">
        <f t="shared" ref="S110:S133" si="22">P110/3.6</f>
        <v>0</v>
      </c>
      <c r="T110" s="270" t="s">
        <v>1658</v>
      </c>
    </row>
    <row r="111" spans="2:20">
      <c r="B111" s="284" t="s">
        <v>377</v>
      </c>
      <c r="D111" s="362">
        <f>IF(EBF&gt;0,(deltaThetahmax+Thetai-D$70)*D$69*E4beheizt*U_E4*0.0864/EBF,0)</f>
        <v>12.734452800000001</v>
      </c>
      <c r="E111" s="303">
        <f t="shared" ref="E111:M111" si="23">IF(EBF&gt;0,(Thetai-E$70)*E$69*E4beheizt*U_E4*0.0864/EBF,0)</f>
        <v>10.248940800000002</v>
      </c>
      <c r="F111" s="303">
        <f t="shared" si="23"/>
        <v>10.058731200000004</v>
      </c>
      <c r="G111" s="303">
        <f t="shared" si="23"/>
        <v>8.5834080000000021</v>
      </c>
      <c r="H111" s="303">
        <f t="shared" si="23"/>
        <v>6.3424512000000011</v>
      </c>
      <c r="I111" s="303">
        <f t="shared" si="23"/>
        <v>4.8911040000000003</v>
      </c>
      <c r="J111" s="303">
        <f t="shared" si="23"/>
        <v>3.8649312000000009</v>
      </c>
      <c r="K111" s="303">
        <f t="shared" si="23"/>
        <v>3.7658304000000009</v>
      </c>
      <c r="L111" s="303">
        <f t="shared" si="23"/>
        <v>5.5144800000000007</v>
      </c>
      <c r="M111" s="303">
        <f t="shared" si="23"/>
        <v>7.2839088000000007</v>
      </c>
      <c r="N111" s="303">
        <f>IF(EBF&gt;0,(Thetai-N$70)*N$69*E4beheizt*U_E4*0.0864/EBF,0)</f>
        <v>9.5904000000000025</v>
      </c>
      <c r="O111" s="303">
        <f>IF(EBF&gt;0,(Thetai-O$70)*O$69*E4beheizt*U_E4*0.0864/EBF,0)</f>
        <v>10.901088000000001</v>
      </c>
      <c r="P111" s="341">
        <f t="shared" si="21"/>
        <v>93.77972640000003</v>
      </c>
      <c r="Q111" s="304" t="s">
        <v>359</v>
      </c>
      <c r="S111" s="1689">
        <f t="shared" si="22"/>
        <v>26.049924000000008</v>
      </c>
      <c r="T111" s="270" t="s">
        <v>1658</v>
      </c>
    </row>
    <row r="112" spans="2:20">
      <c r="B112" s="284" t="s">
        <v>406</v>
      </c>
      <c r="D112" s="303">
        <f>IF(EBF&gt;0,(Thetai+deltaThetahmax-D$70)*D$69*BodenErdeF*U_Boden*bGF*0.0864/EBF,0)</f>
        <v>0</v>
      </c>
      <c r="E112" s="303">
        <f t="shared" ref="E112:M112" si="24">IF(EBF&gt;0,(Thetai+deltaThetahmax-E$70)*E$69*BodenErdeF*U_Boden*bGF*0.0864/EBF,0)</f>
        <v>0</v>
      </c>
      <c r="F112" s="303">
        <f t="shared" si="24"/>
        <v>0</v>
      </c>
      <c r="G112" s="303">
        <f t="shared" si="24"/>
        <v>0</v>
      </c>
      <c r="H112" s="303">
        <f t="shared" si="24"/>
        <v>0</v>
      </c>
      <c r="I112" s="303">
        <f t="shared" si="24"/>
        <v>0</v>
      </c>
      <c r="J112" s="303">
        <f t="shared" si="24"/>
        <v>0</v>
      </c>
      <c r="K112" s="303">
        <f t="shared" si="24"/>
        <v>0</v>
      </c>
      <c r="L112" s="303">
        <f t="shared" si="24"/>
        <v>0</v>
      </c>
      <c r="M112" s="303">
        <f t="shared" si="24"/>
        <v>0</v>
      </c>
      <c r="N112" s="303">
        <f>IF(EBF&gt;0,(Thetai+deltaThetahmax-N$70)*N$69*BodenErdeF*U_Boden*bGF*0.0864/EBF,0)</f>
        <v>0</v>
      </c>
      <c r="O112" s="303">
        <f>IF(EBF&gt;0,(Thetai+deltaThetahmax-O$70)*O$69*BodenErdeF*U_Boden*bGF*0.0864/EBF,0)</f>
        <v>0</v>
      </c>
      <c r="P112" s="341">
        <f t="shared" si="21"/>
        <v>0</v>
      </c>
      <c r="Q112" s="304" t="s">
        <v>359</v>
      </c>
      <c r="S112" s="1689">
        <f t="shared" si="22"/>
        <v>0</v>
      </c>
      <c r="T112" s="270" t="s">
        <v>1658</v>
      </c>
    </row>
    <row r="113" spans="2:20">
      <c r="B113" s="285" t="s">
        <v>407</v>
      </c>
      <c r="D113" s="303">
        <f>(IF(EBF&gt;0,(Thetai+deltaThetahmax-D$70)*D$69*BodenErdeF*U_gedaemmteDecken*0.0864/EBF,0))*0</f>
        <v>0</v>
      </c>
      <c r="E113" s="303">
        <f t="shared" ref="E113:O113" si="25">(IF(EBF&gt;0,(Thetai+deltaThetahmax-E$70)*E$69*BodenErdeF*U_gedaemmteDecken*0.0864/EBF,0))*0</f>
        <v>0</v>
      </c>
      <c r="F113" s="303">
        <f t="shared" si="25"/>
        <v>0</v>
      </c>
      <c r="G113" s="303">
        <f t="shared" si="25"/>
        <v>0</v>
      </c>
      <c r="H113" s="303">
        <f t="shared" si="25"/>
        <v>0</v>
      </c>
      <c r="I113" s="303">
        <f t="shared" si="25"/>
        <v>0</v>
      </c>
      <c r="J113" s="303">
        <f t="shared" si="25"/>
        <v>0</v>
      </c>
      <c r="K113" s="303">
        <f t="shared" si="25"/>
        <v>0</v>
      </c>
      <c r="L113" s="303">
        <f t="shared" si="25"/>
        <v>0</v>
      </c>
      <c r="M113" s="303">
        <f t="shared" si="25"/>
        <v>0</v>
      </c>
      <c r="N113" s="303">
        <f t="shared" si="25"/>
        <v>0</v>
      </c>
      <c r="O113" s="303">
        <f t="shared" si="25"/>
        <v>0</v>
      </c>
      <c r="P113" s="341">
        <f t="shared" si="21"/>
        <v>0</v>
      </c>
      <c r="Q113" s="304" t="s">
        <v>359</v>
      </c>
      <c r="S113" s="1689">
        <f t="shared" si="22"/>
        <v>0</v>
      </c>
      <c r="T113" s="270" t="s">
        <v>1658</v>
      </c>
    </row>
    <row r="114" spans="2:20">
      <c r="B114" s="284" t="s">
        <v>391</v>
      </c>
      <c r="D114" s="362">
        <f>IF(EBF&gt;0,(Thetai-D$70)*D$69*D16*U_E5*0.0864/EBF,0)</f>
        <v>14.620912941176471</v>
      </c>
      <c r="E114" s="303">
        <f>IF(EBF&gt;0,(Thetai-E$70)*E$69*D16*U_E5*0.0864/EBF,0)</f>
        <v>13.03521882352941</v>
      </c>
      <c r="F114" s="303">
        <f>IF(EBF&gt;0,(Thetai-F$70)*F$69*D16*U_E5*0.0864/EBF,0)</f>
        <v>12.793298823529415</v>
      </c>
      <c r="G114" s="303">
        <f>IF(EBF&gt;0,(Thetai-G$70)*G$69*D16*U_E5*0.0864/EBF,0)</f>
        <v>10.916894117647059</v>
      </c>
      <c r="H114" s="303">
        <f>IF(EBF&gt;0,(Thetai-H$70)*H$69*D16*U_E5*0.0864/EBF,0)</f>
        <v>8.0667105882352956</v>
      </c>
      <c r="I114" s="303">
        <f>IF(EBF&gt;0,(Thetai-I$70)*I$69*D16*U_E5*0.0864/EBF,0)</f>
        <v>6.2208000000000006</v>
      </c>
      <c r="J114" s="303">
        <f>IF(EBF&gt;0,(Thetai-J$70)*J$69*D16*U_E5*0.0864/EBF,0)</f>
        <v>4.9156517647058831</v>
      </c>
      <c r="K114" s="303">
        <f>IF(EBF&gt;0,(Thetai-K$70)*K$69*D16*U_E5*0.0864/EBF,0)</f>
        <v>4.7896094117647063</v>
      </c>
      <c r="L114" s="303">
        <f>IF(EBF&gt;0,(Thetai-L$70)*L$69*D16*U_E5*0.0864/EBF,0)</f>
        <v>7.0136470588235298</v>
      </c>
      <c r="M114" s="303">
        <f>IF(EBF&gt;0,(Thetai-M$70)*M$69*D16*U_E5*0.0864/EBF,0)</f>
        <v>9.2641129411764709</v>
      </c>
      <c r="N114" s="303">
        <f>IF(EBF&gt;0,(Thetai-N$70)*N$69*D16*U_E5*0.0864/EBF,0)</f>
        <v>12.197647058823531</v>
      </c>
      <c r="O114" s="303">
        <f>IF(EBF&gt;0,(Thetai-O$70)*O$69*D16*U_E5*0.0864/EBF,0)</f>
        <v>13.864658823529414</v>
      </c>
      <c r="P114" s="341">
        <f t="shared" si="21"/>
        <v>117.69916235294119</v>
      </c>
      <c r="Q114" s="304" t="s">
        <v>359</v>
      </c>
      <c r="S114" s="1689">
        <f t="shared" si="22"/>
        <v>32.694211764705884</v>
      </c>
      <c r="T114" s="270" t="s">
        <v>1658</v>
      </c>
    </row>
    <row r="115" spans="2:20">
      <c r="B115" s="286" t="s">
        <v>408</v>
      </c>
      <c r="D115" s="303">
        <f>1*D$69*(Thetai-D$70)*BodenUnb*E64*$D$56*0.0864/EBF</f>
        <v>0</v>
      </c>
      <c r="E115" s="303">
        <f t="shared" ref="E115:O115" si="26">1*E$69*(Thetai-E$70)*BodenUnb*U_Boden*$D$56*0.0864/EBF</f>
        <v>0</v>
      </c>
      <c r="F115" s="303">
        <f t="shared" si="26"/>
        <v>0</v>
      </c>
      <c r="G115" s="303">
        <f t="shared" si="26"/>
        <v>0</v>
      </c>
      <c r="H115" s="303">
        <f t="shared" si="26"/>
        <v>0</v>
      </c>
      <c r="I115" s="303">
        <f t="shared" si="26"/>
        <v>0</v>
      </c>
      <c r="J115" s="303">
        <f t="shared" si="26"/>
        <v>0</v>
      </c>
      <c r="K115" s="303">
        <f t="shared" si="26"/>
        <v>0</v>
      </c>
      <c r="L115" s="303">
        <f t="shared" si="26"/>
        <v>0</v>
      </c>
      <c r="M115" s="303">
        <f t="shared" si="26"/>
        <v>0</v>
      </c>
      <c r="N115" s="303">
        <f t="shared" si="26"/>
        <v>0</v>
      </c>
      <c r="O115" s="303">
        <f t="shared" si="26"/>
        <v>0</v>
      </c>
      <c r="P115" s="341">
        <f>SUM(D115:O115)</f>
        <v>0</v>
      </c>
      <c r="Q115" s="304" t="s">
        <v>359</v>
      </c>
      <c r="S115" s="1689">
        <f t="shared" si="22"/>
        <v>0</v>
      </c>
      <c r="T115" s="270" t="s">
        <v>1658</v>
      </c>
    </row>
    <row r="116" spans="2:20">
      <c r="B116" s="295" t="s">
        <v>316</v>
      </c>
      <c r="D116" s="303">
        <f>SUM(D109:D115)*(1+WBZuschlag)</f>
        <v>30.09090231529412</v>
      </c>
      <c r="E116" s="303">
        <f t="shared" ref="E116:O116" si="27">SUM(E109:E115)*(1+WBZuschlag)</f>
        <v>25.612575585882354</v>
      </c>
      <c r="F116" s="303">
        <f t="shared" si="27"/>
        <v>25.137233025882363</v>
      </c>
      <c r="G116" s="303">
        <f t="shared" si="27"/>
        <v>21.450332329411768</v>
      </c>
      <c r="H116" s="303">
        <f t="shared" si="27"/>
        <v>15.850077967058828</v>
      </c>
      <c r="I116" s="303">
        <f t="shared" si="27"/>
        <v>12.223094400000003</v>
      </c>
      <c r="J116" s="303">
        <f t="shared" si="27"/>
        <v>9.6586412611764736</v>
      </c>
      <c r="K116" s="303">
        <f t="shared" si="27"/>
        <v>9.4109837929411775</v>
      </c>
      <c r="L116" s="303">
        <f t="shared" si="27"/>
        <v>13.780939764705884</v>
      </c>
      <c r="M116" s="303">
        <f t="shared" si="27"/>
        <v>18.202823915294118</v>
      </c>
      <c r="N116" s="303">
        <f t="shared" si="27"/>
        <v>23.96685176470589</v>
      </c>
      <c r="O116" s="303">
        <f t="shared" si="27"/>
        <v>27.242321505882359</v>
      </c>
      <c r="P116" s="296">
        <f>SUM(D116:O116)</f>
        <v>232.62677762823535</v>
      </c>
      <c r="Q116" s="304" t="s">
        <v>359</v>
      </c>
      <c r="S116" s="1689">
        <f t="shared" si="22"/>
        <v>64.61854934117649</v>
      </c>
      <c r="T116" s="270" t="s">
        <v>1658</v>
      </c>
    </row>
    <row r="117" spans="2:20">
      <c r="B117" s="288" t="s">
        <v>393</v>
      </c>
      <c r="C117" s="297"/>
      <c r="D117" s="298"/>
      <c r="E117" s="298"/>
      <c r="F117" s="298"/>
      <c r="G117" s="298"/>
      <c r="H117" s="298"/>
      <c r="I117" s="298"/>
      <c r="J117" s="298"/>
      <c r="K117" s="298"/>
      <c r="L117" s="298"/>
      <c r="M117" s="298"/>
      <c r="N117" s="298"/>
      <c r="O117" s="299"/>
      <c r="P117" s="300"/>
      <c r="Q117" s="301"/>
      <c r="S117" s="1689"/>
    </row>
    <row r="118" spans="2:20">
      <c r="B118" s="302" t="s">
        <v>320</v>
      </c>
      <c r="C118" s="297"/>
      <c r="D118" s="362">
        <f t="shared" ref="D118:O118" si="28">IF(D116=0,0,(Thetai-D$70)*Vth*D$69*(1150-0.14*HueM)*0.000024)</f>
        <v>5.8905438994285726</v>
      </c>
      <c r="E118" s="303">
        <f t="shared" si="28"/>
        <v>5.2516918080000003</v>
      </c>
      <c r="F118" s="303">
        <f t="shared" si="28"/>
        <v>5.1542259120000011</v>
      </c>
      <c r="G118" s="303">
        <f t="shared" si="28"/>
        <v>4.3982509371428575</v>
      </c>
      <c r="H118" s="303">
        <f t="shared" si="28"/>
        <v>3.2499552548571433</v>
      </c>
      <c r="I118" s="303">
        <f t="shared" si="28"/>
        <v>2.5062658971428573</v>
      </c>
      <c r="J118" s="303">
        <f t="shared" si="28"/>
        <v>1.980441483428572</v>
      </c>
      <c r="K118" s="303">
        <f t="shared" si="28"/>
        <v>1.9296609325714287</v>
      </c>
      <c r="L118" s="303">
        <f t="shared" si="28"/>
        <v>2.8256919428571439</v>
      </c>
      <c r="M118" s="303">
        <f t="shared" si="28"/>
        <v>3.7323704880000004</v>
      </c>
      <c r="N118" s="303">
        <f t="shared" si="28"/>
        <v>4.9142468571428575</v>
      </c>
      <c r="O118" s="303">
        <f t="shared" si="28"/>
        <v>5.5858605942857151</v>
      </c>
      <c r="P118" s="296">
        <f>SUM(D118:O118)</f>
        <v>47.419206006857145</v>
      </c>
      <c r="Q118" s="304" t="s">
        <v>359</v>
      </c>
      <c r="S118" s="1689">
        <f t="shared" si="22"/>
        <v>13.172001668571429</v>
      </c>
      <c r="T118" s="270" t="s">
        <v>1658</v>
      </c>
    </row>
    <row r="119" spans="2:20">
      <c r="B119" s="288" t="s">
        <v>394</v>
      </c>
      <c r="D119" s="316"/>
      <c r="E119" s="316"/>
      <c r="F119" s="316"/>
      <c r="G119" s="316"/>
      <c r="H119" s="316"/>
      <c r="I119" s="316"/>
      <c r="J119" s="316"/>
      <c r="K119" s="316"/>
      <c r="L119" s="316"/>
      <c r="M119" s="316"/>
      <c r="N119" s="316"/>
      <c r="O119" s="329"/>
      <c r="P119" s="341"/>
      <c r="Q119" s="304"/>
      <c r="S119" s="1689"/>
    </row>
    <row r="120" spans="2:20">
      <c r="B120" s="284" t="s">
        <v>395</v>
      </c>
      <c r="D120" s="303">
        <f t="shared" ref="D120:O120" si="29">D118+D116</f>
        <v>35.981446214722695</v>
      </c>
      <c r="E120" s="303">
        <f t="shared" si="29"/>
        <v>30.864267393882354</v>
      </c>
      <c r="F120" s="303">
        <f t="shared" si="29"/>
        <v>30.291458937882364</v>
      </c>
      <c r="G120" s="303">
        <f t="shared" si="29"/>
        <v>25.848583266554627</v>
      </c>
      <c r="H120" s="303">
        <f t="shared" si="29"/>
        <v>19.100033221915972</v>
      </c>
      <c r="I120" s="303">
        <f t="shared" si="29"/>
        <v>14.729360297142859</v>
      </c>
      <c r="J120" s="303">
        <f t="shared" si="29"/>
        <v>11.639082744605046</v>
      </c>
      <c r="K120" s="303">
        <f t="shared" si="29"/>
        <v>11.340644725512606</v>
      </c>
      <c r="L120" s="303">
        <f t="shared" si="29"/>
        <v>16.606631707563029</v>
      </c>
      <c r="M120" s="303">
        <f t="shared" si="29"/>
        <v>21.935194403294119</v>
      </c>
      <c r="N120" s="303">
        <f t="shared" si="29"/>
        <v>28.881098621848746</v>
      </c>
      <c r="O120" s="303">
        <f t="shared" si="29"/>
        <v>32.828182100168071</v>
      </c>
      <c r="P120" s="341">
        <f>SUM(D120:O120)</f>
        <v>280.04598363509245</v>
      </c>
      <c r="Q120" s="304" t="s">
        <v>359</v>
      </c>
      <c r="S120" s="1690">
        <f t="shared" si="22"/>
        <v>77.790551009747901</v>
      </c>
      <c r="T120" s="270" t="s">
        <v>1658</v>
      </c>
    </row>
    <row r="121" spans="2:20">
      <c r="B121" s="288" t="s">
        <v>396</v>
      </c>
      <c r="D121" s="316"/>
      <c r="E121" s="316" t="s">
        <v>193</v>
      </c>
      <c r="F121" s="316"/>
      <c r="G121" s="316"/>
      <c r="H121" s="316"/>
      <c r="I121" s="316"/>
      <c r="J121" s="316"/>
      <c r="K121" s="316"/>
      <c r="L121" s="316"/>
      <c r="M121" s="316"/>
      <c r="N121" s="316"/>
      <c r="O121" s="329"/>
      <c r="P121" s="341"/>
      <c r="Q121" s="304"/>
      <c r="S121" s="1689"/>
    </row>
    <row r="122" spans="2:20">
      <c r="B122" s="284" t="s">
        <v>397</v>
      </c>
      <c r="D122" s="362">
        <f>QE*fE*D$69/365</f>
        <v>7.3748872602739741</v>
      </c>
      <c r="E122" s="303">
        <f t="shared" ref="E122:M122" si="30">QE*fE*E$69/365</f>
        <v>6.6611884931506857</v>
      </c>
      <c r="F122" s="303">
        <f t="shared" si="30"/>
        <v>7.3748872602739741</v>
      </c>
      <c r="G122" s="303">
        <f t="shared" si="30"/>
        <v>7.1369876712328768</v>
      </c>
      <c r="H122" s="303">
        <f t="shared" si="30"/>
        <v>7.3748872602739741</v>
      </c>
      <c r="I122" s="303">
        <f t="shared" si="30"/>
        <v>7.1369876712328768</v>
      </c>
      <c r="J122" s="303">
        <f t="shared" si="30"/>
        <v>7.3748872602739741</v>
      </c>
      <c r="K122" s="303">
        <f t="shared" si="30"/>
        <v>7.3748872602739741</v>
      </c>
      <c r="L122" s="303">
        <f t="shared" si="30"/>
        <v>7.1369876712328768</v>
      </c>
      <c r="M122" s="303">
        <f t="shared" si="30"/>
        <v>7.3748872602739741</v>
      </c>
      <c r="N122" s="303">
        <f>QE*fE*N$69/365</f>
        <v>7.1369876712328768</v>
      </c>
      <c r="O122" s="303">
        <f>QE*fE*O$69/365</f>
        <v>7.3748872602739741</v>
      </c>
      <c r="P122" s="341">
        <f>SUM(D115:O115)</f>
        <v>0</v>
      </c>
      <c r="Q122" s="304" t="s">
        <v>359</v>
      </c>
      <c r="S122" s="1689">
        <f t="shared" si="22"/>
        <v>0</v>
      </c>
      <c r="T122" s="270" t="s">
        <v>1658</v>
      </c>
    </row>
    <row r="123" spans="2:20">
      <c r="B123" s="284" t="s">
        <v>399</v>
      </c>
      <c r="D123" s="303">
        <f>$D$40*D$69/365</f>
        <v>2.9998080000000007</v>
      </c>
      <c r="E123" s="303">
        <f t="shared" ref="E123:O123" si="31">$D$40*E$69/365</f>
        <v>2.7095040000000008</v>
      </c>
      <c r="F123" s="303">
        <f t="shared" si="31"/>
        <v>2.9998080000000007</v>
      </c>
      <c r="G123" s="303">
        <f t="shared" si="31"/>
        <v>2.9030400000000007</v>
      </c>
      <c r="H123" s="303">
        <f t="shared" si="31"/>
        <v>2.9998080000000007</v>
      </c>
      <c r="I123" s="303">
        <f t="shared" si="31"/>
        <v>2.9030400000000007</v>
      </c>
      <c r="J123" s="303">
        <f t="shared" si="31"/>
        <v>2.9998080000000007</v>
      </c>
      <c r="K123" s="303">
        <f t="shared" si="31"/>
        <v>2.9998080000000007</v>
      </c>
      <c r="L123" s="303">
        <f t="shared" si="31"/>
        <v>2.9030400000000007</v>
      </c>
      <c r="M123" s="303">
        <f t="shared" si="31"/>
        <v>2.9998080000000007</v>
      </c>
      <c r="N123" s="303">
        <f t="shared" si="31"/>
        <v>2.9030400000000007</v>
      </c>
      <c r="O123" s="303">
        <f t="shared" si="31"/>
        <v>2.9998080000000007</v>
      </c>
      <c r="P123" s="341">
        <f>SUM(D123:O123)</f>
        <v>35.320320000000009</v>
      </c>
      <c r="Q123" s="304" t="s">
        <v>359</v>
      </c>
      <c r="S123" s="1689">
        <f t="shared" si="22"/>
        <v>9.811200000000003</v>
      </c>
      <c r="T123" s="270" t="s">
        <v>1658</v>
      </c>
    </row>
    <row r="124" spans="2:20">
      <c r="B124" s="284" t="s">
        <v>400</v>
      </c>
      <c r="D124" s="303">
        <f>D123+D122</f>
        <v>10.374695260273974</v>
      </c>
      <c r="E124" s="303">
        <f t="shared" ref="E124:O124" si="32">E123+E122</f>
        <v>9.3706924931506865</v>
      </c>
      <c r="F124" s="303">
        <f t="shared" si="32"/>
        <v>10.374695260273974</v>
      </c>
      <c r="G124" s="303">
        <f t="shared" si="32"/>
        <v>10.040027671232878</v>
      </c>
      <c r="H124" s="303">
        <f t="shared" si="32"/>
        <v>10.374695260273974</v>
      </c>
      <c r="I124" s="303">
        <f t="shared" si="32"/>
        <v>10.040027671232878</v>
      </c>
      <c r="J124" s="303">
        <f t="shared" si="32"/>
        <v>10.374695260273974</v>
      </c>
      <c r="K124" s="303">
        <f t="shared" si="32"/>
        <v>10.374695260273974</v>
      </c>
      <c r="L124" s="303">
        <f t="shared" si="32"/>
        <v>10.040027671232878</v>
      </c>
      <c r="M124" s="303">
        <f t="shared" si="32"/>
        <v>10.374695260273974</v>
      </c>
      <c r="N124" s="303">
        <f t="shared" si="32"/>
        <v>10.040027671232878</v>
      </c>
      <c r="O124" s="303">
        <f t="shared" si="32"/>
        <v>10.374695260273974</v>
      </c>
      <c r="P124" s="341">
        <f>SUM(D124:O124)</f>
        <v>122.15367000000001</v>
      </c>
      <c r="Q124" s="304" t="s">
        <v>359</v>
      </c>
      <c r="S124" s="1689">
        <f t="shared" si="22"/>
        <v>33.931575000000002</v>
      </c>
      <c r="T124" s="270" t="s">
        <v>1658</v>
      </c>
    </row>
    <row r="125" spans="2:20">
      <c r="B125" s="288" t="s">
        <v>401</v>
      </c>
      <c r="D125" s="362">
        <f>IF(EBF&gt;0,($D$19*D$72*$F$19+$D$18*D$73*$F$18+$D$20*D$74*$F$20+$D$17*D$75*$F$17+$D$21*D$71*$F$21)*0.9*$D$29*FF/EBF,0)</f>
        <v>10.641176470588238</v>
      </c>
      <c r="E125" s="303">
        <f t="shared" ref="E125:O125" si="33">IF(EBF&gt;0,($D$19*E$72*$F$19+$D$18*E$73*$F$18+$D$20*E$74*$F$20+$D$17*E$75*$F$17+$D$21*E$71*$F$21)*0.9*$D$29*FF/EBF,0)</f>
        <v>13.420588235294119</v>
      </c>
      <c r="F125" s="303">
        <f t="shared" si="33"/>
        <v>20.408823529411766</v>
      </c>
      <c r="G125" s="303">
        <f t="shared" si="33"/>
        <v>14.373529411764707</v>
      </c>
      <c r="H125" s="303">
        <f t="shared" si="33"/>
        <v>15.723529411764707</v>
      </c>
      <c r="I125" s="303">
        <f t="shared" si="33"/>
        <v>14.85</v>
      </c>
      <c r="J125" s="303">
        <f t="shared" si="33"/>
        <v>15.723529411764707</v>
      </c>
      <c r="K125" s="303">
        <f t="shared" si="33"/>
        <v>14.85</v>
      </c>
      <c r="L125" s="303">
        <f t="shared" si="33"/>
        <v>12.388235294117647</v>
      </c>
      <c r="M125" s="303">
        <f t="shared" si="33"/>
        <v>15.088235294117647</v>
      </c>
      <c r="N125" s="303">
        <f t="shared" si="33"/>
        <v>9.6882352941176482</v>
      </c>
      <c r="O125" s="303">
        <f t="shared" si="33"/>
        <v>8.2588235294117656</v>
      </c>
      <c r="P125" s="341">
        <f>SUM(D125:O125)</f>
        <v>165.41470588235293</v>
      </c>
      <c r="Q125" s="304" t="s">
        <v>359</v>
      </c>
      <c r="S125" s="1689">
        <f t="shared" si="22"/>
        <v>45.948529411764703</v>
      </c>
      <c r="T125" s="270" t="s">
        <v>1658</v>
      </c>
    </row>
    <row r="126" spans="2:20">
      <c r="B126" s="284" t="s">
        <v>402</v>
      </c>
      <c r="D126" s="303">
        <f t="shared" ref="D126:O126" si="34">D125+D124</f>
        <v>21.015871730862212</v>
      </c>
      <c r="E126" s="303">
        <f t="shared" si="34"/>
        <v>22.791280728444804</v>
      </c>
      <c r="F126" s="303">
        <f t="shared" si="34"/>
        <v>30.78351878968574</v>
      </c>
      <c r="G126" s="303">
        <f t="shared" si="34"/>
        <v>24.413557082997585</v>
      </c>
      <c r="H126" s="303">
        <f t="shared" si="34"/>
        <v>26.098224672038683</v>
      </c>
      <c r="I126" s="303">
        <f t="shared" si="34"/>
        <v>24.890027671232879</v>
      </c>
      <c r="J126" s="303">
        <f t="shared" si="34"/>
        <v>26.098224672038683</v>
      </c>
      <c r="K126" s="303">
        <f t="shared" si="34"/>
        <v>25.224695260273975</v>
      </c>
      <c r="L126" s="303">
        <f t="shared" si="34"/>
        <v>22.428262965350527</v>
      </c>
      <c r="M126" s="303">
        <f t="shared" si="34"/>
        <v>25.462930554391619</v>
      </c>
      <c r="N126" s="303">
        <f t="shared" si="34"/>
        <v>19.728262965350524</v>
      </c>
      <c r="O126" s="303">
        <f t="shared" si="34"/>
        <v>18.633518789685738</v>
      </c>
      <c r="P126" s="341">
        <f>SUM(D126:O126)</f>
        <v>287.568375882353</v>
      </c>
      <c r="Q126" s="304" t="s">
        <v>359</v>
      </c>
      <c r="S126" s="1690">
        <f t="shared" si="22"/>
        <v>79.880104411764719</v>
      </c>
      <c r="T126" s="270" t="s">
        <v>1658</v>
      </c>
    </row>
    <row r="127" spans="2:20">
      <c r="B127" s="284" t="s">
        <v>411</v>
      </c>
      <c r="D127" s="303">
        <f t="shared" ref="D127:O127" si="35">IF(D120&gt;0,D126/D120,0)</f>
        <v>0.5840752371499468</v>
      </c>
      <c r="E127" s="303">
        <f t="shared" si="35"/>
        <v>0.73843582410649711</v>
      </c>
      <c r="F127" s="303">
        <f t="shared" si="35"/>
        <v>1.0162441780309237</v>
      </c>
      <c r="G127" s="303">
        <f t="shared" si="35"/>
        <v>0.9444833719218253</v>
      </c>
      <c r="H127" s="303">
        <f t="shared" si="35"/>
        <v>1.3663968208229484</v>
      </c>
      <c r="I127" s="303">
        <f t="shared" si="35"/>
        <v>1.6898240771570334</v>
      </c>
      <c r="J127" s="303">
        <f t="shared" si="35"/>
        <v>2.242292218786377</v>
      </c>
      <c r="K127" s="303">
        <f t="shared" si="35"/>
        <v>2.2242734756981641</v>
      </c>
      <c r="L127" s="303">
        <f t="shared" si="35"/>
        <v>1.3505606290489478</v>
      </c>
      <c r="M127" s="303">
        <f t="shared" si="35"/>
        <v>1.1608253880151489</v>
      </c>
      <c r="N127" s="303">
        <f t="shared" si="35"/>
        <v>0.68308561331617623</v>
      </c>
      <c r="O127" s="303">
        <f t="shared" si="35"/>
        <v>0.5676073908944943</v>
      </c>
      <c r="P127" s="341" t="s">
        <v>56</v>
      </c>
      <c r="Q127" s="304"/>
      <c r="S127" s="1689"/>
    </row>
    <row r="128" spans="2:20">
      <c r="B128" s="288" t="s">
        <v>412</v>
      </c>
      <c r="D128" s="303">
        <f>IF(D120&gt;0,CEBF*EBF*1000000/(($D$22*U_DAFbeheizt+$D$14*U_E3*bGW+E4beheizt*U_E4+BodenErdeF*U_Boden*bGF+$D$16*U_E5)*3600 + Vth*EBF*(1150-0.14*HueM)),0)</f>
        <v>232.96874866171441</v>
      </c>
      <c r="E128" s="303">
        <f t="shared" ref="E128:O128" si="36">IF(E120&gt;0,CEBF*EBF*1000000/(($D$22*U_DAFbeheizt+$D$14*U_E3*bGW+E4beheizt*U_E4+BodenErdeF*U_Boden*bGF+$D$16*U_E5)*3600 + Vth*EBF*(1150-0.14*HueM)),0)</f>
        <v>232.96874866171441</v>
      </c>
      <c r="F128" s="303">
        <f t="shared" si="36"/>
        <v>232.96874866171441</v>
      </c>
      <c r="G128" s="303">
        <f t="shared" si="36"/>
        <v>232.96874866171441</v>
      </c>
      <c r="H128" s="303">
        <f t="shared" si="36"/>
        <v>232.96874866171441</v>
      </c>
      <c r="I128" s="303">
        <f t="shared" si="36"/>
        <v>232.96874866171441</v>
      </c>
      <c r="J128" s="303">
        <f t="shared" si="36"/>
        <v>232.96874866171441</v>
      </c>
      <c r="K128" s="303">
        <f t="shared" si="36"/>
        <v>232.96874866171441</v>
      </c>
      <c r="L128" s="303">
        <f t="shared" si="36"/>
        <v>232.96874866171441</v>
      </c>
      <c r="M128" s="303">
        <f t="shared" si="36"/>
        <v>232.96874866171441</v>
      </c>
      <c r="N128" s="303">
        <f t="shared" si="36"/>
        <v>232.96874866171441</v>
      </c>
      <c r="O128" s="303">
        <f t="shared" si="36"/>
        <v>232.96874866171441</v>
      </c>
      <c r="P128" s="341"/>
      <c r="Q128" s="304"/>
      <c r="S128" s="1689"/>
    </row>
    <row r="129" spans="2:20">
      <c r="B129" s="284" t="s">
        <v>403</v>
      </c>
      <c r="D129" s="303">
        <f>a0+D128/tau0</f>
        <v>16.531249910780961</v>
      </c>
      <c r="E129" s="303">
        <f>a0+E128/tau0</f>
        <v>16.531249910780961</v>
      </c>
      <c r="F129" s="303">
        <f>a0+F128/tau0</f>
        <v>16.531249910780961</v>
      </c>
      <c r="G129" s="303">
        <f>a0+G128/tau0</f>
        <v>16.531249910780961</v>
      </c>
      <c r="H129" s="303">
        <f t="shared" ref="H129:O129" si="37">a0+H128/tau0</f>
        <v>16.531249910780961</v>
      </c>
      <c r="I129" s="303">
        <f t="shared" si="37"/>
        <v>16.531249910780961</v>
      </c>
      <c r="J129" s="303">
        <f t="shared" si="37"/>
        <v>16.531249910780961</v>
      </c>
      <c r="K129" s="303">
        <f t="shared" si="37"/>
        <v>16.531249910780961</v>
      </c>
      <c r="L129" s="303">
        <f t="shared" si="37"/>
        <v>16.531249910780961</v>
      </c>
      <c r="M129" s="303">
        <f t="shared" si="37"/>
        <v>16.531249910780961</v>
      </c>
      <c r="N129" s="303">
        <f t="shared" si="37"/>
        <v>16.531249910780961</v>
      </c>
      <c r="O129" s="303">
        <f t="shared" si="37"/>
        <v>16.531249910780961</v>
      </c>
      <c r="P129" s="341"/>
      <c r="Q129" s="304"/>
      <c r="S129" s="1689"/>
    </row>
    <row r="130" spans="2:20">
      <c r="B130" s="284" t="s">
        <v>413</v>
      </c>
      <c r="D130" s="317">
        <f t="shared" ref="D130:O130" si="38">IF(D127=1,D129/(D129+1),IF(D120&lt;=0,0,(1-D127^D129)/(1-D127^(D129+1))))</f>
        <v>0.99994265612722999</v>
      </c>
      <c r="E130" s="317">
        <f t="shared" si="38"/>
        <v>0.99825110976656439</v>
      </c>
      <c r="F130" s="317">
        <f t="shared" si="38"/>
        <v>0.93504805833441107</v>
      </c>
      <c r="G130" s="317">
        <f t="shared" si="38"/>
        <v>0.9658636621455533</v>
      </c>
      <c r="H130" s="317">
        <f t="shared" si="38"/>
        <v>0.73072105873800819</v>
      </c>
      <c r="I130" s="317">
        <f t="shared" si="38"/>
        <v>0.59173621687293521</v>
      </c>
      <c r="J130" s="317">
        <f t="shared" si="38"/>
        <v>0.44597180877416481</v>
      </c>
      <c r="K130" s="317">
        <f t="shared" si="38"/>
        <v>0.44958455337245778</v>
      </c>
      <c r="L130" s="317">
        <f t="shared" si="38"/>
        <v>0.73908919812428309</v>
      </c>
      <c r="M130" s="317">
        <f t="shared" si="38"/>
        <v>0.85051239642689325</v>
      </c>
      <c r="N130" s="317">
        <f t="shared" si="38"/>
        <v>0.9994176905245471</v>
      </c>
      <c r="O130" s="317">
        <f t="shared" si="38"/>
        <v>0.9999628459503983</v>
      </c>
      <c r="P130" s="344">
        <f>IF(P126&gt;0,P131/P126,0)</f>
        <v>0.79804154318301501</v>
      </c>
      <c r="Q130" s="304"/>
      <c r="S130" s="1689">
        <f t="shared" si="22"/>
        <v>0.22167820643972638</v>
      </c>
      <c r="T130" s="270" t="s">
        <v>1658</v>
      </c>
    </row>
    <row r="131" spans="2:20">
      <c r="B131" s="302" t="s">
        <v>323</v>
      </c>
      <c r="D131" s="303">
        <f>D126*D130</f>
        <v>21.014666599387528</v>
      </c>
      <c r="E131" s="303">
        <f t="shared" ref="E131:O131" si="39">E126*E130</f>
        <v>22.751421280171336</v>
      </c>
      <c r="F131" s="303">
        <f t="shared" si="39"/>
        <v>28.78406947299651</v>
      </c>
      <c r="G131" s="303">
        <f t="shared" si="39"/>
        <v>23.580167650183558</v>
      </c>
      <c r="H131" s="303">
        <f t="shared" si="39"/>
        <v>19.070522363534511</v>
      </c>
      <c r="I131" s="303">
        <f t="shared" si="39"/>
        <v>14.728330812038017</v>
      </c>
      <c r="J131" s="303">
        <f t="shared" si="39"/>
        <v>11.639072462783625</v>
      </c>
      <c r="K131" s="303">
        <f t="shared" si="39"/>
        <v>11.340633352546629</v>
      </c>
      <c r="L131" s="303">
        <f t="shared" si="39"/>
        <v>16.576486890381478</v>
      </c>
      <c r="M131" s="303">
        <f t="shared" si="39"/>
        <v>21.656538085867176</v>
      </c>
      <c r="N131" s="303">
        <f t="shared" si="39"/>
        <v>19.716775010891574</v>
      </c>
      <c r="O131" s="303">
        <f t="shared" si="39"/>
        <v>18.632826479004372</v>
      </c>
      <c r="P131" s="296">
        <f>SUM(D131:O131)</f>
        <v>229.4915104597863</v>
      </c>
      <c r="Q131" s="304" t="s">
        <v>359</v>
      </c>
      <c r="S131" s="1689">
        <f t="shared" si="22"/>
        <v>63.747641794385082</v>
      </c>
      <c r="T131" s="270" t="s">
        <v>1658</v>
      </c>
    </row>
    <row r="132" spans="2:20" ht="12.9" thickBot="1">
      <c r="B132" s="291" t="s">
        <v>404</v>
      </c>
      <c r="C132" s="335"/>
      <c r="D132" s="345"/>
      <c r="E132" s="345"/>
      <c r="F132" s="345"/>
      <c r="G132" s="345"/>
      <c r="H132" s="345"/>
      <c r="I132" s="345"/>
      <c r="J132" s="345"/>
      <c r="K132" s="345"/>
      <c r="L132" s="345"/>
      <c r="M132" s="345"/>
      <c r="N132" s="345"/>
      <c r="O132" s="346"/>
      <c r="P132" s="347"/>
      <c r="Q132" s="339"/>
      <c r="S132" s="1689"/>
    </row>
    <row r="133" spans="2:20" ht="12.9" thickBot="1">
      <c r="B133" s="305" t="s">
        <v>409</v>
      </c>
      <c r="C133" s="348"/>
      <c r="D133" s="349">
        <f>D120-D131</f>
        <v>14.966779615335167</v>
      </c>
      <c r="E133" s="349">
        <f t="shared" ref="E133:O133" si="40">E120-E131</f>
        <v>8.1128461137110186</v>
      </c>
      <c r="F133" s="349">
        <f t="shared" si="40"/>
        <v>1.5073894648858541</v>
      </c>
      <c r="G133" s="349">
        <f t="shared" si="40"/>
        <v>2.2684156163710689</v>
      </c>
      <c r="H133" s="349">
        <f t="shared" si="40"/>
        <v>2.9510858381460281E-2</v>
      </c>
      <c r="I133" s="349">
        <f t="shared" si="40"/>
        <v>1.0294851048424647E-3</v>
      </c>
      <c r="J133" s="349">
        <f t="shared" si="40"/>
        <v>1.0281821420932147E-5</v>
      </c>
      <c r="K133" s="349">
        <f t="shared" si="40"/>
        <v>1.1372965976974569E-5</v>
      </c>
      <c r="L133" s="349">
        <f t="shared" si="40"/>
        <v>3.014481718155082E-2</v>
      </c>
      <c r="M133" s="349">
        <f t="shared" si="40"/>
        <v>0.27865631742694319</v>
      </c>
      <c r="N133" s="349">
        <f t="shared" si="40"/>
        <v>9.1643236109571724</v>
      </c>
      <c r="O133" s="349">
        <f t="shared" si="40"/>
        <v>14.195355621163699</v>
      </c>
      <c r="P133" s="373">
        <f>SUM(D133:O133)</f>
        <v>50.554473175306171</v>
      </c>
      <c r="Q133" s="351" t="s">
        <v>359</v>
      </c>
      <c r="S133" s="1689">
        <f t="shared" si="22"/>
        <v>14.042909215362824</v>
      </c>
      <c r="T133" s="270" t="s">
        <v>1658</v>
      </c>
    </row>
    <row r="134" spans="2:20">
      <c r="P134" s="1291">
        <f>P133/3.6</f>
        <v>14.042909215362824</v>
      </c>
      <c r="Q134" s="270" t="s">
        <v>1658</v>
      </c>
    </row>
    <row r="135" spans="2:20">
      <c r="P135" s="1291"/>
    </row>
    <row r="136" spans="2:20">
      <c r="P136" s="1291"/>
    </row>
    <row r="137" spans="2:20">
      <c r="B137" s="1103"/>
      <c r="C137" s="1103"/>
      <c r="D137" s="1124"/>
      <c r="E137" s="1124"/>
      <c r="F137" s="1124"/>
      <c r="G137" s="1124"/>
      <c r="H137" s="1124"/>
      <c r="I137" s="1124"/>
      <c r="J137" s="1124"/>
      <c r="K137" s="1124"/>
      <c r="L137" s="1124"/>
      <c r="M137" s="1124"/>
      <c r="N137" s="1124"/>
      <c r="O137" s="1124"/>
      <c r="P137" s="1125"/>
    </row>
    <row r="138" spans="2:20" ht="12.9" thickBot="1"/>
    <row r="139" spans="2:20" ht="12.9" thickBot="1">
      <c r="B139" s="280" t="s">
        <v>405</v>
      </c>
      <c r="C139" s="372" t="s">
        <v>50</v>
      </c>
      <c r="D139" s="281" t="s">
        <v>359</v>
      </c>
      <c r="E139" s="325"/>
      <c r="F139" s="325"/>
      <c r="G139" s="325"/>
      <c r="H139" s="325"/>
      <c r="I139" s="325"/>
      <c r="J139" s="325"/>
      <c r="K139" s="325"/>
      <c r="L139" s="325"/>
      <c r="M139" s="325"/>
      <c r="N139" s="325"/>
      <c r="O139" s="325"/>
      <c r="P139" s="325"/>
      <c r="Q139" s="328"/>
    </row>
    <row r="140" spans="2:20">
      <c r="B140" s="294" t="s">
        <v>371</v>
      </c>
      <c r="C140" s="340"/>
      <c r="D140" s="340"/>
      <c r="E140" s="340"/>
      <c r="F140" s="340"/>
      <c r="G140" s="340"/>
      <c r="H140" s="340"/>
      <c r="I140" s="340"/>
      <c r="J140" s="340"/>
      <c r="K140" s="340"/>
      <c r="L140" s="340"/>
      <c r="M140" s="340"/>
      <c r="N140" s="340"/>
      <c r="O140" s="331"/>
      <c r="P140" s="330"/>
      <c r="Q140" s="331"/>
    </row>
    <row r="141" spans="2:20">
      <c r="B141" s="284" t="s">
        <v>373</v>
      </c>
      <c r="D141" s="303">
        <f t="shared" ref="D141:O141" si="41">IF(EBF&gt;0,(Thetai-D$70)*D$69*$D$22*U_DAFbeheizt*0.0864/EBF,0)</f>
        <v>0</v>
      </c>
      <c r="E141" s="303">
        <f t="shared" si="41"/>
        <v>0</v>
      </c>
      <c r="F141" s="303">
        <f t="shared" si="41"/>
        <v>0</v>
      </c>
      <c r="G141" s="303">
        <f t="shared" si="41"/>
        <v>0</v>
      </c>
      <c r="H141" s="303">
        <f t="shared" si="41"/>
        <v>0</v>
      </c>
      <c r="I141" s="303">
        <f t="shared" si="41"/>
        <v>0</v>
      </c>
      <c r="J141" s="303">
        <f t="shared" si="41"/>
        <v>0</v>
      </c>
      <c r="K141" s="303">
        <f t="shared" si="41"/>
        <v>0</v>
      </c>
      <c r="L141" s="303">
        <f t="shared" si="41"/>
        <v>0</v>
      </c>
      <c r="M141" s="303">
        <f t="shared" si="41"/>
        <v>0</v>
      </c>
      <c r="N141" s="303">
        <f t="shared" si="41"/>
        <v>0</v>
      </c>
      <c r="O141" s="303">
        <f t="shared" si="41"/>
        <v>0</v>
      </c>
      <c r="P141" s="341">
        <f t="shared" ref="P141:P146" si="42">SUM(D141:O141)</f>
        <v>0</v>
      </c>
      <c r="Q141" s="304" t="s">
        <v>359</v>
      </c>
    </row>
    <row r="142" spans="2:20">
      <c r="B142" s="284" t="s">
        <v>375</v>
      </c>
      <c r="D142" s="303">
        <v>0</v>
      </c>
      <c r="E142" s="303">
        <v>0</v>
      </c>
      <c r="F142" s="303">
        <v>0</v>
      </c>
      <c r="G142" s="303">
        <v>0</v>
      </c>
      <c r="H142" s="303">
        <v>0</v>
      </c>
      <c r="I142" s="303">
        <v>0</v>
      </c>
      <c r="J142" s="303">
        <v>0</v>
      </c>
      <c r="K142" s="303">
        <v>0</v>
      </c>
      <c r="L142" s="303">
        <v>0</v>
      </c>
      <c r="M142" s="303">
        <v>0</v>
      </c>
      <c r="N142" s="303">
        <v>0</v>
      </c>
      <c r="O142" s="303">
        <v>0</v>
      </c>
      <c r="P142" s="341">
        <f t="shared" si="42"/>
        <v>0</v>
      </c>
      <c r="Q142" s="304" t="s">
        <v>359</v>
      </c>
    </row>
    <row r="143" spans="2:20">
      <c r="B143" s="284" t="s">
        <v>377</v>
      </c>
      <c r="D143" s="362">
        <f t="shared" ref="D143:O143" si="43">IF(EBF&gt;0,(deltaThetahmax+Thetai-D$70)*D$69*E4beheizt*$F$15*0.0864/EBF,0)</f>
        <v>7.4908545882352939</v>
      </c>
      <c r="E143" s="303">
        <f t="shared" si="43"/>
        <v>6.6869534117647067</v>
      </c>
      <c r="F143" s="303">
        <f t="shared" si="43"/>
        <v>6.6455830588235312</v>
      </c>
      <c r="G143" s="303">
        <f t="shared" si="43"/>
        <v>5.7542400000000002</v>
      </c>
      <c r="H143" s="303">
        <f t="shared" si="43"/>
        <v>4.4595359999999999</v>
      </c>
      <c r="I143" s="303">
        <f t="shared" si="43"/>
        <v>3.5822964705882354</v>
      </c>
      <c r="J143" s="303">
        <f t="shared" si="43"/>
        <v>3.0021712941176473</v>
      </c>
      <c r="K143" s="303">
        <f t="shared" si="43"/>
        <v>2.9438767058823534</v>
      </c>
      <c r="L143" s="303">
        <f t="shared" si="43"/>
        <v>3.9489882352941188</v>
      </c>
      <c r="M143" s="303">
        <f t="shared" si="43"/>
        <v>5.0133345882352938</v>
      </c>
      <c r="N143" s="303">
        <f t="shared" si="43"/>
        <v>6.346588235294119</v>
      </c>
      <c r="O143" s="303">
        <f t="shared" si="43"/>
        <v>7.1410870588235316</v>
      </c>
      <c r="P143" s="341">
        <f t="shared" si="42"/>
        <v>63.015509647058828</v>
      </c>
      <c r="Q143" s="304" t="s">
        <v>359</v>
      </c>
    </row>
    <row r="144" spans="2:20">
      <c r="B144" s="284" t="s">
        <v>406</v>
      </c>
      <c r="D144" s="303">
        <f t="shared" ref="D144:M144" si="44">IF(EBF&gt;0,(Thetai+deltaThetahmax-D$70)*D$69*BodenErdeF*U_Boden*bGF*0.0864/EBF,0)</f>
        <v>0</v>
      </c>
      <c r="E144" s="303">
        <f t="shared" si="44"/>
        <v>0</v>
      </c>
      <c r="F144" s="303">
        <f t="shared" si="44"/>
        <v>0</v>
      </c>
      <c r="G144" s="303">
        <f t="shared" si="44"/>
        <v>0</v>
      </c>
      <c r="H144" s="303">
        <f t="shared" si="44"/>
        <v>0</v>
      </c>
      <c r="I144" s="303">
        <f t="shared" si="44"/>
        <v>0</v>
      </c>
      <c r="J144" s="303">
        <f t="shared" si="44"/>
        <v>0</v>
      </c>
      <c r="K144" s="303">
        <f t="shared" si="44"/>
        <v>0</v>
      </c>
      <c r="L144" s="303">
        <f t="shared" si="44"/>
        <v>0</v>
      </c>
      <c r="M144" s="303">
        <f t="shared" si="44"/>
        <v>0</v>
      </c>
      <c r="N144" s="303">
        <f>IF(EBF&gt;0,(Thetai+deltaThetahmax-N$70)*N$69*BodenErdeF*U_Boden*bGF*0.0864/EBF,0)</f>
        <v>0</v>
      </c>
      <c r="O144" s="303">
        <f>IF(EBF&gt;0,(Thetai+deltaThetahmax-O$70)*O$69*BodenErdeF*U_Boden*bGF*0.0864/EBF,0)</f>
        <v>0</v>
      </c>
      <c r="P144" s="341">
        <f t="shared" si="42"/>
        <v>0</v>
      </c>
      <c r="Q144" s="304" t="s">
        <v>359</v>
      </c>
    </row>
    <row r="145" spans="2:17">
      <c r="B145" s="285" t="s">
        <v>407</v>
      </c>
      <c r="D145" s="303">
        <f t="shared" ref="D145:O145" si="45">(IF(EBF&gt;0,(Thetai+deltaThetahmax-D$70)*D$69*BodenErdeF*U_gedaemmteDecken*0.0864/EBF,0))*0</f>
        <v>0</v>
      </c>
      <c r="E145" s="303">
        <f t="shared" si="45"/>
        <v>0</v>
      </c>
      <c r="F145" s="303">
        <f t="shared" si="45"/>
        <v>0</v>
      </c>
      <c r="G145" s="303">
        <f t="shared" si="45"/>
        <v>0</v>
      </c>
      <c r="H145" s="303">
        <f t="shared" si="45"/>
        <v>0</v>
      </c>
      <c r="I145" s="303">
        <f t="shared" si="45"/>
        <v>0</v>
      </c>
      <c r="J145" s="303">
        <f t="shared" si="45"/>
        <v>0</v>
      </c>
      <c r="K145" s="303">
        <f t="shared" si="45"/>
        <v>0</v>
      </c>
      <c r="L145" s="303">
        <f t="shared" si="45"/>
        <v>0</v>
      </c>
      <c r="M145" s="303">
        <f t="shared" si="45"/>
        <v>0</v>
      </c>
      <c r="N145" s="303">
        <f t="shared" si="45"/>
        <v>0</v>
      </c>
      <c r="O145" s="303">
        <f t="shared" si="45"/>
        <v>0</v>
      </c>
      <c r="P145" s="341">
        <f t="shared" si="42"/>
        <v>0</v>
      </c>
      <c r="Q145" s="304" t="s">
        <v>359</v>
      </c>
    </row>
    <row r="146" spans="2:17">
      <c r="B146" s="284" t="s">
        <v>391</v>
      </c>
      <c r="D146" s="362">
        <f t="shared" ref="D146:O146" si="46">IF(EBF&gt;0,(Thetai-D$70)*D$69*$D$16*$F$16*0.0864/EBF,0)</f>
        <v>11.696730352941177</v>
      </c>
      <c r="E146" s="303">
        <f t="shared" si="46"/>
        <v>10.428175058823529</v>
      </c>
      <c r="F146" s="303">
        <f t="shared" si="46"/>
        <v>10.234639058823531</v>
      </c>
      <c r="G146" s="303">
        <f t="shared" si="46"/>
        <v>8.7335152941176482</v>
      </c>
      <c r="H146" s="303">
        <f t="shared" si="46"/>
        <v>6.4533684705882361</v>
      </c>
      <c r="I146" s="303">
        <f t="shared" si="46"/>
        <v>4.9766400000000006</v>
      </c>
      <c r="J146" s="303">
        <f t="shared" si="46"/>
        <v>3.9325214117647072</v>
      </c>
      <c r="K146" s="303">
        <f t="shared" si="46"/>
        <v>3.8316875294117652</v>
      </c>
      <c r="L146" s="303">
        <f t="shared" si="46"/>
        <v>5.6109176470588249</v>
      </c>
      <c r="M146" s="303">
        <f t="shared" si="46"/>
        <v>7.4112903529411778</v>
      </c>
      <c r="N146" s="303">
        <f t="shared" si="46"/>
        <v>9.7581176470588247</v>
      </c>
      <c r="O146" s="303">
        <f t="shared" si="46"/>
        <v>11.091727058823531</v>
      </c>
      <c r="P146" s="341">
        <f t="shared" si="42"/>
        <v>94.159329882352964</v>
      </c>
      <c r="Q146" s="304" t="s">
        <v>359</v>
      </c>
    </row>
    <row r="147" spans="2:17">
      <c r="B147" s="286" t="s">
        <v>408</v>
      </c>
      <c r="D147" s="303">
        <f>1*D$69*(Thetai-D$70)*BodenUnb*E95*$D$56*0.0864/EBF</f>
        <v>0</v>
      </c>
      <c r="E147" s="303">
        <f t="shared" ref="E147:O147" si="47">1*E$69*(Thetai-E$70)*BodenUnb*U_Boden*$D$56*0.0864/EBF</f>
        <v>0</v>
      </c>
      <c r="F147" s="303">
        <f t="shared" si="47"/>
        <v>0</v>
      </c>
      <c r="G147" s="303">
        <f t="shared" si="47"/>
        <v>0</v>
      </c>
      <c r="H147" s="303">
        <f t="shared" si="47"/>
        <v>0</v>
      </c>
      <c r="I147" s="303">
        <f t="shared" si="47"/>
        <v>0</v>
      </c>
      <c r="J147" s="303">
        <f t="shared" si="47"/>
        <v>0</v>
      </c>
      <c r="K147" s="303">
        <f t="shared" si="47"/>
        <v>0</v>
      </c>
      <c r="L147" s="303">
        <f t="shared" si="47"/>
        <v>0</v>
      </c>
      <c r="M147" s="303">
        <f t="shared" si="47"/>
        <v>0</v>
      </c>
      <c r="N147" s="303">
        <f t="shared" si="47"/>
        <v>0</v>
      </c>
      <c r="O147" s="303">
        <f t="shared" si="47"/>
        <v>0</v>
      </c>
      <c r="P147" s="341">
        <f>SUM(D147:O147)</f>
        <v>0</v>
      </c>
      <c r="Q147" s="304" t="s">
        <v>359</v>
      </c>
    </row>
    <row r="148" spans="2:17">
      <c r="B148" s="295" t="s">
        <v>316</v>
      </c>
      <c r="D148" s="303">
        <f>SUM(D141:D147)*(1+WBZuschlag)</f>
        <v>21.106343435294121</v>
      </c>
      <c r="E148" s="303">
        <f t="shared" ref="E148:O148" si="48">SUM(E141:E147)*(1+WBZuschlag)</f>
        <v>18.826641317647059</v>
      </c>
      <c r="F148" s="303">
        <f t="shared" si="48"/>
        <v>18.568244329411769</v>
      </c>
      <c r="G148" s="303">
        <f t="shared" si="48"/>
        <v>15.936530823529413</v>
      </c>
      <c r="H148" s="303">
        <f t="shared" si="48"/>
        <v>12.004194917647061</v>
      </c>
      <c r="I148" s="303">
        <f t="shared" si="48"/>
        <v>9.4148301176470603</v>
      </c>
      <c r="J148" s="303">
        <f t="shared" si="48"/>
        <v>7.6281619764705901</v>
      </c>
      <c r="K148" s="303">
        <f t="shared" si="48"/>
        <v>7.453120658823531</v>
      </c>
      <c r="L148" s="303">
        <f t="shared" si="48"/>
        <v>10.515896470588238</v>
      </c>
      <c r="M148" s="303">
        <f t="shared" si="48"/>
        <v>13.667087435294119</v>
      </c>
      <c r="N148" s="303">
        <f t="shared" si="48"/>
        <v>17.71517647058824</v>
      </c>
      <c r="O148" s="303">
        <f t="shared" si="48"/>
        <v>20.05609552941177</v>
      </c>
      <c r="P148" s="296">
        <f>SUM(D148:O148)</f>
        <v>172.89232348235296</v>
      </c>
      <c r="Q148" s="304" t="s">
        <v>359</v>
      </c>
    </row>
    <row r="149" spans="2:17">
      <c r="B149" s="288" t="s">
        <v>393</v>
      </c>
      <c r="C149" s="297"/>
      <c r="D149" s="298"/>
      <c r="E149" s="298"/>
      <c r="F149" s="298"/>
      <c r="G149" s="298"/>
      <c r="H149" s="298"/>
      <c r="I149" s="298"/>
      <c r="J149" s="298"/>
      <c r="K149" s="298"/>
      <c r="L149" s="298"/>
      <c r="M149" s="298"/>
      <c r="N149" s="298"/>
      <c r="O149" s="299"/>
      <c r="P149" s="300"/>
      <c r="Q149" s="301"/>
    </row>
    <row r="150" spans="2:17">
      <c r="B150" s="302" t="s">
        <v>320</v>
      </c>
      <c r="C150" s="297"/>
      <c r="D150" s="362">
        <f t="shared" ref="D150:O150" si="49">IF(D148=0,0,(Thetai-D$70)*$F$26*D$69*(1150-0.14*HueM)*0.000024)</f>
        <v>4.9316765936281808</v>
      </c>
      <c r="E150" s="303">
        <f t="shared" si="49"/>
        <v>4.3968173412602729</v>
      </c>
      <c r="F150" s="303">
        <f t="shared" si="49"/>
        <v>4.315217019424658</v>
      </c>
      <c r="G150" s="303">
        <f t="shared" si="49"/>
        <v>3.6823002374559688</v>
      </c>
      <c r="H150" s="303">
        <f t="shared" si="49"/>
        <v>2.7209250171741681</v>
      </c>
      <c r="I150" s="303">
        <f t="shared" si="49"/>
        <v>2.0982939900587083</v>
      </c>
      <c r="J150" s="303">
        <f t="shared" si="49"/>
        <v>1.6580636823405093</v>
      </c>
      <c r="K150" s="303">
        <f t="shared" si="49"/>
        <v>1.6155492289471625</v>
      </c>
      <c r="L150" s="303">
        <f t="shared" si="49"/>
        <v>2.3657236162426614</v>
      </c>
      <c r="M150" s="303">
        <f t="shared" si="49"/>
        <v>3.1248123244109585</v>
      </c>
      <c r="N150" s="303">
        <f t="shared" si="49"/>
        <v>4.1143019412915853</v>
      </c>
      <c r="O150" s="303">
        <f t="shared" si="49"/>
        <v>4.676589873268103</v>
      </c>
      <c r="P150" s="296">
        <f>SUM(D150:O150)</f>
        <v>39.700270865502929</v>
      </c>
      <c r="Q150" s="304" t="s">
        <v>359</v>
      </c>
    </row>
    <row r="151" spans="2:17">
      <c r="B151" s="288" t="s">
        <v>394</v>
      </c>
      <c r="D151" s="316"/>
      <c r="E151" s="316"/>
      <c r="F151" s="316"/>
      <c r="G151" s="316"/>
      <c r="H151" s="316"/>
      <c r="I151" s="316"/>
      <c r="J151" s="316"/>
      <c r="K151" s="316"/>
      <c r="L151" s="316"/>
      <c r="M151" s="316"/>
      <c r="N151" s="316"/>
      <c r="O151" s="329"/>
      <c r="P151" s="341"/>
      <c r="Q151" s="304"/>
    </row>
    <row r="152" spans="2:17">
      <c r="B152" s="284" t="s">
        <v>395</v>
      </c>
      <c r="D152" s="303">
        <f t="shared" ref="D152:O152" si="50">D150+D148</f>
        <v>26.038020028922304</v>
      </c>
      <c r="E152" s="303">
        <f t="shared" si="50"/>
        <v>23.223458658907333</v>
      </c>
      <c r="F152" s="303">
        <f t="shared" si="50"/>
        <v>22.883461348836427</v>
      </c>
      <c r="G152" s="303">
        <f t="shared" si="50"/>
        <v>19.618831060985382</v>
      </c>
      <c r="H152" s="303">
        <f t="shared" si="50"/>
        <v>14.72511993482123</v>
      </c>
      <c r="I152" s="303">
        <f t="shared" si="50"/>
        <v>11.513124107705769</v>
      </c>
      <c r="J152" s="303">
        <f t="shared" si="50"/>
        <v>9.2862256588110998</v>
      </c>
      <c r="K152" s="303">
        <f t="shared" si="50"/>
        <v>9.0686698877706942</v>
      </c>
      <c r="L152" s="303">
        <f t="shared" si="50"/>
        <v>12.8816200868309</v>
      </c>
      <c r="M152" s="303">
        <f t="shared" si="50"/>
        <v>16.791899759705078</v>
      </c>
      <c r="N152" s="303">
        <f t="shared" si="50"/>
        <v>21.829478411879826</v>
      </c>
      <c r="O152" s="303">
        <f t="shared" si="50"/>
        <v>24.732685402679873</v>
      </c>
      <c r="P152" s="341">
        <f>SUM(D152:O152)</f>
        <v>212.59259434785591</v>
      </c>
      <c r="Q152" s="304" t="s">
        <v>359</v>
      </c>
    </row>
    <row r="153" spans="2:17">
      <c r="B153" s="288" t="s">
        <v>396</v>
      </c>
      <c r="D153" s="316"/>
      <c r="E153" s="316" t="s">
        <v>193</v>
      </c>
      <c r="F153" s="316"/>
      <c r="G153" s="316"/>
      <c r="H153" s="316"/>
      <c r="I153" s="316"/>
      <c r="J153" s="316"/>
      <c r="K153" s="316"/>
      <c r="L153" s="316"/>
      <c r="M153" s="316"/>
      <c r="N153" s="316"/>
      <c r="O153" s="329"/>
      <c r="P153" s="341"/>
      <c r="Q153" s="304"/>
    </row>
    <row r="154" spans="2:17">
      <c r="B154" s="284" t="s">
        <v>397</v>
      </c>
      <c r="D154" s="362">
        <f t="shared" ref="D154:O154" si="51">$F$41*fE*D$69/365</f>
        <v>180.02761643835618</v>
      </c>
      <c r="E154" s="303">
        <f t="shared" si="51"/>
        <v>162.60558904109587</v>
      </c>
      <c r="F154" s="303">
        <f t="shared" si="51"/>
        <v>180.02761643835618</v>
      </c>
      <c r="G154" s="303">
        <f t="shared" si="51"/>
        <v>174.22027397260271</v>
      </c>
      <c r="H154" s="303">
        <f t="shared" si="51"/>
        <v>180.02761643835618</v>
      </c>
      <c r="I154" s="303">
        <f t="shared" si="51"/>
        <v>174.22027397260271</v>
      </c>
      <c r="J154" s="303">
        <f t="shared" si="51"/>
        <v>180.02761643835618</v>
      </c>
      <c r="K154" s="303">
        <f t="shared" si="51"/>
        <v>180.02761643835618</v>
      </c>
      <c r="L154" s="303">
        <f t="shared" si="51"/>
        <v>174.22027397260271</v>
      </c>
      <c r="M154" s="303">
        <f t="shared" si="51"/>
        <v>180.02761643835618</v>
      </c>
      <c r="N154" s="303">
        <f t="shared" si="51"/>
        <v>174.22027397260271</v>
      </c>
      <c r="O154" s="303">
        <f t="shared" si="51"/>
        <v>180.02761643835618</v>
      </c>
      <c r="P154" s="341">
        <f>SUM(D154:O154)</f>
        <v>2119.6800000000003</v>
      </c>
      <c r="Q154" s="304" t="s">
        <v>359</v>
      </c>
    </row>
    <row r="155" spans="2:17">
      <c r="B155" s="284" t="s">
        <v>399</v>
      </c>
      <c r="D155" s="303">
        <f t="shared" ref="D155:O155" si="52">$D$40*D$69/365</f>
        <v>2.9998080000000007</v>
      </c>
      <c r="E155" s="303">
        <f t="shared" si="52"/>
        <v>2.7095040000000008</v>
      </c>
      <c r="F155" s="303">
        <f t="shared" si="52"/>
        <v>2.9998080000000007</v>
      </c>
      <c r="G155" s="303">
        <f t="shared" si="52"/>
        <v>2.9030400000000007</v>
      </c>
      <c r="H155" s="303">
        <f t="shared" si="52"/>
        <v>2.9998080000000007</v>
      </c>
      <c r="I155" s="303">
        <f t="shared" si="52"/>
        <v>2.9030400000000007</v>
      </c>
      <c r="J155" s="303">
        <f t="shared" si="52"/>
        <v>2.9998080000000007</v>
      </c>
      <c r="K155" s="303">
        <f t="shared" si="52"/>
        <v>2.9998080000000007</v>
      </c>
      <c r="L155" s="303">
        <f t="shared" si="52"/>
        <v>2.9030400000000007</v>
      </c>
      <c r="M155" s="303">
        <f t="shared" si="52"/>
        <v>2.9998080000000007</v>
      </c>
      <c r="N155" s="303">
        <f t="shared" si="52"/>
        <v>2.9030400000000007</v>
      </c>
      <c r="O155" s="303">
        <f t="shared" si="52"/>
        <v>2.9998080000000007</v>
      </c>
      <c r="P155" s="341">
        <f>SUM(D155:O155)</f>
        <v>35.320320000000009</v>
      </c>
      <c r="Q155" s="304" t="s">
        <v>359</v>
      </c>
    </row>
    <row r="156" spans="2:17">
      <c r="B156" s="284" t="s">
        <v>400</v>
      </c>
      <c r="D156" s="303">
        <f t="shared" ref="D156:O156" si="53">D155+D154</f>
        <v>183.02742443835618</v>
      </c>
      <c r="E156" s="303">
        <f t="shared" si="53"/>
        <v>165.31509304109588</v>
      </c>
      <c r="F156" s="303">
        <f t="shared" si="53"/>
        <v>183.02742443835618</v>
      </c>
      <c r="G156" s="303">
        <f t="shared" si="53"/>
        <v>177.12331397260272</v>
      </c>
      <c r="H156" s="303">
        <f t="shared" si="53"/>
        <v>183.02742443835618</v>
      </c>
      <c r="I156" s="303">
        <f t="shared" si="53"/>
        <v>177.12331397260272</v>
      </c>
      <c r="J156" s="303">
        <f t="shared" si="53"/>
        <v>183.02742443835618</v>
      </c>
      <c r="K156" s="303">
        <f t="shared" si="53"/>
        <v>183.02742443835618</v>
      </c>
      <c r="L156" s="303">
        <f t="shared" si="53"/>
        <v>177.12331397260272</v>
      </c>
      <c r="M156" s="303">
        <f t="shared" si="53"/>
        <v>183.02742443835618</v>
      </c>
      <c r="N156" s="303">
        <f t="shared" si="53"/>
        <v>177.12331397260272</v>
      </c>
      <c r="O156" s="303">
        <f t="shared" si="53"/>
        <v>183.02742443835618</v>
      </c>
      <c r="P156" s="341">
        <f>SUM(D156:O156)</f>
        <v>2155.0003199999996</v>
      </c>
      <c r="Q156" s="304" t="s">
        <v>359</v>
      </c>
    </row>
    <row r="157" spans="2:17">
      <c r="B157" s="288" t="s">
        <v>401</v>
      </c>
      <c r="D157" s="362">
        <f t="shared" ref="D157:O157" si="54">IF(EBF&gt;0,($D$19*D$72*$F$19+$D$18*D$73*$F$18+$D$20*D$74*$F$20+$D$17*D$75*$F$17+$D$21*D$71*$F$21)*0.9*$F29*FF/EBF,0)</f>
        <v>10.641176470588238</v>
      </c>
      <c r="E157" s="303">
        <f t="shared" si="54"/>
        <v>13.420588235294119</v>
      </c>
      <c r="F157" s="303">
        <f t="shared" si="54"/>
        <v>20.408823529411766</v>
      </c>
      <c r="G157" s="303">
        <f t="shared" si="54"/>
        <v>14.373529411764707</v>
      </c>
      <c r="H157" s="303">
        <f t="shared" si="54"/>
        <v>15.723529411764707</v>
      </c>
      <c r="I157" s="303">
        <f t="shared" si="54"/>
        <v>14.85</v>
      </c>
      <c r="J157" s="303">
        <f t="shared" si="54"/>
        <v>15.723529411764707</v>
      </c>
      <c r="K157" s="303">
        <f t="shared" si="54"/>
        <v>14.85</v>
      </c>
      <c r="L157" s="303">
        <f t="shared" si="54"/>
        <v>12.388235294117647</v>
      </c>
      <c r="M157" s="303">
        <f t="shared" si="54"/>
        <v>15.088235294117647</v>
      </c>
      <c r="N157" s="303">
        <f t="shared" si="54"/>
        <v>9.6882352941176482</v>
      </c>
      <c r="O157" s="303">
        <f t="shared" si="54"/>
        <v>8.2588235294117656</v>
      </c>
      <c r="P157" s="341">
        <f>SUM(D157:O157)</f>
        <v>165.41470588235293</v>
      </c>
      <c r="Q157" s="304" t="s">
        <v>359</v>
      </c>
    </row>
    <row r="158" spans="2:17">
      <c r="B158" s="284" t="s">
        <v>402</v>
      </c>
      <c r="D158" s="303">
        <f t="shared" ref="D158:O158" si="55">D157+D156</f>
        <v>193.66860090894443</v>
      </c>
      <c r="E158" s="303">
        <f t="shared" si="55"/>
        <v>178.73568127638998</v>
      </c>
      <c r="F158" s="303">
        <f t="shared" si="55"/>
        <v>203.43624796776794</v>
      </c>
      <c r="G158" s="303">
        <f t="shared" si="55"/>
        <v>191.49684338436742</v>
      </c>
      <c r="H158" s="303">
        <f t="shared" si="55"/>
        <v>198.75095385012088</v>
      </c>
      <c r="I158" s="303">
        <f t="shared" si="55"/>
        <v>191.97331397260271</v>
      </c>
      <c r="J158" s="303">
        <f t="shared" si="55"/>
        <v>198.75095385012088</v>
      </c>
      <c r="K158" s="303">
        <f t="shared" si="55"/>
        <v>197.87742443835617</v>
      </c>
      <c r="L158" s="303">
        <f t="shared" si="55"/>
        <v>189.51154926672035</v>
      </c>
      <c r="M158" s="303">
        <f t="shared" si="55"/>
        <v>198.11565973247383</v>
      </c>
      <c r="N158" s="303">
        <f t="shared" si="55"/>
        <v>186.81154926672036</v>
      </c>
      <c r="O158" s="303">
        <f t="shared" si="55"/>
        <v>191.28624796776793</v>
      </c>
      <c r="P158" s="341">
        <f>SUM(D158:O158)</f>
        <v>2320.4150258823529</v>
      </c>
      <c r="Q158" s="304" t="s">
        <v>359</v>
      </c>
    </row>
    <row r="159" spans="2:17">
      <c r="B159" s="284" t="s">
        <v>411</v>
      </c>
      <c r="D159" s="303">
        <f t="shared" ref="D159:O159" si="56">IF(D152&gt;0,D158/D152,0)</f>
        <v>7.4379158128699023</v>
      </c>
      <c r="E159" s="303">
        <f t="shared" si="56"/>
        <v>7.6963420436876273</v>
      </c>
      <c r="F159" s="303">
        <f t="shared" si="56"/>
        <v>8.8900994856755897</v>
      </c>
      <c r="G159" s="303">
        <f t="shared" si="56"/>
        <v>9.7608691766138911</v>
      </c>
      <c r="H159" s="303">
        <f t="shared" si="56"/>
        <v>13.497408152182485</v>
      </c>
      <c r="I159" s="303">
        <f t="shared" si="56"/>
        <v>16.674302489635664</v>
      </c>
      <c r="J159" s="303">
        <f t="shared" si="56"/>
        <v>21.402770205302833</v>
      </c>
      <c r="K159" s="303">
        <f t="shared" si="56"/>
        <v>21.819894966647571</v>
      </c>
      <c r="L159" s="303">
        <f t="shared" si="56"/>
        <v>14.711779107696341</v>
      </c>
      <c r="M159" s="303">
        <f t="shared" si="56"/>
        <v>11.798287422360923</v>
      </c>
      <c r="N159" s="303">
        <f t="shared" si="56"/>
        <v>8.5577651349221249</v>
      </c>
      <c r="O159" s="303">
        <f t="shared" si="56"/>
        <v>7.7341479444460726</v>
      </c>
      <c r="P159" s="341" t="s">
        <v>56</v>
      </c>
      <c r="Q159" s="304"/>
    </row>
    <row r="160" spans="2:17">
      <c r="B160" s="288" t="s">
        <v>412</v>
      </c>
      <c r="D160" s="303">
        <f t="shared" ref="D160:O160" si="57">IF(D152&gt;0,CEBF*EBF*1000000/(($D$22*U_DAFbeheizt+$D$14*U_E3*bGW+E4beheizt*U_E4+BodenErdeF*U_Boden*bGF+$D$16*U_E5)*3600 + Vth*EBF*(1150-0.14*HueM)),0)</f>
        <v>232.96874866171441</v>
      </c>
      <c r="E160" s="303">
        <f t="shared" si="57"/>
        <v>232.96874866171441</v>
      </c>
      <c r="F160" s="303">
        <f t="shared" si="57"/>
        <v>232.96874866171441</v>
      </c>
      <c r="G160" s="303">
        <f t="shared" si="57"/>
        <v>232.96874866171441</v>
      </c>
      <c r="H160" s="303">
        <f t="shared" si="57"/>
        <v>232.96874866171441</v>
      </c>
      <c r="I160" s="303">
        <f t="shared" si="57"/>
        <v>232.96874866171441</v>
      </c>
      <c r="J160" s="303">
        <f t="shared" si="57"/>
        <v>232.96874866171441</v>
      </c>
      <c r="K160" s="303">
        <f t="shared" si="57"/>
        <v>232.96874866171441</v>
      </c>
      <c r="L160" s="303">
        <f t="shared" si="57"/>
        <v>232.96874866171441</v>
      </c>
      <c r="M160" s="303">
        <f t="shared" si="57"/>
        <v>232.96874866171441</v>
      </c>
      <c r="N160" s="303">
        <f t="shared" si="57"/>
        <v>232.96874866171441</v>
      </c>
      <c r="O160" s="303">
        <f t="shared" si="57"/>
        <v>232.96874866171441</v>
      </c>
      <c r="P160" s="341"/>
      <c r="Q160" s="304"/>
    </row>
    <row r="161" spans="2:17">
      <c r="B161" s="284" t="s">
        <v>403</v>
      </c>
      <c r="D161" s="303">
        <f>a0+D160/tau0</f>
        <v>16.531249910780961</v>
      </c>
      <c r="E161" s="303">
        <f>a0+E160/tau0</f>
        <v>16.531249910780961</v>
      </c>
      <c r="F161" s="303">
        <f>a0+F160/tau0</f>
        <v>16.531249910780961</v>
      </c>
      <c r="G161" s="303">
        <f>a0+G160/tau0</f>
        <v>16.531249910780961</v>
      </c>
      <c r="H161" s="303">
        <f t="shared" ref="H161:O161" si="58">a0+H160/tau0</f>
        <v>16.531249910780961</v>
      </c>
      <c r="I161" s="303">
        <f t="shared" si="58"/>
        <v>16.531249910780961</v>
      </c>
      <c r="J161" s="303">
        <f t="shared" si="58"/>
        <v>16.531249910780961</v>
      </c>
      <c r="K161" s="303">
        <f t="shared" si="58"/>
        <v>16.531249910780961</v>
      </c>
      <c r="L161" s="303">
        <f t="shared" si="58"/>
        <v>16.531249910780961</v>
      </c>
      <c r="M161" s="303">
        <f t="shared" si="58"/>
        <v>16.531249910780961</v>
      </c>
      <c r="N161" s="303">
        <f t="shared" si="58"/>
        <v>16.531249910780961</v>
      </c>
      <c r="O161" s="303">
        <f t="shared" si="58"/>
        <v>16.531249910780961</v>
      </c>
      <c r="P161" s="341"/>
      <c r="Q161" s="304"/>
    </row>
    <row r="162" spans="2:17">
      <c r="B162" s="284" t="s">
        <v>413</v>
      </c>
      <c r="D162" s="317">
        <f t="shared" ref="D162:O162" si="59">IF(D159=1,D161/(D161+1),IF(D152&lt;=0,0,(1-D159^D161)/(1-D159^(D161+1))))</f>
        <v>0.13444626494288667</v>
      </c>
      <c r="E162" s="317">
        <f t="shared" si="59"/>
        <v>0.12993185520128703</v>
      </c>
      <c r="F162" s="317">
        <f t="shared" si="59"/>
        <v>0.11248468047081747</v>
      </c>
      <c r="G162" s="317">
        <f t="shared" si="59"/>
        <v>0.10244989272020008</v>
      </c>
      <c r="H162" s="317">
        <f t="shared" si="59"/>
        <v>7.4088298192146379E-2</v>
      </c>
      <c r="I162" s="317">
        <f t="shared" si="59"/>
        <v>5.997252362559545E-2</v>
      </c>
      <c r="J162" s="317">
        <f t="shared" si="59"/>
        <v>4.6722923734060957E-2</v>
      </c>
      <c r="K162" s="317">
        <f t="shared" si="59"/>
        <v>4.5829734814421978E-2</v>
      </c>
      <c r="L162" s="317">
        <f t="shared" si="59"/>
        <v>6.7972744334970164E-2</v>
      </c>
      <c r="M162" s="317">
        <f t="shared" si="59"/>
        <v>8.4758063963141561E-2</v>
      </c>
      <c r="N162" s="317">
        <f t="shared" si="59"/>
        <v>0.11685293814844819</v>
      </c>
      <c r="O162" s="317">
        <f t="shared" si="59"/>
        <v>0.12929672501521081</v>
      </c>
      <c r="P162" s="344">
        <f>IF(P158&gt;0,P163/P158,0)</f>
        <v>9.1618349293793214E-2</v>
      </c>
      <c r="Q162" s="304"/>
    </row>
    <row r="163" spans="2:17">
      <c r="B163" s="302" t="s">
        <v>323</v>
      </c>
      <c r="D163" s="303">
        <f t="shared" ref="D163:O163" si="60">D158*D162</f>
        <v>26.038020028922123</v>
      </c>
      <c r="E163" s="303">
        <f t="shared" si="60"/>
        <v>23.22345865890729</v>
      </c>
      <c r="F163" s="303">
        <f t="shared" si="60"/>
        <v>22.883461348836367</v>
      </c>
      <c r="G163" s="303">
        <f t="shared" si="60"/>
        <v>19.6188310609854</v>
      </c>
      <c r="H163" s="303">
        <f t="shared" si="60"/>
        <v>14.725119934821279</v>
      </c>
      <c r="I163" s="303">
        <f t="shared" si="60"/>
        <v>11.513124107705769</v>
      </c>
      <c r="J163" s="303">
        <f t="shared" si="60"/>
        <v>9.2862256588110661</v>
      </c>
      <c r="K163" s="303">
        <f t="shared" si="60"/>
        <v>9.0686698877706871</v>
      </c>
      <c r="L163" s="303">
        <f t="shared" si="60"/>
        <v>12.881620086830885</v>
      </c>
      <c r="M163" s="303">
        <f t="shared" si="60"/>
        <v>16.791899759705007</v>
      </c>
      <c r="N163" s="303">
        <f t="shared" si="60"/>
        <v>21.829478411879855</v>
      </c>
      <c r="O163" s="303">
        <f t="shared" si="60"/>
        <v>24.732685402679916</v>
      </c>
      <c r="P163" s="296">
        <f>SUM(D163:O163)</f>
        <v>212.59259434785562</v>
      </c>
      <c r="Q163" s="304" t="s">
        <v>359</v>
      </c>
    </row>
    <row r="164" spans="2:17" ht="12.9" thickBot="1">
      <c r="B164" s="291" t="s">
        <v>404</v>
      </c>
      <c r="C164" s="335"/>
      <c r="D164" s="345"/>
      <c r="E164" s="345"/>
      <c r="F164" s="345"/>
      <c r="G164" s="345"/>
      <c r="H164" s="345"/>
      <c r="I164" s="345"/>
      <c r="J164" s="345"/>
      <c r="K164" s="345"/>
      <c r="L164" s="345"/>
      <c r="M164" s="345"/>
      <c r="N164" s="345"/>
      <c r="O164" s="346"/>
      <c r="P164" s="347"/>
      <c r="Q164" s="339"/>
    </row>
    <row r="165" spans="2:17" ht="12.9" thickBot="1">
      <c r="B165" s="305" t="s">
        <v>409</v>
      </c>
      <c r="C165" s="348"/>
      <c r="D165" s="349">
        <f t="shared" ref="D165:O165" si="61">D152-D163</f>
        <v>1.8118839761882555E-13</v>
      </c>
      <c r="E165" s="349">
        <f t="shared" si="61"/>
        <v>4.2632564145606011E-14</v>
      </c>
      <c r="F165" s="349">
        <f t="shared" si="61"/>
        <v>6.0396132539608516E-14</v>
      </c>
      <c r="G165" s="349">
        <f t="shared" si="61"/>
        <v>0</v>
      </c>
      <c r="H165" s="349">
        <f t="shared" si="61"/>
        <v>-4.9737991503207013E-14</v>
      </c>
      <c r="I165" s="349">
        <f t="shared" si="61"/>
        <v>0</v>
      </c>
      <c r="J165" s="349">
        <f t="shared" si="61"/>
        <v>3.3750779948604759E-14</v>
      </c>
      <c r="K165" s="349">
        <f t="shared" si="61"/>
        <v>0</v>
      </c>
      <c r="L165" s="349">
        <f t="shared" si="61"/>
        <v>1.4210854715202004E-14</v>
      </c>
      <c r="M165" s="349">
        <f t="shared" si="61"/>
        <v>7.1054273576010019E-14</v>
      </c>
      <c r="N165" s="349">
        <f t="shared" si="61"/>
        <v>-2.8421709430404007E-14</v>
      </c>
      <c r="O165" s="349">
        <f t="shared" si="61"/>
        <v>-4.2632564145606011E-14</v>
      </c>
      <c r="P165" s="373">
        <f>SUM(D165:O165)</f>
        <v>2.8244073746463982E-13</v>
      </c>
      <c r="Q165" s="351" t="s">
        <v>359</v>
      </c>
    </row>
    <row r="166" spans="2:17">
      <c r="P166" s="1291">
        <f>P165/3.6</f>
        <v>7.8455760406844391E-14</v>
      </c>
      <c r="Q166" s="270" t="s">
        <v>1658</v>
      </c>
    </row>
    <row r="168" spans="2:17" ht="12.9" thickBot="1"/>
    <row r="169" spans="2:17" ht="12.9" thickBot="1">
      <c r="B169" s="280" t="s">
        <v>405</v>
      </c>
      <c r="C169" s="372" t="s">
        <v>260</v>
      </c>
      <c r="D169" s="281" t="s">
        <v>359</v>
      </c>
      <c r="E169" s="325"/>
      <c r="F169" s="325"/>
      <c r="G169" s="325"/>
      <c r="H169" s="325"/>
      <c r="I169" s="325"/>
      <c r="J169" s="325"/>
      <c r="K169" s="325"/>
      <c r="L169" s="325"/>
      <c r="M169" s="325"/>
      <c r="N169" s="325"/>
      <c r="O169" s="325"/>
      <c r="P169" s="325"/>
      <c r="Q169" s="328"/>
    </row>
    <row r="170" spans="2:17">
      <c r="B170" s="294" t="s">
        <v>371</v>
      </c>
      <c r="C170" s="340"/>
      <c r="D170" s="340"/>
      <c r="E170" s="340"/>
      <c r="F170" s="340"/>
      <c r="G170" s="340"/>
      <c r="H170" s="340"/>
      <c r="I170" s="340"/>
      <c r="J170" s="340"/>
      <c r="K170" s="340"/>
      <c r="L170" s="340"/>
      <c r="M170" s="340"/>
      <c r="N170" s="340"/>
      <c r="O170" s="331"/>
      <c r="P170" s="330"/>
      <c r="Q170" s="331"/>
    </row>
    <row r="171" spans="2:17">
      <c r="B171" s="284" t="s">
        <v>373</v>
      </c>
      <c r="D171" s="303">
        <f t="shared" ref="D171:O171" si="62">IF(EBF&gt;0,(Thetai-D$70)*D$69*$D$22*U_DAFbeheizt*0.0864/EBF,0)</f>
        <v>0</v>
      </c>
      <c r="E171" s="303">
        <f t="shared" si="62"/>
        <v>0</v>
      </c>
      <c r="F171" s="303">
        <f t="shared" si="62"/>
        <v>0</v>
      </c>
      <c r="G171" s="303">
        <f t="shared" si="62"/>
        <v>0</v>
      </c>
      <c r="H171" s="303">
        <f t="shared" si="62"/>
        <v>0</v>
      </c>
      <c r="I171" s="303">
        <f t="shared" si="62"/>
        <v>0</v>
      </c>
      <c r="J171" s="303">
        <f t="shared" si="62"/>
        <v>0</v>
      </c>
      <c r="K171" s="303">
        <f t="shared" si="62"/>
        <v>0</v>
      </c>
      <c r="L171" s="303">
        <f t="shared" si="62"/>
        <v>0</v>
      </c>
      <c r="M171" s="303">
        <f t="shared" si="62"/>
        <v>0</v>
      </c>
      <c r="N171" s="303">
        <f t="shared" si="62"/>
        <v>0</v>
      </c>
      <c r="O171" s="303">
        <f t="shared" si="62"/>
        <v>0</v>
      </c>
      <c r="P171" s="341">
        <f t="shared" ref="P171:P176" si="63">SUM(D171:O171)</f>
        <v>0</v>
      </c>
      <c r="Q171" s="304" t="s">
        <v>359</v>
      </c>
    </row>
    <row r="172" spans="2:17">
      <c r="B172" s="284" t="s">
        <v>375</v>
      </c>
      <c r="D172" s="303">
        <v>0</v>
      </c>
      <c r="E172" s="303">
        <v>0</v>
      </c>
      <c r="F172" s="303">
        <v>0</v>
      </c>
      <c r="G172" s="303">
        <v>0</v>
      </c>
      <c r="H172" s="303">
        <v>0</v>
      </c>
      <c r="I172" s="303">
        <v>0</v>
      </c>
      <c r="J172" s="303">
        <v>0</v>
      </c>
      <c r="K172" s="303">
        <v>0</v>
      </c>
      <c r="L172" s="303">
        <v>0</v>
      </c>
      <c r="M172" s="303">
        <v>0</v>
      </c>
      <c r="N172" s="303">
        <v>0</v>
      </c>
      <c r="O172" s="303">
        <v>0</v>
      </c>
      <c r="P172" s="341">
        <f t="shared" si="63"/>
        <v>0</v>
      </c>
      <c r="Q172" s="304" t="s">
        <v>359</v>
      </c>
    </row>
    <row r="173" spans="2:17">
      <c r="B173" s="284" t="s">
        <v>377</v>
      </c>
      <c r="D173" s="362">
        <f t="shared" ref="D173:O173" si="64">IF(EBF&gt;0,(deltaThetahmax+Thetai-D$70)*D$69*E4beheizt*$G$15*0.0864/EBF,0)</f>
        <v>59.926836705882351</v>
      </c>
      <c r="E173" s="303">
        <f t="shared" si="64"/>
        <v>53.495627294117654</v>
      </c>
      <c r="F173" s="303">
        <f t="shared" si="64"/>
        <v>53.164664470588249</v>
      </c>
      <c r="G173" s="303">
        <f t="shared" si="64"/>
        <v>46.033920000000002</v>
      </c>
      <c r="H173" s="303">
        <f t="shared" si="64"/>
        <v>35.676288</v>
      </c>
      <c r="I173" s="303">
        <f t="shared" si="64"/>
        <v>28.658371764705883</v>
      </c>
      <c r="J173" s="303">
        <f t="shared" si="64"/>
        <v>24.017370352941178</v>
      </c>
      <c r="K173" s="303">
        <f t="shared" si="64"/>
        <v>23.551013647058827</v>
      </c>
      <c r="L173" s="303">
        <f t="shared" si="64"/>
        <v>31.59190588235295</v>
      </c>
      <c r="M173" s="303">
        <f t="shared" si="64"/>
        <v>40.10667670588235</v>
      </c>
      <c r="N173" s="303">
        <f t="shared" si="64"/>
        <v>50.772705882352952</v>
      </c>
      <c r="O173" s="303">
        <f t="shared" si="64"/>
        <v>57.128696470588253</v>
      </c>
      <c r="P173" s="341">
        <f t="shared" si="63"/>
        <v>504.12407717647062</v>
      </c>
      <c r="Q173" s="304" t="s">
        <v>359</v>
      </c>
    </row>
    <row r="174" spans="2:17">
      <c r="B174" s="284" t="s">
        <v>406</v>
      </c>
      <c r="D174" s="303">
        <f t="shared" ref="D174:M174" si="65">IF(EBF&gt;0,(Thetai+deltaThetahmax-D$70)*D$69*BodenErdeF*U_Boden*bGF*0.0864/EBF,0)</f>
        <v>0</v>
      </c>
      <c r="E174" s="303">
        <f t="shared" si="65"/>
        <v>0</v>
      </c>
      <c r="F174" s="303">
        <f t="shared" si="65"/>
        <v>0</v>
      </c>
      <c r="G174" s="303">
        <f t="shared" si="65"/>
        <v>0</v>
      </c>
      <c r="H174" s="303">
        <f t="shared" si="65"/>
        <v>0</v>
      </c>
      <c r="I174" s="303">
        <f t="shared" si="65"/>
        <v>0</v>
      </c>
      <c r="J174" s="303">
        <f t="shared" si="65"/>
        <v>0</v>
      </c>
      <c r="K174" s="303">
        <f t="shared" si="65"/>
        <v>0</v>
      </c>
      <c r="L174" s="303">
        <f t="shared" si="65"/>
        <v>0</v>
      </c>
      <c r="M174" s="303">
        <f t="shared" si="65"/>
        <v>0</v>
      </c>
      <c r="N174" s="303">
        <f>IF(EBF&gt;0,(Thetai+deltaThetahmax-N$70)*N$69*BodenErdeF*U_Boden*bGF*0.0864/EBF,0)</f>
        <v>0</v>
      </c>
      <c r="O174" s="303">
        <f>IF(EBF&gt;0,(Thetai+deltaThetahmax-O$70)*O$69*BodenErdeF*U_Boden*bGF*0.0864/EBF,0)</f>
        <v>0</v>
      </c>
      <c r="P174" s="341">
        <f t="shared" si="63"/>
        <v>0</v>
      </c>
      <c r="Q174" s="304" t="s">
        <v>359</v>
      </c>
    </row>
    <row r="175" spans="2:17">
      <c r="B175" s="285" t="s">
        <v>407</v>
      </c>
      <c r="D175" s="303">
        <f t="shared" ref="D175:O175" si="66">(IF(EBF&gt;0,(Thetai+deltaThetahmax-D$70)*D$69*BodenErdeF*U_gedaemmteDecken*0.0864/EBF,0))*0</f>
        <v>0</v>
      </c>
      <c r="E175" s="303">
        <f t="shared" si="66"/>
        <v>0</v>
      </c>
      <c r="F175" s="303">
        <f t="shared" si="66"/>
        <v>0</v>
      </c>
      <c r="G175" s="303">
        <f t="shared" si="66"/>
        <v>0</v>
      </c>
      <c r="H175" s="303">
        <f t="shared" si="66"/>
        <v>0</v>
      </c>
      <c r="I175" s="303">
        <f t="shared" si="66"/>
        <v>0</v>
      </c>
      <c r="J175" s="303">
        <f t="shared" si="66"/>
        <v>0</v>
      </c>
      <c r="K175" s="303">
        <f t="shared" si="66"/>
        <v>0</v>
      </c>
      <c r="L175" s="303">
        <f t="shared" si="66"/>
        <v>0</v>
      </c>
      <c r="M175" s="303">
        <f t="shared" si="66"/>
        <v>0</v>
      </c>
      <c r="N175" s="303">
        <f t="shared" si="66"/>
        <v>0</v>
      </c>
      <c r="O175" s="303">
        <f t="shared" si="66"/>
        <v>0</v>
      </c>
      <c r="P175" s="341">
        <f t="shared" si="63"/>
        <v>0</v>
      </c>
      <c r="Q175" s="304" t="s">
        <v>359</v>
      </c>
    </row>
    <row r="176" spans="2:17">
      <c r="B176" s="284" t="s">
        <v>391</v>
      </c>
      <c r="D176" s="362">
        <f t="shared" ref="D176:O176" si="67">IF(EBF&gt;0,(Thetai-D$70)*D$69*$D$16*$G$16*0.0864/EBF,0)</f>
        <v>21.931369411764702</v>
      </c>
      <c r="E176" s="303">
        <f t="shared" si="67"/>
        <v>19.552828235294118</v>
      </c>
      <c r="F176" s="303">
        <f t="shared" si="67"/>
        <v>19.189948235294121</v>
      </c>
      <c r="G176" s="303">
        <f t="shared" si="67"/>
        <v>16.375341176470588</v>
      </c>
      <c r="H176" s="303">
        <f t="shared" si="67"/>
        <v>12.100065882352942</v>
      </c>
      <c r="I176" s="303">
        <f t="shared" si="67"/>
        <v>9.3312000000000008</v>
      </c>
      <c r="J176" s="303">
        <f t="shared" si="67"/>
        <v>7.3734776470588246</v>
      </c>
      <c r="K176" s="303">
        <f t="shared" si="67"/>
        <v>7.1844141176470586</v>
      </c>
      <c r="L176" s="303">
        <f t="shared" si="67"/>
        <v>10.520470588235295</v>
      </c>
      <c r="M176" s="303">
        <f t="shared" si="67"/>
        <v>13.896169411764708</v>
      </c>
      <c r="N176" s="303">
        <f t="shared" si="67"/>
        <v>18.296470588235294</v>
      </c>
      <c r="O176" s="303">
        <f t="shared" si="67"/>
        <v>20.796988235294116</v>
      </c>
      <c r="P176" s="341">
        <f t="shared" si="63"/>
        <v>176.54874352941175</v>
      </c>
      <c r="Q176" s="304" t="s">
        <v>359</v>
      </c>
    </row>
    <row r="177" spans="2:17">
      <c r="B177" s="286" t="s">
        <v>408</v>
      </c>
      <c r="D177" s="303">
        <f>1*D$69*(Thetai-D$70)*BodenUnb*E125*$D$56*0.0864/EBF</f>
        <v>0</v>
      </c>
      <c r="E177" s="303">
        <f t="shared" ref="E177:O177" si="68">1*E$69*(Thetai-E$70)*BodenUnb*U_Boden*$D$56*0.0864/EBF</f>
        <v>0</v>
      </c>
      <c r="F177" s="303">
        <f t="shared" si="68"/>
        <v>0</v>
      </c>
      <c r="G177" s="303">
        <f t="shared" si="68"/>
        <v>0</v>
      </c>
      <c r="H177" s="303">
        <f t="shared" si="68"/>
        <v>0</v>
      </c>
      <c r="I177" s="303">
        <f t="shared" si="68"/>
        <v>0</v>
      </c>
      <c r="J177" s="303">
        <f t="shared" si="68"/>
        <v>0</v>
      </c>
      <c r="K177" s="303">
        <f t="shared" si="68"/>
        <v>0</v>
      </c>
      <c r="L177" s="303">
        <f t="shared" si="68"/>
        <v>0</v>
      </c>
      <c r="M177" s="303">
        <f t="shared" si="68"/>
        <v>0</v>
      </c>
      <c r="N177" s="303">
        <f t="shared" si="68"/>
        <v>0</v>
      </c>
      <c r="O177" s="303">
        <f t="shared" si="68"/>
        <v>0</v>
      </c>
      <c r="P177" s="341">
        <f>SUM(D177:O177)</f>
        <v>0</v>
      </c>
      <c r="Q177" s="304" t="s">
        <v>359</v>
      </c>
    </row>
    <row r="178" spans="2:17">
      <c r="B178" s="295" t="s">
        <v>316</v>
      </c>
      <c r="D178" s="303">
        <f>SUM(D171:D177)*(1+WBZuschlag)</f>
        <v>90.044026729411769</v>
      </c>
      <c r="E178" s="303">
        <f t="shared" ref="E178:O178" si="69">SUM(E171:E177)*(1+WBZuschlag)</f>
        <v>80.353301082352957</v>
      </c>
      <c r="F178" s="303">
        <f t="shared" si="69"/>
        <v>79.59007397647062</v>
      </c>
      <c r="G178" s="303">
        <f t="shared" si="69"/>
        <v>68.650187294117657</v>
      </c>
      <c r="H178" s="303">
        <f t="shared" si="69"/>
        <v>52.553989270588239</v>
      </c>
      <c r="I178" s="303">
        <f t="shared" si="69"/>
        <v>41.78852894117648</v>
      </c>
      <c r="J178" s="303">
        <f t="shared" si="69"/>
        <v>34.529932800000005</v>
      </c>
      <c r="K178" s="303">
        <f t="shared" si="69"/>
        <v>33.808970541176478</v>
      </c>
      <c r="L178" s="303">
        <f t="shared" si="69"/>
        <v>46.323614117647075</v>
      </c>
      <c r="M178" s="303">
        <f t="shared" si="69"/>
        <v>59.403130729411771</v>
      </c>
      <c r="N178" s="303">
        <f t="shared" si="69"/>
        <v>75.976094117647079</v>
      </c>
      <c r="O178" s="303">
        <f t="shared" si="69"/>
        <v>85.718253176470597</v>
      </c>
      <c r="P178" s="296">
        <f>SUM(D178:O178)</f>
        <v>748.74010277647085</v>
      </c>
      <c r="Q178" s="304" t="s">
        <v>359</v>
      </c>
    </row>
    <row r="179" spans="2:17">
      <c r="B179" s="288" t="s">
        <v>393</v>
      </c>
      <c r="C179" s="297"/>
      <c r="D179" s="298"/>
      <c r="E179" s="298"/>
      <c r="F179" s="298"/>
      <c r="G179" s="298"/>
      <c r="H179" s="298"/>
      <c r="I179" s="298"/>
      <c r="J179" s="298"/>
      <c r="K179" s="298"/>
      <c r="L179" s="298"/>
      <c r="M179" s="298"/>
      <c r="N179" s="298"/>
      <c r="O179" s="299"/>
      <c r="P179" s="300"/>
      <c r="Q179" s="301"/>
    </row>
    <row r="180" spans="2:17">
      <c r="B180" s="302" t="s">
        <v>320</v>
      </c>
      <c r="C180" s="297"/>
      <c r="D180" s="362">
        <f t="shared" ref="D180:O180" si="70">IF(D178=0,0,(Thetai-D$70)*$G$26*D$69*(1150-0.14*HueM)*0.000024)</f>
        <v>10.778274389291587</v>
      </c>
      <c r="E180" s="303">
        <f t="shared" si="70"/>
        <v>9.6093291690958917</v>
      </c>
      <c r="F180" s="303">
        <f t="shared" si="70"/>
        <v>9.4309900906301394</v>
      </c>
      <c r="G180" s="303">
        <f t="shared" si="70"/>
        <v>8.0477382467318996</v>
      </c>
      <c r="H180" s="303">
        <f t="shared" si="70"/>
        <v>5.9466341458160485</v>
      </c>
      <c r="I180" s="303">
        <f t="shared" si="70"/>
        <v>4.5858620176908023</v>
      </c>
      <c r="J180" s="303">
        <f t="shared" si="70"/>
        <v>3.6237301826066548</v>
      </c>
      <c r="K180" s="303">
        <f t="shared" si="70"/>
        <v>3.5308140240782784</v>
      </c>
      <c r="L180" s="303">
        <f t="shared" si="70"/>
        <v>5.1703346277886499</v>
      </c>
      <c r="M180" s="303">
        <f t="shared" si="70"/>
        <v>6.8293376518356173</v>
      </c>
      <c r="N180" s="303">
        <f t="shared" si="70"/>
        <v>8.9918863091976551</v>
      </c>
      <c r="O180" s="303">
        <f t="shared" si="70"/>
        <v>10.220777438121333</v>
      </c>
      <c r="P180" s="296">
        <f>SUM(D180:O180)</f>
        <v>86.765708292884554</v>
      </c>
      <c r="Q180" s="304" t="s">
        <v>359</v>
      </c>
    </row>
    <row r="181" spans="2:17">
      <c r="B181" s="288" t="s">
        <v>394</v>
      </c>
      <c r="D181" s="316"/>
      <c r="E181" s="316"/>
      <c r="F181" s="316"/>
      <c r="G181" s="316"/>
      <c r="H181" s="316"/>
      <c r="I181" s="316"/>
      <c r="J181" s="316"/>
      <c r="K181" s="316"/>
      <c r="L181" s="316"/>
      <c r="M181" s="316"/>
      <c r="N181" s="316"/>
      <c r="O181" s="329"/>
      <c r="P181" s="341"/>
      <c r="Q181" s="304"/>
    </row>
    <row r="182" spans="2:17">
      <c r="B182" s="284" t="s">
        <v>395</v>
      </c>
      <c r="D182" s="303">
        <f t="shared" ref="D182:O182" si="71">D180+D178</f>
        <v>100.82230111870335</v>
      </c>
      <c r="E182" s="303">
        <f t="shared" si="71"/>
        <v>89.962630251448843</v>
      </c>
      <c r="F182" s="303">
        <f t="shared" si="71"/>
        <v>89.021064067100752</v>
      </c>
      <c r="G182" s="303">
        <f t="shared" si="71"/>
        <v>76.697925540849553</v>
      </c>
      <c r="H182" s="303">
        <f t="shared" si="71"/>
        <v>58.500623416404288</v>
      </c>
      <c r="I182" s="303">
        <f t="shared" si="71"/>
        <v>46.374390958867281</v>
      </c>
      <c r="J182" s="303">
        <f t="shared" si="71"/>
        <v>38.153662982606662</v>
      </c>
      <c r="K182" s="303">
        <f t="shared" si="71"/>
        <v>37.33978456525476</v>
      </c>
      <c r="L182" s="303">
        <f t="shared" si="71"/>
        <v>51.493948745435723</v>
      </c>
      <c r="M182" s="303">
        <f t="shared" si="71"/>
        <v>66.232468381247386</v>
      </c>
      <c r="N182" s="303">
        <f t="shared" si="71"/>
        <v>84.967980426844733</v>
      </c>
      <c r="O182" s="303">
        <f t="shared" si="71"/>
        <v>95.939030614591928</v>
      </c>
      <c r="P182" s="341">
        <f>SUM(D182:O182)</f>
        <v>835.50581106935522</v>
      </c>
      <c r="Q182" s="304" t="s">
        <v>359</v>
      </c>
    </row>
    <row r="183" spans="2:17">
      <c r="B183" s="288" t="s">
        <v>396</v>
      </c>
      <c r="D183" s="316"/>
      <c r="E183" s="316" t="s">
        <v>193</v>
      </c>
      <c r="F183" s="316"/>
      <c r="G183" s="316"/>
      <c r="H183" s="316"/>
      <c r="I183" s="316"/>
      <c r="J183" s="316"/>
      <c r="K183" s="316"/>
      <c r="L183" s="316"/>
      <c r="M183" s="316"/>
      <c r="N183" s="316"/>
      <c r="O183" s="329"/>
      <c r="P183" s="341"/>
      <c r="Q183" s="304"/>
    </row>
    <row r="184" spans="2:17">
      <c r="B184" s="284" t="s">
        <v>397</v>
      </c>
      <c r="D184" s="362">
        <f t="shared" ref="D184:O184" si="72">$G$41*fE*D$69/365</f>
        <v>184.65060821917811</v>
      </c>
      <c r="E184" s="303">
        <f t="shared" si="72"/>
        <v>166.78119452054793</v>
      </c>
      <c r="F184" s="303">
        <f t="shared" si="72"/>
        <v>184.65060821917811</v>
      </c>
      <c r="G184" s="303">
        <f t="shared" si="72"/>
        <v>178.69413698630137</v>
      </c>
      <c r="H184" s="303">
        <f t="shared" si="72"/>
        <v>184.65060821917811</v>
      </c>
      <c r="I184" s="303">
        <f t="shared" si="72"/>
        <v>178.69413698630137</v>
      </c>
      <c r="J184" s="303">
        <f t="shared" si="72"/>
        <v>184.65060821917811</v>
      </c>
      <c r="K184" s="303">
        <f t="shared" si="72"/>
        <v>184.65060821917811</v>
      </c>
      <c r="L184" s="303">
        <f t="shared" si="72"/>
        <v>178.69413698630137</v>
      </c>
      <c r="M184" s="303">
        <f t="shared" si="72"/>
        <v>184.65060821917811</v>
      </c>
      <c r="N184" s="303">
        <f t="shared" si="72"/>
        <v>178.69413698630137</v>
      </c>
      <c r="O184" s="303">
        <f t="shared" si="72"/>
        <v>184.65060821917811</v>
      </c>
      <c r="P184" s="341">
        <f>SUM(D184:O184)</f>
        <v>2174.1120000000001</v>
      </c>
      <c r="Q184" s="304" t="s">
        <v>359</v>
      </c>
    </row>
    <row r="185" spans="2:17">
      <c r="B185" s="284" t="s">
        <v>399</v>
      </c>
      <c r="D185" s="303">
        <f t="shared" ref="D185:O185" si="73">$D$40*D$69/365</f>
        <v>2.9998080000000007</v>
      </c>
      <c r="E185" s="303">
        <f t="shared" si="73"/>
        <v>2.7095040000000008</v>
      </c>
      <c r="F185" s="303">
        <f t="shared" si="73"/>
        <v>2.9998080000000007</v>
      </c>
      <c r="G185" s="303">
        <f t="shared" si="73"/>
        <v>2.9030400000000007</v>
      </c>
      <c r="H185" s="303">
        <f t="shared" si="73"/>
        <v>2.9998080000000007</v>
      </c>
      <c r="I185" s="303">
        <f t="shared" si="73"/>
        <v>2.9030400000000007</v>
      </c>
      <c r="J185" s="303">
        <f t="shared" si="73"/>
        <v>2.9998080000000007</v>
      </c>
      <c r="K185" s="303">
        <f t="shared" si="73"/>
        <v>2.9998080000000007</v>
      </c>
      <c r="L185" s="303">
        <f t="shared" si="73"/>
        <v>2.9030400000000007</v>
      </c>
      <c r="M185" s="303">
        <f t="shared" si="73"/>
        <v>2.9998080000000007</v>
      </c>
      <c r="N185" s="303">
        <f t="shared" si="73"/>
        <v>2.9030400000000007</v>
      </c>
      <c r="O185" s="303">
        <f t="shared" si="73"/>
        <v>2.9998080000000007</v>
      </c>
      <c r="P185" s="341">
        <f>SUM(D185:O185)</f>
        <v>35.320320000000009</v>
      </c>
      <c r="Q185" s="304" t="s">
        <v>359</v>
      </c>
    </row>
    <row r="186" spans="2:17">
      <c r="B186" s="284" t="s">
        <v>400</v>
      </c>
      <c r="D186" s="303">
        <f t="shared" ref="D186:O186" si="74">D185+D184</f>
        <v>187.65041621917811</v>
      </c>
      <c r="E186" s="303">
        <f t="shared" si="74"/>
        <v>169.49069852054794</v>
      </c>
      <c r="F186" s="303">
        <f t="shared" si="74"/>
        <v>187.65041621917811</v>
      </c>
      <c r="G186" s="303">
        <f t="shared" si="74"/>
        <v>181.59717698630138</v>
      </c>
      <c r="H186" s="303">
        <f t="shared" si="74"/>
        <v>187.65041621917811</v>
      </c>
      <c r="I186" s="303">
        <f t="shared" si="74"/>
        <v>181.59717698630138</v>
      </c>
      <c r="J186" s="303">
        <f t="shared" si="74"/>
        <v>187.65041621917811</v>
      </c>
      <c r="K186" s="303">
        <f t="shared" si="74"/>
        <v>187.65041621917811</v>
      </c>
      <c r="L186" s="303">
        <f t="shared" si="74"/>
        <v>181.59717698630138</v>
      </c>
      <c r="M186" s="303">
        <f t="shared" si="74"/>
        <v>187.65041621917811</v>
      </c>
      <c r="N186" s="303">
        <f t="shared" si="74"/>
        <v>181.59717698630138</v>
      </c>
      <c r="O186" s="303">
        <f t="shared" si="74"/>
        <v>187.65041621917811</v>
      </c>
      <c r="P186" s="341">
        <f>SUM(D186:O186)</f>
        <v>2209.4323199999999</v>
      </c>
      <c r="Q186" s="304" t="s">
        <v>359</v>
      </c>
    </row>
    <row r="187" spans="2:17">
      <c r="B187" s="288" t="s">
        <v>401</v>
      </c>
      <c r="D187" s="362">
        <f t="shared" ref="D187:O187" si="75">IF(EBF&gt;0,($D$19*D$73*$F$19+$D$18*D$72*$F$18+$D$20*D$74*$F$20+$D$17*D$75*$F$17+$D$21*D$71*$F$21)*0.9*$G$29*FF/EBF,0)</f>
        <v>13.83352941176471</v>
      </c>
      <c r="E187" s="303">
        <f t="shared" si="75"/>
        <v>17.446764705882355</v>
      </c>
      <c r="F187" s="303">
        <f t="shared" si="75"/>
        <v>26.531470588235294</v>
      </c>
      <c r="G187" s="303">
        <f t="shared" si="75"/>
        <v>18.685588235294119</v>
      </c>
      <c r="H187" s="303">
        <f t="shared" si="75"/>
        <v>20.440588235294122</v>
      </c>
      <c r="I187" s="303">
        <f t="shared" si="75"/>
        <v>19.305</v>
      </c>
      <c r="J187" s="303">
        <f t="shared" si="75"/>
        <v>20.440588235294122</v>
      </c>
      <c r="K187" s="303">
        <f t="shared" si="75"/>
        <v>19.305</v>
      </c>
      <c r="L187" s="303">
        <f t="shared" si="75"/>
        <v>16.104705882352942</v>
      </c>
      <c r="M187" s="303">
        <f t="shared" si="75"/>
        <v>19.614705882352943</v>
      </c>
      <c r="N187" s="303">
        <f t="shared" si="75"/>
        <v>12.594705882352942</v>
      </c>
      <c r="O187" s="303">
        <f t="shared" si="75"/>
        <v>10.736470588235296</v>
      </c>
      <c r="P187" s="341">
        <f>SUM(D187:O187)</f>
        <v>215.03911764705884</v>
      </c>
      <c r="Q187" s="304" t="s">
        <v>359</v>
      </c>
    </row>
    <row r="188" spans="2:17">
      <c r="B188" s="284" t="s">
        <v>402</v>
      </c>
      <c r="D188" s="303">
        <f>D187+D186</f>
        <v>201.48394563094283</v>
      </c>
      <c r="E188" s="303">
        <f t="shared" ref="E188:O188" si="76">E187+E186</f>
        <v>186.93746322643028</v>
      </c>
      <c r="F188" s="303">
        <f t="shared" si="76"/>
        <v>214.18188680741341</v>
      </c>
      <c r="G188" s="303">
        <f t="shared" si="76"/>
        <v>200.2827652215955</v>
      </c>
      <c r="H188" s="303">
        <f t="shared" si="76"/>
        <v>208.09100445447223</v>
      </c>
      <c r="I188" s="303">
        <f t="shared" si="76"/>
        <v>200.90217698630138</v>
      </c>
      <c r="J188" s="303">
        <f t="shared" si="76"/>
        <v>208.09100445447223</v>
      </c>
      <c r="K188" s="303">
        <f t="shared" si="76"/>
        <v>206.95541621917812</v>
      </c>
      <c r="L188" s="303">
        <f t="shared" si="76"/>
        <v>197.70188286865431</v>
      </c>
      <c r="M188" s="303">
        <f t="shared" si="76"/>
        <v>207.26512210153106</v>
      </c>
      <c r="N188" s="303">
        <f t="shared" si="76"/>
        <v>194.19188286865432</v>
      </c>
      <c r="O188" s="303">
        <f t="shared" si="76"/>
        <v>198.38688680741342</v>
      </c>
      <c r="P188" s="341">
        <f>SUM(D188:O188)</f>
        <v>2424.4714376470588</v>
      </c>
      <c r="Q188" s="304" t="s">
        <v>359</v>
      </c>
    </row>
    <row r="189" spans="2:17">
      <c r="B189" s="284" t="s">
        <v>411</v>
      </c>
      <c r="D189" s="303">
        <f t="shared" ref="D189:O189" si="77">IF(D182&gt;0,D188/D182,0)</f>
        <v>1.998406536999441</v>
      </c>
      <c r="E189" s="303">
        <f t="shared" si="77"/>
        <v>2.0779457281755018</v>
      </c>
      <c r="F189" s="303">
        <f t="shared" si="77"/>
        <v>2.4059686216059055</v>
      </c>
      <c r="G189" s="303">
        <f t="shared" si="77"/>
        <v>2.6113191955227562</v>
      </c>
      <c r="H189" s="303">
        <f t="shared" si="77"/>
        <v>3.5570732806262875</v>
      </c>
      <c r="I189" s="303">
        <f t="shared" si="77"/>
        <v>4.3321793091470617</v>
      </c>
      <c r="J189" s="303">
        <f t="shared" si="77"/>
        <v>5.4540242846233644</v>
      </c>
      <c r="K189" s="303">
        <f t="shared" si="77"/>
        <v>5.5424909015611536</v>
      </c>
      <c r="L189" s="303">
        <f t="shared" si="77"/>
        <v>3.8393226327623213</v>
      </c>
      <c r="M189" s="303">
        <f t="shared" si="77"/>
        <v>3.1293582613963804</v>
      </c>
      <c r="N189" s="303">
        <f t="shared" si="77"/>
        <v>2.2854713257054353</v>
      </c>
      <c r="O189" s="303">
        <f t="shared" si="77"/>
        <v>2.0678433536021115</v>
      </c>
      <c r="P189" s="341" t="s">
        <v>56</v>
      </c>
      <c r="Q189" s="304"/>
    </row>
    <row r="190" spans="2:17">
      <c r="B190" s="288" t="s">
        <v>412</v>
      </c>
      <c r="D190" s="303">
        <f t="shared" ref="D190:O190" si="78">IF(D182&gt;0,CEBF*EBF*1000000/(($D$22*U_DAFbeheizt+$D$14*U_E3*bGW+E4beheizt*U_E4+BodenErdeF*U_Boden*bGF+$D$16*U_E5)*3600 + Vth*EBF*(1150-0.14*HueM)),0)</f>
        <v>232.96874866171441</v>
      </c>
      <c r="E190" s="303">
        <f t="shared" si="78"/>
        <v>232.96874866171441</v>
      </c>
      <c r="F190" s="303">
        <f t="shared" si="78"/>
        <v>232.96874866171441</v>
      </c>
      <c r="G190" s="303">
        <f t="shared" si="78"/>
        <v>232.96874866171441</v>
      </c>
      <c r="H190" s="303">
        <f t="shared" si="78"/>
        <v>232.96874866171441</v>
      </c>
      <c r="I190" s="303">
        <f t="shared" si="78"/>
        <v>232.96874866171441</v>
      </c>
      <c r="J190" s="303">
        <f t="shared" si="78"/>
        <v>232.96874866171441</v>
      </c>
      <c r="K190" s="303">
        <f t="shared" si="78"/>
        <v>232.96874866171441</v>
      </c>
      <c r="L190" s="303">
        <f t="shared" si="78"/>
        <v>232.96874866171441</v>
      </c>
      <c r="M190" s="303">
        <f t="shared" si="78"/>
        <v>232.96874866171441</v>
      </c>
      <c r="N190" s="303">
        <f t="shared" si="78"/>
        <v>232.96874866171441</v>
      </c>
      <c r="O190" s="303">
        <f t="shared" si="78"/>
        <v>232.96874866171441</v>
      </c>
      <c r="P190" s="341"/>
      <c r="Q190" s="304"/>
    </row>
    <row r="191" spans="2:17">
      <c r="B191" s="284" t="s">
        <v>403</v>
      </c>
      <c r="D191" s="303">
        <f>a0+D190/tau0</f>
        <v>16.531249910780961</v>
      </c>
      <c r="E191" s="303">
        <f>a0+E190/tau0</f>
        <v>16.531249910780961</v>
      </c>
      <c r="F191" s="303">
        <f>a0+F190/tau0</f>
        <v>16.531249910780961</v>
      </c>
      <c r="G191" s="303">
        <f>a0+G190/tau0</f>
        <v>16.531249910780961</v>
      </c>
      <c r="H191" s="303">
        <f t="shared" ref="H191:O191" si="79">a0+H190/tau0</f>
        <v>16.531249910780961</v>
      </c>
      <c r="I191" s="303">
        <f t="shared" si="79"/>
        <v>16.531249910780961</v>
      </c>
      <c r="J191" s="303">
        <f t="shared" si="79"/>
        <v>16.531249910780961</v>
      </c>
      <c r="K191" s="303">
        <f t="shared" si="79"/>
        <v>16.531249910780961</v>
      </c>
      <c r="L191" s="303">
        <f t="shared" si="79"/>
        <v>16.531249910780961</v>
      </c>
      <c r="M191" s="303">
        <f t="shared" si="79"/>
        <v>16.531249910780961</v>
      </c>
      <c r="N191" s="303">
        <f t="shared" si="79"/>
        <v>16.531249910780961</v>
      </c>
      <c r="O191" s="303">
        <f t="shared" si="79"/>
        <v>16.531249910780961</v>
      </c>
      <c r="P191" s="341"/>
      <c r="Q191" s="304"/>
    </row>
    <row r="192" spans="2:17">
      <c r="B192" s="284" t="s">
        <v>413</v>
      </c>
      <c r="D192" s="317">
        <f t="shared" ref="D192:O192" si="80">IF(D189=1,D191/(D191+1),IF(D182&lt;=0,0,(1-D189^D191)/(1-D189^(D191+1))))</f>
        <v>0.50039600877228496</v>
      </c>
      <c r="E192" s="317">
        <f t="shared" si="80"/>
        <v>0.48124312162287441</v>
      </c>
      <c r="F192" s="317">
        <f t="shared" si="80"/>
        <v>0.41563289740869663</v>
      </c>
      <c r="G192" s="317">
        <f t="shared" si="80"/>
        <v>0.3829481751771952</v>
      </c>
      <c r="H192" s="317">
        <f t="shared" si="80"/>
        <v>0.28112999664326177</v>
      </c>
      <c r="I192" s="317">
        <f t="shared" si="80"/>
        <v>0.23083070404441566</v>
      </c>
      <c r="J192" s="317">
        <f t="shared" si="80"/>
        <v>0.18335085210727387</v>
      </c>
      <c r="K192" s="317">
        <f t="shared" si="80"/>
        <v>0.18042429257175932</v>
      </c>
      <c r="L192" s="317">
        <f t="shared" si="80"/>
        <v>0.26046261163473805</v>
      </c>
      <c r="M192" s="317">
        <f t="shared" si="80"/>
        <v>0.319554334173761</v>
      </c>
      <c r="N192" s="317">
        <f t="shared" si="80"/>
        <v>0.43754622272670096</v>
      </c>
      <c r="O192" s="317">
        <f t="shared" si="80"/>
        <v>0.48359410643767858</v>
      </c>
      <c r="P192" s="344">
        <f>IF(P188&gt;0,P193/P188,0)</f>
        <v>0.34461310125390809</v>
      </c>
      <c r="Q192" s="304"/>
    </row>
    <row r="193" spans="2:17">
      <c r="B193" s="302" t="s">
        <v>323</v>
      </c>
      <c r="D193" s="303">
        <f t="shared" ref="D193:O193" si="81">D188*D192</f>
        <v>100.82176222541585</v>
      </c>
      <c r="E193" s="303">
        <f t="shared" si="81"/>
        <v>89.962368351348601</v>
      </c>
      <c r="F193" s="303">
        <f t="shared" si="81"/>
        <v>89.021038186226733</v>
      </c>
      <c r="G193" s="303">
        <f t="shared" si="81"/>
        <v>76.697919461052606</v>
      </c>
      <c r="H193" s="303">
        <f t="shared" si="81"/>
        <v>58.500623383778745</v>
      </c>
      <c r="I193" s="303">
        <f t="shared" si="81"/>
        <v>46.374390957803747</v>
      </c>
      <c r="J193" s="303">
        <f t="shared" si="81"/>
        <v>38.153662982586006</v>
      </c>
      <c r="K193" s="303">
        <f t="shared" si="81"/>
        <v>37.339784565239214</v>
      </c>
      <c r="L193" s="303">
        <f t="shared" si="81"/>
        <v>51.493948737074781</v>
      </c>
      <c r="M193" s="303">
        <f t="shared" si="81"/>
        <v>66.232468090598033</v>
      </c>
      <c r="N193" s="303">
        <f t="shared" si="81"/>
        <v>84.967924833365643</v>
      </c>
      <c r="O193" s="303">
        <f t="shared" si="81"/>
        <v>95.938729254583976</v>
      </c>
      <c r="P193" s="296">
        <f>SUM(D193:O193)</f>
        <v>835.50462102907397</v>
      </c>
      <c r="Q193" s="304" t="s">
        <v>359</v>
      </c>
    </row>
    <row r="194" spans="2:17" ht="12.9" thickBot="1">
      <c r="B194" s="291" t="s">
        <v>404</v>
      </c>
      <c r="C194" s="335"/>
      <c r="D194" s="345"/>
      <c r="E194" s="345"/>
      <c r="F194" s="345"/>
      <c r="G194" s="345"/>
      <c r="H194" s="345"/>
      <c r="I194" s="345"/>
      <c r="J194" s="345"/>
      <c r="K194" s="345"/>
      <c r="L194" s="345"/>
      <c r="M194" s="345"/>
      <c r="N194" s="345"/>
      <c r="O194" s="346"/>
      <c r="P194" s="347"/>
      <c r="Q194" s="339"/>
    </row>
    <row r="195" spans="2:17" ht="12.9" thickBot="1">
      <c r="B195" s="305" t="s">
        <v>409</v>
      </c>
      <c r="C195" s="348"/>
      <c r="D195" s="349">
        <f>D182-D193</f>
        <v>5.3889328749789911E-4</v>
      </c>
      <c r="E195" s="349">
        <f t="shared" ref="E195:O195" si="82">E182-E193</f>
        <v>2.6190010024151889E-4</v>
      </c>
      <c r="F195" s="349">
        <f t="shared" si="82"/>
        <v>2.5880874019890143E-5</v>
      </c>
      <c r="G195" s="349">
        <f t="shared" si="82"/>
        <v>6.0797969467785151E-6</v>
      </c>
      <c r="H195" s="349">
        <f t="shared" si="82"/>
        <v>3.2625543155972991E-8</v>
      </c>
      <c r="I195" s="349">
        <f t="shared" si="82"/>
        <v>1.0635332614583604E-9</v>
      </c>
      <c r="J195" s="349">
        <f t="shared" si="82"/>
        <v>2.0655477328546112E-11</v>
      </c>
      <c r="K195" s="349">
        <f t="shared" si="82"/>
        <v>1.5546675058430992E-11</v>
      </c>
      <c r="L195" s="349">
        <f t="shared" si="82"/>
        <v>8.3609421608343837E-9</v>
      </c>
      <c r="M195" s="349">
        <f t="shared" si="82"/>
        <v>2.9064935347378196E-7</v>
      </c>
      <c r="N195" s="349">
        <f t="shared" si="82"/>
        <v>5.5593479089566245E-5</v>
      </c>
      <c r="O195" s="349">
        <f t="shared" si="82"/>
        <v>3.0136000795266682E-4</v>
      </c>
      <c r="P195" s="373">
        <f>SUM(D195:O195)</f>
        <v>1.1900402813225242E-3</v>
      </c>
      <c r="Q195" s="351" t="s">
        <v>359</v>
      </c>
    </row>
    <row r="196" spans="2:17">
      <c r="P196" s="1291">
        <f>P195/3.6</f>
        <v>3.3056674481181223E-4</v>
      </c>
      <c r="Q196" s="270" t="s">
        <v>1658</v>
      </c>
    </row>
    <row r="202" spans="2:17" ht="17.600000000000001">
      <c r="B202" s="306"/>
    </row>
  </sheetData>
  <sheetProtection selectLockedCells="1"/>
  <dataValidations count="1">
    <dataValidation type="list" allowBlank="1" showInputMessage="1" showErrorMessage="1" sqref="IH3:IH4 WUT983055:WUT983056 WKX983055:WKX983056 WBB983055:WBB983056 VRF983055:VRF983056 VHJ983055:VHJ983056 UXN983055:UXN983056 UNR983055:UNR983056 UDV983055:UDV983056 TTZ983055:TTZ983056 TKD983055:TKD983056 TAH983055:TAH983056 SQL983055:SQL983056 SGP983055:SGP983056 RWT983055:RWT983056 RMX983055:RMX983056 RDB983055:RDB983056 QTF983055:QTF983056 QJJ983055:QJJ983056 PZN983055:PZN983056 PPR983055:PPR983056 PFV983055:PFV983056 OVZ983055:OVZ983056 OMD983055:OMD983056 OCH983055:OCH983056 NSL983055:NSL983056 NIP983055:NIP983056 MYT983055:MYT983056 MOX983055:MOX983056 MFB983055:MFB983056 LVF983055:LVF983056 LLJ983055:LLJ983056 LBN983055:LBN983056 KRR983055:KRR983056 KHV983055:KHV983056 JXZ983055:JXZ983056 JOD983055:JOD983056 JEH983055:JEH983056 IUL983055:IUL983056 IKP983055:IKP983056 IAT983055:IAT983056 HQX983055:HQX983056 HHB983055:HHB983056 GXF983055:GXF983056 GNJ983055:GNJ983056 GDN983055:GDN983056 FTR983055:FTR983056 FJV983055:FJV983056 EZZ983055:EZZ983056 EQD983055:EQD983056 EGH983055:EGH983056 DWL983055:DWL983056 DMP983055:DMP983056 DCT983055:DCT983056 CSX983055:CSX983056 CJB983055:CJB983056 BZF983055:BZF983056 BPJ983055:BPJ983056 BFN983055:BFN983056 AVR983055:AVR983056 ALV983055:ALV983056 ABZ983055:ABZ983056 SD983055:SD983056 IH983055:IH983056 E983055:E983056 WUT917519:WUT917520 WKX917519:WKX917520 WBB917519:WBB917520 VRF917519:VRF917520 VHJ917519:VHJ917520 UXN917519:UXN917520 UNR917519:UNR917520 UDV917519:UDV917520 TTZ917519:TTZ917520 TKD917519:TKD917520 TAH917519:TAH917520 SQL917519:SQL917520 SGP917519:SGP917520 RWT917519:RWT917520 RMX917519:RMX917520 RDB917519:RDB917520 QTF917519:QTF917520 QJJ917519:QJJ917520 PZN917519:PZN917520 PPR917519:PPR917520 PFV917519:PFV917520 OVZ917519:OVZ917520 OMD917519:OMD917520 OCH917519:OCH917520 NSL917519:NSL917520 NIP917519:NIP917520 MYT917519:MYT917520 MOX917519:MOX917520 MFB917519:MFB917520 LVF917519:LVF917520 LLJ917519:LLJ917520 LBN917519:LBN917520 KRR917519:KRR917520 KHV917519:KHV917520 JXZ917519:JXZ917520 JOD917519:JOD917520 JEH917519:JEH917520 IUL917519:IUL917520 IKP917519:IKP917520 IAT917519:IAT917520 HQX917519:HQX917520 HHB917519:HHB917520 GXF917519:GXF917520 GNJ917519:GNJ917520 GDN917519:GDN917520 FTR917519:FTR917520 FJV917519:FJV917520 EZZ917519:EZZ917520 EQD917519:EQD917520 EGH917519:EGH917520 DWL917519:DWL917520 DMP917519:DMP917520 DCT917519:DCT917520 CSX917519:CSX917520 CJB917519:CJB917520 BZF917519:BZF917520 BPJ917519:BPJ917520 BFN917519:BFN917520 AVR917519:AVR917520 ALV917519:ALV917520 ABZ917519:ABZ917520 SD917519:SD917520 IH917519:IH917520 E917519:E917520 WUT851983:WUT851984 WKX851983:WKX851984 WBB851983:WBB851984 VRF851983:VRF851984 VHJ851983:VHJ851984 UXN851983:UXN851984 UNR851983:UNR851984 UDV851983:UDV851984 TTZ851983:TTZ851984 TKD851983:TKD851984 TAH851983:TAH851984 SQL851983:SQL851984 SGP851983:SGP851984 RWT851983:RWT851984 RMX851983:RMX851984 RDB851983:RDB851984 QTF851983:QTF851984 QJJ851983:QJJ851984 PZN851983:PZN851984 PPR851983:PPR851984 PFV851983:PFV851984 OVZ851983:OVZ851984 OMD851983:OMD851984 OCH851983:OCH851984 NSL851983:NSL851984 NIP851983:NIP851984 MYT851983:MYT851984 MOX851983:MOX851984 MFB851983:MFB851984 LVF851983:LVF851984 LLJ851983:LLJ851984 LBN851983:LBN851984 KRR851983:KRR851984 KHV851983:KHV851984 JXZ851983:JXZ851984 JOD851983:JOD851984 JEH851983:JEH851984 IUL851983:IUL851984 IKP851983:IKP851984 IAT851983:IAT851984 HQX851983:HQX851984 HHB851983:HHB851984 GXF851983:GXF851984 GNJ851983:GNJ851984 GDN851983:GDN851984 FTR851983:FTR851984 FJV851983:FJV851984 EZZ851983:EZZ851984 EQD851983:EQD851984 EGH851983:EGH851984 DWL851983:DWL851984 DMP851983:DMP851984 DCT851983:DCT851984 CSX851983:CSX851984 CJB851983:CJB851984 BZF851983:BZF851984 BPJ851983:BPJ851984 BFN851983:BFN851984 AVR851983:AVR851984 ALV851983:ALV851984 ABZ851983:ABZ851984 SD851983:SD851984 IH851983:IH851984 E851983:E851984 WUT786447:WUT786448 WKX786447:WKX786448 WBB786447:WBB786448 VRF786447:VRF786448 VHJ786447:VHJ786448 UXN786447:UXN786448 UNR786447:UNR786448 UDV786447:UDV786448 TTZ786447:TTZ786448 TKD786447:TKD786448 TAH786447:TAH786448 SQL786447:SQL786448 SGP786447:SGP786448 RWT786447:RWT786448 RMX786447:RMX786448 RDB786447:RDB786448 QTF786447:QTF786448 QJJ786447:QJJ786448 PZN786447:PZN786448 PPR786447:PPR786448 PFV786447:PFV786448 OVZ786447:OVZ786448 OMD786447:OMD786448 OCH786447:OCH786448 NSL786447:NSL786448 NIP786447:NIP786448 MYT786447:MYT786448 MOX786447:MOX786448 MFB786447:MFB786448 LVF786447:LVF786448 LLJ786447:LLJ786448 LBN786447:LBN786448 KRR786447:KRR786448 KHV786447:KHV786448 JXZ786447:JXZ786448 JOD786447:JOD786448 JEH786447:JEH786448 IUL786447:IUL786448 IKP786447:IKP786448 IAT786447:IAT786448 HQX786447:HQX786448 HHB786447:HHB786448 GXF786447:GXF786448 GNJ786447:GNJ786448 GDN786447:GDN786448 FTR786447:FTR786448 FJV786447:FJV786448 EZZ786447:EZZ786448 EQD786447:EQD786448 EGH786447:EGH786448 DWL786447:DWL786448 DMP786447:DMP786448 DCT786447:DCT786448 CSX786447:CSX786448 CJB786447:CJB786448 BZF786447:BZF786448 BPJ786447:BPJ786448 BFN786447:BFN786448 AVR786447:AVR786448 ALV786447:ALV786448 ABZ786447:ABZ786448 SD786447:SD786448 IH786447:IH786448 E786447:E786448 WUT720911:WUT720912 WKX720911:WKX720912 WBB720911:WBB720912 VRF720911:VRF720912 VHJ720911:VHJ720912 UXN720911:UXN720912 UNR720911:UNR720912 UDV720911:UDV720912 TTZ720911:TTZ720912 TKD720911:TKD720912 TAH720911:TAH720912 SQL720911:SQL720912 SGP720911:SGP720912 RWT720911:RWT720912 RMX720911:RMX720912 RDB720911:RDB720912 QTF720911:QTF720912 QJJ720911:QJJ720912 PZN720911:PZN720912 PPR720911:PPR720912 PFV720911:PFV720912 OVZ720911:OVZ720912 OMD720911:OMD720912 OCH720911:OCH720912 NSL720911:NSL720912 NIP720911:NIP720912 MYT720911:MYT720912 MOX720911:MOX720912 MFB720911:MFB720912 LVF720911:LVF720912 LLJ720911:LLJ720912 LBN720911:LBN720912 KRR720911:KRR720912 KHV720911:KHV720912 JXZ720911:JXZ720912 JOD720911:JOD720912 JEH720911:JEH720912 IUL720911:IUL720912 IKP720911:IKP720912 IAT720911:IAT720912 HQX720911:HQX720912 HHB720911:HHB720912 GXF720911:GXF720912 GNJ720911:GNJ720912 GDN720911:GDN720912 FTR720911:FTR720912 FJV720911:FJV720912 EZZ720911:EZZ720912 EQD720911:EQD720912 EGH720911:EGH720912 DWL720911:DWL720912 DMP720911:DMP720912 DCT720911:DCT720912 CSX720911:CSX720912 CJB720911:CJB720912 BZF720911:BZF720912 BPJ720911:BPJ720912 BFN720911:BFN720912 AVR720911:AVR720912 ALV720911:ALV720912 ABZ720911:ABZ720912 SD720911:SD720912 IH720911:IH720912 E720911:E720912 WUT655375:WUT655376 WKX655375:WKX655376 WBB655375:WBB655376 VRF655375:VRF655376 VHJ655375:VHJ655376 UXN655375:UXN655376 UNR655375:UNR655376 UDV655375:UDV655376 TTZ655375:TTZ655376 TKD655375:TKD655376 TAH655375:TAH655376 SQL655375:SQL655376 SGP655375:SGP655376 RWT655375:RWT655376 RMX655375:RMX655376 RDB655375:RDB655376 QTF655375:QTF655376 QJJ655375:QJJ655376 PZN655375:PZN655376 PPR655375:PPR655376 PFV655375:PFV655376 OVZ655375:OVZ655376 OMD655375:OMD655376 OCH655375:OCH655376 NSL655375:NSL655376 NIP655375:NIP655376 MYT655375:MYT655376 MOX655375:MOX655376 MFB655375:MFB655376 LVF655375:LVF655376 LLJ655375:LLJ655376 LBN655375:LBN655376 KRR655375:KRR655376 KHV655375:KHV655376 JXZ655375:JXZ655376 JOD655375:JOD655376 JEH655375:JEH655376 IUL655375:IUL655376 IKP655375:IKP655376 IAT655375:IAT655376 HQX655375:HQX655376 HHB655375:HHB655376 GXF655375:GXF655376 GNJ655375:GNJ655376 GDN655375:GDN655376 FTR655375:FTR655376 FJV655375:FJV655376 EZZ655375:EZZ655376 EQD655375:EQD655376 EGH655375:EGH655376 DWL655375:DWL655376 DMP655375:DMP655376 DCT655375:DCT655376 CSX655375:CSX655376 CJB655375:CJB655376 BZF655375:BZF655376 BPJ655375:BPJ655376 BFN655375:BFN655376 AVR655375:AVR655376 ALV655375:ALV655376 ABZ655375:ABZ655376 SD655375:SD655376 IH655375:IH655376 E655375:E655376 WUT589839:WUT589840 WKX589839:WKX589840 WBB589839:WBB589840 VRF589839:VRF589840 VHJ589839:VHJ589840 UXN589839:UXN589840 UNR589839:UNR589840 UDV589839:UDV589840 TTZ589839:TTZ589840 TKD589839:TKD589840 TAH589839:TAH589840 SQL589839:SQL589840 SGP589839:SGP589840 RWT589839:RWT589840 RMX589839:RMX589840 RDB589839:RDB589840 QTF589839:QTF589840 QJJ589839:QJJ589840 PZN589839:PZN589840 PPR589839:PPR589840 PFV589839:PFV589840 OVZ589839:OVZ589840 OMD589839:OMD589840 OCH589839:OCH589840 NSL589839:NSL589840 NIP589839:NIP589840 MYT589839:MYT589840 MOX589839:MOX589840 MFB589839:MFB589840 LVF589839:LVF589840 LLJ589839:LLJ589840 LBN589839:LBN589840 KRR589839:KRR589840 KHV589839:KHV589840 JXZ589839:JXZ589840 JOD589839:JOD589840 JEH589839:JEH589840 IUL589839:IUL589840 IKP589839:IKP589840 IAT589839:IAT589840 HQX589839:HQX589840 HHB589839:HHB589840 GXF589839:GXF589840 GNJ589839:GNJ589840 GDN589839:GDN589840 FTR589839:FTR589840 FJV589839:FJV589840 EZZ589839:EZZ589840 EQD589839:EQD589840 EGH589839:EGH589840 DWL589839:DWL589840 DMP589839:DMP589840 DCT589839:DCT589840 CSX589839:CSX589840 CJB589839:CJB589840 BZF589839:BZF589840 BPJ589839:BPJ589840 BFN589839:BFN589840 AVR589839:AVR589840 ALV589839:ALV589840 ABZ589839:ABZ589840 SD589839:SD589840 IH589839:IH589840 E589839:E589840 WUT524303:WUT524304 WKX524303:WKX524304 WBB524303:WBB524304 VRF524303:VRF524304 VHJ524303:VHJ524304 UXN524303:UXN524304 UNR524303:UNR524304 UDV524303:UDV524304 TTZ524303:TTZ524304 TKD524303:TKD524304 TAH524303:TAH524304 SQL524303:SQL524304 SGP524303:SGP524304 RWT524303:RWT524304 RMX524303:RMX524304 RDB524303:RDB524304 QTF524303:QTF524304 QJJ524303:QJJ524304 PZN524303:PZN524304 PPR524303:PPR524304 PFV524303:PFV524304 OVZ524303:OVZ524304 OMD524303:OMD524304 OCH524303:OCH524304 NSL524303:NSL524304 NIP524303:NIP524304 MYT524303:MYT524304 MOX524303:MOX524304 MFB524303:MFB524304 LVF524303:LVF524304 LLJ524303:LLJ524304 LBN524303:LBN524304 KRR524303:KRR524304 KHV524303:KHV524304 JXZ524303:JXZ524304 JOD524303:JOD524304 JEH524303:JEH524304 IUL524303:IUL524304 IKP524303:IKP524304 IAT524303:IAT524304 HQX524303:HQX524304 HHB524303:HHB524304 GXF524303:GXF524304 GNJ524303:GNJ524304 GDN524303:GDN524304 FTR524303:FTR524304 FJV524303:FJV524304 EZZ524303:EZZ524304 EQD524303:EQD524304 EGH524303:EGH524304 DWL524303:DWL524304 DMP524303:DMP524304 DCT524303:DCT524304 CSX524303:CSX524304 CJB524303:CJB524304 BZF524303:BZF524304 BPJ524303:BPJ524304 BFN524303:BFN524304 AVR524303:AVR524304 ALV524303:ALV524304 ABZ524303:ABZ524304 SD524303:SD524304 IH524303:IH524304 E524303:E524304 WUT458767:WUT458768 WKX458767:WKX458768 WBB458767:WBB458768 VRF458767:VRF458768 VHJ458767:VHJ458768 UXN458767:UXN458768 UNR458767:UNR458768 UDV458767:UDV458768 TTZ458767:TTZ458768 TKD458767:TKD458768 TAH458767:TAH458768 SQL458767:SQL458768 SGP458767:SGP458768 RWT458767:RWT458768 RMX458767:RMX458768 RDB458767:RDB458768 QTF458767:QTF458768 QJJ458767:QJJ458768 PZN458767:PZN458768 PPR458767:PPR458768 PFV458767:PFV458768 OVZ458767:OVZ458768 OMD458767:OMD458768 OCH458767:OCH458768 NSL458767:NSL458768 NIP458767:NIP458768 MYT458767:MYT458768 MOX458767:MOX458768 MFB458767:MFB458768 LVF458767:LVF458768 LLJ458767:LLJ458768 LBN458767:LBN458768 KRR458767:KRR458768 KHV458767:KHV458768 JXZ458767:JXZ458768 JOD458767:JOD458768 JEH458767:JEH458768 IUL458767:IUL458768 IKP458767:IKP458768 IAT458767:IAT458768 HQX458767:HQX458768 HHB458767:HHB458768 GXF458767:GXF458768 GNJ458767:GNJ458768 GDN458767:GDN458768 FTR458767:FTR458768 FJV458767:FJV458768 EZZ458767:EZZ458768 EQD458767:EQD458768 EGH458767:EGH458768 DWL458767:DWL458768 DMP458767:DMP458768 DCT458767:DCT458768 CSX458767:CSX458768 CJB458767:CJB458768 BZF458767:BZF458768 BPJ458767:BPJ458768 BFN458767:BFN458768 AVR458767:AVR458768 ALV458767:ALV458768 ABZ458767:ABZ458768 SD458767:SD458768 IH458767:IH458768 E458767:E458768 WUT393231:WUT393232 WKX393231:WKX393232 WBB393231:WBB393232 VRF393231:VRF393232 VHJ393231:VHJ393232 UXN393231:UXN393232 UNR393231:UNR393232 UDV393231:UDV393232 TTZ393231:TTZ393232 TKD393231:TKD393232 TAH393231:TAH393232 SQL393231:SQL393232 SGP393231:SGP393232 RWT393231:RWT393232 RMX393231:RMX393232 RDB393231:RDB393232 QTF393231:QTF393232 QJJ393231:QJJ393232 PZN393231:PZN393232 PPR393231:PPR393232 PFV393231:PFV393232 OVZ393231:OVZ393232 OMD393231:OMD393232 OCH393231:OCH393232 NSL393231:NSL393232 NIP393231:NIP393232 MYT393231:MYT393232 MOX393231:MOX393232 MFB393231:MFB393232 LVF393231:LVF393232 LLJ393231:LLJ393232 LBN393231:LBN393232 KRR393231:KRR393232 KHV393231:KHV393232 JXZ393231:JXZ393232 JOD393231:JOD393232 JEH393231:JEH393232 IUL393231:IUL393232 IKP393231:IKP393232 IAT393231:IAT393232 HQX393231:HQX393232 HHB393231:HHB393232 GXF393231:GXF393232 GNJ393231:GNJ393232 GDN393231:GDN393232 FTR393231:FTR393232 FJV393231:FJV393232 EZZ393231:EZZ393232 EQD393231:EQD393232 EGH393231:EGH393232 DWL393231:DWL393232 DMP393231:DMP393232 DCT393231:DCT393232 CSX393231:CSX393232 CJB393231:CJB393232 BZF393231:BZF393232 BPJ393231:BPJ393232 BFN393231:BFN393232 AVR393231:AVR393232 ALV393231:ALV393232 ABZ393231:ABZ393232 SD393231:SD393232 IH393231:IH393232 E393231:E393232 WUT327695:WUT327696 WKX327695:WKX327696 WBB327695:WBB327696 VRF327695:VRF327696 VHJ327695:VHJ327696 UXN327695:UXN327696 UNR327695:UNR327696 UDV327695:UDV327696 TTZ327695:TTZ327696 TKD327695:TKD327696 TAH327695:TAH327696 SQL327695:SQL327696 SGP327695:SGP327696 RWT327695:RWT327696 RMX327695:RMX327696 RDB327695:RDB327696 QTF327695:QTF327696 QJJ327695:QJJ327696 PZN327695:PZN327696 PPR327695:PPR327696 PFV327695:PFV327696 OVZ327695:OVZ327696 OMD327695:OMD327696 OCH327695:OCH327696 NSL327695:NSL327696 NIP327695:NIP327696 MYT327695:MYT327696 MOX327695:MOX327696 MFB327695:MFB327696 LVF327695:LVF327696 LLJ327695:LLJ327696 LBN327695:LBN327696 KRR327695:KRR327696 KHV327695:KHV327696 JXZ327695:JXZ327696 JOD327695:JOD327696 JEH327695:JEH327696 IUL327695:IUL327696 IKP327695:IKP327696 IAT327695:IAT327696 HQX327695:HQX327696 HHB327695:HHB327696 GXF327695:GXF327696 GNJ327695:GNJ327696 GDN327695:GDN327696 FTR327695:FTR327696 FJV327695:FJV327696 EZZ327695:EZZ327696 EQD327695:EQD327696 EGH327695:EGH327696 DWL327695:DWL327696 DMP327695:DMP327696 DCT327695:DCT327696 CSX327695:CSX327696 CJB327695:CJB327696 BZF327695:BZF327696 BPJ327695:BPJ327696 BFN327695:BFN327696 AVR327695:AVR327696 ALV327695:ALV327696 ABZ327695:ABZ327696 SD327695:SD327696 IH327695:IH327696 E327695:E327696 WUT262159:WUT262160 WKX262159:WKX262160 WBB262159:WBB262160 VRF262159:VRF262160 VHJ262159:VHJ262160 UXN262159:UXN262160 UNR262159:UNR262160 UDV262159:UDV262160 TTZ262159:TTZ262160 TKD262159:TKD262160 TAH262159:TAH262160 SQL262159:SQL262160 SGP262159:SGP262160 RWT262159:RWT262160 RMX262159:RMX262160 RDB262159:RDB262160 QTF262159:QTF262160 QJJ262159:QJJ262160 PZN262159:PZN262160 PPR262159:PPR262160 PFV262159:PFV262160 OVZ262159:OVZ262160 OMD262159:OMD262160 OCH262159:OCH262160 NSL262159:NSL262160 NIP262159:NIP262160 MYT262159:MYT262160 MOX262159:MOX262160 MFB262159:MFB262160 LVF262159:LVF262160 LLJ262159:LLJ262160 LBN262159:LBN262160 KRR262159:KRR262160 KHV262159:KHV262160 JXZ262159:JXZ262160 JOD262159:JOD262160 JEH262159:JEH262160 IUL262159:IUL262160 IKP262159:IKP262160 IAT262159:IAT262160 HQX262159:HQX262160 HHB262159:HHB262160 GXF262159:GXF262160 GNJ262159:GNJ262160 GDN262159:GDN262160 FTR262159:FTR262160 FJV262159:FJV262160 EZZ262159:EZZ262160 EQD262159:EQD262160 EGH262159:EGH262160 DWL262159:DWL262160 DMP262159:DMP262160 DCT262159:DCT262160 CSX262159:CSX262160 CJB262159:CJB262160 BZF262159:BZF262160 BPJ262159:BPJ262160 BFN262159:BFN262160 AVR262159:AVR262160 ALV262159:ALV262160 ABZ262159:ABZ262160 SD262159:SD262160 IH262159:IH262160 E262159:E262160 WUT196623:WUT196624 WKX196623:WKX196624 WBB196623:WBB196624 VRF196623:VRF196624 VHJ196623:VHJ196624 UXN196623:UXN196624 UNR196623:UNR196624 UDV196623:UDV196624 TTZ196623:TTZ196624 TKD196623:TKD196624 TAH196623:TAH196624 SQL196623:SQL196624 SGP196623:SGP196624 RWT196623:RWT196624 RMX196623:RMX196624 RDB196623:RDB196624 QTF196623:QTF196624 QJJ196623:QJJ196624 PZN196623:PZN196624 PPR196623:PPR196624 PFV196623:PFV196624 OVZ196623:OVZ196624 OMD196623:OMD196624 OCH196623:OCH196624 NSL196623:NSL196624 NIP196623:NIP196624 MYT196623:MYT196624 MOX196623:MOX196624 MFB196623:MFB196624 LVF196623:LVF196624 LLJ196623:LLJ196624 LBN196623:LBN196624 KRR196623:KRR196624 KHV196623:KHV196624 JXZ196623:JXZ196624 JOD196623:JOD196624 JEH196623:JEH196624 IUL196623:IUL196624 IKP196623:IKP196624 IAT196623:IAT196624 HQX196623:HQX196624 HHB196623:HHB196624 GXF196623:GXF196624 GNJ196623:GNJ196624 GDN196623:GDN196624 FTR196623:FTR196624 FJV196623:FJV196624 EZZ196623:EZZ196624 EQD196623:EQD196624 EGH196623:EGH196624 DWL196623:DWL196624 DMP196623:DMP196624 DCT196623:DCT196624 CSX196623:CSX196624 CJB196623:CJB196624 BZF196623:BZF196624 BPJ196623:BPJ196624 BFN196623:BFN196624 AVR196623:AVR196624 ALV196623:ALV196624 ABZ196623:ABZ196624 SD196623:SD196624 IH196623:IH196624 E196623:E196624 WUT131087:WUT131088 WKX131087:WKX131088 WBB131087:WBB131088 VRF131087:VRF131088 VHJ131087:VHJ131088 UXN131087:UXN131088 UNR131087:UNR131088 UDV131087:UDV131088 TTZ131087:TTZ131088 TKD131087:TKD131088 TAH131087:TAH131088 SQL131087:SQL131088 SGP131087:SGP131088 RWT131087:RWT131088 RMX131087:RMX131088 RDB131087:RDB131088 QTF131087:QTF131088 QJJ131087:QJJ131088 PZN131087:PZN131088 PPR131087:PPR131088 PFV131087:PFV131088 OVZ131087:OVZ131088 OMD131087:OMD131088 OCH131087:OCH131088 NSL131087:NSL131088 NIP131087:NIP131088 MYT131087:MYT131088 MOX131087:MOX131088 MFB131087:MFB131088 LVF131087:LVF131088 LLJ131087:LLJ131088 LBN131087:LBN131088 KRR131087:KRR131088 KHV131087:KHV131088 JXZ131087:JXZ131088 JOD131087:JOD131088 JEH131087:JEH131088 IUL131087:IUL131088 IKP131087:IKP131088 IAT131087:IAT131088 HQX131087:HQX131088 HHB131087:HHB131088 GXF131087:GXF131088 GNJ131087:GNJ131088 GDN131087:GDN131088 FTR131087:FTR131088 FJV131087:FJV131088 EZZ131087:EZZ131088 EQD131087:EQD131088 EGH131087:EGH131088 DWL131087:DWL131088 DMP131087:DMP131088 DCT131087:DCT131088 CSX131087:CSX131088 CJB131087:CJB131088 BZF131087:BZF131088 BPJ131087:BPJ131088 BFN131087:BFN131088 AVR131087:AVR131088 ALV131087:ALV131088 ABZ131087:ABZ131088 SD131087:SD131088 IH131087:IH131088 E131087:E131088 WUT65551:WUT65552 WKX65551:WKX65552 WBB65551:WBB65552 VRF65551:VRF65552 VHJ65551:VHJ65552 UXN65551:UXN65552 UNR65551:UNR65552 UDV65551:UDV65552 TTZ65551:TTZ65552 TKD65551:TKD65552 TAH65551:TAH65552 SQL65551:SQL65552 SGP65551:SGP65552 RWT65551:RWT65552 RMX65551:RMX65552 RDB65551:RDB65552 QTF65551:QTF65552 QJJ65551:QJJ65552 PZN65551:PZN65552 PPR65551:PPR65552 PFV65551:PFV65552 OVZ65551:OVZ65552 OMD65551:OMD65552 OCH65551:OCH65552 NSL65551:NSL65552 NIP65551:NIP65552 MYT65551:MYT65552 MOX65551:MOX65552 MFB65551:MFB65552 LVF65551:LVF65552 LLJ65551:LLJ65552 LBN65551:LBN65552 KRR65551:KRR65552 KHV65551:KHV65552 JXZ65551:JXZ65552 JOD65551:JOD65552 JEH65551:JEH65552 IUL65551:IUL65552 IKP65551:IKP65552 IAT65551:IAT65552 HQX65551:HQX65552 HHB65551:HHB65552 GXF65551:GXF65552 GNJ65551:GNJ65552 GDN65551:GDN65552 FTR65551:FTR65552 FJV65551:FJV65552 EZZ65551:EZZ65552 EQD65551:EQD65552 EGH65551:EGH65552 DWL65551:DWL65552 DMP65551:DMP65552 DCT65551:DCT65552 CSX65551:CSX65552 CJB65551:CJB65552 BZF65551:BZF65552 BPJ65551:BPJ65552 BFN65551:BFN65552 AVR65551:AVR65552 ALV65551:ALV65552 ABZ65551:ABZ65552 SD65551:SD65552 IH65551:IH65552 E65551:E65552 WUT3:WUT4 WKX3:WKX4 WBB3:WBB4 VRF3:VRF4 VHJ3:VHJ4 UXN3:UXN4 UNR3:UNR4 UDV3:UDV4 TTZ3:TTZ4 TKD3:TKD4 TAH3:TAH4 SQL3:SQL4 SGP3:SGP4 RWT3:RWT4 RMX3:RMX4 RDB3:RDB4 QTF3:QTF4 QJJ3:QJJ4 PZN3:PZN4 PPR3:PPR4 PFV3:PFV4 OVZ3:OVZ4 OMD3:OMD4 OCH3:OCH4 NSL3:NSL4 NIP3:NIP4 MYT3:MYT4 MOX3:MOX4 MFB3:MFB4 LVF3:LVF4 LLJ3:LLJ4 LBN3:LBN4 KRR3:KRR4 KHV3:KHV4 JXZ3:JXZ4 JOD3:JOD4 JEH3:JEH4 IUL3:IUL4 IKP3:IKP4 IAT3:IAT4 HQX3:HQX4 HHB3:HHB4 GXF3:GXF4 GNJ3:GNJ4 GDN3:GDN4 FTR3:FTR4 FJV3:FJV4 EZZ3:EZZ4 EQD3:EQD4 EGH3:EGH4 DWL3:DWL4 DMP3:DMP4 DCT3:DCT4 CSX3:CSX4 CJB3:CJB4 BZF3:BZF4 BPJ3:BPJ4 BFN3:BFN4 AVR3:AVR4 ALV3:ALV4 ABZ3:ABZ4 SD3:SD4 D6:D7" xr:uid="{00000000-0002-0000-1700-000000000000}">
      <formula1>#REF!</formula1>
    </dataValidation>
  </dataValidations>
  <pageMargins left="0.78740157499999996" right="0.78740157499999996" top="0.984251969" bottom="0.984251969" header="0.4921259845" footer="0.4921259845"/>
  <pageSetup paperSize="9" scale="72" orientation="landscape" r:id="rId1"/>
  <headerFooter alignWithMargins="0">
    <oddHeader>&amp;CSIA 2024 Raum-Datenblätter</oddHeader>
    <oddFooter>&amp;CSIA 2024, Copyright © 2021 by SIA Zurich</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blSIA3804">
    <tabColor theme="4"/>
    <pageSetUpPr fitToPage="1"/>
  </sheetPr>
  <dimension ref="A1:T197"/>
  <sheetViews>
    <sheetView showGridLines="0" showRowColHeaders="0" topLeftCell="A21" zoomScaleNormal="100" zoomScaleSheetLayoutView="55" zoomScalePageLayoutView="70" workbookViewId="0">
      <selection activeCell="B68" sqref="B68"/>
    </sheetView>
  </sheetViews>
  <sheetFormatPr baseColWidth="10" defaultColWidth="11.53515625" defaultRowHeight="12.45"/>
  <cols>
    <col min="1" max="1" width="3" style="270" customWidth="1"/>
    <col min="2" max="2" width="43.69140625" style="270" customWidth="1"/>
    <col min="3" max="3" width="14.23046875" style="270" customWidth="1"/>
    <col min="4" max="4" width="9.765625" style="270" bestFit="1" customWidth="1"/>
    <col min="5" max="5" width="9.69140625" style="270" bestFit="1" customWidth="1"/>
    <col min="6" max="6" width="7.53515625" style="270" customWidth="1"/>
    <col min="7" max="7" width="11.23046875" style="270" customWidth="1"/>
    <col min="8" max="8" width="10.69140625" style="270" customWidth="1"/>
    <col min="9" max="9" width="10.23046875" style="270" customWidth="1"/>
    <col min="10" max="10" width="9.23046875" style="270" customWidth="1"/>
    <col min="11" max="15" width="5.53515625" style="270" bestFit="1" customWidth="1"/>
    <col min="16" max="17" width="9.69140625" style="270" customWidth="1"/>
    <col min="18" max="18" width="4.53515625" style="270" customWidth="1"/>
    <col min="19" max="19" width="7.765625" style="270" customWidth="1"/>
    <col min="20" max="237" width="11.53515625" style="270"/>
    <col min="238" max="238" width="3" style="270" customWidth="1"/>
    <col min="239" max="239" width="50.69140625" style="270" customWidth="1"/>
    <col min="240" max="240" width="13.23046875" style="270" customWidth="1"/>
    <col min="241" max="241" width="18.53515625" style="270" customWidth="1"/>
    <col min="242" max="242" width="10.765625" style="270" customWidth="1"/>
    <col min="243" max="243" width="9.69140625" style="270" customWidth="1"/>
    <col min="244" max="244" width="11.69140625" style="270" customWidth="1"/>
    <col min="245" max="245" width="15.23046875" style="270" customWidth="1"/>
    <col min="246" max="246" width="18" style="270" customWidth="1"/>
    <col min="247" max="247" width="11.765625" style="270" customWidth="1"/>
    <col min="248" max="254" width="9.69140625" style="270" customWidth="1"/>
    <col min="255" max="256" width="4.23046875" style="270" customWidth="1"/>
    <col min="257" max="257" width="17.23046875" style="270" customWidth="1"/>
    <col min="258" max="274" width="9.23046875" style="270" customWidth="1"/>
    <col min="275" max="493" width="11.53515625" style="270"/>
    <col min="494" max="494" width="3" style="270" customWidth="1"/>
    <col min="495" max="495" width="50.69140625" style="270" customWidth="1"/>
    <col min="496" max="496" width="13.23046875" style="270" customWidth="1"/>
    <col min="497" max="497" width="18.53515625" style="270" customWidth="1"/>
    <col min="498" max="498" width="10.765625" style="270" customWidth="1"/>
    <col min="499" max="499" width="9.69140625" style="270" customWidth="1"/>
    <col min="500" max="500" width="11.69140625" style="270" customWidth="1"/>
    <col min="501" max="501" width="15.23046875" style="270" customWidth="1"/>
    <col min="502" max="502" width="18" style="270" customWidth="1"/>
    <col min="503" max="503" width="11.765625" style="270" customWidth="1"/>
    <col min="504" max="510" width="9.69140625" style="270" customWidth="1"/>
    <col min="511" max="512" width="4.23046875" style="270" customWidth="1"/>
    <col min="513" max="513" width="17.23046875" style="270" customWidth="1"/>
    <col min="514" max="530" width="9.23046875" style="270" customWidth="1"/>
    <col min="531" max="749" width="11.53515625" style="270"/>
    <col min="750" max="750" width="3" style="270" customWidth="1"/>
    <col min="751" max="751" width="50.69140625" style="270" customWidth="1"/>
    <col min="752" max="752" width="13.23046875" style="270" customWidth="1"/>
    <col min="753" max="753" width="18.53515625" style="270" customWidth="1"/>
    <col min="754" max="754" width="10.765625" style="270" customWidth="1"/>
    <col min="755" max="755" width="9.69140625" style="270" customWidth="1"/>
    <col min="756" max="756" width="11.69140625" style="270" customWidth="1"/>
    <col min="757" max="757" width="15.23046875" style="270" customWidth="1"/>
    <col min="758" max="758" width="18" style="270" customWidth="1"/>
    <col min="759" max="759" width="11.765625" style="270" customWidth="1"/>
    <col min="760" max="766" width="9.69140625" style="270" customWidth="1"/>
    <col min="767" max="768" width="4.23046875" style="270" customWidth="1"/>
    <col min="769" max="769" width="17.23046875" style="270" customWidth="1"/>
    <col min="770" max="786" width="9.23046875" style="270" customWidth="1"/>
    <col min="787" max="1005" width="11.53515625" style="270"/>
    <col min="1006" max="1006" width="3" style="270" customWidth="1"/>
    <col min="1007" max="1007" width="50.69140625" style="270" customWidth="1"/>
    <col min="1008" max="1008" width="13.23046875" style="270" customWidth="1"/>
    <col min="1009" max="1009" width="18.53515625" style="270" customWidth="1"/>
    <col min="1010" max="1010" width="10.765625" style="270" customWidth="1"/>
    <col min="1011" max="1011" width="9.69140625" style="270" customWidth="1"/>
    <col min="1012" max="1012" width="11.69140625" style="270" customWidth="1"/>
    <col min="1013" max="1013" width="15.23046875" style="270" customWidth="1"/>
    <col min="1014" max="1014" width="18" style="270" customWidth="1"/>
    <col min="1015" max="1015" width="11.765625" style="270" customWidth="1"/>
    <col min="1016" max="1022" width="9.69140625" style="270" customWidth="1"/>
    <col min="1023" max="1024" width="4.23046875" style="270" customWidth="1"/>
    <col min="1025" max="1025" width="17.23046875" style="270" customWidth="1"/>
    <col min="1026" max="1042" width="9.23046875" style="270" customWidth="1"/>
    <col min="1043" max="1261" width="11.53515625" style="270"/>
    <col min="1262" max="1262" width="3" style="270" customWidth="1"/>
    <col min="1263" max="1263" width="50.69140625" style="270" customWidth="1"/>
    <col min="1264" max="1264" width="13.23046875" style="270" customWidth="1"/>
    <col min="1265" max="1265" width="18.53515625" style="270" customWidth="1"/>
    <col min="1266" max="1266" width="10.765625" style="270" customWidth="1"/>
    <col min="1267" max="1267" width="9.69140625" style="270" customWidth="1"/>
    <col min="1268" max="1268" width="11.69140625" style="270" customWidth="1"/>
    <col min="1269" max="1269" width="15.23046875" style="270" customWidth="1"/>
    <col min="1270" max="1270" width="18" style="270" customWidth="1"/>
    <col min="1271" max="1271" width="11.765625" style="270" customWidth="1"/>
    <col min="1272" max="1278" width="9.69140625" style="270" customWidth="1"/>
    <col min="1279" max="1280" width="4.23046875" style="270" customWidth="1"/>
    <col min="1281" max="1281" width="17.23046875" style="270" customWidth="1"/>
    <col min="1282" max="1298" width="9.23046875" style="270" customWidth="1"/>
    <col min="1299" max="1517" width="11.53515625" style="270"/>
    <col min="1518" max="1518" width="3" style="270" customWidth="1"/>
    <col min="1519" max="1519" width="50.69140625" style="270" customWidth="1"/>
    <col min="1520" max="1520" width="13.23046875" style="270" customWidth="1"/>
    <col min="1521" max="1521" width="18.53515625" style="270" customWidth="1"/>
    <col min="1522" max="1522" width="10.765625" style="270" customWidth="1"/>
    <col min="1523" max="1523" width="9.69140625" style="270" customWidth="1"/>
    <col min="1524" max="1524" width="11.69140625" style="270" customWidth="1"/>
    <col min="1525" max="1525" width="15.23046875" style="270" customWidth="1"/>
    <col min="1526" max="1526" width="18" style="270" customWidth="1"/>
    <col min="1527" max="1527" width="11.765625" style="270" customWidth="1"/>
    <col min="1528" max="1534" width="9.69140625" style="270" customWidth="1"/>
    <col min="1535" max="1536" width="4.23046875" style="270" customWidth="1"/>
    <col min="1537" max="1537" width="17.23046875" style="270" customWidth="1"/>
    <col min="1538" max="1554" width="9.23046875" style="270" customWidth="1"/>
    <col min="1555" max="1773" width="11.53515625" style="270"/>
    <col min="1774" max="1774" width="3" style="270" customWidth="1"/>
    <col min="1775" max="1775" width="50.69140625" style="270" customWidth="1"/>
    <col min="1776" max="1776" width="13.23046875" style="270" customWidth="1"/>
    <col min="1777" max="1777" width="18.53515625" style="270" customWidth="1"/>
    <col min="1778" max="1778" width="10.765625" style="270" customWidth="1"/>
    <col min="1779" max="1779" width="9.69140625" style="270" customWidth="1"/>
    <col min="1780" max="1780" width="11.69140625" style="270" customWidth="1"/>
    <col min="1781" max="1781" width="15.23046875" style="270" customWidth="1"/>
    <col min="1782" max="1782" width="18" style="270" customWidth="1"/>
    <col min="1783" max="1783" width="11.765625" style="270" customWidth="1"/>
    <col min="1784" max="1790" width="9.69140625" style="270" customWidth="1"/>
    <col min="1791" max="1792" width="4.23046875" style="270" customWidth="1"/>
    <col min="1793" max="1793" width="17.23046875" style="270" customWidth="1"/>
    <col min="1794" max="1810" width="9.23046875" style="270" customWidth="1"/>
    <col min="1811" max="2029" width="11.53515625" style="270"/>
    <col min="2030" max="2030" width="3" style="270" customWidth="1"/>
    <col min="2031" max="2031" width="50.69140625" style="270" customWidth="1"/>
    <col min="2032" max="2032" width="13.23046875" style="270" customWidth="1"/>
    <col min="2033" max="2033" width="18.53515625" style="270" customWidth="1"/>
    <col min="2034" max="2034" width="10.765625" style="270" customWidth="1"/>
    <col min="2035" max="2035" width="9.69140625" style="270" customWidth="1"/>
    <col min="2036" max="2036" width="11.69140625" style="270" customWidth="1"/>
    <col min="2037" max="2037" width="15.23046875" style="270" customWidth="1"/>
    <col min="2038" max="2038" width="18" style="270" customWidth="1"/>
    <col min="2039" max="2039" width="11.765625" style="270" customWidth="1"/>
    <col min="2040" max="2046" width="9.69140625" style="270" customWidth="1"/>
    <col min="2047" max="2048" width="4.23046875" style="270" customWidth="1"/>
    <col min="2049" max="2049" width="17.23046875" style="270" customWidth="1"/>
    <col min="2050" max="2066" width="9.23046875" style="270" customWidth="1"/>
    <col min="2067" max="2285" width="11.53515625" style="270"/>
    <col min="2286" max="2286" width="3" style="270" customWidth="1"/>
    <col min="2287" max="2287" width="50.69140625" style="270" customWidth="1"/>
    <col min="2288" max="2288" width="13.23046875" style="270" customWidth="1"/>
    <col min="2289" max="2289" width="18.53515625" style="270" customWidth="1"/>
    <col min="2290" max="2290" width="10.765625" style="270" customWidth="1"/>
    <col min="2291" max="2291" width="9.69140625" style="270" customWidth="1"/>
    <col min="2292" max="2292" width="11.69140625" style="270" customWidth="1"/>
    <col min="2293" max="2293" width="15.23046875" style="270" customWidth="1"/>
    <col min="2294" max="2294" width="18" style="270" customWidth="1"/>
    <col min="2295" max="2295" width="11.765625" style="270" customWidth="1"/>
    <col min="2296" max="2302" width="9.69140625" style="270" customWidth="1"/>
    <col min="2303" max="2304" width="4.23046875" style="270" customWidth="1"/>
    <col min="2305" max="2305" width="17.23046875" style="270" customWidth="1"/>
    <col min="2306" max="2322" width="9.23046875" style="270" customWidth="1"/>
    <col min="2323" max="2541" width="11.53515625" style="270"/>
    <col min="2542" max="2542" width="3" style="270" customWidth="1"/>
    <col min="2543" max="2543" width="50.69140625" style="270" customWidth="1"/>
    <col min="2544" max="2544" width="13.23046875" style="270" customWidth="1"/>
    <col min="2545" max="2545" width="18.53515625" style="270" customWidth="1"/>
    <col min="2546" max="2546" width="10.765625" style="270" customWidth="1"/>
    <col min="2547" max="2547" width="9.69140625" style="270" customWidth="1"/>
    <col min="2548" max="2548" width="11.69140625" style="270" customWidth="1"/>
    <col min="2549" max="2549" width="15.23046875" style="270" customWidth="1"/>
    <col min="2550" max="2550" width="18" style="270" customWidth="1"/>
    <col min="2551" max="2551" width="11.765625" style="270" customWidth="1"/>
    <col min="2552" max="2558" width="9.69140625" style="270" customWidth="1"/>
    <col min="2559" max="2560" width="4.23046875" style="270" customWidth="1"/>
    <col min="2561" max="2561" width="17.23046875" style="270" customWidth="1"/>
    <col min="2562" max="2578" width="9.23046875" style="270" customWidth="1"/>
    <col min="2579" max="2797" width="11.53515625" style="270"/>
    <col min="2798" max="2798" width="3" style="270" customWidth="1"/>
    <col min="2799" max="2799" width="50.69140625" style="270" customWidth="1"/>
    <col min="2800" max="2800" width="13.23046875" style="270" customWidth="1"/>
    <col min="2801" max="2801" width="18.53515625" style="270" customWidth="1"/>
    <col min="2802" max="2802" width="10.765625" style="270" customWidth="1"/>
    <col min="2803" max="2803" width="9.69140625" style="270" customWidth="1"/>
    <col min="2804" max="2804" width="11.69140625" style="270" customWidth="1"/>
    <col min="2805" max="2805" width="15.23046875" style="270" customWidth="1"/>
    <col min="2806" max="2806" width="18" style="270" customWidth="1"/>
    <col min="2807" max="2807" width="11.765625" style="270" customWidth="1"/>
    <col min="2808" max="2814" width="9.69140625" style="270" customWidth="1"/>
    <col min="2815" max="2816" width="4.23046875" style="270" customWidth="1"/>
    <col min="2817" max="2817" width="17.23046875" style="270" customWidth="1"/>
    <col min="2818" max="2834" width="9.23046875" style="270" customWidth="1"/>
    <col min="2835" max="3053" width="11.53515625" style="270"/>
    <col min="3054" max="3054" width="3" style="270" customWidth="1"/>
    <col min="3055" max="3055" width="50.69140625" style="270" customWidth="1"/>
    <col min="3056" max="3056" width="13.23046875" style="270" customWidth="1"/>
    <col min="3057" max="3057" width="18.53515625" style="270" customWidth="1"/>
    <col min="3058" max="3058" width="10.765625" style="270" customWidth="1"/>
    <col min="3059" max="3059" width="9.69140625" style="270" customWidth="1"/>
    <col min="3060" max="3060" width="11.69140625" style="270" customWidth="1"/>
    <col min="3061" max="3061" width="15.23046875" style="270" customWidth="1"/>
    <col min="3062" max="3062" width="18" style="270" customWidth="1"/>
    <col min="3063" max="3063" width="11.765625" style="270" customWidth="1"/>
    <col min="3064" max="3070" width="9.69140625" style="270" customWidth="1"/>
    <col min="3071" max="3072" width="4.23046875" style="270" customWidth="1"/>
    <col min="3073" max="3073" width="17.23046875" style="270" customWidth="1"/>
    <col min="3074" max="3090" width="9.23046875" style="270" customWidth="1"/>
    <col min="3091" max="3309" width="11.53515625" style="270"/>
    <col min="3310" max="3310" width="3" style="270" customWidth="1"/>
    <col min="3311" max="3311" width="50.69140625" style="270" customWidth="1"/>
    <col min="3312" max="3312" width="13.23046875" style="270" customWidth="1"/>
    <col min="3313" max="3313" width="18.53515625" style="270" customWidth="1"/>
    <col min="3314" max="3314" width="10.765625" style="270" customWidth="1"/>
    <col min="3315" max="3315" width="9.69140625" style="270" customWidth="1"/>
    <col min="3316" max="3316" width="11.69140625" style="270" customWidth="1"/>
    <col min="3317" max="3317" width="15.23046875" style="270" customWidth="1"/>
    <col min="3318" max="3318" width="18" style="270" customWidth="1"/>
    <col min="3319" max="3319" width="11.765625" style="270" customWidth="1"/>
    <col min="3320" max="3326" width="9.69140625" style="270" customWidth="1"/>
    <col min="3327" max="3328" width="4.23046875" style="270" customWidth="1"/>
    <col min="3329" max="3329" width="17.23046875" style="270" customWidth="1"/>
    <col min="3330" max="3346" width="9.23046875" style="270" customWidth="1"/>
    <col min="3347" max="3565" width="11.53515625" style="270"/>
    <col min="3566" max="3566" width="3" style="270" customWidth="1"/>
    <col min="3567" max="3567" width="50.69140625" style="270" customWidth="1"/>
    <col min="3568" max="3568" width="13.23046875" style="270" customWidth="1"/>
    <col min="3569" max="3569" width="18.53515625" style="270" customWidth="1"/>
    <col min="3570" max="3570" width="10.765625" style="270" customWidth="1"/>
    <col min="3571" max="3571" width="9.69140625" style="270" customWidth="1"/>
    <col min="3572" max="3572" width="11.69140625" style="270" customWidth="1"/>
    <col min="3573" max="3573" width="15.23046875" style="270" customWidth="1"/>
    <col min="3574" max="3574" width="18" style="270" customWidth="1"/>
    <col min="3575" max="3575" width="11.765625" style="270" customWidth="1"/>
    <col min="3576" max="3582" width="9.69140625" style="270" customWidth="1"/>
    <col min="3583" max="3584" width="4.23046875" style="270" customWidth="1"/>
    <col min="3585" max="3585" width="17.23046875" style="270" customWidth="1"/>
    <col min="3586" max="3602" width="9.23046875" style="270" customWidth="1"/>
    <col min="3603" max="3821" width="11.53515625" style="270"/>
    <col min="3822" max="3822" width="3" style="270" customWidth="1"/>
    <col min="3823" max="3823" width="50.69140625" style="270" customWidth="1"/>
    <col min="3824" max="3824" width="13.23046875" style="270" customWidth="1"/>
    <col min="3825" max="3825" width="18.53515625" style="270" customWidth="1"/>
    <col min="3826" max="3826" width="10.765625" style="270" customWidth="1"/>
    <col min="3827" max="3827" width="9.69140625" style="270" customWidth="1"/>
    <col min="3828" max="3828" width="11.69140625" style="270" customWidth="1"/>
    <col min="3829" max="3829" width="15.23046875" style="270" customWidth="1"/>
    <col min="3830" max="3830" width="18" style="270" customWidth="1"/>
    <col min="3831" max="3831" width="11.765625" style="270" customWidth="1"/>
    <col min="3832" max="3838" width="9.69140625" style="270" customWidth="1"/>
    <col min="3839" max="3840" width="4.23046875" style="270" customWidth="1"/>
    <col min="3841" max="3841" width="17.23046875" style="270" customWidth="1"/>
    <col min="3842" max="3858" width="9.23046875" style="270" customWidth="1"/>
    <col min="3859" max="4077" width="11.53515625" style="270"/>
    <col min="4078" max="4078" width="3" style="270" customWidth="1"/>
    <col min="4079" max="4079" width="50.69140625" style="270" customWidth="1"/>
    <col min="4080" max="4080" width="13.23046875" style="270" customWidth="1"/>
    <col min="4081" max="4081" width="18.53515625" style="270" customWidth="1"/>
    <col min="4082" max="4082" width="10.765625" style="270" customWidth="1"/>
    <col min="4083" max="4083" width="9.69140625" style="270" customWidth="1"/>
    <col min="4084" max="4084" width="11.69140625" style="270" customWidth="1"/>
    <col min="4085" max="4085" width="15.23046875" style="270" customWidth="1"/>
    <col min="4086" max="4086" width="18" style="270" customWidth="1"/>
    <col min="4087" max="4087" width="11.765625" style="270" customWidth="1"/>
    <col min="4088" max="4094" width="9.69140625" style="270" customWidth="1"/>
    <col min="4095" max="4096" width="4.23046875" style="270" customWidth="1"/>
    <col min="4097" max="4097" width="17.23046875" style="270" customWidth="1"/>
    <col min="4098" max="4114" width="9.23046875" style="270" customWidth="1"/>
    <col min="4115" max="4333" width="11.53515625" style="270"/>
    <col min="4334" max="4334" width="3" style="270" customWidth="1"/>
    <col min="4335" max="4335" width="50.69140625" style="270" customWidth="1"/>
    <col min="4336" max="4336" width="13.23046875" style="270" customWidth="1"/>
    <col min="4337" max="4337" width="18.53515625" style="270" customWidth="1"/>
    <col min="4338" max="4338" width="10.765625" style="270" customWidth="1"/>
    <col min="4339" max="4339" width="9.69140625" style="270" customWidth="1"/>
    <col min="4340" max="4340" width="11.69140625" style="270" customWidth="1"/>
    <col min="4341" max="4341" width="15.23046875" style="270" customWidth="1"/>
    <col min="4342" max="4342" width="18" style="270" customWidth="1"/>
    <col min="4343" max="4343" width="11.765625" style="270" customWidth="1"/>
    <col min="4344" max="4350" width="9.69140625" style="270" customWidth="1"/>
    <col min="4351" max="4352" width="4.23046875" style="270" customWidth="1"/>
    <col min="4353" max="4353" width="17.23046875" style="270" customWidth="1"/>
    <col min="4354" max="4370" width="9.23046875" style="270" customWidth="1"/>
    <col min="4371" max="4589" width="11.53515625" style="270"/>
    <col min="4590" max="4590" width="3" style="270" customWidth="1"/>
    <col min="4591" max="4591" width="50.69140625" style="270" customWidth="1"/>
    <col min="4592" max="4592" width="13.23046875" style="270" customWidth="1"/>
    <col min="4593" max="4593" width="18.53515625" style="270" customWidth="1"/>
    <col min="4594" max="4594" width="10.765625" style="270" customWidth="1"/>
    <col min="4595" max="4595" width="9.69140625" style="270" customWidth="1"/>
    <col min="4596" max="4596" width="11.69140625" style="270" customWidth="1"/>
    <col min="4597" max="4597" width="15.23046875" style="270" customWidth="1"/>
    <col min="4598" max="4598" width="18" style="270" customWidth="1"/>
    <col min="4599" max="4599" width="11.765625" style="270" customWidth="1"/>
    <col min="4600" max="4606" width="9.69140625" style="270" customWidth="1"/>
    <col min="4607" max="4608" width="4.23046875" style="270" customWidth="1"/>
    <col min="4609" max="4609" width="17.23046875" style="270" customWidth="1"/>
    <col min="4610" max="4626" width="9.23046875" style="270" customWidth="1"/>
    <col min="4627" max="4845" width="11.53515625" style="270"/>
    <col min="4846" max="4846" width="3" style="270" customWidth="1"/>
    <col min="4847" max="4847" width="50.69140625" style="270" customWidth="1"/>
    <col min="4848" max="4848" width="13.23046875" style="270" customWidth="1"/>
    <col min="4849" max="4849" width="18.53515625" style="270" customWidth="1"/>
    <col min="4850" max="4850" width="10.765625" style="270" customWidth="1"/>
    <col min="4851" max="4851" width="9.69140625" style="270" customWidth="1"/>
    <col min="4852" max="4852" width="11.69140625" style="270" customWidth="1"/>
    <col min="4853" max="4853" width="15.23046875" style="270" customWidth="1"/>
    <col min="4854" max="4854" width="18" style="270" customWidth="1"/>
    <col min="4855" max="4855" width="11.765625" style="270" customWidth="1"/>
    <col min="4856" max="4862" width="9.69140625" style="270" customWidth="1"/>
    <col min="4863" max="4864" width="4.23046875" style="270" customWidth="1"/>
    <col min="4865" max="4865" width="17.23046875" style="270" customWidth="1"/>
    <col min="4866" max="4882" width="9.23046875" style="270" customWidth="1"/>
    <col min="4883" max="5101" width="11.53515625" style="270"/>
    <col min="5102" max="5102" width="3" style="270" customWidth="1"/>
    <col min="5103" max="5103" width="50.69140625" style="270" customWidth="1"/>
    <col min="5104" max="5104" width="13.23046875" style="270" customWidth="1"/>
    <col min="5105" max="5105" width="18.53515625" style="270" customWidth="1"/>
    <col min="5106" max="5106" width="10.765625" style="270" customWidth="1"/>
    <col min="5107" max="5107" width="9.69140625" style="270" customWidth="1"/>
    <col min="5108" max="5108" width="11.69140625" style="270" customWidth="1"/>
    <col min="5109" max="5109" width="15.23046875" style="270" customWidth="1"/>
    <col min="5110" max="5110" width="18" style="270" customWidth="1"/>
    <col min="5111" max="5111" width="11.765625" style="270" customWidth="1"/>
    <col min="5112" max="5118" width="9.69140625" style="270" customWidth="1"/>
    <col min="5119" max="5120" width="4.23046875" style="270" customWidth="1"/>
    <col min="5121" max="5121" width="17.23046875" style="270" customWidth="1"/>
    <col min="5122" max="5138" width="9.23046875" style="270" customWidth="1"/>
    <col min="5139" max="5357" width="11.53515625" style="270"/>
    <col min="5358" max="5358" width="3" style="270" customWidth="1"/>
    <col min="5359" max="5359" width="50.69140625" style="270" customWidth="1"/>
    <col min="5360" max="5360" width="13.23046875" style="270" customWidth="1"/>
    <col min="5361" max="5361" width="18.53515625" style="270" customWidth="1"/>
    <col min="5362" max="5362" width="10.765625" style="270" customWidth="1"/>
    <col min="5363" max="5363" width="9.69140625" style="270" customWidth="1"/>
    <col min="5364" max="5364" width="11.69140625" style="270" customWidth="1"/>
    <col min="5365" max="5365" width="15.23046875" style="270" customWidth="1"/>
    <col min="5366" max="5366" width="18" style="270" customWidth="1"/>
    <col min="5367" max="5367" width="11.765625" style="270" customWidth="1"/>
    <col min="5368" max="5374" width="9.69140625" style="270" customWidth="1"/>
    <col min="5375" max="5376" width="4.23046875" style="270" customWidth="1"/>
    <col min="5377" max="5377" width="17.23046875" style="270" customWidth="1"/>
    <col min="5378" max="5394" width="9.23046875" style="270" customWidth="1"/>
    <col min="5395" max="5613" width="11.53515625" style="270"/>
    <col min="5614" max="5614" width="3" style="270" customWidth="1"/>
    <col min="5615" max="5615" width="50.69140625" style="270" customWidth="1"/>
    <col min="5616" max="5616" width="13.23046875" style="270" customWidth="1"/>
    <col min="5617" max="5617" width="18.53515625" style="270" customWidth="1"/>
    <col min="5618" max="5618" width="10.765625" style="270" customWidth="1"/>
    <col min="5619" max="5619" width="9.69140625" style="270" customWidth="1"/>
    <col min="5620" max="5620" width="11.69140625" style="270" customWidth="1"/>
    <col min="5621" max="5621" width="15.23046875" style="270" customWidth="1"/>
    <col min="5622" max="5622" width="18" style="270" customWidth="1"/>
    <col min="5623" max="5623" width="11.765625" style="270" customWidth="1"/>
    <col min="5624" max="5630" width="9.69140625" style="270" customWidth="1"/>
    <col min="5631" max="5632" width="4.23046875" style="270" customWidth="1"/>
    <col min="5633" max="5633" width="17.23046875" style="270" customWidth="1"/>
    <col min="5634" max="5650" width="9.23046875" style="270" customWidth="1"/>
    <col min="5651" max="5869" width="11.53515625" style="270"/>
    <col min="5870" max="5870" width="3" style="270" customWidth="1"/>
    <col min="5871" max="5871" width="50.69140625" style="270" customWidth="1"/>
    <col min="5872" max="5872" width="13.23046875" style="270" customWidth="1"/>
    <col min="5873" max="5873" width="18.53515625" style="270" customWidth="1"/>
    <col min="5874" max="5874" width="10.765625" style="270" customWidth="1"/>
    <col min="5875" max="5875" width="9.69140625" style="270" customWidth="1"/>
    <col min="5876" max="5876" width="11.69140625" style="270" customWidth="1"/>
    <col min="5877" max="5877" width="15.23046875" style="270" customWidth="1"/>
    <col min="5878" max="5878" width="18" style="270" customWidth="1"/>
    <col min="5879" max="5879" width="11.765625" style="270" customWidth="1"/>
    <col min="5880" max="5886" width="9.69140625" style="270" customWidth="1"/>
    <col min="5887" max="5888" width="4.23046875" style="270" customWidth="1"/>
    <col min="5889" max="5889" width="17.23046875" style="270" customWidth="1"/>
    <col min="5890" max="5906" width="9.23046875" style="270" customWidth="1"/>
    <col min="5907" max="6125" width="11.53515625" style="270"/>
    <col min="6126" max="6126" width="3" style="270" customWidth="1"/>
    <col min="6127" max="6127" width="50.69140625" style="270" customWidth="1"/>
    <col min="6128" max="6128" width="13.23046875" style="270" customWidth="1"/>
    <col min="6129" max="6129" width="18.53515625" style="270" customWidth="1"/>
    <col min="6130" max="6130" width="10.765625" style="270" customWidth="1"/>
    <col min="6131" max="6131" width="9.69140625" style="270" customWidth="1"/>
    <col min="6132" max="6132" width="11.69140625" style="270" customWidth="1"/>
    <col min="6133" max="6133" width="15.23046875" style="270" customWidth="1"/>
    <col min="6134" max="6134" width="18" style="270" customWidth="1"/>
    <col min="6135" max="6135" width="11.765625" style="270" customWidth="1"/>
    <col min="6136" max="6142" width="9.69140625" style="270" customWidth="1"/>
    <col min="6143" max="6144" width="4.23046875" style="270" customWidth="1"/>
    <col min="6145" max="6145" width="17.23046875" style="270" customWidth="1"/>
    <col min="6146" max="6162" width="9.23046875" style="270" customWidth="1"/>
    <col min="6163" max="6381" width="11.53515625" style="270"/>
    <col min="6382" max="6382" width="3" style="270" customWidth="1"/>
    <col min="6383" max="6383" width="50.69140625" style="270" customWidth="1"/>
    <col min="6384" max="6384" width="13.23046875" style="270" customWidth="1"/>
    <col min="6385" max="6385" width="18.53515625" style="270" customWidth="1"/>
    <col min="6386" max="6386" width="10.765625" style="270" customWidth="1"/>
    <col min="6387" max="6387" width="9.69140625" style="270" customWidth="1"/>
    <col min="6388" max="6388" width="11.69140625" style="270" customWidth="1"/>
    <col min="6389" max="6389" width="15.23046875" style="270" customWidth="1"/>
    <col min="6390" max="6390" width="18" style="270" customWidth="1"/>
    <col min="6391" max="6391" width="11.765625" style="270" customWidth="1"/>
    <col min="6392" max="6398" width="9.69140625" style="270" customWidth="1"/>
    <col min="6399" max="6400" width="4.23046875" style="270" customWidth="1"/>
    <col min="6401" max="6401" width="17.23046875" style="270" customWidth="1"/>
    <col min="6402" max="6418" width="9.23046875" style="270" customWidth="1"/>
    <col min="6419" max="6637" width="11.53515625" style="270"/>
    <col min="6638" max="6638" width="3" style="270" customWidth="1"/>
    <col min="6639" max="6639" width="50.69140625" style="270" customWidth="1"/>
    <col min="6640" max="6640" width="13.23046875" style="270" customWidth="1"/>
    <col min="6641" max="6641" width="18.53515625" style="270" customWidth="1"/>
    <col min="6642" max="6642" width="10.765625" style="270" customWidth="1"/>
    <col min="6643" max="6643" width="9.69140625" style="270" customWidth="1"/>
    <col min="6644" max="6644" width="11.69140625" style="270" customWidth="1"/>
    <col min="6645" max="6645" width="15.23046875" style="270" customWidth="1"/>
    <col min="6646" max="6646" width="18" style="270" customWidth="1"/>
    <col min="6647" max="6647" width="11.765625" style="270" customWidth="1"/>
    <col min="6648" max="6654" width="9.69140625" style="270" customWidth="1"/>
    <col min="6655" max="6656" width="4.23046875" style="270" customWidth="1"/>
    <col min="6657" max="6657" width="17.23046875" style="270" customWidth="1"/>
    <col min="6658" max="6674" width="9.23046875" style="270" customWidth="1"/>
    <col min="6675" max="6893" width="11.53515625" style="270"/>
    <col min="6894" max="6894" width="3" style="270" customWidth="1"/>
    <col min="6895" max="6895" width="50.69140625" style="270" customWidth="1"/>
    <col min="6896" max="6896" width="13.23046875" style="270" customWidth="1"/>
    <col min="6897" max="6897" width="18.53515625" style="270" customWidth="1"/>
    <col min="6898" max="6898" width="10.765625" style="270" customWidth="1"/>
    <col min="6899" max="6899" width="9.69140625" style="270" customWidth="1"/>
    <col min="6900" max="6900" width="11.69140625" style="270" customWidth="1"/>
    <col min="6901" max="6901" width="15.23046875" style="270" customWidth="1"/>
    <col min="6902" max="6902" width="18" style="270" customWidth="1"/>
    <col min="6903" max="6903" width="11.765625" style="270" customWidth="1"/>
    <col min="6904" max="6910" width="9.69140625" style="270" customWidth="1"/>
    <col min="6911" max="6912" width="4.23046875" style="270" customWidth="1"/>
    <col min="6913" max="6913" width="17.23046875" style="270" customWidth="1"/>
    <col min="6914" max="6930" width="9.23046875" style="270" customWidth="1"/>
    <col min="6931" max="7149" width="11.53515625" style="270"/>
    <col min="7150" max="7150" width="3" style="270" customWidth="1"/>
    <col min="7151" max="7151" width="50.69140625" style="270" customWidth="1"/>
    <col min="7152" max="7152" width="13.23046875" style="270" customWidth="1"/>
    <col min="7153" max="7153" width="18.53515625" style="270" customWidth="1"/>
    <col min="7154" max="7154" width="10.765625" style="270" customWidth="1"/>
    <col min="7155" max="7155" width="9.69140625" style="270" customWidth="1"/>
    <col min="7156" max="7156" width="11.69140625" style="270" customWidth="1"/>
    <col min="7157" max="7157" width="15.23046875" style="270" customWidth="1"/>
    <col min="7158" max="7158" width="18" style="270" customWidth="1"/>
    <col min="7159" max="7159" width="11.765625" style="270" customWidth="1"/>
    <col min="7160" max="7166" width="9.69140625" style="270" customWidth="1"/>
    <col min="7167" max="7168" width="4.23046875" style="270" customWidth="1"/>
    <col min="7169" max="7169" width="17.23046875" style="270" customWidth="1"/>
    <col min="7170" max="7186" width="9.23046875" style="270" customWidth="1"/>
    <col min="7187" max="7405" width="11.53515625" style="270"/>
    <col min="7406" max="7406" width="3" style="270" customWidth="1"/>
    <col min="7407" max="7407" width="50.69140625" style="270" customWidth="1"/>
    <col min="7408" max="7408" width="13.23046875" style="270" customWidth="1"/>
    <col min="7409" max="7409" width="18.53515625" style="270" customWidth="1"/>
    <col min="7410" max="7410" width="10.765625" style="270" customWidth="1"/>
    <col min="7411" max="7411" width="9.69140625" style="270" customWidth="1"/>
    <col min="7412" max="7412" width="11.69140625" style="270" customWidth="1"/>
    <col min="7413" max="7413" width="15.23046875" style="270" customWidth="1"/>
    <col min="7414" max="7414" width="18" style="270" customWidth="1"/>
    <col min="7415" max="7415" width="11.765625" style="270" customWidth="1"/>
    <col min="7416" max="7422" width="9.69140625" style="270" customWidth="1"/>
    <col min="7423" max="7424" width="4.23046875" style="270" customWidth="1"/>
    <col min="7425" max="7425" width="17.23046875" style="270" customWidth="1"/>
    <col min="7426" max="7442" width="9.23046875" style="270" customWidth="1"/>
    <col min="7443" max="7661" width="11.53515625" style="270"/>
    <col min="7662" max="7662" width="3" style="270" customWidth="1"/>
    <col min="7663" max="7663" width="50.69140625" style="270" customWidth="1"/>
    <col min="7664" max="7664" width="13.23046875" style="270" customWidth="1"/>
    <col min="7665" max="7665" width="18.53515625" style="270" customWidth="1"/>
    <col min="7666" max="7666" width="10.765625" style="270" customWidth="1"/>
    <col min="7667" max="7667" width="9.69140625" style="270" customWidth="1"/>
    <col min="7668" max="7668" width="11.69140625" style="270" customWidth="1"/>
    <col min="7669" max="7669" width="15.23046875" style="270" customWidth="1"/>
    <col min="7670" max="7670" width="18" style="270" customWidth="1"/>
    <col min="7671" max="7671" width="11.765625" style="270" customWidth="1"/>
    <col min="7672" max="7678" width="9.69140625" style="270" customWidth="1"/>
    <col min="7679" max="7680" width="4.23046875" style="270" customWidth="1"/>
    <col min="7681" max="7681" width="17.23046875" style="270" customWidth="1"/>
    <col min="7682" max="7698" width="9.23046875" style="270" customWidth="1"/>
    <col min="7699" max="7917" width="11.53515625" style="270"/>
    <col min="7918" max="7918" width="3" style="270" customWidth="1"/>
    <col min="7919" max="7919" width="50.69140625" style="270" customWidth="1"/>
    <col min="7920" max="7920" width="13.23046875" style="270" customWidth="1"/>
    <col min="7921" max="7921" width="18.53515625" style="270" customWidth="1"/>
    <col min="7922" max="7922" width="10.765625" style="270" customWidth="1"/>
    <col min="7923" max="7923" width="9.69140625" style="270" customWidth="1"/>
    <col min="7924" max="7924" width="11.69140625" style="270" customWidth="1"/>
    <col min="7925" max="7925" width="15.23046875" style="270" customWidth="1"/>
    <col min="7926" max="7926" width="18" style="270" customWidth="1"/>
    <col min="7927" max="7927" width="11.765625" style="270" customWidth="1"/>
    <col min="7928" max="7934" width="9.69140625" style="270" customWidth="1"/>
    <col min="7935" max="7936" width="4.23046875" style="270" customWidth="1"/>
    <col min="7937" max="7937" width="17.23046875" style="270" customWidth="1"/>
    <col min="7938" max="7954" width="9.23046875" style="270" customWidth="1"/>
    <col min="7955" max="8173" width="11.53515625" style="270"/>
    <col min="8174" max="8174" width="3" style="270" customWidth="1"/>
    <col min="8175" max="8175" width="50.69140625" style="270" customWidth="1"/>
    <col min="8176" max="8176" width="13.23046875" style="270" customWidth="1"/>
    <col min="8177" max="8177" width="18.53515625" style="270" customWidth="1"/>
    <col min="8178" max="8178" width="10.765625" style="270" customWidth="1"/>
    <col min="8179" max="8179" width="9.69140625" style="270" customWidth="1"/>
    <col min="8180" max="8180" width="11.69140625" style="270" customWidth="1"/>
    <col min="8181" max="8181" width="15.23046875" style="270" customWidth="1"/>
    <col min="8182" max="8182" width="18" style="270" customWidth="1"/>
    <col min="8183" max="8183" width="11.765625" style="270" customWidth="1"/>
    <col min="8184" max="8190" width="9.69140625" style="270" customWidth="1"/>
    <col min="8191" max="8192" width="4.23046875" style="270" customWidth="1"/>
    <col min="8193" max="8193" width="17.23046875" style="270" customWidth="1"/>
    <col min="8194" max="8210" width="9.23046875" style="270" customWidth="1"/>
    <col min="8211" max="8429" width="11.53515625" style="270"/>
    <col min="8430" max="8430" width="3" style="270" customWidth="1"/>
    <col min="8431" max="8431" width="50.69140625" style="270" customWidth="1"/>
    <col min="8432" max="8432" width="13.23046875" style="270" customWidth="1"/>
    <col min="8433" max="8433" width="18.53515625" style="270" customWidth="1"/>
    <col min="8434" max="8434" width="10.765625" style="270" customWidth="1"/>
    <col min="8435" max="8435" width="9.69140625" style="270" customWidth="1"/>
    <col min="8436" max="8436" width="11.69140625" style="270" customWidth="1"/>
    <col min="8437" max="8437" width="15.23046875" style="270" customWidth="1"/>
    <col min="8438" max="8438" width="18" style="270" customWidth="1"/>
    <col min="8439" max="8439" width="11.765625" style="270" customWidth="1"/>
    <col min="8440" max="8446" width="9.69140625" style="270" customWidth="1"/>
    <col min="8447" max="8448" width="4.23046875" style="270" customWidth="1"/>
    <col min="8449" max="8449" width="17.23046875" style="270" customWidth="1"/>
    <col min="8450" max="8466" width="9.23046875" style="270" customWidth="1"/>
    <col min="8467" max="8685" width="11.53515625" style="270"/>
    <col min="8686" max="8686" width="3" style="270" customWidth="1"/>
    <col min="8687" max="8687" width="50.69140625" style="270" customWidth="1"/>
    <col min="8688" max="8688" width="13.23046875" style="270" customWidth="1"/>
    <col min="8689" max="8689" width="18.53515625" style="270" customWidth="1"/>
    <col min="8690" max="8690" width="10.765625" style="270" customWidth="1"/>
    <col min="8691" max="8691" width="9.69140625" style="270" customWidth="1"/>
    <col min="8692" max="8692" width="11.69140625" style="270" customWidth="1"/>
    <col min="8693" max="8693" width="15.23046875" style="270" customWidth="1"/>
    <col min="8694" max="8694" width="18" style="270" customWidth="1"/>
    <col min="8695" max="8695" width="11.765625" style="270" customWidth="1"/>
    <col min="8696" max="8702" width="9.69140625" style="270" customWidth="1"/>
    <col min="8703" max="8704" width="4.23046875" style="270" customWidth="1"/>
    <col min="8705" max="8705" width="17.23046875" style="270" customWidth="1"/>
    <col min="8706" max="8722" width="9.23046875" style="270" customWidth="1"/>
    <col min="8723" max="8941" width="11.53515625" style="270"/>
    <col min="8942" max="8942" width="3" style="270" customWidth="1"/>
    <col min="8943" max="8943" width="50.69140625" style="270" customWidth="1"/>
    <col min="8944" max="8944" width="13.23046875" style="270" customWidth="1"/>
    <col min="8945" max="8945" width="18.53515625" style="270" customWidth="1"/>
    <col min="8946" max="8946" width="10.765625" style="270" customWidth="1"/>
    <col min="8947" max="8947" width="9.69140625" style="270" customWidth="1"/>
    <col min="8948" max="8948" width="11.69140625" style="270" customWidth="1"/>
    <col min="8949" max="8949" width="15.23046875" style="270" customWidth="1"/>
    <col min="8950" max="8950" width="18" style="270" customWidth="1"/>
    <col min="8951" max="8951" width="11.765625" style="270" customWidth="1"/>
    <col min="8952" max="8958" width="9.69140625" style="270" customWidth="1"/>
    <col min="8959" max="8960" width="4.23046875" style="270" customWidth="1"/>
    <col min="8961" max="8961" width="17.23046875" style="270" customWidth="1"/>
    <col min="8962" max="8978" width="9.23046875" style="270" customWidth="1"/>
    <col min="8979" max="9197" width="11.53515625" style="270"/>
    <col min="9198" max="9198" width="3" style="270" customWidth="1"/>
    <col min="9199" max="9199" width="50.69140625" style="270" customWidth="1"/>
    <col min="9200" max="9200" width="13.23046875" style="270" customWidth="1"/>
    <col min="9201" max="9201" width="18.53515625" style="270" customWidth="1"/>
    <col min="9202" max="9202" width="10.765625" style="270" customWidth="1"/>
    <col min="9203" max="9203" width="9.69140625" style="270" customWidth="1"/>
    <col min="9204" max="9204" width="11.69140625" style="270" customWidth="1"/>
    <col min="9205" max="9205" width="15.23046875" style="270" customWidth="1"/>
    <col min="9206" max="9206" width="18" style="270" customWidth="1"/>
    <col min="9207" max="9207" width="11.765625" style="270" customWidth="1"/>
    <col min="9208" max="9214" width="9.69140625" style="270" customWidth="1"/>
    <col min="9215" max="9216" width="4.23046875" style="270" customWidth="1"/>
    <col min="9217" max="9217" width="17.23046875" style="270" customWidth="1"/>
    <col min="9218" max="9234" width="9.23046875" style="270" customWidth="1"/>
    <col min="9235" max="9453" width="11.53515625" style="270"/>
    <col min="9454" max="9454" width="3" style="270" customWidth="1"/>
    <col min="9455" max="9455" width="50.69140625" style="270" customWidth="1"/>
    <col min="9456" max="9456" width="13.23046875" style="270" customWidth="1"/>
    <col min="9457" max="9457" width="18.53515625" style="270" customWidth="1"/>
    <col min="9458" max="9458" width="10.765625" style="270" customWidth="1"/>
    <col min="9459" max="9459" width="9.69140625" style="270" customWidth="1"/>
    <col min="9460" max="9460" width="11.69140625" style="270" customWidth="1"/>
    <col min="9461" max="9461" width="15.23046875" style="270" customWidth="1"/>
    <col min="9462" max="9462" width="18" style="270" customWidth="1"/>
    <col min="9463" max="9463" width="11.765625" style="270" customWidth="1"/>
    <col min="9464" max="9470" width="9.69140625" style="270" customWidth="1"/>
    <col min="9471" max="9472" width="4.23046875" style="270" customWidth="1"/>
    <col min="9473" max="9473" width="17.23046875" style="270" customWidth="1"/>
    <col min="9474" max="9490" width="9.23046875" style="270" customWidth="1"/>
    <col min="9491" max="9709" width="11.53515625" style="270"/>
    <col min="9710" max="9710" width="3" style="270" customWidth="1"/>
    <col min="9711" max="9711" width="50.69140625" style="270" customWidth="1"/>
    <col min="9712" max="9712" width="13.23046875" style="270" customWidth="1"/>
    <col min="9713" max="9713" width="18.53515625" style="270" customWidth="1"/>
    <col min="9714" max="9714" width="10.765625" style="270" customWidth="1"/>
    <col min="9715" max="9715" width="9.69140625" style="270" customWidth="1"/>
    <col min="9716" max="9716" width="11.69140625" style="270" customWidth="1"/>
    <col min="9717" max="9717" width="15.23046875" style="270" customWidth="1"/>
    <col min="9718" max="9718" width="18" style="270" customWidth="1"/>
    <col min="9719" max="9719" width="11.765625" style="270" customWidth="1"/>
    <col min="9720" max="9726" width="9.69140625" style="270" customWidth="1"/>
    <col min="9727" max="9728" width="4.23046875" style="270" customWidth="1"/>
    <col min="9729" max="9729" width="17.23046875" style="270" customWidth="1"/>
    <col min="9730" max="9746" width="9.23046875" style="270" customWidth="1"/>
    <col min="9747" max="9965" width="11.53515625" style="270"/>
    <col min="9966" max="9966" width="3" style="270" customWidth="1"/>
    <col min="9967" max="9967" width="50.69140625" style="270" customWidth="1"/>
    <col min="9968" max="9968" width="13.23046875" style="270" customWidth="1"/>
    <col min="9969" max="9969" width="18.53515625" style="270" customWidth="1"/>
    <col min="9970" max="9970" width="10.765625" style="270" customWidth="1"/>
    <col min="9971" max="9971" width="9.69140625" style="270" customWidth="1"/>
    <col min="9972" max="9972" width="11.69140625" style="270" customWidth="1"/>
    <col min="9973" max="9973" width="15.23046875" style="270" customWidth="1"/>
    <col min="9974" max="9974" width="18" style="270" customWidth="1"/>
    <col min="9975" max="9975" width="11.765625" style="270" customWidth="1"/>
    <col min="9976" max="9982" width="9.69140625" style="270" customWidth="1"/>
    <col min="9983" max="9984" width="4.23046875" style="270" customWidth="1"/>
    <col min="9985" max="9985" width="17.23046875" style="270" customWidth="1"/>
    <col min="9986" max="10002" width="9.23046875" style="270" customWidth="1"/>
    <col min="10003" max="10221" width="11.53515625" style="270"/>
    <col min="10222" max="10222" width="3" style="270" customWidth="1"/>
    <col min="10223" max="10223" width="50.69140625" style="270" customWidth="1"/>
    <col min="10224" max="10224" width="13.23046875" style="270" customWidth="1"/>
    <col min="10225" max="10225" width="18.53515625" style="270" customWidth="1"/>
    <col min="10226" max="10226" width="10.765625" style="270" customWidth="1"/>
    <col min="10227" max="10227" width="9.69140625" style="270" customWidth="1"/>
    <col min="10228" max="10228" width="11.69140625" style="270" customWidth="1"/>
    <col min="10229" max="10229" width="15.23046875" style="270" customWidth="1"/>
    <col min="10230" max="10230" width="18" style="270" customWidth="1"/>
    <col min="10231" max="10231" width="11.765625" style="270" customWidth="1"/>
    <col min="10232" max="10238" width="9.69140625" style="270" customWidth="1"/>
    <col min="10239" max="10240" width="4.23046875" style="270" customWidth="1"/>
    <col min="10241" max="10241" width="17.23046875" style="270" customWidth="1"/>
    <col min="10242" max="10258" width="9.23046875" style="270" customWidth="1"/>
    <col min="10259" max="10477" width="11.53515625" style="270"/>
    <col min="10478" max="10478" width="3" style="270" customWidth="1"/>
    <col min="10479" max="10479" width="50.69140625" style="270" customWidth="1"/>
    <col min="10480" max="10480" width="13.23046875" style="270" customWidth="1"/>
    <col min="10481" max="10481" width="18.53515625" style="270" customWidth="1"/>
    <col min="10482" max="10482" width="10.765625" style="270" customWidth="1"/>
    <col min="10483" max="10483" width="9.69140625" style="270" customWidth="1"/>
    <col min="10484" max="10484" width="11.69140625" style="270" customWidth="1"/>
    <col min="10485" max="10485" width="15.23046875" style="270" customWidth="1"/>
    <col min="10486" max="10486" width="18" style="270" customWidth="1"/>
    <col min="10487" max="10487" width="11.765625" style="270" customWidth="1"/>
    <col min="10488" max="10494" width="9.69140625" style="270" customWidth="1"/>
    <col min="10495" max="10496" width="4.23046875" style="270" customWidth="1"/>
    <col min="10497" max="10497" width="17.23046875" style="270" customWidth="1"/>
    <col min="10498" max="10514" width="9.23046875" style="270" customWidth="1"/>
    <col min="10515" max="10733" width="11.53515625" style="270"/>
    <col min="10734" max="10734" width="3" style="270" customWidth="1"/>
    <col min="10735" max="10735" width="50.69140625" style="270" customWidth="1"/>
    <col min="10736" max="10736" width="13.23046875" style="270" customWidth="1"/>
    <col min="10737" max="10737" width="18.53515625" style="270" customWidth="1"/>
    <col min="10738" max="10738" width="10.765625" style="270" customWidth="1"/>
    <col min="10739" max="10739" width="9.69140625" style="270" customWidth="1"/>
    <col min="10740" max="10740" width="11.69140625" style="270" customWidth="1"/>
    <col min="10741" max="10741" width="15.23046875" style="270" customWidth="1"/>
    <col min="10742" max="10742" width="18" style="270" customWidth="1"/>
    <col min="10743" max="10743" width="11.765625" style="270" customWidth="1"/>
    <col min="10744" max="10750" width="9.69140625" style="270" customWidth="1"/>
    <col min="10751" max="10752" width="4.23046875" style="270" customWidth="1"/>
    <col min="10753" max="10753" width="17.23046875" style="270" customWidth="1"/>
    <col min="10754" max="10770" width="9.23046875" style="270" customWidth="1"/>
    <col min="10771" max="10989" width="11.53515625" style="270"/>
    <col min="10990" max="10990" width="3" style="270" customWidth="1"/>
    <col min="10991" max="10991" width="50.69140625" style="270" customWidth="1"/>
    <col min="10992" max="10992" width="13.23046875" style="270" customWidth="1"/>
    <col min="10993" max="10993" width="18.53515625" style="270" customWidth="1"/>
    <col min="10994" max="10994" width="10.765625" style="270" customWidth="1"/>
    <col min="10995" max="10995" width="9.69140625" style="270" customWidth="1"/>
    <col min="10996" max="10996" width="11.69140625" style="270" customWidth="1"/>
    <col min="10997" max="10997" width="15.23046875" style="270" customWidth="1"/>
    <col min="10998" max="10998" width="18" style="270" customWidth="1"/>
    <col min="10999" max="10999" width="11.765625" style="270" customWidth="1"/>
    <col min="11000" max="11006" width="9.69140625" style="270" customWidth="1"/>
    <col min="11007" max="11008" width="4.23046875" style="270" customWidth="1"/>
    <col min="11009" max="11009" width="17.23046875" style="270" customWidth="1"/>
    <col min="11010" max="11026" width="9.23046875" style="270" customWidth="1"/>
    <col min="11027" max="11245" width="11.53515625" style="270"/>
    <col min="11246" max="11246" width="3" style="270" customWidth="1"/>
    <col min="11247" max="11247" width="50.69140625" style="270" customWidth="1"/>
    <col min="11248" max="11248" width="13.23046875" style="270" customWidth="1"/>
    <col min="11249" max="11249" width="18.53515625" style="270" customWidth="1"/>
    <col min="11250" max="11250" width="10.765625" style="270" customWidth="1"/>
    <col min="11251" max="11251" width="9.69140625" style="270" customWidth="1"/>
    <col min="11252" max="11252" width="11.69140625" style="270" customWidth="1"/>
    <col min="11253" max="11253" width="15.23046875" style="270" customWidth="1"/>
    <col min="11254" max="11254" width="18" style="270" customWidth="1"/>
    <col min="11255" max="11255" width="11.765625" style="270" customWidth="1"/>
    <col min="11256" max="11262" width="9.69140625" style="270" customWidth="1"/>
    <col min="11263" max="11264" width="4.23046875" style="270" customWidth="1"/>
    <col min="11265" max="11265" width="17.23046875" style="270" customWidth="1"/>
    <col min="11266" max="11282" width="9.23046875" style="270" customWidth="1"/>
    <col min="11283" max="11501" width="11.53515625" style="270"/>
    <col min="11502" max="11502" width="3" style="270" customWidth="1"/>
    <col min="11503" max="11503" width="50.69140625" style="270" customWidth="1"/>
    <col min="11504" max="11504" width="13.23046875" style="270" customWidth="1"/>
    <col min="11505" max="11505" width="18.53515625" style="270" customWidth="1"/>
    <col min="11506" max="11506" width="10.765625" style="270" customWidth="1"/>
    <col min="11507" max="11507" width="9.69140625" style="270" customWidth="1"/>
    <col min="11508" max="11508" width="11.69140625" style="270" customWidth="1"/>
    <col min="11509" max="11509" width="15.23046875" style="270" customWidth="1"/>
    <col min="11510" max="11510" width="18" style="270" customWidth="1"/>
    <col min="11511" max="11511" width="11.765625" style="270" customWidth="1"/>
    <col min="11512" max="11518" width="9.69140625" style="270" customWidth="1"/>
    <col min="11519" max="11520" width="4.23046875" style="270" customWidth="1"/>
    <col min="11521" max="11521" width="17.23046875" style="270" customWidth="1"/>
    <col min="11522" max="11538" width="9.23046875" style="270" customWidth="1"/>
    <col min="11539" max="11757" width="11.53515625" style="270"/>
    <col min="11758" max="11758" width="3" style="270" customWidth="1"/>
    <col min="11759" max="11759" width="50.69140625" style="270" customWidth="1"/>
    <col min="11760" max="11760" width="13.23046875" style="270" customWidth="1"/>
    <col min="11761" max="11761" width="18.53515625" style="270" customWidth="1"/>
    <col min="11762" max="11762" width="10.765625" style="270" customWidth="1"/>
    <col min="11763" max="11763" width="9.69140625" style="270" customWidth="1"/>
    <col min="11764" max="11764" width="11.69140625" style="270" customWidth="1"/>
    <col min="11765" max="11765" width="15.23046875" style="270" customWidth="1"/>
    <col min="11766" max="11766" width="18" style="270" customWidth="1"/>
    <col min="11767" max="11767" width="11.765625" style="270" customWidth="1"/>
    <col min="11768" max="11774" width="9.69140625" style="270" customWidth="1"/>
    <col min="11775" max="11776" width="4.23046875" style="270" customWidth="1"/>
    <col min="11777" max="11777" width="17.23046875" style="270" customWidth="1"/>
    <col min="11778" max="11794" width="9.23046875" style="270" customWidth="1"/>
    <col min="11795" max="12013" width="11.53515625" style="270"/>
    <col min="12014" max="12014" width="3" style="270" customWidth="1"/>
    <col min="12015" max="12015" width="50.69140625" style="270" customWidth="1"/>
    <col min="12016" max="12016" width="13.23046875" style="270" customWidth="1"/>
    <col min="12017" max="12017" width="18.53515625" style="270" customWidth="1"/>
    <col min="12018" max="12018" width="10.765625" style="270" customWidth="1"/>
    <col min="12019" max="12019" width="9.69140625" style="270" customWidth="1"/>
    <col min="12020" max="12020" width="11.69140625" style="270" customWidth="1"/>
    <col min="12021" max="12021" width="15.23046875" style="270" customWidth="1"/>
    <col min="12022" max="12022" width="18" style="270" customWidth="1"/>
    <col min="12023" max="12023" width="11.765625" style="270" customWidth="1"/>
    <col min="12024" max="12030" width="9.69140625" style="270" customWidth="1"/>
    <col min="12031" max="12032" width="4.23046875" style="270" customWidth="1"/>
    <col min="12033" max="12033" width="17.23046875" style="270" customWidth="1"/>
    <col min="12034" max="12050" width="9.23046875" style="270" customWidth="1"/>
    <col min="12051" max="12269" width="11.53515625" style="270"/>
    <col min="12270" max="12270" width="3" style="270" customWidth="1"/>
    <col min="12271" max="12271" width="50.69140625" style="270" customWidth="1"/>
    <col min="12272" max="12272" width="13.23046875" style="270" customWidth="1"/>
    <col min="12273" max="12273" width="18.53515625" style="270" customWidth="1"/>
    <col min="12274" max="12274" width="10.765625" style="270" customWidth="1"/>
    <col min="12275" max="12275" width="9.69140625" style="270" customWidth="1"/>
    <col min="12276" max="12276" width="11.69140625" style="270" customWidth="1"/>
    <col min="12277" max="12277" width="15.23046875" style="270" customWidth="1"/>
    <col min="12278" max="12278" width="18" style="270" customWidth="1"/>
    <col min="12279" max="12279" width="11.765625" style="270" customWidth="1"/>
    <col min="12280" max="12286" width="9.69140625" style="270" customWidth="1"/>
    <col min="12287" max="12288" width="4.23046875" style="270" customWidth="1"/>
    <col min="12289" max="12289" width="17.23046875" style="270" customWidth="1"/>
    <col min="12290" max="12306" width="9.23046875" style="270" customWidth="1"/>
    <col min="12307" max="12525" width="11.53515625" style="270"/>
    <col min="12526" max="12526" width="3" style="270" customWidth="1"/>
    <col min="12527" max="12527" width="50.69140625" style="270" customWidth="1"/>
    <col min="12528" max="12528" width="13.23046875" style="270" customWidth="1"/>
    <col min="12529" max="12529" width="18.53515625" style="270" customWidth="1"/>
    <col min="12530" max="12530" width="10.765625" style="270" customWidth="1"/>
    <col min="12531" max="12531" width="9.69140625" style="270" customWidth="1"/>
    <col min="12532" max="12532" width="11.69140625" style="270" customWidth="1"/>
    <col min="12533" max="12533" width="15.23046875" style="270" customWidth="1"/>
    <col min="12534" max="12534" width="18" style="270" customWidth="1"/>
    <col min="12535" max="12535" width="11.765625" style="270" customWidth="1"/>
    <col min="12536" max="12542" width="9.69140625" style="270" customWidth="1"/>
    <col min="12543" max="12544" width="4.23046875" style="270" customWidth="1"/>
    <col min="12545" max="12545" width="17.23046875" style="270" customWidth="1"/>
    <col min="12546" max="12562" width="9.23046875" style="270" customWidth="1"/>
    <col min="12563" max="12781" width="11.53515625" style="270"/>
    <col min="12782" max="12782" width="3" style="270" customWidth="1"/>
    <col min="12783" max="12783" width="50.69140625" style="270" customWidth="1"/>
    <col min="12784" max="12784" width="13.23046875" style="270" customWidth="1"/>
    <col min="12785" max="12785" width="18.53515625" style="270" customWidth="1"/>
    <col min="12786" max="12786" width="10.765625" style="270" customWidth="1"/>
    <col min="12787" max="12787" width="9.69140625" style="270" customWidth="1"/>
    <col min="12788" max="12788" width="11.69140625" style="270" customWidth="1"/>
    <col min="12789" max="12789" width="15.23046875" style="270" customWidth="1"/>
    <col min="12790" max="12790" width="18" style="270" customWidth="1"/>
    <col min="12791" max="12791" width="11.765625" style="270" customWidth="1"/>
    <col min="12792" max="12798" width="9.69140625" style="270" customWidth="1"/>
    <col min="12799" max="12800" width="4.23046875" style="270" customWidth="1"/>
    <col min="12801" max="12801" width="17.23046875" style="270" customWidth="1"/>
    <col min="12802" max="12818" width="9.23046875" style="270" customWidth="1"/>
    <col min="12819" max="13037" width="11.53515625" style="270"/>
    <col min="13038" max="13038" width="3" style="270" customWidth="1"/>
    <col min="13039" max="13039" width="50.69140625" style="270" customWidth="1"/>
    <col min="13040" max="13040" width="13.23046875" style="270" customWidth="1"/>
    <col min="13041" max="13041" width="18.53515625" style="270" customWidth="1"/>
    <col min="13042" max="13042" width="10.765625" style="270" customWidth="1"/>
    <col min="13043" max="13043" width="9.69140625" style="270" customWidth="1"/>
    <col min="13044" max="13044" width="11.69140625" style="270" customWidth="1"/>
    <col min="13045" max="13045" width="15.23046875" style="270" customWidth="1"/>
    <col min="13046" max="13046" width="18" style="270" customWidth="1"/>
    <col min="13047" max="13047" width="11.765625" style="270" customWidth="1"/>
    <col min="13048" max="13054" width="9.69140625" style="270" customWidth="1"/>
    <col min="13055" max="13056" width="4.23046875" style="270" customWidth="1"/>
    <col min="13057" max="13057" width="17.23046875" style="270" customWidth="1"/>
    <col min="13058" max="13074" width="9.23046875" style="270" customWidth="1"/>
    <col min="13075" max="13293" width="11.53515625" style="270"/>
    <col min="13294" max="13294" width="3" style="270" customWidth="1"/>
    <col min="13295" max="13295" width="50.69140625" style="270" customWidth="1"/>
    <col min="13296" max="13296" width="13.23046875" style="270" customWidth="1"/>
    <col min="13297" max="13297" width="18.53515625" style="270" customWidth="1"/>
    <col min="13298" max="13298" width="10.765625" style="270" customWidth="1"/>
    <col min="13299" max="13299" width="9.69140625" style="270" customWidth="1"/>
    <col min="13300" max="13300" width="11.69140625" style="270" customWidth="1"/>
    <col min="13301" max="13301" width="15.23046875" style="270" customWidth="1"/>
    <col min="13302" max="13302" width="18" style="270" customWidth="1"/>
    <col min="13303" max="13303" width="11.765625" style="270" customWidth="1"/>
    <col min="13304" max="13310" width="9.69140625" style="270" customWidth="1"/>
    <col min="13311" max="13312" width="4.23046875" style="270" customWidth="1"/>
    <col min="13313" max="13313" width="17.23046875" style="270" customWidth="1"/>
    <col min="13314" max="13330" width="9.23046875" style="270" customWidth="1"/>
    <col min="13331" max="13549" width="11.53515625" style="270"/>
    <col min="13550" max="13550" width="3" style="270" customWidth="1"/>
    <col min="13551" max="13551" width="50.69140625" style="270" customWidth="1"/>
    <col min="13552" max="13552" width="13.23046875" style="270" customWidth="1"/>
    <col min="13553" max="13553" width="18.53515625" style="270" customWidth="1"/>
    <col min="13554" max="13554" width="10.765625" style="270" customWidth="1"/>
    <col min="13555" max="13555" width="9.69140625" style="270" customWidth="1"/>
    <col min="13556" max="13556" width="11.69140625" style="270" customWidth="1"/>
    <col min="13557" max="13557" width="15.23046875" style="270" customWidth="1"/>
    <col min="13558" max="13558" width="18" style="270" customWidth="1"/>
    <col min="13559" max="13559" width="11.765625" style="270" customWidth="1"/>
    <col min="13560" max="13566" width="9.69140625" style="270" customWidth="1"/>
    <col min="13567" max="13568" width="4.23046875" style="270" customWidth="1"/>
    <col min="13569" max="13569" width="17.23046875" style="270" customWidth="1"/>
    <col min="13570" max="13586" width="9.23046875" style="270" customWidth="1"/>
    <col min="13587" max="13805" width="11.53515625" style="270"/>
    <col min="13806" max="13806" width="3" style="270" customWidth="1"/>
    <col min="13807" max="13807" width="50.69140625" style="270" customWidth="1"/>
    <col min="13808" max="13808" width="13.23046875" style="270" customWidth="1"/>
    <col min="13809" max="13809" width="18.53515625" style="270" customWidth="1"/>
    <col min="13810" max="13810" width="10.765625" style="270" customWidth="1"/>
    <col min="13811" max="13811" width="9.69140625" style="270" customWidth="1"/>
    <col min="13812" max="13812" width="11.69140625" style="270" customWidth="1"/>
    <col min="13813" max="13813" width="15.23046875" style="270" customWidth="1"/>
    <col min="13814" max="13814" width="18" style="270" customWidth="1"/>
    <col min="13815" max="13815" width="11.765625" style="270" customWidth="1"/>
    <col min="13816" max="13822" width="9.69140625" style="270" customWidth="1"/>
    <col min="13823" max="13824" width="4.23046875" style="270" customWidth="1"/>
    <col min="13825" max="13825" width="17.23046875" style="270" customWidth="1"/>
    <col min="13826" max="13842" width="9.23046875" style="270" customWidth="1"/>
    <col min="13843" max="14061" width="11.53515625" style="270"/>
    <col min="14062" max="14062" width="3" style="270" customWidth="1"/>
    <col min="14063" max="14063" width="50.69140625" style="270" customWidth="1"/>
    <col min="14064" max="14064" width="13.23046875" style="270" customWidth="1"/>
    <col min="14065" max="14065" width="18.53515625" style="270" customWidth="1"/>
    <col min="14066" max="14066" width="10.765625" style="270" customWidth="1"/>
    <col min="14067" max="14067" width="9.69140625" style="270" customWidth="1"/>
    <col min="14068" max="14068" width="11.69140625" style="270" customWidth="1"/>
    <col min="14069" max="14069" width="15.23046875" style="270" customWidth="1"/>
    <col min="14070" max="14070" width="18" style="270" customWidth="1"/>
    <col min="14071" max="14071" width="11.765625" style="270" customWidth="1"/>
    <col min="14072" max="14078" width="9.69140625" style="270" customWidth="1"/>
    <col min="14079" max="14080" width="4.23046875" style="270" customWidth="1"/>
    <col min="14081" max="14081" width="17.23046875" style="270" customWidth="1"/>
    <col min="14082" max="14098" width="9.23046875" style="270" customWidth="1"/>
    <col min="14099" max="14317" width="11.53515625" style="270"/>
    <col min="14318" max="14318" width="3" style="270" customWidth="1"/>
    <col min="14319" max="14319" width="50.69140625" style="270" customWidth="1"/>
    <col min="14320" max="14320" width="13.23046875" style="270" customWidth="1"/>
    <col min="14321" max="14321" width="18.53515625" style="270" customWidth="1"/>
    <col min="14322" max="14322" width="10.765625" style="270" customWidth="1"/>
    <col min="14323" max="14323" width="9.69140625" style="270" customWidth="1"/>
    <col min="14324" max="14324" width="11.69140625" style="270" customWidth="1"/>
    <col min="14325" max="14325" width="15.23046875" style="270" customWidth="1"/>
    <col min="14326" max="14326" width="18" style="270" customWidth="1"/>
    <col min="14327" max="14327" width="11.765625" style="270" customWidth="1"/>
    <col min="14328" max="14334" width="9.69140625" style="270" customWidth="1"/>
    <col min="14335" max="14336" width="4.23046875" style="270" customWidth="1"/>
    <col min="14337" max="14337" width="17.23046875" style="270" customWidth="1"/>
    <col min="14338" max="14354" width="9.23046875" style="270" customWidth="1"/>
    <col min="14355" max="14573" width="11.53515625" style="270"/>
    <col min="14574" max="14574" width="3" style="270" customWidth="1"/>
    <col min="14575" max="14575" width="50.69140625" style="270" customWidth="1"/>
    <col min="14576" max="14576" width="13.23046875" style="270" customWidth="1"/>
    <col min="14577" max="14577" width="18.53515625" style="270" customWidth="1"/>
    <col min="14578" max="14578" width="10.765625" style="270" customWidth="1"/>
    <col min="14579" max="14579" width="9.69140625" style="270" customWidth="1"/>
    <col min="14580" max="14580" width="11.69140625" style="270" customWidth="1"/>
    <col min="14581" max="14581" width="15.23046875" style="270" customWidth="1"/>
    <col min="14582" max="14582" width="18" style="270" customWidth="1"/>
    <col min="14583" max="14583" width="11.765625" style="270" customWidth="1"/>
    <col min="14584" max="14590" width="9.69140625" style="270" customWidth="1"/>
    <col min="14591" max="14592" width="4.23046875" style="270" customWidth="1"/>
    <col min="14593" max="14593" width="17.23046875" style="270" customWidth="1"/>
    <col min="14594" max="14610" width="9.23046875" style="270" customWidth="1"/>
    <col min="14611" max="14829" width="11.53515625" style="270"/>
    <col min="14830" max="14830" width="3" style="270" customWidth="1"/>
    <col min="14831" max="14831" width="50.69140625" style="270" customWidth="1"/>
    <col min="14832" max="14832" width="13.23046875" style="270" customWidth="1"/>
    <col min="14833" max="14833" width="18.53515625" style="270" customWidth="1"/>
    <col min="14834" max="14834" width="10.765625" style="270" customWidth="1"/>
    <col min="14835" max="14835" width="9.69140625" style="270" customWidth="1"/>
    <col min="14836" max="14836" width="11.69140625" style="270" customWidth="1"/>
    <col min="14837" max="14837" width="15.23046875" style="270" customWidth="1"/>
    <col min="14838" max="14838" width="18" style="270" customWidth="1"/>
    <col min="14839" max="14839" width="11.765625" style="270" customWidth="1"/>
    <col min="14840" max="14846" width="9.69140625" style="270" customWidth="1"/>
    <col min="14847" max="14848" width="4.23046875" style="270" customWidth="1"/>
    <col min="14849" max="14849" width="17.23046875" style="270" customWidth="1"/>
    <col min="14850" max="14866" width="9.23046875" style="270" customWidth="1"/>
    <col min="14867" max="15085" width="11.53515625" style="270"/>
    <col min="15086" max="15086" width="3" style="270" customWidth="1"/>
    <col min="15087" max="15087" width="50.69140625" style="270" customWidth="1"/>
    <col min="15088" max="15088" width="13.23046875" style="270" customWidth="1"/>
    <col min="15089" max="15089" width="18.53515625" style="270" customWidth="1"/>
    <col min="15090" max="15090" width="10.765625" style="270" customWidth="1"/>
    <col min="15091" max="15091" width="9.69140625" style="270" customWidth="1"/>
    <col min="15092" max="15092" width="11.69140625" style="270" customWidth="1"/>
    <col min="15093" max="15093" width="15.23046875" style="270" customWidth="1"/>
    <col min="15094" max="15094" width="18" style="270" customWidth="1"/>
    <col min="15095" max="15095" width="11.765625" style="270" customWidth="1"/>
    <col min="15096" max="15102" width="9.69140625" style="270" customWidth="1"/>
    <col min="15103" max="15104" width="4.23046875" style="270" customWidth="1"/>
    <col min="15105" max="15105" width="17.23046875" style="270" customWidth="1"/>
    <col min="15106" max="15122" width="9.23046875" style="270" customWidth="1"/>
    <col min="15123" max="15341" width="11.53515625" style="270"/>
    <col min="15342" max="15342" width="3" style="270" customWidth="1"/>
    <col min="15343" max="15343" width="50.69140625" style="270" customWidth="1"/>
    <col min="15344" max="15344" width="13.23046875" style="270" customWidth="1"/>
    <col min="15345" max="15345" width="18.53515625" style="270" customWidth="1"/>
    <col min="15346" max="15346" width="10.765625" style="270" customWidth="1"/>
    <col min="15347" max="15347" width="9.69140625" style="270" customWidth="1"/>
    <col min="15348" max="15348" width="11.69140625" style="270" customWidth="1"/>
    <col min="15349" max="15349" width="15.23046875" style="270" customWidth="1"/>
    <col min="15350" max="15350" width="18" style="270" customWidth="1"/>
    <col min="15351" max="15351" width="11.765625" style="270" customWidth="1"/>
    <col min="15352" max="15358" width="9.69140625" style="270" customWidth="1"/>
    <col min="15359" max="15360" width="4.23046875" style="270" customWidth="1"/>
    <col min="15361" max="15361" width="17.23046875" style="270" customWidth="1"/>
    <col min="15362" max="15378" width="9.23046875" style="270" customWidth="1"/>
    <col min="15379" max="15597" width="11.53515625" style="270"/>
    <col min="15598" max="15598" width="3" style="270" customWidth="1"/>
    <col min="15599" max="15599" width="50.69140625" style="270" customWidth="1"/>
    <col min="15600" max="15600" width="13.23046875" style="270" customWidth="1"/>
    <col min="15601" max="15601" width="18.53515625" style="270" customWidth="1"/>
    <col min="15602" max="15602" width="10.765625" style="270" customWidth="1"/>
    <col min="15603" max="15603" width="9.69140625" style="270" customWidth="1"/>
    <col min="15604" max="15604" width="11.69140625" style="270" customWidth="1"/>
    <col min="15605" max="15605" width="15.23046875" style="270" customWidth="1"/>
    <col min="15606" max="15606" width="18" style="270" customWidth="1"/>
    <col min="15607" max="15607" width="11.765625" style="270" customWidth="1"/>
    <col min="15608" max="15614" width="9.69140625" style="270" customWidth="1"/>
    <col min="15615" max="15616" width="4.23046875" style="270" customWidth="1"/>
    <col min="15617" max="15617" width="17.23046875" style="270" customWidth="1"/>
    <col min="15618" max="15634" width="9.23046875" style="270" customWidth="1"/>
    <col min="15635" max="15853" width="11.53515625" style="270"/>
    <col min="15854" max="15854" width="3" style="270" customWidth="1"/>
    <col min="15855" max="15855" width="50.69140625" style="270" customWidth="1"/>
    <col min="15856" max="15856" width="13.23046875" style="270" customWidth="1"/>
    <col min="15857" max="15857" width="18.53515625" style="270" customWidth="1"/>
    <col min="15858" max="15858" width="10.765625" style="270" customWidth="1"/>
    <col min="15859" max="15859" width="9.69140625" style="270" customWidth="1"/>
    <col min="15860" max="15860" width="11.69140625" style="270" customWidth="1"/>
    <col min="15861" max="15861" width="15.23046875" style="270" customWidth="1"/>
    <col min="15862" max="15862" width="18" style="270" customWidth="1"/>
    <col min="15863" max="15863" width="11.765625" style="270" customWidth="1"/>
    <col min="15864" max="15870" width="9.69140625" style="270" customWidth="1"/>
    <col min="15871" max="15872" width="4.23046875" style="270" customWidth="1"/>
    <col min="15873" max="15873" width="17.23046875" style="270" customWidth="1"/>
    <col min="15874" max="15890" width="9.23046875" style="270" customWidth="1"/>
    <col min="15891" max="16109" width="11.53515625" style="270"/>
    <col min="16110" max="16110" width="3" style="270" customWidth="1"/>
    <col min="16111" max="16111" width="50.69140625" style="270" customWidth="1"/>
    <col min="16112" max="16112" width="13.23046875" style="270" customWidth="1"/>
    <col min="16113" max="16113" width="18.53515625" style="270" customWidth="1"/>
    <col min="16114" max="16114" width="10.765625" style="270" customWidth="1"/>
    <col min="16115" max="16115" width="9.69140625" style="270" customWidth="1"/>
    <col min="16116" max="16116" width="11.69140625" style="270" customWidth="1"/>
    <col min="16117" max="16117" width="15.23046875" style="270" customWidth="1"/>
    <col min="16118" max="16118" width="18" style="270" customWidth="1"/>
    <col min="16119" max="16119" width="11.765625" style="270" customWidth="1"/>
    <col min="16120" max="16126" width="9.69140625" style="270" customWidth="1"/>
    <col min="16127" max="16128" width="4.23046875" style="270" customWidth="1"/>
    <col min="16129" max="16129" width="17.23046875" style="270" customWidth="1"/>
    <col min="16130" max="16146" width="9.23046875" style="270" customWidth="1"/>
    <col min="16147" max="16384" width="11.53515625" style="270"/>
  </cols>
  <sheetData>
    <row r="1" spans="1:10" ht="45.45">
      <c r="A1" s="307" t="s">
        <v>1412</v>
      </c>
    </row>
    <row r="2" spans="1:10">
      <c r="B2" s="1352" t="s">
        <v>1600</v>
      </c>
      <c r="D2" s="308"/>
    </row>
    <row r="3" spans="1:10" ht="17.600000000000001">
      <c r="A3" s="273"/>
      <c r="B3" s="309" t="s">
        <v>271</v>
      </c>
      <c r="C3" s="273"/>
      <c r="D3" s="310"/>
      <c r="E3" s="273"/>
      <c r="F3" s="273"/>
      <c r="G3" s="273"/>
      <c r="H3" s="272"/>
      <c r="J3" s="272"/>
    </row>
    <row r="4" spans="1:10">
      <c r="H4" s="272"/>
      <c r="J4" s="272"/>
    </row>
    <row r="5" spans="1:10">
      <c r="H5" s="272"/>
      <c r="J5" s="272"/>
    </row>
    <row r="6" spans="1:10">
      <c r="B6" s="311" t="s">
        <v>273</v>
      </c>
      <c r="C6" s="270" t="s">
        <v>274</v>
      </c>
      <c r="D6" s="361">
        <f>'Eigene Nutzung'!M8</f>
        <v>1</v>
      </c>
      <c r="F6" s="311"/>
      <c r="H6" s="272"/>
      <c r="J6" s="272"/>
    </row>
    <row r="7" spans="1:10">
      <c r="B7" s="311" t="s">
        <v>275</v>
      </c>
      <c r="C7" s="270" t="s">
        <v>25</v>
      </c>
      <c r="D7" s="312" t="s">
        <v>153</v>
      </c>
      <c r="H7" s="272"/>
      <c r="J7" s="272"/>
    </row>
    <row r="8" spans="1:10" ht="14.15">
      <c r="B8" s="374" t="s">
        <v>269</v>
      </c>
      <c r="C8" s="270" t="s">
        <v>442</v>
      </c>
      <c r="D8" s="358">
        <f>'Eigene Nutzung'!M13</f>
        <v>20</v>
      </c>
      <c r="E8" s="270" t="s">
        <v>209</v>
      </c>
      <c r="H8" s="272"/>
      <c r="J8" s="272"/>
    </row>
    <row r="9" spans="1:10" ht="14.15">
      <c r="B9" s="311" t="s">
        <v>276</v>
      </c>
      <c r="C9" s="270" t="s">
        <v>443</v>
      </c>
      <c r="D9" s="358">
        <f>'Eigene Nutzung'!M14</f>
        <v>26.47058823529412</v>
      </c>
      <c r="E9" s="270" t="s">
        <v>209</v>
      </c>
      <c r="H9" s="272"/>
      <c r="J9" s="272"/>
    </row>
    <row r="10" spans="1:10" ht="14.15">
      <c r="B10" s="311" t="s">
        <v>277</v>
      </c>
      <c r="C10" s="270" t="s">
        <v>2007</v>
      </c>
      <c r="D10" s="353">
        <f>D9/AE*0.8</f>
        <v>1.0588235294117649</v>
      </c>
      <c r="H10" s="272"/>
      <c r="J10" s="272"/>
    </row>
    <row r="11" spans="1:10">
      <c r="B11" s="311" t="s">
        <v>278</v>
      </c>
      <c r="C11" s="270" t="s">
        <v>279</v>
      </c>
      <c r="D11" s="353">
        <f>D16/EBF</f>
        <v>0.23529411764705882</v>
      </c>
      <c r="H11" s="272"/>
      <c r="J11" s="272"/>
    </row>
    <row r="12" spans="1:10">
      <c r="B12" s="311" t="s">
        <v>280</v>
      </c>
      <c r="C12" s="270" t="s">
        <v>281</v>
      </c>
      <c r="D12" s="461">
        <f>D16/(E4beheizt+D16)</f>
        <v>0.17777777777777778</v>
      </c>
      <c r="H12" s="272"/>
      <c r="J12" s="272"/>
    </row>
    <row r="13" spans="1:10" ht="15">
      <c r="B13" s="314" t="s">
        <v>116</v>
      </c>
      <c r="C13" s="313"/>
      <c r="D13" s="315" t="s">
        <v>282</v>
      </c>
      <c r="E13" s="315" t="s">
        <v>25</v>
      </c>
      <c r="F13" s="313" t="s">
        <v>50</v>
      </c>
      <c r="G13" s="313" t="s">
        <v>260</v>
      </c>
      <c r="H13" s="272"/>
      <c r="J13" s="272"/>
    </row>
    <row r="14" spans="1:10">
      <c r="B14" s="311" t="s">
        <v>283</v>
      </c>
      <c r="C14" s="270" t="s">
        <v>284</v>
      </c>
      <c r="D14" s="352">
        <v>0</v>
      </c>
      <c r="E14" s="355">
        <v>0</v>
      </c>
      <c r="H14" s="272"/>
      <c r="J14" s="272"/>
    </row>
    <row r="15" spans="1:10">
      <c r="B15" s="212" t="s">
        <v>285</v>
      </c>
      <c r="C15" s="270" t="s">
        <v>286</v>
      </c>
      <c r="D15" s="354">
        <f>D9-D16</f>
        <v>21.764705882352942</v>
      </c>
      <c r="E15" s="359">
        <f>'Eigene Nutzung'!M18</f>
        <v>0.17</v>
      </c>
      <c r="F15" s="359">
        <f>'Eigene Nutzung'!N18</f>
        <v>0.1</v>
      </c>
      <c r="G15" s="371">
        <f>'Eigene Nutzung'!O18</f>
        <v>0.8</v>
      </c>
      <c r="H15" s="272"/>
      <c r="J15" s="272"/>
    </row>
    <row r="16" spans="1:10">
      <c r="B16" s="311" t="s">
        <v>287</v>
      </c>
      <c r="C16" s="270" t="s">
        <v>288</v>
      </c>
      <c r="D16" s="354">
        <f>SUM(D17:D20)</f>
        <v>4.7058823529411766</v>
      </c>
      <c r="E16" s="359">
        <f>'Eigene Nutzung'!M19</f>
        <v>1</v>
      </c>
      <c r="F16" s="359">
        <f>'Eigene Nutzung'!N19</f>
        <v>0.8</v>
      </c>
      <c r="G16" s="371">
        <f>'Eigene Nutzung'!O19</f>
        <v>1.5</v>
      </c>
    </row>
    <row r="17" spans="2:7">
      <c r="B17" s="311" t="s">
        <v>289</v>
      </c>
      <c r="D17" s="357">
        <f>'Eigene Nutzung'!M$95*('Eigene Nutzung'!M$13)/('Eigene Nutzung'!M$20)*0</f>
        <v>0</v>
      </c>
      <c r="E17" s="316"/>
      <c r="F17" s="460">
        <v>1</v>
      </c>
    </row>
    <row r="18" spans="2:7">
      <c r="B18" s="311" t="s">
        <v>290</v>
      </c>
      <c r="D18" s="357">
        <f>'Eigene Nutzung'!M$95*('Eigene Nutzung'!M$13)/('Eigene Nutzung'!M$20)*0</f>
        <v>0</v>
      </c>
      <c r="E18" s="316"/>
      <c r="F18" s="460">
        <v>1</v>
      </c>
    </row>
    <row r="19" spans="2:7">
      <c r="B19" s="311" t="s">
        <v>291</v>
      </c>
      <c r="D19" s="357">
        <f>'Eigene Nutzung'!M$95*('Eigene Nutzung'!M$13)/('Eigene Nutzung'!M$20)*0</f>
        <v>0</v>
      </c>
      <c r="E19" s="316"/>
      <c r="F19" s="460">
        <v>1</v>
      </c>
    </row>
    <row r="20" spans="2:7">
      <c r="B20" s="311" t="s">
        <v>292</v>
      </c>
      <c r="D20" s="357">
        <f>'Eigene Nutzung'!M$95*('Eigene Nutzung'!M$13)/('Eigene Nutzung'!M$20)*1</f>
        <v>4.7058823529411766</v>
      </c>
      <c r="E20" s="316"/>
      <c r="F20" s="460">
        <v>1</v>
      </c>
    </row>
    <row r="21" spans="2:7">
      <c r="B21" s="311" t="s">
        <v>293</v>
      </c>
      <c r="D21" s="352">
        <v>0</v>
      </c>
      <c r="E21" s="316"/>
      <c r="F21" s="355">
        <v>0</v>
      </c>
    </row>
    <row r="22" spans="2:7">
      <c r="B22" s="311" t="s">
        <v>294</v>
      </c>
      <c r="C22" s="270" t="s">
        <v>295</v>
      </c>
      <c r="D22" s="352">
        <v>0</v>
      </c>
      <c r="E22" s="355">
        <v>0</v>
      </c>
    </row>
    <row r="23" spans="2:7">
      <c r="B23" s="311" t="s">
        <v>296</v>
      </c>
      <c r="C23" s="270" t="s">
        <v>297</v>
      </c>
      <c r="D23" s="352">
        <v>0</v>
      </c>
      <c r="E23" s="355">
        <v>0</v>
      </c>
    </row>
    <row r="24" spans="2:7">
      <c r="E24" s="316"/>
      <c r="G24" s="276"/>
    </row>
    <row r="25" spans="2:7" ht="14.15">
      <c r="B25" s="318" t="s">
        <v>298</v>
      </c>
      <c r="D25" s="270" t="s">
        <v>25</v>
      </c>
      <c r="F25" s="270" t="s">
        <v>50</v>
      </c>
      <c r="G25" s="270" t="s">
        <v>260</v>
      </c>
    </row>
    <row r="26" spans="2:7">
      <c r="B26" s="311" t="s">
        <v>299</v>
      </c>
      <c r="C26" s="270" t="s">
        <v>300</v>
      </c>
      <c r="D26" s="359">
        <f>'Eigene Nutzung'!M187</f>
        <v>0.35357142857142859</v>
      </c>
      <c r="E26" s="270" t="s">
        <v>301</v>
      </c>
      <c r="F26" s="359">
        <f>'Eigene Nutzung'!N187</f>
        <v>0.29601679712981083</v>
      </c>
      <c r="G26" s="359">
        <f>'Eigene Nutzung'!O187</f>
        <v>0.64695042400521863</v>
      </c>
    </row>
    <row r="27" spans="2:7">
      <c r="B27" s="311" t="s">
        <v>302</v>
      </c>
      <c r="C27" s="311" t="s">
        <v>303</v>
      </c>
      <c r="D27" s="460">
        <f>'Eigene Nutzung'!M28*3600/1000000</f>
        <v>0.432</v>
      </c>
      <c r="E27" s="270" t="s">
        <v>304</v>
      </c>
    </row>
    <row r="28" spans="2:7" ht="14.15">
      <c r="B28" s="311" t="s">
        <v>305</v>
      </c>
      <c r="C28" s="311" t="s">
        <v>414</v>
      </c>
      <c r="D28" s="459">
        <f>'Eigene Nutzung'!M20</f>
        <v>0.75</v>
      </c>
    </row>
    <row r="29" spans="2:7">
      <c r="B29" s="212" t="s">
        <v>1411</v>
      </c>
      <c r="C29" s="270" t="s">
        <v>307</v>
      </c>
      <c r="D29" s="359">
        <f>'Eigene Nutzung'!M26</f>
        <v>0.5</v>
      </c>
      <c r="F29" s="359">
        <f>'Eigene Nutzung'!N26</f>
        <v>0.5</v>
      </c>
      <c r="G29" s="359">
        <f>'Eigene Nutzung'!O26</f>
        <v>0.65</v>
      </c>
    </row>
    <row r="30" spans="2:7">
      <c r="B30" s="212" t="s">
        <v>1410</v>
      </c>
      <c r="D30" s="359">
        <f>'Eigene Nutzung'!M27</f>
        <v>0.14000000000000001</v>
      </c>
      <c r="F30" s="359">
        <f>'Eigene Nutzung'!N27</f>
        <v>0.1</v>
      </c>
      <c r="G30" s="359">
        <f>'Eigene Nutzung'!O27</f>
        <v>0.2</v>
      </c>
    </row>
    <row r="31" spans="2:7">
      <c r="B31" s="311" t="s">
        <v>308</v>
      </c>
      <c r="C31" s="270" t="s">
        <v>309</v>
      </c>
      <c r="D31" s="458">
        <f>'Eigene Nutzung'!M21</f>
        <v>0.1</v>
      </c>
    </row>
    <row r="33" spans="2:7" ht="14.15">
      <c r="B33" s="318" t="s">
        <v>310</v>
      </c>
    </row>
    <row r="34" spans="2:7">
      <c r="B34" s="311" t="s">
        <v>311</v>
      </c>
      <c r="C34" s="311" t="s">
        <v>312</v>
      </c>
      <c r="D34" s="356">
        <f>'Eigene Nutzung'!M186</f>
        <v>0.7</v>
      </c>
      <c r="E34" s="270" t="s">
        <v>301</v>
      </c>
    </row>
    <row r="35" spans="2:7">
      <c r="B35" s="311" t="s">
        <v>313</v>
      </c>
      <c r="C35" s="311"/>
      <c r="D35" s="877">
        <f>IF('Eigene Nutzung'!M33=0,25,'Eigene Nutzung'!M33)</f>
        <v>25</v>
      </c>
      <c r="E35" s="270" t="s">
        <v>3</v>
      </c>
    </row>
    <row r="36" spans="2:7">
      <c r="B36" s="311" t="s">
        <v>102</v>
      </c>
      <c r="C36" s="311" t="s">
        <v>314</v>
      </c>
      <c r="D36" s="356">
        <f>IF('Eigene Nutzung'!M58=0, 1000, 'Eigene Nutzung'!M58)</f>
        <v>35</v>
      </c>
      <c r="E36" s="270" t="s">
        <v>315</v>
      </c>
    </row>
    <row r="37" spans="2:7">
      <c r="B37" s="311" t="s">
        <v>317</v>
      </c>
      <c r="C37" s="311" t="s">
        <v>318</v>
      </c>
      <c r="D37" s="1201">
        <f>'Eigene Nutzung'!H62</f>
        <v>84</v>
      </c>
      <c r="E37" s="270" t="s">
        <v>319</v>
      </c>
    </row>
    <row r="38" spans="2:7">
      <c r="B38" s="311" t="s">
        <v>579</v>
      </c>
      <c r="C38" s="311" t="s">
        <v>322</v>
      </c>
      <c r="D38" s="356">
        <f>'Eigene Nutzung'!M53</f>
        <v>14.000000000000002</v>
      </c>
      <c r="E38" s="270" t="s">
        <v>15</v>
      </c>
    </row>
    <row r="39" spans="2:7" ht="15">
      <c r="B39" s="311" t="s">
        <v>1493</v>
      </c>
      <c r="C39" s="311" t="s">
        <v>1491</v>
      </c>
      <c r="D39" s="1201">
        <f>'Eigene Nutzung'!M55*'Eigene Nutzung'!M56</f>
        <v>292.00000000000006</v>
      </c>
      <c r="E39" s="270" t="s">
        <v>35</v>
      </c>
      <c r="F39" s="313"/>
      <c r="G39" s="313"/>
    </row>
    <row r="40" spans="2:7" ht="15">
      <c r="B40" s="311" t="s">
        <v>1121</v>
      </c>
      <c r="C40" s="311" t="s">
        <v>318</v>
      </c>
      <c r="D40" s="1200">
        <f>QP/AP*tP*D39/1000*3.6</f>
        <v>35.320320000000009</v>
      </c>
      <c r="E40" s="270" t="s">
        <v>254</v>
      </c>
      <c r="F40" s="313" t="s">
        <v>50</v>
      </c>
      <c r="G40" s="313" t="s">
        <v>260</v>
      </c>
    </row>
    <row r="41" spans="2:7">
      <c r="B41" s="311" t="s">
        <v>469</v>
      </c>
      <c r="C41" s="311" t="s">
        <v>324</v>
      </c>
      <c r="D41" s="375">
        <f>('Eigene Nutzung'!M84+'Eigene Nutzung'!M125)*3.6-IF(nutzid=13,('Eigene Nutzung'!M77-'Eigene Nutzung'!M80)*'Eigene Nutzung'!M82)/1000*3.6</f>
        <v>86.83335000000001</v>
      </c>
      <c r="E41" s="270" t="s">
        <v>254</v>
      </c>
      <c r="F41" s="375">
        <f>('Eigene Nutzung'!N84+'Eigene Nutzung'!N125)*3.6-IF(nutzid=13,('Eigene Nutzung'!N77-'Eigene Nutzung'!N80)*'Eigene Nutzung'!N82)/1000*3.6</f>
        <v>42.853749999999998</v>
      </c>
      <c r="G41" s="375">
        <f>('Eigene Nutzung'!O84+'Eigene Nutzung'!N125)*3.6-IF(nutzid=13,('Eigene Nutzung'!O77-'Eigene Nutzung'!O80)*'Eigene Nutzung'!O82)/1000*3.6</f>
        <v>97.285750000000007</v>
      </c>
    </row>
    <row r="42" spans="2:7">
      <c r="B42" s="311" t="s">
        <v>326</v>
      </c>
      <c r="C42" s="311" t="s">
        <v>327</v>
      </c>
      <c r="D42" s="1101">
        <v>1</v>
      </c>
    </row>
    <row r="43" spans="2:7">
      <c r="B43" s="311"/>
      <c r="C43" s="311"/>
      <c r="D43" s="1686"/>
    </row>
    <row r="44" spans="2:7">
      <c r="B44" s="311" t="s">
        <v>328</v>
      </c>
      <c r="C44" s="311" t="s">
        <v>329</v>
      </c>
      <c r="D44" s="1277">
        <v>1</v>
      </c>
    </row>
    <row r="45" spans="2:7">
      <c r="B45" s="311" t="s">
        <v>330</v>
      </c>
      <c r="C45" s="311" t="s">
        <v>331</v>
      </c>
      <c r="D45" s="1276">
        <v>15</v>
      </c>
      <c r="E45" s="270" t="s">
        <v>15</v>
      </c>
    </row>
    <row r="46" spans="2:7">
      <c r="B46" s="212"/>
      <c r="C46" s="212"/>
      <c r="D46" s="1686"/>
      <c r="E46" s="210"/>
    </row>
    <row r="47" spans="2:7" ht="14.15">
      <c r="B47" s="320" t="s">
        <v>332</v>
      </c>
      <c r="C47" s="311"/>
      <c r="D47" s="312"/>
    </row>
    <row r="48" spans="2:7">
      <c r="B48" s="321" t="s">
        <v>333</v>
      </c>
      <c r="C48" s="311"/>
      <c r="D48" s="312"/>
    </row>
    <row r="49" spans="1:13">
      <c r="B49" s="322" t="s">
        <v>334</v>
      </c>
      <c r="C49" s="311"/>
      <c r="D49" s="312"/>
    </row>
    <row r="50" spans="1:13">
      <c r="B50" s="322" t="s">
        <v>335</v>
      </c>
      <c r="C50" s="311"/>
      <c r="D50" s="312"/>
      <c r="J50" s="272"/>
    </row>
    <row r="51" spans="1:13">
      <c r="B51" s="322" t="s">
        <v>336</v>
      </c>
      <c r="C51" s="311"/>
      <c r="D51" s="312"/>
      <c r="J51" s="272"/>
    </row>
    <row r="52" spans="1:13">
      <c r="B52" s="271" t="s">
        <v>272</v>
      </c>
      <c r="C52" s="311"/>
      <c r="D52" s="312"/>
      <c r="J52" s="272"/>
    </row>
    <row r="53" spans="1:13">
      <c r="A53" s="273"/>
      <c r="B53" s="323"/>
      <c r="C53" s="323"/>
      <c r="D53" s="324"/>
      <c r="E53" s="273"/>
      <c r="F53" s="273"/>
      <c r="G53" s="273"/>
      <c r="H53" s="273"/>
      <c r="I53" s="273"/>
      <c r="J53" s="274"/>
      <c r="K53" s="273"/>
      <c r="L53" s="273"/>
    </row>
    <row r="54" spans="1:13" ht="14.15">
      <c r="B54" s="320" t="s">
        <v>337</v>
      </c>
      <c r="J54" s="272"/>
    </row>
    <row r="55" spans="1:13" ht="14.15">
      <c r="B55" s="311" t="s">
        <v>338</v>
      </c>
      <c r="C55" s="270" t="s">
        <v>415</v>
      </c>
      <c r="D55" s="1102">
        <v>1</v>
      </c>
      <c r="H55" s="368" t="s">
        <v>427</v>
      </c>
      <c r="I55" s="368"/>
      <c r="J55" s="369"/>
      <c r="K55" s="368"/>
      <c r="L55" s="368"/>
      <c r="M55" s="368"/>
    </row>
    <row r="56" spans="1:13">
      <c r="B56" s="311" t="s">
        <v>339</v>
      </c>
      <c r="C56" s="270" t="s">
        <v>340</v>
      </c>
      <c r="D56" s="1102">
        <v>1</v>
      </c>
      <c r="H56" s="365"/>
      <c r="I56" s="270" t="s">
        <v>423</v>
      </c>
    </row>
    <row r="57" spans="1:13" ht="14.15">
      <c r="B57" s="311" t="s">
        <v>341</v>
      </c>
      <c r="C57" s="270" t="s">
        <v>416</v>
      </c>
      <c r="D57" s="1102">
        <v>1</v>
      </c>
      <c r="H57" s="366"/>
      <c r="I57" s="270" t="s">
        <v>424</v>
      </c>
      <c r="J57" s="272"/>
    </row>
    <row r="58" spans="1:13">
      <c r="B58" s="212" t="s">
        <v>342</v>
      </c>
      <c r="C58" s="311" t="s">
        <v>343</v>
      </c>
      <c r="D58" s="363">
        <f>$D$35+Thetaig</f>
        <v>25</v>
      </c>
      <c r="E58" s="270" t="s">
        <v>3</v>
      </c>
      <c r="H58" s="364"/>
      <c r="I58" s="270" t="s">
        <v>425</v>
      </c>
      <c r="J58" s="272"/>
    </row>
    <row r="59" spans="1:13">
      <c r="B59" s="311" t="s">
        <v>344</v>
      </c>
      <c r="C59" s="311" t="s">
        <v>345</v>
      </c>
      <c r="D59" s="1203">
        <v>2.5</v>
      </c>
      <c r="E59" s="270" t="s">
        <v>3</v>
      </c>
      <c r="H59" s="367"/>
      <c r="I59" s="270" t="s">
        <v>426</v>
      </c>
      <c r="J59" s="272"/>
    </row>
    <row r="60" spans="1:13">
      <c r="B60" s="311" t="s">
        <v>346</v>
      </c>
      <c r="C60" s="311" t="s">
        <v>347</v>
      </c>
      <c r="D60" s="319" cm="1">
        <f t="array" ref="D60">INDEX(Winter_Auslegung!C5:C44,Monatswerte!H1)</f>
        <v>1320</v>
      </c>
      <c r="E60" s="270" t="s">
        <v>29</v>
      </c>
      <c r="J60" s="272"/>
    </row>
    <row r="61" spans="1:13" ht="14.15">
      <c r="B61" s="311" t="s">
        <v>348</v>
      </c>
      <c r="C61" s="311" t="s">
        <v>417</v>
      </c>
      <c r="D61" s="319">
        <v>0.7</v>
      </c>
    </row>
    <row r="62" spans="1:13" ht="14.15">
      <c r="B62" s="311" t="s">
        <v>349</v>
      </c>
      <c r="C62" s="311" t="s">
        <v>418</v>
      </c>
      <c r="D62" s="319">
        <v>30</v>
      </c>
      <c r="E62" s="270" t="s">
        <v>3</v>
      </c>
      <c r="J62" s="272"/>
      <c r="L62" s="272"/>
    </row>
    <row r="63" spans="1:13" ht="14.15">
      <c r="B63" s="311" t="s">
        <v>350</v>
      </c>
      <c r="C63" s="311" t="s">
        <v>419</v>
      </c>
      <c r="D63" s="1204">
        <v>0</v>
      </c>
      <c r="E63" s="270" t="s">
        <v>3</v>
      </c>
      <c r="J63" s="272"/>
    </row>
    <row r="64" spans="1:13">
      <c r="B64" s="275"/>
      <c r="C64" s="276"/>
      <c r="D64" s="277"/>
      <c r="E64" s="278"/>
      <c r="F64" s="276"/>
    </row>
    <row r="65" spans="2:17">
      <c r="B65" s="275"/>
      <c r="C65" s="276"/>
      <c r="D65" s="277"/>
      <c r="E65" s="278"/>
      <c r="F65" s="276"/>
    </row>
    <row r="66" spans="2:17">
      <c r="B66" s="275"/>
      <c r="C66" s="276"/>
      <c r="D66" s="277"/>
      <c r="E66" s="278"/>
      <c r="F66" s="276"/>
    </row>
    <row r="67" spans="2:17" ht="12.9" thickBot="1">
      <c r="D67" s="316">
        <v>1</v>
      </c>
      <c r="E67" s="316">
        <v>2</v>
      </c>
      <c r="F67" s="316">
        <v>3</v>
      </c>
      <c r="G67" s="316">
        <v>4</v>
      </c>
      <c r="H67" s="316">
        <v>5</v>
      </c>
      <c r="I67" s="316">
        <v>6</v>
      </c>
      <c r="J67" s="316">
        <v>7</v>
      </c>
      <c r="K67" s="316">
        <v>8</v>
      </c>
      <c r="L67" s="316">
        <v>9</v>
      </c>
      <c r="M67" s="316">
        <v>10</v>
      </c>
      <c r="N67" s="316">
        <v>11</v>
      </c>
      <c r="O67" s="316">
        <v>12</v>
      </c>
      <c r="P67" s="270">
        <v>13</v>
      </c>
    </row>
    <row r="68" spans="2:17" ht="12.9" thickBot="1">
      <c r="B68" s="279" t="str">
        <f>Monatswerte!A1</f>
        <v>Adelboden</v>
      </c>
      <c r="C68" s="325"/>
      <c r="D68" s="326" t="s">
        <v>37</v>
      </c>
      <c r="E68" s="326" t="s">
        <v>38</v>
      </c>
      <c r="F68" s="326" t="s">
        <v>351</v>
      </c>
      <c r="G68" s="326" t="s">
        <v>39</v>
      </c>
      <c r="H68" s="326" t="s">
        <v>40</v>
      </c>
      <c r="I68" s="326" t="s">
        <v>41</v>
      </c>
      <c r="J68" s="326" t="s">
        <v>42</v>
      </c>
      <c r="K68" s="326" t="s">
        <v>43</v>
      </c>
      <c r="L68" s="326" t="s">
        <v>44</v>
      </c>
      <c r="M68" s="326" t="s">
        <v>45</v>
      </c>
      <c r="N68" s="326" t="s">
        <v>46</v>
      </c>
      <c r="O68" s="327" t="s">
        <v>47</v>
      </c>
      <c r="P68" s="325" t="s">
        <v>352</v>
      </c>
      <c r="Q68" s="328"/>
    </row>
    <row r="69" spans="2:17">
      <c r="B69" s="284" t="s">
        <v>353</v>
      </c>
      <c r="D69" s="316">
        <v>31</v>
      </c>
      <c r="E69" s="316">
        <v>28</v>
      </c>
      <c r="F69" s="316">
        <v>31</v>
      </c>
      <c r="G69" s="316">
        <v>30</v>
      </c>
      <c r="H69" s="316">
        <v>31</v>
      </c>
      <c r="I69" s="316">
        <v>30</v>
      </c>
      <c r="J69" s="316">
        <v>31</v>
      </c>
      <c r="K69" s="316">
        <v>31</v>
      </c>
      <c r="L69" s="316">
        <v>30</v>
      </c>
      <c r="M69" s="316">
        <v>31</v>
      </c>
      <c r="N69" s="316">
        <v>30</v>
      </c>
      <c r="O69" s="316">
        <v>31</v>
      </c>
      <c r="P69" s="330"/>
      <c r="Q69" s="331" t="s">
        <v>354</v>
      </c>
    </row>
    <row r="70" spans="2:17">
      <c r="B70" s="332" t="s">
        <v>356</v>
      </c>
      <c r="D70" s="316">
        <f>Monatswerte!L2</f>
        <v>-1.2</v>
      </c>
      <c r="E70" s="316">
        <f>Monatswerte!M2</f>
        <v>-0.9</v>
      </c>
      <c r="F70" s="316">
        <f>Monatswerte!N2</f>
        <v>1.7</v>
      </c>
      <c r="G70" s="316">
        <f>Monatswerte!O2</f>
        <v>4.0999999999999996</v>
      </c>
      <c r="H70" s="316">
        <f>Monatswerte!P2</f>
        <v>9.1999999999999993</v>
      </c>
      <c r="I70" s="316">
        <f>Monatswerte!Q2</f>
        <v>11.8</v>
      </c>
      <c r="J70" s="316">
        <f>Monatswerte!R2</f>
        <v>14.2</v>
      </c>
      <c r="K70" s="316">
        <f>Monatswerte!S2</f>
        <v>14.4</v>
      </c>
      <c r="L70" s="316">
        <f>Monatswerte!T2</f>
        <v>10.5</v>
      </c>
      <c r="M70" s="316">
        <f>Monatswerte!U2</f>
        <v>7.3</v>
      </c>
      <c r="N70" s="316">
        <f>Monatswerte!V2</f>
        <v>2</v>
      </c>
      <c r="O70" s="316">
        <f>Monatswerte!W2</f>
        <v>0</v>
      </c>
      <c r="P70" s="341">
        <f>Monatswerte!X2</f>
        <v>6.0916666666666659</v>
      </c>
      <c r="Q70" s="304" t="s">
        <v>3</v>
      </c>
    </row>
    <row r="71" spans="2:17">
      <c r="B71" s="332" t="s">
        <v>358</v>
      </c>
      <c r="D71" s="316">
        <f>Monatswerte!L3</f>
        <v>150</v>
      </c>
      <c r="E71" s="316">
        <f>Monatswerte!M3</f>
        <v>213</v>
      </c>
      <c r="F71" s="316">
        <f>Monatswerte!N3</f>
        <v>364</v>
      </c>
      <c r="G71" s="316">
        <f>Monatswerte!O3</f>
        <v>443</v>
      </c>
      <c r="H71" s="316">
        <f>Monatswerte!P3</f>
        <v>530</v>
      </c>
      <c r="I71" s="316">
        <f>Monatswerte!Q3</f>
        <v>537</v>
      </c>
      <c r="J71" s="316">
        <f>Monatswerte!R3</f>
        <v>560</v>
      </c>
      <c r="K71" s="316">
        <f>Monatswerte!S3</f>
        <v>493</v>
      </c>
      <c r="L71" s="316">
        <f>Monatswerte!T3</f>
        <v>371</v>
      </c>
      <c r="M71" s="316">
        <f>Monatswerte!U3</f>
        <v>254</v>
      </c>
      <c r="N71" s="316">
        <f>Monatswerte!V3</f>
        <v>150</v>
      </c>
      <c r="O71" s="316">
        <f>Monatswerte!W3</f>
        <v>121</v>
      </c>
      <c r="P71" s="333">
        <f>Monatswerte!X3</f>
        <v>4186</v>
      </c>
      <c r="Q71" s="304" t="s">
        <v>359</v>
      </c>
    </row>
    <row r="72" spans="2:17">
      <c r="B72" s="332" t="s">
        <v>363</v>
      </c>
      <c r="D72" s="316">
        <f>Monatswerte!L4</f>
        <v>96</v>
      </c>
      <c r="E72" s="316">
        <f>Monatswerte!M4</f>
        <v>143</v>
      </c>
      <c r="F72" s="316">
        <f>Monatswerte!N4</f>
        <v>271</v>
      </c>
      <c r="G72" s="316">
        <f>Monatswerte!O4</f>
        <v>233</v>
      </c>
      <c r="H72" s="316">
        <f>Monatswerte!P4</f>
        <v>295</v>
      </c>
      <c r="I72" s="316">
        <f>Monatswerte!Q4</f>
        <v>311</v>
      </c>
      <c r="J72" s="316">
        <f>Monatswerte!R4</f>
        <v>327</v>
      </c>
      <c r="K72" s="316">
        <f>Monatswerte!S4</f>
        <v>279</v>
      </c>
      <c r="L72" s="316">
        <f>Monatswerte!T4</f>
        <v>197</v>
      </c>
      <c r="M72" s="316">
        <f>Monatswerte!U4</f>
        <v>179</v>
      </c>
      <c r="N72" s="316">
        <f>Monatswerte!V4</f>
        <v>96</v>
      </c>
      <c r="O72" s="316">
        <f>Monatswerte!W4</f>
        <v>78</v>
      </c>
      <c r="P72" s="333">
        <f>Monatswerte!X4</f>
        <v>2504</v>
      </c>
      <c r="Q72" s="304" t="s">
        <v>359</v>
      </c>
    </row>
    <row r="73" spans="2:17">
      <c r="B73" s="332" t="s">
        <v>361</v>
      </c>
      <c r="D73" s="316">
        <f>Monatswerte!L5</f>
        <v>297</v>
      </c>
      <c r="E73" s="316">
        <f>Monatswerte!M5</f>
        <v>331</v>
      </c>
      <c r="F73" s="316">
        <f>Monatswerte!N5</f>
        <v>431</v>
      </c>
      <c r="G73" s="316">
        <f>Monatswerte!O5</f>
        <v>293</v>
      </c>
      <c r="H73" s="316">
        <f>Monatswerte!P5</f>
        <v>268</v>
      </c>
      <c r="I73" s="316">
        <f>Monatswerte!Q5</f>
        <v>236</v>
      </c>
      <c r="J73" s="316">
        <f>Monatswerte!R5</f>
        <v>265</v>
      </c>
      <c r="K73" s="316">
        <f>Monatswerte!S5</f>
        <v>300</v>
      </c>
      <c r="L73" s="316">
        <f>Monatswerte!T5</f>
        <v>314</v>
      </c>
      <c r="M73" s="316">
        <f>Monatswerte!U5</f>
        <v>359</v>
      </c>
      <c r="N73" s="316">
        <f>Monatswerte!V5</f>
        <v>262</v>
      </c>
      <c r="O73" s="316">
        <f>Monatswerte!W5</f>
        <v>244</v>
      </c>
      <c r="P73" s="333">
        <f>Monatswerte!X5</f>
        <v>3600</v>
      </c>
      <c r="Q73" s="304" t="s">
        <v>359</v>
      </c>
    </row>
    <row r="74" spans="2:17">
      <c r="B74" s="332" t="s">
        <v>365</v>
      </c>
      <c r="D74" s="316">
        <f>Monatswerte!L6</f>
        <v>134</v>
      </c>
      <c r="E74" s="316">
        <f>Monatswerte!M6</f>
        <v>169</v>
      </c>
      <c r="F74" s="316">
        <f>Monatswerte!N6</f>
        <v>257</v>
      </c>
      <c r="G74" s="316">
        <f>Monatswerte!O6</f>
        <v>181</v>
      </c>
      <c r="H74" s="316">
        <f>Monatswerte!P6</f>
        <v>198</v>
      </c>
      <c r="I74" s="316">
        <f>Monatswerte!Q6</f>
        <v>187</v>
      </c>
      <c r="J74" s="316">
        <f>Monatswerte!R6</f>
        <v>198</v>
      </c>
      <c r="K74" s="316">
        <f>Monatswerte!S6</f>
        <v>187</v>
      </c>
      <c r="L74" s="316">
        <f>Monatswerte!T6</f>
        <v>156</v>
      </c>
      <c r="M74" s="316">
        <f>Monatswerte!U6</f>
        <v>190</v>
      </c>
      <c r="N74" s="316">
        <f>Monatswerte!V6</f>
        <v>122</v>
      </c>
      <c r="O74" s="316">
        <f>Monatswerte!W6</f>
        <v>104</v>
      </c>
      <c r="P74" s="333">
        <f>Monatswerte!X6</f>
        <v>2084</v>
      </c>
      <c r="Q74" s="304" t="s">
        <v>359</v>
      </c>
    </row>
    <row r="75" spans="2:17" ht="12.9" thickBot="1">
      <c r="B75" s="334" t="s">
        <v>367</v>
      </c>
      <c r="C75" s="335"/>
      <c r="D75" s="336">
        <f>Monatswerte!L7</f>
        <v>75</v>
      </c>
      <c r="E75" s="336">
        <f>Monatswerte!M7</f>
        <v>102</v>
      </c>
      <c r="F75" s="336">
        <f>Monatswerte!N7</f>
        <v>171</v>
      </c>
      <c r="G75" s="336">
        <f>Monatswerte!O7</f>
        <v>101</v>
      </c>
      <c r="H75" s="336">
        <f>Monatswerte!P7</f>
        <v>129</v>
      </c>
      <c r="I75" s="336">
        <f>Monatswerte!Q7</f>
        <v>140</v>
      </c>
      <c r="J75" s="336">
        <f>Monatswerte!R7</f>
        <v>139</v>
      </c>
      <c r="K75" s="336">
        <f>Monatswerte!S7</f>
        <v>112</v>
      </c>
      <c r="L75" s="336">
        <f>Monatswerte!T7</f>
        <v>83</v>
      </c>
      <c r="M75" s="336">
        <f>Monatswerte!U7</f>
        <v>123</v>
      </c>
      <c r="N75" s="336">
        <f>Monatswerte!V7</f>
        <v>75</v>
      </c>
      <c r="O75" s="337">
        <f>Monatswerte!W7</f>
        <v>62</v>
      </c>
      <c r="P75" s="338">
        <f>Monatswerte!X7</f>
        <v>1312</v>
      </c>
      <c r="Q75" s="339" t="s">
        <v>359</v>
      </c>
    </row>
    <row r="76" spans="2:17" ht="12.9" thickBot="1"/>
    <row r="77" spans="2:17" ht="12.9" thickBot="1">
      <c r="B77" s="280" t="s">
        <v>429</v>
      </c>
      <c r="C77" s="325"/>
      <c r="D77" s="281" t="s">
        <v>359</v>
      </c>
      <c r="E77" s="325"/>
      <c r="F77" s="325"/>
      <c r="G77" s="325"/>
      <c r="H77" s="325"/>
      <c r="I77" s="325"/>
      <c r="J77" s="325"/>
      <c r="K77" s="325"/>
      <c r="L77" s="325"/>
      <c r="M77" s="325"/>
      <c r="N77" s="325"/>
      <c r="O77" s="325"/>
      <c r="P77" s="325"/>
      <c r="Q77" s="328"/>
    </row>
    <row r="78" spans="2:17">
      <c r="B78" s="282" t="s">
        <v>371</v>
      </c>
      <c r="C78" s="340"/>
      <c r="D78" s="340"/>
      <c r="E78" s="340"/>
      <c r="F78" s="340"/>
      <c r="G78" s="340"/>
      <c r="H78" s="340"/>
      <c r="I78" s="340"/>
      <c r="J78" s="340"/>
      <c r="K78" s="340"/>
      <c r="L78" s="340"/>
      <c r="M78" s="340"/>
      <c r="N78" s="340"/>
      <c r="O78" s="331"/>
      <c r="P78" s="330"/>
      <c r="Q78" s="331"/>
    </row>
    <row r="79" spans="2:17">
      <c r="B79" s="284" t="s">
        <v>373</v>
      </c>
      <c r="D79" s="303">
        <f>IF(EBF&gt;0,(Thetai-D$70)*D$69*$D$22*U_DAFbeheizt*0.0864/EBF,0)</f>
        <v>0</v>
      </c>
      <c r="E79" s="303">
        <f t="shared" ref="E79:O79" si="0">IF(EBF&gt;0,(Thetai-E$70)*E$69*$D$22*U_DAFbeheizt*0.0864/EBF,0)</f>
        <v>0</v>
      </c>
      <c r="F79" s="303">
        <f t="shared" si="0"/>
        <v>0</v>
      </c>
      <c r="G79" s="303">
        <f t="shared" si="0"/>
        <v>0</v>
      </c>
      <c r="H79" s="303">
        <f t="shared" si="0"/>
        <v>0</v>
      </c>
      <c r="I79" s="303">
        <f t="shared" si="0"/>
        <v>0</v>
      </c>
      <c r="J79" s="303">
        <f t="shared" si="0"/>
        <v>0</v>
      </c>
      <c r="K79" s="303">
        <f t="shared" si="0"/>
        <v>0</v>
      </c>
      <c r="L79" s="303">
        <f t="shared" si="0"/>
        <v>0</v>
      </c>
      <c r="M79" s="303">
        <f t="shared" si="0"/>
        <v>0</v>
      </c>
      <c r="N79" s="303">
        <f t="shared" si="0"/>
        <v>0</v>
      </c>
      <c r="O79" s="303">
        <f t="shared" si="0"/>
        <v>0</v>
      </c>
      <c r="P79" s="341">
        <f t="shared" ref="P79:P86" si="1">SUM(D79:O79)</f>
        <v>0</v>
      </c>
      <c r="Q79" s="304" t="s">
        <v>359</v>
      </c>
    </row>
    <row r="80" spans="2:17">
      <c r="B80" s="284" t="s">
        <v>375</v>
      </c>
      <c r="D80" s="303">
        <f t="shared" ref="D80:O80" si="2">IF(EBF&gt;0,(Thetai-D$70)*D$69*$D$14*U_E3*bGW*0.0864/EBF,0)</f>
        <v>0</v>
      </c>
      <c r="E80" s="303">
        <f t="shared" si="2"/>
        <v>0</v>
      </c>
      <c r="F80" s="303">
        <f t="shared" si="2"/>
        <v>0</v>
      </c>
      <c r="G80" s="303">
        <f t="shared" si="2"/>
        <v>0</v>
      </c>
      <c r="H80" s="303">
        <f t="shared" si="2"/>
        <v>0</v>
      </c>
      <c r="I80" s="303">
        <f t="shared" si="2"/>
        <v>0</v>
      </c>
      <c r="J80" s="303">
        <f t="shared" si="2"/>
        <v>0</v>
      </c>
      <c r="K80" s="303">
        <f t="shared" si="2"/>
        <v>0</v>
      </c>
      <c r="L80" s="303">
        <f t="shared" si="2"/>
        <v>0</v>
      </c>
      <c r="M80" s="303">
        <f t="shared" si="2"/>
        <v>0</v>
      </c>
      <c r="N80" s="303">
        <f t="shared" si="2"/>
        <v>0</v>
      </c>
      <c r="O80" s="303">
        <f t="shared" si="2"/>
        <v>0</v>
      </c>
      <c r="P80" s="341">
        <f t="shared" si="1"/>
        <v>0</v>
      </c>
      <c r="Q80" s="304" t="s">
        <v>359</v>
      </c>
    </row>
    <row r="81" spans="2:17">
      <c r="B81" s="283" t="s">
        <v>377</v>
      </c>
      <c r="D81" s="303">
        <f>IF(EBF&gt;0,(deltaThetahmax+Thetai-D$70)*D$69*E4beheizt*U_E4*0.0864/EBF,0)</f>
        <v>14.220964800000001</v>
      </c>
      <c r="E81" s="303">
        <f t="shared" ref="E81:M81" si="3">IF(EBF&gt;0,(Thetai-E$70)*E$69*E4beheizt*U_E4*0.0864/EBF,0)</f>
        <v>11.5915968</v>
      </c>
      <c r="F81" s="303">
        <f t="shared" si="3"/>
        <v>11.545243200000003</v>
      </c>
      <c r="G81" s="303">
        <f t="shared" si="3"/>
        <v>10.021968000000003</v>
      </c>
      <c r="H81" s="303">
        <f t="shared" si="3"/>
        <v>7.8289632000000022</v>
      </c>
      <c r="I81" s="303">
        <f t="shared" si="3"/>
        <v>6.329664000000002</v>
      </c>
      <c r="J81" s="303">
        <f t="shared" si="3"/>
        <v>5.3514432000000012</v>
      </c>
      <c r="K81" s="303">
        <f t="shared" si="3"/>
        <v>5.2523423999999999</v>
      </c>
      <c r="L81" s="303">
        <f t="shared" si="3"/>
        <v>6.9530400000000014</v>
      </c>
      <c r="M81" s="303">
        <f t="shared" si="3"/>
        <v>8.7704208000000001</v>
      </c>
      <c r="N81" s="303">
        <f>IF(EBF&gt;0,(Thetai-N$70)*N$69*E4beheizt*U_E4*0.0864/EBF,0)</f>
        <v>11.028960000000001</v>
      </c>
      <c r="O81" s="303">
        <f>IF(EBF&gt;0,(Thetai-O$70)*O$69*E4beheizt*U_E4*0.0864/EBF,0)</f>
        <v>12.387600000000003</v>
      </c>
      <c r="P81" s="341">
        <f t="shared" si="1"/>
        <v>111.28220640000002</v>
      </c>
      <c r="Q81" s="304" t="s">
        <v>359</v>
      </c>
    </row>
    <row r="82" spans="2:17">
      <c r="B82" s="284" t="s">
        <v>378</v>
      </c>
      <c r="D82" s="303">
        <f t="shared" ref="D82:M82" si="4">IF(EBF&gt;0,(Thetai+deltaThetahmax-D$70)*D$69*BodenErdeF*U_Boden*bGF*0.0864/EBF,0)</f>
        <v>0</v>
      </c>
      <c r="E82" s="303">
        <f t="shared" si="4"/>
        <v>0</v>
      </c>
      <c r="F82" s="303">
        <f t="shared" si="4"/>
        <v>0</v>
      </c>
      <c r="G82" s="303">
        <f t="shared" si="4"/>
        <v>0</v>
      </c>
      <c r="H82" s="303">
        <f t="shared" si="4"/>
        <v>0</v>
      </c>
      <c r="I82" s="303">
        <f t="shared" si="4"/>
        <v>0</v>
      </c>
      <c r="J82" s="303">
        <f t="shared" si="4"/>
        <v>0</v>
      </c>
      <c r="K82" s="303">
        <f t="shared" si="4"/>
        <v>0</v>
      </c>
      <c r="L82" s="303">
        <f t="shared" si="4"/>
        <v>0</v>
      </c>
      <c r="M82" s="303">
        <f t="shared" si="4"/>
        <v>0</v>
      </c>
      <c r="N82" s="303">
        <f>IF(EBF&gt;0,(Thetai+deltaThetahmax-N$70)*N$69*BodenErdeF*U_Boden*bGF*0.0864/EBF,0)</f>
        <v>0</v>
      </c>
      <c r="O82" s="303">
        <f>IF(EBF&gt;0,(Thetai+deltaThetahmax-O$70)*O$69*BodenErdeF*U_Boden*bGF*0.0864/EBF,0)</f>
        <v>0</v>
      </c>
      <c r="P82" s="341">
        <f t="shared" si="1"/>
        <v>0</v>
      </c>
      <c r="Q82" s="304" t="s">
        <v>359</v>
      </c>
    </row>
    <row r="83" spans="2:17">
      <c r="B83" s="285" t="s">
        <v>390</v>
      </c>
      <c r="D83" s="303">
        <f>(IF(EBF&gt;0,(Thetai+deltaThetahmax-D$70)*D$69*D65*E65*0.0864/EBF,0))*0</f>
        <v>0</v>
      </c>
      <c r="E83" s="303">
        <f>IF(EBF&gt;0,(Thetai+deltaThetahmax-E$70)*E$69*D65*U_gedaemmteDecken*0.0864/EBF,0)</f>
        <v>0</v>
      </c>
      <c r="F83" s="303">
        <f>IF(EBF&gt;0,(Thetai+deltaThetahmax-F$70)*F$69*D65*U_gedaemmteDecken*0.0864/EBF,0)</f>
        <v>0</v>
      </c>
      <c r="G83" s="303">
        <f>IF(EBF&gt;0,(Thetai+deltaThetahmax-G$70)*G$69*D65*U_gedaemmteDecken*0.0864/EBF,0)</f>
        <v>0</v>
      </c>
      <c r="H83" s="303">
        <f>IF(EBF&gt;0,(Thetai+deltaThetahmax-H$70)*H$69*D65*U_gedaemmteDecken*0.0864/EBF,0)</f>
        <v>0</v>
      </c>
      <c r="I83" s="303">
        <f>IF(EBF&gt;0,(Thetai+deltaThetahmax-I$70)*I$69*D65*U_gedaemmteDecken*0.0864/EBF,0)</f>
        <v>0</v>
      </c>
      <c r="J83" s="303">
        <f>IF(EBF&gt;0,(Thetai+deltaThetahmax-J$70)*J$69*D65*U_gedaemmteDecken*0.0864/EBF,0)</f>
        <v>0</v>
      </c>
      <c r="K83" s="303">
        <f>IF(EBF&gt;0,(Thetai+deltaThetahmax-K$70)*K$69*D65*U_gedaemmteDecken*0.0864/EBF,0)</f>
        <v>0</v>
      </c>
      <c r="L83" s="303">
        <f>IF(EBF&gt;0,(Thetai+deltaThetahmax-L$70)*L$69*D65*U_gedaemmteDecken*0.0864/EBF,0)</f>
        <v>0</v>
      </c>
      <c r="M83" s="303">
        <f>IF(EBF&gt;0,(Thetai+deltaThetahmax-M$70)*M$69*D65*U_gedaemmteDecken*0.0864/EBF,0)</f>
        <v>0</v>
      </c>
      <c r="N83" s="303">
        <f>IF(EBF&gt;0,(Thetai+deltaThetahmax-N$70)*N$69*D65*U_gedaemmteDecken*0.0864/EBF,0)</f>
        <v>0</v>
      </c>
      <c r="O83" s="303">
        <f>IF(EBF&gt;0,(Thetai+deltaThetahmax-O$70)*O$69*D65*U_gedaemmteDecken*0.0864/EBF,0)</f>
        <v>0</v>
      </c>
      <c r="P83" s="341">
        <f t="shared" si="1"/>
        <v>0</v>
      </c>
      <c r="Q83" s="304" t="s">
        <v>359</v>
      </c>
    </row>
    <row r="84" spans="2:17">
      <c r="B84" s="284" t="s">
        <v>391</v>
      </c>
      <c r="D84" s="303">
        <f>IF(EBF&gt;0,(Thetai-D$70)*D$69*D16*U_E5*0.0864/EBF,0)</f>
        <v>16.511548235294118</v>
      </c>
      <c r="E84" s="303">
        <f>IF(EBF&gt;0,(Thetai-E$70)*E$69*D16*U_E5*0.0864/EBF,0)</f>
        <v>14.742889411764704</v>
      </c>
      <c r="F84" s="303">
        <f>IF(EBF&gt;0,(Thetai-F$70)*F$69*D16*U_E5*0.0864/EBF,0)</f>
        <v>14.683934117647061</v>
      </c>
      <c r="G84" s="303">
        <f>IF(EBF&gt;0,(Thetai-G$70)*G$69*D16*U_E5*0.0864/EBF,0)</f>
        <v>12.74654117647059</v>
      </c>
      <c r="H84" s="303">
        <f>IF(EBF&gt;0,(Thetai-H$70)*H$69*D16*U_E5*0.0864/EBF,0)</f>
        <v>9.9573458823529428</v>
      </c>
      <c r="I84" s="303">
        <f>IF(EBF&gt;0,(Thetai-I$70)*I$69*D16*U_E5*0.0864/EBF,0)</f>
        <v>8.0504470588235293</v>
      </c>
      <c r="J84" s="303">
        <f>IF(EBF&gt;0,(Thetai-J$70)*J$69*D16*U_E5*0.0864/EBF,0)</f>
        <v>6.8062870588235311</v>
      </c>
      <c r="K84" s="303">
        <f>IF(EBF&gt;0,(Thetai-K$70)*K$69*D16*U_E5*0.0864/EBF,0)</f>
        <v>6.6802447058823535</v>
      </c>
      <c r="L84" s="303">
        <f>IF(EBF&gt;0,(Thetai-L$70)*L$69*D16*U_E5*0.0864/EBF,0)</f>
        <v>8.8432941176470603</v>
      </c>
      <c r="M84" s="303">
        <f>IF(EBF&gt;0,(Thetai-M$70)*M$69*D16*U_E5*0.0864/EBF,0)</f>
        <v>11.154748235294118</v>
      </c>
      <c r="N84" s="303">
        <f>IF(EBF&gt;0,(Thetai-N$70)*N$69*D16*U_E5*0.0864/EBF,0)</f>
        <v>14.02729411764706</v>
      </c>
      <c r="O84" s="303">
        <f>IF(EBF&gt;0,(Thetai-O$70)*O$69*D16*U_E5*0.0864/EBF,0)</f>
        <v>15.755294117647059</v>
      </c>
      <c r="P84" s="341">
        <f t="shared" si="1"/>
        <v>139.95986823529415</v>
      </c>
      <c r="Q84" s="304" t="s">
        <v>359</v>
      </c>
    </row>
    <row r="85" spans="2:17">
      <c r="B85" s="286" t="s">
        <v>392</v>
      </c>
      <c r="D85" s="303">
        <f>(1*D$69*(Thetai-D$70)*BodenUnb*E64*$D$56*0.0864/EBF)*0</f>
        <v>0</v>
      </c>
      <c r="E85" s="303">
        <f t="shared" ref="E85:O85" si="5">(1*E$69*(Thetai-E$70)*BodenUnb*U_Boden*$D$56*0.0864/EBF)*0</f>
        <v>0</v>
      </c>
      <c r="F85" s="303">
        <f t="shared" si="5"/>
        <v>0</v>
      </c>
      <c r="G85" s="303">
        <f t="shared" si="5"/>
        <v>0</v>
      </c>
      <c r="H85" s="303">
        <f t="shared" si="5"/>
        <v>0</v>
      </c>
      <c r="I85" s="303">
        <f t="shared" si="5"/>
        <v>0</v>
      </c>
      <c r="J85" s="303">
        <f t="shared" si="5"/>
        <v>0</v>
      </c>
      <c r="K85" s="303">
        <f t="shared" si="5"/>
        <v>0</v>
      </c>
      <c r="L85" s="303">
        <f t="shared" si="5"/>
        <v>0</v>
      </c>
      <c r="M85" s="303">
        <f t="shared" si="5"/>
        <v>0</v>
      </c>
      <c r="N85" s="303">
        <f t="shared" si="5"/>
        <v>0</v>
      </c>
      <c r="O85" s="303">
        <f t="shared" si="5"/>
        <v>0</v>
      </c>
      <c r="P85" s="341">
        <f>SUM(D85:O85)</f>
        <v>0</v>
      </c>
      <c r="Q85" s="304" t="s">
        <v>359</v>
      </c>
    </row>
    <row r="86" spans="2:17">
      <c r="B86" s="287" t="s">
        <v>316</v>
      </c>
      <c r="D86" s="303">
        <f t="shared" ref="D86:O86" si="6">SUM(D79:D85)*(1+WBZuschlag)</f>
        <v>33.805764338823536</v>
      </c>
      <c r="E86" s="303">
        <f t="shared" si="6"/>
        <v>28.967934832941179</v>
      </c>
      <c r="F86" s="303">
        <f t="shared" si="6"/>
        <v>28.852095049411773</v>
      </c>
      <c r="G86" s="303">
        <f t="shared" si="6"/>
        <v>25.045360094117655</v>
      </c>
      <c r="H86" s="303">
        <f t="shared" si="6"/>
        <v>19.56493999058824</v>
      </c>
      <c r="I86" s="303">
        <f t="shared" si="6"/>
        <v>15.818122164705885</v>
      </c>
      <c r="J86" s="303">
        <f t="shared" si="6"/>
        <v>13.373503284705887</v>
      </c>
      <c r="K86" s="303">
        <f t="shared" si="6"/>
        <v>13.125845816470589</v>
      </c>
      <c r="L86" s="303">
        <f t="shared" si="6"/>
        <v>17.375967529411771</v>
      </c>
      <c r="M86" s="303">
        <f t="shared" si="6"/>
        <v>21.917685938823531</v>
      </c>
      <c r="N86" s="303">
        <f t="shared" si="6"/>
        <v>27.561879529411769</v>
      </c>
      <c r="O86" s="303">
        <f t="shared" si="6"/>
        <v>30.957183529411768</v>
      </c>
      <c r="P86" s="290">
        <f t="shared" si="1"/>
        <v>276.3662820988236</v>
      </c>
      <c r="Q86" s="304" t="s">
        <v>359</v>
      </c>
    </row>
    <row r="87" spans="2:17">
      <c r="B87" s="288" t="s">
        <v>393</v>
      </c>
      <c r="D87" s="316"/>
      <c r="E87" s="316"/>
      <c r="F87" s="316"/>
      <c r="G87" s="316"/>
      <c r="H87" s="316"/>
      <c r="I87" s="316"/>
      <c r="J87" s="316"/>
      <c r="K87" s="316"/>
      <c r="L87" s="316"/>
      <c r="M87" s="316"/>
      <c r="N87" s="316"/>
      <c r="O87" s="329"/>
      <c r="P87" s="341"/>
      <c r="Q87" s="304"/>
    </row>
    <row r="88" spans="2:17">
      <c r="B88" s="342" t="s">
        <v>320</v>
      </c>
      <c r="D88" s="303">
        <f>IF(D86=0,0,(Thetai-D$70)*VStandard*D$69*(1220-0.14*HueM)*0.000024)</f>
        <v>14.125262592</v>
      </c>
      <c r="E88" s="303">
        <f t="shared" ref="E88:M88" si="7">IF(E86=0,0,(Thetai-E$70)*VStandard*E$69*(1220-0.14*HueM)*0.000024)</f>
        <v>12.612214271999999</v>
      </c>
      <c r="F88" s="303">
        <f t="shared" si="7"/>
        <v>12.561779327999998</v>
      </c>
      <c r="G88" s="303">
        <f t="shared" si="7"/>
        <v>10.904382719999997</v>
      </c>
      <c r="H88" s="303">
        <f t="shared" si="7"/>
        <v>8.518288128</v>
      </c>
      <c r="I88" s="303">
        <f t="shared" si="7"/>
        <v>6.8869785599999984</v>
      </c>
      <c r="J88" s="303">
        <f t="shared" si="7"/>
        <v>5.8226273280000003</v>
      </c>
      <c r="K88" s="303">
        <f t="shared" si="7"/>
        <v>5.7148008959999999</v>
      </c>
      <c r="L88" s="303">
        <f t="shared" si="7"/>
        <v>7.5652415999999993</v>
      </c>
      <c r="M88" s="303">
        <f t="shared" si="7"/>
        <v>9.5426392320000009</v>
      </c>
      <c r="N88" s="303">
        <f>IF(N86=0,0,(Thetai-N$70)*VStandard*N$69*(1220-0.14*HueM)*0.000024)</f>
        <v>12.000038399999999</v>
      </c>
      <c r="O88" s="303">
        <f>IF(O86=0,0,(Thetai-O$70)*VStandard*O$69*(1220-0.14*HueM)*0.000024)</f>
        <v>13.478304</v>
      </c>
      <c r="P88" s="290">
        <f>SUM(D88:O88)</f>
        <v>119.73255705599998</v>
      </c>
      <c r="Q88" s="304" t="s">
        <v>359</v>
      </c>
    </row>
    <row r="89" spans="2:17">
      <c r="B89" s="288" t="s">
        <v>394</v>
      </c>
      <c r="D89" s="316"/>
      <c r="E89" s="316"/>
      <c r="F89" s="316"/>
      <c r="G89" s="316"/>
      <c r="H89" s="316"/>
      <c r="I89" s="316"/>
      <c r="J89" s="316"/>
      <c r="K89" s="316"/>
      <c r="L89" s="316"/>
      <c r="M89" s="316"/>
      <c r="N89" s="316"/>
      <c r="O89" s="329"/>
      <c r="P89" s="341"/>
      <c r="Q89" s="304"/>
    </row>
    <row r="90" spans="2:17">
      <c r="B90" s="284" t="s">
        <v>395</v>
      </c>
      <c r="D90" s="303">
        <f t="shared" ref="D90:O90" si="8">D88+D86</f>
        <v>47.931026930823535</v>
      </c>
      <c r="E90" s="303">
        <f t="shared" si="8"/>
        <v>41.580149104941178</v>
      </c>
      <c r="F90" s="303">
        <f t="shared" si="8"/>
        <v>41.413874377411773</v>
      </c>
      <c r="G90" s="303">
        <f t="shared" si="8"/>
        <v>35.949742814117656</v>
      </c>
      <c r="H90" s="303">
        <f t="shared" si="8"/>
        <v>28.083228118588238</v>
      </c>
      <c r="I90" s="303">
        <f t="shared" si="8"/>
        <v>22.705100724705883</v>
      </c>
      <c r="J90" s="303">
        <f t="shared" si="8"/>
        <v>19.196130612705886</v>
      </c>
      <c r="K90" s="303">
        <f t="shared" si="8"/>
        <v>18.840646712470587</v>
      </c>
      <c r="L90" s="303">
        <f t="shared" si="8"/>
        <v>24.941209129411771</v>
      </c>
      <c r="M90" s="303">
        <f t="shared" si="8"/>
        <v>31.460325170823531</v>
      </c>
      <c r="N90" s="303">
        <f t="shared" si="8"/>
        <v>39.56191792941177</v>
      </c>
      <c r="O90" s="303">
        <f t="shared" si="8"/>
        <v>44.435487529411766</v>
      </c>
      <c r="P90" s="341">
        <f>SUM(D90:O90)</f>
        <v>396.09883915482362</v>
      </c>
      <c r="Q90" s="304" t="s">
        <v>359</v>
      </c>
    </row>
    <row r="91" spans="2:17">
      <c r="B91" s="288" t="s">
        <v>396</v>
      </c>
      <c r="D91" s="316"/>
      <c r="E91" s="316" t="s">
        <v>193</v>
      </c>
      <c r="F91" s="316"/>
      <c r="G91" s="316"/>
      <c r="H91" s="316"/>
      <c r="I91" s="316"/>
      <c r="J91" s="316"/>
      <c r="K91" s="316"/>
      <c r="L91" s="316"/>
      <c r="M91" s="316"/>
      <c r="N91" s="316"/>
      <c r="O91" s="329"/>
      <c r="P91" s="341"/>
      <c r="Q91" s="304"/>
    </row>
    <row r="92" spans="2:17">
      <c r="B92" s="284" t="s">
        <v>397</v>
      </c>
      <c r="D92" s="303">
        <f t="shared" ref="D92:O92" si="9">QE*fE*D$69/365</f>
        <v>7.3748872602739741</v>
      </c>
      <c r="E92" s="303">
        <f t="shared" si="9"/>
        <v>6.6611884931506857</v>
      </c>
      <c r="F92" s="303">
        <f t="shared" si="9"/>
        <v>7.3748872602739741</v>
      </c>
      <c r="G92" s="303">
        <f t="shared" si="9"/>
        <v>7.1369876712328768</v>
      </c>
      <c r="H92" s="303">
        <f t="shared" si="9"/>
        <v>7.3748872602739741</v>
      </c>
      <c r="I92" s="303">
        <f t="shared" si="9"/>
        <v>7.1369876712328768</v>
      </c>
      <c r="J92" s="303">
        <f t="shared" si="9"/>
        <v>7.3748872602739741</v>
      </c>
      <c r="K92" s="303">
        <f t="shared" si="9"/>
        <v>7.3748872602739741</v>
      </c>
      <c r="L92" s="303">
        <f t="shared" si="9"/>
        <v>7.1369876712328768</v>
      </c>
      <c r="M92" s="303">
        <f t="shared" si="9"/>
        <v>7.3748872602739741</v>
      </c>
      <c r="N92" s="303">
        <f t="shared" si="9"/>
        <v>7.1369876712328768</v>
      </c>
      <c r="O92" s="303">
        <f t="shared" si="9"/>
        <v>7.3748872602739741</v>
      </c>
      <c r="P92" s="341">
        <f>SUM(D92:O92)</f>
        <v>86.83335000000001</v>
      </c>
      <c r="Q92" s="304" t="s">
        <v>359</v>
      </c>
    </row>
    <row r="93" spans="2:17">
      <c r="B93" s="284" t="s">
        <v>399</v>
      </c>
      <c r="D93" s="303">
        <f>$D$40*D$69/365</f>
        <v>2.9998080000000007</v>
      </c>
      <c r="E93" s="303">
        <f t="shared" ref="E93:O93" si="10">$D$40*E$69/365</f>
        <v>2.7095040000000008</v>
      </c>
      <c r="F93" s="303">
        <f t="shared" si="10"/>
        <v>2.9998080000000007</v>
      </c>
      <c r="G93" s="303">
        <f t="shared" si="10"/>
        <v>2.9030400000000007</v>
      </c>
      <c r="H93" s="303">
        <f t="shared" si="10"/>
        <v>2.9998080000000007</v>
      </c>
      <c r="I93" s="303">
        <f t="shared" si="10"/>
        <v>2.9030400000000007</v>
      </c>
      <c r="J93" s="303">
        <f t="shared" si="10"/>
        <v>2.9998080000000007</v>
      </c>
      <c r="K93" s="303">
        <f t="shared" si="10"/>
        <v>2.9998080000000007</v>
      </c>
      <c r="L93" s="303">
        <f t="shared" si="10"/>
        <v>2.9030400000000007</v>
      </c>
      <c r="M93" s="303">
        <f t="shared" si="10"/>
        <v>2.9998080000000007</v>
      </c>
      <c r="N93" s="303">
        <f t="shared" si="10"/>
        <v>2.9030400000000007</v>
      </c>
      <c r="O93" s="303">
        <f t="shared" si="10"/>
        <v>2.9998080000000007</v>
      </c>
      <c r="P93" s="341">
        <f>SUM(D93:O93)</f>
        <v>35.320320000000009</v>
      </c>
      <c r="Q93" s="304" t="s">
        <v>359</v>
      </c>
    </row>
    <row r="94" spans="2:17">
      <c r="B94" s="284" t="s">
        <v>400</v>
      </c>
      <c r="D94" s="303">
        <f t="shared" ref="D94:O94" si="11">D93+D92</f>
        <v>10.374695260273974</v>
      </c>
      <c r="E94" s="303">
        <f t="shared" si="11"/>
        <v>9.3706924931506865</v>
      </c>
      <c r="F94" s="303">
        <f t="shared" si="11"/>
        <v>10.374695260273974</v>
      </c>
      <c r="G94" s="303">
        <f t="shared" si="11"/>
        <v>10.040027671232878</v>
      </c>
      <c r="H94" s="303">
        <f t="shared" si="11"/>
        <v>10.374695260273974</v>
      </c>
      <c r="I94" s="303">
        <f t="shared" si="11"/>
        <v>10.040027671232878</v>
      </c>
      <c r="J94" s="303">
        <f t="shared" si="11"/>
        <v>10.374695260273974</v>
      </c>
      <c r="K94" s="303">
        <f t="shared" si="11"/>
        <v>10.374695260273974</v>
      </c>
      <c r="L94" s="303">
        <f t="shared" si="11"/>
        <v>10.040027671232878</v>
      </c>
      <c r="M94" s="303">
        <f t="shared" si="11"/>
        <v>10.374695260273974</v>
      </c>
      <c r="N94" s="303">
        <f t="shared" si="11"/>
        <v>10.040027671232878</v>
      </c>
      <c r="O94" s="303">
        <f t="shared" si="11"/>
        <v>10.374695260273974</v>
      </c>
      <c r="P94" s="341">
        <f>SUM(D94:O94)</f>
        <v>122.15367000000001</v>
      </c>
      <c r="Q94" s="304" t="s">
        <v>359</v>
      </c>
    </row>
    <row r="95" spans="2:17">
      <c r="B95" s="289" t="s">
        <v>401</v>
      </c>
      <c r="D95" s="303">
        <f t="shared" ref="D95:O95" si="12">IF(EBF&gt;0,($D$19*D$72*$F$19+$D$18*D$73*$F$18+$D$20*D$74*$F$20+$D$17*D$75*$F$17+$D$21*D$71*$F$21)*0.9*$D30*FF/EBF,0)</f>
        <v>2.9795294117647062</v>
      </c>
      <c r="E95" s="303">
        <f t="shared" si="12"/>
        <v>3.7577647058823538</v>
      </c>
      <c r="F95" s="303">
        <f t="shared" si="12"/>
        <v>5.7144705882352955</v>
      </c>
      <c r="G95" s="303">
        <f t="shared" si="12"/>
        <v>4.024588235294118</v>
      </c>
      <c r="H95" s="303">
        <f t="shared" si="12"/>
        <v>4.4025882352941181</v>
      </c>
      <c r="I95" s="303">
        <f t="shared" si="12"/>
        <v>4.1580000000000004</v>
      </c>
      <c r="J95" s="303">
        <f t="shared" si="12"/>
        <v>4.4025882352941181</v>
      </c>
      <c r="K95" s="303">
        <f t="shared" si="12"/>
        <v>4.1580000000000004</v>
      </c>
      <c r="L95" s="303">
        <f t="shared" si="12"/>
        <v>3.4687058823529417</v>
      </c>
      <c r="M95" s="303">
        <f t="shared" si="12"/>
        <v>4.2247058823529411</v>
      </c>
      <c r="N95" s="303">
        <f t="shared" si="12"/>
        <v>2.7127058823529415</v>
      </c>
      <c r="O95" s="303">
        <f t="shared" si="12"/>
        <v>2.3124705882352945</v>
      </c>
      <c r="P95" s="341">
        <f>SUM(D95:O95)</f>
        <v>46.316117647058832</v>
      </c>
      <c r="Q95" s="304" t="s">
        <v>359</v>
      </c>
    </row>
    <row r="96" spans="2:17" ht="13.5" customHeight="1">
      <c r="B96" s="284" t="s">
        <v>402</v>
      </c>
      <c r="D96" s="303">
        <f>D95+D94</f>
        <v>13.354224672038679</v>
      </c>
      <c r="E96" s="303">
        <f t="shared" ref="E96:O96" si="13">E95+E94</f>
        <v>13.12845719903304</v>
      </c>
      <c r="F96" s="303">
        <f t="shared" si="13"/>
        <v>16.089165848509268</v>
      </c>
      <c r="G96" s="303">
        <f t="shared" si="13"/>
        <v>14.064615906526996</v>
      </c>
      <c r="H96" s="303">
        <f t="shared" si="13"/>
        <v>14.777283495568092</v>
      </c>
      <c r="I96" s="303">
        <f t="shared" si="13"/>
        <v>14.198027671232879</v>
      </c>
      <c r="J96" s="303">
        <f t="shared" si="13"/>
        <v>14.777283495568092</v>
      </c>
      <c r="K96" s="303">
        <f t="shared" si="13"/>
        <v>14.532695260273975</v>
      </c>
      <c r="L96" s="303">
        <f t="shared" si="13"/>
        <v>13.50873355358582</v>
      </c>
      <c r="M96" s="303">
        <f t="shared" si="13"/>
        <v>14.599401142626915</v>
      </c>
      <c r="N96" s="303">
        <f t="shared" si="13"/>
        <v>12.75273355358582</v>
      </c>
      <c r="O96" s="303">
        <f t="shared" si="13"/>
        <v>12.687165848509268</v>
      </c>
      <c r="P96" s="343">
        <f>SUM(D96:O96)</f>
        <v>168.46978764705881</v>
      </c>
      <c r="Q96" s="304" t="s">
        <v>359</v>
      </c>
    </row>
    <row r="97" spans="2:20">
      <c r="B97" s="284" t="s">
        <v>411</v>
      </c>
      <c r="D97" s="303">
        <f t="shared" ref="D97:O97" si="14">IF(D90&gt;0,D96/D90,0)</f>
        <v>0.27861336439363521</v>
      </c>
      <c r="E97" s="303">
        <f t="shared" si="14"/>
        <v>0.31573857914504011</v>
      </c>
      <c r="F97" s="303">
        <f t="shared" si="14"/>
        <v>0.38849699745273591</v>
      </c>
      <c r="G97" s="303">
        <f t="shared" si="14"/>
        <v>0.39122994507220077</v>
      </c>
      <c r="H97" s="303">
        <f t="shared" si="14"/>
        <v>0.52619604246233487</v>
      </c>
      <c r="I97" s="303">
        <f t="shared" si="14"/>
        <v>0.62532326296988039</v>
      </c>
      <c r="J97" s="303">
        <f t="shared" si="14"/>
        <v>0.7698053213800824</v>
      </c>
      <c r="K97" s="303">
        <f t="shared" si="14"/>
        <v>0.77134800530253633</v>
      </c>
      <c r="L97" s="303">
        <f t="shared" si="14"/>
        <v>0.54162304174963705</v>
      </c>
      <c r="M97" s="303">
        <f t="shared" si="14"/>
        <v>0.46405754115238695</v>
      </c>
      <c r="N97" s="303">
        <f t="shared" si="14"/>
        <v>0.32234871869305842</v>
      </c>
      <c r="O97" s="303">
        <f t="shared" si="14"/>
        <v>0.28551877235760398</v>
      </c>
      <c r="P97" s="341" t="s">
        <v>56</v>
      </c>
      <c r="Q97" s="304"/>
    </row>
    <row r="98" spans="2:20">
      <c r="B98" s="289" t="s">
        <v>412</v>
      </c>
      <c r="C98" s="270">
        <f>CEBF/D90</f>
        <v>9.0129510603535381E-3</v>
      </c>
      <c r="D98" s="303">
        <f t="shared" ref="D98:O98" si="15">IF(D90&gt;0,CEBF*EBF*1000000/(($D$22*U_DAFbeheizt+$D$14*U_E3*bGW+E4beheizt*U_E4+BodenErdeF*U_Boden*bGF+$D$16*U_E5)*3600 + $D$34*EBF*(1220-0.14*HueM)),0)</f>
        <v>193.05547085135777</v>
      </c>
      <c r="E98" s="303">
        <f t="shared" si="15"/>
        <v>193.05547085135777</v>
      </c>
      <c r="F98" s="303">
        <f t="shared" si="15"/>
        <v>193.05547085135777</v>
      </c>
      <c r="G98" s="303">
        <f t="shared" si="15"/>
        <v>193.05547085135777</v>
      </c>
      <c r="H98" s="303">
        <f t="shared" si="15"/>
        <v>193.05547085135777</v>
      </c>
      <c r="I98" s="303">
        <f t="shared" si="15"/>
        <v>193.05547085135777</v>
      </c>
      <c r="J98" s="303">
        <f t="shared" si="15"/>
        <v>193.05547085135777</v>
      </c>
      <c r="K98" s="303">
        <f t="shared" si="15"/>
        <v>193.05547085135777</v>
      </c>
      <c r="L98" s="303">
        <f t="shared" si="15"/>
        <v>193.05547085135777</v>
      </c>
      <c r="M98" s="303">
        <f t="shared" si="15"/>
        <v>193.05547085135777</v>
      </c>
      <c r="N98" s="303">
        <f t="shared" si="15"/>
        <v>193.05547085135777</v>
      </c>
      <c r="O98" s="303">
        <f t="shared" si="15"/>
        <v>193.05547085135777</v>
      </c>
      <c r="P98" s="341"/>
      <c r="Q98" s="304"/>
    </row>
    <row r="99" spans="2:20">
      <c r="B99" s="284" t="s">
        <v>403</v>
      </c>
      <c r="D99" s="303">
        <f>a0+D98/tau0</f>
        <v>13.870364723423851</v>
      </c>
      <c r="E99" s="303">
        <f>a0+E98/tau0</f>
        <v>13.870364723423851</v>
      </c>
      <c r="F99" s="303">
        <f>a0+F98/tau0</f>
        <v>13.870364723423851</v>
      </c>
      <c r="G99" s="303">
        <f>a0+G98/tau0</f>
        <v>13.870364723423851</v>
      </c>
      <c r="H99" s="303">
        <f t="shared" ref="H99:O99" si="16">a0+H98/tau0</f>
        <v>13.870364723423851</v>
      </c>
      <c r="I99" s="303">
        <f t="shared" si="16"/>
        <v>13.870364723423851</v>
      </c>
      <c r="J99" s="303">
        <f t="shared" si="16"/>
        <v>13.870364723423851</v>
      </c>
      <c r="K99" s="303">
        <f t="shared" si="16"/>
        <v>13.870364723423851</v>
      </c>
      <c r="L99" s="303">
        <f t="shared" si="16"/>
        <v>13.870364723423851</v>
      </c>
      <c r="M99" s="303">
        <f t="shared" si="16"/>
        <v>13.870364723423851</v>
      </c>
      <c r="N99" s="303">
        <f t="shared" si="16"/>
        <v>13.870364723423851</v>
      </c>
      <c r="O99" s="303">
        <f t="shared" si="16"/>
        <v>13.870364723423851</v>
      </c>
      <c r="P99" s="341"/>
      <c r="Q99" s="304"/>
    </row>
    <row r="100" spans="2:20">
      <c r="B100" s="284" t="s">
        <v>413</v>
      </c>
      <c r="D100" s="317">
        <f t="shared" ref="D100:O100" si="17">IF(D97=1,D99/(D99+1),IF(D90&lt;=0,0,(1-D97^D99)/(1-D97^(D99+1))))</f>
        <v>0.9999999855408539</v>
      </c>
      <c r="E100" s="317">
        <f t="shared" si="17"/>
        <v>0.99999992224756962</v>
      </c>
      <c r="F100" s="317">
        <f t="shared" si="17"/>
        <v>0.99999876673584009</v>
      </c>
      <c r="G100" s="317">
        <f t="shared" si="17"/>
        <v>0.99999864687449747</v>
      </c>
      <c r="H100" s="317">
        <f t="shared" si="17"/>
        <v>0.99993575418178771</v>
      </c>
      <c r="I100" s="317">
        <f t="shared" si="17"/>
        <v>0.99944286993343279</v>
      </c>
      <c r="J100" s="317">
        <f t="shared" si="17"/>
        <v>0.99376085316487017</v>
      </c>
      <c r="K100" s="317">
        <f t="shared" si="17"/>
        <v>0.99362414490483109</v>
      </c>
      <c r="L100" s="317">
        <f t="shared" si="17"/>
        <v>0.99990719903551328</v>
      </c>
      <c r="M100" s="317">
        <f t="shared" si="17"/>
        <v>0.9999872839366637</v>
      </c>
      <c r="N100" s="317">
        <f t="shared" si="17"/>
        <v>0.99999989736207529</v>
      </c>
      <c r="O100" s="317">
        <f t="shared" si="17"/>
        <v>0.99999997988846945</v>
      </c>
      <c r="P100" s="344">
        <f>IF(P96&gt;0,P101/P96,0)</f>
        <v>0.99884135635297666</v>
      </c>
      <c r="Q100" s="304"/>
    </row>
    <row r="101" spans="2:20">
      <c r="B101" s="342" t="s">
        <v>323</v>
      </c>
      <c r="D101" s="303">
        <f t="shared" ref="D101:O101" si="18">D96*D100</f>
        <v>13.354224478947994</v>
      </c>
      <c r="E101" s="303">
        <f t="shared" si="18"/>
        <v>13.128456178263585</v>
      </c>
      <c r="F101" s="303">
        <f t="shared" si="18"/>
        <v>16.089146006317662</v>
      </c>
      <c r="G101" s="303">
        <f t="shared" si="18"/>
        <v>14.064596875336528</v>
      </c>
      <c r="H101" s="303">
        <f t="shared" si="18"/>
        <v>14.776334116898964</v>
      </c>
      <c r="I101" s="303">
        <f t="shared" si="18"/>
        <v>14.190117523131281</v>
      </c>
      <c r="J101" s="303">
        <f t="shared" si="18"/>
        <v>14.685085854014902</v>
      </c>
      <c r="K101" s="303">
        <f t="shared" si="18"/>
        <v>14.44003690115222</v>
      </c>
      <c r="L101" s="303">
        <f t="shared" si="18"/>
        <v>13.507479930083054</v>
      </c>
      <c r="M101" s="303">
        <f t="shared" si="18"/>
        <v>14.599215495717313</v>
      </c>
      <c r="N101" s="303">
        <f t="shared" si="18"/>
        <v>12.752732244671714</v>
      </c>
      <c r="O101" s="303">
        <f t="shared" si="18"/>
        <v>12.687165593350946</v>
      </c>
      <c r="P101" s="290">
        <f>SUM(D101:O101)</f>
        <v>168.27459119788617</v>
      </c>
      <c r="Q101" s="304" t="s">
        <v>359</v>
      </c>
    </row>
    <row r="102" spans="2:20" ht="12.9" thickBot="1">
      <c r="B102" s="291" t="s">
        <v>404</v>
      </c>
      <c r="C102" s="335"/>
      <c r="D102" s="345"/>
      <c r="E102" s="345"/>
      <c r="F102" s="345"/>
      <c r="G102" s="345"/>
      <c r="H102" s="345"/>
      <c r="I102" s="345"/>
      <c r="J102" s="345"/>
      <c r="K102" s="345"/>
      <c r="L102" s="345"/>
      <c r="M102" s="345"/>
      <c r="N102" s="345"/>
      <c r="O102" s="346"/>
      <c r="P102" s="347"/>
      <c r="Q102" s="339"/>
    </row>
    <row r="103" spans="2:20" ht="12.9" thickBot="1">
      <c r="B103" s="292" t="s">
        <v>325</v>
      </c>
      <c r="C103" s="348"/>
      <c r="D103" s="349">
        <f t="shared" ref="D103:O103" si="19">D90-D101</f>
        <v>34.576802451875537</v>
      </c>
      <c r="E103" s="349">
        <f t="shared" si="19"/>
        <v>28.451692926677595</v>
      </c>
      <c r="F103" s="349">
        <f t="shared" si="19"/>
        <v>25.32472837109411</v>
      </c>
      <c r="G103" s="349">
        <f t="shared" si="19"/>
        <v>21.885145938781129</v>
      </c>
      <c r="H103" s="349">
        <f t="shared" si="19"/>
        <v>13.306894001689274</v>
      </c>
      <c r="I103" s="349">
        <f t="shared" si="19"/>
        <v>8.5149832015746014</v>
      </c>
      <c r="J103" s="349">
        <f t="shared" si="19"/>
        <v>4.5110447586909839</v>
      </c>
      <c r="K103" s="349">
        <f>K90-K101</f>
        <v>4.4006098113183665</v>
      </c>
      <c r="L103" s="349">
        <f t="shared" si="19"/>
        <v>11.433729199328717</v>
      </c>
      <c r="M103" s="349">
        <f t="shared" si="19"/>
        <v>16.861109675106217</v>
      </c>
      <c r="N103" s="349">
        <f t="shared" si="19"/>
        <v>26.809185684740058</v>
      </c>
      <c r="O103" s="349">
        <f t="shared" si="19"/>
        <v>31.748321936060819</v>
      </c>
      <c r="P103" s="350">
        <f>SUM(D103:O103)</f>
        <v>227.8242479569374</v>
      </c>
      <c r="Q103" s="351" t="s">
        <v>359</v>
      </c>
    </row>
    <row r="106" spans="2:20" ht="15.9" thickBot="1">
      <c r="B106" s="293" t="str">
        <f>IF(Standard="Minergie-P","Mit Wärmegewinn Elektrizität gemäss MINERGIE-P und mechanischer Lüftungsanlage.",IF(Standard="Minergie","Mit Wärmegewinn Elektrizität gemäss MINERGIE und mechanischer Lüftungsanlage.",""))</f>
        <v/>
      </c>
    </row>
    <row r="107" spans="2:20" ht="16.5" customHeight="1" thickBot="1">
      <c r="B107" s="370" t="s">
        <v>405</v>
      </c>
      <c r="C107" s="372" t="s">
        <v>48</v>
      </c>
      <c r="D107" s="281" t="s">
        <v>359</v>
      </c>
      <c r="E107" s="325"/>
      <c r="F107" s="325"/>
      <c r="G107" s="325"/>
      <c r="H107" s="325"/>
      <c r="I107" s="325"/>
      <c r="J107" s="325"/>
      <c r="K107" s="325"/>
      <c r="L107" s="325"/>
      <c r="M107" s="325"/>
      <c r="N107" s="325"/>
      <c r="O107" s="325"/>
      <c r="P107" s="325"/>
      <c r="Q107" s="328"/>
    </row>
    <row r="108" spans="2:20">
      <c r="B108" s="294" t="s">
        <v>371</v>
      </c>
      <c r="C108" s="340"/>
      <c r="D108" s="340"/>
      <c r="E108" s="340"/>
      <c r="F108" s="340"/>
      <c r="G108" s="340"/>
      <c r="H108" s="340"/>
      <c r="I108" s="340"/>
      <c r="J108" s="340"/>
      <c r="K108" s="340"/>
      <c r="L108" s="340"/>
      <c r="M108" s="340"/>
      <c r="N108" s="340"/>
      <c r="O108" s="331"/>
      <c r="P108" s="330"/>
      <c r="Q108" s="331"/>
    </row>
    <row r="109" spans="2:20">
      <c r="B109" s="284" t="s">
        <v>373</v>
      </c>
      <c r="D109" s="303">
        <f>IF(EBF&gt;0,(Thetai-D$70)*D$69*$D$22*U_DAFbeheizt*0.0864/EBF,0)</f>
        <v>0</v>
      </c>
      <c r="E109" s="303">
        <f t="shared" ref="E109:O109" si="20">IF(EBF&gt;0,(Thetai-E$70)*E$69*$D$22*U_DAFbeheizt*0.0864/EBF,0)</f>
        <v>0</v>
      </c>
      <c r="F109" s="303">
        <f t="shared" si="20"/>
        <v>0</v>
      </c>
      <c r="G109" s="303">
        <f t="shared" si="20"/>
        <v>0</v>
      </c>
      <c r="H109" s="303">
        <f t="shared" si="20"/>
        <v>0</v>
      </c>
      <c r="I109" s="303">
        <f t="shared" si="20"/>
        <v>0</v>
      </c>
      <c r="J109" s="303">
        <f t="shared" si="20"/>
        <v>0</v>
      </c>
      <c r="K109" s="303">
        <f t="shared" si="20"/>
        <v>0</v>
      </c>
      <c r="L109" s="303">
        <f t="shared" si="20"/>
        <v>0</v>
      </c>
      <c r="M109" s="303">
        <f t="shared" si="20"/>
        <v>0</v>
      </c>
      <c r="N109" s="303">
        <f t="shared" si="20"/>
        <v>0</v>
      </c>
      <c r="O109" s="303">
        <f t="shared" si="20"/>
        <v>0</v>
      </c>
      <c r="P109" s="341">
        <f t="shared" ref="P109:P114" si="21">SUM(D109:O109)</f>
        <v>0</v>
      </c>
      <c r="Q109" s="304" t="s">
        <v>359</v>
      </c>
      <c r="S109" s="1689">
        <f>P109/3.6</f>
        <v>0</v>
      </c>
      <c r="T109" s="270" t="s">
        <v>1658</v>
      </c>
    </row>
    <row r="110" spans="2:20">
      <c r="B110" s="284" t="s">
        <v>375</v>
      </c>
      <c r="D110" s="303">
        <v>0</v>
      </c>
      <c r="E110" s="303">
        <v>0</v>
      </c>
      <c r="F110" s="303">
        <v>0</v>
      </c>
      <c r="G110" s="303">
        <v>0</v>
      </c>
      <c r="H110" s="303">
        <v>0</v>
      </c>
      <c r="I110" s="303">
        <v>0</v>
      </c>
      <c r="J110" s="303">
        <v>0</v>
      </c>
      <c r="K110" s="303">
        <v>0</v>
      </c>
      <c r="L110" s="303">
        <v>0</v>
      </c>
      <c r="M110" s="303">
        <v>0</v>
      </c>
      <c r="N110" s="303">
        <v>0</v>
      </c>
      <c r="O110" s="303">
        <v>0</v>
      </c>
      <c r="P110" s="341">
        <f t="shared" si="21"/>
        <v>0</v>
      </c>
      <c r="Q110" s="304" t="s">
        <v>359</v>
      </c>
      <c r="S110" s="1689">
        <f t="shared" ref="S110:S137" si="22">P110/3.6</f>
        <v>0</v>
      </c>
      <c r="T110" s="270" t="s">
        <v>1658</v>
      </c>
    </row>
    <row r="111" spans="2:20">
      <c r="B111" s="284" t="s">
        <v>377</v>
      </c>
      <c r="D111" s="362">
        <f>IF(EBF&gt;0,(Thetai-D$70)*D$69*E4beheizt*U_E4*0.0864/EBF,0)</f>
        <v>12.982204800000002</v>
      </c>
      <c r="E111" s="303">
        <f>IF(EBF&gt;0,(Thetai-E$70)*E$69*E4beheizt*U_E4*0.0864/EBF,0)</f>
        <v>11.5915968</v>
      </c>
      <c r="F111" s="303">
        <f t="shared" ref="F111:M111" si="23">IF(EBF&gt;0,(Thetai-F$70)*F$69*E4beheizt*U_E4*0.0864/EBF,0)</f>
        <v>11.545243200000003</v>
      </c>
      <c r="G111" s="303">
        <f t="shared" si="23"/>
        <v>10.021968000000003</v>
      </c>
      <c r="H111" s="303">
        <f t="shared" si="23"/>
        <v>7.8289632000000022</v>
      </c>
      <c r="I111" s="303">
        <f t="shared" si="23"/>
        <v>6.329664000000002</v>
      </c>
      <c r="J111" s="303">
        <f t="shared" si="23"/>
        <v>5.3514432000000012</v>
      </c>
      <c r="K111" s="303">
        <f t="shared" si="23"/>
        <v>5.2523423999999999</v>
      </c>
      <c r="L111" s="303">
        <f t="shared" si="23"/>
        <v>6.9530400000000014</v>
      </c>
      <c r="M111" s="303">
        <f t="shared" si="23"/>
        <v>8.7704208000000001</v>
      </c>
      <c r="N111" s="303">
        <f>IF(EBF&gt;0,(Thetai-N$70)*N$69*E4beheizt*U_E4*0.0864/EBF,0)</f>
        <v>11.028960000000001</v>
      </c>
      <c r="O111" s="303">
        <f>IF(EBF&gt;0,(Thetai-O$70)*O$69*E4beheizt*U_E4*0.0864/EBF,0)</f>
        <v>12.387600000000003</v>
      </c>
      <c r="P111" s="341">
        <f t="shared" si="21"/>
        <v>110.04344640000002</v>
      </c>
      <c r="Q111" s="304" t="s">
        <v>359</v>
      </c>
      <c r="S111" s="1689">
        <f t="shared" si="22"/>
        <v>30.567624000000006</v>
      </c>
      <c r="T111" s="270" t="s">
        <v>1658</v>
      </c>
    </row>
    <row r="112" spans="2:20">
      <c r="B112" s="284" t="s">
        <v>406</v>
      </c>
      <c r="D112" s="303">
        <f>IF(EBF&gt;0,(Thetai+deltaThetahmax-D$70)*D$69*BodenErdeF*U_Boden*bGF*0.0864/EBF,0)</f>
        <v>0</v>
      </c>
      <c r="E112" s="303">
        <f t="shared" ref="E112:M112" si="24">IF(EBF&gt;0,(Thetai+deltaThetahmax-E$70)*E$69*BodenErdeF*U_Boden*bGF*0.0864/EBF,0)</f>
        <v>0</v>
      </c>
      <c r="F112" s="303">
        <f t="shared" si="24"/>
        <v>0</v>
      </c>
      <c r="G112" s="303">
        <f t="shared" si="24"/>
        <v>0</v>
      </c>
      <c r="H112" s="303">
        <f t="shared" si="24"/>
        <v>0</v>
      </c>
      <c r="I112" s="303">
        <f t="shared" si="24"/>
        <v>0</v>
      </c>
      <c r="J112" s="303">
        <f t="shared" si="24"/>
        <v>0</v>
      </c>
      <c r="K112" s="303">
        <f t="shared" si="24"/>
        <v>0</v>
      </c>
      <c r="L112" s="303">
        <f t="shared" si="24"/>
        <v>0</v>
      </c>
      <c r="M112" s="303">
        <f t="shared" si="24"/>
        <v>0</v>
      </c>
      <c r="N112" s="303">
        <f>IF(EBF&gt;0,(Thetai+deltaThetahmax-N$70)*N$69*BodenErdeF*U_Boden*bGF*0.0864/EBF,0)</f>
        <v>0</v>
      </c>
      <c r="O112" s="303">
        <f>IF(EBF&gt;0,(Thetai+deltaThetahmax-O$70)*O$69*BodenErdeF*U_Boden*bGF*0.0864/EBF,0)</f>
        <v>0</v>
      </c>
      <c r="P112" s="341">
        <f t="shared" si="21"/>
        <v>0</v>
      </c>
      <c r="Q112" s="304" t="s">
        <v>359</v>
      </c>
      <c r="S112" s="1689">
        <f t="shared" si="22"/>
        <v>0</v>
      </c>
      <c r="T112" s="270" t="s">
        <v>1658</v>
      </c>
    </row>
    <row r="113" spans="2:20">
      <c r="B113" s="285" t="s">
        <v>407</v>
      </c>
      <c r="D113" s="303">
        <f>(IF(EBF&gt;0,(Thetai+deltaThetahmax-D$70)*D$69*BodenErdeF*U_gedaemmteDecken*0.0864/EBF,0))*0</f>
        <v>0</v>
      </c>
      <c r="E113" s="303">
        <f t="shared" ref="E113:O113" si="25">(IF(EBF&gt;0,(Thetai+deltaThetahmax-E$70)*E$69*BodenErdeF*U_gedaemmteDecken*0.0864/EBF,0))*0</f>
        <v>0</v>
      </c>
      <c r="F113" s="303">
        <f t="shared" si="25"/>
        <v>0</v>
      </c>
      <c r="G113" s="303">
        <f t="shared" si="25"/>
        <v>0</v>
      </c>
      <c r="H113" s="303">
        <f t="shared" si="25"/>
        <v>0</v>
      </c>
      <c r="I113" s="303">
        <f t="shared" si="25"/>
        <v>0</v>
      </c>
      <c r="J113" s="303">
        <f t="shared" si="25"/>
        <v>0</v>
      </c>
      <c r="K113" s="303">
        <f t="shared" si="25"/>
        <v>0</v>
      </c>
      <c r="L113" s="303">
        <f t="shared" si="25"/>
        <v>0</v>
      </c>
      <c r="M113" s="303">
        <f t="shared" si="25"/>
        <v>0</v>
      </c>
      <c r="N113" s="303">
        <f t="shared" si="25"/>
        <v>0</v>
      </c>
      <c r="O113" s="303">
        <f t="shared" si="25"/>
        <v>0</v>
      </c>
      <c r="P113" s="341">
        <f t="shared" si="21"/>
        <v>0</v>
      </c>
      <c r="Q113" s="304" t="s">
        <v>359</v>
      </c>
      <c r="S113" s="1689">
        <f t="shared" si="22"/>
        <v>0</v>
      </c>
      <c r="T113" s="270" t="s">
        <v>1658</v>
      </c>
    </row>
    <row r="114" spans="2:20">
      <c r="B114" s="284" t="s">
        <v>391</v>
      </c>
      <c r="D114" s="362">
        <f>IF(EBF&gt;0,(Thetai-D$70)*D$69*D16*U_E5*0.0864/EBF,0)</f>
        <v>16.511548235294118</v>
      </c>
      <c r="E114" s="303">
        <f>IF(EBF&gt;0,(Thetai-E$70)*E$69*D16*U_E5*0.0864/EBF,0)</f>
        <v>14.742889411764704</v>
      </c>
      <c r="F114" s="303">
        <f>IF(EBF&gt;0,(Thetai-F$70)*F$69*D16*U_E5*0.0864/EBF,0)</f>
        <v>14.683934117647061</v>
      </c>
      <c r="G114" s="303">
        <f>IF(EBF&gt;0,(Thetai-G$70)*G$69*D16*U_E5*0.0864/EBF,0)</f>
        <v>12.74654117647059</v>
      </c>
      <c r="H114" s="303">
        <f>IF(EBF&gt;0,(Thetai-H$70)*H$69*D16*U_E5*0.0864/EBF,0)</f>
        <v>9.9573458823529428</v>
      </c>
      <c r="I114" s="303">
        <f>IF(EBF&gt;0,(Thetai-I$70)*I$69*D16*U_E5*0.0864/EBF,0)</f>
        <v>8.0504470588235293</v>
      </c>
      <c r="J114" s="303">
        <f>IF(EBF&gt;0,(Thetai-J$70)*J$69*D16*U_E5*0.0864/EBF,0)</f>
        <v>6.8062870588235311</v>
      </c>
      <c r="K114" s="303">
        <f>IF(EBF&gt;0,(Thetai-K$70)*K$69*D16*U_E5*0.0864/EBF,0)</f>
        <v>6.6802447058823535</v>
      </c>
      <c r="L114" s="303">
        <f>IF(EBF&gt;0,(Thetai-L$70)*L$69*D16*U_E5*0.0864/EBF,0)</f>
        <v>8.8432941176470603</v>
      </c>
      <c r="M114" s="303">
        <f>IF(EBF&gt;0,(Thetai-M$70)*M$69*D16*U_E5*0.0864/EBF,0)</f>
        <v>11.154748235294118</v>
      </c>
      <c r="N114" s="303">
        <f>IF(EBF&gt;0,(Thetai-N$70)*N$69*D16*U_E5*0.0864/EBF,0)</f>
        <v>14.02729411764706</v>
      </c>
      <c r="O114" s="303">
        <f>IF(EBF&gt;0,(Thetai-O$70)*O$69*D16*U_E5*0.0864/EBF,0)</f>
        <v>15.755294117647059</v>
      </c>
      <c r="P114" s="341">
        <f t="shared" si="21"/>
        <v>139.95986823529415</v>
      </c>
      <c r="Q114" s="304" t="s">
        <v>359</v>
      </c>
      <c r="S114" s="1689">
        <f t="shared" si="22"/>
        <v>38.8777411764706</v>
      </c>
      <c r="T114" s="270" t="s">
        <v>1658</v>
      </c>
    </row>
    <row r="115" spans="2:20">
      <c r="B115" s="286" t="s">
        <v>408</v>
      </c>
      <c r="D115" s="303">
        <f>1*D$69*(Thetai-D$70)*BodenUnb*E64*$D$56*0.0864/EBF</f>
        <v>0</v>
      </c>
      <c r="E115" s="303">
        <f t="shared" ref="E115:O115" si="26">1*E$69*(Thetai-E$70)*BodenUnb*U_Boden*$D$56*0.0864/EBF</f>
        <v>0</v>
      </c>
      <c r="F115" s="303">
        <f t="shared" si="26"/>
        <v>0</v>
      </c>
      <c r="G115" s="303">
        <f t="shared" si="26"/>
        <v>0</v>
      </c>
      <c r="H115" s="303">
        <f t="shared" si="26"/>
        <v>0</v>
      </c>
      <c r="I115" s="303">
        <f t="shared" si="26"/>
        <v>0</v>
      </c>
      <c r="J115" s="303">
        <f t="shared" si="26"/>
        <v>0</v>
      </c>
      <c r="K115" s="303">
        <f t="shared" si="26"/>
        <v>0</v>
      </c>
      <c r="L115" s="303">
        <f t="shared" si="26"/>
        <v>0</v>
      </c>
      <c r="M115" s="303">
        <f t="shared" si="26"/>
        <v>0</v>
      </c>
      <c r="N115" s="303">
        <f t="shared" si="26"/>
        <v>0</v>
      </c>
      <c r="O115" s="303">
        <f t="shared" si="26"/>
        <v>0</v>
      </c>
      <c r="P115" s="341">
        <f>SUM(D115:O115)</f>
        <v>0</v>
      </c>
      <c r="Q115" s="304" t="s">
        <v>359</v>
      </c>
      <c r="S115" s="1689">
        <f t="shared" si="22"/>
        <v>0</v>
      </c>
      <c r="T115" s="270" t="s">
        <v>1658</v>
      </c>
    </row>
    <row r="116" spans="2:20">
      <c r="B116" s="295" t="s">
        <v>316</v>
      </c>
      <c r="D116" s="303">
        <f>SUM(D109:D115)*(1+WBZuschlag)</f>
        <v>32.443128338823534</v>
      </c>
      <c r="E116" s="303">
        <f t="shared" ref="E116:O116" si="27">SUM(E109:E115)*(1+WBZuschlag)</f>
        <v>28.967934832941179</v>
      </c>
      <c r="F116" s="303">
        <f t="shared" si="27"/>
        <v>28.852095049411773</v>
      </c>
      <c r="G116" s="303">
        <f t="shared" si="27"/>
        <v>25.045360094117655</v>
      </c>
      <c r="H116" s="303">
        <f t="shared" si="27"/>
        <v>19.56493999058824</v>
      </c>
      <c r="I116" s="303">
        <f t="shared" si="27"/>
        <v>15.818122164705885</v>
      </c>
      <c r="J116" s="303">
        <f t="shared" si="27"/>
        <v>13.373503284705887</v>
      </c>
      <c r="K116" s="303">
        <f t="shared" si="27"/>
        <v>13.125845816470589</v>
      </c>
      <c r="L116" s="303">
        <f t="shared" si="27"/>
        <v>17.375967529411771</v>
      </c>
      <c r="M116" s="303">
        <f t="shared" si="27"/>
        <v>21.917685938823531</v>
      </c>
      <c r="N116" s="303">
        <f t="shared" si="27"/>
        <v>27.561879529411769</v>
      </c>
      <c r="O116" s="303">
        <f t="shared" si="27"/>
        <v>30.957183529411768</v>
      </c>
      <c r="P116" s="296">
        <f>SUM(D116:O116)</f>
        <v>275.00364609882359</v>
      </c>
      <c r="Q116" s="304" t="s">
        <v>359</v>
      </c>
      <c r="S116" s="1689">
        <f t="shared" si="22"/>
        <v>76.389901694117668</v>
      </c>
      <c r="T116" s="270" t="s">
        <v>1658</v>
      </c>
    </row>
    <row r="117" spans="2:20">
      <c r="B117" s="288" t="s">
        <v>393</v>
      </c>
      <c r="C117" s="297"/>
      <c r="D117" s="298"/>
      <c r="E117" s="298"/>
      <c r="F117" s="298"/>
      <c r="G117" s="298"/>
      <c r="H117" s="298"/>
      <c r="I117" s="298"/>
      <c r="J117" s="298"/>
      <c r="K117" s="298"/>
      <c r="L117" s="298"/>
      <c r="M117" s="298"/>
      <c r="N117" s="298"/>
      <c r="O117" s="299"/>
      <c r="P117" s="300"/>
      <c r="Q117" s="301"/>
      <c r="S117" s="1689"/>
    </row>
    <row r="118" spans="2:20">
      <c r="B118" s="302" t="s">
        <v>320</v>
      </c>
      <c r="C118" s="297"/>
      <c r="D118" s="362">
        <f>IF(D116=0,0,(Thetai-D$70)*Vth*D$69*(1220-0.14*HueM)*0.000024)</f>
        <v>7.1346989622857162</v>
      </c>
      <c r="E118" s="303">
        <f t="shared" ref="E118:O118" si="28">IF(E116=0,0,(Thetai-E$70)*Vth*E$69*(1220-0.14*HueM)*0.000024)</f>
        <v>6.3704551680000012</v>
      </c>
      <c r="F118" s="303">
        <f t="shared" si="28"/>
        <v>6.3449803748571441</v>
      </c>
      <c r="G118" s="303">
        <f t="shared" si="28"/>
        <v>5.5078259657142858</v>
      </c>
      <c r="H118" s="303">
        <f t="shared" si="28"/>
        <v>4.3026047177142859</v>
      </c>
      <c r="I118" s="303">
        <f t="shared" si="28"/>
        <v>3.4786269257142854</v>
      </c>
      <c r="J118" s="303">
        <f t="shared" si="28"/>
        <v>2.9410209462857146</v>
      </c>
      <c r="K118" s="303">
        <f t="shared" si="28"/>
        <v>2.8865575954285716</v>
      </c>
      <c r="L118" s="303">
        <f t="shared" si="28"/>
        <v>3.8212189714285723</v>
      </c>
      <c r="M118" s="303">
        <f t="shared" si="28"/>
        <v>4.8200065508571432</v>
      </c>
      <c r="N118" s="303">
        <f t="shared" si="28"/>
        <v>6.061243885714287</v>
      </c>
      <c r="O118" s="303">
        <f t="shared" si="28"/>
        <v>6.8079188571428579</v>
      </c>
      <c r="P118" s="296">
        <f>SUM(D118:O118)</f>
        <v>60.477158921142866</v>
      </c>
      <c r="Q118" s="304" t="s">
        <v>359</v>
      </c>
      <c r="S118" s="1689">
        <f t="shared" si="22"/>
        <v>16.799210811428573</v>
      </c>
      <c r="T118" s="270" t="s">
        <v>1658</v>
      </c>
    </row>
    <row r="119" spans="2:20">
      <c r="B119" s="288" t="s">
        <v>394</v>
      </c>
      <c r="D119" s="316"/>
      <c r="E119" s="316"/>
      <c r="F119" s="316"/>
      <c r="G119" s="316"/>
      <c r="H119" s="316"/>
      <c r="I119" s="316"/>
      <c r="J119" s="316"/>
      <c r="K119" s="316"/>
      <c r="L119" s="316"/>
      <c r="M119" s="316"/>
      <c r="N119" s="316"/>
      <c r="O119" s="329"/>
      <c r="P119" s="341"/>
      <c r="Q119" s="304"/>
      <c r="S119" s="1689"/>
    </row>
    <row r="120" spans="2:20">
      <c r="B120" s="284" t="s">
        <v>395</v>
      </c>
      <c r="D120" s="303">
        <f t="shared" ref="D120:O120" si="29">D118+D116</f>
        <v>39.577827301109252</v>
      </c>
      <c r="E120" s="303">
        <f t="shared" si="29"/>
        <v>35.338390000941182</v>
      </c>
      <c r="F120" s="303">
        <f t="shared" si="29"/>
        <v>35.197075424268917</v>
      </c>
      <c r="G120" s="303">
        <f t="shared" si="29"/>
        <v>30.55318605983194</v>
      </c>
      <c r="H120" s="303">
        <f t="shared" si="29"/>
        <v>23.867544708302525</v>
      </c>
      <c r="I120" s="303">
        <f t="shared" si="29"/>
        <v>19.296749090420171</v>
      </c>
      <c r="J120" s="303">
        <f t="shared" si="29"/>
        <v>16.314524230991601</v>
      </c>
      <c r="K120" s="303">
        <f t="shared" si="29"/>
        <v>16.012403411899161</v>
      </c>
      <c r="L120" s="303">
        <f t="shared" si="29"/>
        <v>21.197186500840342</v>
      </c>
      <c r="M120" s="303">
        <f t="shared" si="29"/>
        <v>26.737692489680676</v>
      </c>
      <c r="N120" s="303">
        <f t="shared" si="29"/>
        <v>33.623123415126059</v>
      </c>
      <c r="O120" s="303">
        <f t="shared" si="29"/>
        <v>37.765102386554624</v>
      </c>
      <c r="P120" s="341">
        <f>SUM(D120:O120)</f>
        <v>335.4808050199664</v>
      </c>
      <c r="Q120" s="304" t="s">
        <v>359</v>
      </c>
      <c r="S120" s="1690">
        <f t="shared" si="22"/>
        <v>93.18911250554622</v>
      </c>
      <c r="T120" s="270" t="s">
        <v>1658</v>
      </c>
    </row>
    <row r="121" spans="2:20">
      <c r="B121" s="288" t="s">
        <v>396</v>
      </c>
      <c r="D121" s="316"/>
      <c r="E121" s="316" t="s">
        <v>193</v>
      </c>
      <c r="F121" s="316"/>
      <c r="G121" s="316"/>
      <c r="H121" s="316"/>
      <c r="I121" s="316"/>
      <c r="J121" s="316"/>
      <c r="K121" s="316"/>
      <c r="L121" s="316"/>
      <c r="M121" s="316"/>
      <c r="N121" s="316"/>
      <c r="O121" s="329"/>
      <c r="P121" s="341"/>
      <c r="Q121" s="304"/>
      <c r="S121" s="1689"/>
    </row>
    <row r="122" spans="2:20">
      <c r="B122" s="284" t="s">
        <v>397</v>
      </c>
      <c r="D122" s="362">
        <f>QE*fE*D$69/365</f>
        <v>7.3748872602739741</v>
      </c>
      <c r="E122" s="303">
        <f t="shared" ref="E122:M122" si="30">QE*fE*E$69/365</f>
        <v>6.6611884931506857</v>
      </c>
      <c r="F122" s="303">
        <f t="shared" si="30"/>
        <v>7.3748872602739741</v>
      </c>
      <c r="G122" s="303">
        <f t="shared" si="30"/>
        <v>7.1369876712328768</v>
      </c>
      <c r="H122" s="303">
        <f t="shared" si="30"/>
        <v>7.3748872602739741</v>
      </c>
      <c r="I122" s="303">
        <f t="shared" si="30"/>
        <v>7.1369876712328768</v>
      </c>
      <c r="J122" s="303">
        <f t="shared" si="30"/>
        <v>7.3748872602739741</v>
      </c>
      <c r="K122" s="303">
        <f t="shared" si="30"/>
        <v>7.3748872602739741</v>
      </c>
      <c r="L122" s="303">
        <f t="shared" si="30"/>
        <v>7.1369876712328768</v>
      </c>
      <c r="M122" s="303">
        <f t="shared" si="30"/>
        <v>7.3748872602739741</v>
      </c>
      <c r="N122" s="303">
        <f>QE*fE*N$69/365</f>
        <v>7.1369876712328768</v>
      </c>
      <c r="O122" s="303">
        <f>QE*fE*O$69/365</f>
        <v>7.3748872602739741</v>
      </c>
      <c r="P122" s="341">
        <f>SUM(D122:O122)</f>
        <v>86.83335000000001</v>
      </c>
      <c r="Q122" s="304" t="s">
        <v>359</v>
      </c>
      <c r="S122" s="1689">
        <f t="shared" si="22"/>
        <v>24.120375000000003</v>
      </c>
      <c r="T122" s="270" t="s">
        <v>1658</v>
      </c>
    </row>
    <row r="123" spans="2:20">
      <c r="B123" s="284" t="s">
        <v>399</v>
      </c>
      <c r="D123" s="303">
        <f>$D$40*D$69/365</f>
        <v>2.9998080000000007</v>
      </c>
      <c r="E123" s="303">
        <f t="shared" ref="E123:O123" si="31">$D$40*E$69/365</f>
        <v>2.7095040000000008</v>
      </c>
      <c r="F123" s="303">
        <f t="shared" si="31"/>
        <v>2.9998080000000007</v>
      </c>
      <c r="G123" s="303">
        <f t="shared" si="31"/>
        <v>2.9030400000000007</v>
      </c>
      <c r="H123" s="303">
        <f t="shared" si="31"/>
        <v>2.9998080000000007</v>
      </c>
      <c r="I123" s="303">
        <f t="shared" si="31"/>
        <v>2.9030400000000007</v>
      </c>
      <c r="J123" s="303">
        <f t="shared" si="31"/>
        <v>2.9998080000000007</v>
      </c>
      <c r="K123" s="303">
        <f t="shared" si="31"/>
        <v>2.9998080000000007</v>
      </c>
      <c r="L123" s="303">
        <f t="shared" si="31"/>
        <v>2.9030400000000007</v>
      </c>
      <c r="M123" s="303">
        <f t="shared" si="31"/>
        <v>2.9998080000000007</v>
      </c>
      <c r="N123" s="303">
        <f t="shared" si="31"/>
        <v>2.9030400000000007</v>
      </c>
      <c r="O123" s="303">
        <f t="shared" si="31"/>
        <v>2.9998080000000007</v>
      </c>
      <c r="P123" s="341">
        <f>SUM(D123:O123)</f>
        <v>35.320320000000009</v>
      </c>
      <c r="Q123" s="304" t="s">
        <v>359</v>
      </c>
      <c r="S123" s="1689">
        <f t="shared" si="22"/>
        <v>9.811200000000003</v>
      </c>
      <c r="T123" s="270" t="s">
        <v>1658</v>
      </c>
    </row>
    <row r="124" spans="2:20">
      <c r="B124" s="284" t="s">
        <v>400</v>
      </c>
      <c r="D124" s="303">
        <f t="shared" ref="D124:O124" si="32">D123+D122</f>
        <v>10.374695260273974</v>
      </c>
      <c r="E124" s="303">
        <f t="shared" si="32"/>
        <v>9.3706924931506865</v>
      </c>
      <c r="F124" s="303">
        <f t="shared" si="32"/>
        <v>10.374695260273974</v>
      </c>
      <c r="G124" s="303">
        <f t="shared" si="32"/>
        <v>10.040027671232878</v>
      </c>
      <c r="H124" s="303">
        <f t="shared" si="32"/>
        <v>10.374695260273974</v>
      </c>
      <c r="I124" s="303">
        <f t="shared" si="32"/>
        <v>10.040027671232878</v>
      </c>
      <c r="J124" s="303">
        <f t="shared" si="32"/>
        <v>10.374695260273974</v>
      </c>
      <c r="K124" s="303">
        <f t="shared" si="32"/>
        <v>10.374695260273974</v>
      </c>
      <c r="L124" s="303">
        <f t="shared" si="32"/>
        <v>10.040027671232878</v>
      </c>
      <c r="M124" s="303">
        <f t="shared" si="32"/>
        <v>10.374695260273974</v>
      </c>
      <c r="N124" s="303">
        <f t="shared" si="32"/>
        <v>10.040027671232878</v>
      </c>
      <c r="O124" s="303">
        <f t="shared" si="32"/>
        <v>10.374695260273974</v>
      </c>
      <c r="P124" s="341">
        <f>SUM(D124:O124)</f>
        <v>122.15367000000001</v>
      </c>
      <c r="Q124" s="304" t="s">
        <v>359</v>
      </c>
      <c r="S124" s="1689">
        <f t="shared" si="22"/>
        <v>33.931575000000002</v>
      </c>
      <c r="T124" s="270" t="s">
        <v>1658</v>
      </c>
    </row>
    <row r="125" spans="2:20">
      <c r="B125" s="288" t="s">
        <v>401</v>
      </c>
      <c r="D125" s="362">
        <f>IF(EBF&gt;0,($D$19*D$72*$F$19+$D$18*D$73*$F$18+$D$20*D$74*$F$20+$D$17*D$75*$F$17+$D$21*D$71*$F$21)*0.9*$D$30*FF/EBF,0)</f>
        <v>2.9795294117647062</v>
      </c>
      <c r="E125" s="303">
        <f t="shared" ref="E125:O125" si="33">IF(EBF&gt;0,($D$19*E$72*$F$19+$D$18*E$73*$F$18+$D$20*E$74*$F$20+$D$17*E$75*$F$17+$D$21*E$71*$F$21)*0.9*$D$30*FF/EBF,0)</f>
        <v>3.7577647058823538</v>
      </c>
      <c r="F125" s="303">
        <f t="shared" si="33"/>
        <v>5.7144705882352955</v>
      </c>
      <c r="G125" s="303">
        <f t="shared" si="33"/>
        <v>4.024588235294118</v>
      </c>
      <c r="H125" s="303">
        <f t="shared" si="33"/>
        <v>4.4025882352941181</v>
      </c>
      <c r="I125" s="303">
        <f t="shared" si="33"/>
        <v>4.1580000000000004</v>
      </c>
      <c r="J125" s="303">
        <f t="shared" si="33"/>
        <v>4.4025882352941181</v>
      </c>
      <c r="K125" s="303">
        <f t="shared" si="33"/>
        <v>4.1580000000000004</v>
      </c>
      <c r="L125" s="303">
        <f t="shared" si="33"/>
        <v>3.4687058823529417</v>
      </c>
      <c r="M125" s="303">
        <f t="shared" si="33"/>
        <v>4.2247058823529411</v>
      </c>
      <c r="N125" s="303">
        <f t="shared" si="33"/>
        <v>2.7127058823529415</v>
      </c>
      <c r="O125" s="303">
        <f t="shared" si="33"/>
        <v>2.3124705882352945</v>
      </c>
      <c r="P125" s="341">
        <f>SUM(D125:O125)</f>
        <v>46.316117647058832</v>
      </c>
      <c r="Q125" s="304" t="s">
        <v>359</v>
      </c>
      <c r="S125" s="1689">
        <f t="shared" si="22"/>
        <v>12.865588235294119</v>
      </c>
      <c r="T125" s="270" t="s">
        <v>1658</v>
      </c>
    </row>
    <row r="126" spans="2:20">
      <c r="B126" s="284" t="s">
        <v>402</v>
      </c>
      <c r="D126" s="303">
        <f t="shared" ref="D126:O126" si="34">D125+D124</f>
        <v>13.354224672038679</v>
      </c>
      <c r="E126" s="303">
        <f t="shared" si="34"/>
        <v>13.12845719903304</v>
      </c>
      <c r="F126" s="303">
        <f t="shared" si="34"/>
        <v>16.089165848509268</v>
      </c>
      <c r="G126" s="303">
        <f t="shared" si="34"/>
        <v>14.064615906526996</v>
      </c>
      <c r="H126" s="303">
        <f t="shared" si="34"/>
        <v>14.777283495568092</v>
      </c>
      <c r="I126" s="303">
        <f t="shared" si="34"/>
        <v>14.198027671232879</v>
      </c>
      <c r="J126" s="303">
        <f>J125+J124</f>
        <v>14.777283495568092</v>
      </c>
      <c r="K126" s="303">
        <f t="shared" si="34"/>
        <v>14.532695260273975</v>
      </c>
      <c r="L126" s="303">
        <f t="shared" si="34"/>
        <v>13.50873355358582</v>
      </c>
      <c r="M126" s="303">
        <f t="shared" si="34"/>
        <v>14.599401142626915</v>
      </c>
      <c r="N126" s="303">
        <f t="shared" si="34"/>
        <v>12.75273355358582</v>
      </c>
      <c r="O126" s="303">
        <f t="shared" si="34"/>
        <v>12.687165848509268</v>
      </c>
      <c r="P126" s="341">
        <f>SUM(D126:O126)</f>
        <v>168.46978764705881</v>
      </c>
      <c r="Q126" s="304" t="s">
        <v>359</v>
      </c>
      <c r="S126" s="1690">
        <f t="shared" si="22"/>
        <v>46.797163235294114</v>
      </c>
      <c r="T126" s="270" t="s">
        <v>1658</v>
      </c>
    </row>
    <row r="127" spans="2:20">
      <c r="B127" s="284" t="s">
        <v>411</v>
      </c>
      <c r="D127" s="303">
        <f t="shared" ref="D127:O127" si="35">IF(D120&gt;0,D126/D120,0)</f>
        <v>0.33741682105082105</v>
      </c>
      <c r="E127" s="303">
        <f t="shared" si="35"/>
        <v>0.37150694184662586</v>
      </c>
      <c r="F127" s="303">
        <f t="shared" si="35"/>
        <v>0.45711655455940364</v>
      </c>
      <c r="G127" s="303">
        <f t="shared" si="35"/>
        <v>0.46033221802087759</v>
      </c>
      <c r="H127" s="303">
        <f t="shared" si="35"/>
        <v>0.61913714528112695</v>
      </c>
      <c r="I127" s="303">
        <f t="shared" si="35"/>
        <v>0.73577303641686764</v>
      </c>
      <c r="J127" s="303">
        <f t="shared" si="35"/>
        <v>0.9057747125409078</v>
      </c>
      <c r="K127" s="303">
        <f t="shared" si="35"/>
        <v>0.90758987807379476</v>
      </c>
      <c r="L127" s="303">
        <f t="shared" si="35"/>
        <v>0.63728898894437147</v>
      </c>
      <c r="M127" s="303">
        <f t="shared" si="35"/>
        <v>0.54602322725723273</v>
      </c>
      <c r="N127" s="303">
        <f t="shared" si="35"/>
        <v>0.37928461898482452</v>
      </c>
      <c r="O127" s="303">
        <f t="shared" si="35"/>
        <v>0.3359494625129425</v>
      </c>
      <c r="P127" s="341" t="s">
        <v>56</v>
      </c>
      <c r="Q127" s="304"/>
      <c r="S127" s="1689"/>
    </row>
    <row r="128" spans="2:20">
      <c r="B128" s="288" t="s">
        <v>412</v>
      </c>
      <c r="D128" s="303">
        <f t="shared" ref="D128:O128" si="36">IF(D120&gt;0,CEBF*EBF*1000000/(($D$22*U_DAFbeheizt+$D$14*U_E3*bGW+E4beheizt*U_E4+BodenErdeF*U_Boden*bGF+$D$16*U_E5)*3600 + Vth*EBF*(1220-0.14*HueM)),0)</f>
        <v>229.90023167117181</v>
      </c>
      <c r="E128" s="303">
        <f t="shared" si="36"/>
        <v>229.90023167117181</v>
      </c>
      <c r="F128" s="303">
        <f t="shared" si="36"/>
        <v>229.90023167117181</v>
      </c>
      <c r="G128" s="303">
        <f t="shared" si="36"/>
        <v>229.90023167117181</v>
      </c>
      <c r="H128" s="303">
        <f t="shared" si="36"/>
        <v>229.90023167117181</v>
      </c>
      <c r="I128" s="303">
        <f t="shared" si="36"/>
        <v>229.90023167117181</v>
      </c>
      <c r="J128" s="303">
        <f t="shared" si="36"/>
        <v>229.90023167117181</v>
      </c>
      <c r="K128" s="303">
        <f t="shared" si="36"/>
        <v>229.90023167117181</v>
      </c>
      <c r="L128" s="303">
        <f t="shared" si="36"/>
        <v>229.90023167117181</v>
      </c>
      <c r="M128" s="303">
        <f t="shared" si="36"/>
        <v>229.90023167117181</v>
      </c>
      <c r="N128" s="303">
        <f t="shared" si="36"/>
        <v>229.90023167117181</v>
      </c>
      <c r="O128" s="303">
        <f t="shared" si="36"/>
        <v>229.90023167117181</v>
      </c>
      <c r="P128" s="341"/>
      <c r="Q128" s="304"/>
      <c r="S128" s="1689"/>
    </row>
    <row r="129" spans="2:20">
      <c r="B129" s="284" t="s">
        <v>403</v>
      </c>
      <c r="D129" s="303">
        <f>a0+D128/tau0</f>
        <v>16.326682111411454</v>
      </c>
      <c r="E129" s="303">
        <f>a0+E128/tau0</f>
        <v>16.326682111411454</v>
      </c>
      <c r="F129" s="303">
        <f>a0+F128/tau0</f>
        <v>16.326682111411454</v>
      </c>
      <c r="G129" s="303">
        <f>a0+G128/tau0</f>
        <v>16.326682111411454</v>
      </c>
      <c r="H129" s="303">
        <f t="shared" ref="H129:O129" si="37">a0+H128/tau0</f>
        <v>16.326682111411454</v>
      </c>
      <c r="I129" s="303">
        <f t="shared" si="37"/>
        <v>16.326682111411454</v>
      </c>
      <c r="J129" s="303">
        <f t="shared" si="37"/>
        <v>16.326682111411454</v>
      </c>
      <c r="K129" s="303">
        <f t="shared" si="37"/>
        <v>16.326682111411454</v>
      </c>
      <c r="L129" s="303">
        <f t="shared" si="37"/>
        <v>16.326682111411454</v>
      </c>
      <c r="M129" s="303">
        <f t="shared" si="37"/>
        <v>16.326682111411454</v>
      </c>
      <c r="N129" s="303">
        <f t="shared" si="37"/>
        <v>16.326682111411454</v>
      </c>
      <c r="O129" s="303">
        <f t="shared" si="37"/>
        <v>16.326682111411454</v>
      </c>
      <c r="P129" s="341"/>
      <c r="Q129" s="304"/>
      <c r="S129" s="1689"/>
    </row>
    <row r="130" spans="2:20">
      <c r="B130" s="284" t="s">
        <v>413</v>
      </c>
      <c r="D130" s="317">
        <f t="shared" ref="D130:O130" si="38">IF(D127=1,D129/(D129+1),IF(D120&lt;=0,0,(1-D127^D129)/(1-D127^(D129+1))))</f>
        <v>0.99999998688499103</v>
      </c>
      <c r="E130" s="317">
        <f t="shared" si="38"/>
        <v>0.99999994011923743</v>
      </c>
      <c r="F130" s="317">
        <f t="shared" si="38"/>
        <v>0.99999847216928239</v>
      </c>
      <c r="G130" s="317">
        <f t="shared" si="38"/>
        <v>0.99999829705542709</v>
      </c>
      <c r="H130" s="317">
        <f t="shared" si="38"/>
        <v>0.99984813906250247</v>
      </c>
      <c r="I130" s="317">
        <f t="shared" si="38"/>
        <v>0.99822791549204315</v>
      </c>
      <c r="J130" s="317">
        <f t="shared" si="38"/>
        <v>0.97716281634310842</v>
      </c>
      <c r="K130" s="317">
        <f t="shared" si="38"/>
        <v>0.97667787154972507</v>
      </c>
      <c r="L130" s="317">
        <f t="shared" si="38"/>
        <v>0.99976815354424797</v>
      </c>
      <c r="M130" s="317">
        <f t="shared" si="38"/>
        <v>0.99997674184634078</v>
      </c>
      <c r="N130" s="317">
        <f t="shared" si="38"/>
        <v>0.99999991705471536</v>
      </c>
      <c r="O130" s="317">
        <f t="shared" si="38"/>
        <v>0.99999998775872878</v>
      </c>
      <c r="P130" s="344">
        <f>IF(P126&gt;0,P131/P126,0)</f>
        <v>0.9958014351185791</v>
      </c>
      <c r="Q130" s="304"/>
      <c r="S130" s="1689">
        <f t="shared" si="22"/>
        <v>0.27661150975516086</v>
      </c>
      <c r="T130" s="270" t="s">
        <v>1658</v>
      </c>
    </row>
    <row r="131" spans="2:20">
      <c r="B131" s="302" t="s">
        <v>323</v>
      </c>
      <c r="D131" s="303">
        <f>D126*D130</f>
        <v>13.354224496897903</v>
      </c>
      <c r="E131" s="303">
        <f t="shared" ref="E131:O131" si="39">E126*E130</f>
        <v>13.128456412891012</v>
      </c>
      <c r="F131" s="303">
        <f t="shared" si="39"/>
        <v>16.089141266987465</v>
      </c>
      <c r="G131" s="303">
        <f t="shared" si="39"/>
        <v>14.064591955265668</v>
      </c>
      <c r="H131" s="303">
        <f t="shared" si="39"/>
        <v>14.775039403442788</v>
      </c>
      <c r="I131" s="303">
        <f t="shared" si="39"/>
        <v>14.172867566353144</v>
      </c>
      <c r="J131" s="303">
        <f t="shared" si="39"/>
        <v>14.43981195842985</v>
      </c>
      <c r="K131" s="303">
        <f t="shared" si="39"/>
        <v>14.193761874685164</v>
      </c>
      <c r="L131" s="303">
        <f t="shared" si="39"/>
        <v>13.505601601589722</v>
      </c>
      <c r="M131" s="303">
        <f t="shared" si="39"/>
        <v>14.599061587511807</v>
      </c>
      <c r="N131" s="303">
        <f t="shared" si="39"/>
        <v>12.752732495806706</v>
      </c>
      <c r="O131" s="303">
        <f t="shared" si="39"/>
        <v>12.68716569320223</v>
      </c>
      <c r="P131" s="296">
        <f>SUM(D131:O131)</f>
        <v>167.76245631306344</v>
      </c>
      <c r="Q131" s="304" t="s">
        <v>359</v>
      </c>
      <c r="S131" s="1689">
        <f t="shared" si="22"/>
        <v>46.600682309184286</v>
      </c>
      <c r="T131" s="270" t="s">
        <v>1658</v>
      </c>
    </row>
    <row r="132" spans="2:20" ht="12.9" thickBot="1">
      <c r="B132" s="291" t="s">
        <v>404</v>
      </c>
      <c r="C132" s="335"/>
      <c r="D132" s="345"/>
      <c r="E132" s="345"/>
      <c r="F132" s="345"/>
      <c r="G132" s="345"/>
      <c r="H132" s="345"/>
      <c r="I132" s="345"/>
      <c r="J132" s="345"/>
      <c r="K132" s="345"/>
      <c r="L132" s="345"/>
      <c r="M132" s="345"/>
      <c r="N132" s="345"/>
      <c r="O132" s="346"/>
      <c r="P132" s="347"/>
      <c r="Q132" s="339"/>
      <c r="S132" s="1689"/>
    </row>
    <row r="133" spans="2:20" ht="12.9" thickBot="1">
      <c r="B133" s="305" t="s">
        <v>409</v>
      </c>
      <c r="C133" s="348"/>
      <c r="D133" s="349">
        <f>D120-D131</f>
        <v>26.22360280421135</v>
      </c>
      <c r="E133" s="349">
        <f t="shared" ref="E133:O133" si="40">E120-E131</f>
        <v>22.20993358805017</v>
      </c>
      <c r="F133" s="349">
        <f t="shared" si="40"/>
        <v>19.107934157281452</v>
      </c>
      <c r="G133" s="349">
        <f t="shared" si="40"/>
        <v>16.488594104566275</v>
      </c>
      <c r="H133" s="349">
        <f t="shared" si="40"/>
        <v>9.0925053048597366</v>
      </c>
      <c r="I133" s="349">
        <f t="shared" si="40"/>
        <v>5.123881524067027</v>
      </c>
      <c r="J133" s="349">
        <f t="shared" si="40"/>
        <v>1.8747122725617515</v>
      </c>
      <c r="K133" s="349">
        <f t="shared" si="40"/>
        <v>1.8186415372139972</v>
      </c>
      <c r="L133" s="349">
        <f t="shared" si="40"/>
        <v>7.6915848992506195</v>
      </c>
      <c r="M133" s="349">
        <f t="shared" si="40"/>
        <v>12.138630902168869</v>
      </c>
      <c r="N133" s="349">
        <f t="shared" si="40"/>
        <v>20.870390919319355</v>
      </c>
      <c r="O133" s="349">
        <f t="shared" si="40"/>
        <v>25.077936693352392</v>
      </c>
      <c r="P133" s="373">
        <f>SUM(D133:O133)</f>
        <v>167.71834870690299</v>
      </c>
      <c r="Q133" s="351" t="s">
        <v>359</v>
      </c>
      <c r="S133" s="1689">
        <f t="shared" si="22"/>
        <v>46.588430196361941</v>
      </c>
      <c r="T133" s="270" t="s">
        <v>1658</v>
      </c>
    </row>
    <row r="134" spans="2:20">
      <c r="D134" s="303"/>
      <c r="E134" s="303"/>
      <c r="F134" s="303"/>
      <c r="G134" s="303"/>
      <c r="H134" s="303"/>
      <c r="I134" s="303"/>
      <c r="J134" s="303"/>
      <c r="K134" s="303"/>
      <c r="L134" s="303"/>
      <c r="M134" s="303"/>
      <c r="N134" s="303"/>
      <c r="O134" s="303"/>
      <c r="P134" s="1291"/>
      <c r="S134" s="1689"/>
    </row>
    <row r="135" spans="2:20">
      <c r="B135" s="270" t="str">
        <f>B120</f>
        <v>Gesamtwärmeverlust Qt:</v>
      </c>
      <c r="D135" s="303">
        <f t="shared" ref="D135:P135" si="41">D120</f>
        <v>39.577827301109252</v>
      </c>
      <c r="E135" s="303">
        <f t="shared" si="41"/>
        <v>35.338390000941182</v>
      </c>
      <c r="F135" s="303">
        <f t="shared" si="41"/>
        <v>35.197075424268917</v>
      </c>
      <c r="G135" s="303">
        <f t="shared" si="41"/>
        <v>30.55318605983194</v>
      </c>
      <c r="H135" s="303">
        <f t="shared" si="41"/>
        <v>23.867544708302525</v>
      </c>
      <c r="I135" s="303">
        <f t="shared" si="41"/>
        <v>19.296749090420171</v>
      </c>
      <c r="J135" s="303">
        <f t="shared" si="41"/>
        <v>16.314524230991601</v>
      </c>
      <c r="K135" s="303">
        <f t="shared" si="41"/>
        <v>16.012403411899161</v>
      </c>
      <c r="L135" s="303">
        <f t="shared" si="41"/>
        <v>21.197186500840342</v>
      </c>
      <c r="M135" s="303">
        <f t="shared" si="41"/>
        <v>26.737692489680676</v>
      </c>
      <c r="N135" s="303">
        <f t="shared" si="41"/>
        <v>33.623123415126059</v>
      </c>
      <c r="O135" s="303">
        <f t="shared" si="41"/>
        <v>37.765102386554624</v>
      </c>
      <c r="P135" s="303">
        <f t="shared" si="41"/>
        <v>335.4808050199664</v>
      </c>
      <c r="Q135" s="270" t="s">
        <v>359</v>
      </c>
      <c r="S135" s="1689">
        <f t="shared" si="22"/>
        <v>93.18911250554622</v>
      </c>
      <c r="T135" s="270" t="s">
        <v>1658</v>
      </c>
    </row>
    <row r="136" spans="2:20">
      <c r="B136" s="270" t="str">
        <f>B126</f>
        <v>Wärmegewinne total Qg:</v>
      </c>
      <c r="D136" s="303">
        <f t="shared" ref="D136:P136" si="42">D126</f>
        <v>13.354224672038679</v>
      </c>
      <c r="E136" s="303">
        <f t="shared" si="42"/>
        <v>13.12845719903304</v>
      </c>
      <c r="F136" s="303">
        <f t="shared" si="42"/>
        <v>16.089165848509268</v>
      </c>
      <c r="G136" s="303">
        <f t="shared" si="42"/>
        <v>14.064615906526996</v>
      </c>
      <c r="H136" s="303">
        <f t="shared" si="42"/>
        <v>14.777283495568092</v>
      </c>
      <c r="I136" s="303">
        <f t="shared" si="42"/>
        <v>14.198027671232879</v>
      </c>
      <c r="J136" s="303">
        <f t="shared" si="42"/>
        <v>14.777283495568092</v>
      </c>
      <c r="K136" s="303">
        <f t="shared" si="42"/>
        <v>14.532695260273975</v>
      </c>
      <c r="L136" s="303">
        <f t="shared" si="42"/>
        <v>13.50873355358582</v>
      </c>
      <c r="M136" s="303">
        <f t="shared" si="42"/>
        <v>14.599401142626915</v>
      </c>
      <c r="N136" s="303">
        <f t="shared" si="42"/>
        <v>12.75273355358582</v>
      </c>
      <c r="O136" s="303">
        <f t="shared" si="42"/>
        <v>12.687165848509268</v>
      </c>
      <c r="P136" s="303">
        <f t="shared" si="42"/>
        <v>168.46978764705881</v>
      </c>
      <c r="Q136" s="270" t="s">
        <v>359</v>
      </c>
      <c r="S136" s="1689">
        <f t="shared" si="22"/>
        <v>46.797163235294114</v>
      </c>
      <c r="T136" s="270" t="s">
        <v>1658</v>
      </c>
    </row>
    <row r="137" spans="2:20">
      <c r="B137" s="1103" t="s">
        <v>1390</v>
      </c>
      <c r="C137" s="1103"/>
      <c r="D137" s="1124">
        <f t="shared" ref="D137:O137" si="43">MAX(0,D126-D120)</f>
        <v>0</v>
      </c>
      <c r="E137" s="1124">
        <f t="shared" si="43"/>
        <v>0</v>
      </c>
      <c r="F137" s="1124">
        <f t="shared" si="43"/>
        <v>0</v>
      </c>
      <c r="G137" s="1124">
        <f t="shared" si="43"/>
        <v>0</v>
      </c>
      <c r="H137" s="1124">
        <f t="shared" si="43"/>
        <v>0</v>
      </c>
      <c r="I137" s="1124">
        <f t="shared" si="43"/>
        <v>0</v>
      </c>
      <c r="J137" s="1124">
        <f t="shared" si="43"/>
        <v>0</v>
      </c>
      <c r="K137" s="1124">
        <f t="shared" si="43"/>
        <v>0</v>
      </c>
      <c r="L137" s="1124">
        <f t="shared" si="43"/>
        <v>0</v>
      </c>
      <c r="M137" s="1124">
        <f t="shared" si="43"/>
        <v>0</v>
      </c>
      <c r="N137" s="1124">
        <f t="shared" si="43"/>
        <v>0</v>
      </c>
      <c r="O137" s="1124">
        <f t="shared" si="43"/>
        <v>0</v>
      </c>
      <c r="P137" s="1125">
        <f>SUM(D137:O137)</f>
        <v>0</v>
      </c>
      <c r="Q137" s="270" t="s">
        <v>359</v>
      </c>
      <c r="S137" s="1689">
        <f t="shared" si="22"/>
        <v>0</v>
      </c>
      <c r="T137" s="270" t="s">
        <v>1658</v>
      </c>
    </row>
    <row r="138" spans="2:20" ht="12.9" thickBot="1"/>
    <row r="139" spans="2:20" ht="12.9" thickBot="1">
      <c r="B139" s="280" t="s">
        <v>405</v>
      </c>
      <c r="C139" s="372" t="s">
        <v>50</v>
      </c>
      <c r="D139" s="281" t="s">
        <v>359</v>
      </c>
      <c r="E139" s="325"/>
      <c r="F139" s="325"/>
      <c r="G139" s="325"/>
      <c r="H139" s="325"/>
      <c r="I139" s="325"/>
      <c r="J139" s="325"/>
      <c r="K139" s="325"/>
      <c r="L139" s="325"/>
      <c r="M139" s="325"/>
      <c r="N139" s="325"/>
      <c r="O139" s="325"/>
      <c r="P139" s="325"/>
      <c r="Q139" s="328"/>
    </row>
    <row r="140" spans="2:20">
      <c r="B140" s="294" t="s">
        <v>371</v>
      </c>
      <c r="C140" s="340"/>
      <c r="D140" s="340"/>
      <c r="E140" s="340"/>
      <c r="F140" s="340"/>
      <c r="G140" s="340"/>
      <c r="H140" s="340"/>
      <c r="I140" s="340"/>
      <c r="J140" s="340"/>
      <c r="K140" s="340"/>
      <c r="L140" s="340"/>
      <c r="M140" s="340"/>
      <c r="N140" s="340"/>
      <c r="O140" s="331"/>
      <c r="P140" s="330"/>
      <c r="Q140" s="331"/>
    </row>
    <row r="141" spans="2:20">
      <c r="B141" s="284" t="s">
        <v>373</v>
      </c>
      <c r="D141" s="303">
        <f>IF(EBF&gt;0,(Thetai-D$70)*D$69*$D$22*U_DAFbeheizt*0.0864/EBF,0)</f>
        <v>0</v>
      </c>
      <c r="E141" s="303">
        <f t="shared" ref="E141:O141" si="44">IF(EBF&gt;0,(Thetai-E$70)*E$69*$D$22*U_DAFbeheizt*0.0864/EBF,0)</f>
        <v>0</v>
      </c>
      <c r="F141" s="303">
        <f t="shared" si="44"/>
        <v>0</v>
      </c>
      <c r="G141" s="303">
        <f t="shared" si="44"/>
        <v>0</v>
      </c>
      <c r="H141" s="303">
        <f t="shared" si="44"/>
        <v>0</v>
      </c>
      <c r="I141" s="303">
        <f t="shared" si="44"/>
        <v>0</v>
      </c>
      <c r="J141" s="303">
        <f t="shared" si="44"/>
        <v>0</v>
      </c>
      <c r="K141" s="303">
        <f t="shared" si="44"/>
        <v>0</v>
      </c>
      <c r="L141" s="303">
        <f t="shared" si="44"/>
        <v>0</v>
      </c>
      <c r="M141" s="303">
        <f t="shared" si="44"/>
        <v>0</v>
      </c>
      <c r="N141" s="303">
        <f t="shared" si="44"/>
        <v>0</v>
      </c>
      <c r="O141" s="303">
        <f t="shared" si="44"/>
        <v>0</v>
      </c>
      <c r="P141" s="341">
        <f t="shared" ref="P141:P146" si="45">SUM(D141:O141)</f>
        <v>0</v>
      </c>
      <c r="Q141" s="304" t="s">
        <v>359</v>
      </c>
    </row>
    <row r="142" spans="2:20">
      <c r="B142" s="284" t="s">
        <v>375</v>
      </c>
      <c r="D142" s="303">
        <v>0</v>
      </c>
      <c r="E142" s="303">
        <v>0</v>
      </c>
      <c r="F142" s="303">
        <v>0</v>
      </c>
      <c r="G142" s="303">
        <v>0</v>
      </c>
      <c r="H142" s="303">
        <v>0</v>
      </c>
      <c r="I142" s="303">
        <v>0</v>
      </c>
      <c r="J142" s="303">
        <v>0</v>
      </c>
      <c r="K142" s="303">
        <v>0</v>
      </c>
      <c r="L142" s="303">
        <v>0</v>
      </c>
      <c r="M142" s="303">
        <v>0</v>
      </c>
      <c r="N142" s="303">
        <v>0</v>
      </c>
      <c r="O142" s="303">
        <v>0</v>
      </c>
      <c r="P142" s="341">
        <f t="shared" si="45"/>
        <v>0</v>
      </c>
      <c r="Q142" s="304" t="s">
        <v>359</v>
      </c>
    </row>
    <row r="143" spans="2:20">
      <c r="B143" s="284" t="s">
        <v>377</v>
      </c>
      <c r="D143" s="362">
        <f t="shared" ref="D143:O143" si="46">IF(EBF&gt;0,(Thetai-D$70)*D$69*E4beheizt*$F$15*0.0864/EBF,0)</f>
        <v>7.6365910588235311</v>
      </c>
      <c r="E143" s="303">
        <f t="shared" si="46"/>
        <v>6.8185863529411765</v>
      </c>
      <c r="F143" s="303">
        <f t="shared" si="46"/>
        <v>6.7913195294117674</v>
      </c>
      <c r="G143" s="303">
        <f t="shared" si="46"/>
        <v>5.8952752941176483</v>
      </c>
      <c r="H143" s="303">
        <f t="shared" si="46"/>
        <v>4.6052724705882362</v>
      </c>
      <c r="I143" s="303">
        <f t="shared" si="46"/>
        <v>3.7233317647058835</v>
      </c>
      <c r="J143" s="303">
        <f t="shared" si="46"/>
        <v>3.1479077647058826</v>
      </c>
      <c r="K143" s="303">
        <f t="shared" si="46"/>
        <v>3.0896131764705883</v>
      </c>
      <c r="L143" s="303">
        <f t="shared" si="46"/>
        <v>4.0900235294117655</v>
      </c>
      <c r="M143" s="303">
        <f t="shared" si="46"/>
        <v>5.15907105882353</v>
      </c>
      <c r="N143" s="303">
        <f t="shared" si="46"/>
        <v>6.4876235294117661</v>
      </c>
      <c r="O143" s="303">
        <f t="shared" si="46"/>
        <v>7.2868235294117651</v>
      </c>
      <c r="P143" s="341">
        <f t="shared" si="45"/>
        <v>64.73143905882354</v>
      </c>
      <c r="Q143" s="304" t="s">
        <v>359</v>
      </c>
    </row>
    <row r="144" spans="2:20">
      <c r="B144" s="284" t="s">
        <v>406</v>
      </c>
      <c r="D144" s="303">
        <f t="shared" ref="D144:M144" si="47">IF(EBF&gt;0,(Thetai+deltaThetahmax-D$70)*D$69*BodenErdeF*U_Boden*bGF*0.0864/EBF,0)</f>
        <v>0</v>
      </c>
      <c r="E144" s="303">
        <f t="shared" si="47"/>
        <v>0</v>
      </c>
      <c r="F144" s="303">
        <f t="shared" si="47"/>
        <v>0</v>
      </c>
      <c r="G144" s="303">
        <f t="shared" si="47"/>
        <v>0</v>
      </c>
      <c r="H144" s="303">
        <f t="shared" si="47"/>
        <v>0</v>
      </c>
      <c r="I144" s="303">
        <f t="shared" si="47"/>
        <v>0</v>
      </c>
      <c r="J144" s="303">
        <f t="shared" si="47"/>
        <v>0</v>
      </c>
      <c r="K144" s="303">
        <f t="shared" si="47"/>
        <v>0</v>
      </c>
      <c r="L144" s="303">
        <f t="shared" si="47"/>
        <v>0</v>
      </c>
      <c r="M144" s="303">
        <f t="shared" si="47"/>
        <v>0</v>
      </c>
      <c r="N144" s="303">
        <f>IF(EBF&gt;0,(Thetai+deltaThetahmax-N$70)*N$69*BodenErdeF*U_Boden*bGF*0.0864/EBF,0)</f>
        <v>0</v>
      </c>
      <c r="O144" s="303">
        <f>IF(EBF&gt;0,(Thetai+deltaThetahmax-O$70)*O$69*BodenErdeF*U_Boden*bGF*0.0864/EBF,0)</f>
        <v>0</v>
      </c>
      <c r="P144" s="341">
        <f t="shared" si="45"/>
        <v>0</v>
      </c>
      <c r="Q144" s="304" t="s">
        <v>359</v>
      </c>
    </row>
    <row r="145" spans="2:17">
      <c r="B145" s="285" t="s">
        <v>407</v>
      </c>
      <c r="D145" s="303">
        <f t="shared" ref="D145:O145" si="48">(IF(EBF&gt;0,(Thetai+deltaThetahmax-D$70)*D$69*BodenErdeF*U_gedaemmteDecken*0.0864/EBF,0))*0</f>
        <v>0</v>
      </c>
      <c r="E145" s="303">
        <f t="shared" si="48"/>
        <v>0</v>
      </c>
      <c r="F145" s="303">
        <f t="shared" si="48"/>
        <v>0</v>
      </c>
      <c r="G145" s="303">
        <f t="shared" si="48"/>
        <v>0</v>
      </c>
      <c r="H145" s="303">
        <f t="shared" si="48"/>
        <v>0</v>
      </c>
      <c r="I145" s="303">
        <f t="shared" si="48"/>
        <v>0</v>
      </c>
      <c r="J145" s="303">
        <f t="shared" si="48"/>
        <v>0</v>
      </c>
      <c r="K145" s="303">
        <f t="shared" si="48"/>
        <v>0</v>
      </c>
      <c r="L145" s="303">
        <f t="shared" si="48"/>
        <v>0</v>
      </c>
      <c r="M145" s="303">
        <f t="shared" si="48"/>
        <v>0</v>
      </c>
      <c r="N145" s="303">
        <f t="shared" si="48"/>
        <v>0</v>
      </c>
      <c r="O145" s="303">
        <f t="shared" si="48"/>
        <v>0</v>
      </c>
      <c r="P145" s="341">
        <f t="shared" si="45"/>
        <v>0</v>
      </c>
      <c r="Q145" s="304" t="s">
        <v>359</v>
      </c>
    </row>
    <row r="146" spans="2:17">
      <c r="B146" s="284" t="s">
        <v>391</v>
      </c>
      <c r="D146" s="362">
        <f>IF(EBF&gt;0,(Thetai-D$70)*D$69*$D$16*$F$16*0.0864/EBF,0)</f>
        <v>13.209238588235298</v>
      </c>
      <c r="E146" s="303">
        <f t="shared" ref="E146:O146" si="49">IF(EBF&gt;0,(Thetai-E$70)*E$69*$D$16*$F$16*0.0864/EBF,0)</f>
        <v>11.794311529411765</v>
      </c>
      <c r="F146" s="303">
        <f t="shared" si="49"/>
        <v>11.747147294117649</v>
      </c>
      <c r="G146" s="303">
        <f t="shared" si="49"/>
        <v>10.197232941176471</v>
      </c>
      <c r="H146" s="303">
        <f t="shared" si="49"/>
        <v>7.9658767058823541</v>
      </c>
      <c r="I146" s="303">
        <f t="shared" si="49"/>
        <v>6.4403576470588249</v>
      </c>
      <c r="J146" s="303">
        <f t="shared" si="49"/>
        <v>5.4450296470588251</v>
      </c>
      <c r="K146" s="303">
        <f t="shared" si="49"/>
        <v>5.3441957647058818</v>
      </c>
      <c r="L146" s="303">
        <f t="shared" si="49"/>
        <v>7.0746352941176482</v>
      </c>
      <c r="M146" s="303">
        <f t="shared" si="49"/>
        <v>8.9237985882352948</v>
      </c>
      <c r="N146" s="303">
        <f t="shared" si="49"/>
        <v>11.22183529411765</v>
      </c>
      <c r="O146" s="303">
        <f t="shared" si="49"/>
        <v>12.604235294117649</v>
      </c>
      <c r="P146" s="341">
        <f t="shared" si="45"/>
        <v>111.96789458823532</v>
      </c>
      <c r="Q146" s="304" t="s">
        <v>359</v>
      </c>
    </row>
    <row r="147" spans="2:17">
      <c r="B147" s="286" t="s">
        <v>408</v>
      </c>
      <c r="D147" s="303">
        <f>1*D$69*(Thetai-D$70)*BodenUnb*E95*$D$56*0.0864/EBF</f>
        <v>0</v>
      </c>
      <c r="E147" s="303">
        <f t="shared" ref="E147:O147" si="50">1*E$69*(Thetai-E$70)*BodenUnb*U_Boden*$D$56*0.0864/EBF</f>
        <v>0</v>
      </c>
      <c r="F147" s="303">
        <f t="shared" si="50"/>
        <v>0</v>
      </c>
      <c r="G147" s="303">
        <f t="shared" si="50"/>
        <v>0</v>
      </c>
      <c r="H147" s="303">
        <f t="shared" si="50"/>
        <v>0</v>
      </c>
      <c r="I147" s="303">
        <f t="shared" si="50"/>
        <v>0</v>
      </c>
      <c r="J147" s="303">
        <f t="shared" si="50"/>
        <v>0</v>
      </c>
      <c r="K147" s="303">
        <f t="shared" si="50"/>
        <v>0</v>
      </c>
      <c r="L147" s="303">
        <f t="shared" si="50"/>
        <v>0</v>
      </c>
      <c r="M147" s="303">
        <f t="shared" si="50"/>
        <v>0</v>
      </c>
      <c r="N147" s="303">
        <f t="shared" si="50"/>
        <v>0</v>
      </c>
      <c r="O147" s="303">
        <f t="shared" si="50"/>
        <v>0</v>
      </c>
      <c r="P147" s="341">
        <f>SUM(D147:O147)</f>
        <v>0</v>
      </c>
      <c r="Q147" s="304" t="s">
        <v>359</v>
      </c>
    </row>
    <row r="148" spans="2:17">
      <c r="B148" s="295" t="s">
        <v>316</v>
      </c>
      <c r="D148" s="303">
        <f>SUM(D141:D147)*(1+WBZuschlag)</f>
        <v>22.930412611764712</v>
      </c>
      <c r="E148" s="303">
        <f t="shared" ref="E148:O148" si="51">SUM(E141:E147)*(1+WBZuschlag)</f>
        <v>20.474187670588236</v>
      </c>
      <c r="F148" s="303">
        <f t="shared" si="51"/>
        <v>20.392313505882363</v>
      </c>
      <c r="G148" s="303">
        <f t="shared" si="51"/>
        <v>17.701759058823534</v>
      </c>
      <c r="H148" s="303">
        <f t="shared" si="51"/>
        <v>13.828264094117651</v>
      </c>
      <c r="I148" s="303">
        <f t="shared" si="51"/>
        <v>11.180058352941179</v>
      </c>
      <c r="J148" s="303">
        <f t="shared" si="51"/>
        <v>9.4522311529411809</v>
      </c>
      <c r="K148" s="303">
        <f t="shared" si="51"/>
        <v>9.2771898352941164</v>
      </c>
      <c r="L148" s="303">
        <f t="shared" si="51"/>
        <v>12.281124705882357</v>
      </c>
      <c r="M148" s="303">
        <f t="shared" si="51"/>
        <v>15.491156611764708</v>
      </c>
      <c r="N148" s="303">
        <f t="shared" si="51"/>
        <v>19.480404705882361</v>
      </c>
      <c r="O148" s="303">
        <f t="shared" si="51"/>
        <v>21.880164705882354</v>
      </c>
      <c r="P148" s="296">
        <f>SUM(D148:O148)</f>
        <v>194.36926701176472</v>
      </c>
      <c r="Q148" s="304" t="s">
        <v>359</v>
      </c>
    </row>
    <row r="149" spans="2:17">
      <c r="B149" s="288" t="s">
        <v>393</v>
      </c>
      <c r="C149" s="297"/>
      <c r="D149" s="298"/>
      <c r="E149" s="298"/>
      <c r="F149" s="298"/>
      <c r="G149" s="298"/>
      <c r="H149" s="298"/>
      <c r="I149" s="298"/>
      <c r="J149" s="298"/>
      <c r="K149" s="298"/>
      <c r="L149" s="298"/>
      <c r="M149" s="298"/>
      <c r="N149" s="298"/>
      <c r="O149" s="299"/>
      <c r="P149" s="300"/>
      <c r="Q149" s="301"/>
    </row>
    <row r="150" spans="2:17">
      <c r="B150" s="302" t="s">
        <v>320</v>
      </c>
      <c r="C150" s="297"/>
      <c r="D150" s="362">
        <f>IF(D148=0,0,(Thetai-D$70)*$F$26*D$69*(1220-0.14*HueM)*0.000024)</f>
        <v>5.9733071301448142</v>
      </c>
      <c r="E150" s="303">
        <f t="shared" ref="E150:O150" si="52">IF(E148=0,0,(Thetai-E$70)*$F$26*E$69*(1220-0.14*HueM)*0.000024)</f>
        <v>5.3334675335890411</v>
      </c>
      <c r="F150" s="303">
        <f t="shared" si="52"/>
        <v>5.3121395470371828</v>
      </c>
      <c r="G150" s="303">
        <f t="shared" si="52"/>
        <v>4.6112577820743645</v>
      </c>
      <c r="H150" s="303">
        <f t="shared" si="52"/>
        <v>3.6022233838277891</v>
      </c>
      <c r="I150" s="303">
        <f t="shared" si="52"/>
        <v>2.9123733360469664</v>
      </c>
      <c r="J150" s="303">
        <f t="shared" si="52"/>
        <v>2.462279275021527</v>
      </c>
      <c r="K150" s="303">
        <f t="shared" si="52"/>
        <v>2.4166815106692763</v>
      </c>
      <c r="L150" s="303">
        <f t="shared" si="52"/>
        <v>3.1991979827788648</v>
      </c>
      <c r="M150" s="303">
        <f t="shared" si="52"/>
        <v>4.0354021451741682</v>
      </c>
      <c r="N150" s="303">
        <f t="shared" si="52"/>
        <v>5.0745899037182003</v>
      </c>
      <c r="O150" s="303">
        <f t="shared" si="52"/>
        <v>5.6997205440313117</v>
      </c>
      <c r="P150" s="296">
        <f>SUM(D150:O150)</f>
        <v>50.632640074113496</v>
      </c>
      <c r="Q150" s="304" t="s">
        <v>359</v>
      </c>
    </row>
    <row r="151" spans="2:17">
      <c r="B151" s="288" t="s">
        <v>394</v>
      </c>
      <c r="D151" s="316"/>
      <c r="E151" s="316"/>
      <c r="F151" s="316"/>
      <c r="G151" s="316"/>
      <c r="H151" s="316"/>
      <c r="I151" s="316"/>
      <c r="J151" s="316"/>
      <c r="K151" s="316"/>
      <c r="L151" s="316"/>
      <c r="M151" s="316"/>
      <c r="N151" s="316"/>
      <c r="O151" s="329"/>
      <c r="P151" s="341"/>
      <c r="Q151" s="304"/>
    </row>
    <row r="152" spans="2:17">
      <c r="B152" s="284" t="s">
        <v>395</v>
      </c>
      <c r="D152" s="303">
        <f t="shared" ref="D152:O152" si="53">D150+D148</f>
        <v>28.903719741909526</v>
      </c>
      <c r="E152" s="303">
        <f t="shared" si="53"/>
        <v>25.807655204177276</v>
      </c>
      <c r="F152" s="303">
        <f t="shared" si="53"/>
        <v>25.704453052919547</v>
      </c>
      <c r="G152" s="303">
        <f t="shared" si="53"/>
        <v>22.313016840897898</v>
      </c>
      <c r="H152" s="303">
        <f t="shared" si="53"/>
        <v>17.430487477945441</v>
      </c>
      <c r="I152" s="303">
        <f t="shared" si="53"/>
        <v>14.092431688988146</v>
      </c>
      <c r="J152" s="303">
        <f t="shared" si="53"/>
        <v>11.914510427962707</v>
      </c>
      <c r="K152" s="303">
        <f t="shared" si="53"/>
        <v>11.693871345963393</v>
      </c>
      <c r="L152" s="303">
        <f t="shared" si="53"/>
        <v>15.480322688661222</v>
      </c>
      <c r="M152" s="303">
        <f t="shared" si="53"/>
        <v>19.526558756938876</v>
      </c>
      <c r="N152" s="303">
        <f t="shared" si="53"/>
        <v>24.554994609600563</v>
      </c>
      <c r="O152" s="303">
        <f t="shared" si="53"/>
        <v>27.579885249913666</v>
      </c>
      <c r="P152" s="341">
        <f>SUM(D152:O152)</f>
        <v>245.00190708587829</v>
      </c>
      <c r="Q152" s="304" t="s">
        <v>359</v>
      </c>
    </row>
    <row r="153" spans="2:17">
      <c r="B153" s="288" t="s">
        <v>396</v>
      </c>
      <c r="D153" s="316"/>
      <c r="E153" s="316" t="s">
        <v>193</v>
      </c>
      <c r="F153" s="316"/>
      <c r="G153" s="316"/>
      <c r="H153" s="316"/>
      <c r="I153" s="316"/>
      <c r="J153" s="316"/>
      <c r="K153" s="316"/>
      <c r="L153" s="316"/>
      <c r="M153" s="316"/>
      <c r="N153" s="316"/>
      <c r="O153" s="329"/>
      <c r="P153" s="341"/>
      <c r="Q153" s="304"/>
    </row>
    <row r="154" spans="2:17">
      <c r="B154" s="284" t="s">
        <v>397</v>
      </c>
      <c r="D154" s="362">
        <f>$F$41*fE*D$69/365</f>
        <v>3.6396335616438353</v>
      </c>
      <c r="E154" s="303">
        <f t="shared" ref="E154:O154" si="54">$F$41*fE*E$69/365</f>
        <v>3.2874109589041094</v>
      </c>
      <c r="F154" s="303">
        <f t="shared" si="54"/>
        <v>3.6396335616438353</v>
      </c>
      <c r="G154" s="303">
        <f t="shared" si="54"/>
        <v>3.5222260273972603</v>
      </c>
      <c r="H154" s="303">
        <f t="shared" si="54"/>
        <v>3.6396335616438353</v>
      </c>
      <c r="I154" s="303">
        <f t="shared" si="54"/>
        <v>3.5222260273972603</v>
      </c>
      <c r="J154" s="303">
        <f t="shared" si="54"/>
        <v>3.6396335616438353</v>
      </c>
      <c r="K154" s="303">
        <f t="shared" si="54"/>
        <v>3.6396335616438353</v>
      </c>
      <c r="L154" s="303">
        <f t="shared" si="54"/>
        <v>3.5222260273972603</v>
      </c>
      <c r="M154" s="303">
        <f t="shared" si="54"/>
        <v>3.6396335616438353</v>
      </c>
      <c r="N154" s="303">
        <f t="shared" si="54"/>
        <v>3.5222260273972603</v>
      </c>
      <c r="O154" s="303">
        <f t="shared" si="54"/>
        <v>3.6396335616438353</v>
      </c>
      <c r="P154" s="341">
        <f>SUM(D154:O154)</f>
        <v>42.853749999999991</v>
      </c>
      <c r="Q154" s="304" t="s">
        <v>359</v>
      </c>
    </row>
    <row r="155" spans="2:17">
      <c r="B155" s="284" t="s">
        <v>399</v>
      </c>
      <c r="D155" s="303">
        <f>$D$40*D$69/365</f>
        <v>2.9998080000000007</v>
      </c>
      <c r="E155" s="303">
        <f t="shared" ref="E155:O155" si="55">$D$40*E$69/365</f>
        <v>2.7095040000000008</v>
      </c>
      <c r="F155" s="303">
        <f t="shared" si="55"/>
        <v>2.9998080000000007</v>
      </c>
      <c r="G155" s="303">
        <f t="shared" si="55"/>
        <v>2.9030400000000007</v>
      </c>
      <c r="H155" s="303">
        <f t="shared" si="55"/>
        <v>2.9998080000000007</v>
      </c>
      <c r="I155" s="303">
        <f t="shared" si="55"/>
        <v>2.9030400000000007</v>
      </c>
      <c r="J155" s="303">
        <f t="shared" si="55"/>
        <v>2.9998080000000007</v>
      </c>
      <c r="K155" s="303">
        <f t="shared" si="55"/>
        <v>2.9998080000000007</v>
      </c>
      <c r="L155" s="303">
        <f t="shared" si="55"/>
        <v>2.9030400000000007</v>
      </c>
      <c r="M155" s="303">
        <f t="shared" si="55"/>
        <v>2.9998080000000007</v>
      </c>
      <c r="N155" s="303">
        <f t="shared" si="55"/>
        <v>2.9030400000000007</v>
      </c>
      <c r="O155" s="303">
        <f t="shared" si="55"/>
        <v>2.9998080000000007</v>
      </c>
      <c r="P155" s="341">
        <f>SUM(D155:O155)</f>
        <v>35.320320000000009</v>
      </c>
      <c r="Q155" s="304" t="s">
        <v>359</v>
      </c>
    </row>
    <row r="156" spans="2:17">
      <c r="B156" s="284" t="s">
        <v>400</v>
      </c>
      <c r="D156" s="303">
        <f t="shared" ref="D156:O156" si="56">D155+D154</f>
        <v>6.639441561643836</v>
      </c>
      <c r="E156" s="303">
        <f t="shared" si="56"/>
        <v>5.9969149589041102</v>
      </c>
      <c r="F156" s="303">
        <f t="shared" si="56"/>
        <v>6.639441561643836</v>
      </c>
      <c r="G156" s="303">
        <f t="shared" si="56"/>
        <v>6.425266027397261</v>
      </c>
      <c r="H156" s="303">
        <f t="shared" si="56"/>
        <v>6.639441561643836</v>
      </c>
      <c r="I156" s="303">
        <f t="shared" si="56"/>
        <v>6.425266027397261</v>
      </c>
      <c r="J156" s="303">
        <f t="shared" si="56"/>
        <v>6.639441561643836</v>
      </c>
      <c r="K156" s="303">
        <f t="shared" si="56"/>
        <v>6.639441561643836</v>
      </c>
      <c r="L156" s="303">
        <f t="shared" si="56"/>
        <v>6.425266027397261</v>
      </c>
      <c r="M156" s="303">
        <f t="shared" si="56"/>
        <v>6.639441561643836</v>
      </c>
      <c r="N156" s="303">
        <f t="shared" si="56"/>
        <v>6.425266027397261</v>
      </c>
      <c r="O156" s="303">
        <f t="shared" si="56"/>
        <v>6.639441561643836</v>
      </c>
      <c r="P156" s="341">
        <f>SUM(D156:O156)</f>
        <v>78.17407</v>
      </c>
      <c r="Q156" s="304" t="s">
        <v>359</v>
      </c>
    </row>
    <row r="157" spans="2:17">
      <c r="B157" s="288" t="s">
        <v>401</v>
      </c>
      <c r="D157" s="362">
        <f t="shared" ref="D157:O157" si="57">IF(EBF&gt;0,($D$19*D$72*$F$19+$D$18*D$73*$F$18+$D$20*D$74*$F$20+$D$17*D$75*$F$17+$D$21*D$71*$F$21)*0.9*$F30*FF/EBF,0)</f>
        <v>2.1282352941176477</v>
      </c>
      <c r="E157" s="303">
        <f t="shared" si="57"/>
        <v>2.6841176470588239</v>
      </c>
      <c r="F157" s="303">
        <f t="shared" si="57"/>
        <v>4.0817647058823532</v>
      </c>
      <c r="G157" s="303">
        <f t="shared" si="57"/>
        <v>2.8747058823529414</v>
      </c>
      <c r="H157" s="303">
        <f t="shared" si="57"/>
        <v>3.1447058823529419</v>
      </c>
      <c r="I157" s="303">
        <f t="shared" si="57"/>
        <v>2.97</v>
      </c>
      <c r="J157" s="303">
        <f t="shared" si="57"/>
        <v>3.1447058823529419</v>
      </c>
      <c r="K157" s="303">
        <f t="shared" si="57"/>
        <v>2.97</v>
      </c>
      <c r="L157" s="303">
        <f t="shared" si="57"/>
        <v>2.4776470588235298</v>
      </c>
      <c r="M157" s="303">
        <f t="shared" si="57"/>
        <v>3.0176470588235298</v>
      </c>
      <c r="N157" s="303">
        <f t="shared" si="57"/>
        <v>1.9376470588235297</v>
      </c>
      <c r="O157" s="303">
        <f t="shared" si="57"/>
        <v>1.651764705882353</v>
      </c>
      <c r="P157" s="341">
        <f>SUM(D157:O157)</f>
        <v>33.082941176470584</v>
      </c>
      <c r="Q157" s="304" t="s">
        <v>359</v>
      </c>
    </row>
    <row r="158" spans="2:17">
      <c r="B158" s="284" t="s">
        <v>402</v>
      </c>
      <c r="D158" s="303">
        <f t="shared" ref="D158:O158" si="58">D157+D156</f>
        <v>8.7676768557614828</v>
      </c>
      <c r="E158" s="303">
        <f t="shared" si="58"/>
        <v>8.6810326059629332</v>
      </c>
      <c r="F158" s="303">
        <f t="shared" si="58"/>
        <v>10.721206267526188</v>
      </c>
      <c r="G158" s="303">
        <f t="shared" si="58"/>
        <v>9.2999719097502016</v>
      </c>
      <c r="H158" s="303">
        <f t="shared" si="58"/>
        <v>9.7841474439967779</v>
      </c>
      <c r="I158" s="303">
        <f t="shared" si="58"/>
        <v>9.3952660273972608</v>
      </c>
      <c r="J158" s="303">
        <f t="shared" si="58"/>
        <v>9.7841474439967779</v>
      </c>
      <c r="K158" s="303">
        <f t="shared" si="58"/>
        <v>9.6094415616438358</v>
      </c>
      <c r="L158" s="303">
        <f t="shared" si="58"/>
        <v>8.9029130862207904</v>
      </c>
      <c r="M158" s="303">
        <f t="shared" si="58"/>
        <v>9.6570886204673663</v>
      </c>
      <c r="N158" s="303">
        <f t="shared" si="58"/>
        <v>8.3629130862207912</v>
      </c>
      <c r="O158" s="303">
        <f t="shared" si="58"/>
        <v>8.2912062675261886</v>
      </c>
      <c r="P158" s="341">
        <f>SUM(D158:O158)</f>
        <v>111.25701117647058</v>
      </c>
      <c r="Q158" s="304" t="s">
        <v>359</v>
      </c>
    </row>
    <row r="159" spans="2:17">
      <c r="B159" s="284" t="s">
        <v>411</v>
      </c>
      <c r="D159" s="303">
        <f t="shared" ref="D159:O159" si="59">IF(D152&gt;0,D158/D152,0)</f>
        <v>0.30334077876656873</v>
      </c>
      <c r="E159" s="303">
        <f t="shared" si="59"/>
        <v>0.33637432526445893</v>
      </c>
      <c r="F159" s="303">
        <f t="shared" si="59"/>
        <v>0.41709528872112916</v>
      </c>
      <c r="G159" s="303">
        <f t="shared" si="59"/>
        <v>0.41679580919349862</v>
      </c>
      <c r="H159" s="303">
        <f t="shared" si="59"/>
        <v>0.56132379868185134</v>
      </c>
      <c r="I159" s="303">
        <f t="shared" si="59"/>
        <v>0.66668877556019945</v>
      </c>
      <c r="J159" s="303">
        <f t="shared" si="59"/>
        <v>0.82119592770122696</v>
      </c>
      <c r="K159" s="303">
        <f t="shared" si="59"/>
        <v>0.82175023799632607</v>
      </c>
      <c r="L159" s="303">
        <f t="shared" si="59"/>
        <v>0.57511159588048211</v>
      </c>
      <c r="M159" s="303">
        <f t="shared" si="59"/>
        <v>0.49456172696254858</v>
      </c>
      <c r="N159" s="303">
        <f t="shared" si="59"/>
        <v>0.3405789013266996</v>
      </c>
      <c r="O159" s="303">
        <f t="shared" si="59"/>
        <v>0.3006251183569425</v>
      </c>
      <c r="P159" s="341" t="s">
        <v>56</v>
      </c>
      <c r="Q159" s="304"/>
    </row>
    <row r="160" spans="2:17">
      <c r="B160" s="288" t="s">
        <v>412</v>
      </c>
      <c r="D160" s="303">
        <f t="shared" ref="D160:O160" si="60">IF(D152&gt;0,CEBF*EBF*1000000/(($D$22*U_DAFbeheizt+$D$14*U_E3*bGW+E4beheizt*U_E4+BodenErdeF*U_Boden*bGF+$D$16*U_E5)*3600 + Vth*EBF*(1220-0.14*HueM)),0)</f>
        <v>229.90023167117181</v>
      </c>
      <c r="E160" s="303">
        <f t="shared" si="60"/>
        <v>229.90023167117181</v>
      </c>
      <c r="F160" s="303">
        <f t="shared" si="60"/>
        <v>229.90023167117181</v>
      </c>
      <c r="G160" s="303">
        <f t="shared" si="60"/>
        <v>229.90023167117181</v>
      </c>
      <c r="H160" s="303">
        <f t="shared" si="60"/>
        <v>229.90023167117181</v>
      </c>
      <c r="I160" s="303">
        <f t="shared" si="60"/>
        <v>229.90023167117181</v>
      </c>
      <c r="J160" s="303">
        <f t="shared" si="60"/>
        <v>229.90023167117181</v>
      </c>
      <c r="K160" s="303">
        <f t="shared" si="60"/>
        <v>229.90023167117181</v>
      </c>
      <c r="L160" s="303">
        <f t="shared" si="60"/>
        <v>229.90023167117181</v>
      </c>
      <c r="M160" s="303">
        <f t="shared" si="60"/>
        <v>229.90023167117181</v>
      </c>
      <c r="N160" s="303">
        <f t="shared" si="60"/>
        <v>229.90023167117181</v>
      </c>
      <c r="O160" s="303">
        <f t="shared" si="60"/>
        <v>229.90023167117181</v>
      </c>
      <c r="P160" s="341"/>
      <c r="Q160" s="304"/>
    </row>
    <row r="161" spans="2:17">
      <c r="B161" s="284" t="s">
        <v>403</v>
      </c>
      <c r="D161" s="303">
        <f>a0+D160/tau0</f>
        <v>16.326682111411454</v>
      </c>
      <c r="E161" s="303">
        <f>a0+E160/tau0</f>
        <v>16.326682111411454</v>
      </c>
      <c r="F161" s="303">
        <f>a0+F160/tau0</f>
        <v>16.326682111411454</v>
      </c>
      <c r="G161" s="303">
        <f>a0+G160/tau0</f>
        <v>16.326682111411454</v>
      </c>
      <c r="H161" s="303">
        <f t="shared" ref="H161:O161" si="61">a0+H160/tau0</f>
        <v>16.326682111411454</v>
      </c>
      <c r="I161" s="303">
        <f t="shared" si="61"/>
        <v>16.326682111411454</v>
      </c>
      <c r="J161" s="303">
        <f t="shared" si="61"/>
        <v>16.326682111411454</v>
      </c>
      <c r="K161" s="303">
        <f t="shared" si="61"/>
        <v>16.326682111411454</v>
      </c>
      <c r="L161" s="303">
        <f t="shared" si="61"/>
        <v>16.326682111411454</v>
      </c>
      <c r="M161" s="303">
        <f t="shared" si="61"/>
        <v>16.326682111411454</v>
      </c>
      <c r="N161" s="303">
        <f t="shared" si="61"/>
        <v>16.326682111411454</v>
      </c>
      <c r="O161" s="303">
        <f t="shared" si="61"/>
        <v>16.326682111411454</v>
      </c>
      <c r="P161" s="341"/>
      <c r="Q161" s="304"/>
    </row>
    <row r="162" spans="2:17">
      <c r="B162" s="284" t="s">
        <v>413</v>
      </c>
      <c r="D162" s="317">
        <f t="shared" ref="D162:O162" si="62">IF(D159=1,D161/(D161+1),IF(D152&lt;=0,0,(1-D159^D161)/(1-D159^(D161+1))))</f>
        <v>0.9999999975752375</v>
      </c>
      <c r="E162" s="317">
        <f t="shared" si="62"/>
        <v>0.9999999875115051</v>
      </c>
      <c r="F162" s="317">
        <f t="shared" si="62"/>
        <v>0.99999963246399548</v>
      </c>
      <c r="G162" s="317">
        <f t="shared" si="62"/>
        <v>0.9999996365622783</v>
      </c>
      <c r="H162" s="317">
        <f t="shared" si="62"/>
        <v>0.99996471001317233</v>
      </c>
      <c r="I162" s="317">
        <f t="shared" si="62"/>
        <v>0.99955487132342524</v>
      </c>
      <c r="J162" s="317">
        <f t="shared" si="62"/>
        <v>0.99258482757347488</v>
      </c>
      <c r="K162" s="317">
        <f t="shared" si="62"/>
        <v>0.99252293188112051</v>
      </c>
      <c r="L162" s="317">
        <f t="shared" si="62"/>
        <v>0.99994920113080343</v>
      </c>
      <c r="M162" s="317">
        <f t="shared" si="62"/>
        <v>0.99999485594400828</v>
      </c>
      <c r="N162" s="317">
        <f t="shared" si="62"/>
        <v>0.99999998480045493</v>
      </c>
      <c r="O162" s="317">
        <f t="shared" si="62"/>
        <v>0.99999999789818517</v>
      </c>
      <c r="P162" s="344">
        <f>IF(P158&gt;0,P163/P158,0)</f>
        <v>0.99865681720374233</v>
      </c>
      <c r="Q162" s="304"/>
    </row>
    <row r="163" spans="2:17">
      <c r="B163" s="302" t="s">
        <v>323</v>
      </c>
      <c r="D163" s="303">
        <f t="shared" ref="D163:O163" si="63">D158*D162</f>
        <v>8.7676768345019482</v>
      </c>
      <c r="E163" s="303">
        <f t="shared" si="63"/>
        <v>8.6810324975499018</v>
      </c>
      <c r="F163" s="303">
        <f t="shared" si="63"/>
        <v>10.721202327096874</v>
      </c>
      <c r="G163" s="303">
        <f t="shared" si="63"/>
        <v>9.2999685297895986</v>
      </c>
      <c r="H163" s="303">
        <f t="shared" si="63"/>
        <v>9.7838021615623596</v>
      </c>
      <c r="I163" s="303">
        <f t="shared" si="63"/>
        <v>9.391083925064418</v>
      </c>
      <c r="J163" s="303">
        <f t="shared" si="63"/>
        <v>9.7115963036529962</v>
      </c>
      <c r="K163" s="303">
        <f t="shared" si="63"/>
        <v>9.5375911125030335</v>
      </c>
      <c r="L163" s="303">
        <f t="shared" si="63"/>
        <v>8.9024608283034556</v>
      </c>
      <c r="M163" s="303">
        <f t="shared" si="63"/>
        <v>9.6570389438627853</v>
      </c>
      <c r="N163" s="303">
        <f t="shared" si="63"/>
        <v>8.362912959108316</v>
      </c>
      <c r="O163" s="303">
        <f t="shared" si="63"/>
        <v>8.2912062500996075</v>
      </c>
      <c r="P163" s="296">
        <f>SUM(D163:O163)</f>
        <v>111.10757267309531</v>
      </c>
      <c r="Q163" s="304" t="s">
        <v>359</v>
      </c>
    </row>
    <row r="164" spans="2:17" ht="12.9" thickBot="1">
      <c r="B164" s="291" t="s">
        <v>404</v>
      </c>
      <c r="C164" s="335"/>
      <c r="D164" s="345"/>
      <c r="E164" s="345"/>
      <c r="F164" s="345"/>
      <c r="G164" s="345"/>
      <c r="H164" s="345"/>
      <c r="I164" s="345"/>
      <c r="J164" s="345"/>
      <c r="K164" s="345"/>
      <c r="L164" s="345"/>
      <c r="M164" s="345"/>
      <c r="N164" s="345"/>
      <c r="O164" s="346"/>
      <c r="P164" s="347"/>
      <c r="Q164" s="339"/>
    </row>
    <row r="165" spans="2:17" ht="12.9" thickBot="1">
      <c r="B165" s="305" t="s">
        <v>409</v>
      </c>
      <c r="C165" s="348"/>
      <c r="D165" s="349">
        <f t="shared" ref="D165:O165" si="64">D152-D163</f>
        <v>20.136042907407578</v>
      </c>
      <c r="E165" s="349">
        <f t="shared" si="64"/>
        <v>17.126622706627373</v>
      </c>
      <c r="F165" s="349">
        <f t="shared" si="64"/>
        <v>14.983250725822673</v>
      </c>
      <c r="G165" s="349">
        <f t="shared" si="64"/>
        <v>13.0130483111083</v>
      </c>
      <c r="H165" s="349">
        <f t="shared" si="64"/>
        <v>7.6466853163830812</v>
      </c>
      <c r="I165" s="349">
        <f t="shared" si="64"/>
        <v>4.701347763923728</v>
      </c>
      <c r="J165" s="349">
        <f t="shared" si="64"/>
        <v>2.2029141243097108</v>
      </c>
      <c r="K165" s="349">
        <f t="shared" si="64"/>
        <v>2.1562802334603592</v>
      </c>
      <c r="L165" s="349">
        <f t="shared" si="64"/>
        <v>6.5778618603577659</v>
      </c>
      <c r="M165" s="349">
        <f t="shared" si="64"/>
        <v>9.8695198130760904</v>
      </c>
      <c r="N165" s="349">
        <f t="shared" si="64"/>
        <v>16.192081650492248</v>
      </c>
      <c r="O165" s="349">
        <f t="shared" si="64"/>
        <v>19.28867899981406</v>
      </c>
      <c r="P165" s="373">
        <f>SUM(D165:O165)</f>
        <v>133.894334412783</v>
      </c>
      <c r="Q165" s="351" t="s">
        <v>359</v>
      </c>
    </row>
    <row r="167" spans="2:17">
      <c r="B167" s="1103" t="s">
        <v>1390</v>
      </c>
      <c r="C167" s="1103"/>
      <c r="D167" s="1124">
        <f t="shared" ref="D167:O167" si="65">MAX(0,D158-D152)</f>
        <v>0</v>
      </c>
      <c r="E167" s="1124">
        <f t="shared" si="65"/>
        <v>0</v>
      </c>
      <c r="F167" s="1124">
        <f t="shared" si="65"/>
        <v>0</v>
      </c>
      <c r="G167" s="1124">
        <f t="shared" si="65"/>
        <v>0</v>
      </c>
      <c r="H167" s="1124">
        <f t="shared" si="65"/>
        <v>0</v>
      </c>
      <c r="I167" s="1124">
        <f t="shared" si="65"/>
        <v>0</v>
      </c>
      <c r="J167" s="1124">
        <f t="shared" si="65"/>
        <v>0</v>
      </c>
      <c r="K167" s="1124">
        <f t="shared" si="65"/>
        <v>0</v>
      </c>
      <c r="L167" s="1124">
        <f t="shared" si="65"/>
        <v>0</v>
      </c>
      <c r="M167" s="1124">
        <f t="shared" si="65"/>
        <v>0</v>
      </c>
      <c r="N167" s="1124">
        <f t="shared" si="65"/>
        <v>0</v>
      </c>
      <c r="O167" s="1124">
        <f t="shared" si="65"/>
        <v>0</v>
      </c>
      <c r="P167" s="1125">
        <f>SUM(D167:O167)</f>
        <v>0</v>
      </c>
      <c r="Q167" s="270" t="s">
        <v>359</v>
      </c>
    </row>
    <row r="168" spans="2:17" ht="12.9" thickBot="1"/>
    <row r="169" spans="2:17" ht="12.9" thickBot="1">
      <c r="B169" s="280" t="s">
        <v>405</v>
      </c>
      <c r="C169" s="372" t="s">
        <v>260</v>
      </c>
      <c r="D169" s="281" t="s">
        <v>359</v>
      </c>
      <c r="E169" s="325"/>
      <c r="F169" s="325"/>
      <c r="G169" s="325"/>
      <c r="H169" s="325"/>
      <c r="I169" s="325"/>
      <c r="J169" s="325"/>
      <c r="K169" s="325"/>
      <c r="L169" s="325"/>
      <c r="M169" s="325"/>
      <c r="N169" s="325"/>
      <c r="O169" s="325"/>
      <c r="P169" s="325"/>
      <c r="Q169" s="328"/>
    </row>
    <row r="170" spans="2:17">
      <c r="B170" s="294" t="s">
        <v>371</v>
      </c>
      <c r="C170" s="340"/>
      <c r="D170" s="340"/>
      <c r="E170" s="340"/>
      <c r="F170" s="340"/>
      <c r="G170" s="340"/>
      <c r="H170" s="340"/>
      <c r="I170" s="340"/>
      <c r="J170" s="340"/>
      <c r="K170" s="340"/>
      <c r="L170" s="340"/>
      <c r="M170" s="340"/>
      <c r="N170" s="340"/>
      <c r="O170" s="331"/>
      <c r="P170" s="330"/>
      <c r="Q170" s="331"/>
    </row>
    <row r="171" spans="2:17">
      <c r="B171" s="284" t="s">
        <v>373</v>
      </c>
      <c r="D171" s="303">
        <f>IF(EBF&gt;0,(Thetai-D$70)*D$69*$D$22*U_DAFbeheizt*0.0864/EBF,0)</f>
        <v>0</v>
      </c>
      <c r="E171" s="303">
        <f t="shared" ref="E171:O171" si="66">IF(EBF&gt;0,(Thetai-E$70)*E$69*$D$22*U_DAFbeheizt*0.0864/EBF,0)</f>
        <v>0</v>
      </c>
      <c r="F171" s="303">
        <f t="shared" si="66"/>
        <v>0</v>
      </c>
      <c r="G171" s="303">
        <f t="shared" si="66"/>
        <v>0</v>
      </c>
      <c r="H171" s="303">
        <f t="shared" si="66"/>
        <v>0</v>
      </c>
      <c r="I171" s="303">
        <f t="shared" si="66"/>
        <v>0</v>
      </c>
      <c r="J171" s="303">
        <f t="shared" si="66"/>
        <v>0</v>
      </c>
      <c r="K171" s="303">
        <f t="shared" si="66"/>
        <v>0</v>
      </c>
      <c r="L171" s="303">
        <f t="shared" si="66"/>
        <v>0</v>
      </c>
      <c r="M171" s="303">
        <f t="shared" si="66"/>
        <v>0</v>
      </c>
      <c r="N171" s="303">
        <f t="shared" si="66"/>
        <v>0</v>
      </c>
      <c r="O171" s="303">
        <f t="shared" si="66"/>
        <v>0</v>
      </c>
      <c r="P171" s="341">
        <f t="shared" ref="P171:P176" si="67">SUM(D171:O171)</f>
        <v>0</v>
      </c>
      <c r="Q171" s="304" t="s">
        <v>359</v>
      </c>
    </row>
    <row r="172" spans="2:17">
      <c r="B172" s="284" t="s">
        <v>375</v>
      </c>
      <c r="D172" s="303">
        <v>0</v>
      </c>
      <c r="E172" s="303">
        <v>0</v>
      </c>
      <c r="F172" s="303">
        <v>0</v>
      </c>
      <c r="G172" s="303">
        <v>0</v>
      </c>
      <c r="H172" s="303">
        <v>0</v>
      </c>
      <c r="I172" s="303">
        <v>0</v>
      </c>
      <c r="J172" s="303">
        <v>0</v>
      </c>
      <c r="K172" s="303">
        <v>0</v>
      </c>
      <c r="L172" s="303">
        <v>0</v>
      </c>
      <c r="M172" s="303">
        <v>0</v>
      </c>
      <c r="N172" s="303">
        <v>0</v>
      </c>
      <c r="O172" s="303">
        <v>0</v>
      </c>
      <c r="P172" s="341">
        <f t="shared" si="67"/>
        <v>0</v>
      </c>
      <c r="Q172" s="304" t="s">
        <v>359</v>
      </c>
    </row>
    <row r="173" spans="2:17">
      <c r="B173" s="284" t="s">
        <v>377</v>
      </c>
      <c r="D173" s="362">
        <f t="shared" ref="D173:O173" si="68">IF(EBF&gt;0,(Thetai-D$70)*D$69*E4beheizt*$G$15*0.0864/EBF,0)</f>
        <v>61.092728470588249</v>
      </c>
      <c r="E173" s="303">
        <f t="shared" si="68"/>
        <v>54.548690823529412</v>
      </c>
      <c r="F173" s="303">
        <f t="shared" si="68"/>
        <v>54.330556235294139</v>
      </c>
      <c r="G173" s="303">
        <f t="shared" si="68"/>
        <v>47.162202352941186</v>
      </c>
      <c r="H173" s="303">
        <f t="shared" si="68"/>
        <v>36.84217976470589</v>
      </c>
      <c r="I173" s="303">
        <f t="shared" si="68"/>
        <v>29.786654117647068</v>
      </c>
      <c r="J173" s="303">
        <f t="shared" si="68"/>
        <v>25.183262117647061</v>
      </c>
      <c r="K173" s="303">
        <f t="shared" si="68"/>
        <v>24.716905411764706</v>
      </c>
      <c r="L173" s="303">
        <f t="shared" si="68"/>
        <v>32.720188235294124</v>
      </c>
      <c r="M173" s="303">
        <f t="shared" si="68"/>
        <v>41.27256847058824</v>
      </c>
      <c r="N173" s="303">
        <f t="shared" si="68"/>
        <v>51.900988235294129</v>
      </c>
      <c r="O173" s="303">
        <f t="shared" si="68"/>
        <v>58.294588235294121</v>
      </c>
      <c r="P173" s="341">
        <f t="shared" si="67"/>
        <v>517.85151247058832</v>
      </c>
      <c r="Q173" s="304" t="s">
        <v>359</v>
      </c>
    </row>
    <row r="174" spans="2:17">
      <c r="B174" s="284" t="s">
        <v>406</v>
      </c>
      <c r="D174" s="303">
        <f t="shared" ref="D174:M174" si="69">IF(EBF&gt;0,(Thetai+deltaThetahmax-D$70)*D$69*BodenErdeF*U_Boden*bGF*0.0864/EBF,0)</f>
        <v>0</v>
      </c>
      <c r="E174" s="303">
        <f t="shared" si="69"/>
        <v>0</v>
      </c>
      <c r="F174" s="303">
        <f t="shared" si="69"/>
        <v>0</v>
      </c>
      <c r="G174" s="303">
        <f t="shared" si="69"/>
        <v>0</v>
      </c>
      <c r="H174" s="303">
        <f t="shared" si="69"/>
        <v>0</v>
      </c>
      <c r="I174" s="303">
        <f t="shared" si="69"/>
        <v>0</v>
      </c>
      <c r="J174" s="303">
        <f t="shared" si="69"/>
        <v>0</v>
      </c>
      <c r="K174" s="303">
        <f t="shared" si="69"/>
        <v>0</v>
      </c>
      <c r="L174" s="303">
        <f t="shared" si="69"/>
        <v>0</v>
      </c>
      <c r="M174" s="303">
        <f t="shared" si="69"/>
        <v>0</v>
      </c>
      <c r="N174" s="303">
        <f>IF(EBF&gt;0,(Thetai+deltaThetahmax-N$70)*N$69*BodenErdeF*U_Boden*bGF*0.0864/EBF,0)</f>
        <v>0</v>
      </c>
      <c r="O174" s="303">
        <f>IF(EBF&gt;0,(Thetai+deltaThetahmax-O$70)*O$69*BodenErdeF*U_Boden*bGF*0.0864/EBF,0)</f>
        <v>0</v>
      </c>
      <c r="P174" s="341">
        <f t="shared" si="67"/>
        <v>0</v>
      </c>
      <c r="Q174" s="304" t="s">
        <v>359</v>
      </c>
    </row>
    <row r="175" spans="2:17">
      <c r="B175" s="285" t="s">
        <v>407</v>
      </c>
      <c r="D175" s="303">
        <f t="shared" ref="D175:O175" si="70">(IF(EBF&gt;0,(Thetai+deltaThetahmax-D$70)*D$69*BodenErdeF*U_gedaemmteDecken*0.0864/EBF,0))*0</f>
        <v>0</v>
      </c>
      <c r="E175" s="303">
        <f t="shared" si="70"/>
        <v>0</v>
      </c>
      <c r="F175" s="303">
        <f t="shared" si="70"/>
        <v>0</v>
      </c>
      <c r="G175" s="303">
        <f t="shared" si="70"/>
        <v>0</v>
      </c>
      <c r="H175" s="303">
        <f t="shared" si="70"/>
        <v>0</v>
      </c>
      <c r="I175" s="303">
        <f t="shared" si="70"/>
        <v>0</v>
      </c>
      <c r="J175" s="303">
        <f t="shared" si="70"/>
        <v>0</v>
      </c>
      <c r="K175" s="303">
        <f t="shared" si="70"/>
        <v>0</v>
      </c>
      <c r="L175" s="303">
        <f t="shared" si="70"/>
        <v>0</v>
      </c>
      <c r="M175" s="303">
        <f t="shared" si="70"/>
        <v>0</v>
      </c>
      <c r="N175" s="303">
        <f t="shared" si="70"/>
        <v>0</v>
      </c>
      <c r="O175" s="303">
        <f t="shared" si="70"/>
        <v>0</v>
      </c>
      <c r="P175" s="341">
        <f t="shared" si="67"/>
        <v>0</v>
      </c>
      <c r="Q175" s="304" t="s">
        <v>359</v>
      </c>
    </row>
    <row r="176" spans="2:17">
      <c r="B176" s="284" t="s">
        <v>391</v>
      </c>
      <c r="D176" s="362">
        <f>IF(EBF&gt;0,(Thetai-D$70)*D$69*$D$16*$G$16*0.0864/EBF,0)</f>
        <v>24.767322352941175</v>
      </c>
      <c r="E176" s="303">
        <f t="shared" ref="E176:O176" si="71">IF(EBF&gt;0,(Thetai-E$70)*E$69*$D$16*$G$16*0.0864/EBF,0)</f>
        <v>22.114334117647058</v>
      </c>
      <c r="F176" s="303">
        <f t="shared" si="71"/>
        <v>22.02590117647059</v>
      </c>
      <c r="G176" s="303">
        <f t="shared" si="71"/>
        <v>19.119811764705883</v>
      </c>
      <c r="H176" s="303">
        <f t="shared" si="71"/>
        <v>14.936018823529412</v>
      </c>
      <c r="I176" s="303">
        <f t="shared" si="71"/>
        <v>12.075670588235294</v>
      </c>
      <c r="J176" s="303">
        <f t="shared" si="71"/>
        <v>10.209430588235296</v>
      </c>
      <c r="K176" s="303">
        <f t="shared" si="71"/>
        <v>10.020367058823529</v>
      </c>
      <c r="L176" s="303">
        <f t="shared" si="71"/>
        <v>13.264941176470591</v>
      </c>
      <c r="M176" s="303">
        <f t="shared" si="71"/>
        <v>16.732122352941175</v>
      </c>
      <c r="N176" s="303">
        <f t="shared" si="71"/>
        <v>21.040941176470589</v>
      </c>
      <c r="O176" s="303">
        <f t="shared" si="71"/>
        <v>23.632941176470588</v>
      </c>
      <c r="P176" s="341">
        <f t="shared" si="67"/>
        <v>209.93980235294117</v>
      </c>
      <c r="Q176" s="304" t="s">
        <v>359</v>
      </c>
    </row>
    <row r="177" spans="2:17">
      <c r="B177" s="286" t="s">
        <v>408</v>
      </c>
      <c r="D177" s="303">
        <f>1*D$69*(Thetai-D$70)*BodenUnb*E125*$D$56*0.0864/EBF</f>
        <v>0</v>
      </c>
      <c r="E177" s="303">
        <f t="shared" ref="E177:O177" si="72">1*E$69*(Thetai-E$70)*BodenUnb*U_Boden*$D$56*0.0864/EBF</f>
        <v>0</v>
      </c>
      <c r="F177" s="303">
        <f t="shared" si="72"/>
        <v>0</v>
      </c>
      <c r="G177" s="303">
        <f t="shared" si="72"/>
        <v>0</v>
      </c>
      <c r="H177" s="303">
        <f t="shared" si="72"/>
        <v>0</v>
      </c>
      <c r="I177" s="303">
        <f t="shared" si="72"/>
        <v>0</v>
      </c>
      <c r="J177" s="303">
        <f t="shared" si="72"/>
        <v>0</v>
      </c>
      <c r="K177" s="303">
        <f t="shared" si="72"/>
        <v>0</v>
      </c>
      <c r="L177" s="303">
        <f t="shared" si="72"/>
        <v>0</v>
      </c>
      <c r="M177" s="303">
        <f t="shared" si="72"/>
        <v>0</v>
      </c>
      <c r="N177" s="303">
        <f t="shared" si="72"/>
        <v>0</v>
      </c>
      <c r="O177" s="303">
        <f t="shared" si="72"/>
        <v>0</v>
      </c>
      <c r="P177" s="341">
        <f>SUM(D177:O177)</f>
        <v>0</v>
      </c>
      <c r="Q177" s="304" t="s">
        <v>359</v>
      </c>
    </row>
    <row r="178" spans="2:17">
      <c r="B178" s="295" t="s">
        <v>316</v>
      </c>
      <c r="D178" s="303">
        <f>SUM(D171:D177)*(1+WBZuschlag)</f>
        <v>94.446055905882375</v>
      </c>
      <c r="E178" s="303">
        <f t="shared" ref="E178:O178" si="73">SUM(E171:E177)*(1+WBZuschlag)</f>
        <v>84.329327435294132</v>
      </c>
      <c r="F178" s="303">
        <f t="shared" si="73"/>
        <v>83.992103152941198</v>
      </c>
      <c r="G178" s="303">
        <f t="shared" si="73"/>
        <v>72.910215529411772</v>
      </c>
      <c r="H178" s="303">
        <f t="shared" si="73"/>
        <v>56.956018447058831</v>
      </c>
      <c r="I178" s="303">
        <f t="shared" si="73"/>
        <v>46.048557176470595</v>
      </c>
      <c r="J178" s="303">
        <f t="shared" si="73"/>
        <v>38.931961976470589</v>
      </c>
      <c r="K178" s="303">
        <f t="shared" si="73"/>
        <v>38.210999717647063</v>
      </c>
      <c r="L178" s="303">
        <f t="shared" si="73"/>
        <v>50.58364235294119</v>
      </c>
      <c r="M178" s="303">
        <f t="shared" si="73"/>
        <v>63.805159905882363</v>
      </c>
      <c r="N178" s="303">
        <f t="shared" si="73"/>
        <v>80.236122352941194</v>
      </c>
      <c r="O178" s="303">
        <f t="shared" si="73"/>
        <v>90.120282352941189</v>
      </c>
      <c r="P178" s="296">
        <f>SUM(D178:O178)</f>
        <v>800.57044630588257</v>
      </c>
      <c r="Q178" s="304" t="s">
        <v>359</v>
      </c>
    </row>
    <row r="179" spans="2:17">
      <c r="B179" s="288" t="s">
        <v>393</v>
      </c>
      <c r="C179" s="297"/>
      <c r="D179" s="298"/>
      <c r="E179" s="298"/>
      <c r="F179" s="298"/>
      <c r="G179" s="298"/>
      <c r="H179" s="298"/>
      <c r="I179" s="298"/>
      <c r="J179" s="298"/>
      <c r="K179" s="298"/>
      <c r="L179" s="298"/>
      <c r="M179" s="298"/>
      <c r="N179" s="298"/>
      <c r="O179" s="299"/>
      <c r="P179" s="300"/>
      <c r="Q179" s="301"/>
    </row>
    <row r="180" spans="2:17">
      <c r="B180" s="302" t="s">
        <v>320</v>
      </c>
      <c r="C180" s="297"/>
      <c r="D180" s="362">
        <f>IF(D178=0,0,(Thetai-D$70)*$G$26*D$69*(1220-0.14*HueM)*0.000024)</f>
        <v>13.054778032970651</v>
      </c>
      <c r="E180" s="303">
        <f t="shared" ref="E180:O180" si="74">IF(E178=0,0,(Thetai-E$70)*$G$26*E$69*(1220-0.14*HueM)*0.000024)</f>
        <v>11.656396244164386</v>
      </c>
      <c r="F180" s="303">
        <f t="shared" si="74"/>
        <v>11.609783517870843</v>
      </c>
      <c r="G180" s="303">
        <f t="shared" si="74"/>
        <v>10.077992891741685</v>
      </c>
      <c r="H180" s="303">
        <f t="shared" si="74"/>
        <v>7.8727287374403154</v>
      </c>
      <c r="I180" s="303">
        <f t="shared" si="74"/>
        <v>6.3650481421526424</v>
      </c>
      <c r="J180" s="303">
        <f t="shared" si="74"/>
        <v>5.3813588838199617</v>
      </c>
      <c r="K180" s="303">
        <f t="shared" si="74"/>
        <v>5.2817040896751477</v>
      </c>
      <c r="L180" s="303">
        <f t="shared" si="74"/>
        <v>6.9919089440313122</v>
      </c>
      <c r="M180" s="303">
        <f t="shared" si="74"/>
        <v>8.8194492818160484</v>
      </c>
      <c r="N180" s="303">
        <f t="shared" si="74"/>
        <v>11.090614187084151</v>
      </c>
      <c r="O180" s="303">
        <f t="shared" si="74"/>
        <v>12.456849268101765</v>
      </c>
      <c r="P180" s="296">
        <f>SUM(D180:O180)</f>
        <v>110.6586122208689</v>
      </c>
      <c r="Q180" s="304" t="s">
        <v>359</v>
      </c>
    </row>
    <row r="181" spans="2:17">
      <c r="B181" s="288" t="s">
        <v>394</v>
      </c>
      <c r="D181" s="316"/>
      <c r="E181" s="316"/>
      <c r="F181" s="316"/>
      <c r="G181" s="316"/>
      <c r="H181" s="316"/>
      <c r="I181" s="316"/>
      <c r="J181" s="316"/>
      <c r="K181" s="316"/>
      <c r="L181" s="316"/>
      <c r="M181" s="316"/>
      <c r="N181" s="316"/>
      <c r="O181" s="329"/>
      <c r="P181" s="341"/>
      <c r="Q181" s="304"/>
    </row>
    <row r="182" spans="2:17">
      <c r="B182" s="284" t="s">
        <v>395</v>
      </c>
      <c r="D182" s="303">
        <f t="shared" ref="D182:O182" si="75">D180+D178</f>
        <v>107.50083393885302</v>
      </c>
      <c r="E182" s="303">
        <f t="shared" si="75"/>
        <v>95.985723679458516</v>
      </c>
      <c r="F182" s="303">
        <f t="shared" si="75"/>
        <v>95.601886670812036</v>
      </c>
      <c r="G182" s="303">
        <f t="shared" si="75"/>
        <v>82.988208421153459</v>
      </c>
      <c r="H182" s="303">
        <f t="shared" si="75"/>
        <v>64.82874718449915</v>
      </c>
      <c r="I182" s="303">
        <f t="shared" si="75"/>
        <v>52.41360531862324</v>
      </c>
      <c r="J182" s="303">
        <f t="shared" si="75"/>
        <v>44.313320860290553</v>
      </c>
      <c r="K182" s="303">
        <f t="shared" si="75"/>
        <v>43.492703807322208</v>
      </c>
      <c r="L182" s="303">
        <f t="shared" si="75"/>
        <v>57.575551296972506</v>
      </c>
      <c r="M182" s="303">
        <f t="shared" si="75"/>
        <v>72.624609187698411</v>
      </c>
      <c r="N182" s="303">
        <f t="shared" si="75"/>
        <v>91.326736540025351</v>
      </c>
      <c r="O182" s="303">
        <f t="shared" si="75"/>
        <v>102.57713162104295</v>
      </c>
      <c r="P182" s="341">
        <f>SUM(D182:O182)</f>
        <v>911.22905852675126</v>
      </c>
      <c r="Q182" s="304" t="s">
        <v>359</v>
      </c>
    </row>
    <row r="183" spans="2:17">
      <c r="B183" s="288" t="s">
        <v>396</v>
      </c>
      <c r="D183" s="316"/>
      <c r="E183" s="316" t="s">
        <v>193</v>
      </c>
      <c r="F183" s="316"/>
      <c r="G183" s="316"/>
      <c r="H183" s="316"/>
      <c r="I183" s="316"/>
      <c r="J183" s="316"/>
      <c r="K183" s="316"/>
      <c r="L183" s="316"/>
      <c r="M183" s="316"/>
      <c r="N183" s="316"/>
      <c r="O183" s="329"/>
      <c r="P183" s="341"/>
      <c r="Q183" s="304"/>
    </row>
    <row r="184" spans="2:17">
      <c r="B184" s="284" t="s">
        <v>397</v>
      </c>
      <c r="D184" s="362">
        <f>$G$41*fE*D$69/365</f>
        <v>8.2626253424657534</v>
      </c>
      <c r="E184" s="303">
        <f t="shared" ref="E184:O184" si="76">$G$41*fE*E$69/365</f>
        <v>7.4630164383561652</v>
      </c>
      <c r="F184" s="303">
        <f t="shared" si="76"/>
        <v>8.2626253424657534</v>
      </c>
      <c r="G184" s="303">
        <f t="shared" si="76"/>
        <v>7.9960890410958907</v>
      </c>
      <c r="H184" s="303">
        <f t="shared" si="76"/>
        <v>8.2626253424657534</v>
      </c>
      <c r="I184" s="303">
        <f t="shared" si="76"/>
        <v>7.9960890410958907</v>
      </c>
      <c r="J184" s="303">
        <f t="shared" si="76"/>
        <v>8.2626253424657534</v>
      </c>
      <c r="K184" s="303">
        <f t="shared" si="76"/>
        <v>8.2626253424657534</v>
      </c>
      <c r="L184" s="303">
        <f t="shared" si="76"/>
        <v>7.9960890410958907</v>
      </c>
      <c r="M184" s="303">
        <f t="shared" si="76"/>
        <v>8.2626253424657534</v>
      </c>
      <c r="N184" s="303">
        <f t="shared" si="76"/>
        <v>7.9960890410958907</v>
      </c>
      <c r="O184" s="303">
        <f t="shared" si="76"/>
        <v>8.2626253424657534</v>
      </c>
      <c r="P184" s="341">
        <f>SUM(D184:O184)</f>
        <v>97.285749999999993</v>
      </c>
      <c r="Q184" s="304" t="s">
        <v>359</v>
      </c>
    </row>
    <row r="185" spans="2:17">
      <c r="B185" s="284" t="s">
        <v>399</v>
      </c>
      <c r="D185" s="303">
        <f>$D$40*D$69/365</f>
        <v>2.9998080000000007</v>
      </c>
      <c r="E185" s="303">
        <f t="shared" ref="E185:O185" si="77">$D$40*E$69/365</f>
        <v>2.7095040000000008</v>
      </c>
      <c r="F185" s="303">
        <f t="shared" si="77"/>
        <v>2.9998080000000007</v>
      </c>
      <c r="G185" s="303">
        <f t="shared" si="77"/>
        <v>2.9030400000000007</v>
      </c>
      <c r="H185" s="303">
        <f t="shared" si="77"/>
        <v>2.9998080000000007</v>
      </c>
      <c r="I185" s="303">
        <f t="shared" si="77"/>
        <v>2.9030400000000007</v>
      </c>
      <c r="J185" s="303">
        <f t="shared" si="77"/>
        <v>2.9998080000000007</v>
      </c>
      <c r="K185" s="303">
        <f t="shared" si="77"/>
        <v>2.9998080000000007</v>
      </c>
      <c r="L185" s="303">
        <f t="shared" si="77"/>
        <v>2.9030400000000007</v>
      </c>
      <c r="M185" s="303">
        <f t="shared" si="77"/>
        <v>2.9998080000000007</v>
      </c>
      <c r="N185" s="303">
        <f t="shared" si="77"/>
        <v>2.9030400000000007</v>
      </c>
      <c r="O185" s="303">
        <f t="shared" si="77"/>
        <v>2.9998080000000007</v>
      </c>
      <c r="P185" s="341">
        <f>SUM(D185:O185)</f>
        <v>35.320320000000009</v>
      </c>
      <c r="Q185" s="304" t="s">
        <v>359</v>
      </c>
    </row>
    <row r="186" spans="2:17">
      <c r="B186" s="284" t="s">
        <v>400</v>
      </c>
      <c r="D186" s="303">
        <f t="shared" ref="D186:O186" si="78">D185+D184</f>
        <v>11.262433342465755</v>
      </c>
      <c r="E186" s="303">
        <f t="shared" si="78"/>
        <v>10.172520438356166</v>
      </c>
      <c r="F186" s="303">
        <f t="shared" si="78"/>
        <v>11.262433342465755</v>
      </c>
      <c r="G186" s="303">
        <f t="shared" si="78"/>
        <v>10.899129041095891</v>
      </c>
      <c r="H186" s="303">
        <f t="shared" si="78"/>
        <v>11.262433342465755</v>
      </c>
      <c r="I186" s="303">
        <f t="shared" si="78"/>
        <v>10.899129041095891</v>
      </c>
      <c r="J186" s="303">
        <f t="shared" si="78"/>
        <v>11.262433342465755</v>
      </c>
      <c r="K186" s="303">
        <f t="shared" si="78"/>
        <v>11.262433342465755</v>
      </c>
      <c r="L186" s="303">
        <f t="shared" si="78"/>
        <v>10.899129041095891</v>
      </c>
      <c r="M186" s="303">
        <f t="shared" si="78"/>
        <v>11.262433342465755</v>
      </c>
      <c r="N186" s="303">
        <f t="shared" si="78"/>
        <v>10.899129041095891</v>
      </c>
      <c r="O186" s="303">
        <f t="shared" si="78"/>
        <v>11.262433342465755</v>
      </c>
      <c r="P186" s="341">
        <f>SUM(D186:O186)</f>
        <v>132.60607000000002</v>
      </c>
      <c r="Q186" s="304" t="s">
        <v>359</v>
      </c>
    </row>
    <row r="187" spans="2:17">
      <c r="B187" s="288" t="s">
        <v>401</v>
      </c>
      <c r="D187" s="362">
        <f t="shared" ref="D187:O187" si="79">IF(EBF&gt;0,($D$19*D$73*$F$19+$D$18*D$72*$F$18+$D$20*D$74*$F$20+$D$17*D$75*$F$17+$D$21*D$71*$F$21)*0.9*$G$30*FF/EBF,0)</f>
        <v>4.2564705882352953</v>
      </c>
      <c r="E187" s="303">
        <f t="shared" si="79"/>
        <v>5.3682352941176479</v>
      </c>
      <c r="F187" s="303">
        <f t="shared" si="79"/>
        <v>8.1635294117647064</v>
      </c>
      <c r="G187" s="303">
        <f t="shared" si="79"/>
        <v>5.7494117647058829</v>
      </c>
      <c r="H187" s="303">
        <f t="shared" si="79"/>
        <v>6.2894117647058838</v>
      </c>
      <c r="I187" s="303">
        <f t="shared" si="79"/>
        <v>5.94</v>
      </c>
      <c r="J187" s="303">
        <f t="shared" si="79"/>
        <v>6.2894117647058838</v>
      </c>
      <c r="K187" s="303">
        <f t="shared" si="79"/>
        <v>5.94</v>
      </c>
      <c r="L187" s="303">
        <f t="shared" si="79"/>
        <v>4.9552941176470595</v>
      </c>
      <c r="M187" s="303">
        <f t="shared" si="79"/>
        <v>6.0352941176470596</v>
      </c>
      <c r="N187" s="303">
        <f t="shared" si="79"/>
        <v>3.8752941176470594</v>
      </c>
      <c r="O187" s="303">
        <f t="shared" si="79"/>
        <v>3.303529411764706</v>
      </c>
      <c r="P187" s="341">
        <f>SUM(D187:O187)</f>
        <v>66.165882352941168</v>
      </c>
      <c r="Q187" s="304" t="s">
        <v>359</v>
      </c>
    </row>
    <row r="188" spans="2:17">
      <c r="B188" s="284" t="s">
        <v>402</v>
      </c>
      <c r="D188" s="303">
        <f>D187+D186</f>
        <v>15.51890393070105</v>
      </c>
      <c r="E188" s="303">
        <f t="shared" ref="E188:O188" si="80">E187+E186</f>
        <v>15.540755732473814</v>
      </c>
      <c r="F188" s="303">
        <f t="shared" si="80"/>
        <v>19.425962754230461</v>
      </c>
      <c r="G188" s="303">
        <f t="shared" si="80"/>
        <v>16.648540805801773</v>
      </c>
      <c r="H188" s="303">
        <f t="shared" si="80"/>
        <v>17.551845107171637</v>
      </c>
      <c r="I188" s="303">
        <f t="shared" si="80"/>
        <v>16.839129041095891</v>
      </c>
      <c r="J188" s="303">
        <f t="shared" si="80"/>
        <v>17.551845107171637</v>
      </c>
      <c r="K188" s="303">
        <f t="shared" si="80"/>
        <v>17.202433342465756</v>
      </c>
      <c r="L188" s="303">
        <f t="shared" si="80"/>
        <v>15.85442315874295</v>
      </c>
      <c r="M188" s="303">
        <f t="shared" si="80"/>
        <v>17.297727460112814</v>
      </c>
      <c r="N188" s="303">
        <f t="shared" si="80"/>
        <v>14.774423158742952</v>
      </c>
      <c r="O188" s="303">
        <f t="shared" si="80"/>
        <v>14.565962754230462</v>
      </c>
      <c r="P188" s="341">
        <f>SUM(D188:O188)</f>
        <v>198.77195235294121</v>
      </c>
      <c r="Q188" s="304" t="s">
        <v>359</v>
      </c>
    </row>
    <row r="189" spans="2:17">
      <c r="B189" s="284" t="s">
        <v>411</v>
      </c>
      <c r="D189" s="303">
        <f t="shared" ref="D189:O189" si="81">IF(D182&gt;0,D188/D182,0)</f>
        <v>0.1443607771408385</v>
      </c>
      <c r="E189" s="303">
        <f t="shared" si="81"/>
        <v>0.16190694966651195</v>
      </c>
      <c r="F189" s="303">
        <f t="shared" si="81"/>
        <v>0.20319643712806926</v>
      </c>
      <c r="G189" s="303">
        <f t="shared" si="81"/>
        <v>0.20061332956259009</v>
      </c>
      <c r="H189" s="303">
        <f t="shared" si="81"/>
        <v>0.27074169823488992</v>
      </c>
      <c r="I189" s="303">
        <f t="shared" si="81"/>
        <v>0.32127400774532727</v>
      </c>
      <c r="J189" s="303">
        <f t="shared" si="81"/>
        <v>0.39608507704733897</v>
      </c>
      <c r="K189" s="303">
        <f t="shared" si="81"/>
        <v>0.39552457852872425</v>
      </c>
      <c r="L189" s="303">
        <f t="shared" si="81"/>
        <v>0.2753672835361391</v>
      </c>
      <c r="M189" s="303">
        <f t="shared" si="81"/>
        <v>0.23817997306404515</v>
      </c>
      <c r="N189" s="303">
        <f t="shared" si="81"/>
        <v>0.16177544187476614</v>
      </c>
      <c r="O189" s="303">
        <f t="shared" si="81"/>
        <v>0.14200009811194955</v>
      </c>
      <c r="P189" s="341" t="s">
        <v>56</v>
      </c>
      <c r="Q189" s="304"/>
    </row>
    <row r="190" spans="2:17">
      <c r="B190" s="288" t="s">
        <v>412</v>
      </c>
      <c r="D190" s="303">
        <f t="shared" ref="D190:O190" si="82">IF(D182&gt;0,CEBF*EBF*1000000/(($D$22*U_DAFbeheizt+$D$14*U_E3*bGW+E4beheizt*U_E4+BodenErdeF*U_Boden*bGF+$D$16*U_E5)*3600 + Vth*EBF*(1220-0.14*HueM)),0)</f>
        <v>229.90023167117181</v>
      </c>
      <c r="E190" s="303">
        <f t="shared" si="82"/>
        <v>229.90023167117181</v>
      </c>
      <c r="F190" s="303">
        <f t="shared" si="82"/>
        <v>229.90023167117181</v>
      </c>
      <c r="G190" s="303">
        <f t="shared" si="82"/>
        <v>229.90023167117181</v>
      </c>
      <c r="H190" s="303">
        <f t="shared" si="82"/>
        <v>229.90023167117181</v>
      </c>
      <c r="I190" s="303">
        <f t="shared" si="82"/>
        <v>229.90023167117181</v>
      </c>
      <c r="J190" s="303">
        <f t="shared" si="82"/>
        <v>229.90023167117181</v>
      </c>
      <c r="K190" s="303">
        <f t="shared" si="82"/>
        <v>229.90023167117181</v>
      </c>
      <c r="L190" s="303">
        <f t="shared" si="82"/>
        <v>229.90023167117181</v>
      </c>
      <c r="M190" s="303">
        <f t="shared" si="82"/>
        <v>229.90023167117181</v>
      </c>
      <c r="N190" s="303">
        <f t="shared" si="82"/>
        <v>229.90023167117181</v>
      </c>
      <c r="O190" s="303">
        <f t="shared" si="82"/>
        <v>229.90023167117181</v>
      </c>
      <c r="P190" s="341"/>
      <c r="Q190" s="304"/>
    </row>
    <row r="191" spans="2:17">
      <c r="B191" s="284" t="s">
        <v>403</v>
      </c>
      <c r="D191" s="303">
        <f>a0+D190/tau0</f>
        <v>16.326682111411454</v>
      </c>
      <c r="E191" s="303">
        <f>a0+E190/tau0</f>
        <v>16.326682111411454</v>
      </c>
      <c r="F191" s="303">
        <f>a0+F190/tau0</f>
        <v>16.326682111411454</v>
      </c>
      <c r="G191" s="303">
        <f>a0+G190/tau0</f>
        <v>16.326682111411454</v>
      </c>
      <c r="H191" s="303">
        <f t="shared" ref="H191:O191" si="83">a0+H190/tau0</f>
        <v>16.326682111411454</v>
      </c>
      <c r="I191" s="303">
        <f t="shared" si="83"/>
        <v>16.326682111411454</v>
      </c>
      <c r="J191" s="303">
        <f t="shared" si="83"/>
        <v>16.326682111411454</v>
      </c>
      <c r="K191" s="303">
        <f t="shared" si="83"/>
        <v>16.326682111411454</v>
      </c>
      <c r="L191" s="303">
        <f t="shared" si="83"/>
        <v>16.326682111411454</v>
      </c>
      <c r="M191" s="303">
        <f t="shared" si="83"/>
        <v>16.326682111411454</v>
      </c>
      <c r="N191" s="303">
        <f t="shared" si="83"/>
        <v>16.326682111411454</v>
      </c>
      <c r="O191" s="303">
        <f t="shared" si="83"/>
        <v>16.326682111411454</v>
      </c>
      <c r="P191" s="341"/>
      <c r="Q191" s="304"/>
    </row>
    <row r="192" spans="2:17">
      <c r="B192" s="284" t="s">
        <v>413</v>
      </c>
      <c r="D192" s="317">
        <f t="shared" ref="D192:O192" si="84">IF(D189=1,D191/(D191+1),IF(D182&lt;=0,0,(1-D189^D191)/(1-D189^(D191+1))))</f>
        <v>0.9999999999999839</v>
      </c>
      <c r="E192" s="317">
        <f t="shared" si="84"/>
        <v>0.99999999999989686</v>
      </c>
      <c r="F192" s="317">
        <f t="shared" si="84"/>
        <v>0.99999999999600131</v>
      </c>
      <c r="G192" s="317">
        <f t="shared" si="84"/>
        <v>0.9999999999967446</v>
      </c>
      <c r="H192" s="317">
        <f t="shared" si="84"/>
        <v>0.99999999960336627</v>
      </c>
      <c r="I192" s="317">
        <f t="shared" si="84"/>
        <v>0.99999999396594852</v>
      </c>
      <c r="J192" s="317">
        <f t="shared" si="84"/>
        <v>0.99999983624439182</v>
      </c>
      <c r="K192" s="317">
        <f t="shared" si="84"/>
        <v>0.99999983983851182</v>
      </c>
      <c r="L192" s="317">
        <f t="shared" si="84"/>
        <v>0.99999999948030949</v>
      </c>
      <c r="M192" s="317">
        <f t="shared" si="84"/>
        <v>0.99999999994885747</v>
      </c>
      <c r="N192" s="317">
        <f t="shared" si="84"/>
        <v>0.9999999999998983</v>
      </c>
      <c r="O192" s="317">
        <f t="shared" si="84"/>
        <v>0.99999999999998757</v>
      </c>
      <c r="P192" s="344">
        <f>IF(P188&gt;0,P193/P188,0)</f>
        <v>0.99999997108641514</v>
      </c>
      <c r="Q192" s="304"/>
    </row>
    <row r="193" spans="2:17">
      <c r="B193" s="302" t="s">
        <v>323</v>
      </c>
      <c r="D193" s="303">
        <f t="shared" ref="D193:O193" si="85">D188*D192</f>
        <v>15.5189039307008</v>
      </c>
      <c r="E193" s="303">
        <f t="shared" si="85"/>
        <v>15.540755732472212</v>
      </c>
      <c r="F193" s="303">
        <f t="shared" si="85"/>
        <v>19.425962754152781</v>
      </c>
      <c r="G193" s="303">
        <f t="shared" si="85"/>
        <v>16.648540805747576</v>
      </c>
      <c r="H193" s="303">
        <f t="shared" si="85"/>
        <v>17.551845100209984</v>
      </c>
      <c r="I193" s="303">
        <f t="shared" si="85"/>
        <v>16.839128939487718</v>
      </c>
      <c r="J193" s="303">
        <f t="shared" si="85"/>
        <v>17.551842232958567</v>
      </c>
      <c r="K193" s="303">
        <f t="shared" si="85"/>
        <v>17.202430587298434</v>
      </c>
      <c r="L193" s="303">
        <f t="shared" si="85"/>
        <v>15.854423150503557</v>
      </c>
      <c r="M193" s="303">
        <f t="shared" si="85"/>
        <v>17.297727459228163</v>
      </c>
      <c r="N193" s="303">
        <f t="shared" si="85"/>
        <v>14.774423158741449</v>
      </c>
      <c r="O193" s="303">
        <f t="shared" si="85"/>
        <v>14.565962754230281</v>
      </c>
      <c r="P193" s="296">
        <f>SUM(D193:O193)</f>
        <v>198.7719466057315</v>
      </c>
      <c r="Q193" s="304" t="s">
        <v>359</v>
      </c>
    </row>
    <row r="194" spans="2:17" ht="12.9" thickBot="1">
      <c r="B194" s="291" t="s">
        <v>404</v>
      </c>
      <c r="C194" s="335"/>
      <c r="D194" s="345"/>
      <c r="E194" s="345"/>
      <c r="F194" s="345"/>
      <c r="G194" s="345"/>
      <c r="H194" s="345"/>
      <c r="I194" s="345"/>
      <c r="J194" s="345"/>
      <c r="K194" s="345"/>
      <c r="L194" s="345"/>
      <c r="M194" s="345"/>
      <c r="N194" s="345"/>
      <c r="O194" s="346"/>
      <c r="P194" s="347"/>
      <c r="Q194" s="339"/>
    </row>
    <row r="195" spans="2:17" ht="12.9" thickBot="1">
      <c r="B195" s="305" t="s">
        <v>409</v>
      </c>
      <c r="C195" s="348"/>
      <c r="D195" s="349">
        <f>D182-D193</f>
        <v>91.981930008152219</v>
      </c>
      <c r="E195" s="349">
        <f t="shared" ref="E195:O195" si="86">E182-E193</f>
        <v>80.44496794698631</v>
      </c>
      <c r="F195" s="349">
        <f t="shared" si="86"/>
        <v>76.175923916659258</v>
      </c>
      <c r="G195" s="349">
        <f t="shared" si="86"/>
        <v>66.339667615405887</v>
      </c>
      <c r="H195" s="349">
        <f t="shared" si="86"/>
        <v>47.276902084289162</v>
      </c>
      <c r="I195" s="349">
        <f t="shared" si="86"/>
        <v>35.574476379135518</v>
      </c>
      <c r="J195" s="349">
        <f t="shared" si="86"/>
        <v>26.761478627331986</v>
      </c>
      <c r="K195" s="349">
        <f t="shared" si="86"/>
        <v>26.290273220023774</v>
      </c>
      <c r="L195" s="349">
        <f t="shared" si="86"/>
        <v>41.721128146468949</v>
      </c>
      <c r="M195" s="349">
        <f t="shared" si="86"/>
        <v>55.326881728470248</v>
      </c>
      <c r="N195" s="349">
        <f t="shared" si="86"/>
        <v>76.552313381283909</v>
      </c>
      <c r="O195" s="349">
        <f t="shared" si="86"/>
        <v>88.011168866812667</v>
      </c>
      <c r="P195" s="373">
        <f>SUM(D195:O195)</f>
        <v>712.45711192101987</v>
      </c>
      <c r="Q195" s="351" t="s">
        <v>359</v>
      </c>
    </row>
    <row r="197" spans="2:17">
      <c r="B197" s="1103" t="s">
        <v>1390</v>
      </c>
      <c r="C197" s="1103"/>
      <c r="D197" s="1124">
        <f>MAX(0,D188-D182)</f>
        <v>0</v>
      </c>
      <c r="E197" s="1124">
        <f t="shared" ref="E197:O197" si="87">MAX(0,E188-E182)</f>
        <v>0</v>
      </c>
      <c r="F197" s="1124">
        <f t="shared" si="87"/>
        <v>0</v>
      </c>
      <c r="G197" s="1124">
        <f>MAX(0,G188-G182)</f>
        <v>0</v>
      </c>
      <c r="H197" s="1124">
        <f t="shared" si="87"/>
        <v>0</v>
      </c>
      <c r="I197" s="1124">
        <f t="shared" si="87"/>
        <v>0</v>
      </c>
      <c r="J197" s="1124">
        <f t="shared" si="87"/>
        <v>0</v>
      </c>
      <c r="K197" s="1124">
        <f t="shared" si="87"/>
        <v>0</v>
      </c>
      <c r="L197" s="1124">
        <f t="shared" si="87"/>
        <v>0</v>
      </c>
      <c r="M197" s="1124">
        <f t="shared" si="87"/>
        <v>0</v>
      </c>
      <c r="N197" s="1124">
        <f t="shared" si="87"/>
        <v>0</v>
      </c>
      <c r="O197" s="1124">
        <f t="shared" si="87"/>
        <v>0</v>
      </c>
      <c r="P197" s="1125">
        <f>SUM(D197:O197)</f>
        <v>0</v>
      </c>
      <c r="Q197" s="270" t="s">
        <v>359</v>
      </c>
    </row>
  </sheetData>
  <sheetProtection selectLockedCells="1"/>
  <dataValidations count="1">
    <dataValidation type="list" allowBlank="1" showInputMessage="1" showErrorMessage="1" sqref="WUT982814:WUT982815 IH3:IH4 SD3:SD4 ABZ3:ABZ4 ALV3:ALV4 AVR3:AVR4 BFN3:BFN4 BPJ3:BPJ4 BZF3:BZF4 CJB3:CJB4 CSX3:CSX4 DCT3:DCT4 DMP3:DMP4 DWL3:DWL4 EGH3:EGH4 EQD3:EQD4 EZZ3:EZZ4 FJV3:FJV4 FTR3:FTR4 GDN3:GDN4 GNJ3:GNJ4 GXF3:GXF4 HHB3:HHB4 HQX3:HQX4 IAT3:IAT4 IKP3:IKP4 IUL3:IUL4 JEH3:JEH4 JOD3:JOD4 JXZ3:JXZ4 KHV3:KHV4 KRR3:KRR4 LBN3:LBN4 LLJ3:LLJ4 LVF3:LVF4 MFB3:MFB4 MOX3:MOX4 MYT3:MYT4 NIP3:NIP4 NSL3:NSL4 OCH3:OCH4 OMD3:OMD4 OVZ3:OVZ4 PFV3:PFV4 PPR3:PPR4 PZN3:PZN4 QJJ3:QJJ4 QTF3:QTF4 RDB3:RDB4 RMX3:RMX4 RWT3:RWT4 SGP3:SGP4 SQL3:SQL4 TAH3:TAH4 TKD3:TKD4 TTZ3:TTZ4 UDV3:UDV4 UNR3:UNR4 UXN3:UXN4 VHJ3:VHJ4 VRF3:VRF4 WBB3:WBB4 WKX3:WKX4 WUT3:WUT4 E65310:E65311 IH65310:IH65311 SD65310:SD65311 ABZ65310:ABZ65311 ALV65310:ALV65311 AVR65310:AVR65311 BFN65310:BFN65311 BPJ65310:BPJ65311 BZF65310:BZF65311 CJB65310:CJB65311 CSX65310:CSX65311 DCT65310:DCT65311 DMP65310:DMP65311 DWL65310:DWL65311 EGH65310:EGH65311 EQD65310:EQD65311 EZZ65310:EZZ65311 FJV65310:FJV65311 FTR65310:FTR65311 GDN65310:GDN65311 GNJ65310:GNJ65311 GXF65310:GXF65311 HHB65310:HHB65311 HQX65310:HQX65311 IAT65310:IAT65311 IKP65310:IKP65311 IUL65310:IUL65311 JEH65310:JEH65311 JOD65310:JOD65311 JXZ65310:JXZ65311 KHV65310:KHV65311 KRR65310:KRR65311 LBN65310:LBN65311 LLJ65310:LLJ65311 LVF65310:LVF65311 MFB65310:MFB65311 MOX65310:MOX65311 MYT65310:MYT65311 NIP65310:NIP65311 NSL65310:NSL65311 OCH65310:OCH65311 OMD65310:OMD65311 OVZ65310:OVZ65311 PFV65310:PFV65311 PPR65310:PPR65311 PZN65310:PZN65311 QJJ65310:QJJ65311 QTF65310:QTF65311 RDB65310:RDB65311 RMX65310:RMX65311 RWT65310:RWT65311 SGP65310:SGP65311 SQL65310:SQL65311 TAH65310:TAH65311 TKD65310:TKD65311 TTZ65310:TTZ65311 UDV65310:UDV65311 UNR65310:UNR65311 UXN65310:UXN65311 VHJ65310:VHJ65311 VRF65310:VRF65311 WBB65310:WBB65311 WKX65310:WKX65311 WUT65310:WUT65311 E130846:E130847 IH130846:IH130847 SD130846:SD130847 ABZ130846:ABZ130847 ALV130846:ALV130847 AVR130846:AVR130847 BFN130846:BFN130847 BPJ130846:BPJ130847 BZF130846:BZF130847 CJB130846:CJB130847 CSX130846:CSX130847 DCT130846:DCT130847 DMP130846:DMP130847 DWL130846:DWL130847 EGH130846:EGH130847 EQD130846:EQD130847 EZZ130846:EZZ130847 FJV130846:FJV130847 FTR130846:FTR130847 GDN130846:GDN130847 GNJ130846:GNJ130847 GXF130846:GXF130847 HHB130846:HHB130847 HQX130846:HQX130847 IAT130846:IAT130847 IKP130846:IKP130847 IUL130846:IUL130847 JEH130846:JEH130847 JOD130846:JOD130847 JXZ130846:JXZ130847 KHV130846:KHV130847 KRR130846:KRR130847 LBN130846:LBN130847 LLJ130846:LLJ130847 LVF130846:LVF130847 MFB130846:MFB130847 MOX130846:MOX130847 MYT130846:MYT130847 NIP130846:NIP130847 NSL130846:NSL130847 OCH130846:OCH130847 OMD130846:OMD130847 OVZ130846:OVZ130847 PFV130846:PFV130847 PPR130846:PPR130847 PZN130846:PZN130847 QJJ130846:QJJ130847 QTF130846:QTF130847 RDB130846:RDB130847 RMX130846:RMX130847 RWT130846:RWT130847 SGP130846:SGP130847 SQL130846:SQL130847 TAH130846:TAH130847 TKD130846:TKD130847 TTZ130846:TTZ130847 UDV130846:UDV130847 UNR130846:UNR130847 UXN130846:UXN130847 VHJ130846:VHJ130847 VRF130846:VRF130847 WBB130846:WBB130847 WKX130846:WKX130847 WUT130846:WUT130847 E196382:E196383 IH196382:IH196383 SD196382:SD196383 ABZ196382:ABZ196383 ALV196382:ALV196383 AVR196382:AVR196383 BFN196382:BFN196383 BPJ196382:BPJ196383 BZF196382:BZF196383 CJB196382:CJB196383 CSX196382:CSX196383 DCT196382:DCT196383 DMP196382:DMP196383 DWL196382:DWL196383 EGH196382:EGH196383 EQD196382:EQD196383 EZZ196382:EZZ196383 FJV196382:FJV196383 FTR196382:FTR196383 GDN196382:GDN196383 GNJ196382:GNJ196383 GXF196382:GXF196383 HHB196382:HHB196383 HQX196382:HQX196383 IAT196382:IAT196383 IKP196382:IKP196383 IUL196382:IUL196383 JEH196382:JEH196383 JOD196382:JOD196383 JXZ196382:JXZ196383 KHV196382:KHV196383 KRR196382:KRR196383 LBN196382:LBN196383 LLJ196382:LLJ196383 LVF196382:LVF196383 MFB196382:MFB196383 MOX196382:MOX196383 MYT196382:MYT196383 NIP196382:NIP196383 NSL196382:NSL196383 OCH196382:OCH196383 OMD196382:OMD196383 OVZ196382:OVZ196383 PFV196382:PFV196383 PPR196382:PPR196383 PZN196382:PZN196383 QJJ196382:QJJ196383 QTF196382:QTF196383 RDB196382:RDB196383 RMX196382:RMX196383 RWT196382:RWT196383 SGP196382:SGP196383 SQL196382:SQL196383 TAH196382:TAH196383 TKD196382:TKD196383 TTZ196382:TTZ196383 UDV196382:UDV196383 UNR196382:UNR196383 UXN196382:UXN196383 VHJ196382:VHJ196383 VRF196382:VRF196383 WBB196382:WBB196383 WKX196382:WKX196383 WUT196382:WUT196383 E261918:E261919 IH261918:IH261919 SD261918:SD261919 ABZ261918:ABZ261919 ALV261918:ALV261919 AVR261918:AVR261919 BFN261918:BFN261919 BPJ261918:BPJ261919 BZF261918:BZF261919 CJB261918:CJB261919 CSX261918:CSX261919 DCT261918:DCT261919 DMP261918:DMP261919 DWL261918:DWL261919 EGH261918:EGH261919 EQD261918:EQD261919 EZZ261918:EZZ261919 FJV261918:FJV261919 FTR261918:FTR261919 GDN261918:GDN261919 GNJ261918:GNJ261919 GXF261918:GXF261919 HHB261918:HHB261919 HQX261918:HQX261919 IAT261918:IAT261919 IKP261918:IKP261919 IUL261918:IUL261919 JEH261918:JEH261919 JOD261918:JOD261919 JXZ261918:JXZ261919 KHV261918:KHV261919 KRR261918:KRR261919 LBN261918:LBN261919 LLJ261918:LLJ261919 LVF261918:LVF261919 MFB261918:MFB261919 MOX261918:MOX261919 MYT261918:MYT261919 NIP261918:NIP261919 NSL261918:NSL261919 OCH261918:OCH261919 OMD261918:OMD261919 OVZ261918:OVZ261919 PFV261918:PFV261919 PPR261918:PPR261919 PZN261918:PZN261919 QJJ261918:QJJ261919 QTF261918:QTF261919 RDB261918:RDB261919 RMX261918:RMX261919 RWT261918:RWT261919 SGP261918:SGP261919 SQL261918:SQL261919 TAH261918:TAH261919 TKD261918:TKD261919 TTZ261918:TTZ261919 UDV261918:UDV261919 UNR261918:UNR261919 UXN261918:UXN261919 VHJ261918:VHJ261919 VRF261918:VRF261919 WBB261918:WBB261919 WKX261918:WKX261919 WUT261918:WUT261919 E327454:E327455 IH327454:IH327455 SD327454:SD327455 ABZ327454:ABZ327455 ALV327454:ALV327455 AVR327454:AVR327455 BFN327454:BFN327455 BPJ327454:BPJ327455 BZF327454:BZF327455 CJB327454:CJB327455 CSX327454:CSX327455 DCT327454:DCT327455 DMP327454:DMP327455 DWL327454:DWL327455 EGH327454:EGH327455 EQD327454:EQD327455 EZZ327454:EZZ327455 FJV327454:FJV327455 FTR327454:FTR327455 GDN327454:GDN327455 GNJ327454:GNJ327455 GXF327454:GXF327455 HHB327454:HHB327455 HQX327454:HQX327455 IAT327454:IAT327455 IKP327454:IKP327455 IUL327454:IUL327455 JEH327454:JEH327455 JOD327454:JOD327455 JXZ327454:JXZ327455 KHV327454:KHV327455 KRR327454:KRR327455 LBN327454:LBN327455 LLJ327454:LLJ327455 LVF327454:LVF327455 MFB327454:MFB327455 MOX327454:MOX327455 MYT327454:MYT327455 NIP327454:NIP327455 NSL327454:NSL327455 OCH327454:OCH327455 OMD327454:OMD327455 OVZ327454:OVZ327455 PFV327454:PFV327455 PPR327454:PPR327455 PZN327454:PZN327455 QJJ327454:QJJ327455 QTF327454:QTF327455 RDB327454:RDB327455 RMX327454:RMX327455 RWT327454:RWT327455 SGP327454:SGP327455 SQL327454:SQL327455 TAH327454:TAH327455 TKD327454:TKD327455 TTZ327454:TTZ327455 UDV327454:UDV327455 UNR327454:UNR327455 UXN327454:UXN327455 VHJ327454:VHJ327455 VRF327454:VRF327455 WBB327454:WBB327455 WKX327454:WKX327455 WUT327454:WUT327455 E392990:E392991 IH392990:IH392991 SD392990:SD392991 ABZ392990:ABZ392991 ALV392990:ALV392991 AVR392990:AVR392991 BFN392990:BFN392991 BPJ392990:BPJ392991 BZF392990:BZF392991 CJB392990:CJB392991 CSX392990:CSX392991 DCT392990:DCT392991 DMP392990:DMP392991 DWL392990:DWL392991 EGH392990:EGH392991 EQD392990:EQD392991 EZZ392990:EZZ392991 FJV392990:FJV392991 FTR392990:FTR392991 GDN392990:GDN392991 GNJ392990:GNJ392991 GXF392990:GXF392991 HHB392990:HHB392991 HQX392990:HQX392991 IAT392990:IAT392991 IKP392990:IKP392991 IUL392990:IUL392991 JEH392990:JEH392991 JOD392990:JOD392991 JXZ392990:JXZ392991 KHV392990:KHV392991 KRR392990:KRR392991 LBN392990:LBN392991 LLJ392990:LLJ392991 LVF392990:LVF392991 MFB392990:MFB392991 MOX392990:MOX392991 MYT392990:MYT392991 NIP392990:NIP392991 NSL392990:NSL392991 OCH392990:OCH392991 OMD392990:OMD392991 OVZ392990:OVZ392991 PFV392990:PFV392991 PPR392990:PPR392991 PZN392990:PZN392991 QJJ392990:QJJ392991 QTF392990:QTF392991 RDB392990:RDB392991 RMX392990:RMX392991 RWT392990:RWT392991 SGP392990:SGP392991 SQL392990:SQL392991 TAH392990:TAH392991 TKD392990:TKD392991 TTZ392990:TTZ392991 UDV392990:UDV392991 UNR392990:UNR392991 UXN392990:UXN392991 VHJ392990:VHJ392991 VRF392990:VRF392991 WBB392990:WBB392991 WKX392990:WKX392991 WUT392990:WUT392991 E458526:E458527 IH458526:IH458527 SD458526:SD458527 ABZ458526:ABZ458527 ALV458526:ALV458527 AVR458526:AVR458527 BFN458526:BFN458527 BPJ458526:BPJ458527 BZF458526:BZF458527 CJB458526:CJB458527 CSX458526:CSX458527 DCT458526:DCT458527 DMP458526:DMP458527 DWL458526:DWL458527 EGH458526:EGH458527 EQD458526:EQD458527 EZZ458526:EZZ458527 FJV458526:FJV458527 FTR458526:FTR458527 GDN458526:GDN458527 GNJ458526:GNJ458527 GXF458526:GXF458527 HHB458526:HHB458527 HQX458526:HQX458527 IAT458526:IAT458527 IKP458526:IKP458527 IUL458526:IUL458527 JEH458526:JEH458527 JOD458526:JOD458527 JXZ458526:JXZ458527 KHV458526:KHV458527 KRR458526:KRR458527 LBN458526:LBN458527 LLJ458526:LLJ458527 LVF458526:LVF458527 MFB458526:MFB458527 MOX458526:MOX458527 MYT458526:MYT458527 NIP458526:NIP458527 NSL458526:NSL458527 OCH458526:OCH458527 OMD458526:OMD458527 OVZ458526:OVZ458527 PFV458526:PFV458527 PPR458526:PPR458527 PZN458526:PZN458527 QJJ458526:QJJ458527 QTF458526:QTF458527 RDB458526:RDB458527 RMX458526:RMX458527 RWT458526:RWT458527 SGP458526:SGP458527 SQL458526:SQL458527 TAH458526:TAH458527 TKD458526:TKD458527 TTZ458526:TTZ458527 UDV458526:UDV458527 UNR458526:UNR458527 UXN458526:UXN458527 VHJ458526:VHJ458527 VRF458526:VRF458527 WBB458526:WBB458527 WKX458526:WKX458527 WUT458526:WUT458527 E524062:E524063 IH524062:IH524063 SD524062:SD524063 ABZ524062:ABZ524063 ALV524062:ALV524063 AVR524062:AVR524063 BFN524062:BFN524063 BPJ524062:BPJ524063 BZF524062:BZF524063 CJB524062:CJB524063 CSX524062:CSX524063 DCT524062:DCT524063 DMP524062:DMP524063 DWL524062:DWL524063 EGH524062:EGH524063 EQD524062:EQD524063 EZZ524062:EZZ524063 FJV524062:FJV524063 FTR524062:FTR524063 GDN524062:GDN524063 GNJ524062:GNJ524063 GXF524062:GXF524063 HHB524062:HHB524063 HQX524062:HQX524063 IAT524062:IAT524063 IKP524062:IKP524063 IUL524062:IUL524063 JEH524062:JEH524063 JOD524062:JOD524063 JXZ524062:JXZ524063 KHV524062:KHV524063 KRR524062:KRR524063 LBN524062:LBN524063 LLJ524062:LLJ524063 LVF524062:LVF524063 MFB524062:MFB524063 MOX524062:MOX524063 MYT524062:MYT524063 NIP524062:NIP524063 NSL524062:NSL524063 OCH524062:OCH524063 OMD524062:OMD524063 OVZ524062:OVZ524063 PFV524062:PFV524063 PPR524062:PPR524063 PZN524062:PZN524063 QJJ524062:QJJ524063 QTF524062:QTF524063 RDB524062:RDB524063 RMX524062:RMX524063 RWT524062:RWT524063 SGP524062:SGP524063 SQL524062:SQL524063 TAH524062:TAH524063 TKD524062:TKD524063 TTZ524062:TTZ524063 UDV524062:UDV524063 UNR524062:UNR524063 UXN524062:UXN524063 VHJ524062:VHJ524063 VRF524062:VRF524063 WBB524062:WBB524063 WKX524062:WKX524063 WUT524062:WUT524063 E589598:E589599 IH589598:IH589599 SD589598:SD589599 ABZ589598:ABZ589599 ALV589598:ALV589599 AVR589598:AVR589599 BFN589598:BFN589599 BPJ589598:BPJ589599 BZF589598:BZF589599 CJB589598:CJB589599 CSX589598:CSX589599 DCT589598:DCT589599 DMP589598:DMP589599 DWL589598:DWL589599 EGH589598:EGH589599 EQD589598:EQD589599 EZZ589598:EZZ589599 FJV589598:FJV589599 FTR589598:FTR589599 GDN589598:GDN589599 GNJ589598:GNJ589599 GXF589598:GXF589599 HHB589598:HHB589599 HQX589598:HQX589599 IAT589598:IAT589599 IKP589598:IKP589599 IUL589598:IUL589599 JEH589598:JEH589599 JOD589598:JOD589599 JXZ589598:JXZ589599 KHV589598:KHV589599 KRR589598:KRR589599 LBN589598:LBN589599 LLJ589598:LLJ589599 LVF589598:LVF589599 MFB589598:MFB589599 MOX589598:MOX589599 MYT589598:MYT589599 NIP589598:NIP589599 NSL589598:NSL589599 OCH589598:OCH589599 OMD589598:OMD589599 OVZ589598:OVZ589599 PFV589598:PFV589599 PPR589598:PPR589599 PZN589598:PZN589599 QJJ589598:QJJ589599 QTF589598:QTF589599 RDB589598:RDB589599 RMX589598:RMX589599 RWT589598:RWT589599 SGP589598:SGP589599 SQL589598:SQL589599 TAH589598:TAH589599 TKD589598:TKD589599 TTZ589598:TTZ589599 UDV589598:UDV589599 UNR589598:UNR589599 UXN589598:UXN589599 VHJ589598:VHJ589599 VRF589598:VRF589599 WBB589598:WBB589599 WKX589598:WKX589599 WUT589598:WUT589599 E655134:E655135 IH655134:IH655135 SD655134:SD655135 ABZ655134:ABZ655135 ALV655134:ALV655135 AVR655134:AVR655135 BFN655134:BFN655135 BPJ655134:BPJ655135 BZF655134:BZF655135 CJB655134:CJB655135 CSX655134:CSX655135 DCT655134:DCT655135 DMP655134:DMP655135 DWL655134:DWL655135 EGH655134:EGH655135 EQD655134:EQD655135 EZZ655134:EZZ655135 FJV655134:FJV655135 FTR655134:FTR655135 GDN655134:GDN655135 GNJ655134:GNJ655135 GXF655134:GXF655135 HHB655134:HHB655135 HQX655134:HQX655135 IAT655134:IAT655135 IKP655134:IKP655135 IUL655134:IUL655135 JEH655134:JEH655135 JOD655134:JOD655135 JXZ655134:JXZ655135 KHV655134:KHV655135 KRR655134:KRR655135 LBN655134:LBN655135 LLJ655134:LLJ655135 LVF655134:LVF655135 MFB655134:MFB655135 MOX655134:MOX655135 MYT655134:MYT655135 NIP655134:NIP655135 NSL655134:NSL655135 OCH655134:OCH655135 OMD655134:OMD655135 OVZ655134:OVZ655135 PFV655134:PFV655135 PPR655134:PPR655135 PZN655134:PZN655135 QJJ655134:QJJ655135 QTF655134:QTF655135 RDB655134:RDB655135 RMX655134:RMX655135 RWT655134:RWT655135 SGP655134:SGP655135 SQL655134:SQL655135 TAH655134:TAH655135 TKD655134:TKD655135 TTZ655134:TTZ655135 UDV655134:UDV655135 UNR655134:UNR655135 UXN655134:UXN655135 VHJ655134:VHJ655135 VRF655134:VRF655135 WBB655134:WBB655135 WKX655134:WKX655135 WUT655134:WUT655135 E720670:E720671 IH720670:IH720671 SD720670:SD720671 ABZ720670:ABZ720671 ALV720670:ALV720671 AVR720670:AVR720671 BFN720670:BFN720671 BPJ720670:BPJ720671 BZF720670:BZF720671 CJB720670:CJB720671 CSX720670:CSX720671 DCT720670:DCT720671 DMP720670:DMP720671 DWL720670:DWL720671 EGH720670:EGH720671 EQD720670:EQD720671 EZZ720670:EZZ720671 FJV720670:FJV720671 FTR720670:FTR720671 GDN720670:GDN720671 GNJ720670:GNJ720671 GXF720670:GXF720671 HHB720670:HHB720671 HQX720670:HQX720671 IAT720670:IAT720671 IKP720670:IKP720671 IUL720670:IUL720671 JEH720670:JEH720671 JOD720670:JOD720671 JXZ720670:JXZ720671 KHV720670:KHV720671 KRR720670:KRR720671 LBN720670:LBN720671 LLJ720670:LLJ720671 LVF720670:LVF720671 MFB720670:MFB720671 MOX720670:MOX720671 MYT720670:MYT720671 NIP720670:NIP720671 NSL720670:NSL720671 OCH720670:OCH720671 OMD720670:OMD720671 OVZ720670:OVZ720671 PFV720670:PFV720671 PPR720670:PPR720671 PZN720670:PZN720671 QJJ720670:QJJ720671 QTF720670:QTF720671 RDB720670:RDB720671 RMX720670:RMX720671 RWT720670:RWT720671 SGP720670:SGP720671 SQL720670:SQL720671 TAH720670:TAH720671 TKD720670:TKD720671 TTZ720670:TTZ720671 UDV720670:UDV720671 UNR720670:UNR720671 UXN720670:UXN720671 VHJ720670:VHJ720671 VRF720670:VRF720671 WBB720670:WBB720671 WKX720670:WKX720671 WUT720670:WUT720671 E786206:E786207 IH786206:IH786207 SD786206:SD786207 ABZ786206:ABZ786207 ALV786206:ALV786207 AVR786206:AVR786207 BFN786206:BFN786207 BPJ786206:BPJ786207 BZF786206:BZF786207 CJB786206:CJB786207 CSX786206:CSX786207 DCT786206:DCT786207 DMP786206:DMP786207 DWL786206:DWL786207 EGH786206:EGH786207 EQD786206:EQD786207 EZZ786206:EZZ786207 FJV786206:FJV786207 FTR786206:FTR786207 GDN786206:GDN786207 GNJ786206:GNJ786207 GXF786206:GXF786207 HHB786206:HHB786207 HQX786206:HQX786207 IAT786206:IAT786207 IKP786206:IKP786207 IUL786206:IUL786207 JEH786206:JEH786207 JOD786206:JOD786207 JXZ786206:JXZ786207 KHV786206:KHV786207 KRR786206:KRR786207 LBN786206:LBN786207 LLJ786206:LLJ786207 LVF786206:LVF786207 MFB786206:MFB786207 MOX786206:MOX786207 MYT786206:MYT786207 NIP786206:NIP786207 NSL786206:NSL786207 OCH786206:OCH786207 OMD786206:OMD786207 OVZ786206:OVZ786207 PFV786206:PFV786207 PPR786206:PPR786207 PZN786206:PZN786207 QJJ786206:QJJ786207 QTF786206:QTF786207 RDB786206:RDB786207 RMX786206:RMX786207 RWT786206:RWT786207 SGP786206:SGP786207 SQL786206:SQL786207 TAH786206:TAH786207 TKD786206:TKD786207 TTZ786206:TTZ786207 UDV786206:UDV786207 UNR786206:UNR786207 UXN786206:UXN786207 VHJ786206:VHJ786207 VRF786206:VRF786207 WBB786206:WBB786207 WKX786206:WKX786207 WUT786206:WUT786207 E851742:E851743 IH851742:IH851743 SD851742:SD851743 ABZ851742:ABZ851743 ALV851742:ALV851743 AVR851742:AVR851743 BFN851742:BFN851743 BPJ851742:BPJ851743 BZF851742:BZF851743 CJB851742:CJB851743 CSX851742:CSX851743 DCT851742:DCT851743 DMP851742:DMP851743 DWL851742:DWL851743 EGH851742:EGH851743 EQD851742:EQD851743 EZZ851742:EZZ851743 FJV851742:FJV851743 FTR851742:FTR851743 GDN851742:GDN851743 GNJ851742:GNJ851743 GXF851742:GXF851743 HHB851742:HHB851743 HQX851742:HQX851743 IAT851742:IAT851743 IKP851742:IKP851743 IUL851742:IUL851743 JEH851742:JEH851743 JOD851742:JOD851743 JXZ851742:JXZ851743 KHV851742:KHV851743 KRR851742:KRR851743 LBN851742:LBN851743 LLJ851742:LLJ851743 LVF851742:LVF851743 MFB851742:MFB851743 MOX851742:MOX851743 MYT851742:MYT851743 NIP851742:NIP851743 NSL851742:NSL851743 OCH851742:OCH851743 OMD851742:OMD851743 OVZ851742:OVZ851743 PFV851742:PFV851743 PPR851742:PPR851743 PZN851742:PZN851743 QJJ851742:QJJ851743 QTF851742:QTF851743 RDB851742:RDB851743 RMX851742:RMX851743 RWT851742:RWT851743 SGP851742:SGP851743 SQL851742:SQL851743 TAH851742:TAH851743 TKD851742:TKD851743 TTZ851742:TTZ851743 UDV851742:UDV851743 UNR851742:UNR851743 UXN851742:UXN851743 VHJ851742:VHJ851743 VRF851742:VRF851743 WBB851742:WBB851743 WKX851742:WKX851743 WUT851742:WUT851743 E917278:E917279 IH917278:IH917279 SD917278:SD917279 ABZ917278:ABZ917279 ALV917278:ALV917279 AVR917278:AVR917279 BFN917278:BFN917279 BPJ917278:BPJ917279 BZF917278:BZF917279 CJB917278:CJB917279 CSX917278:CSX917279 DCT917278:DCT917279 DMP917278:DMP917279 DWL917278:DWL917279 EGH917278:EGH917279 EQD917278:EQD917279 EZZ917278:EZZ917279 FJV917278:FJV917279 FTR917278:FTR917279 GDN917278:GDN917279 GNJ917278:GNJ917279 GXF917278:GXF917279 HHB917278:HHB917279 HQX917278:HQX917279 IAT917278:IAT917279 IKP917278:IKP917279 IUL917278:IUL917279 JEH917278:JEH917279 JOD917278:JOD917279 JXZ917278:JXZ917279 KHV917278:KHV917279 KRR917278:KRR917279 LBN917278:LBN917279 LLJ917278:LLJ917279 LVF917278:LVF917279 MFB917278:MFB917279 MOX917278:MOX917279 MYT917278:MYT917279 NIP917278:NIP917279 NSL917278:NSL917279 OCH917278:OCH917279 OMD917278:OMD917279 OVZ917278:OVZ917279 PFV917278:PFV917279 PPR917278:PPR917279 PZN917278:PZN917279 QJJ917278:QJJ917279 QTF917278:QTF917279 RDB917278:RDB917279 RMX917278:RMX917279 RWT917278:RWT917279 SGP917278:SGP917279 SQL917278:SQL917279 TAH917278:TAH917279 TKD917278:TKD917279 TTZ917278:TTZ917279 UDV917278:UDV917279 UNR917278:UNR917279 UXN917278:UXN917279 VHJ917278:VHJ917279 VRF917278:VRF917279 WBB917278:WBB917279 WKX917278:WKX917279 WUT917278:WUT917279 E982814:E982815 IH982814:IH982815 SD982814:SD982815 ABZ982814:ABZ982815 ALV982814:ALV982815 AVR982814:AVR982815 BFN982814:BFN982815 BPJ982814:BPJ982815 BZF982814:BZF982815 CJB982814:CJB982815 CSX982814:CSX982815 DCT982814:DCT982815 DMP982814:DMP982815 DWL982814:DWL982815 EGH982814:EGH982815 EQD982814:EQD982815 EZZ982814:EZZ982815 FJV982814:FJV982815 FTR982814:FTR982815 GDN982814:GDN982815 GNJ982814:GNJ982815 GXF982814:GXF982815 HHB982814:HHB982815 HQX982814:HQX982815 IAT982814:IAT982815 IKP982814:IKP982815 IUL982814:IUL982815 JEH982814:JEH982815 JOD982814:JOD982815 JXZ982814:JXZ982815 KHV982814:KHV982815 KRR982814:KRR982815 LBN982814:LBN982815 LLJ982814:LLJ982815 LVF982814:LVF982815 MFB982814:MFB982815 MOX982814:MOX982815 MYT982814:MYT982815 NIP982814:NIP982815 NSL982814:NSL982815 OCH982814:OCH982815 OMD982814:OMD982815 OVZ982814:OVZ982815 PFV982814:PFV982815 PPR982814:PPR982815 PZN982814:PZN982815 QJJ982814:QJJ982815 QTF982814:QTF982815 RDB982814:RDB982815 RMX982814:RMX982815 RWT982814:RWT982815 SGP982814:SGP982815 SQL982814:SQL982815 TAH982814:TAH982815 TKD982814:TKD982815 TTZ982814:TTZ982815 UDV982814:UDV982815 UNR982814:UNR982815 UXN982814:UXN982815 VHJ982814:VHJ982815 VRF982814:VRF982815 WBB982814:WBB982815 WKX982814:WKX982815 D6:D7" xr:uid="{00000000-0002-0000-1900-000000000000}">
      <formula1>#REF!</formula1>
    </dataValidation>
  </dataValidations>
  <pageMargins left="0.78740157499999996" right="0.78740157499999996" top="0.984251969" bottom="0.984251969" header="0.4921259845" footer="0.4921259845"/>
  <pageSetup paperSize="9" scale="69" orientation="landscape" r:id="rId1"/>
  <headerFooter alignWithMargins="0">
    <oddHeader>&amp;CSIA 2024 Raum-Datenblätter</oddHeader>
    <oddFooter>&amp;CSIA 2024, Copyright © 2021 by SIA Zurich</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0298F7-A258-46B0-A762-32B337DA573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175</vt:i4>
      </vt:variant>
    </vt:vector>
  </HeadingPairs>
  <TitlesOfParts>
    <vt:vector size="182" baseType="lpstr">
      <vt:lpstr>Anleitung</vt:lpstr>
      <vt:lpstr>Eingabedaten</vt:lpstr>
      <vt:lpstr>Datenblatt</vt:lpstr>
      <vt:lpstr>Eigene Nutzung</vt:lpstr>
      <vt:lpstr>Resultate Standard</vt:lpstr>
      <vt:lpstr>Resultate Zielwert</vt:lpstr>
      <vt:lpstr>Resultate Bestand</vt:lpstr>
      <vt:lpstr>'SIA 380-1'!a0</vt:lpstr>
      <vt:lpstr>'SIA 380-1_EN'!a0</vt:lpstr>
      <vt:lpstr>'SIA 380-1_Qc'!a0</vt:lpstr>
      <vt:lpstr>'SIA 380-1_Qc_EN'!a0</vt:lpstr>
      <vt:lpstr>'SIA 380-1'!AE</vt:lpstr>
      <vt:lpstr>'SIA 380-1_EN'!AE</vt:lpstr>
      <vt:lpstr>'SIA 380-1_Qc'!AE</vt:lpstr>
      <vt:lpstr>'SIA 380-1_Qc_EN'!AE</vt:lpstr>
      <vt:lpstr>'SIA 380-1'!AP</vt:lpstr>
      <vt:lpstr>'SIA 380-1_EN'!AP</vt:lpstr>
      <vt:lpstr>'SIA 380-1_Qc'!AP</vt:lpstr>
      <vt:lpstr>'SIA 380-1_Qc_EN'!AP</vt:lpstr>
      <vt:lpstr>'SIA 380-1'!bGF</vt:lpstr>
      <vt:lpstr>'SIA 380-1_EN'!bGF</vt:lpstr>
      <vt:lpstr>'SIA 380-1_Qc'!bGF</vt:lpstr>
      <vt:lpstr>'SIA 380-1_Qc_EN'!bGF</vt:lpstr>
      <vt:lpstr>'SIA 380-1'!bGW</vt:lpstr>
      <vt:lpstr>'SIA 380-1_EN'!bGW</vt:lpstr>
      <vt:lpstr>'SIA 380-1_Qc'!bGW</vt:lpstr>
      <vt:lpstr>'SIA 380-1_Qc_EN'!bGW</vt:lpstr>
      <vt:lpstr>'SIA 380-1'!BodenErdeF</vt:lpstr>
      <vt:lpstr>'SIA 380-1_EN'!BodenErdeF</vt:lpstr>
      <vt:lpstr>'SIA 380-1_Qc'!BodenErdeF</vt:lpstr>
      <vt:lpstr>'SIA 380-1_Qc_EN'!BodenErdeF</vt:lpstr>
      <vt:lpstr>'SIA 380-1'!BodenUnb</vt:lpstr>
      <vt:lpstr>'SIA 380-1_EN'!BodenUnb</vt:lpstr>
      <vt:lpstr>'SIA 380-1_Qc'!BodenUnb</vt:lpstr>
      <vt:lpstr>'SIA 380-1_Qc_EN'!BodenUnb</vt:lpstr>
      <vt:lpstr>'SIA 380-1'!CEBF</vt:lpstr>
      <vt:lpstr>'SIA 380-1_EN'!CEBF</vt:lpstr>
      <vt:lpstr>'SIA 380-1_Qc'!CEBF</vt:lpstr>
      <vt:lpstr>'SIA 380-1_Qc_EN'!CEBF</vt:lpstr>
      <vt:lpstr>'SIA 380-1'!deltaThetahmax</vt:lpstr>
      <vt:lpstr>'SIA 380-1_EN'!deltaThetahmax</vt:lpstr>
      <vt:lpstr>'SIA 380-1_Qc'!deltaThetahmax</vt:lpstr>
      <vt:lpstr>'SIA 380-1_Qc_EN'!deltaThetahmax</vt:lpstr>
      <vt:lpstr>Anleitung!Druckbereich</vt:lpstr>
      <vt:lpstr>Datenblatt!Druckbereich</vt:lpstr>
      <vt:lpstr>'Eigene Nutzung'!Druckbereich</vt:lpstr>
      <vt:lpstr>Eingabedaten!Druckbereich</vt:lpstr>
      <vt:lpstr>Lizenzieren!Druckbereich</vt:lpstr>
      <vt:lpstr>'Resultate Standard'!Druckbereich</vt:lpstr>
      <vt:lpstr>'Resultate Zielwert'!Druckbereich</vt:lpstr>
      <vt:lpstr>'SIA 380-1'!Druckbereich</vt:lpstr>
      <vt:lpstr>'SIA 380-1_EN'!Druckbereich</vt:lpstr>
      <vt:lpstr>'SIA 380-1_Qc'!Druckbereich</vt:lpstr>
      <vt:lpstr>'SIA 380-1_Qc_EN'!Druckbereich</vt:lpstr>
      <vt:lpstr>Winter_Auslegung!Druckbereich</vt:lpstr>
      <vt:lpstr>Eingabedaten!Drucktitel</vt:lpstr>
      <vt:lpstr>'Resultate Bestand'!Drucktitel</vt:lpstr>
      <vt:lpstr>'Resultate Standard'!Drucktitel</vt:lpstr>
      <vt:lpstr>'Resultate Zielwert'!Drucktitel</vt:lpstr>
      <vt:lpstr>'SIA 380-1'!E4beheizt</vt:lpstr>
      <vt:lpstr>'SIA 380-1_EN'!E4beheizt</vt:lpstr>
      <vt:lpstr>'SIA 380-1_Qc'!E4beheizt</vt:lpstr>
      <vt:lpstr>'SIA 380-1_Qc_EN'!E4beheizt</vt:lpstr>
      <vt:lpstr>'SIA 380-1'!EBF</vt:lpstr>
      <vt:lpstr>'SIA 380-1_EN'!EBF</vt:lpstr>
      <vt:lpstr>'SIA 380-1_Qc'!EBF</vt:lpstr>
      <vt:lpstr>'SIA 380-1_Qc_EN'!EBF</vt:lpstr>
      <vt:lpstr>'SIA 380-1'!fE</vt:lpstr>
      <vt:lpstr>'SIA 380-1_EN'!fE</vt:lpstr>
      <vt:lpstr>'SIA 380-1_Qc'!fE</vt:lpstr>
      <vt:lpstr>'SIA 380-1_Qc_EN'!fE</vt:lpstr>
      <vt:lpstr>'SIA 380-1'!FF</vt:lpstr>
      <vt:lpstr>'SIA 380-1_EN'!FF</vt:lpstr>
      <vt:lpstr>'SIA 380-1_Qc'!FF</vt:lpstr>
      <vt:lpstr>'SIA 380-1_Qc_EN'!FF</vt:lpstr>
      <vt:lpstr>'SIA 380-1'!G_E5</vt:lpstr>
      <vt:lpstr>'SIA 380-1_EN'!G_E5</vt:lpstr>
      <vt:lpstr>'SIA 380-1_Qc'!G_E5</vt:lpstr>
      <vt:lpstr>'SIA 380-1_Qc_EN'!G_E5</vt:lpstr>
      <vt:lpstr>'SIA 380-1'!GebKat</vt:lpstr>
      <vt:lpstr>'SIA 380-1_EN'!GebKat</vt:lpstr>
      <vt:lpstr>'SIA 380-1_Qc'!GebKat</vt:lpstr>
      <vt:lpstr>'SIA 380-1_Qc_EN'!GebKat</vt:lpstr>
      <vt:lpstr>'SIA 380-1'!HueM</vt:lpstr>
      <vt:lpstr>'SIA 380-1_EN'!HueM</vt:lpstr>
      <vt:lpstr>'SIA 380-1_Qc'!HueM</vt:lpstr>
      <vt:lpstr>'SIA 380-1_Qc_EN'!HueM</vt:lpstr>
      <vt:lpstr>klimastat</vt:lpstr>
      <vt:lpstr>'SIA 380-1'!MinergieKennzahl</vt:lpstr>
      <vt:lpstr>'SIA 380-1_EN'!MinergieKennzahl</vt:lpstr>
      <vt:lpstr>'SIA 380-1_Qc'!MinergieKennzahl</vt:lpstr>
      <vt:lpstr>'SIA 380-1_Qc_EN'!MinergieKennzahl</vt:lpstr>
      <vt:lpstr>Profile!nutzid</vt:lpstr>
      <vt:lpstr>nutzid</vt:lpstr>
      <vt:lpstr>'SIA 380-1'!Primaer</vt:lpstr>
      <vt:lpstr>'SIA 380-1_EN'!Primaer</vt:lpstr>
      <vt:lpstr>'SIA 380-1_Qc'!Primaer</vt:lpstr>
      <vt:lpstr>'SIA 380-1_Qc_EN'!Primaer</vt:lpstr>
      <vt:lpstr>'SIA 380-1'!QE</vt:lpstr>
      <vt:lpstr>'SIA 380-1_EN'!QE</vt:lpstr>
      <vt:lpstr>'SIA 380-1_Qc'!QE</vt:lpstr>
      <vt:lpstr>'SIA 380-1_Qc_EN'!QE</vt:lpstr>
      <vt:lpstr>'SIA 380-1'!Qh</vt:lpstr>
      <vt:lpstr>'SIA 380-1_EN'!Qh</vt:lpstr>
      <vt:lpstr>'SIA 380-1_Qc'!Qh</vt:lpstr>
      <vt:lpstr>'SIA 380-1_Qc_EN'!Qh</vt:lpstr>
      <vt:lpstr>'SIA 380-1'!QhzuHg</vt:lpstr>
      <vt:lpstr>'SIA 380-1_EN'!QhzuHg</vt:lpstr>
      <vt:lpstr>'SIA 380-1_Qc'!QhzuHg</vt:lpstr>
      <vt:lpstr>'SIA 380-1_Qc_EN'!QhzuHg</vt:lpstr>
      <vt:lpstr>'SIA 380-1'!QhzuHgAlt</vt:lpstr>
      <vt:lpstr>'SIA 380-1_EN'!QhzuHgAlt</vt:lpstr>
      <vt:lpstr>'SIA 380-1_Qc'!QhzuHgAlt</vt:lpstr>
      <vt:lpstr>'SIA 380-1_Qc_EN'!QhzuHgAlt</vt:lpstr>
      <vt:lpstr>'SIA 380-1'!QP</vt:lpstr>
      <vt:lpstr>'SIA 380-1_EN'!QP</vt:lpstr>
      <vt:lpstr>'SIA 380-1_Qc'!QP</vt:lpstr>
      <vt:lpstr>'SIA 380-1_Qc_EN'!QP</vt:lpstr>
      <vt:lpstr>'SIA 380-1'!QWW</vt:lpstr>
      <vt:lpstr>'SIA 380-1_EN'!QWW</vt:lpstr>
      <vt:lpstr>'SIA 380-1_Qc'!QWW</vt:lpstr>
      <vt:lpstr>'SIA 380-1_Qc_EN'!QWW</vt:lpstr>
      <vt:lpstr>'SIA 380-1'!Standard</vt:lpstr>
      <vt:lpstr>'SIA 380-1_EN'!Standard</vt:lpstr>
      <vt:lpstr>'SIA 380-1_Qc'!Standard</vt:lpstr>
      <vt:lpstr>'SIA 380-1_Qc_EN'!Standard</vt:lpstr>
      <vt:lpstr>'SIA 380-1'!tau0</vt:lpstr>
      <vt:lpstr>'SIA 380-1_EN'!tau0</vt:lpstr>
      <vt:lpstr>'SIA 380-1_Qc'!tau0</vt:lpstr>
      <vt:lpstr>'SIA 380-1_Qc_EN'!tau0</vt:lpstr>
      <vt:lpstr>'SIA 380-1'!Thetai</vt:lpstr>
      <vt:lpstr>'SIA 380-1_EN'!Thetai</vt:lpstr>
      <vt:lpstr>'SIA 380-1_Qc'!Thetai</vt:lpstr>
      <vt:lpstr>'SIA 380-1_Qc_EN'!Thetai</vt:lpstr>
      <vt:lpstr>'SIA 380-1'!Thetaig</vt:lpstr>
      <vt:lpstr>'SIA 380-1_EN'!Thetaig</vt:lpstr>
      <vt:lpstr>'SIA 380-1_Qc'!Thetaig</vt:lpstr>
      <vt:lpstr>'SIA 380-1_Qc_EN'!Thetaig</vt:lpstr>
      <vt:lpstr>'SIA 380-1'!tP</vt:lpstr>
      <vt:lpstr>'SIA 380-1_EN'!tP</vt:lpstr>
      <vt:lpstr>'SIA 380-1_Qc'!tP</vt:lpstr>
      <vt:lpstr>'SIA 380-1_Qc_EN'!tP</vt:lpstr>
      <vt:lpstr>'SIA 380-1'!U_Boden</vt:lpstr>
      <vt:lpstr>'SIA 380-1_EN'!U_Boden</vt:lpstr>
      <vt:lpstr>'SIA 380-1_Qc'!U_Boden</vt:lpstr>
      <vt:lpstr>'SIA 380-1_Qc_EN'!U_Boden</vt:lpstr>
      <vt:lpstr>'SIA 380-1'!U_DAFbeheizt</vt:lpstr>
      <vt:lpstr>'SIA 380-1_EN'!U_DAFbeheizt</vt:lpstr>
      <vt:lpstr>'SIA 380-1_Qc'!U_DAFbeheizt</vt:lpstr>
      <vt:lpstr>'SIA 380-1_Qc_EN'!U_DAFbeheizt</vt:lpstr>
      <vt:lpstr>'SIA 380-1'!U_E3</vt:lpstr>
      <vt:lpstr>'SIA 380-1_EN'!U_E3</vt:lpstr>
      <vt:lpstr>'SIA 380-1_Qc'!U_E3</vt:lpstr>
      <vt:lpstr>'SIA 380-1_Qc_EN'!U_E3</vt:lpstr>
      <vt:lpstr>'SIA 380-1'!U_E4</vt:lpstr>
      <vt:lpstr>'SIA 380-1_EN'!U_E4</vt:lpstr>
      <vt:lpstr>'SIA 380-1_Qc'!U_E4</vt:lpstr>
      <vt:lpstr>'SIA 380-1_Qc_EN'!U_E4</vt:lpstr>
      <vt:lpstr>'SIA 380-1'!U_E5</vt:lpstr>
      <vt:lpstr>'SIA 380-1_EN'!U_E5</vt:lpstr>
      <vt:lpstr>'SIA 380-1_Qc'!U_E5</vt:lpstr>
      <vt:lpstr>'SIA 380-1_Qc_EN'!U_E5</vt:lpstr>
      <vt:lpstr>'SIA 380-1'!U_gedaemmteDecken</vt:lpstr>
      <vt:lpstr>'SIA 380-1_EN'!U_gedaemmteDecken</vt:lpstr>
      <vt:lpstr>'SIA 380-1_Qc'!U_gedaemmteDecken</vt:lpstr>
      <vt:lpstr>'SIA 380-1_Qc_EN'!U_gedaemmteDecken</vt:lpstr>
      <vt:lpstr>'SIA 380-1'!VStandard</vt:lpstr>
      <vt:lpstr>'SIA 380-1_EN'!VStandard</vt:lpstr>
      <vt:lpstr>'SIA 380-1_Qc'!VStandard</vt:lpstr>
      <vt:lpstr>'SIA 380-1_Qc_EN'!VStandard</vt:lpstr>
      <vt:lpstr>'SIA 380-1'!Vth</vt:lpstr>
      <vt:lpstr>'SIA 380-1_EN'!Vth</vt:lpstr>
      <vt:lpstr>'SIA 380-1_Qc'!Vth</vt:lpstr>
      <vt:lpstr>'SIA 380-1_Qc_EN'!Vth</vt:lpstr>
      <vt:lpstr>'SIA 380-1'!WBZuschlag</vt:lpstr>
      <vt:lpstr>'SIA 380-1_EN'!WBZuschlag</vt:lpstr>
      <vt:lpstr>'SIA 380-1_Qc'!WBZuschlag</vt:lpstr>
      <vt:lpstr>'SIA 380-1_Qc_EN'!WBZuschlag</vt:lpstr>
      <vt:lpstr>'SIA 380-1'!WW</vt:lpstr>
      <vt:lpstr>'SIA 380-1_EN'!WW</vt:lpstr>
      <vt:lpstr>'SIA 380-1_Qc'!WW</vt:lpstr>
      <vt:lpstr>'SIA 380-1_Qc_EN'!WW</vt:lpstr>
    </vt:vector>
  </TitlesOfParts>
  <Company>Lemon Consult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Fabio Creti</dc:creator>
  <cp:lastModifiedBy>Sven Ziegenrücker | SIA</cp:lastModifiedBy>
  <cp:lastPrinted>2022-07-20T05:08:19Z</cp:lastPrinted>
  <dcterms:created xsi:type="dcterms:W3CDTF">2003-10-02T08:36:16Z</dcterms:created>
  <dcterms:modified xsi:type="dcterms:W3CDTF">2025-04-22T06:14:50Z</dcterms:modified>
</cp:coreProperties>
</file>